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comments31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28.xml" ContentType="application/vnd.openxmlformats-officedocument.spreadsheetml.comments+xml"/>
  <Override PartName="/xl/comments27.xml" ContentType="application/vnd.openxmlformats-officedocument.spreadsheetml.comments+xml"/>
  <Override PartName="/xl/comments26.xml" ContentType="application/vnd.openxmlformats-officedocument.spreadsheetml.comments+xml"/>
  <Override PartName="/xl/comments25.xml" ContentType="application/vnd.openxmlformats-officedocument.spreadsheetml.comments+xml"/>
  <Override PartName="/xl/workbook.xml" ContentType="application/vnd.openxmlformats-officedocument.spreadsheetml.sheet.main+xml"/>
  <Override PartName="/xl/comments23.xml" ContentType="application/vnd.openxmlformats-officedocument.spreadsheetml.comments+xml"/>
  <Override PartName="/xl/comments22.xml" ContentType="application/vnd.openxmlformats-officedocument.spreadsheetml.comments+xml"/>
  <Override PartName="/xl/styles.xml" ContentType="application/vnd.openxmlformats-officedocument.spreadsheetml.styles+xml"/>
  <Override PartName="/xl/comments17.xml" ContentType="application/vnd.openxmlformats-officedocument.spreadsheetml.comments+xml"/>
  <Override PartName="/xl/comments20.xml" ContentType="application/vnd.openxmlformats-officedocument.spreadsheetml.comments+xml"/>
  <Override PartName="/xl/comments18.xml" ContentType="application/vnd.openxmlformats-officedocument.spreadsheetml.comments+xml"/>
  <Override PartName="/xl/theme/theme1.xml" ContentType="application/vnd.openxmlformats-officedocument.theme+xml"/>
  <Override PartName="/xl/comments21.xml" ContentType="application/vnd.openxmlformats-officedocument.spreadsheetml.comments+xml"/>
  <Override PartName="/xl/comments19.xml" ContentType="application/vnd.openxmlformats-officedocument.spreadsheetml.comments+xml"/>
  <Override PartName="/xl/worksheets/_rels/sheet30.xml.rels" ContentType="application/vnd.openxmlformats-package.relationships+xml"/>
  <Override PartName="/xl/worksheets/_rels/sheet31.xml.rels" ContentType="application/vnd.openxmlformats-package.relationships+xml"/>
  <Override PartName="/xl/worksheets/_rels/sheet12.xml.rels" ContentType="application/vnd.openxmlformats-package.relationships+xml"/>
  <Override PartName="/xl/worksheets/_rels/sheet49.xml.rels" ContentType="application/vnd.openxmlformats-package.relationships+xml"/>
  <Override PartName="/xl/worksheets/_rels/sheet47.xml.rels" ContentType="application/vnd.openxmlformats-package.relationships+xml"/>
  <Override PartName="/xl/worksheets/_rels/sheet32.xml.rels" ContentType="application/vnd.openxmlformats-package.relationships+xml"/>
  <Override PartName="/xl/worksheets/_rels/sheet4.xml.rels" ContentType="application/vnd.openxmlformats-package.relationships+xml"/>
  <Override PartName="/xl/worksheets/_rels/sheet19.xml.rels" ContentType="application/vnd.openxmlformats-package.relationships+xml"/>
  <Override PartName="/xl/worksheets/_rels/sheet33.xml.rels" ContentType="application/vnd.openxmlformats-package.relationships+xml"/>
  <Override PartName="/xl/worksheets/_rels/sheet5.xml.rels" ContentType="application/vnd.openxmlformats-package.relationships+xml"/>
  <Override PartName="/xl/worksheets/_rels/sheet34.xml.rels" ContentType="application/vnd.openxmlformats-package.relationships+xml"/>
  <Override PartName="/xl/worksheets/_rels/sheet6.xml.rels" ContentType="application/vnd.openxmlformats-package.relationships+xml"/>
  <Override PartName="/xl/worksheets/_rels/sheet35.xml.rels" ContentType="application/vnd.openxmlformats-package.relationships+xml"/>
  <Override PartName="/xl/worksheets/_rels/sheet7.xml.rels" ContentType="application/vnd.openxmlformats-package.relationships+xml"/>
  <Override PartName="/xl/worksheets/_rels/sheet36.xml.rels" ContentType="application/vnd.openxmlformats-package.relationships+xml"/>
  <Override PartName="/xl/worksheets/_rels/sheet3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29.xml.rels" ContentType="application/vnd.openxmlformats-package.relationships+xml"/>
  <Override PartName="/xl/worksheets/_rels/sheet21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25.xml.rels" ContentType="application/vnd.openxmlformats-package.relationships+xml"/>
  <Override PartName="/xl/worksheets/_rels/sheet26.xml.rels" ContentType="application/vnd.openxmlformats-package.relationships+xml"/>
  <Override PartName="/xl/worksheets/_rels/sheet27.xml.rels" ContentType="application/vnd.openxmlformats-package.relationships+xml"/>
  <Override PartName="/xl/worksheets/_rels/sheet28.xml.rels" ContentType="application/vnd.openxmlformats-package.relationships+xml"/>
  <Override PartName="/xl/worksheets/_rels/sheet2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53.xml.rels" ContentType="application/vnd.openxmlformats-package.relationships+xml"/>
  <Override PartName="/xl/worksheets/_rels/sheet15.xml.rels" ContentType="application/vnd.openxmlformats-package.relationships+xml"/>
  <Override PartName="/xl/worksheets/_rels/sheet52.xml.rels" ContentType="application/vnd.openxmlformats-package.relationships+xml"/>
  <Override PartName="/xl/worksheets/_rels/sheet38.xml.rels" ContentType="application/vnd.openxmlformats-package.relationships+xml"/>
  <Override PartName="/xl/worksheets/_rels/sheet40.xml.rels" ContentType="application/vnd.openxmlformats-package.relationships+xml"/>
  <Override PartName="/xl/worksheets/_rels/sheet42.xml.rels" ContentType="application/vnd.openxmlformats-package.relationships+xml"/>
  <Override PartName="/xl/worksheets/_rels/sheet43.xml.rels" ContentType="application/vnd.openxmlformats-package.relationships+xml"/>
  <Override PartName="/xl/worksheets/_rels/sheet44.xml.rels" ContentType="application/vnd.openxmlformats-package.relationships+xml"/>
  <Override PartName="/xl/worksheets/_rels/sheet45.xml.rels" ContentType="application/vnd.openxmlformats-package.relationships+xml"/>
  <Override PartName="/xl/worksheets/_rels/sheet46.xml.rels" ContentType="application/vnd.openxmlformats-package.relationships+xml"/>
  <Override PartName="/xl/worksheets/_rels/sheet39.xml.rels" ContentType="application/vnd.openxmlformats-package.relationships+xml"/>
  <Override PartName="/xl/worksheets/_rels/sheet41.xml.rels" ContentType="application/vnd.openxmlformats-package.relationships+xml"/>
  <Override PartName="/xl/worksheets/_rels/sheet50.xml.rels" ContentType="application/vnd.openxmlformats-package.relationships+xml"/>
  <Override PartName="/xl/worksheets/_rels/sheet48.xml.rels" ContentType="application/vnd.openxmlformats-package.relationships+xml"/>
  <Override PartName="/xl/worksheets/_rels/sheet51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14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comments44.xml" ContentType="application/vnd.openxmlformats-officedocument.spreadsheetml.comments+xml"/>
  <Override PartName="/xl/sharedStrings.xml" ContentType="application/vnd.openxmlformats-officedocument.spreadsheetml.sharedStrings+xml"/>
  <Override PartName="/xl/comments24.xml" ContentType="application/vnd.openxmlformats-officedocument.spreadsheetml.comments+xml"/>
  <Override PartName="/xl/comments37.xml" ContentType="application/vnd.openxmlformats-officedocument.spreadsheetml.comments+xml"/>
  <Override PartName="/xl/comments42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36.xml" ContentType="application/vnd.openxmlformats-officedocument.spreadsheetml.comments+xml"/>
  <Override PartName="/xl/comments48.xml" ContentType="application/vnd.openxmlformats-officedocument.spreadsheetml.comments+xml"/>
  <Override PartName="/xl/comments50.xml" ContentType="application/vnd.openxmlformats-officedocument.spreadsheetml.comments+xml"/>
  <Override PartName="/xl/comments39.xml" ContentType="application/vnd.openxmlformats-officedocument.spreadsheetml.comment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25.vml" ContentType="application/vnd.openxmlformats-officedocument.vmlDrawing"/>
  <Override PartName="/xl/drawings/vmlDrawing24.vml" ContentType="application/vnd.openxmlformats-officedocument.vmlDrawing"/>
  <Override PartName="/xl/drawings/vmlDrawing23.vml" ContentType="application/vnd.openxmlformats-officedocument.vmlDrawing"/>
  <Override PartName="/xl/drawings/vmlDrawing22.vml" ContentType="application/vnd.openxmlformats-officedocument.vmlDrawing"/>
  <Override PartName="/xl/drawings/vmlDrawing21.vml" ContentType="application/vnd.openxmlformats-officedocument.vmlDrawing"/>
  <Override PartName="/xl/drawings/vmlDrawing19.vml" ContentType="application/vnd.openxmlformats-officedocument.vmlDrawing"/>
  <Override PartName="/xl/drawings/vmlDrawing20.vml" ContentType="application/vnd.openxmlformats-officedocument.vmlDrawing"/>
  <Override PartName="/xl/drawings/vmlDrawing18.vml" ContentType="application/vnd.openxmlformats-officedocument.vmlDrawing"/>
  <Override PartName="/xl/drawings/vmlDrawing17.vml" ContentType="application/vnd.openxmlformats-officedocument.vmlDrawing"/>
  <Override PartName="/xl/drawings/vmlDrawing16.vml" ContentType="application/vnd.openxmlformats-officedocument.vmlDrawing"/>
  <Override PartName="/xl/drawings/vmlDrawing15.vml" ContentType="application/vnd.openxmlformats-officedocument.vmlDrawing"/>
  <Override PartName="/xl/drawings/vmlDrawing9.vml" ContentType="application/vnd.openxmlformats-officedocument.vmlDrawing"/>
  <Override PartName="/xl/drawings/vmlDrawing14.vml" ContentType="application/vnd.openxmlformats-officedocument.vmlDrawing"/>
  <Override PartName="/xl/drawings/vmlDrawing8.vml" ContentType="application/vnd.openxmlformats-officedocument.vmlDrawing"/>
  <Override PartName="/xl/drawings/vmlDrawing13.vml" ContentType="application/vnd.openxmlformats-officedocument.vmlDrawing"/>
  <Override PartName="/xl/drawings/vmlDrawing7.vml" ContentType="application/vnd.openxmlformats-officedocument.vmlDrawing"/>
  <Override PartName="/xl/drawings/vmlDrawing12.vml" ContentType="application/vnd.openxmlformats-officedocument.vmlDrawing"/>
  <Override PartName="/xl/drawings/vmlDrawing6.vml" ContentType="application/vnd.openxmlformats-officedocument.vmlDrawing"/>
  <Override PartName="/xl/drawings/vmlDrawing32.vml" ContentType="application/vnd.openxmlformats-officedocument.vmlDrawing"/>
  <Override PartName="/xl/drawings/vmlDrawing33.vml" ContentType="application/vnd.openxmlformats-officedocument.vmlDrawing"/>
  <Override PartName="/xl/drawings/vmlDrawing34.vml" ContentType="application/vnd.openxmlformats-officedocument.vmlDrawing"/>
  <Override PartName="/xl/drawings/drawing1.xml" ContentType="application/vnd.openxmlformats-officedocument.drawing+xml"/>
  <Override PartName="/xl/drawings/vmlDrawing35.vml" ContentType="application/vnd.openxmlformats-officedocument.vmlDrawing"/>
  <Override PartName="/xl/drawings/drawing2.xml" ContentType="application/vnd.openxmlformats-officedocument.drawing+xml"/>
  <Override PartName="/xl/drawings/vmlDrawing36.vml" ContentType="application/vnd.openxmlformats-officedocument.vmlDrawing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vmlDrawing37.vml" ContentType="application/vnd.openxmlformats-officedocument.vmlDrawing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vmlDrawing38.vml" ContentType="application/vnd.openxmlformats-officedocument.vmlDrawing"/>
  <Override PartName="/xl/drawings/vmlDrawing40.vml" ContentType="application/vnd.openxmlformats-officedocument.vmlDrawing"/>
  <Override PartName="/xl/drawings/vmlDrawing39.vml" ContentType="application/vnd.openxmlformats-officedocument.vmlDrawing"/>
  <Override PartName="/xl/drawings/vmlDrawing41.vml" ContentType="application/vnd.openxmlformats-officedocument.vmlDrawing"/>
  <Override PartName="/xl/drawings/vmlDrawing11.vml" ContentType="application/vnd.openxmlformats-officedocument.vmlDrawing"/>
  <Override PartName="/xl/drawings/vmlDrawing5.vml" ContentType="application/vnd.openxmlformats-officedocument.vmlDrawing"/>
  <Override PartName="/xl/drawings/vmlDrawing42.vml" ContentType="application/vnd.openxmlformats-officedocument.vmlDrawing"/>
  <Override PartName="/xl/drawings/vmlDrawing31.vml" ContentType="application/vnd.openxmlformats-officedocument.vmlDrawing"/>
  <Override PartName="/xl/drawings/vmlDrawing29.vml" ContentType="application/vnd.openxmlformats-officedocument.vmlDrawing"/>
  <Override PartName="/xl/drawings/vmlDrawing43.vml" ContentType="application/vnd.openxmlformats-officedocument.vmlDrawing"/>
  <Override PartName="/xl/drawings/vmlDrawing30.vml" ContentType="application/vnd.openxmlformats-officedocument.vmlDrawing"/>
  <Override PartName="/xl/drawings/vmlDrawing28.vml" ContentType="application/vnd.openxmlformats-officedocument.vmlDrawing"/>
  <Override PartName="/xl/drawings/vmlDrawing27.vml" ContentType="application/vnd.openxmlformats-officedocument.vmlDrawing"/>
  <Override PartName="/xl/drawings/vmlDrawing26.vml" ContentType="application/vnd.openxmlformats-officedocument.vmlDrawing"/>
  <Override PartName="/xl/drawings/vmlDrawing4.vml" ContentType="application/vnd.openxmlformats-officedocument.vmlDrawing"/>
  <Override PartName="/xl/drawings/vmlDrawing10.vml" ContentType="application/vnd.openxmlformats-officedocument.vmlDrawing"/>
  <Override PartName="/xl/drawings/vmlDrawing1.vml" ContentType="application/vnd.openxmlformats-officedocument.vmlDrawing"/>
  <Override PartName="/xl/drawings/vmlDrawing44.vml" ContentType="application/vnd.openxmlformats-officedocument.vmlDrawing"/>
  <Override PartName="/xl/comments41.xml" ContentType="application/vnd.openxmlformats-officedocument.spreadsheetml.comments+xml"/>
  <Override PartName="/xl/comments51.xml" ContentType="application/vnd.openxmlformats-officedocument.spreadsheetml.comments+xml"/>
  <Override PartName="/xl/comments12.xml" ContentType="application/vnd.openxmlformats-officedocument.spreadsheetml.comments+xml"/>
  <Override PartName="/xl/comments49.xml" ContentType="application/vnd.openxmlformats-officedocument.spreadsheetml.comments+xml"/>
  <Override PartName="/xl/comments4.xml" ContentType="application/vnd.openxmlformats-officedocument.spreadsheetml.comments+xml"/>
  <Override PartName="/xl/comments40.xml" ContentType="application/vnd.openxmlformats-officedocument.spreadsheetml.comments+xml"/>
  <Override PartName="/xl/_rels/workbook.xml.rels" ContentType="application/vnd.openxmlformats-package.relationships+xml"/>
  <Override PartName="/xl/comments2.xml" ContentType="application/vnd.openxmlformats-officedocument.spreadsheetml.comments+xml"/>
  <Override PartName="/xl/comments38.xml" ContentType="application/vnd.openxmlformats-officedocument.spreadsheetml.comments+xml"/>
  <Override PartName="/xl/comments52.xml" ContentType="application/vnd.openxmlformats-officedocument.spreadsheetml.comment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53.xml" ContentType="application/vnd.openxmlformats-officedocument.spreadsheetml.comments+xml"/>
  <Override PartName="/xl/comments6.xml" ContentType="application/vnd.openxmlformats-officedocument.spreadsheetml.comments+xml"/>
  <Override PartName="/xl/comments16.xml" ContentType="application/vnd.openxmlformats-officedocument.spreadsheetml.comments+xml"/>
  <Override PartName="/xl/comments35.xml" ContentType="application/vnd.openxmlformats-officedocument.spreadsheetml.comments+xml"/>
  <Override PartName="/xl/comments34.xml" ContentType="application/vnd.openxmlformats-officedocument.spreadsheetml.comments+xml"/>
  <Override PartName="/xl/comments33.xml" ContentType="application/vnd.openxmlformats-officedocument.spreadsheetml.comments+xml"/>
  <Override PartName="/xl/comments32.xml" ContentType="application/vnd.openxmlformats-officedocument.spreadsheetml.comments+xml"/>
  <Override PartName="/xl/comments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EIA-ME" sheetId="1" state="visible" r:id="rId3"/>
    <sheet name="DASHBOARD" sheetId="2" state="visible" r:id="rId4"/>
    <sheet name="Tabela" sheetId="3" state="hidden" r:id="rId5"/>
    <sheet name="VALOR POR PL" sheetId="4" state="visible" r:id="rId6"/>
    <sheet name="RETRATO 2027" sheetId="5" state="visible" r:id="rId7"/>
    <sheet name="MODELO PARA BI" sheetId="6" state="visible" r:id="rId8"/>
    <sheet name="AUX. CURVA" sheetId="7" state="visible" r:id="rId9"/>
    <sheet name="&quot;INCC-FGV&quot;" sheetId="8" state="visible" r:id="rId10"/>
    <sheet name="CURVA PREVISION" sheetId="9" state="visible" r:id="rId11"/>
    <sheet name="CRONOGRAMA ATIVIDADES" sheetId="10" state="visible" r:id="rId12"/>
    <sheet name="CP RESUMO" sheetId="11" state="visible" r:id="rId13"/>
    <sheet name="DADOS HISTORICOS" sheetId="12" state="visible" r:id="rId14"/>
    <sheet name="DADOS BRUTOS" sheetId="13" state="visible" r:id="rId15"/>
    <sheet name="PREMISSAS" sheetId="14" state="hidden" r:id="rId16"/>
    <sheet name="PROJETO" sheetId="15" state="visible" r:id="rId17"/>
    <sheet name="TAX. ADM" sheetId="16" state="visible" r:id="rId18"/>
    <sheet name="SEGUROS" sheetId="17" state="visible" r:id="rId19"/>
    <sheet name="TAX. DIVERSAS" sheetId="18" state="visible" r:id="rId20"/>
    <sheet name="BARRACÃO DE OBRA" sheetId="19" state="visible" r:id="rId21"/>
    <sheet name="LIG. PROVISÓRIAS" sheetId="20" state="visible" r:id="rId22"/>
    <sheet name="CONSUMOS" sheetId="21" state="visible" r:id="rId23"/>
    <sheet name="DIVERSOS" sheetId="22" state="visible" r:id="rId24"/>
    <sheet name="TRANSPORTES" sheetId="23" state="visible" r:id="rId25"/>
    <sheet name="CONSULTORIAS" sheetId="24" state="visible" r:id="rId26"/>
    <sheet name="MDO" sheetId="25" state="visible" r:id="rId27"/>
    <sheet name="EQUIP E FER" sheetId="26" state="visible" r:id="rId28"/>
    <sheet name="SERV. INICIAIS" sheetId="27" state="visible" r:id="rId29"/>
    <sheet name="CONTENÇÃO" sheetId="28" state="visible" r:id="rId30"/>
    <sheet name="TERRAPLENAGEM" sheetId="29" state="visible" r:id="rId31"/>
    <sheet name="FUND. PROF" sheetId="30" state="visible" r:id="rId32"/>
    <sheet name="FUND. SUP" sheetId="31" state="visible" r:id="rId33"/>
    <sheet name="ESTRUTURA" sheetId="32" state="visible" r:id="rId34"/>
    <sheet name="AUX.ESTRUTURA" sheetId="33" state="visible" r:id="rId35"/>
    <sheet name="ALVENARIA" sheetId="34" state="visible" r:id="rId36"/>
    <sheet name="IMPERMEABILIZAÇÃO" sheetId="35" state="visible" r:id="rId37"/>
    <sheet name="INST. ELÉTRICA" sheetId="36" state="visible" r:id="rId38"/>
    <sheet name="INST. HIDRO" sheetId="37" state="visible" r:id="rId39"/>
    <sheet name="INST. INC" sheetId="38" state="visible" r:id="rId40"/>
    <sheet name="INST. ESP" sheetId="39" state="visible" r:id="rId41"/>
    <sheet name="ELEVADORES " sheetId="40" state="visible" r:id="rId42"/>
    <sheet name="ESQUADRIAS" sheetId="41" state="visible" r:id="rId43"/>
    <sheet name="SERRALHERIA" sheetId="42" state="visible" r:id="rId44"/>
    <sheet name="MARCENARIA" sheetId="43" state="visible" r:id="rId45"/>
    <sheet name="REV. PISOS" sheetId="44" state="visible" r:id="rId46"/>
    <sheet name="REV. PAREDE" sheetId="45" state="visible" r:id="rId47"/>
    <sheet name="REV. ACAB" sheetId="46" state="visible" r:id="rId48"/>
    <sheet name="PAVIMENTAÇÃO" sheetId="47" state="visible" r:id="rId49"/>
    <sheet name="REV. FACHADA" sheetId="48" state="visible" r:id="rId50"/>
    <sheet name="FORRO" sheetId="49" state="visible" r:id="rId51"/>
    <sheet name="LOUÇAS" sheetId="50" state="visible" r:id="rId52"/>
    <sheet name="PINTURA" sheetId="51" state="visible" r:id="rId53"/>
    <sheet name="PAISAGISMO" sheetId="52" state="visible" r:id="rId54"/>
    <sheet name="LIMPEZA" sheetId="53" state="visible" r:id="rId5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Mês do relatório = mês seguinte à data de corte.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63" authorId="0">
      <text>
        <r>
          <rPr>
            <sz val="10"/>
            <rFont val="Arial"/>
            <family val="2"/>
          </rPr>
          <t xml:space="preserve">Fonte: Ed. Botânico - Medição Financeira - Prep Set.26 (PAINEL D95/D97). O ajuste (coluna G) entra no mês da medição (08/2026) na aba MODELO PARA BI (linha AJUSTE DE CONCILIAÇÃO): R$ na curva em R$ e INCC no total em INCC. Como a meta de cada PL já é o custo total (incorrido + saldo), o mesmo INCC sai do saldo futuro das PLs (linha 65): sem dupla contagem.</t>
        </r>
      </text>
    </comment>
    <comment ref="F65" authorId="0">
      <text>
        <r>
          <rPr>
            <sz val="10"/>
            <rFont val="Arial"/>
            <family val="2"/>
          </rPr>
          <t xml:space="preserve">Soma dos saldos positivos das PLs (meta − incorrido do ERP, em INCC).</t>
        </r>
      </text>
    </comment>
    <comment ref="G10" authorId="0">
      <text>
        <r>
          <rPr>
            <sz val="10"/>
            <rFont val="Arial"/>
            <family val="2"/>
          </rPr>
          <t xml:space="preserve">Valor em INCC do orçamento, copiado da aba VALOR POR PL da planilha original da obra (nas obras novas: orçamento em R$ ÷ INCC base).</t>
        </r>
      </text>
    </comment>
    <comment ref="G65" authorId="0">
      <text>
        <r>
          <rPr>
            <sz val="10"/>
            <rFont val="Arial"/>
            <family val="2"/>
          </rPr>
          <t xml:space="preserve">Fator aplicado ao saldo em INCC de cada PL (aba da PL, K10) = 1 − ajuste em INCC ÷ soma dos saldos. O incorrido que a medição tem a mais que o ERP já está dentro da meta das PLs; por isso sai do saldo a distribuir.</t>
        </r>
      </text>
    </comment>
    <comment ref="H6" authorId="0">
      <text>
        <r>
          <rPr>
            <sz val="10"/>
            <rFont val="Arial"/>
            <family val="2"/>
          </rPr>
          <t xml:space="preserve">Índice usado para converter o orçamento (coluna F) em INCC (coluna G). Valor do arquivo original.</t>
        </r>
      </text>
    </comment>
    <comment ref="H10" authorId="0">
      <text>
        <r>
          <rPr>
            <sz val="10"/>
            <rFont val="Arial"/>
            <family val="2"/>
          </rPr>
          <t xml:space="preserve"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  </r>
      </text>
    </comment>
    <comment ref="K5" authorId="0">
      <text>
        <r>
          <rPr>
            <sz val="10"/>
            <rFont val="Arial"/>
            <family val="2"/>
          </rPr>
          <t xml:space="preserve">Último mês com realizado fechado. Meses até aqui = INCORRIDO; depois = PREVISÃO calculada. Original: 'INCORRIDO ATÉ -&gt; AGO/2026'.</t>
        </r>
      </text>
    </comment>
    <comment ref="K6" authorId="0">
      <text>
        <r>
          <rPr>
            <sz val="10"/>
            <rFont val="Arial"/>
            <family val="2"/>
          </rPr>
          <t xml:space="preserve">1º mês do horizonte (72 meses). Todo o realizado anterior entra acumulado neste mês ('Acu até').</t>
        </r>
      </text>
    </comment>
    <comment ref="K7" authorId="0">
      <text>
        <r>
          <rPr>
            <sz val="10"/>
            <rFont val="Arial"/>
            <family val="2"/>
          </rPr>
          <t xml:space="preserve">Itens DIRETOS com avanço físico realizado (Prevision, no mês de corte) abaixo deste limite usam a curva do Prevision para distribuir o saldo. Regra definida pelo usuário.</t>
        </r>
      </text>
    </comment>
    <comment ref="K8" authorId="0">
      <text>
        <r>
          <rPr>
            <sz val="10"/>
            <rFont val="Arial"/>
            <family val="2"/>
          </rPr>
          <t xml:space="preserve"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  </r>
      </text>
    </comment>
    <comment ref="L10" authorId="0">
      <text>
        <r>
          <rPr>
            <sz val="10"/>
            <rFont val="Arial"/>
            <family val="2"/>
          </rPr>
          <t xml:space="preserve">Calculada: incorrido em R$ + (meta em INCC − incorrido em INCC) × INCC do corte. O controle da obra é em INCC: a distribuição de cada PL soma a coluna H.</t>
        </r>
      </text>
    </comment>
    <comment ref="Q10" authorId="0">
      <text>
        <r>
          <rPr>
            <sz val="10"/>
            <rFont val="Arial"/>
            <family val="2"/>
          </rPr>
          <t xml:space="preserve">Código do PL no cronograma do Prevision (coluna B da aba CURVA PREVISION). Normalmente igual ao código do orçamento; mude quando o Prevision numerar diferente.</t>
        </r>
      </text>
    </comment>
    <comment ref="R10" authorId="0">
      <text>
        <r>
          <rPr>
            <sz val="10"/>
            <rFont val="Arial"/>
            <family val="2"/>
          </rPr>
          <t xml:space="preserve">Opcional. Código de outro item do Prevision cuja curva PREVISTA este PL deve seguir (ex.: hidráulica com o andamento da elétrica). Vazio = usa a própria linha. O realizado continua o do próprio PL.</t>
        </r>
      </text>
    </comment>
    <comment ref="S10" authorId="0">
      <text>
        <r>
          <rPr>
            <sz val="10"/>
            <rFont val="Arial"/>
            <family val="2"/>
          </rPr>
          <t xml:space="preserve">Reorçamento (projeção) da PL: meta em INCC = INCC do orçamento × fator. Fator = projeção ÷ orçamento, os dois na mesma base de reajuste (planilha de medição financeira, aba ANÁLISE IEC: coluna W ÷ coluna H). Vazio = 1 (sem reorçamento).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Mês do INCC usado para converter INCC em R$. Por padrão acompanha a data de corte; pode digitar outro mês. Se o índice do mês não estiver cadastrado, usa o último disponível.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8" authorId="0">
      <text>
        <r>
          <rPr>
            <sz val="10"/>
            <rFont val="Arial"/>
            <family val="2"/>
          </rPr>
          <t xml:space="preserve">Incorrido informado pela medição financeira − incorrido do ERP (VALOR POR PL, linhas 63-64), lançado em 08/2026 (mês da medição).</t>
        </r>
      </text>
    </comment>
    <comment ref="C59" authorId="0">
      <text>
        <r>
          <rPr>
            <sz val="10"/>
            <rFont val="Arial"/>
            <family val="2"/>
          </rPr>
          <t xml:space="preserve">Orçamento em INCC (VALOR POR PL!G50) − soma distribuída nas PLs (projeções). Lançada em 06/2030; no fluxo em R$ entra pelo INCC do corte. Variação negativa (projeções acima do orçamento) não gera contingência: fica zero.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Z4" authorId="0">
      <text>
        <r>
          <rPr>
            <sz val="10"/>
            <rFont val="Arial"/>
            <family val="2"/>
          </rPr>
          <t xml:space="preserve">Realizado até o 1º mês do horizonte (coluna D, 'Acu até'), convertido em INCC pelo índice de CADA mês em que foi pago (aba INCC-FGV). É o valor usado na linha 'Acu até' das abas de disciplina.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4" authorId="0">
      <text>
        <r>
          <rPr>
            <sz val="10"/>
            <rFont val="Arial"/>
            <family val="2"/>
          </rPr>
          <t xml:space="preserve">PREVISÃO INFORMADA ligada à aba AUX.ESTRUTURA (quantitativos por trecho/pavimento × datas do cronograma de atividades). Para digitar à mão, apague a configuração aux_estrutura da obra.</t>
        </r>
      </text>
    </commen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Z41" authorId="0">
      <text>
        <r>
          <rPr>
            <sz val="10"/>
            <rFont val="Arial"/>
            <family val="2"/>
          </rPr>
          <t xml:space="preserve">A aba ESTRUTURA usa esta linha como PREVISÃO INFORMADA (peso da distribuição do saldo nos meses futuros).</t>
        </r>
      </text>
    </comment>
  </commentList>
</comments>
</file>

<file path=xl/comments3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  <comment ref="K28" authorId="0">
      <text>
        <r>
          <rPr>
            <sz val="10"/>
            <rFont val="Arial"/>
            <family val="2"/>
          </rPr>
          <t xml:space="preserve">Premissa: 'Louças e metais: 40 a 180 dias no pedido'. Usado o prazo máximo (180 dias), cenário mais conservador para o caixa. Altere se o fornecedor tiver outro prazo.</t>
        </r>
      </text>
    </comment>
    <comment ref="K29" authorId="0">
      <text>
        <r>
          <rPr>
            <sz val="10"/>
            <rFont val="Arial"/>
            <family val="2"/>
          </rPr>
          <t xml:space="preserve">Premissa: 'pagto - 28/56/84' (3 parcelas iguais contadas da data do pedido).</t>
        </r>
      </text>
    </comment>
  </commentList>
</comments>
</file>

<file path=xl/comments5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sharedStrings.xml><?xml version="1.0" encoding="utf-8"?>
<sst xmlns="http://schemas.openxmlformats.org/spreadsheetml/2006/main" count="14278" uniqueCount="3041">
  <si>
    <t xml:space="preserve">Fluxo de caixa da obra — mesmas abas do MODELO 05, agora com cálculo automático</t>
  </si>
  <si>
    <t xml:space="preserve">O que mudou em relação ao modelo original</t>
  </si>
  <si>
    <t xml:space="preserve">• As abas são as mesmas. A diferença é que nada precisa de ajuste manual: em cada aba de disciplina, o saldo</t>
  </si>
  <si>
    <t xml:space="preserve">  (META EM INCC − INCORRIDO EM INCC) é distribuído nos meses futuros e convertido em R$ pelo INCC do corte; a linha DIFERENÇA fica zerada.</t>
  </si>
  <si>
    <t xml:space="preserve">• A coluna PREVISÃO (R$) agora é calculada. O que você digitava nela vai na coluna H 'PREVISÃO INFORMADA' e vira o peso</t>
  </si>
  <si>
    <t xml:space="preserve">  de cada mês. Se a soma do que você digitou não fechar com o saldo, a ferramenta reescala (mostra o % de ajuste em K15).</t>
  </si>
  <si>
    <t xml:space="preserve">• Regra da curva (célula K16 de cada aba): itens DIRETOS com avanço físico realizado no Prevision abaixo do limite</t>
  </si>
  <si>
    <t xml:space="preserve">  (VALOR POR PL!K7, hoje 10%) seguem a CURVA DO PREVISION (colunas M a O da aba). Os demais usam a coluna H;</t>
  </si>
  <si>
    <t xml:space="preserve">  sem coluna H, também usam o Prevision. Para forçar uma fonte numa aba, use a célula K15.</t>
  </si>
  <si>
    <t xml:space="preserve">• DADOS HISTORICOS localiza cada grupo do ERP pelo NOME e cada mês pela DATA do cabeçalho (antes era por posição).</t>
  </si>
  <si>
    <t xml:space="preserve">Atualização mensal</t>
  </si>
  <si>
    <t xml:space="preserve">1. "INCC-FGV": acrescente o índice do mês (mês no formato 01/mm/aaaa).</t>
  </si>
  <si>
    <t xml:space="preserve">2. VALOR POR PL: mude a DATA DE CORTE (K5) para o último mês com realizado fechado. A meta de cada PL é em INCC (coluna H); a projeção em R$ (coluna L) é calculada.</t>
  </si>
  <si>
    <t xml:space="preserve">3. DADOS BRUTOS: cole a tabela dinâmica do ERP a partir da célula A1 (mesmo formato de sempre: grupos nas linhas, meses nas colunas).</t>
  </si>
  <si>
    <t xml:space="preserve">   Grupo destacado em vermelho = nome que não existe em DADOS HISTORICOS (colunas B/C). Cadastre-o ou coloque na lista de ignorados.</t>
  </si>
  <si>
    <t xml:space="preserve">4. CURVA PREVISION: cole o export do Prevision a partir da célula A1 (opcional — só é usado quando a coluna H da disciplina está vazia).</t>
  </si>
  <si>
    <t xml:space="preserve">5. Abas de disciplina: se quiser, digite a previsão por mês na coluna H (meses futuros).</t>
  </si>
  <si>
    <t xml:space="preserve">6. VALOR POR PL, coluna N e bloco CONFERÊNCIA GERAL: tudo deve estar 'OK'.</t>
  </si>
  <si>
    <t xml:space="preserve">7. RETRATO 2027: escolha o ano em D5 e o INCC em F5. As observações vêm da aba CRONOGRAMA ATIVIDADES (cole ali o export de atividades do Prevision).</t>
  </si>
  <si>
    <t xml:space="preserve">Convenção de cores</t>
  </si>
  <si>
    <t xml:space="preserve">Texto azul = entrada (editar)</t>
  </si>
  <si>
    <t xml:space="preserve">Texto preto = fórmula (não editar)</t>
  </si>
  <si>
    <t xml:space="preserve">Texto verde = puxa de outra aba (não editar)</t>
  </si>
  <si>
    <t xml:space="preserve">Fundo amarelo = parâmetro principal</t>
  </si>
  <si>
    <t xml:space="preserve">Linhas cinza nas abas de disciplina = meses já realizados (até a data de corte)</t>
  </si>
  <si>
    <t xml:space="preserve">Diferenças de abas em relação ao original</t>
  </si>
  <si>
    <t xml:space="preserve">• Novas: LEIA-ME, SEGUROS e LIG. PROVISÓRIAS (essas duas disciplinas tinham projeção e realizado no ERP, mas nenhuma aba de distribuição).</t>
  </si>
  <si>
    <t xml:space="preserve">• Removida: Planilha1 (era uma cópia com valores fixos do MODELO PARA BI).</t>
  </si>
  <si>
    <t xml:space="preserve">• Tabela, PREMISSAS e AUX.ESTRUTURA foram copiadas como estavam (somente valores), para consulta.</t>
  </si>
  <si>
    <t xml:space="preserve">PROJEÇÃO TOTAL</t>
  </si>
  <si>
    <t xml:space="preserve">REALIZADO ATÉ O CORTE</t>
  </si>
  <si>
    <t xml:space="preserve">SALDO A REALIZAR</t>
  </si>
  <si>
    <t xml:space="preserve">CONFERÊNCIA</t>
  </si>
  <si>
    <t xml:space="preserve">com contingência</t>
  </si>
  <si>
    <t xml:space="preserve">realizado + previsto</t>
  </si>
  <si>
    <t xml:space="preserve">após a data de corte</t>
  </si>
  <si>
    <t xml:space="preserve">detalhes em VALOR POR PL</t>
  </si>
  <si>
    <t xml:space="preserve">DESEMBOLSO ANUAL (R$ MILHÕES)</t>
  </si>
  <si>
    <t xml:space="preserve">REALIZADO (ATUAL)</t>
  </si>
  <si>
    <t xml:space="preserve">COMPOSIÇÃO DO ANO</t>
  </si>
  <si>
    <t xml:space="preserve">Ano</t>
  </si>
  <si>
    <t xml:space="preserve">Anual
R$</t>
  </si>
  <si>
    <t xml:space="preserve">Acumulado
R$</t>
  </si>
  <si>
    <t xml:space="preserve">Anual
%</t>
  </si>
  <si>
    <t xml:space="preserve">Acumulado
%</t>
  </si>
  <si>
    <t xml:space="preserve">Realizado
R$</t>
  </si>
  <si>
    <t xml:space="preserve">A realizar
R$</t>
  </si>
  <si>
    <t xml:space="preserve">TOTAL</t>
  </si>
  <si>
    <t xml:space="preserve">Linha destacada = ano do retrato (RETRATO 2027!D5).  Realizado = até a data de corte; a realizar = previsto depois dela.</t>
  </si>
  <si>
    <t xml:space="preserve">Grupo</t>
  </si>
  <si>
    <t xml:space="preserve">R$</t>
  </si>
  <si>
    <t xml:space="preserve">% do ano</t>
  </si>
  <si>
    <t xml:space="preserve">Avanço
financeiro</t>
  </si>
  <si>
    <t xml:space="preserve">Indiretos (01 a 11)</t>
  </si>
  <si>
    <t xml:space="preserve">Infraestrutura (12 a 16)</t>
  </si>
  <si>
    <t xml:space="preserve">Estrutura (17)</t>
  </si>
  <si>
    <t xml:space="preserve">Vedações, instalações e elevadores (18 a 24)</t>
  </si>
  <si>
    <t xml:space="preserve">Acabamentos (25 a 37)</t>
  </si>
  <si>
    <t xml:space="preserve">Taxa de administração</t>
  </si>
  <si>
    <t xml:space="preserve">Avanço financeiro = acumulado até dezembro do ano ÷ projeção.</t>
  </si>
  <si>
    <t xml:space="preserve">CURVA S — % ACUMULADO DA PROJEÇÃO</t>
  </si>
  <si>
    <t xml:space="preserve">ITEM</t>
  </si>
  <si>
    <t xml:space="preserve">Acu até Dez/24</t>
  </si>
  <si>
    <t xml:space="preserve">PROJETOS</t>
  </si>
  <si>
    <t xml:space="preserve">SEGUROS</t>
  </si>
  <si>
    <t xml:space="preserve"> </t>
  </si>
  <si>
    <t xml:space="preserve">TAXAS DIVERSAS</t>
  </si>
  <si>
    <t xml:space="preserve">BARRACAO DE OBRA</t>
  </si>
  <si>
    <t xml:space="preserve">LIGAÇÕES PROVISÓRIAS ÁGUA, ENERGIA</t>
  </si>
  <si>
    <t xml:space="preserve">CONSULTORIAS (OBRAS)</t>
  </si>
  <si>
    <t xml:space="preserve">CONSUMO DE ÁGUA, ENERGIA, ETC.</t>
  </si>
  <si>
    <t xml:space="preserve">TERRAPLENAGEM</t>
  </si>
  <si>
    <t xml:space="preserve">CONTENÇÃO</t>
  </si>
  <si>
    <t xml:space="preserve">FUNDAÇÃO PROFUNDA</t>
  </si>
  <si>
    <t xml:space="preserve">FUNDAÇÃO SUPERFICIAL</t>
  </si>
  <si>
    <t xml:space="preserve">EQUIPAMENTOS DE PROTEÇÃO COLETIVA</t>
  </si>
  <si>
    <t xml:space="preserve">ESTRUTURA EM CONCRETO ARMADO</t>
  </si>
  <si>
    <t xml:space="preserve">INSTALAÇÕES ELÉTRICAS</t>
  </si>
  <si>
    <t xml:space="preserve">EQUIPAMENTOS E FERRAMENTAS</t>
  </si>
  <si>
    <t xml:space="preserve">TRANSPORTES</t>
  </si>
  <si>
    <t xml:space="preserve">TAXA DE ADMINISTRAÇÃO</t>
  </si>
  <si>
    <t xml:space="preserve">SERVIÇOS INICIAIS</t>
  </si>
  <si>
    <t xml:space="preserve">MÃO DE OBRA PRÓPRIA</t>
  </si>
  <si>
    <t xml:space="preserve">DIVERSOS</t>
  </si>
  <si>
    <t xml:space="preserve">REEMBOLSO MATERIAIS E SERVIÇOS</t>
  </si>
  <si>
    <t xml:space="preserve">SEGURANÇA DO TRABALHO</t>
  </si>
  <si>
    <t xml:space="preserve">TOPOGRAFIA</t>
  </si>
  <si>
    <t xml:space="preserve">CONDICIONANTES AMBIENTAIS</t>
  </si>
  <si>
    <t xml:space="preserve">Total do BI</t>
  </si>
  <si>
    <t xml:space="preserve">ORÇAMENTO SET/25 - BOTÂNICO</t>
  </si>
  <si>
    <t xml:space="preserve">ACOMPANHAMENTO IEC</t>
  </si>
  <si>
    <t xml:space="preserve">INCC 10-25</t>
  </si>
  <si>
    <t xml:space="preserve">INCC BASE DO ORÇAMENTO</t>
  </si>
  <si>
    <t xml:space="preserve">DATA DE CORTE -&gt;</t>
  </si>
  <si>
    <t xml:space="preserve">Corte (1º dia do mês)</t>
  </si>
  <si>
    <t xml:space="preserve">ORÇ EM INCC</t>
  </si>
  <si>
    <t xml:space="preserve">INÍCIO DO FLUXO -&gt;</t>
  </si>
  <si>
    <t xml:space="preserve">Início (1º dia do mês)</t>
  </si>
  <si>
    <t xml:space="preserve">ORÇ 10-25</t>
  </si>
  <si>
    <t xml:space="preserve">LIMITE DE AVANÇO FÍSICO P/ USAR PREVISION -&gt;</t>
  </si>
  <si>
    <t xml:space="preserve">INCC no mês de corte</t>
  </si>
  <si>
    <t xml:space="preserve">SUBTOTAL</t>
  </si>
  <si>
    <t xml:space="preserve">CENÁRIO DAS CURVAS -&gt;</t>
  </si>
  <si>
    <t xml:space="preserve">PADRÃO</t>
  </si>
  <si>
    <t xml:space="preserve">Último mês do horizonte</t>
  </si>
  <si>
    <t xml:space="preserve">Obra</t>
  </si>
  <si>
    <t xml:space="preserve">BOTÂNICO</t>
  </si>
  <si>
    <t xml:space="preserve">CPU</t>
  </si>
  <si>
    <t xml:space="preserve">CÓDIGO</t>
  </si>
  <si>
    <t xml:space="preserve">DESCRIÇÃO / SERVIÇO</t>
  </si>
  <si>
    <t xml:space="preserve">PESO DO ORÇAMENTO</t>
  </si>
  <si>
    <t xml:space="preserve">VALOR EM R$
(orçamento base)</t>
  </si>
  <si>
    <t xml:space="preserve">VALOR EM INCC
(orçamento)</t>
  </si>
  <si>
    <t xml:space="preserve">META EM INCC
(soma da
distribuição)</t>
  </si>
  <si>
    <t xml:space="preserve">TIPO</t>
  </si>
  <si>
    <t xml:space="preserve">PL</t>
  </si>
  <si>
    <t xml:space="preserve">ORÇAMENTO REAJUSTADO
(INCC do corte)</t>
  </si>
  <si>
    <t xml:space="preserve">PROJEÇÃO (R$)</t>
  </si>
  <si>
    <t xml:space="preserve">VARIAÇÃO</t>
  </si>
  <si>
    <t xml:space="preserve">FONTE DA CURVA</t>
  </si>
  <si>
    <t xml:space="preserve">AVANÇO FÍSICO
(Prevision, corte)</t>
  </si>
  <si>
    <t xml:space="preserve">CÓD. NO
PREVISION</t>
  </si>
  <si>
    <t xml:space="preserve">CURVA PREVISTA
DE OUTRO PL
(cód. Prevision)</t>
  </si>
  <si>
    <t xml:space="preserve">FATOR DA
PROJEÇÃO
(reorçamento)</t>
  </si>
  <si>
    <t xml:space="preserve">PL001.001</t>
  </si>
  <si>
    <t xml:space="preserve">01</t>
  </si>
  <si>
    <t xml:space="preserve">INDIRETO</t>
  </si>
  <si>
    <t xml:space="preserve">PL350.001</t>
  </si>
  <si>
    <t xml:space="preserve">02</t>
  </si>
  <si>
    <t xml:space="preserve">SEGURO DE OBRA </t>
  </si>
  <si>
    <t xml:space="preserve">PL001.016</t>
  </si>
  <si>
    <t xml:space="preserve">03</t>
  </si>
  <si>
    <t xml:space="preserve">PL010.005</t>
  </si>
  <si>
    <t xml:space="preserve">04</t>
  </si>
  <si>
    <t xml:space="preserve">PL020.004</t>
  </si>
  <si>
    <t xml:space="preserve">05</t>
  </si>
  <si>
    <t xml:space="preserve">LIGAÇÕES PROVISÓRIAS AGUA, ENERGIA,TELEFONIA, ESGOTO</t>
  </si>
  <si>
    <t xml:space="preserve">LIGAÇÕES PROVISÓRIAS AGUA, ESGOTO, ENERGIA,TELEFONE, INTERNET</t>
  </si>
  <si>
    <t xml:space="preserve">PL020.005</t>
  </si>
  <si>
    <t xml:space="preserve">06</t>
  </si>
  <si>
    <t xml:space="preserve">CONSUMO DE ÁGUA, ENERGIA, TELEFONE, INTERNET</t>
  </si>
  <si>
    <t xml:space="preserve">PL310.007</t>
  </si>
  <si>
    <t xml:space="preserve">07</t>
  </si>
  <si>
    <t xml:space="preserve">PL570.001</t>
  </si>
  <si>
    <t xml:space="preserve">08</t>
  </si>
  <si>
    <t xml:space="preserve">FRETES E TRANSPORTES</t>
  </si>
  <si>
    <t xml:space="preserve">PL001.051</t>
  </si>
  <si>
    <t xml:space="preserve">09</t>
  </si>
  <si>
    <t xml:space="preserve">PL700.001</t>
  </si>
  <si>
    <t xml:space="preserve">10</t>
  </si>
  <si>
    <t xml:space="preserve">PL530.001</t>
  </si>
  <si>
    <t xml:space="preserve">11</t>
  </si>
  <si>
    <t xml:space="preserve">PL010.022</t>
  </si>
  <si>
    <t xml:space="preserve">12</t>
  </si>
  <si>
    <t xml:space="preserve">DIRETO</t>
  </si>
  <si>
    <t xml:space="preserve">PL001.023</t>
  </si>
  <si>
    <t xml:space="preserve">13</t>
  </si>
  <si>
    <t xml:space="preserve">CONTENÇÕES </t>
  </si>
  <si>
    <t xml:space="preserve">PL040.001</t>
  </si>
  <si>
    <t xml:space="preserve">14</t>
  </si>
  <si>
    <t xml:space="preserve">PL050.004</t>
  </si>
  <si>
    <t xml:space="preserve">15</t>
  </si>
  <si>
    <t xml:space="preserve">PL060.004</t>
  </si>
  <si>
    <t xml:space="preserve">16</t>
  </si>
  <si>
    <t xml:space="preserve">PL100.011</t>
  </si>
  <si>
    <t xml:space="preserve">17</t>
  </si>
  <si>
    <t xml:space="preserve">PL120.001</t>
  </si>
  <si>
    <t xml:space="preserve">18</t>
  </si>
  <si>
    <t xml:space="preserve">ALVENARIA</t>
  </si>
  <si>
    <t xml:space="preserve">PL140.004</t>
  </si>
  <si>
    <t xml:space="preserve">19</t>
  </si>
  <si>
    <t xml:space="preserve">IMPERMEABILIZAÇÃO</t>
  </si>
  <si>
    <t xml:space="preserve">PL110.018</t>
  </si>
  <si>
    <t xml:space="preserve">20</t>
  </si>
  <si>
    <t xml:space="preserve">INSTALAÇÕES ELÉTRICAS </t>
  </si>
  <si>
    <t xml:space="preserve">PL110.007</t>
  </si>
  <si>
    <t xml:space="preserve">21</t>
  </si>
  <si>
    <t xml:space="preserve">INSTALAÇÕES HIDROSANITÁRIAS</t>
  </si>
  <si>
    <t xml:space="preserve">PL110.017</t>
  </si>
  <si>
    <t xml:space="preserve">22</t>
  </si>
  <si>
    <t xml:space="preserve">INSTALAÇÕES COMBATE INCÊNDIO</t>
  </si>
  <si>
    <t xml:space="preserve">PL110.027</t>
  </si>
  <si>
    <t xml:space="preserve">23</t>
  </si>
  <si>
    <t xml:space="preserve">INSTALAÇÕES ESPECIAIS</t>
  </si>
  <si>
    <t xml:space="preserve">PL220.002</t>
  </si>
  <si>
    <t xml:space="preserve">24</t>
  </si>
  <si>
    <t xml:space="preserve">ELEVADORES</t>
  </si>
  <si>
    <t xml:space="preserve">ELEVADORES </t>
  </si>
  <si>
    <t xml:space="preserve">PL250.001</t>
  </si>
  <si>
    <t xml:space="preserve">25</t>
  </si>
  <si>
    <t xml:space="preserve">ESQUADRIAS</t>
  </si>
  <si>
    <t xml:space="preserve">ESQUADRIAS </t>
  </si>
  <si>
    <t xml:space="preserve">PL240.000</t>
  </si>
  <si>
    <t xml:space="preserve">26</t>
  </si>
  <si>
    <t xml:space="preserve">SERRALHERIA</t>
  </si>
  <si>
    <t xml:space="preserve">PL240.020</t>
  </si>
  <si>
    <t xml:space="preserve">27</t>
  </si>
  <si>
    <t xml:space="preserve">MARCENARIA</t>
  </si>
  <si>
    <t xml:space="preserve">PL160.001</t>
  </si>
  <si>
    <t xml:space="preserve">28</t>
  </si>
  <si>
    <t xml:space="preserve">REVESTIMENTOS DE MASSA EM PISOS</t>
  </si>
  <si>
    <t xml:space="preserve">PL150.001</t>
  </si>
  <si>
    <t xml:space="preserve">29</t>
  </si>
  <si>
    <t xml:space="preserve">REVESTIMENTOS DE MASSA EM PAREDES</t>
  </si>
  <si>
    <t xml:space="preserve">PL170.004</t>
  </si>
  <si>
    <t xml:space="preserve">30</t>
  </si>
  <si>
    <t xml:space="preserve">REVESTIMENTOS DE ACABAMENTO</t>
  </si>
  <si>
    <t xml:space="preserve">PL320.001</t>
  </si>
  <si>
    <t xml:space="preserve">31</t>
  </si>
  <si>
    <t xml:space="preserve">PAVIMENTAÇÃO</t>
  </si>
  <si>
    <t xml:space="preserve">PAVIMENTÇÃO</t>
  </si>
  <si>
    <t xml:space="preserve">PL190.003</t>
  </si>
  <si>
    <t xml:space="preserve">32</t>
  </si>
  <si>
    <t xml:space="preserve">REVESTIMENTO DIVERSOS - FACHADA</t>
  </si>
  <si>
    <t xml:space="preserve">PL180.001</t>
  </si>
  <si>
    <t xml:space="preserve">33</t>
  </si>
  <si>
    <t xml:space="preserve">FORRO</t>
  </si>
  <si>
    <t xml:space="preserve">FORROS DIVERSOS</t>
  </si>
  <si>
    <t xml:space="preserve">PL290.002</t>
  </si>
  <si>
    <t xml:space="preserve">34</t>
  </si>
  <si>
    <t xml:space="preserve">LOUÇAS SANITÁRIAS</t>
  </si>
  <si>
    <t xml:space="preserve">LOUÇAS E METAIS</t>
  </si>
  <si>
    <t xml:space="preserve">PL280.003</t>
  </si>
  <si>
    <t xml:space="preserve">35</t>
  </si>
  <si>
    <t xml:space="preserve">PINTURA</t>
  </si>
  <si>
    <t xml:space="preserve">PINTURAS</t>
  </si>
  <si>
    <t xml:space="preserve">PL330.002</t>
  </si>
  <si>
    <t xml:space="preserve">36</t>
  </si>
  <si>
    <t xml:space="preserve">PAISAGISMO</t>
  </si>
  <si>
    <t xml:space="preserve">PL360.001</t>
  </si>
  <si>
    <t xml:space="preserve">37</t>
  </si>
  <si>
    <t xml:space="preserve">LIMPEZA FINAL DE OBRA</t>
  </si>
  <si>
    <t xml:space="preserve">38</t>
  </si>
  <si>
    <t xml:space="preserve">00</t>
  </si>
  <si>
    <t xml:space="preserve">TOTAIS (sem taxa de adm.)</t>
  </si>
  <si>
    <t xml:space="preserve">TOTAL COM TAXA DE ADMINISTRAÇÃO</t>
  </si>
  <si>
    <t xml:space="preserve">CONFERÊNCIA GERAL</t>
  </si>
  <si>
    <t xml:space="preserve">RESULTADO</t>
  </si>
  <si>
    <t xml:space="preserve">STATUS</t>
  </si>
  <si>
    <t xml:space="preserve">Disciplinas com pendência (coluna N)</t>
  </si>
  <si>
    <t xml:space="preserve">Grupos do ERP sem correspondência</t>
  </si>
  <si>
    <t xml:space="preserve">Valores do ERP fora do horizonte (R$)</t>
  </si>
  <si>
    <t xml:space="preserve">INCC do mês de corte</t>
  </si>
  <si>
    <t xml:space="preserve">Meses realizados sem INCC</t>
  </si>
  <si>
    <t xml:space="preserve">Fluxo total − meta total (INCC)</t>
  </si>
  <si>
    <t xml:space="preserve">CONCILIAÇÃO COM A MEDIÇÃO FINANCEIRA (incorrido até 08/2026)</t>
  </si>
  <si>
    <t xml:space="preserve">INFORMADO
(medição)</t>
  </si>
  <si>
    <t xml:space="preserve">ERP
(ferramenta)</t>
  </si>
  <si>
    <t xml:space="preserve">AJUSTE
(informado − ERP)</t>
  </si>
  <si>
    <t xml:space="preserve">Incorrido (R$)</t>
  </si>
  <si>
    <t xml:space="preserve">Incorrido (INCC)</t>
  </si>
  <si>
    <t xml:space="preserve">Redução do saldo futuro das PLs (proporcional ao saldo)</t>
  </si>
  <si>
    <t xml:space="preserve">ANO DO RETRATO →</t>
  </si>
  <si>
    <t xml:space="preserve">INCC →</t>
  </si>
  <si>
    <t xml:space="preserve">SITUAÇÃO EM →</t>
  </si>
  <si>
    <t xml:space="preserve">DESEMBOLSO NO ANO (R$ NOMINAL)</t>
  </si>
  <si>
    <t xml:space="preserve">DESEMBOLSO NO ANO (INCC)</t>
  </si>
  <si>
    <t xml:space="preserve">EM R$ DO INCC SELECIONADO</t>
  </si>
  <si>
    <t xml:space="preserve">EXECUÇÃO FÍSICA NO FIM DO ANO</t>
  </si>
  <si>
    <t xml:space="preserve">AVANÇO FINANCEIRO</t>
  </si>
  <si>
    <t xml:space="preserve">MAIOR DESEMBOLSO DO ANO</t>
  </si>
  <si>
    <t xml:space="preserve">com taxa de administração</t>
  </si>
  <si>
    <t xml:space="preserve">pontos de índice</t>
  </si>
  <si>
    <t xml:space="preserve">INCC × índice do mês escolhido</t>
  </si>
  <si>
    <t xml:space="preserve">itens diretos, ponderado pela projeção</t>
  </si>
  <si>
    <t xml:space="preserve">acumulado no fim do ano</t>
  </si>
  <si>
    <t xml:space="preserve">Cód.</t>
  </si>
  <si>
    <t xml:space="preserve">PL / serviço</t>
  </si>
  <si>
    <t xml:space="preserve">Execução física
fim do ano
(Prevision)</t>
  </si>
  <si>
    <t xml:space="preserve">Execução física
no corte
(Prevision)</t>
  </si>
  <si>
    <t xml:space="preserve">Desembolso
no ano
R$ nominal</t>
  </si>
  <si>
    <t xml:space="preserve">Desembolso
no ano
INCC</t>
  </si>
  <si>
    <t xml:space="preserve">Desembolso no ano
R$ do INCC
selecionado</t>
  </si>
  <si>
    <t xml:space="preserve">% do
ano</t>
  </si>
  <si>
    <t xml:space="preserve">Avanço
financeiro
fim do ano</t>
  </si>
  <si>
    <t xml:space="preserve">Anotação do modelo anterior / justificativa</t>
  </si>
  <si>
    <t xml:space="preserve">01 a 11</t>
  </si>
  <si>
    <t xml:space="preserve">INDIRETOS</t>
  </si>
  <si>
    <t xml:space="preserve">12 a 16</t>
  </si>
  <si>
    <t xml:space="preserve">SERVIÇOS INICIAIS, CONTENÇÃO, TERRAPLENAGEM E FUNDAÇÕES</t>
  </si>
  <si>
    <t xml:space="preserve">ATÉ O COBERTURA - 32º PAVIMENTO</t>
  </si>
  <si>
    <t xml:space="preserve">ALVENARIA - ATÉ 27º PAVIMENTO / GESSO ACARTONADO - 2ª FACE - ATÉ 16º PAVIMENTO</t>
  </si>
  <si>
    <t xml:space="preserve">ATÉ O 15º PAVIMENTO</t>
  </si>
  <si>
    <t xml:space="preserve">INFRAESTRUTURA - ATÉ O 14º PAVIMENTO / FIAÇÃO - ATÉ O 10º PAVIMENTO</t>
  </si>
  <si>
    <t xml:space="preserve">INFRAESTRUTURA - ATÉ O 15º PAVIMENTO </t>
  </si>
  <si>
    <t xml:space="preserve">PRUMADA - ATÉ 28º PAVIMENTO</t>
  </si>
  <si>
    <t xml:space="preserve">RENOVAÇÃO DE AR - SUBSOLO</t>
  </si>
  <si>
    <t xml:space="preserve">APENAS DESEMBOLSO FINANCEIRO - MONTAGEM PARA 2028</t>
  </si>
  <si>
    <t xml:space="preserve">ATÉ O 21º PAVIMENTO</t>
  </si>
  <si>
    <t xml:space="preserve">ATÉ O 23º PAVIMENTO</t>
  </si>
  <si>
    <t xml:space="preserve">PAREDES - ATÉ O 15º PAVIMENTO / PISOS - ATÉ O 14º PAVIMENTO</t>
  </si>
  <si>
    <t xml:space="preserve">1ª ETAPA DE FACHADA - 70 % FINAIZADA</t>
  </si>
  <si>
    <t xml:space="preserve">ATÉ O 11º PAVIMENTO</t>
  </si>
  <si>
    <t xml:space="preserve">TRATAMENTO DE CONCRETO APARENTE</t>
  </si>
  <si>
    <t xml:space="preserve">DESEMBOLSO DO ANO (sem taxa de administração)</t>
  </si>
  <si>
    <t xml:space="preserve">DESEMBOLSO DO ANO COM TAXA DE ADMINISTRAÇÃO</t>
  </si>
  <si>
    <t xml:space="preserve"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</si>
  <si>
    <t xml:space="preserve">EXECUÇÃO FÍSICA PREVISTA NO FIM DO ANO (PREVISION)</t>
  </si>
  <si>
    <t xml:space="preserve">DESEMBOLSO NO ANO POR PL (R$ MILHÕES)</t>
  </si>
  <si>
    <t xml:space="preserve">COD EMPREENDIMENTO</t>
  </si>
  <si>
    <t xml:space="preserve">COD GRUPO 1</t>
  </si>
  <si>
    <t xml:space="preserve">GRUPO 1</t>
  </si>
  <si>
    <t xml:space="preserve">VALOR ORÇADO
(INCC)</t>
  </si>
  <si>
    <t xml:space="preserve">SOMA DA DISTRIBUIÇÃO
(INCC)</t>
  </si>
  <si>
    <t xml:space="preserve">VARIAÇÃO
(ORÇADO − DISTRIBUÍDO)</t>
  </si>
  <si>
    <t xml:space="preserve">G041.002</t>
  </si>
  <si>
    <t xml:space="preserve">1030-1070-280</t>
  </si>
  <si>
    <t xml:space="preserve">1030-1070-140</t>
  </si>
  <si>
    <t xml:space="preserve">1030-1070-160</t>
  </si>
  <si>
    <t xml:space="preserve">1030-1070-170</t>
  </si>
  <si>
    <t xml:space="preserve">1030-1070-190</t>
  </si>
  <si>
    <t xml:space="preserve">1030-1070-510</t>
  </si>
  <si>
    <t xml:space="preserve">DEMOLIÇÃO</t>
  </si>
  <si>
    <t xml:space="preserve">1030-1070-550</t>
  </si>
  <si>
    <t xml:space="preserve">DEVOLUÇÃO DE CAIXA DE OBRA</t>
  </si>
  <si>
    <t xml:space="preserve">1030-1070-560</t>
  </si>
  <si>
    <t xml:space="preserve">1030-1070-400</t>
  </si>
  <si>
    <t xml:space="preserve">1030-1070-450</t>
  </si>
  <si>
    <t xml:space="preserve">1030-1070-370</t>
  </si>
  <si>
    <t xml:space="preserve">1030-1070-230</t>
  </si>
  <si>
    <t xml:space="preserve">1030-1070-350</t>
  </si>
  <si>
    <t xml:space="preserve">1030-1070-200</t>
  </si>
  <si>
    <t xml:space="preserve">1030-1070-210</t>
  </si>
  <si>
    <t xml:space="preserve">1030-1070-290</t>
  </si>
  <si>
    <t xml:space="preserve">1030-1070-260</t>
  </si>
  <si>
    <t xml:space="preserve">1030-1070-240</t>
  </si>
  <si>
    <t xml:space="preserve">1030-1070-270</t>
  </si>
  <si>
    <t xml:space="preserve">1030-1070-250</t>
  </si>
  <si>
    <t xml:space="preserve">1030-1070-130</t>
  </si>
  <si>
    <t xml:space="preserve">LEVANTAMENTO TOPOGRÁFICO</t>
  </si>
  <si>
    <t xml:space="preserve">1030-1070-410</t>
  </si>
  <si>
    <t xml:space="preserve">1030-1070-440</t>
  </si>
  <si>
    <t xml:space="preserve">1030-1070-540</t>
  </si>
  <si>
    <t xml:space="preserve">1030-1070-430</t>
  </si>
  <si>
    <t xml:space="preserve">1030-1070-420</t>
  </si>
  <si>
    <t xml:space="preserve">1030-1070-390</t>
  </si>
  <si>
    <t xml:space="preserve">1030-1070-100</t>
  </si>
  <si>
    <t xml:space="preserve">1030-1070-570</t>
  </si>
  <si>
    <t xml:space="preserve">1030-1070-360</t>
  </si>
  <si>
    <t xml:space="preserve">1030-1070-490</t>
  </si>
  <si>
    <t xml:space="preserve">1030-1070-320</t>
  </si>
  <si>
    <t xml:space="preserve">1030-1070-300</t>
  </si>
  <si>
    <t xml:space="preserve">1030-1070-580</t>
  </si>
  <si>
    <t xml:space="preserve">REVESTIMENTOS DIVERSOS-FACHADA</t>
  </si>
  <si>
    <t xml:space="preserve">1030-1070-310</t>
  </si>
  <si>
    <t xml:space="preserve">REVESTIMENTOS DIVERSOS-PAREDE</t>
  </si>
  <si>
    <t xml:space="preserve">1030-1070-330</t>
  </si>
  <si>
    <t xml:space="preserve">REVESTIMENTOS DIVERSOS-PISOS</t>
  </si>
  <si>
    <t xml:space="preserve">1030-1070-340</t>
  </si>
  <si>
    <t xml:space="preserve">RODAPÉS/SOLEIRAS/PEITORIL/ADUELAS</t>
  </si>
  <si>
    <t xml:space="preserve">1030-1070-220</t>
  </si>
  <si>
    <t xml:space="preserve">1030-1070-110</t>
  </si>
  <si>
    <t xml:space="preserve">1030-1070-380</t>
  </si>
  <si>
    <t xml:space="preserve">1030-1070-150</t>
  </si>
  <si>
    <t xml:space="preserve">1030-1070-470</t>
  </si>
  <si>
    <t xml:space="preserve">1030-1070-180</t>
  </si>
  <si>
    <t xml:space="preserve">1030-1070-600</t>
  </si>
  <si>
    <t xml:space="preserve">1030-1070-460</t>
  </si>
  <si>
    <t xml:space="preserve">1030-1070-480</t>
  </si>
  <si>
    <t xml:space="preserve">ESTRUTURA EM COBERTURA METÁLICA</t>
  </si>
  <si>
    <t xml:space="preserve">1030-1070-500</t>
  </si>
  <si>
    <t xml:space="preserve">REFORÇO ESTRUTURAL</t>
  </si>
  <si>
    <t xml:space="preserve">1030-1070-530</t>
  </si>
  <si>
    <t xml:space="preserve">1030-1070-120</t>
  </si>
  <si>
    <t xml:space="preserve">1030-1070-590</t>
  </si>
  <si>
    <t xml:space="preserve">1030-1070-520</t>
  </si>
  <si>
    <t xml:space="preserve">1040-1110-115</t>
  </si>
  <si>
    <t xml:space="preserve">COMERCIAIS</t>
  </si>
  <si>
    <t xml:space="preserve">1040-1130-110</t>
  </si>
  <si>
    <t xml:space="preserve">INCORPORAÇÃO / LEGALIZAÇÃO</t>
  </si>
  <si>
    <t xml:space="preserve">1030-1090-100</t>
  </si>
  <si>
    <t xml:space="preserve">MEDIDAS COMPENSATÓRIAS</t>
  </si>
  <si>
    <t xml:space="preserve">1040-1110-130</t>
  </si>
  <si>
    <t xml:space="preserve">AJUSTE DE CONCILIAÇÃO (medição)</t>
  </si>
  <si>
    <t xml:space="preserve">CONTINGÊNCIA</t>
  </si>
  <si>
    <t xml:space="preserve">SOMA SEM TAXA DE ADM. (INCC)</t>
  </si>
  <si>
    <t xml:space="preserve">TAXA DE ADMINISTRAÇÃO (INCC)</t>
  </si>
  <si>
    <t xml:space="preserve">TOTAL (INCC)</t>
  </si>
  <si>
    <t xml:space="preserve">CURVA MENSAL (R$ nominal)</t>
  </si>
  <si>
    <t xml:space="preserve">CURVA ACUMULADA (R$ nominal)</t>
  </si>
  <si>
    <t xml:space="preserve">% ACUMULADO DA PROJEÇÃO</t>
  </si>
  <si>
    <t xml:space="preserve">Progresso mensal — curva inicial × realizado + previsto</t>
  </si>
  <si>
    <t xml:space="preserve">Mês</t>
  </si>
  <si>
    <t xml:space="preserve">Curva inicial
% mensal (informar)</t>
  </si>
  <si>
    <t xml:space="preserve">Curva inicial
% acumulado</t>
  </si>
  <si>
    <t xml:space="preserve">Realizado
(INCC)</t>
  </si>
  <si>
    <t xml:space="preserve">Previsto
(INCC)</t>
  </si>
  <si>
    <t xml:space="preserve">Atual
% mensal</t>
  </si>
  <si>
    <t xml:space="preserve">Atual
% acumulado</t>
  </si>
  <si>
    <t xml:space="preserve">Curva inicial
(INCC)</t>
  </si>
  <si>
    <t xml:space="preserve">Curva inicial
(R$)</t>
  </si>
  <si>
    <t xml:space="preserve">Atual
(R$ nominal)</t>
  </si>
  <si>
    <t xml:space="preserve">Atual acumulado
(R$ nominal)</t>
  </si>
  <si>
    <t xml:space="preserve">Inicial acumulado
(R$)</t>
  </si>
  <si>
    <t xml:space="preserve">Anotações (do arquivo original)</t>
  </si>
  <si>
    <t xml:space="preserve">Email 18/08/26 -&gt; O fluxo fechou o ano em R$ 22.800 Mi</t>
  </si>
  <si>
    <t xml:space="preserve">Meta do ano (no BI está somando com a permuta de dez/25)</t>
  </si>
  <si>
    <t xml:space="preserve">Meta do ano = 27.300 Mi + 0.300 permuta</t>
  </si>
  <si>
    <t xml:space="preserve">Meta corrigida em Mar/2026 --&gt; R$ 23.700 Mi</t>
  </si>
  <si>
    <t xml:space="preserve">Índice</t>
  </si>
  <si>
    <t xml:space="preserve">(%) mês</t>
  </si>
  <si>
    <t xml:space="preserve">(%) no ano</t>
  </si>
  <si>
    <t xml:space="preserve">(%) 12 meses</t>
  </si>
  <si>
    <t xml:space="preserve">Fonte: FGV (INCC-DI). Acrescente uma linha por mês.</t>
  </si>
  <si>
    <t xml:space="preserve">Cronograma físico financeiro do projeto Botânico exportado em 25/09/2026</t>
  </si>
  <si>
    <t xml:space="preserve">30/06/2025</t>
  </si>
  <si>
    <t xml:space="preserve">31/07/2025</t>
  </si>
  <si>
    <t xml:space="preserve">31/08/2025</t>
  </si>
  <si>
    <t xml:space="preserve">30/09/2025</t>
  </si>
  <si>
    <t xml:space="preserve">31/10/2025</t>
  </si>
  <si>
    <t xml:space="preserve">30/11/2025</t>
  </si>
  <si>
    <t xml:space="preserve">31/12/2025</t>
  </si>
  <si>
    <t xml:space="preserve">31/01/2026</t>
  </si>
  <si>
    <t xml:space="preserve">28/02/2026</t>
  </si>
  <si>
    <t xml:space="preserve">31/03/2026</t>
  </si>
  <si>
    <t xml:space="preserve">30/04/2026</t>
  </si>
  <si>
    <t xml:space="preserve">31/05/2026</t>
  </si>
  <si>
    <t xml:space="preserve">30/06/2026</t>
  </si>
  <si>
    <t xml:space="preserve">31/07/2026</t>
  </si>
  <si>
    <t xml:space="preserve">31/08/2026</t>
  </si>
  <si>
    <t xml:space="preserve">30/09/2026</t>
  </si>
  <si>
    <t xml:space="preserve">31/10/2026</t>
  </si>
  <si>
    <t xml:space="preserve">30/11/2026</t>
  </si>
  <si>
    <t xml:space="preserve">31/12/2026</t>
  </si>
  <si>
    <t xml:space="preserve">31/01/2027</t>
  </si>
  <si>
    <t xml:space="preserve">28/02/2027</t>
  </si>
  <si>
    <t xml:space="preserve">31/03/2027</t>
  </si>
  <si>
    <t xml:space="preserve">30/04/2027</t>
  </si>
  <si>
    <t xml:space="preserve">31/05/2027</t>
  </si>
  <si>
    <t xml:space="preserve">30/06/2027</t>
  </si>
  <si>
    <t xml:space="preserve">31/07/2027</t>
  </si>
  <si>
    <t xml:space="preserve">31/08/2027</t>
  </si>
  <si>
    <t xml:space="preserve">30/09/2027</t>
  </si>
  <si>
    <t xml:space="preserve">31/10/2027</t>
  </si>
  <si>
    <t xml:space="preserve">30/11/2027</t>
  </si>
  <si>
    <t xml:space="preserve">31/12/2027</t>
  </si>
  <si>
    <t xml:space="preserve">31/01/2028</t>
  </si>
  <si>
    <t xml:space="preserve">29/02/2028</t>
  </si>
  <si>
    <t xml:space="preserve">31/03/2028</t>
  </si>
  <si>
    <t xml:space="preserve">30/04/2028</t>
  </si>
  <si>
    <t xml:space="preserve">31/05/2028</t>
  </si>
  <si>
    <t xml:space="preserve">30/06/2028</t>
  </si>
  <si>
    <t xml:space="preserve">31/07/2028</t>
  </si>
  <si>
    <t xml:space="preserve">31/08/2028</t>
  </si>
  <si>
    <t xml:space="preserve">30/09/2028</t>
  </si>
  <si>
    <t xml:space="preserve">31/10/2028</t>
  </si>
  <si>
    <t xml:space="preserve">30/11/2028</t>
  </si>
  <si>
    <t xml:space="preserve">31/12/2028</t>
  </si>
  <si>
    <t xml:space="preserve">31/01/2029</t>
  </si>
  <si>
    <t xml:space="preserve">28/02/2029</t>
  </si>
  <si>
    <t xml:space="preserve">31/03/2029</t>
  </si>
  <si>
    <t xml:space="preserve">30/04/2029</t>
  </si>
  <si>
    <t xml:space="preserve">Nível</t>
  </si>
  <si>
    <t xml:space="preserve">Código EAP</t>
  </si>
  <si>
    <t xml:space="preserve">Descrição</t>
  </si>
  <si>
    <t xml:space="preserve">Início</t>
  </si>
  <si>
    <t xml:space="preserve">Fim</t>
  </si>
  <si>
    <t xml:space="preserve">Material (R$)</t>
  </si>
  <si>
    <t xml:space="preserve">Mão de obra (R$)</t>
  </si>
  <si>
    <t xml:space="preserve">Total (R$)</t>
  </si>
  <si>
    <t xml:space="preserve">Base</t>
  </si>
  <si>
    <t xml:space="preserve">Previsto</t>
  </si>
  <si>
    <t xml:space="preserve">Realizado</t>
  </si>
  <si>
    <t xml:space="preserve">-</t>
  </si>
  <si>
    <t xml:space="preserve">01.01</t>
  </si>
  <si>
    <t xml:space="preserve">Elaboração de Básicos e Executivos</t>
  </si>
  <si>
    <t xml:space="preserve">SEGURO DE OBRA</t>
  </si>
  <si>
    <t xml:space="preserve">02.01</t>
  </si>
  <si>
    <t xml:space="preserve">Seguro de obra</t>
  </si>
  <si>
    <t xml:space="preserve">03.01</t>
  </si>
  <si>
    <t xml:space="preserve">Despesas legais</t>
  </si>
  <si>
    <t xml:space="preserve">03.02</t>
  </si>
  <si>
    <t xml:space="preserve">Custos com vizinhos proveniente de danos causados pela execução da obra</t>
  </si>
  <si>
    <t xml:space="preserve">04.01</t>
  </si>
  <si>
    <t xml:space="preserve">Fechamento Lateral</t>
  </si>
  <si>
    <t xml:space="preserve">04.01.01</t>
  </si>
  <si>
    <t xml:space="preserve">Tapumes de telha metálica, acabamento em plotagem vinílica</t>
  </si>
  <si>
    <t xml:space="preserve">04.01.02</t>
  </si>
  <si>
    <t xml:space="preserve">Placas de Obra - ART padrão CREA</t>
  </si>
  <si>
    <t xml:space="preserve">04.02</t>
  </si>
  <si>
    <t xml:space="preserve">Implantação do Canteiro de obras - Fase 1</t>
  </si>
  <si>
    <t xml:space="preserve">04.02.01</t>
  </si>
  <si>
    <t xml:space="preserve">Escritórios</t>
  </si>
  <si>
    <t xml:space="preserve">04.02.02</t>
  </si>
  <si>
    <t xml:space="preserve">Banheiro/vestiário</t>
  </si>
  <si>
    <t xml:space="preserve">04.02.03</t>
  </si>
  <si>
    <t xml:space="preserve">Portaria / Chapeira de ponto</t>
  </si>
  <si>
    <t xml:space="preserve">04.02.04</t>
  </si>
  <si>
    <t xml:space="preserve">Refeitório / Cozinha</t>
  </si>
  <si>
    <t xml:space="preserve">04.02.05</t>
  </si>
  <si>
    <t xml:space="preserve">Almoxarifado (depósito)</t>
  </si>
  <si>
    <t xml:space="preserve">04.02.06</t>
  </si>
  <si>
    <t xml:space="preserve">Almoxarifado (área coberta externa)</t>
  </si>
  <si>
    <t xml:space="preserve">04.03</t>
  </si>
  <si>
    <t xml:space="preserve">Implantação do Canteiro de obras - Fase 2 (Transferência para dentro do edifício)</t>
  </si>
  <si>
    <t xml:space="preserve">04.03.01</t>
  </si>
  <si>
    <t xml:space="preserve">04.03.02</t>
  </si>
  <si>
    <t xml:space="preserve">04.03.03</t>
  </si>
  <si>
    <t xml:space="preserve">04.03.04</t>
  </si>
  <si>
    <t xml:space="preserve">04.04</t>
  </si>
  <si>
    <t xml:space="preserve">Instalações avancadas</t>
  </si>
  <si>
    <t xml:space="preserve">04.04.01</t>
  </si>
  <si>
    <t xml:space="preserve">Central de Armação</t>
  </si>
  <si>
    <t xml:space="preserve">04.04.02</t>
  </si>
  <si>
    <t xml:space="preserve">Central de Formas</t>
  </si>
  <si>
    <t xml:space="preserve">04.04.03</t>
  </si>
  <si>
    <t xml:space="preserve">Central de Argamassa</t>
  </si>
  <si>
    <t xml:space="preserve">04.04.04</t>
  </si>
  <si>
    <t xml:space="preserve">Extintores de Incêndio</t>
  </si>
  <si>
    <t xml:space="preserve">04.05</t>
  </si>
  <si>
    <t xml:space="preserve">Mobiliário para canteiro de obras</t>
  </si>
  <si>
    <t xml:space="preserve">04.05.01</t>
  </si>
  <si>
    <t xml:space="preserve">Escritório</t>
  </si>
  <si>
    <t xml:space="preserve">04.05.01.01</t>
  </si>
  <si>
    <t xml:space="preserve">Armário (arquivo)</t>
  </si>
  <si>
    <t xml:space="preserve">04.05.01.02</t>
  </si>
  <si>
    <t xml:space="preserve">Cadeira</t>
  </si>
  <si>
    <t xml:space="preserve">04.05.01.03</t>
  </si>
  <si>
    <t xml:space="preserve">Mesa</t>
  </si>
  <si>
    <t xml:space="preserve">04.05.01.04</t>
  </si>
  <si>
    <t xml:space="preserve">Mesa de reunião</t>
  </si>
  <si>
    <t xml:space="preserve">04.05.01.05</t>
  </si>
  <si>
    <t xml:space="preserve">Prateleira</t>
  </si>
  <si>
    <t xml:space="preserve">04.05.01.06</t>
  </si>
  <si>
    <t xml:space="preserve">Micro computador com impressora</t>
  </si>
  <si>
    <t xml:space="preserve">04.05.01.07</t>
  </si>
  <si>
    <t xml:space="preserve">Aparelho de ar condicionado</t>
  </si>
  <si>
    <t xml:space="preserve">04.05.01.08</t>
  </si>
  <si>
    <t xml:space="preserve">Tablet</t>
  </si>
  <si>
    <t xml:space="preserve">04.05.01.09</t>
  </si>
  <si>
    <t xml:space="preserve">Quadro Lean</t>
  </si>
  <si>
    <t xml:space="preserve">04.05.01.10</t>
  </si>
  <si>
    <t xml:space="preserve">TV 50 polegadas</t>
  </si>
  <si>
    <t xml:space="preserve">04.05.02</t>
  </si>
  <si>
    <t xml:space="preserve">Vestiário</t>
  </si>
  <si>
    <t xml:space="preserve">04.05.02.01</t>
  </si>
  <si>
    <t xml:space="preserve">Bancos</t>
  </si>
  <si>
    <t xml:space="preserve">04.05.02.02</t>
  </si>
  <si>
    <t xml:space="preserve">Armário tipo escaninho com cadeado</t>
  </si>
  <si>
    <t xml:space="preserve">04.05.03</t>
  </si>
  <si>
    <t xml:space="preserve">Chapeira de ponto</t>
  </si>
  <si>
    <t xml:space="preserve">04.05.03.01</t>
  </si>
  <si>
    <t xml:space="preserve">04.05.03.02</t>
  </si>
  <si>
    <t xml:space="preserve">04.05.03.03</t>
  </si>
  <si>
    <t xml:space="preserve">Máquina de Ponto</t>
  </si>
  <si>
    <t xml:space="preserve">04.05.03.04</t>
  </si>
  <si>
    <t xml:space="preserve">Instalação de catracas de identificação</t>
  </si>
  <si>
    <t xml:space="preserve">04.05.03.05</t>
  </si>
  <si>
    <t xml:space="preserve">Locação mensal catracas de identificação</t>
  </si>
  <si>
    <t xml:space="preserve">04.05.04</t>
  </si>
  <si>
    <t xml:space="preserve">Refeitório/cozinha</t>
  </si>
  <si>
    <t xml:space="preserve">04.05.04.01</t>
  </si>
  <si>
    <t xml:space="preserve">Mesas com bancos fixos</t>
  </si>
  <si>
    <t xml:space="preserve">04.05.04.02</t>
  </si>
  <si>
    <t xml:space="preserve">Estufa</t>
  </si>
  <si>
    <t xml:space="preserve">04.05.04.03</t>
  </si>
  <si>
    <t xml:space="preserve">Fogao</t>
  </si>
  <si>
    <t xml:space="preserve">04.05.04.04</t>
  </si>
  <si>
    <t xml:space="preserve">Geladeira</t>
  </si>
  <si>
    <t xml:space="preserve">04.05.04.05</t>
  </si>
  <si>
    <t xml:space="preserve">Botijão de Gás</t>
  </si>
  <si>
    <t xml:space="preserve">04.05.04.06</t>
  </si>
  <si>
    <t xml:space="preserve">Bebedouro tipo ponto de água fria com filtro de carvão ativado</t>
  </si>
  <si>
    <t xml:space="preserve">04.05.05</t>
  </si>
  <si>
    <t xml:space="preserve">Almoxarifado</t>
  </si>
  <si>
    <t xml:space="preserve">04.05.05.01</t>
  </si>
  <si>
    <t xml:space="preserve">04.05.05.02</t>
  </si>
  <si>
    <t xml:space="preserve">04.05.05.03</t>
  </si>
  <si>
    <t xml:space="preserve">04.05.05.04</t>
  </si>
  <si>
    <t xml:space="preserve">04.05.05.05</t>
  </si>
  <si>
    <t xml:space="preserve">04.06</t>
  </si>
  <si>
    <t xml:space="preserve">Mobilização e desmobilização de canteiro de obras</t>
  </si>
  <si>
    <t xml:space="preserve">04.06.01</t>
  </si>
  <si>
    <t xml:space="preserve">Desmobilização de canteiro de obras</t>
  </si>
  <si>
    <t xml:space="preserve">04.06.02</t>
  </si>
  <si>
    <t xml:space="preserve">Repintura periodica de canteiro e tapumes</t>
  </si>
  <si>
    <t xml:space="preserve">05.01</t>
  </si>
  <si>
    <t xml:space="preserve">Ligação provisória de água</t>
  </si>
  <si>
    <t xml:space="preserve">05.02</t>
  </si>
  <si>
    <t xml:space="preserve">Ligação provisória de energia elétrica</t>
  </si>
  <si>
    <t xml:space="preserve">05.03</t>
  </si>
  <si>
    <t xml:space="preserve">Distribuição eletrica provisoria</t>
  </si>
  <si>
    <t xml:space="preserve">06.01</t>
  </si>
  <si>
    <t xml:space="preserve">Conta de Água</t>
  </si>
  <si>
    <t xml:space="preserve">06.02</t>
  </si>
  <si>
    <t xml:space="preserve">Conta de Energia Elétrica</t>
  </si>
  <si>
    <t xml:space="preserve">06.03</t>
  </si>
  <si>
    <t xml:space="preserve">Celular</t>
  </si>
  <si>
    <t xml:space="preserve">06.04</t>
  </si>
  <si>
    <t xml:space="preserve">Internet</t>
  </si>
  <si>
    <t xml:space="preserve">07.01</t>
  </si>
  <si>
    <t xml:space="preserve">Caixa de obra</t>
  </si>
  <si>
    <t xml:space="preserve">07.02</t>
  </si>
  <si>
    <t xml:space="preserve">Cópias Heliográficas - Plotagens</t>
  </si>
  <si>
    <t xml:space="preserve">07.03</t>
  </si>
  <si>
    <t xml:space="preserve">Despesas Com Materiais de Escritório</t>
  </si>
  <si>
    <t xml:space="preserve">07.04</t>
  </si>
  <si>
    <t xml:space="preserve">Aquisicao de licensas de softwares</t>
  </si>
  <si>
    <t xml:space="preserve">07.05</t>
  </si>
  <si>
    <t xml:space="preserve">Material de limpeza</t>
  </si>
  <si>
    <t xml:space="preserve">08.01</t>
  </si>
  <si>
    <t xml:space="preserve">Serviços de Entregas (motoboy)</t>
  </si>
  <si>
    <t xml:space="preserve">08.02</t>
  </si>
  <si>
    <t xml:space="preserve">Fretes Diversos</t>
  </si>
  <si>
    <t xml:space="preserve">08.03</t>
  </si>
  <si>
    <t xml:space="preserve">Limpeza de ruas com caminhão pipa</t>
  </si>
  <si>
    <t xml:space="preserve">08.04</t>
  </si>
  <si>
    <t xml:space="preserve">Caçamba para limpeza permanente de obra</t>
  </si>
  <si>
    <t xml:space="preserve">09.01</t>
  </si>
  <si>
    <t xml:space="preserve">Orçamento e acompanhamento de obra</t>
  </si>
  <si>
    <t xml:space="preserve">09.01.01</t>
  </si>
  <si>
    <t xml:space="preserve">Acompanhamento de obra VIA APLICATIVO - PREVISION</t>
  </si>
  <si>
    <t xml:space="preserve">09.01.02</t>
  </si>
  <si>
    <t xml:space="preserve">Orçamento preliminar e executivo</t>
  </si>
  <si>
    <t xml:space="preserve">09.02</t>
  </si>
  <si>
    <t xml:space="preserve">Controle Tecnológico</t>
  </si>
  <si>
    <t xml:space="preserve">09.02.01</t>
  </si>
  <si>
    <t xml:space="preserve">Controle Tecnológico de Concreto</t>
  </si>
  <si>
    <t xml:space="preserve">09.02.02</t>
  </si>
  <si>
    <t xml:space="preserve">Norma de desempenho - certificação e teste de fachadas, revestimentos, desempenho termo-acústico do empreendimento</t>
  </si>
  <si>
    <t xml:space="preserve">09.02.03</t>
  </si>
  <si>
    <t xml:space="preserve">Prova de carga estática</t>
  </si>
  <si>
    <t xml:space="preserve">09.02.04</t>
  </si>
  <si>
    <t xml:space="preserve">Consultoria geotécnica</t>
  </si>
  <si>
    <t xml:space="preserve">09.02.05</t>
  </si>
  <si>
    <t xml:space="preserve">Controle de Recalque</t>
  </si>
  <si>
    <t xml:space="preserve">09.02.06</t>
  </si>
  <si>
    <t xml:space="preserve">Consultoria de concreto aparente na fachada</t>
  </si>
  <si>
    <t xml:space="preserve">09.02.07</t>
  </si>
  <si>
    <t xml:space="preserve">Consultoria de execução do concreto do bloco do elevador</t>
  </si>
  <si>
    <t xml:space="preserve">09.03</t>
  </si>
  <si>
    <t xml:space="preserve">Controle Ambiental</t>
  </si>
  <si>
    <t xml:space="preserve">09.03.01</t>
  </si>
  <si>
    <t xml:space="preserve">Controle de Ruído</t>
  </si>
  <si>
    <t xml:space="preserve">09.03.02</t>
  </si>
  <si>
    <t xml:space="preserve">Atendimento as condicionantes conforme contrato</t>
  </si>
  <si>
    <t xml:space="preserve">09.03.03</t>
  </si>
  <si>
    <t xml:space="preserve">Comunicação Vizinhança - 6 Mil Diagnostico + Valor mensal</t>
  </si>
  <si>
    <t xml:space="preserve">10.01</t>
  </si>
  <si>
    <t xml:space="preserve">Segurança do trabalho</t>
  </si>
  <si>
    <t xml:space="preserve">10.01.01</t>
  </si>
  <si>
    <t xml:space="preserve">PCMAT</t>
  </si>
  <si>
    <t xml:space="preserve">10.01.02</t>
  </si>
  <si>
    <t xml:space="preserve">PCMSO</t>
  </si>
  <si>
    <t xml:space="preserve">10.01.03</t>
  </si>
  <si>
    <t xml:space="preserve">SIPAT</t>
  </si>
  <si>
    <t xml:space="preserve">10.02</t>
  </si>
  <si>
    <t xml:space="preserve">Equipe técnica</t>
  </si>
  <si>
    <t xml:space="preserve">10.02.01</t>
  </si>
  <si>
    <t xml:space="preserve">Gerente de contrato</t>
  </si>
  <si>
    <t xml:space="preserve">10.02.02</t>
  </si>
  <si>
    <t xml:space="preserve">Engenheiro de produção PL</t>
  </si>
  <si>
    <t xml:space="preserve">10.02.03</t>
  </si>
  <si>
    <t xml:space="preserve">Engenheiro de produção JR</t>
  </si>
  <si>
    <t xml:space="preserve">10.02.04</t>
  </si>
  <si>
    <t xml:space="preserve">Engenheiro Traine</t>
  </si>
  <si>
    <t xml:space="preserve">10.02.05</t>
  </si>
  <si>
    <t xml:space="preserve">Apoio escritório central</t>
  </si>
  <si>
    <t xml:space="preserve">10.02.06</t>
  </si>
  <si>
    <t xml:space="preserve">Rateio de qualidade e segurança</t>
  </si>
  <si>
    <t xml:space="preserve">10.02.07</t>
  </si>
  <si>
    <t xml:space="preserve">Auxiliar de Engenharia</t>
  </si>
  <si>
    <t xml:space="preserve">10.02.08</t>
  </si>
  <si>
    <t xml:space="preserve">Estagiário</t>
  </si>
  <si>
    <t xml:space="preserve">10.02.09</t>
  </si>
  <si>
    <t xml:space="preserve">Equipe de topografia terceirizada</t>
  </si>
  <si>
    <t xml:space="preserve">10.03</t>
  </si>
  <si>
    <t xml:space="preserve">Equipe de segurança e medicina do trabalho</t>
  </si>
  <si>
    <t xml:space="preserve">10.03.01</t>
  </si>
  <si>
    <t xml:space="preserve">Técnico de Segurança do Trabalho</t>
  </si>
  <si>
    <t xml:space="preserve">10.03.02</t>
  </si>
  <si>
    <t xml:space="preserve">10.03.03</t>
  </si>
  <si>
    <t xml:space="preserve">Carpinteiro de apoio</t>
  </si>
  <si>
    <t xml:space="preserve">10.04</t>
  </si>
  <si>
    <t xml:space="preserve">Equipe administrativa</t>
  </si>
  <si>
    <t xml:space="preserve">10.04.01</t>
  </si>
  <si>
    <t xml:space="preserve">Encarregado Administrativo</t>
  </si>
  <si>
    <t xml:space="preserve">10.04.02</t>
  </si>
  <si>
    <t xml:space="preserve">Almoxarife</t>
  </si>
  <si>
    <t xml:space="preserve">10.04.03</t>
  </si>
  <si>
    <t xml:space="preserve">Auxiliar de Almoxarife</t>
  </si>
  <si>
    <t xml:space="preserve">10.04.04</t>
  </si>
  <si>
    <t xml:space="preserve">Porteiro</t>
  </si>
  <si>
    <t xml:space="preserve">10.04.05</t>
  </si>
  <si>
    <t xml:space="preserve">Vigilancia terceirizada</t>
  </si>
  <si>
    <t xml:space="preserve">10.05</t>
  </si>
  <si>
    <t xml:space="preserve">Equipe produtiva</t>
  </si>
  <si>
    <t xml:space="preserve">10.05.01</t>
  </si>
  <si>
    <t xml:space="preserve">Mestre de Obra</t>
  </si>
  <si>
    <t xml:space="preserve">10.05.02</t>
  </si>
  <si>
    <t xml:space="preserve">Encarregado de estrutura</t>
  </si>
  <si>
    <t xml:space="preserve">10.05.03</t>
  </si>
  <si>
    <t xml:space="preserve">Encarregado de acabamento área comum</t>
  </si>
  <si>
    <t xml:space="preserve">10.05.04</t>
  </si>
  <si>
    <t xml:space="preserve">Encarregado acabamento Torre</t>
  </si>
  <si>
    <t xml:space="preserve">10.05.05</t>
  </si>
  <si>
    <t xml:space="preserve">Encarregado de Turma / Logistica</t>
  </si>
  <si>
    <t xml:space="preserve">10.05.06</t>
  </si>
  <si>
    <t xml:space="preserve">Encarregado de instalações</t>
  </si>
  <si>
    <t xml:space="preserve">10.05.07</t>
  </si>
  <si>
    <t xml:space="preserve">Supervisor - Eletrica - Marlei</t>
  </si>
  <si>
    <t xml:space="preserve">10.05.08</t>
  </si>
  <si>
    <t xml:space="preserve">Oficial superior - Eletricista</t>
  </si>
  <si>
    <t xml:space="preserve">10.05.09</t>
  </si>
  <si>
    <t xml:space="preserve">Oficial - Pedreiro</t>
  </si>
  <si>
    <t xml:space="preserve">10.05.10</t>
  </si>
  <si>
    <t xml:space="preserve">Meio-oficial - Ajudante</t>
  </si>
  <si>
    <t xml:space="preserve">10.05.11</t>
  </si>
  <si>
    <t xml:space="preserve">Servente carga e descarga</t>
  </si>
  <si>
    <t xml:space="preserve">10.05.12</t>
  </si>
  <si>
    <t xml:space="preserve">Servente separador de entulho</t>
  </si>
  <si>
    <t xml:space="preserve">10.05.13</t>
  </si>
  <si>
    <t xml:space="preserve">Servente serviços gerais</t>
  </si>
  <si>
    <t xml:space="preserve">10.06</t>
  </si>
  <si>
    <t xml:space="preserve">Operadores</t>
  </si>
  <si>
    <t xml:space="preserve">10.06.01</t>
  </si>
  <si>
    <t xml:space="preserve">Operador de Betoneira</t>
  </si>
  <si>
    <t xml:space="preserve">10.06.02</t>
  </si>
  <si>
    <t xml:space="preserve">Servente para abastecimento de betoneira</t>
  </si>
  <si>
    <t xml:space="preserve">10.06.03</t>
  </si>
  <si>
    <t xml:space="preserve">Operador de elevador de obra</t>
  </si>
  <si>
    <t xml:space="preserve">10.06.04</t>
  </si>
  <si>
    <t xml:space="preserve">Sinaleiro para operações com Grua</t>
  </si>
  <si>
    <t xml:space="preserve">10.07</t>
  </si>
  <si>
    <t xml:space="preserve">Distribuição de lucros (PPLR)</t>
  </si>
  <si>
    <t xml:space="preserve">10.07.01</t>
  </si>
  <si>
    <t xml:space="preserve">Participação de lucros</t>
  </si>
  <si>
    <t xml:space="preserve">11.01</t>
  </si>
  <si>
    <t xml:space="preserve">Ferramentas manuais</t>
  </si>
  <si>
    <t xml:space="preserve">11.01.01</t>
  </si>
  <si>
    <t xml:space="preserve">Aquisição de ferramentas manuais</t>
  </si>
  <si>
    <t xml:space="preserve">11.02</t>
  </si>
  <si>
    <t xml:space="preserve">Equipamentos para movimento de terra</t>
  </si>
  <si>
    <t xml:space="preserve">11.02.01</t>
  </si>
  <si>
    <t xml:space="preserve">Compactador manual tipo sapo</t>
  </si>
  <si>
    <t xml:space="preserve">11.02.02</t>
  </si>
  <si>
    <t xml:space="preserve">Trator Bob cat</t>
  </si>
  <si>
    <t xml:space="preserve">11.02.03</t>
  </si>
  <si>
    <t xml:space="preserve">Retroescavadeira</t>
  </si>
  <si>
    <t xml:space="preserve">11.02.04</t>
  </si>
  <si>
    <t xml:space="preserve">Locação de Escavadeira Hidraulica - Considerando H.E aos sábados</t>
  </si>
  <si>
    <t xml:space="preserve">11.02.05</t>
  </si>
  <si>
    <t xml:space="preserve">Locação de mini escavadeira</t>
  </si>
  <si>
    <t xml:space="preserve">11.02.06</t>
  </si>
  <si>
    <t xml:space="preserve">Locação de mini carregadeira</t>
  </si>
  <si>
    <t xml:space="preserve">11.03</t>
  </si>
  <si>
    <t xml:space="preserve">Equipamentos para produção civil e cumprimento da NR-18</t>
  </si>
  <si>
    <t xml:space="preserve">11.03.01</t>
  </si>
  <si>
    <t xml:space="preserve">Concreto armado moldado in loco</t>
  </si>
  <si>
    <t xml:space="preserve">11.03.01.01</t>
  </si>
  <si>
    <t xml:space="preserve">Vibrador - Mangote Vibrador</t>
  </si>
  <si>
    <t xml:space="preserve">11.03.01.02</t>
  </si>
  <si>
    <t xml:space="preserve">Vibrador - Motor</t>
  </si>
  <si>
    <t xml:space="preserve">11.03.01.03</t>
  </si>
  <si>
    <t xml:space="preserve">Serra Policorte para central de armação</t>
  </si>
  <si>
    <t xml:space="preserve">11.03.01.04</t>
  </si>
  <si>
    <t xml:space="preserve">Serra de bancada para central de formas</t>
  </si>
  <si>
    <t xml:space="preserve">11.03.01.05</t>
  </si>
  <si>
    <t xml:space="preserve">Serra manual para ajuste local de formas</t>
  </si>
  <si>
    <t xml:space="preserve">11.03.02</t>
  </si>
  <si>
    <t xml:space="preserve">Demolições</t>
  </si>
  <si>
    <t xml:space="preserve">11.03.02.01</t>
  </si>
  <si>
    <t xml:space="preserve">Martelete Elétrico 30Kg</t>
  </si>
  <si>
    <t xml:space="preserve">11.03.02.02</t>
  </si>
  <si>
    <t xml:space="preserve">Perfuratriz elétrica de impacto para concreto</t>
  </si>
  <si>
    <t xml:space="preserve">11.03.03</t>
  </si>
  <si>
    <t xml:space="preserve">Alvenaria e acabamentos</t>
  </si>
  <si>
    <t xml:space="preserve">11.03.03.01</t>
  </si>
  <si>
    <t xml:space="preserve">Argamassadeira elétrica</t>
  </si>
  <si>
    <t xml:space="preserve">11.03.03.02</t>
  </si>
  <si>
    <t xml:space="preserve">Betoneira elétrica cap. 580L com carregador</t>
  </si>
  <si>
    <t xml:space="preserve">11.03.03.03</t>
  </si>
  <si>
    <t xml:space="preserve">Lixadeira manual</t>
  </si>
  <si>
    <t xml:space="preserve">11.03.03.04</t>
  </si>
  <si>
    <t xml:space="preserve">Furadeira  de impacto 550W/110v com mandril Ø1/2" Makita, Bosh ou similar</t>
  </si>
  <si>
    <t xml:space="preserve">11.03.03.05</t>
  </si>
  <si>
    <t xml:space="preserve">Serra mármore 1400w/220v Makita, Bosh ou similar</t>
  </si>
  <si>
    <t xml:space="preserve">11.03.04</t>
  </si>
  <si>
    <t xml:space="preserve">Bandeja primária largura 330cm - embasamento</t>
  </si>
  <si>
    <t xml:space="preserve">11.03.04.01</t>
  </si>
  <si>
    <t xml:space="preserve">Locação mensal de mão francesa primária</t>
  </si>
  <si>
    <t xml:space="preserve">11.03.04.02</t>
  </si>
  <si>
    <t xml:space="preserve">Mão-de-obra de montagem</t>
  </si>
  <si>
    <t xml:space="preserve">11.03.04.03</t>
  </si>
  <si>
    <t xml:space="preserve">Mão-de-obra de desmontagem</t>
  </si>
  <si>
    <t xml:space="preserve">11.03.04.04</t>
  </si>
  <si>
    <t xml:space="preserve">Madeiramento</t>
  </si>
  <si>
    <t xml:space="preserve">11.03.05</t>
  </si>
  <si>
    <t xml:space="preserve">Bandeja primária largura 330cm - torre</t>
  </si>
  <si>
    <t xml:space="preserve">11.03.05.01</t>
  </si>
  <si>
    <t xml:space="preserve">Locação mensal de mão francesa secundária</t>
  </si>
  <si>
    <t xml:space="preserve">11.03.05.02</t>
  </si>
  <si>
    <t xml:space="preserve">11.03.05.03</t>
  </si>
  <si>
    <t xml:space="preserve">11.03.05.04</t>
  </si>
  <si>
    <t xml:space="preserve">11.03.06</t>
  </si>
  <si>
    <t xml:space="preserve">Andaime para serviços internos</t>
  </si>
  <si>
    <t xml:space="preserve">11.03.06.01</t>
  </si>
  <si>
    <t xml:space="preserve">Locação mensal de andaimes para serviços internos</t>
  </si>
  <si>
    <t xml:space="preserve">11.04</t>
  </si>
  <si>
    <t xml:space="preserve">Equipamentos para apoio logístico</t>
  </si>
  <si>
    <t xml:space="preserve">11.04.01</t>
  </si>
  <si>
    <t xml:space="preserve">Elevador provisório - Tração por cremalheira</t>
  </si>
  <si>
    <t xml:space="preserve">11.04.01.01</t>
  </si>
  <si>
    <t xml:space="preserve">Locação mensal - Dupla</t>
  </si>
  <si>
    <t xml:space="preserve">11.04.01.02</t>
  </si>
  <si>
    <t xml:space="preserve">Locacao de cancelas</t>
  </si>
  <si>
    <t xml:space="preserve">11.04.01.03</t>
  </si>
  <si>
    <t xml:space="preserve">11.04.01.04</t>
  </si>
  <si>
    <t xml:space="preserve">11.04.01.05</t>
  </si>
  <si>
    <t xml:space="preserve">Protecao do fosso do elevador e varandas</t>
  </si>
  <si>
    <t xml:space="preserve">11.04.01.06</t>
  </si>
  <si>
    <t xml:space="preserve">Bases de concreto para instalação da torre e motor</t>
  </si>
  <si>
    <t xml:space="preserve">11.04.01.07</t>
  </si>
  <si>
    <t xml:space="preserve">Frete</t>
  </si>
  <si>
    <t xml:space="preserve">11.04.01.08</t>
  </si>
  <si>
    <t xml:space="preserve">Manutenção preventiva/projetos</t>
  </si>
  <si>
    <t xml:space="preserve">11.04.02</t>
  </si>
  <si>
    <t xml:space="preserve">Gruas</t>
  </si>
  <si>
    <t xml:space="preserve">11.04.02.01</t>
  </si>
  <si>
    <t xml:space="preserve">Locação grua de grande porte - 44 horas semanais de uso</t>
  </si>
  <si>
    <t xml:space="preserve">11.04.02.02</t>
  </si>
  <si>
    <t xml:space="preserve">Operador da Grua - Mensal</t>
  </si>
  <si>
    <t xml:space="preserve">11.04.02.03</t>
  </si>
  <si>
    <t xml:space="preserve">Operador da Grua - Hora extra</t>
  </si>
  <si>
    <t xml:space="preserve">11.04.02.04</t>
  </si>
  <si>
    <t xml:space="preserve">Fundação</t>
  </si>
  <si>
    <t xml:space="preserve">11.04.02.05</t>
  </si>
  <si>
    <t xml:space="preserve">Acessórios para montagem  - Grua</t>
  </si>
  <si>
    <t xml:space="preserve">11.04.02.06</t>
  </si>
  <si>
    <t xml:space="preserve">Quadro eletrico - Grua</t>
  </si>
  <si>
    <t xml:space="preserve">11.04.02.07</t>
  </si>
  <si>
    <t xml:space="preserve">Chumbador - Grua</t>
  </si>
  <si>
    <t xml:space="preserve">11.04.02.08</t>
  </si>
  <si>
    <t xml:space="preserve">Porta paletes 2500 Kg - Grua</t>
  </si>
  <si>
    <t xml:space="preserve">11.04.02.09</t>
  </si>
  <si>
    <t xml:space="preserve">Plataforma de descarga 2000 Kg - Grua</t>
  </si>
  <si>
    <t xml:space="preserve">11.04.02.10</t>
  </si>
  <si>
    <t xml:space="preserve">Materiais para içamento de cargas - Grua</t>
  </si>
  <si>
    <t xml:space="preserve">11.04.02.11</t>
  </si>
  <si>
    <t xml:space="preserve">Frete - Grua</t>
  </si>
  <si>
    <t xml:space="preserve">11.04.02.12</t>
  </si>
  <si>
    <t xml:space="preserve">Mão-de-obra de montagem - Grua</t>
  </si>
  <si>
    <t xml:space="preserve">11.04.02.13</t>
  </si>
  <si>
    <t xml:space="preserve">Mão-de-obra de desmontagem - Grua</t>
  </si>
  <si>
    <t xml:space="preserve">11.04.02.14</t>
  </si>
  <si>
    <t xml:space="preserve">Telescopagem  - Grua</t>
  </si>
  <si>
    <t xml:space="preserve">11.04.02.15</t>
  </si>
  <si>
    <t xml:space="preserve">Indenização na entrega (limpeza geral, pintura pontual, ensaios não destrutivo no motor) - Grua</t>
  </si>
  <si>
    <t xml:space="preserve">11.04.02.16</t>
  </si>
  <si>
    <t xml:space="preserve">Manutenção preventiva -Grua</t>
  </si>
  <si>
    <t xml:space="preserve">11.04.02.17</t>
  </si>
  <si>
    <t xml:space="preserve">Manutenção corretiva -Grua</t>
  </si>
  <si>
    <t xml:space="preserve">11.04.02.18</t>
  </si>
  <si>
    <t xml:space="preserve">Treinamento de sinaleiros/amarradores de carga - Grua</t>
  </si>
  <si>
    <t xml:space="preserve">11.04.02.19</t>
  </si>
  <si>
    <t xml:space="preserve">Plano de cargas - consultoria calculista</t>
  </si>
  <si>
    <t xml:space="preserve">11.04.02.20</t>
  </si>
  <si>
    <t xml:space="preserve">Execução de aterramento com ART</t>
  </si>
  <si>
    <t xml:space="preserve">11.05</t>
  </si>
  <si>
    <t xml:space="preserve">Equipamentos para execução de fachadas</t>
  </si>
  <si>
    <t xml:space="preserve">11.05.01</t>
  </si>
  <si>
    <t xml:space="preserve">Sistema de telas</t>
  </si>
  <si>
    <t xml:space="preserve">11.05.01.01</t>
  </si>
  <si>
    <t xml:space="preserve">Sistema de telas - SLQA e rede piso a piso</t>
  </si>
  <si>
    <t xml:space="preserve">11.05.01.02</t>
  </si>
  <si>
    <t xml:space="preserve">Entelamento de fachada</t>
  </si>
  <si>
    <t xml:space="preserve">11.05.02</t>
  </si>
  <si>
    <t xml:space="preserve">Andaime para fachadas</t>
  </si>
  <si>
    <t xml:space="preserve">11.05.02.01</t>
  </si>
  <si>
    <t xml:space="preserve">Locação mensal de andaime fachadeiro</t>
  </si>
  <si>
    <t xml:space="preserve">11.05.02.02</t>
  </si>
  <si>
    <t xml:space="preserve">Mão-de-obra de montagem de andaime fachadeiro</t>
  </si>
  <si>
    <t xml:space="preserve">11.05.02.03</t>
  </si>
  <si>
    <t xml:space="preserve">Mão-de-obra de desmontagem de andaime fachadeiro</t>
  </si>
  <si>
    <t xml:space="preserve">11.05.03</t>
  </si>
  <si>
    <t xml:space="preserve">Andaime suspenso tipo plataforma</t>
  </si>
  <si>
    <t xml:space="preserve">11.05.03.01</t>
  </si>
  <si>
    <t xml:space="preserve">Locação mensal</t>
  </si>
  <si>
    <t xml:space="preserve">11.05.03.02</t>
  </si>
  <si>
    <t xml:space="preserve">11.05.03.03</t>
  </si>
  <si>
    <t xml:space="preserve">11.05.03.04</t>
  </si>
  <si>
    <t xml:space="preserve">Acessórios para montagem</t>
  </si>
  <si>
    <t xml:space="preserve">11.06</t>
  </si>
  <si>
    <t xml:space="preserve">Equipamentos de Proteção Coletiva</t>
  </si>
  <si>
    <t xml:space="preserve">11.06.01</t>
  </si>
  <si>
    <t xml:space="preserve">Guarda-corpo de madeira H=120cm para proteção perimetral de lajes</t>
  </si>
  <si>
    <t xml:space="preserve">11.06.02</t>
  </si>
  <si>
    <t xml:space="preserve">Guarda-corpo de madeira H=120cm para proteção provisória de escadarias</t>
  </si>
  <si>
    <t xml:space="preserve">11.06.03</t>
  </si>
  <si>
    <t xml:space="preserve">Linha de vida - cabo de aço</t>
  </si>
  <si>
    <t xml:space="preserve">11.06.04</t>
  </si>
  <si>
    <t xml:space="preserve">Linha de vida - Tubo</t>
  </si>
  <si>
    <t xml:space="preserve">11.06.05</t>
  </si>
  <si>
    <t xml:space="preserve">Madeiramento para EPCs diversos não explicitados.</t>
  </si>
  <si>
    <t xml:space="preserve">11.06.06</t>
  </si>
  <si>
    <t xml:space="preserve">Placas de Sinalização</t>
  </si>
  <si>
    <t xml:space="preserve">23/06/2025</t>
  </si>
  <si>
    <t xml:space="preserve">25/07/2025</t>
  </si>
  <si>
    <t xml:space="preserve">12.01</t>
  </si>
  <si>
    <t xml:space="preserve">Locação da obra</t>
  </si>
  <si>
    <t xml:space="preserve">04/07/2025</t>
  </si>
  <si>
    <t xml:space="preserve">12.01.01</t>
  </si>
  <si>
    <t xml:space="preserve">12.02</t>
  </si>
  <si>
    <t xml:space="preserve">07/07/2025</t>
  </si>
  <si>
    <t xml:space="preserve">12.02.01</t>
  </si>
  <si>
    <t xml:space="preserve">Supressão Arborea</t>
  </si>
  <si>
    <t xml:space="preserve">12.02.02</t>
  </si>
  <si>
    <t xml:space="preserve">Custos de desmobilização pavilhão e igreja provisória</t>
  </si>
  <si>
    <t xml:space="preserve">CONTENÇÕES</t>
  </si>
  <si>
    <t xml:space="preserve">21/07/2025</t>
  </si>
  <si>
    <t xml:space="preserve">11/05/2027</t>
  </si>
  <si>
    <t xml:space="preserve">13.01</t>
  </si>
  <si>
    <t xml:space="preserve">Estacas Escavadas - Estacas tipo Hélice Contínua Monitorada</t>
  </si>
  <si>
    <t xml:space="preserve">14/08/2025</t>
  </si>
  <si>
    <t xml:space="preserve">13.01.01</t>
  </si>
  <si>
    <t xml:space="preserve">Taxa de mobilização e desmobilização do empreiteiro</t>
  </si>
  <si>
    <t xml:space="preserve">13.01.02</t>
  </si>
  <si>
    <t xml:space="preserve">Estaca Hélice - Perfuração com Ø 0,50m</t>
  </si>
  <si>
    <t xml:space="preserve">13.01.03</t>
  </si>
  <si>
    <t xml:space="preserve">Estaca Hélice - Perfuração com Ø 0,60m</t>
  </si>
  <si>
    <t xml:space="preserve">13.01.04</t>
  </si>
  <si>
    <t xml:space="preserve">Concreto bombeável fluido especial para estaca hélice</t>
  </si>
  <si>
    <t xml:space="preserve">13.01.05</t>
  </si>
  <si>
    <t xml:space="preserve">Locação de bomba de concreto estacionária para concretagens de estaca</t>
  </si>
  <si>
    <t xml:space="preserve">13.01.06</t>
  </si>
  <si>
    <t xml:space="preserve">Bucha de argamassa de cimento e areia para limpeza e lubrificação de bomba</t>
  </si>
  <si>
    <t xml:space="preserve">13.01.07</t>
  </si>
  <si>
    <t xml:space="preserve">Armadura Ca-50 adquirido cortado e dobrado, montagem e posicionamento no canteiro</t>
  </si>
  <si>
    <t xml:space="preserve">13.01.08</t>
  </si>
  <si>
    <t xml:space="preserve">Arrasamento de cabeça de estacas com martelete</t>
  </si>
  <si>
    <t xml:space="preserve">13.01.09</t>
  </si>
  <si>
    <t xml:space="preserve">Retirada de terra com caminhão basculante</t>
  </si>
  <si>
    <t xml:space="preserve">13.01.10</t>
  </si>
  <si>
    <t xml:space="preserve">Embocamento</t>
  </si>
  <si>
    <t xml:space="preserve">13.01.11</t>
  </si>
  <si>
    <t xml:space="preserve">Estacas para a contenção do bloco do elevador</t>
  </si>
  <si>
    <t xml:space="preserve">13.01.12</t>
  </si>
  <si>
    <t xml:space="preserve">Contenção em solo grampeado para igreja provisória</t>
  </si>
  <si>
    <t xml:space="preserve">13.02</t>
  </si>
  <si>
    <t xml:space="preserve">Viga de equalização de movimentos</t>
  </si>
  <si>
    <t xml:space="preserve">01/09/2025</t>
  </si>
  <si>
    <t xml:space="preserve">27/10/2025</t>
  </si>
  <si>
    <t xml:space="preserve">13.02.01</t>
  </si>
  <si>
    <t xml:space="preserve">Formas para vigas</t>
  </si>
  <si>
    <t xml:space="preserve">13.02.02</t>
  </si>
  <si>
    <t xml:space="preserve">13.02.03</t>
  </si>
  <si>
    <t xml:space="preserve">Concreto bombeado Fck=30Mpa para superestrutura</t>
  </si>
  <si>
    <t xml:space="preserve">13.03</t>
  </si>
  <si>
    <t xml:space="preserve">Fechamento da cortina - Especificar sistema utilizado</t>
  </si>
  <si>
    <t xml:space="preserve">19/10/2026</t>
  </si>
  <si>
    <t xml:space="preserve">13.03.01</t>
  </si>
  <si>
    <t xml:space="preserve">Formas para superestrutura</t>
  </si>
  <si>
    <t xml:space="preserve">13.03.02</t>
  </si>
  <si>
    <t xml:space="preserve">13.03.03</t>
  </si>
  <si>
    <t xml:space="preserve">13.04</t>
  </si>
  <si>
    <t xml:space="preserve">Tratamento de contenções</t>
  </si>
  <si>
    <t xml:space="preserve">13/11/2026</t>
  </si>
  <si>
    <t xml:space="preserve">23/12/2026</t>
  </si>
  <si>
    <t xml:space="preserve">13.04.01</t>
  </si>
  <si>
    <t xml:space="preserve">Impermeabilização de contenções</t>
  </si>
  <si>
    <t xml:space="preserve">13.04.02</t>
  </si>
  <si>
    <t xml:space="preserve">Drenagem para contenções</t>
  </si>
  <si>
    <t xml:space="preserve">13.05</t>
  </si>
  <si>
    <t xml:space="preserve">Alvenaria de blocos cerâmicos para isolamento de contenções</t>
  </si>
  <si>
    <t xml:space="preserve">09/04/2027</t>
  </si>
  <si>
    <t xml:space="preserve">13.05.01</t>
  </si>
  <si>
    <t xml:space="preserve">Demarcação de alvenaria de vedação com blocos cerâmicos esp.9cm</t>
  </si>
  <si>
    <t xml:space="preserve">13.05.02</t>
  </si>
  <si>
    <t xml:space="preserve">Alvenaria de vedação com blocos cerâmicos esp. 9cm</t>
  </si>
  <si>
    <t xml:space="preserve">13.05.03</t>
  </si>
  <si>
    <t xml:space="preserve">Encunhamento com espuma expansiva de poliuretano</t>
  </si>
  <si>
    <t xml:space="preserve">03/03/2026</t>
  </si>
  <si>
    <t xml:space="preserve">16/10/2026</t>
  </si>
  <si>
    <t xml:space="preserve">14.01</t>
  </si>
  <si>
    <t xml:space="preserve">Corte e retirada de terra</t>
  </si>
  <si>
    <t xml:space="preserve">14.01.01</t>
  </si>
  <si>
    <t xml:space="preserve">Retirada de terra com caminhão basculante - 1º fase + talude</t>
  </si>
  <si>
    <t xml:space="preserve">14.01.02</t>
  </si>
  <si>
    <t xml:space="preserve">Construção de lava-rodas no portão da obra</t>
  </si>
  <si>
    <t xml:space="preserve">14.01.03</t>
  </si>
  <si>
    <t xml:space="preserve">Preparo base do terreno - Rachão</t>
  </si>
  <si>
    <t xml:space="preserve">14.01.04</t>
  </si>
  <si>
    <t xml:space="preserve">14.02</t>
  </si>
  <si>
    <t xml:space="preserve">Rebaixamento de lençol freático</t>
  </si>
  <si>
    <t xml:space="preserve">14.02.01</t>
  </si>
  <si>
    <t xml:space="preserve">Bombas, mangueiras, instalações elétricas</t>
  </si>
  <si>
    <t xml:space="preserve">14.02.02</t>
  </si>
  <si>
    <t xml:space="preserve">Perfuração com Ø 1,10cm</t>
  </si>
  <si>
    <t xml:space="preserve">14.02.03</t>
  </si>
  <si>
    <t xml:space="preserve">Tubo PEAD KNTS - 6M (MAT)</t>
  </si>
  <si>
    <t xml:space="preserve">14.02.04</t>
  </si>
  <si>
    <t xml:space="preserve">Brita 01</t>
  </si>
  <si>
    <t xml:space="preserve">13/10/2025</t>
  </si>
  <si>
    <t xml:space="preserve">15.01</t>
  </si>
  <si>
    <t xml:space="preserve">Estacas Escavadas - Estacas escavadas de grande diâmetro</t>
  </si>
  <si>
    <t xml:space="preserve">15.01.01</t>
  </si>
  <si>
    <t xml:space="preserve">Taxa de mobilização do empreiteiro</t>
  </si>
  <si>
    <t xml:space="preserve">15.02</t>
  </si>
  <si>
    <t xml:space="preserve">Escavaçaõ de estaca em solo com SPT ≤ 50 golpes</t>
  </si>
  <si>
    <t xml:space="preserve">15.02.01</t>
  </si>
  <si>
    <t xml:space="preserve">Perfuração com Ø 90cm - com lama</t>
  </si>
  <si>
    <t xml:space="preserve">15.02.02</t>
  </si>
  <si>
    <t xml:space="preserve">Perfuração com Ø 100cm -com lama</t>
  </si>
  <si>
    <t xml:space="preserve">15.02.03</t>
  </si>
  <si>
    <t xml:space="preserve">Perfuração com Ø 110cm - com lama</t>
  </si>
  <si>
    <t xml:space="preserve">15.02.04</t>
  </si>
  <si>
    <t xml:space="preserve">Perfuração com Ø 120cm - com lama</t>
  </si>
  <si>
    <t xml:space="preserve">15.02.05</t>
  </si>
  <si>
    <t xml:space="preserve">Perfuração com Ø 130cm - com lama</t>
  </si>
  <si>
    <t xml:space="preserve">15.02.06</t>
  </si>
  <si>
    <t xml:space="preserve">Perfuração com Ø 140cm - com lama</t>
  </si>
  <si>
    <t xml:space="preserve">15.02.07</t>
  </si>
  <si>
    <t xml:space="preserve">Perfuração com Ø 150cm - com lama</t>
  </si>
  <si>
    <t xml:space="preserve">15.03</t>
  </si>
  <si>
    <t xml:space="preserve">Escavaçaõ de estaca em solo com SPT&gt; 50 golpes</t>
  </si>
  <si>
    <t xml:space="preserve">15.03.01</t>
  </si>
  <si>
    <t xml:space="preserve">15.03.02</t>
  </si>
  <si>
    <t xml:space="preserve">15.03.03</t>
  </si>
  <si>
    <t xml:space="preserve">15.03.04</t>
  </si>
  <si>
    <t xml:space="preserve">15.03.05</t>
  </si>
  <si>
    <t xml:space="preserve">15.03.06</t>
  </si>
  <si>
    <t xml:space="preserve">15.03.07</t>
  </si>
  <si>
    <t xml:space="preserve">15.04</t>
  </si>
  <si>
    <t xml:space="preserve">Itens complementares</t>
  </si>
  <si>
    <t xml:space="preserve">15.04.01</t>
  </si>
  <si>
    <t xml:space="preserve">Polímero</t>
  </si>
  <si>
    <t xml:space="preserve">15.04.02</t>
  </si>
  <si>
    <t xml:space="preserve">Concreto bombeável fck=30Mpa com alto Slump com brita 0, sobreconsumo de 40% incluído na cpu.</t>
  </si>
  <si>
    <t xml:space="preserve">15.04.03</t>
  </si>
  <si>
    <t xml:space="preserve">Preenchimento de estacas/ recompactação do solo com bica corrida</t>
  </si>
  <si>
    <t xml:space="preserve">15.04.04</t>
  </si>
  <si>
    <t xml:space="preserve">15.04.05</t>
  </si>
  <si>
    <t xml:space="preserve">15.04.06</t>
  </si>
  <si>
    <t xml:space="preserve">&lt;html&gt;Armadura Ca-50 adquirido cortado e dobrado, montagem e posicionamento no canteiro - &lt;b&gt;Quant. de projeto&lt;/b&gt;&lt;/html&gt;</t>
  </si>
  <si>
    <t xml:space="preserve">15.04.07</t>
  </si>
  <si>
    <t xml:space="preserve">15.04.08</t>
  </si>
  <si>
    <t xml:space="preserve">15.04.09</t>
  </si>
  <si>
    <t xml:space="preserve">Caminhao Pipa (60m3/dia)( 3 meses x 22 dias)</t>
  </si>
  <si>
    <t xml:space="preserve">15.04.10</t>
  </si>
  <si>
    <t xml:space="preserve">Retirada de Terra e material demolido com caçamba</t>
  </si>
  <si>
    <t xml:space="preserve">15.04.11</t>
  </si>
  <si>
    <t xml:space="preserve">Locação de gerador para atender central de polimero com mob e desmob - com diesel</t>
  </si>
  <si>
    <t xml:space="preserve">13/04/2026</t>
  </si>
  <si>
    <t xml:space="preserve">06/12/2027</t>
  </si>
  <si>
    <t xml:space="preserve">16.01</t>
  </si>
  <si>
    <t xml:space="preserve">Blocos</t>
  </si>
  <si>
    <t xml:space="preserve">16.01.01</t>
  </si>
  <si>
    <t xml:space="preserve">Escavação manual</t>
  </si>
  <si>
    <t xml:space="preserve">16.01.02</t>
  </si>
  <si>
    <t xml:space="preserve">Apiloamento</t>
  </si>
  <si>
    <t xml:space="preserve">16.01.03</t>
  </si>
  <si>
    <t xml:space="preserve">Formas para infra estrutura, compensado resinado 12mm, reaproveitamento 1,5x.</t>
  </si>
  <si>
    <t xml:space="preserve">16.01.04</t>
  </si>
  <si>
    <t xml:space="preserve">16.01.05</t>
  </si>
  <si>
    <t xml:space="preserve">Armadura Ca-60 adquirido cortado e dobrado, montagem e posicionamento no canteiro</t>
  </si>
  <si>
    <t xml:space="preserve">16.01.06</t>
  </si>
  <si>
    <t xml:space="preserve">Lastro de concreto magro rodado em betoneira</t>
  </si>
  <si>
    <t xml:space="preserve">16.01.07</t>
  </si>
  <si>
    <t xml:space="preserve">Concreto bombeado Fck=40Mpa para superestrutura</t>
  </si>
  <si>
    <t xml:space="preserve">16.01.08</t>
  </si>
  <si>
    <t xml:space="preserve">Gelo para blocos (100kg/m³)</t>
  </si>
  <si>
    <t xml:space="preserve">16.01.09</t>
  </si>
  <si>
    <t xml:space="preserve">Aterro manual</t>
  </si>
  <si>
    <t xml:space="preserve">16.01.10</t>
  </si>
  <si>
    <t xml:space="preserve">16.01.11</t>
  </si>
  <si>
    <t xml:space="preserve">Impermeabilização de cintas e blocos com pintura asfáltica tipo neutrol ou similar</t>
  </si>
  <si>
    <t xml:space="preserve">16.02</t>
  </si>
  <si>
    <t xml:space="preserve">Lajes de contrapiso</t>
  </si>
  <si>
    <t xml:space="preserve">08/02/2027</t>
  </si>
  <si>
    <t xml:space="preserve">11/03/2027</t>
  </si>
  <si>
    <t xml:space="preserve">16.02.01</t>
  </si>
  <si>
    <t xml:space="preserve">16.02.02</t>
  </si>
  <si>
    <t xml:space="preserve">Armadura com tela soldada</t>
  </si>
  <si>
    <t xml:space="preserve">16.02.03</t>
  </si>
  <si>
    <t xml:space="preserve">Lastro de brita</t>
  </si>
  <si>
    <t xml:space="preserve">16.02.04</t>
  </si>
  <si>
    <t xml:space="preserve">Lona preta para isolamento da laje</t>
  </si>
  <si>
    <t xml:space="preserve">16.02.05</t>
  </si>
  <si>
    <t xml:space="preserve">Concreto bombeado Fck=30Mpa para infraestrutura</t>
  </si>
  <si>
    <t xml:space="preserve">16.02.06</t>
  </si>
  <si>
    <t xml:space="preserve">Polimento de pisos de concreto, acabamento sarrafeado</t>
  </si>
  <si>
    <t xml:space="preserve">16.03</t>
  </si>
  <si>
    <t xml:space="preserve">Reservatórios inferiores</t>
  </si>
  <si>
    <t xml:space="preserve">19/10/2027</t>
  </si>
  <si>
    <t xml:space="preserve">16.03.01</t>
  </si>
  <si>
    <t xml:space="preserve">Estimativa para reservatórios inferiores</t>
  </si>
  <si>
    <t xml:space="preserve">15/06/2026</t>
  </si>
  <si>
    <t xml:space="preserve">11/02/2028</t>
  </si>
  <si>
    <t xml:space="preserve">17.01</t>
  </si>
  <si>
    <t xml:space="preserve">Pilares, vigas e lajes</t>
  </si>
  <si>
    <t xml:space="preserve">17.01.01</t>
  </si>
  <si>
    <t xml:space="preserve">Formas para pilares, vigas e lajes convencionais  - pé-direito até 3,49</t>
  </si>
  <si>
    <t xml:space="preserve">17.01.02</t>
  </si>
  <si>
    <t xml:space="preserve">Formas para pilares, vigas e lajes convencionais  - pé- direito acima de 3,49 até 5,99 - Térreo e 6º Pavto Pilotis</t>
  </si>
  <si>
    <t xml:space="preserve">17.01.03</t>
  </si>
  <si>
    <t xml:space="preserve">Formas para lajes nervuradas - pé-direito até 3,49</t>
  </si>
  <si>
    <t xml:space="preserve">17.01.04</t>
  </si>
  <si>
    <t xml:space="preserve">Formas para lajes nervuradas - pé- direito acima de 3,49 até 5,99 - Térreo e 6º Pavto Pilotis</t>
  </si>
  <si>
    <t xml:space="preserve">17.01.05</t>
  </si>
  <si>
    <t xml:space="preserve">&lt;html&gt;Armadura Ca-50 adquirido cortado e dobrado, montagem e posicionamento no canteiro -&lt;b&gt; considerado taxa de 98 kg/m³&lt;/b&gt;&lt;/html&gt;</t>
  </si>
  <si>
    <t xml:space="preserve">17.01.06</t>
  </si>
  <si>
    <t xml:space="preserve">17.01.07</t>
  </si>
  <si>
    <t xml:space="preserve">Protensão - Fornecimento, montagem e tensionamento</t>
  </si>
  <si>
    <t xml:space="preserve">17.01.08</t>
  </si>
  <si>
    <t xml:space="preserve">Concreto bombeado Fck=50Mpa para superestrutura</t>
  </si>
  <si>
    <t xml:space="preserve">17.01.09</t>
  </si>
  <si>
    <t xml:space="preserve">17.01.10</t>
  </si>
  <si>
    <t xml:space="preserve">Concreto bombeado Fck=50Mpa para superestrutura  - Silica  Cristalizante para fachada - 16+-3</t>
  </si>
  <si>
    <t xml:space="preserve">17.01.11</t>
  </si>
  <si>
    <t xml:space="preserve">Concreto bombeado Fck=40Mpa para superestrutura  - Silica  Cristalizante para fachada - 25+-3</t>
  </si>
  <si>
    <t xml:space="preserve">17.01.12</t>
  </si>
  <si>
    <t xml:space="preserve">17.02</t>
  </si>
  <si>
    <t xml:space="preserve">Complementos</t>
  </si>
  <si>
    <t xml:space="preserve">17.02.01</t>
  </si>
  <si>
    <t xml:space="preserve">Juntas de dilatação de isopor esp. 20mm</t>
  </si>
  <si>
    <t xml:space="preserve">17.02.02</t>
  </si>
  <si>
    <t xml:space="preserve">Tratamento de juntas de dilatação com sikaflex 1A ou similar</t>
  </si>
  <si>
    <t xml:space="preserve">17.02.03</t>
  </si>
  <si>
    <t xml:space="preserve">Serviços imponderáveis, complementares à estrutura</t>
  </si>
  <si>
    <t xml:space="preserve">16/03/2027</t>
  </si>
  <si>
    <t xml:space="preserve">21/08/2028</t>
  </si>
  <si>
    <t xml:space="preserve">18.01</t>
  </si>
  <si>
    <t xml:space="preserve">Alvenaria de vedação  com blocos cerâmicos</t>
  </si>
  <si>
    <t xml:space="preserve">04/05/2028</t>
  </si>
  <si>
    <t xml:space="preserve">18.01.01</t>
  </si>
  <si>
    <t xml:space="preserve">Esp. 9cm</t>
  </si>
  <si>
    <t xml:space="preserve">18.01.01.01</t>
  </si>
  <si>
    <t xml:space="preserve">18.01.01.02</t>
  </si>
  <si>
    <t xml:space="preserve">18.01.01.03</t>
  </si>
  <si>
    <t xml:space="preserve">18.01.01.04</t>
  </si>
  <si>
    <t xml:space="preserve">Amarração de Alvenaria</t>
  </si>
  <si>
    <t xml:space="preserve">18.01.02</t>
  </si>
  <si>
    <t xml:space="preserve">Esp. 14cm</t>
  </si>
  <si>
    <t xml:space="preserve">18.01.02.01</t>
  </si>
  <si>
    <t xml:space="preserve">Demarcação de alvenaria de vedação com blocos cerâmicos  esp. 14cm</t>
  </si>
  <si>
    <t xml:space="preserve">18.01.02.02</t>
  </si>
  <si>
    <t xml:space="preserve">Alvenaria de vedação com blocos cerâmicos esp. 14m</t>
  </si>
  <si>
    <t xml:space="preserve">18.01.02.03</t>
  </si>
  <si>
    <t xml:space="preserve">18.01.02.04</t>
  </si>
  <si>
    <t xml:space="preserve">18.01.03</t>
  </si>
  <si>
    <t xml:space="preserve">Esp. 19cm</t>
  </si>
  <si>
    <t xml:space="preserve">18.01.03.01</t>
  </si>
  <si>
    <t xml:space="preserve">Demarcação de alvenaria de vedação com blocos cerâmicos esp.19cm</t>
  </si>
  <si>
    <t xml:space="preserve">18.01.03.02</t>
  </si>
  <si>
    <t xml:space="preserve">Alvenaria de vedação com blocos cerâmicos  esp. 19m</t>
  </si>
  <si>
    <t xml:space="preserve">18.01.03.03</t>
  </si>
  <si>
    <t xml:space="preserve">18.01.03.04</t>
  </si>
  <si>
    <t xml:space="preserve">18.02</t>
  </si>
  <si>
    <t xml:space="preserve">Alvenaria de vedação  com blocos de concreto</t>
  </si>
  <si>
    <t xml:space="preserve">18.02.01</t>
  </si>
  <si>
    <t xml:space="preserve">18.02.01.01</t>
  </si>
  <si>
    <t xml:space="preserve">Demarcação de alvenaria de vedação com blocos de concreto esp.9cm</t>
  </si>
  <si>
    <t xml:space="preserve">18.02.01.02</t>
  </si>
  <si>
    <t xml:space="preserve">Alvenaria de vedação com blocos de concreto esp. 9cm</t>
  </si>
  <si>
    <t xml:space="preserve">18.02.01.03</t>
  </si>
  <si>
    <t xml:space="preserve">18.02.01.04</t>
  </si>
  <si>
    <t xml:space="preserve">18.02.02</t>
  </si>
  <si>
    <t xml:space="preserve">18.02.02.01</t>
  </si>
  <si>
    <t xml:space="preserve">Demarcação de alvenaria de vedação com blocos de concreto  esp. 14cm</t>
  </si>
  <si>
    <t xml:space="preserve">18.02.02.02</t>
  </si>
  <si>
    <t xml:space="preserve">Alvenaria de vedação com blocos de concreto esp. 14m</t>
  </si>
  <si>
    <t xml:space="preserve">18.02.02.03</t>
  </si>
  <si>
    <t xml:space="preserve">18.02.02.04</t>
  </si>
  <si>
    <t xml:space="preserve">18.02.03</t>
  </si>
  <si>
    <t xml:space="preserve">18.02.03.01</t>
  </si>
  <si>
    <t xml:space="preserve">Demarcação de alvenaria de vedação com blocos de concreto esp.19cm</t>
  </si>
  <si>
    <t xml:space="preserve">18.02.03.02</t>
  </si>
  <si>
    <t xml:space="preserve">Alvenaria de vedação com blocos de concreto  esp. 19m</t>
  </si>
  <si>
    <t xml:space="preserve">18.02.03.03</t>
  </si>
  <si>
    <t xml:space="preserve">18.02.03.04</t>
  </si>
  <si>
    <t xml:space="preserve">18.03</t>
  </si>
  <si>
    <t xml:space="preserve">Gesso acartonado (Dry-wall)</t>
  </si>
  <si>
    <t xml:space="preserve">05/07/2027</t>
  </si>
  <si>
    <t xml:space="preserve">18.03.01</t>
  </si>
  <si>
    <t xml:space="preserve">Gesso acartonado - S (Chapa Standard)</t>
  </si>
  <si>
    <t xml:space="preserve">18.03.02</t>
  </si>
  <si>
    <t xml:space="preserve">Gesso acartonado - RU (Chapa resistente à umidade) - Fechamento de shafts</t>
  </si>
  <si>
    <t xml:space="preserve">18.03.03</t>
  </si>
  <si>
    <t xml:space="preserve">Gesso acartonado - S-A-S</t>
  </si>
  <si>
    <t xml:space="preserve">18.03.04</t>
  </si>
  <si>
    <t xml:space="preserve">Gesso acartonado - S-A-RU</t>
  </si>
  <si>
    <t xml:space="preserve">18.03.05</t>
  </si>
  <si>
    <t xml:space="preserve">Gesso acartonado - RU-A-RU</t>
  </si>
  <si>
    <t xml:space="preserve">18.03.06</t>
  </si>
  <si>
    <t xml:space="preserve">Reforços para Drywall</t>
  </si>
  <si>
    <t xml:space="preserve">18.04</t>
  </si>
  <si>
    <t xml:space="preserve">Verga e Contra-verga</t>
  </si>
  <si>
    <t xml:space="preserve">18.04.01</t>
  </si>
  <si>
    <t xml:space="preserve">Vergas e contravergas</t>
  </si>
  <si>
    <t xml:space="preserve">11/08/2027</t>
  </si>
  <si>
    <t xml:space="preserve">01/09/2028</t>
  </si>
  <si>
    <t xml:space="preserve">19.01</t>
  </si>
  <si>
    <t xml:space="preserve"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</si>
  <si>
    <t xml:space="preserve">19.01.01</t>
  </si>
  <si>
    <t xml:space="preserve">Cozinha multiuso, gourmet, salão de festas</t>
  </si>
  <si>
    <t xml:space="preserve">19.01.02</t>
  </si>
  <si>
    <t xml:space="preserve">Áreas de serviço</t>
  </si>
  <si>
    <t xml:space="preserve">19.01.03</t>
  </si>
  <si>
    <t xml:space="preserve">Banheiros</t>
  </si>
  <si>
    <t xml:space="preserve">19.01.04</t>
  </si>
  <si>
    <t xml:space="preserve">Saunas</t>
  </si>
  <si>
    <t xml:space="preserve">19.01.05</t>
  </si>
  <si>
    <t xml:space="preserve">Varanda</t>
  </si>
  <si>
    <t xml:space="preserve">19.01.06</t>
  </si>
  <si>
    <t xml:space="preserve">Barrilete</t>
  </si>
  <si>
    <t xml:space="preserve">19.01.07</t>
  </si>
  <si>
    <t xml:space="preserve">ARS</t>
  </si>
  <si>
    <t xml:space="preserve">19.01.08</t>
  </si>
  <si>
    <t xml:space="preserve">Dml</t>
  </si>
  <si>
    <t xml:space="preserve">19.01.09</t>
  </si>
  <si>
    <t xml:space="preserve">Laje em área de reservatório de fibra lojas</t>
  </si>
  <si>
    <t xml:space="preserve">19.01.10</t>
  </si>
  <si>
    <t xml:space="preserve">Cantoneira de alumínio/ Galvaizada 2x2" fixada com parafuso e bucha S6 a cada 30cm</t>
  </si>
  <si>
    <t xml:space="preserve">19.01.11</t>
  </si>
  <si>
    <t xml:space="preserve">Virada reforçada  e vedada com mastique de poliuretano (PU) obs.: O mesmo tratamento é recomendado para o encontro entre a placa de drywall e a parede de alvaneria com incremento neste caso de um limitador de profundidade (tarucel) prévio, sob PU</t>
  </si>
  <si>
    <t xml:space="preserve">19.01.12</t>
  </si>
  <si>
    <t xml:space="preserve">Impermabilização de ralos</t>
  </si>
  <si>
    <t xml:space="preserve">19.02</t>
  </si>
  <si>
    <t xml:space="preserve">Resina acrílica de alto desempenho com camadas de impermeabilização rígido com consumo de 2,0kg/m2 e reforço com tela poliéster resinada malha de 3x3 e camadas de impermeabilizante flexível com consumo de 2,0kg/m2</t>
  </si>
  <si>
    <t xml:space="preserve">19.02.01</t>
  </si>
  <si>
    <t xml:space="preserve">Camada de regularização com argamassa de cimento e areia</t>
  </si>
  <si>
    <t xml:space="preserve">19.02.02</t>
  </si>
  <si>
    <t xml:space="preserve">Beiral</t>
  </si>
  <si>
    <t xml:space="preserve">19.02.03</t>
  </si>
  <si>
    <t xml:space="preserve">Pingadeira em chapa galvanizada/ alumínio com aba de 5cm, fixada com parafuso/ bucha 6mm a cada de 15cm</t>
  </si>
  <si>
    <t xml:space="preserve">19.03</t>
  </si>
  <si>
    <t xml:space="preserve"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</si>
  <si>
    <t xml:space="preserve">19.03.01</t>
  </si>
  <si>
    <t xml:space="preserve">19.03.02</t>
  </si>
  <si>
    <t xml:space="preserve">Proteção mecânica armada com tela galvanizada, fio 22, malha 1</t>
  </si>
  <si>
    <t xml:space="preserve">19.03.03</t>
  </si>
  <si>
    <t xml:space="preserve">Camada de transição geotêxtil 200g/m2</t>
  </si>
  <si>
    <t xml:space="preserve">19.03.04</t>
  </si>
  <si>
    <t xml:space="preserve">Junta perimetral preenchida com material flexível (mastique de poliuretano ou pasta asfáltica sobre EPS ou equivalente. Usado para preenchimento da área e criação da junta)</t>
  </si>
  <si>
    <t xml:space="preserve">19.03.05</t>
  </si>
  <si>
    <t xml:space="preserve">Cantoneira de alumínio/ galvanizada 2x2" fixada com parafuso e bucha S6 a cada 30cm</t>
  </si>
  <si>
    <t xml:space="preserve">19.03.06</t>
  </si>
  <si>
    <t xml:space="preserve">Pilotis - Playground</t>
  </si>
  <si>
    <t xml:space="preserve">19.03.07</t>
  </si>
  <si>
    <t xml:space="preserve">Varanda| terraço descoberto</t>
  </si>
  <si>
    <t xml:space="preserve">19.03.08</t>
  </si>
  <si>
    <t xml:space="preserve">19.04</t>
  </si>
  <si>
    <t xml:space="preserve"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</si>
  <si>
    <t xml:space="preserve">19.04.01</t>
  </si>
  <si>
    <t xml:space="preserve">19.04.02</t>
  </si>
  <si>
    <t xml:space="preserve">19.04.03</t>
  </si>
  <si>
    <t xml:space="preserve">19.04.04</t>
  </si>
  <si>
    <t xml:space="preserve">Proteção térmica com placas de XPS (Poliestireno extrudado) coladas com 5 pontos de Ø15cm de asfalto nas bordas e no centro proteção com 2 placas de 2cm cada</t>
  </si>
  <si>
    <t xml:space="preserve">19.04.05</t>
  </si>
  <si>
    <t xml:space="preserve">Junta perimetral preenchida com mastique de poliuretano</t>
  </si>
  <si>
    <t xml:space="preserve">19.04.06</t>
  </si>
  <si>
    <t xml:space="preserve">Junta serrada em quadros de 1,5m, com 1cm de espessura preenchida com mastique de poliuretano</t>
  </si>
  <si>
    <t xml:space="preserve">19.04.07</t>
  </si>
  <si>
    <t xml:space="preserve">LPI</t>
  </si>
  <si>
    <t xml:space="preserve">19.04.08</t>
  </si>
  <si>
    <t xml:space="preserve">Varanda de acesso residencial, Passeio de acesso de serviço externo, Varanda comercial</t>
  </si>
  <si>
    <t xml:space="preserve">19.04.09</t>
  </si>
  <si>
    <t xml:space="preserve">19.05</t>
  </si>
  <si>
    <t xml:space="preserve"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</si>
  <si>
    <t xml:space="preserve">19.05.01</t>
  </si>
  <si>
    <t xml:space="preserve">19.05.02</t>
  </si>
  <si>
    <t xml:space="preserve">19.05.03</t>
  </si>
  <si>
    <t xml:space="preserve">19.05.04</t>
  </si>
  <si>
    <t xml:space="preserve">19.05.05</t>
  </si>
  <si>
    <t xml:space="preserve">Cantoneira de alumínio/ galvanizada 2x2 fixada com parafuso e bucha S6 a cada 30cm</t>
  </si>
  <si>
    <t xml:space="preserve">19.05.06</t>
  </si>
  <si>
    <t xml:space="preserve">Jardim sobre laje</t>
  </si>
  <si>
    <t xml:space="preserve">19.06</t>
  </si>
  <si>
    <t xml:space="preserve"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</si>
  <si>
    <t xml:space="preserve">19.06.01</t>
  </si>
  <si>
    <t xml:space="preserve">19.06.02</t>
  </si>
  <si>
    <t xml:space="preserve">Camada de transição com dreno sintético - geotêxtil 200g/m2</t>
  </si>
  <si>
    <t xml:space="preserve">19.06.03</t>
  </si>
  <si>
    <t xml:space="preserve">Concreto armado com tela (6cm de espessura)</t>
  </si>
  <si>
    <t xml:space="preserve">19.06.04</t>
  </si>
  <si>
    <t xml:space="preserve">Quadra recreação descoberta</t>
  </si>
  <si>
    <t xml:space="preserve">19.06.05</t>
  </si>
  <si>
    <t xml:space="preserve">Junta perimetral preenchida com EPS e selada com mastique de poliuretano</t>
  </si>
  <si>
    <t xml:space="preserve">19.06.06</t>
  </si>
  <si>
    <t xml:space="preserve">Vaga carga e descarga, rampa descoberta</t>
  </si>
  <si>
    <t xml:space="preserve">19.06.07</t>
  </si>
  <si>
    <t xml:space="preserve">19.07</t>
  </si>
  <si>
    <t xml:space="preserve"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</si>
  <si>
    <t xml:space="preserve">19.07.01</t>
  </si>
  <si>
    <t xml:space="preserve">Recuperação estrutural: Eliminar falhas e brocas. Em caso de fissuras, deverá ser feito um estudo específico para determinar sua origem e causa</t>
  </si>
  <si>
    <t xml:space="preserve">19.07.02</t>
  </si>
  <si>
    <t xml:space="preserve">Proteção mecânica  armada com tela galvanizada, fio 22, malha 1". (Apenas no piso e rodapé. Para  evitar danos ao sistema de impermeabilização caso seja usada alguma escada para acesso ao fundo)</t>
  </si>
  <si>
    <t xml:space="preserve">19.07.03</t>
  </si>
  <si>
    <t xml:space="preserve">Reservatório</t>
  </si>
  <si>
    <t xml:space="preserve">19.07.04</t>
  </si>
  <si>
    <t xml:space="preserve">Meia cana 5x5cm/ Reforço de canto com argamassa epóxica (Mistura de 1 traço de epóxi com 2 de areia seca)</t>
  </si>
  <si>
    <t xml:space="preserve">19.07.05</t>
  </si>
  <si>
    <t xml:space="preserve">19.08</t>
  </si>
  <si>
    <t xml:space="preserve"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</si>
  <si>
    <t xml:space="preserve">19.08.01</t>
  </si>
  <si>
    <t xml:space="preserve">19.08.02</t>
  </si>
  <si>
    <t xml:space="preserve">LPI Cx d'agua - manta auto protegida ardosiada tipo III, tipo B, 4mm de espessura (3mm de manta + 1mm de grânulos minerais) colada com maçarico de gás GLP</t>
  </si>
  <si>
    <t xml:space="preserve">19.08.03</t>
  </si>
  <si>
    <t xml:space="preserve">LPI Cx d'agua -  manta asfáltica tipo III, 4mm de espessura, classe B acabamento PP, colada com maçarico de gás GLP</t>
  </si>
  <si>
    <t xml:space="preserve">19.08.04</t>
  </si>
  <si>
    <t xml:space="preserve">19.09</t>
  </si>
  <si>
    <t xml:space="preserve"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</si>
  <si>
    <t xml:space="preserve">19.09.01</t>
  </si>
  <si>
    <t xml:space="preserve">Reforço de canto com adesivo epóxi e argamassa epoxídica (Apicoar para aderência). Se aplica apenas quando há brocas</t>
  </si>
  <si>
    <t xml:space="preserve">19.09.02</t>
  </si>
  <si>
    <t xml:space="preserve">Poço do elevador</t>
  </si>
  <si>
    <t xml:space="preserve">19.09.03</t>
  </si>
  <si>
    <t xml:space="preserve">Sala gerador</t>
  </si>
  <si>
    <t xml:space="preserve">19.09.04</t>
  </si>
  <si>
    <t xml:space="preserve">19.10</t>
  </si>
  <si>
    <t xml:space="preserve"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</si>
  <si>
    <t xml:space="preserve">19.10.01</t>
  </si>
  <si>
    <t xml:space="preserve">19.11</t>
  </si>
  <si>
    <t xml:space="preserve"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</si>
  <si>
    <t xml:space="preserve">19.11.01</t>
  </si>
  <si>
    <t xml:space="preserve">19.11.02</t>
  </si>
  <si>
    <t xml:space="preserve">Proteção mecânica armada estruturada com tela galvanizada fio 22 malha de 1" (Ancoradas em barra de aço e pinos de aço chumbados no concreto)</t>
  </si>
  <si>
    <t xml:space="preserve">19.11.03</t>
  </si>
  <si>
    <t xml:space="preserve">19.11.04</t>
  </si>
  <si>
    <t xml:space="preserve">Cantoneira de alumínio/ Galvanizada 2x2 fixada com parafuso e bucha S6 a cada 30cm</t>
  </si>
  <si>
    <t xml:space="preserve">19.11.05</t>
  </si>
  <si>
    <t xml:space="preserve">Junta perimetral e rejuntamento preenchidos com mastique de poliuretano</t>
  </si>
  <si>
    <t xml:space="preserve">19.11.06</t>
  </si>
  <si>
    <t xml:space="preserve">Barras de aço Ø8mm, para Ancoragem no topo da borda da piscina</t>
  </si>
  <si>
    <t xml:space="preserve">19.11.07</t>
  </si>
  <si>
    <t xml:space="preserve">Piscina adulto| infantil e prainha</t>
  </si>
  <si>
    <t xml:space="preserve">19.11.08</t>
  </si>
  <si>
    <t xml:space="preserve">18/01/2027</t>
  </si>
  <si>
    <t xml:space="preserve">12/03/2029</t>
  </si>
  <si>
    <t xml:space="preserve">20.01</t>
  </si>
  <si>
    <t xml:space="preserve">Entrada e geração de energia</t>
  </si>
  <si>
    <t xml:space="preserve">01/03/2028</t>
  </si>
  <si>
    <t xml:space="preserve">20.01.01</t>
  </si>
  <si>
    <t xml:space="preserve">Transformadores</t>
  </si>
  <si>
    <t xml:space="preserve">20.02</t>
  </si>
  <si>
    <t xml:space="preserve">Instalações Elétricas Prediais de Baixa Tensão</t>
  </si>
  <si>
    <t xml:space="preserve">20.02.01</t>
  </si>
  <si>
    <t xml:space="preserve">Ramal De Entrada</t>
  </si>
  <si>
    <t xml:space="preserve">05/02/2027</t>
  </si>
  <si>
    <t xml:space="preserve">20.02.02</t>
  </si>
  <si>
    <t xml:space="preserve">Prumadas E Caixas De Distribuição</t>
  </si>
  <si>
    <t xml:space="preserve">09/06/2027</t>
  </si>
  <si>
    <t xml:space="preserve">25/10/2028</t>
  </si>
  <si>
    <t xml:space="preserve">20.02.03</t>
  </si>
  <si>
    <t xml:space="preserve">Cabeamento de alimentação</t>
  </si>
  <si>
    <t xml:space="preserve">01/10/2027</t>
  </si>
  <si>
    <t xml:space="preserve">20.02.04</t>
  </si>
  <si>
    <t xml:space="preserve">Quadros De Circuitos</t>
  </si>
  <si>
    <t xml:space="preserve">22/05/2028</t>
  </si>
  <si>
    <t xml:space="preserve">20.02.05</t>
  </si>
  <si>
    <t xml:space="preserve">Fiação de distribuição</t>
  </si>
  <si>
    <t xml:space="preserve">24/10/2028</t>
  </si>
  <si>
    <t xml:space="preserve">20.02.06</t>
  </si>
  <si>
    <t xml:space="preserve">Tubulação E Caixas em Lajes</t>
  </si>
  <si>
    <t xml:space="preserve">20.02.07</t>
  </si>
  <si>
    <t xml:space="preserve">Tubulação E Caixas em Paredes</t>
  </si>
  <si>
    <t xml:space="preserve">20.02.08</t>
  </si>
  <si>
    <t xml:space="preserve">Tomadas, Interruptores e Sensores</t>
  </si>
  <si>
    <t xml:space="preserve">07/04/2028</t>
  </si>
  <si>
    <t xml:space="preserve">20.02.09</t>
  </si>
  <si>
    <t xml:space="preserve">Placas e acabamentos</t>
  </si>
  <si>
    <t xml:space="preserve">20.02.10</t>
  </si>
  <si>
    <t xml:space="preserve">Luminotécnico</t>
  </si>
  <si>
    <t xml:space="preserve">20.03</t>
  </si>
  <si>
    <t xml:space="preserve">Instalações elétricas complementares</t>
  </si>
  <si>
    <t xml:space="preserve">26/10/2028</t>
  </si>
  <si>
    <t xml:space="preserve">20.03.01</t>
  </si>
  <si>
    <t xml:space="preserve">SPDA</t>
  </si>
  <si>
    <t xml:space="preserve">03/08/2028</t>
  </si>
  <si>
    <t xml:space="preserve">20.03.02</t>
  </si>
  <si>
    <t xml:space="preserve">Automação</t>
  </si>
  <si>
    <t xml:space="preserve">20.03.03</t>
  </si>
  <si>
    <t xml:space="preserve">Telefonia</t>
  </si>
  <si>
    <t xml:space="preserve">20.03.04</t>
  </si>
  <si>
    <t xml:space="preserve">Interfones</t>
  </si>
  <si>
    <t xml:space="preserve">20.03.05</t>
  </si>
  <si>
    <t xml:space="preserve">Cabeamento lógico</t>
  </si>
  <si>
    <t xml:space="preserve">20.03.06</t>
  </si>
  <si>
    <t xml:space="preserve">Antena coletiva de TV</t>
  </si>
  <si>
    <t xml:space="preserve">20.03.07</t>
  </si>
  <si>
    <t xml:space="preserve">CFTV</t>
  </si>
  <si>
    <t xml:space="preserve">11/01/2027</t>
  </si>
  <si>
    <t xml:space="preserve">23/08/2028</t>
  </si>
  <si>
    <t xml:space="preserve">21.01</t>
  </si>
  <si>
    <t xml:space="preserve">Instalações Prediais de Água fria</t>
  </si>
  <si>
    <t xml:space="preserve">21/07/2028</t>
  </si>
  <si>
    <t xml:space="preserve">21.01.01</t>
  </si>
  <si>
    <t xml:space="preserve">Rede Concessionária</t>
  </si>
  <si>
    <t xml:space="preserve">24/09/2027</t>
  </si>
  <si>
    <t xml:space="preserve">29/11/2027</t>
  </si>
  <si>
    <t xml:space="preserve">21.01.02</t>
  </si>
  <si>
    <t xml:space="preserve">28/03/2028</t>
  </si>
  <si>
    <t xml:space="preserve">30/05/2028</t>
  </si>
  <si>
    <t xml:space="preserve">21.01.03</t>
  </si>
  <si>
    <t xml:space="preserve">Casa De Bombas</t>
  </si>
  <si>
    <t xml:space="preserve">21.01.04</t>
  </si>
  <si>
    <t xml:space="preserve">Furação Nas Lajes</t>
  </si>
  <si>
    <t xml:space="preserve">21.01.05</t>
  </si>
  <si>
    <t xml:space="preserve">Prumadas De Água Fria</t>
  </si>
  <si>
    <t xml:space="preserve">05/04/2027</t>
  </si>
  <si>
    <t xml:space="preserve">26/05/2028</t>
  </si>
  <si>
    <t xml:space="preserve">21.01.06</t>
  </si>
  <si>
    <t xml:space="preserve">Distribuição</t>
  </si>
  <si>
    <t xml:space="preserve">21.01.07</t>
  </si>
  <si>
    <t xml:space="preserve">Registros e Válvulas</t>
  </si>
  <si>
    <t xml:space="preserve">21.01.08</t>
  </si>
  <si>
    <t xml:space="preserve">Caixas de passagem</t>
  </si>
  <si>
    <t xml:space="preserve">21.01.09</t>
  </si>
  <si>
    <t xml:space="preserve">Reservatórios</t>
  </si>
  <si>
    <t xml:space="preserve">21.02</t>
  </si>
  <si>
    <t xml:space="preserve">Instalações Prediais de Água Quente</t>
  </si>
  <si>
    <t xml:space="preserve">21.02.01</t>
  </si>
  <si>
    <t xml:space="preserve">21.02.02</t>
  </si>
  <si>
    <t xml:space="preserve">Prumadas De Água quente</t>
  </si>
  <si>
    <t xml:space="preserve">21.02.03</t>
  </si>
  <si>
    <t xml:space="preserve">21.02.04</t>
  </si>
  <si>
    <t xml:space="preserve">21.02.05</t>
  </si>
  <si>
    <t xml:space="preserve">21.03</t>
  </si>
  <si>
    <t xml:space="preserve">Instalações Sanitárias Prediais</t>
  </si>
  <si>
    <t xml:space="preserve">21.03.01</t>
  </si>
  <si>
    <t xml:space="preserve">Prumadas  De Esgoto e Ventilação</t>
  </si>
  <si>
    <t xml:space="preserve">21.03.02</t>
  </si>
  <si>
    <t xml:space="preserve">Distribuição Interna De Esgoto</t>
  </si>
  <si>
    <t xml:space="preserve">21.03.03</t>
  </si>
  <si>
    <t xml:space="preserve">Redes Coletoras De Esgoto</t>
  </si>
  <si>
    <t xml:space="preserve">21.03.04</t>
  </si>
  <si>
    <t xml:space="preserve">21.04</t>
  </si>
  <si>
    <t xml:space="preserve">Instalações pluviais Prediais</t>
  </si>
  <si>
    <t xml:space="preserve">21.04.01</t>
  </si>
  <si>
    <t xml:space="preserve">Prumadas  pluviais</t>
  </si>
  <si>
    <t xml:space="preserve">21.04.02</t>
  </si>
  <si>
    <t xml:space="preserve">Redes Coletoras de água pluvial</t>
  </si>
  <si>
    <t xml:space="preserve">21.04.03</t>
  </si>
  <si>
    <t xml:space="preserve">21.05</t>
  </si>
  <si>
    <t xml:space="preserve">Instalações hidráulicas complementares</t>
  </si>
  <si>
    <t xml:space="preserve">21.05.01</t>
  </si>
  <si>
    <t xml:space="preserve">Instalações de Gás de cozinha</t>
  </si>
  <si>
    <t xml:space="preserve">07/08/2028</t>
  </si>
  <si>
    <t xml:space="preserve">21.05.02</t>
  </si>
  <si>
    <t xml:space="preserve">Aquecedores de passagem à gás</t>
  </si>
  <si>
    <t xml:space="preserve">21.05.03</t>
  </si>
  <si>
    <t xml:space="preserve">Aquecedores Solares</t>
  </si>
  <si>
    <t xml:space="preserve">01/06/2028</t>
  </si>
  <si>
    <t xml:space="preserve">21.05.04</t>
  </si>
  <si>
    <t xml:space="preserve">Rede de extensão de água/esgoto</t>
  </si>
  <si>
    <t xml:space="preserve">30/03/2027</t>
  </si>
  <si>
    <t xml:space="preserve">05/02/2029</t>
  </si>
  <si>
    <t xml:space="preserve">22.01</t>
  </si>
  <si>
    <t xml:space="preserve">Prumadas de incendio</t>
  </si>
  <si>
    <t xml:space="preserve">18/04/2028</t>
  </si>
  <si>
    <t xml:space="preserve">22.02</t>
  </si>
  <si>
    <t xml:space="preserve">22.03</t>
  </si>
  <si>
    <t xml:space="preserve">Hidrantes, mangueiras, registros e caixas</t>
  </si>
  <si>
    <t xml:space="preserve">04/10/2027</t>
  </si>
  <si>
    <t xml:space="preserve">22.04</t>
  </si>
  <si>
    <t xml:space="preserve">Extintores de incêndio</t>
  </si>
  <si>
    <t xml:space="preserve">22.05</t>
  </si>
  <si>
    <t xml:space="preserve">Comunicação visual</t>
  </si>
  <si>
    <t xml:space="preserve">22/06/2027</t>
  </si>
  <si>
    <t xml:space="preserve">09/02/2029</t>
  </si>
  <si>
    <t xml:space="preserve">23.01</t>
  </si>
  <si>
    <t xml:space="preserve">19/05/2028</t>
  </si>
  <si>
    <t xml:space="preserve">23.01.01</t>
  </si>
  <si>
    <t xml:space="preserve">Abertura automática de portões de garagem</t>
  </si>
  <si>
    <t xml:space="preserve">23.01.02</t>
  </si>
  <si>
    <t xml:space="preserve">Estação de carga para carro elétrico - 1 por apartamento - infra + cabeamento</t>
  </si>
  <si>
    <t xml:space="preserve">23.02</t>
  </si>
  <si>
    <t xml:space="preserve">Ar condicionado,  exaustão e pressurização</t>
  </si>
  <si>
    <t xml:space="preserve">16/07/2027</t>
  </si>
  <si>
    <t xml:space="preserve">14/09/2028</t>
  </si>
  <si>
    <t xml:space="preserve">23.02.01</t>
  </si>
  <si>
    <t xml:space="preserve">Ar condicionado - Infra para área comum e apartamentos</t>
  </si>
  <si>
    <t xml:space="preserve">23.02.02</t>
  </si>
  <si>
    <t xml:space="preserve">Sistema de exaustão tipo ventokit</t>
  </si>
  <si>
    <t xml:space="preserve">23.02.03</t>
  </si>
  <si>
    <t xml:space="preserve">Sistema de Pressurização</t>
  </si>
  <si>
    <t xml:space="preserve">23.02.04</t>
  </si>
  <si>
    <t xml:space="preserve">Sistema de exaustão do subsolo comercial</t>
  </si>
  <si>
    <t xml:space="preserve">23.03</t>
  </si>
  <si>
    <t xml:space="preserve">Serviços Complementares diversos</t>
  </si>
  <si>
    <t xml:space="preserve">20/09/2027</t>
  </si>
  <si>
    <t xml:space="preserve">23.03.01</t>
  </si>
  <si>
    <t xml:space="preserve">Maquinário para Piscina</t>
  </si>
  <si>
    <t xml:space="preserve">02/08/2028</t>
  </si>
  <si>
    <t xml:space="preserve">23.03.02</t>
  </si>
  <si>
    <t xml:space="preserve">Maquinário para sauna</t>
  </si>
  <si>
    <t xml:space="preserve">23.03.03</t>
  </si>
  <si>
    <t xml:space="preserve">Protecao Anti-Impacto Nas Garagens</t>
  </si>
  <si>
    <t xml:space="preserve">23.03.04</t>
  </si>
  <si>
    <t xml:space="preserve">Brinquedos para playground</t>
  </si>
  <si>
    <t xml:space="preserve">27/10/2028</t>
  </si>
  <si>
    <t xml:space="preserve">18/12/2028</t>
  </si>
  <si>
    <t xml:space="preserve">23.03.05</t>
  </si>
  <si>
    <t xml:space="preserve">Bancada em chapa ACM ref.: Engebold aço cortén oxid (Lounge bar)</t>
  </si>
  <si>
    <t xml:space="preserve">11/10/2028</t>
  </si>
  <si>
    <t xml:space="preserve">23.03.06</t>
  </si>
  <si>
    <t xml:space="preserve">Pontos de ancoragem para limpeza e manutenção de fachadas</t>
  </si>
  <si>
    <t xml:space="preserve">29/03/2028</t>
  </si>
  <si>
    <t xml:space="preserve">04/04/2028</t>
  </si>
  <si>
    <t xml:space="preserve">23.04</t>
  </si>
  <si>
    <t xml:space="preserve">Quadras</t>
  </si>
  <si>
    <t xml:space="preserve">08/08/2028</t>
  </si>
  <si>
    <t xml:space="preserve">10/10/2028</t>
  </si>
  <si>
    <t xml:space="preserve">23.04.01</t>
  </si>
  <si>
    <t xml:space="preserve">Quadra recreação A=86,40m2 -  pintura epoxi fosca, cores conforme detalhamento, ref.: Suvinil, aplicado sobre piso em concreto com acabamento mecânico liso.</t>
  </si>
  <si>
    <t xml:space="preserve">23.05</t>
  </si>
  <si>
    <t xml:space="preserve">Tratamento acústico</t>
  </si>
  <si>
    <t xml:space="preserve">23.05.01</t>
  </si>
  <si>
    <t xml:space="preserve">PI02 - Contrapiso flutuante: Contrapiso armado sobre painel de lã de vidro, (sistema Optima piso, membrana flexível, 15mm de espessura, ref. Isover para evitar fissuras, o contrapsio deverá ser armado com tela tipo "pop soldada".</t>
  </si>
  <si>
    <t xml:space="preserve">23.05.02</t>
  </si>
  <si>
    <t xml:space="preserve">PI03 - Contrapiso flutuante - Bombas e GMG: Base de concreto armado, de 10cm, sobre forma perdida de placa cimentícia de 10mm e painel de lã de PET, 50mm de espessura e 35kg /m3 de densidade, na projeção das bombas</t>
  </si>
  <si>
    <t xml:space="preserve">23.05.03</t>
  </si>
  <si>
    <t xml:space="preserve">PI04 - Base de inércia elevadores: Base de concreto armado, a ser dimensionada, sobre forma perdida de placa cimentícia de 10mm, e painel de lâ de PET, 50mm de espessura, e 35kg de densidade.</t>
  </si>
  <si>
    <t xml:space="preserve">23.05.04</t>
  </si>
  <si>
    <t xml:space="preserve">RE01 - Revestimento de parede de absorção acústica composto por 1 manta de lã de PET com 35kg/m3 de densidade e 50mm de espessura. Fixado perfis próprios metálicos, ref. Trisoft ou similar</t>
  </si>
  <si>
    <t xml:space="preserve">23.05.05</t>
  </si>
  <si>
    <t xml:space="preserve">FO01 -  Forro de absorção acústica composto por 1 manta de lã de PET com 35kg/m3 de densidade e 50mm de espessura. Fixado perfis próprios metálicos, ref. Trisoft ou similar</t>
  </si>
  <si>
    <t xml:space="preserve">23.05.06</t>
  </si>
  <si>
    <t xml:space="preserve"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</si>
  <si>
    <t xml:space="preserve">23.05.07</t>
  </si>
  <si>
    <t xml:space="preserve">FO03 - Forro de isolamento acústico composto por 1 nível de forro fge ( estruturado) com 2 chapas de gesso st (standard) cada um. preenchimento superior com 1 manta de lã de
pet com 35kg/m³ de densidade e 50mm de espessura</t>
  </si>
  <si>
    <t xml:space="preserve">09/10/2028</t>
  </si>
  <si>
    <t xml:space="preserve">24.01</t>
  </si>
  <si>
    <t xml:space="preserve">Elevador Comercial - 2 paradas</t>
  </si>
  <si>
    <t xml:space="preserve">24.02</t>
  </si>
  <si>
    <t xml:space="preserve">Elevador de Serviço Residencial - 34 paradas</t>
  </si>
  <si>
    <t xml:space="preserve">24.03</t>
  </si>
  <si>
    <t xml:space="preserve">Elevador Social Residencial - 34 paradas</t>
  </si>
  <si>
    <t xml:space="preserve">24.04</t>
  </si>
  <si>
    <t xml:space="preserve">Proteção para fosso dos elevadores</t>
  </si>
  <si>
    <t xml:space="preserve">24.05</t>
  </si>
  <si>
    <t xml:space="preserve">Instalação de bomba sapo para drenagem do poço do elevador</t>
  </si>
  <si>
    <t xml:space="preserve">24.06</t>
  </si>
  <si>
    <t xml:space="preserve">Proteção de elevadores definitivos com madeira, papelão e plástico durante a utilização pela obra</t>
  </si>
  <si>
    <t xml:space="preserve">24.07</t>
  </si>
  <si>
    <t xml:space="preserve">Serviços complementares à instalação e operação dos elevadores (içamento de motor, chumbamento de portas, preparo do poço)</t>
  </si>
  <si>
    <t xml:space="preserve">07/12/2027</t>
  </si>
  <si>
    <t xml:space="preserve">17/11/2028</t>
  </si>
  <si>
    <t xml:space="preserve">25.02</t>
  </si>
  <si>
    <t xml:space="preserve">Esquadrias de alumínio</t>
  </si>
  <si>
    <t xml:space="preserve">25.02.01</t>
  </si>
  <si>
    <t xml:space="preserve">Contramarcos para esquadrias de alumínio</t>
  </si>
  <si>
    <t xml:space="preserve">25.02.02</t>
  </si>
  <si>
    <t xml:space="preserve">25.02.03</t>
  </si>
  <si>
    <t xml:space="preserve">Marquise da varanda do pavimento térreo</t>
  </si>
  <si>
    <t xml:space="preserve">25.02.04</t>
  </si>
  <si>
    <t xml:space="preserve">Brise de fechamento das garagens</t>
  </si>
  <si>
    <t xml:space="preserve">26/07/2028</t>
  </si>
  <si>
    <t xml:space="preserve">26/09/2028</t>
  </si>
  <si>
    <t xml:space="preserve">25.02.05</t>
  </si>
  <si>
    <t xml:space="preserve">Brise em veneziana de alumínio cor Bronze 104</t>
  </si>
  <si>
    <t xml:space="preserve">25.02.06</t>
  </si>
  <si>
    <t xml:space="preserve">Veneziana - Platibanda cobertura</t>
  </si>
  <si>
    <t xml:space="preserve">02/08/2027</t>
  </si>
  <si>
    <t xml:space="preserve">25/01/2029</t>
  </si>
  <si>
    <t xml:space="preserve">26.01</t>
  </si>
  <si>
    <t xml:space="preserve">Portas corta-fogo</t>
  </si>
  <si>
    <t xml:space="preserve">14/02/2028</t>
  </si>
  <si>
    <t xml:space="preserve">16/01/2029</t>
  </si>
  <si>
    <t xml:space="preserve">26.01.01</t>
  </si>
  <si>
    <t xml:space="preserve">PCF1 - Porta corta-fogo 1fl de abrir, 90x210cm</t>
  </si>
  <si>
    <t xml:space="preserve">26.01.02</t>
  </si>
  <si>
    <t xml:space="preserve">PCF2 - Porta corta-fogo 1fl de abrir, 100x210cm</t>
  </si>
  <si>
    <t xml:space="preserve">26.01.03</t>
  </si>
  <si>
    <t xml:space="preserve">PCF3 - Porta corta-fogo 1fl de abrir, 120x210cm</t>
  </si>
  <si>
    <t xml:space="preserve">26.01.04</t>
  </si>
  <si>
    <t xml:space="preserve">PCF4 - Porta corta-fogo 2fls de abrir, 150x210cm</t>
  </si>
  <si>
    <t xml:space="preserve">26.02</t>
  </si>
  <si>
    <t xml:space="preserve">Portas de chapa lisa</t>
  </si>
  <si>
    <t xml:space="preserve">29/06/2028</t>
  </si>
  <si>
    <t xml:space="preserve">26.02.01</t>
  </si>
  <si>
    <t xml:space="preserve">PMe1 - Porta em aço galvanizado, 1fl de abrir, 80x210cm</t>
  </si>
  <si>
    <t xml:space="preserve">26.02.02</t>
  </si>
  <si>
    <t xml:space="preserve">PMe2 - Porta em aço galvanizado, 1fl de abrir, 90x210cm</t>
  </si>
  <si>
    <t xml:space="preserve">26.03</t>
  </si>
  <si>
    <t xml:space="preserve">Alçapões</t>
  </si>
  <si>
    <t xml:space="preserve">26.03.01</t>
  </si>
  <si>
    <t xml:space="preserve">Alçapão de chapa lisa 200x130cm</t>
  </si>
  <si>
    <t xml:space="preserve">26.03.02</t>
  </si>
  <si>
    <t xml:space="preserve">Alçapão de chapa lisa 80x80cm</t>
  </si>
  <si>
    <t xml:space="preserve">26.03.03</t>
  </si>
  <si>
    <t xml:space="preserve">AL02 - Portinhola de abrir em aço galvanizado, 80x80cm</t>
  </si>
  <si>
    <t xml:space="preserve">26.03.04</t>
  </si>
  <si>
    <t xml:space="preserve">AL01 - Portinhola de abrir em aço galvanizado, 80x60cm</t>
  </si>
  <si>
    <t xml:space="preserve">26.04</t>
  </si>
  <si>
    <t xml:space="preserve">Corrimaos e guarda corpos</t>
  </si>
  <si>
    <t xml:space="preserve">22/02/2028</t>
  </si>
  <si>
    <t xml:space="preserve">26.04.01</t>
  </si>
  <si>
    <t xml:space="preserve">Corrimãos em aço carbono pintados com tinta esmalte</t>
  </si>
  <si>
    <t xml:space="preserve">26.04.02</t>
  </si>
  <si>
    <t xml:space="preserve">Guarda-corpo tubular de aço H=120cm</t>
  </si>
  <si>
    <t xml:space="preserve">26.05</t>
  </si>
  <si>
    <t xml:space="preserve">Gradis, portoes e fechamentos</t>
  </si>
  <si>
    <t xml:space="preserve">26.05.01</t>
  </si>
  <si>
    <t xml:space="preserve">Al 01 - Alambrado a ser definido, tonalidade Bronze 104</t>
  </si>
  <si>
    <t xml:space="preserve">26.06</t>
  </si>
  <si>
    <t xml:space="preserve">Escadas</t>
  </si>
  <si>
    <t xml:space="preserve">26.06.01</t>
  </si>
  <si>
    <t xml:space="preserve">Escada de marinheiro - degraus chumbados</t>
  </si>
  <si>
    <t xml:space="preserve">26.07</t>
  </si>
  <si>
    <t xml:space="preserve">Diversos</t>
  </si>
  <si>
    <t xml:space="preserve">26.07.01</t>
  </si>
  <si>
    <t xml:space="preserve">Canaleta de drenagem com grelha de aço para estacionamento</t>
  </si>
  <si>
    <t xml:space="preserve">26.07.02</t>
  </si>
  <si>
    <t xml:space="preserve">Grelha praça pavimentada</t>
  </si>
  <si>
    <t xml:space="preserve">04/02/2028</t>
  </si>
  <si>
    <t xml:space="preserve">27.01</t>
  </si>
  <si>
    <t xml:space="preserve">Esquadrias de madeira</t>
  </si>
  <si>
    <t xml:space="preserve">12/01/2029</t>
  </si>
  <si>
    <t xml:space="preserve">27.01.01</t>
  </si>
  <si>
    <t xml:space="preserve">Portas</t>
  </si>
  <si>
    <t xml:space="preserve">27.01.01.01</t>
  </si>
  <si>
    <t xml:space="preserve">P01 - Porta de madeira, 1fl de abrir, 60x210cm</t>
  </si>
  <si>
    <t xml:space="preserve">27.01.01.02</t>
  </si>
  <si>
    <t xml:space="preserve">P02 - Porta de madeira, correr 1fl, 60x210cm</t>
  </si>
  <si>
    <t xml:space="preserve">27.01.01.03</t>
  </si>
  <si>
    <t xml:space="preserve">P03 - Porta de madeira, 1fl de abrir, 70x210cm</t>
  </si>
  <si>
    <t xml:space="preserve">27.01.01.04</t>
  </si>
  <si>
    <t xml:space="preserve">P04 - Porta de madeira, correr 1fl, 70x210cm</t>
  </si>
  <si>
    <t xml:space="preserve">27.01.01.05</t>
  </si>
  <si>
    <t xml:space="preserve">P03 - Porta de madeira, 1fl de abrir, 80x210cm</t>
  </si>
  <si>
    <t xml:space="preserve">27.01.01.06</t>
  </si>
  <si>
    <t xml:space="preserve">P05 - Porta de madeira, 1fl de abrir, 80x210cm</t>
  </si>
  <si>
    <t xml:space="preserve">27.01.01.07</t>
  </si>
  <si>
    <t xml:space="preserve">P06 - Porta de madeira, 1fl de abrir, 90x210cm</t>
  </si>
  <si>
    <t xml:space="preserve">27.01.01.08</t>
  </si>
  <si>
    <t xml:space="preserve">P08 - Porta de madeira, correr 1fl, 120x210cm</t>
  </si>
  <si>
    <t xml:space="preserve">27.01.01.09</t>
  </si>
  <si>
    <t xml:space="preserve">Preenchimento lateral para portas com espuma expansiva de poliuretano</t>
  </si>
  <si>
    <t xml:space="preserve">27.01.02</t>
  </si>
  <si>
    <t xml:space="preserve">Ferragens</t>
  </si>
  <si>
    <t xml:space="preserve">27.01.02.01</t>
  </si>
  <si>
    <t xml:space="preserve">Dobradiça cromada 3"</t>
  </si>
  <si>
    <t xml:space="preserve">27.01.02.02</t>
  </si>
  <si>
    <t xml:space="preserve">Fechadura multiponto com lingueta (4 bolts em aço maciço no sistema de travamento central e 3 em cada sistema auxiliar (mul-T-lock)| Cilindro perfil euro com chaves  codificadas e cópias controladas mediante autorização (ref.: Mul-T-Lock)</t>
  </si>
  <si>
    <t xml:space="preserve">27.01.02.03</t>
  </si>
  <si>
    <t xml:space="preserve">Fechadura biométrica</t>
  </si>
  <si>
    <t xml:space="preserve">27.01.02.04</t>
  </si>
  <si>
    <t xml:space="preserve">Conjunto de ferragens para porta de correr com montagem por fora da alvenaria</t>
  </si>
  <si>
    <t xml:space="preserve">27.01.02.05</t>
  </si>
  <si>
    <t xml:space="preserve">Conjunto de ferragens para porta de correr com montagem por dentro da alvenaria (porta concha)</t>
  </si>
  <si>
    <t xml:space="preserve">27.01.02.06</t>
  </si>
  <si>
    <t xml:space="preserve">Cadeado PADO para alçapões</t>
  </si>
  <si>
    <t xml:space="preserve">27.02</t>
  </si>
  <si>
    <t xml:space="preserve">Paineis</t>
  </si>
  <si>
    <t xml:space="preserve">27.02.01</t>
  </si>
  <si>
    <t xml:space="preserve">Paines de MDF para fechamento de shafts</t>
  </si>
  <si>
    <t xml:space="preserve">16/04/2027</t>
  </si>
  <si>
    <t xml:space="preserve">28.01</t>
  </si>
  <si>
    <t xml:space="preserve">Serviços complentares ao piso internos</t>
  </si>
  <si>
    <t xml:space="preserve">28.01.01</t>
  </si>
  <si>
    <t xml:space="preserve">Taliscamento de Pisos</t>
  </si>
  <si>
    <t xml:space="preserve">09/05/2028</t>
  </si>
  <si>
    <t xml:space="preserve">28.01.02</t>
  </si>
  <si>
    <t xml:space="preserve">28.01.03</t>
  </si>
  <si>
    <t xml:space="preserve">(Lojas) Camada de regularização com argamassa de cimento e areia</t>
  </si>
  <si>
    <t xml:space="preserve">28.01.04</t>
  </si>
  <si>
    <t xml:space="preserve">Proteção de pisos contra tráfego de obra</t>
  </si>
  <si>
    <t xml:space="preserve">28.02</t>
  </si>
  <si>
    <t xml:space="preserve">Serviços complentares ao piso externos</t>
  </si>
  <si>
    <t xml:space="preserve">28.02.01</t>
  </si>
  <si>
    <t xml:space="preserve">28.02.02</t>
  </si>
  <si>
    <t xml:space="preserve">21/06/2028</t>
  </si>
  <si>
    <t xml:space="preserve">29.01</t>
  </si>
  <si>
    <t xml:space="preserve">Revestimentos Internos</t>
  </si>
  <si>
    <t xml:space="preserve">29.01.01</t>
  </si>
  <si>
    <t xml:space="preserve">Taliscamento de Parede</t>
  </si>
  <si>
    <t xml:space="preserve">29.01.02</t>
  </si>
  <si>
    <t xml:space="preserve">Chapisco</t>
  </si>
  <si>
    <t xml:space="preserve">26/05/2027</t>
  </si>
  <si>
    <t xml:space="preserve">29.01.03</t>
  </si>
  <si>
    <t xml:space="preserve">Emboço esp. 25mm</t>
  </si>
  <si>
    <t xml:space="preserve">29.01.04</t>
  </si>
  <si>
    <t xml:space="preserve">Reboco esp. 25mm</t>
  </si>
  <si>
    <t xml:space="preserve">29.01.05</t>
  </si>
  <si>
    <t xml:space="preserve">Espalas para esquadrias (até 40cm)</t>
  </si>
  <si>
    <t xml:space="preserve">24/08/2027</t>
  </si>
  <si>
    <t xml:space="preserve">15/02/2029</t>
  </si>
  <si>
    <t xml:space="preserve">30.01</t>
  </si>
  <si>
    <t xml:space="preserve">Pisos internos</t>
  </si>
  <si>
    <t xml:space="preserve">06/09/2027</t>
  </si>
  <si>
    <t xml:space="preserve">03/01/2029</t>
  </si>
  <si>
    <t xml:space="preserve">30.01.01</t>
  </si>
  <si>
    <t xml:space="preserve">Porcelanato</t>
  </si>
  <si>
    <t xml:space="preserve">28/09/2028</t>
  </si>
  <si>
    <t xml:space="preserve">30.01.01.01</t>
  </si>
  <si>
    <t xml:space="preserve">Piso Porcelanato, 120x120cm, com acabamento acetinado. Ref.: Eliane, Khali OffWhite AC, assentado com argamassa colante em pó ACIII</t>
  </si>
  <si>
    <t xml:space="preserve">30.01.01.02</t>
  </si>
  <si>
    <t xml:space="preserve">Piso Porcelanato, 90x90cm, com acabamento acetinado. Ref.: Eliane, Khali OffWhite AC, assentado com argamassa colante em pó ACIII</t>
  </si>
  <si>
    <t xml:space="preserve">30.01.01.03</t>
  </si>
  <si>
    <t xml:space="preserve">Piso Porcelanato, 120x120cm, com acabamento resistente ao escorregamento. Ref.: Eliane, Khali OffWhite EXT, assentado com argamassa colante em pó ACIII</t>
  </si>
  <si>
    <t xml:space="preserve">30.01.01.04</t>
  </si>
  <si>
    <t xml:space="preserve">Piso Porcelanato 90x90cm, com acabamento acetinado. Ref.: Eliane, Munari Branco AC, assentado com argamassa colante em pó ACIII</t>
  </si>
  <si>
    <t xml:space="preserve">30.01.01.05</t>
  </si>
  <si>
    <t xml:space="preserve">Piso Porcelanato 60x60cm, com acabamento acetinado. Ref.: Eliane, Munari Branco AC assentado com argamassa colante em pó ACIII</t>
  </si>
  <si>
    <t xml:space="preserve">30.01.01.06</t>
  </si>
  <si>
    <t xml:space="preserve">Piso Porcelanato Eliane Munari Branco AC 90x90cm, assentado com argamassa colante em pó ACIII</t>
  </si>
  <si>
    <t xml:space="preserve">30.01.01.07</t>
  </si>
  <si>
    <t xml:space="preserve">Piso Porcelanato Eliane FGMF Silica Corda MA 120x120cm, assentado com argamassa colante em pó ACIII</t>
  </si>
  <si>
    <t xml:space="preserve">30.01.02</t>
  </si>
  <si>
    <t xml:space="preserve">Emborrachados</t>
  </si>
  <si>
    <t xml:space="preserve">18/05/2028</t>
  </si>
  <si>
    <t xml:space="preserve">30.01.02.01</t>
  </si>
  <si>
    <t xml:space="preserve">Piso emborrachado Impact Soft Peso Livre Evolution (1x1m – Preto – Aubicon)</t>
  </si>
  <si>
    <t xml:space="preserve">30.01.03</t>
  </si>
  <si>
    <t xml:space="preserve">Pedras</t>
  </si>
  <si>
    <t xml:space="preserve">04/08/2028</t>
  </si>
  <si>
    <t xml:space="preserve">30.01.03.01</t>
  </si>
  <si>
    <t xml:space="preserve">Piso de granito Ornamental White, espessura 2cm, com acabamento levigado, assentado com argamassa colante em pó ACIII</t>
  </si>
  <si>
    <t xml:space="preserve">30.01.03.02</t>
  </si>
  <si>
    <t xml:space="preserve">Piso de mármore Branco Paraná Matarazzo escovado assentado com argamassa colante em pó ACIII</t>
  </si>
  <si>
    <t xml:space="preserve">30.01.03.03</t>
  </si>
  <si>
    <t xml:space="preserve">Piso de Granito Ornamental White levigado para elevadores  assentado com argamassa colante em pó ACIII</t>
  </si>
  <si>
    <t xml:space="preserve">30.01.04</t>
  </si>
  <si>
    <t xml:space="preserve">Sintéticos e Vinílicos</t>
  </si>
  <si>
    <t xml:space="preserve">24/01/2028</t>
  </si>
  <si>
    <t xml:space="preserve">30.01.04.01</t>
  </si>
  <si>
    <t xml:space="preserve">Piso vinílico em réguas, 18,4x121,9cm,  padrão madeirado. Ref.: Durafloor, Austin, llinha Urban.</t>
  </si>
  <si>
    <t xml:space="preserve">30.01.04.02</t>
  </si>
  <si>
    <t xml:space="preserve">Vinílico Durafloor Austin Liha Urbann (2mm)</t>
  </si>
  <si>
    <t xml:space="preserve">30.01.05</t>
  </si>
  <si>
    <t xml:space="preserve">Concreto e/ou cimentados</t>
  </si>
  <si>
    <t xml:space="preserve">24/03/2028</t>
  </si>
  <si>
    <t xml:space="preserve">15/12/2028</t>
  </si>
  <si>
    <t xml:space="preserve">30.01.05.01</t>
  </si>
  <si>
    <t xml:space="preserve">Concreto mecanizado com acabamento polido, sem camada de regularização</t>
  </si>
  <si>
    <t xml:space="preserve">30.01.05.02</t>
  </si>
  <si>
    <t xml:space="preserve">Piso cimentado queimado - panos amplos</t>
  </si>
  <si>
    <t xml:space="preserve">30.01.05.03</t>
  </si>
  <si>
    <t xml:space="preserve">Piso cimentado queimado - escadarias</t>
  </si>
  <si>
    <t xml:space="preserve">30.01.05.04</t>
  </si>
  <si>
    <t xml:space="preserve">Piso em ladrilho hidráulico 20x20cm, modelo rampa, cor cinza.</t>
  </si>
  <si>
    <t xml:space="preserve">30.02</t>
  </si>
  <si>
    <t xml:space="preserve">Rodapés internos</t>
  </si>
  <si>
    <t xml:space="preserve">17/02/2028</t>
  </si>
  <si>
    <t xml:space="preserve">23/01/2029</t>
  </si>
  <si>
    <t xml:space="preserve">30.02.01</t>
  </si>
  <si>
    <t xml:space="preserve">30.02.01.01</t>
  </si>
  <si>
    <t xml:space="preserve">Rodapé para Piso Porcelanato, com acabamento acetinado. Ref.: Eliane, Khali OffWhite AC 10x120cm, assentado com argamassa colante em pó ACIII</t>
  </si>
  <si>
    <t xml:space="preserve">30.02.01.02</t>
  </si>
  <si>
    <t xml:space="preserve">30.02.01.03</t>
  </si>
  <si>
    <t xml:space="preserve">Rodapé para Piso Porcelanato, com acabamento resistente ao escorregamento. Ref.: Eliane, Khali OffWhite EXT 10x90cm, assentado com argamassa colante em pó ACIII</t>
  </si>
  <si>
    <t xml:space="preserve">30.02.01.04</t>
  </si>
  <si>
    <t xml:space="preserve">Rodapé para Piso Porcelanato 90x90cm, com acabamento acetinado. Ref.: Eliane, Munari Branco AC, h=10cm, assentado com argamassa colante em pó ACIII</t>
  </si>
  <si>
    <t xml:space="preserve">30.02.01.05</t>
  </si>
  <si>
    <t xml:space="preserve">Rodapé para Piso Porcelanato 10x60cm, com acabamento acetinado. Ref.: Eliane, Munari Branco A, h=10cm, assentado com argamassa colante em pó ACIII</t>
  </si>
  <si>
    <t xml:space="preserve">30.02.03</t>
  </si>
  <si>
    <t xml:space="preserve">30.02.03.01</t>
  </si>
  <si>
    <t xml:space="preserve">Rodapé para Piso de granito Branco Ornamental White, acabamento levigado, assentado com argamassa colante em pó ACIII</t>
  </si>
  <si>
    <t xml:space="preserve">30.02.04</t>
  </si>
  <si>
    <t xml:space="preserve">30.02.04.01</t>
  </si>
  <si>
    <t xml:space="preserve">Rodapé em madeira reflorestada, cor branca, h=12cm. Ref.: Durafloor Easy Y-01 120.</t>
  </si>
  <si>
    <t xml:space="preserve">30.02.04.02</t>
  </si>
  <si>
    <t xml:space="preserve">Rodapé de poliestireno, ref.: Santa Luzia 480 com 150mm de altura, pintado na cor da parede</t>
  </si>
  <si>
    <t xml:space="preserve">30.02.04.03</t>
  </si>
  <si>
    <t xml:space="preserve">Perfil metálico "L" de transição entre pisos (Vinílico e porcelanato)</t>
  </si>
  <si>
    <t xml:space="preserve">30.03</t>
  </si>
  <si>
    <t xml:space="preserve">Pisos externos</t>
  </si>
  <si>
    <t xml:space="preserve">30.03.01</t>
  </si>
  <si>
    <t xml:space="preserve">18/08/2028</t>
  </si>
  <si>
    <t xml:space="preserve">30.03.01.01</t>
  </si>
  <si>
    <t xml:space="preserve">30.03.01.02</t>
  </si>
  <si>
    <t xml:space="preserve">Granito Cinza Castelo com acabamento flameado antiderrapante e detalhes em Granito Verde Ubatuba com acabamento flameado antiderrapante, conforme projeto de Paisagismo da Esplanada (equipe JA8</t>
  </si>
  <si>
    <t xml:space="preserve">30.03.02</t>
  </si>
  <si>
    <t xml:space="preserve">Pisos de Madeira</t>
  </si>
  <si>
    <t xml:space="preserve">01/08/2028</t>
  </si>
  <si>
    <t xml:space="preserve">30.03.02.01</t>
  </si>
  <si>
    <t xml:space="preserve">Deck em madeira Cumaru</t>
  </si>
  <si>
    <t xml:space="preserve">30.03.03</t>
  </si>
  <si>
    <t xml:space="preserve">Pisos Especiais</t>
  </si>
  <si>
    <t xml:space="preserve">30.03.03.01</t>
  </si>
  <si>
    <t xml:space="preserve">Piso Impact Soft 50 | Placas de 1x1 m | Aubicon</t>
  </si>
  <si>
    <t xml:space="preserve">30.03.03.02</t>
  </si>
  <si>
    <t xml:space="preserve">Piso elevado pilotis (Acabamento considerado nos itens específicos)</t>
  </si>
  <si>
    <t xml:space="preserve">30.04</t>
  </si>
  <si>
    <t xml:space="preserve">Rodapés externos</t>
  </si>
  <si>
    <t xml:space="preserve">30.04.01</t>
  </si>
  <si>
    <t xml:space="preserve">Rodapé para Piso de granito Branco Ornamental White, acabamento levigado, h=10cm, assentado com argamassa colante em pó ACIII</t>
  </si>
  <si>
    <t xml:space="preserve">30.05</t>
  </si>
  <si>
    <t xml:space="preserve">Paredes</t>
  </si>
  <si>
    <t xml:space="preserve">15/09/2028</t>
  </si>
  <si>
    <t xml:space="preserve">30.05.01</t>
  </si>
  <si>
    <t xml:space="preserve">Porcelanatos</t>
  </si>
  <si>
    <t xml:space="preserve">30.05.01.01</t>
  </si>
  <si>
    <t xml:space="preserve">Revestimento Porcelanato, 60x120cm, com acabamento acetinado. Ref.: Eliane, Khali OffWhite AC, assentado com argamassa colante em pó ACIII</t>
  </si>
  <si>
    <t xml:space="preserve">30.05.01.02</t>
  </si>
  <si>
    <t xml:space="preserve">Drywall - Revestimento Porcelanato, 60x120cm, com acabamento acetinado. Ref.: Eliane, Khali OffWhite AC, assentado com argamassa colante em pó ACIII</t>
  </si>
  <si>
    <t xml:space="preserve">30.05.01.03</t>
  </si>
  <si>
    <t xml:space="preserve">Revestimento Porcelanato branco, 32,5x59cm, com acabamento acetinado. Ref.: Eliane, Forma Branco AC RET assentado com argamassa colante em pó ACIII</t>
  </si>
  <si>
    <t xml:space="preserve">30.05.01.04</t>
  </si>
  <si>
    <t xml:space="preserve">Drywall - Revestimento Porcelanato branco, 32,5x59cm, com acabamento acetinado. Ref.: Eliane, Forma Branco AC RET assentado com argamassa colante em pó ACIII</t>
  </si>
  <si>
    <t xml:space="preserve">30.05.01.05</t>
  </si>
  <si>
    <t xml:space="preserve">Revestimento Porcelanato 60x60cm, com acabamento acetinado. Paginação conforme detalhamento. Ref.: Eliane, Munari Branco AC,  assentado com argamassa colante em pó ACIII</t>
  </si>
  <si>
    <t xml:space="preserve">30.05.01.06</t>
  </si>
  <si>
    <t xml:space="preserve">Revestimento Porcelanato Eliane Munari Branco AC 90x90cm assentado com argamassa colante em pó ACIII</t>
  </si>
  <si>
    <t xml:space="preserve">30.05.01.07</t>
  </si>
  <si>
    <t xml:space="preserve">Revestimento Porcelanato FGMF Silica Corda MA 120x120cm assentado com argamassa colante em pó ACIII</t>
  </si>
  <si>
    <t xml:space="preserve">30.05.01.08</t>
  </si>
  <si>
    <t xml:space="preserve">Revestimento Porcelanato Eliane Khali Off White AC 120x120cm assentado com argamassa colante em pó ACIII</t>
  </si>
  <si>
    <t xml:space="preserve">30.05.02</t>
  </si>
  <si>
    <t xml:space="preserve">Revestimento com pedras</t>
  </si>
  <si>
    <t xml:space="preserve">30.05.02.01</t>
  </si>
  <si>
    <t xml:space="preserve">Mosaido de Ardósia verde, assentado com argamassa de cimento e areia</t>
  </si>
  <si>
    <t xml:space="preserve">30.05.02.02</t>
  </si>
  <si>
    <t xml:space="preserve">Revestimento em mosaico verde escovada paginação "French Pattern" assentado com argamassa de cimento e areia</t>
  </si>
  <si>
    <t xml:space="preserve">30.05.03</t>
  </si>
  <si>
    <t xml:space="preserve">Papel de parede</t>
  </si>
  <si>
    <t xml:space="preserve">30.05.03.01</t>
  </si>
  <si>
    <t xml:space="preserve">Emassamento acrílico (1 demão + retoques)</t>
  </si>
  <si>
    <t xml:space="preserve">30.05.03.02</t>
  </si>
  <si>
    <t xml:space="preserve">30.05.03.03</t>
  </si>
  <si>
    <t xml:space="preserve">Pintura acrílica sobre paredes - Reboco (1 demão selador + 3 demãos Latex acrílico)</t>
  </si>
  <si>
    <t xml:space="preserve">30.05.03.04</t>
  </si>
  <si>
    <t xml:space="preserve">(Reboco) Papel de parede</t>
  </si>
  <si>
    <t xml:space="preserve">30.06</t>
  </si>
  <si>
    <t xml:space="preserve">Bancadas</t>
  </si>
  <si>
    <t xml:space="preserve">30.06.01</t>
  </si>
  <si>
    <t xml:space="preserve">Bancadas de granito branco siena escovado</t>
  </si>
  <si>
    <t xml:space="preserve">30.06.01.01</t>
  </si>
  <si>
    <t xml:space="preserve">Bancada em granito Branco Siena escovado</t>
  </si>
  <si>
    <t xml:space="preserve">30.06.01.02</t>
  </si>
  <si>
    <t xml:space="preserve">Fechamento lateral para bancada de granito</t>
  </si>
  <si>
    <t xml:space="preserve">30.06.01.03</t>
  </si>
  <si>
    <t xml:space="preserve">Testeira de granito Branco Siena escovado h=10cm</t>
  </si>
  <si>
    <t xml:space="preserve">30.06.01.04</t>
  </si>
  <si>
    <t xml:space="preserve">Rodabanca de granito Branco Siena escovado h=10cm</t>
  </si>
  <si>
    <t xml:space="preserve">30.06.01.05</t>
  </si>
  <si>
    <t xml:space="preserve">Furo e colagem de bojo</t>
  </si>
  <si>
    <t xml:space="preserve">30.06.01.06</t>
  </si>
  <si>
    <t xml:space="preserve">Mãos francesas para bancadas</t>
  </si>
  <si>
    <t xml:space="preserve">30.06.01.07</t>
  </si>
  <si>
    <t xml:space="preserve">Proteção de bancadas contra manuseio de obra</t>
  </si>
  <si>
    <t xml:space="preserve">30.06.02</t>
  </si>
  <si>
    <t xml:space="preserve">Bancadas de granito a definir  - Copa| Guarita SS</t>
  </si>
  <si>
    <t xml:space="preserve">30.06.02.01</t>
  </si>
  <si>
    <t xml:space="preserve">Bancadas de granito</t>
  </si>
  <si>
    <t xml:space="preserve">30.06.02.02</t>
  </si>
  <si>
    <t xml:space="preserve">Testeira de granito h=10cm</t>
  </si>
  <si>
    <t xml:space="preserve">30.06.02.03</t>
  </si>
  <si>
    <t xml:space="preserve">Rodabanca de granito h=10cm</t>
  </si>
  <si>
    <t xml:space="preserve">30.06.02.04</t>
  </si>
  <si>
    <t xml:space="preserve">30.06.02.05</t>
  </si>
  <si>
    <t xml:space="preserve">30.06.02.06</t>
  </si>
  <si>
    <t xml:space="preserve">30.06.03</t>
  </si>
  <si>
    <t xml:space="preserve">Bancada de Granito Verde Candeias Escovado</t>
  </si>
  <si>
    <t xml:space="preserve">30.06.03.01</t>
  </si>
  <si>
    <t xml:space="preserve">30.06.03.02</t>
  </si>
  <si>
    <t xml:space="preserve">Fechamento lateral para bancada de Granito Verde Candeias Escovado</t>
  </si>
  <si>
    <t xml:space="preserve">30.06.03.03</t>
  </si>
  <si>
    <t xml:space="preserve">Testeira de granito Verde Candeias Escovado h=10cm</t>
  </si>
  <si>
    <t xml:space="preserve">30.06.03.04</t>
  </si>
  <si>
    <t xml:space="preserve">Rodabanca de granito Verde Candeias Escovado h=10cm</t>
  </si>
  <si>
    <t xml:space="preserve">30.06.03.05</t>
  </si>
  <si>
    <t xml:space="preserve">30.06.03.06</t>
  </si>
  <si>
    <t xml:space="preserve">30.06.03.07</t>
  </si>
  <si>
    <t xml:space="preserve">30.06.04</t>
  </si>
  <si>
    <t xml:space="preserve">Bancadas de granito White Ornamental</t>
  </si>
  <si>
    <t xml:space="preserve">30.06.04.01</t>
  </si>
  <si>
    <t xml:space="preserve">Bancos em Granito White Ornamental levigado</t>
  </si>
  <si>
    <t xml:space="preserve">30.06.04.02</t>
  </si>
  <si>
    <t xml:space="preserve">Fechamento lateral para bancos em Granito White Ornamental levigado</t>
  </si>
  <si>
    <t xml:space="preserve">30.06.04.03</t>
  </si>
  <si>
    <t xml:space="preserve">Testeira de granito white ornamental h=10cm</t>
  </si>
  <si>
    <t xml:space="preserve">30.06.04.04</t>
  </si>
  <si>
    <t xml:space="preserve">30.06.05</t>
  </si>
  <si>
    <t xml:space="preserve">Bancada em mármore Branco tradicional levigado</t>
  </si>
  <si>
    <t xml:space="preserve">30.06.05.01</t>
  </si>
  <si>
    <t xml:space="preserve">30.06.05.02</t>
  </si>
  <si>
    <t xml:space="preserve">Bancada esculpida em mármore Branco tradicional levigado.</t>
  </si>
  <si>
    <t xml:space="preserve">30.06.05.03</t>
  </si>
  <si>
    <t xml:space="preserve">Testeira de mármore Branco tradicional levigado h=10cm</t>
  </si>
  <si>
    <t xml:space="preserve">30.06.05.04</t>
  </si>
  <si>
    <t xml:space="preserve">Rodabanca de mármore Branco tradicional levigado h=10cm</t>
  </si>
  <si>
    <t xml:space="preserve">30.06.05.05</t>
  </si>
  <si>
    <t xml:space="preserve">30.06.05.06</t>
  </si>
  <si>
    <t xml:space="preserve">30.06.05.07</t>
  </si>
  <si>
    <t xml:space="preserve">30.06.06</t>
  </si>
  <si>
    <t xml:space="preserve">Bancada em Quartzito Kalahari Escovado e Hidrofugado</t>
  </si>
  <si>
    <t xml:space="preserve">30.06.06.01</t>
  </si>
  <si>
    <t xml:space="preserve">30.06.06.02</t>
  </si>
  <si>
    <t xml:space="preserve">Cuba suspensa "esculpida" Quartzito Kalahari Escovado e Hidrofugado</t>
  </si>
  <si>
    <t xml:space="preserve">30.06.06.03</t>
  </si>
  <si>
    <t xml:space="preserve">Fechamento lateral para bancada em Quartzito Kalahari Escovado e Hidrofugado</t>
  </si>
  <si>
    <t xml:space="preserve">30.06.06.04</t>
  </si>
  <si>
    <t xml:space="preserve">Testeira de mármore h=10cm</t>
  </si>
  <si>
    <t xml:space="preserve">30.06.06.05</t>
  </si>
  <si>
    <t xml:space="preserve">Rodabanca de mármore h=10cm</t>
  </si>
  <si>
    <t xml:space="preserve">30.06.06.06</t>
  </si>
  <si>
    <t xml:space="preserve">30.06.06.07</t>
  </si>
  <si>
    <t xml:space="preserve">30.06.06.08</t>
  </si>
  <si>
    <t xml:space="preserve">30.06.07</t>
  </si>
  <si>
    <t xml:space="preserve">Peças  diversas</t>
  </si>
  <si>
    <t xml:space="preserve">30.06.07.01</t>
  </si>
  <si>
    <t xml:space="preserve">Divisórias à definir (Vestiário Fem.| masc. - Pilotis)</t>
  </si>
  <si>
    <t xml:space="preserve">30.06.07.02</t>
  </si>
  <si>
    <t xml:space="preserve">Peitoril em granito Branco Ornamental White, acabamento levigado</t>
  </si>
  <si>
    <t xml:space="preserve">30.06.07.03</t>
  </si>
  <si>
    <t xml:space="preserve">Soleira| filete em porcelanato, com acabamento acetinado. Ref.: Eliane, Khali OffWhite AC.</t>
  </si>
  <si>
    <t xml:space="preserve">30.06.07.04</t>
  </si>
  <si>
    <t xml:space="preserve">Soleira em porcelanato, com acabamento acetinado. Ref.: Eliane, Munari Branco AC.</t>
  </si>
  <si>
    <t xml:space="preserve">30.06.07.05</t>
  </si>
  <si>
    <t xml:space="preserve">Soleira| filete em granito Branco Ornamental White, acabamento levigado</t>
  </si>
  <si>
    <t xml:space="preserve">30.06.07.06</t>
  </si>
  <si>
    <t xml:space="preserve">Soleira| filete em mármore Branco Paraná Matarazzo escovado</t>
  </si>
  <si>
    <t xml:space="preserve">30.06.07.07</t>
  </si>
  <si>
    <t xml:space="preserve">Soleira| filete em granito Branco Siena levigado.</t>
  </si>
  <si>
    <t xml:space="preserve">30.06.07.08</t>
  </si>
  <si>
    <t xml:space="preserve">Pingadeiras para platibandas e guarda-corpos de alvenaria de mármore branco</t>
  </si>
  <si>
    <t xml:space="preserve">30.06.07.09</t>
  </si>
  <si>
    <t xml:space="preserve">Aduelas de granito para porta de elevadores</t>
  </si>
  <si>
    <t xml:space="preserve">30.06.07.10</t>
  </si>
  <si>
    <t xml:space="preserve">Filete box</t>
  </si>
  <si>
    <t xml:space="preserve">30.06.07.11</t>
  </si>
  <si>
    <t xml:space="preserve">Borda piscina L=27cm</t>
  </si>
  <si>
    <t xml:space="preserve">30.07</t>
  </si>
  <si>
    <t xml:space="preserve">Revestimento de piscinas</t>
  </si>
  <si>
    <t xml:space="preserve">30.07.01</t>
  </si>
  <si>
    <t xml:space="preserve">Argamassas</t>
  </si>
  <si>
    <t xml:space="preserve">30.07.01.01</t>
  </si>
  <si>
    <t xml:space="preserve">30.07.01.02</t>
  </si>
  <si>
    <t xml:space="preserve">30.07.01.03</t>
  </si>
  <si>
    <t xml:space="preserve">Emboço esp. 50mm</t>
  </si>
  <si>
    <t xml:space="preserve">30.07.02</t>
  </si>
  <si>
    <t xml:space="preserve">Revestimentos cerâmicos</t>
  </si>
  <si>
    <t xml:space="preserve">30.07.02.01</t>
  </si>
  <si>
    <t xml:space="preserve">Revestimento 14,5x14,5cm, linha Barlavento Sea da Portobello,  assentado com argamassa colante em pó ACIII</t>
  </si>
  <si>
    <t xml:space="preserve">30.07.03</t>
  </si>
  <si>
    <t xml:space="preserve">Caixilharia especial</t>
  </si>
  <si>
    <t xml:space="preserve">30.07.03.01</t>
  </si>
  <si>
    <t xml:space="preserve">Pilares revestidos em ACM, tonalidade próxima dos perfis das esquadrias, ref.: alumínio anodizado cor Bronze 104</t>
  </si>
  <si>
    <t xml:space="preserve">09/03/2028</t>
  </si>
  <si>
    <t xml:space="preserve">31.01</t>
  </si>
  <si>
    <t xml:space="preserve">Passeios</t>
  </si>
  <si>
    <t xml:space="preserve">31.01.01</t>
  </si>
  <si>
    <t xml:space="preserve">Calçada de concreto magro esp. 10cm + cimentado esp. 3cm</t>
  </si>
  <si>
    <t xml:space="preserve">31.01.02</t>
  </si>
  <si>
    <t xml:space="preserve">Meio Fio</t>
  </si>
  <si>
    <t xml:space="preserve">31.01.03</t>
  </si>
  <si>
    <t xml:space="preserve">Rebaixo no meio-fio</t>
  </si>
  <si>
    <t xml:space="preserve">31.01.04</t>
  </si>
  <si>
    <t xml:space="preserve">Sarjeta</t>
  </si>
  <si>
    <t xml:space="preserve">31.01.05</t>
  </si>
  <si>
    <t xml:space="preserve">Ladrilho hidráulico 20x20cm, modelo rampa, cor cinza.</t>
  </si>
  <si>
    <t xml:space="preserve">31.01.06</t>
  </si>
  <si>
    <t xml:space="preserve">Ladrilho hidráulico anti-derrapante para passeios</t>
  </si>
  <si>
    <t xml:space="preserve">31.01.07</t>
  </si>
  <si>
    <t xml:space="preserve">Piso tatil para Portadores de necessidades especiais</t>
  </si>
  <si>
    <t xml:space="preserve">18/08/2027</t>
  </si>
  <si>
    <t xml:space="preserve">27/02/2029</t>
  </si>
  <si>
    <t xml:space="preserve">32.01</t>
  </si>
  <si>
    <t xml:space="preserve">06/06/2028</t>
  </si>
  <si>
    <t xml:space="preserve">32.01.01</t>
  </si>
  <si>
    <t xml:space="preserve">Limpeza de fachadas</t>
  </si>
  <si>
    <t xml:space="preserve">32.01.02</t>
  </si>
  <si>
    <t xml:space="preserve">32.01.03</t>
  </si>
  <si>
    <t xml:space="preserve">32.01.04</t>
  </si>
  <si>
    <t xml:space="preserve">Reboco esp.50mm</t>
  </si>
  <si>
    <t xml:space="preserve">32.01.05</t>
  </si>
  <si>
    <t xml:space="preserve">32.01.06</t>
  </si>
  <si>
    <t xml:space="preserve">Tela metálica no encontro entre alvenaria e estrutura</t>
  </si>
  <si>
    <t xml:space="preserve">32.02</t>
  </si>
  <si>
    <t xml:space="preserve">09/09/2027</t>
  </si>
  <si>
    <t xml:space="preserve">22/03/2028</t>
  </si>
  <si>
    <t xml:space="preserve">32.02.01</t>
  </si>
  <si>
    <t xml:space="preserve">Porcelanato verde, 30x120cm, ref.: Portobello Matéria Prima Verde, conforme paginação da fachada, instalados com sistema de fachada aerada através de dispositivos metálicos de aço galvanizado.</t>
  </si>
  <si>
    <t xml:space="preserve">32.02.02</t>
  </si>
  <si>
    <t xml:space="preserve">Espalas para porcelanato verde, 30x120cm, ref.: Portobello Matéria Prima Verde, conforme paginação da fachada, instalados com sistema de fachada aerada através de dispositivos metálicos de aço galvanizado.</t>
  </si>
  <si>
    <t xml:space="preserve">32.03</t>
  </si>
  <si>
    <t xml:space="preserve">Tratamento de concreto aparente na fachada</t>
  </si>
  <si>
    <t xml:space="preserve">22/06/2028</t>
  </si>
  <si>
    <t xml:space="preserve">07/11/2028</t>
  </si>
  <si>
    <t xml:space="preserve">32.03.01</t>
  </si>
  <si>
    <t xml:space="preserve">Tratamento de concreto aparente</t>
  </si>
  <si>
    <t xml:space="preserve">32.03.02</t>
  </si>
  <si>
    <t xml:space="preserve">Tratamento de concreto aparante</t>
  </si>
  <si>
    <t xml:space="preserve">32.04</t>
  </si>
  <si>
    <t xml:space="preserve">Pintura para Fachadas</t>
  </si>
  <si>
    <t xml:space="preserve">27/03/2028</t>
  </si>
  <si>
    <t xml:space="preserve">32.04.01</t>
  </si>
  <si>
    <t xml:space="preserve">Pintura acrílica fosca, cor Mármore. Ref. Suvinil (Varandas)</t>
  </si>
  <si>
    <t xml:space="preserve">32.04.02</t>
  </si>
  <si>
    <t xml:space="preserve">Pintura a definir - Barrilete| Cx d'agua| Muros e muretas</t>
  </si>
  <si>
    <t xml:space="preserve">32.04.03</t>
  </si>
  <si>
    <t xml:space="preserve">Pintura preta sob brises e pele de vidro</t>
  </si>
  <si>
    <t xml:space="preserve">32.05</t>
  </si>
  <si>
    <t xml:space="preserve">32.05.01</t>
  </si>
  <si>
    <t xml:space="preserve">Junta de dilatação horizontal para fachadas</t>
  </si>
  <si>
    <t xml:space="preserve">32.05.02</t>
  </si>
  <si>
    <t xml:space="preserve">Junta de dilatação vertical pra fachadas</t>
  </si>
  <si>
    <t xml:space="preserve">32.05.03</t>
  </si>
  <si>
    <t xml:space="preserve">Desbaste de rebarbas, estuque e aplicação de silicone hidrofugante sobre superfícies de concreto aparente (2 demãos silicone incolor hidrofugante)</t>
  </si>
  <si>
    <t xml:space="preserve">32.06</t>
  </si>
  <si>
    <t xml:space="preserve">Muros</t>
  </si>
  <si>
    <t xml:space="preserve">32.06.01</t>
  </si>
  <si>
    <t xml:space="preserve">Pilaretes e cintas de concreto seção de 15x15cm</t>
  </si>
  <si>
    <t xml:space="preserve">32.06.01.01</t>
  </si>
  <si>
    <t xml:space="preserve">Armadura Ca-50</t>
  </si>
  <si>
    <t xml:space="preserve">32.06.01.02</t>
  </si>
  <si>
    <t xml:space="preserve">Armadura Ca-60</t>
  </si>
  <si>
    <t xml:space="preserve">32.06.01.03</t>
  </si>
  <si>
    <t xml:space="preserve">Concreto preparado na obra, controle "A", brita 1 e 2, fck 20 Mpa</t>
  </si>
  <si>
    <t xml:space="preserve">32.06.02</t>
  </si>
  <si>
    <t xml:space="preserve">Alvenaria de vedação com blocos de concreto esp. 14cm</t>
  </si>
  <si>
    <t xml:space="preserve">32.06.02.01</t>
  </si>
  <si>
    <t xml:space="preserve">32.06.03</t>
  </si>
  <si>
    <t xml:space="preserve">Revestimento do muro com argamassa de cimento e areia</t>
  </si>
  <si>
    <t xml:space="preserve">32.06.03.01</t>
  </si>
  <si>
    <t xml:space="preserve">32.06.03.02</t>
  </si>
  <si>
    <t xml:space="preserve">32.06.03.03</t>
  </si>
  <si>
    <t xml:space="preserve">Reboco</t>
  </si>
  <si>
    <t xml:space="preserve">15/10/2027</t>
  </si>
  <si>
    <t xml:space="preserve">03/11/2028</t>
  </si>
  <si>
    <t xml:space="preserve">33.01</t>
  </si>
  <si>
    <t xml:space="preserve">Forro de Gesso</t>
  </si>
  <si>
    <t xml:space="preserve">33.01.01</t>
  </si>
  <si>
    <t xml:space="preserve">Chapisco rolado</t>
  </si>
  <si>
    <t xml:space="preserve">33.01.02</t>
  </si>
  <si>
    <t xml:space="preserve">Gesso Corrido em Tetos</t>
  </si>
  <si>
    <t xml:space="preserve">33.01.03</t>
  </si>
  <si>
    <t xml:space="preserve">Forro de gesso acartonado</t>
  </si>
  <si>
    <t xml:space="preserve">33.01.04</t>
  </si>
  <si>
    <t xml:space="preserve">Sanca renovação de ar</t>
  </si>
  <si>
    <t xml:space="preserve">33.01.05</t>
  </si>
  <si>
    <t xml:space="preserve">Moldura de 50cm</t>
  </si>
  <si>
    <t xml:space="preserve">33.01.06</t>
  </si>
  <si>
    <t xml:space="preserve">Tabica Metálica</t>
  </si>
  <si>
    <t xml:space="preserve">34.01</t>
  </si>
  <si>
    <t xml:space="preserve">Vaso sanitario</t>
  </si>
  <si>
    <t xml:space="preserve">34.01.01</t>
  </si>
  <si>
    <t xml:space="preserve">Bacia com caixa acoplada Deca linha Level cor branco</t>
  </si>
  <si>
    <t xml:space="preserve">34.01.02</t>
  </si>
  <si>
    <t xml:space="preserve">Bacia com caixa acoplada Deca linha Izy cor branco</t>
  </si>
  <si>
    <t xml:space="preserve">34.01.03</t>
  </si>
  <si>
    <t xml:space="preserve">Vaso sanitário de louça branca com caixa acoplada (Guarita, IS zeladoria)</t>
  </si>
  <si>
    <t xml:space="preserve">34.01.04</t>
  </si>
  <si>
    <t xml:space="preserve">Bacia c/ Caixa Acoplada _Deca Vogue Plus Conforto_ Branca Cód.:  P.515.17</t>
  </si>
  <si>
    <t xml:space="preserve">34.01.05</t>
  </si>
  <si>
    <t xml:space="preserve">Ligação flexível cromada 40cm</t>
  </si>
  <si>
    <t xml:space="preserve">34.01.06</t>
  </si>
  <si>
    <t xml:space="preserve">Ducha higiênica despressurizada, acabamento cromado; ref.: Deca 1948.C.ACT.CR</t>
  </si>
  <si>
    <t xml:space="preserve">34.01.07</t>
  </si>
  <si>
    <t xml:space="preserve">(Ducha sauna) Ducha Higiênica Despressurizada Deca Universal – Cromado, Cód.: 1948.C.ACT.CR;</t>
  </si>
  <si>
    <t xml:space="preserve">34.01.08</t>
  </si>
  <si>
    <t xml:space="preserve">34.02</t>
  </si>
  <si>
    <t xml:space="preserve">Lavatorio</t>
  </si>
  <si>
    <t xml:space="preserve">34.02.01</t>
  </si>
  <si>
    <t xml:space="preserve">Lavatório com Coluna Suspensa para banheiro de Deficiente Físico</t>
  </si>
  <si>
    <t xml:space="preserve">34.02.02</t>
  </si>
  <si>
    <t xml:space="preserve">Lavatório suspenso de canto, Deca Izy branco, L.101.17</t>
  </si>
  <si>
    <t xml:space="preserve">34.02.03</t>
  </si>
  <si>
    <t xml:space="preserve">Lavatório de louça suspensa (Lavabo guarita)</t>
  </si>
  <si>
    <t xml:space="preserve">34.02.04</t>
  </si>
  <si>
    <t xml:space="preserve">Lavatório suspenso, Deca Izy branco, L.100.17</t>
  </si>
  <si>
    <t xml:space="preserve">34.02.05</t>
  </si>
  <si>
    <t xml:space="preserve">Cuba de embutir retangular branco, Deca L.375.17</t>
  </si>
  <si>
    <t xml:space="preserve">34.02.06</t>
  </si>
  <si>
    <t xml:space="preserve">Cuba de semi encaixe quadrada com mesa, Deca l.61040.M.17 branca</t>
  </si>
  <si>
    <t xml:space="preserve">34.02.07</t>
  </si>
  <si>
    <t xml:space="preserve">Torneira de mesa bica baixa, para lavatório, ref.: Deca Level 1197.C26, cromado</t>
  </si>
  <si>
    <t xml:space="preserve">34.02.08</t>
  </si>
  <si>
    <t xml:space="preserve">Torneira cromada para lavatório (Lavabo guarita)</t>
  </si>
  <si>
    <t xml:space="preserve">34.02.09</t>
  </si>
  <si>
    <t xml:space="preserve">Torneira de mesa bica baixa, para lavatório, ref.: Deca Link 1197.C.LNK, cromado</t>
  </si>
  <si>
    <t xml:space="preserve">34.02.10</t>
  </si>
  <si>
    <t xml:space="preserve">Torneira de mesa com fechamento automático para lavatório, ref.: Deca, Decamatic Eco 1173.C, cromado</t>
  </si>
  <si>
    <t xml:space="preserve">34.02.11</t>
  </si>
  <si>
    <t xml:space="preserve">Torneira De Mesa Com Fechamento Automático Para Lavatório DECA Decamatic Eco Conforto Cromado Cód.: 1173.C.CONF</t>
  </si>
  <si>
    <t xml:space="preserve">34.02.12</t>
  </si>
  <si>
    <t xml:space="preserve">Misturador monocomando de mesa bica baixa, para lavatório; ref.: Deca Level 2875.C26, cromado</t>
  </si>
  <si>
    <t xml:space="preserve">34.02.13</t>
  </si>
  <si>
    <t xml:space="preserve">34.02.14</t>
  </si>
  <si>
    <t xml:space="preserve">Válvula cromada para lavatório</t>
  </si>
  <si>
    <t xml:space="preserve">34.02.15</t>
  </si>
  <si>
    <t xml:space="preserve">Válvula de Escoamento Click para Lavatório, Cuba e Bidê Cromado, Cód.: 1601.C.CLI</t>
  </si>
  <si>
    <t xml:space="preserve">34.02.16</t>
  </si>
  <si>
    <t xml:space="preserve">Sifão cromado para lavatório</t>
  </si>
  <si>
    <t xml:space="preserve">34.02.17</t>
  </si>
  <si>
    <t xml:space="preserve">Sifão Articulado Cromado, Deca, Cód.: 1682.C.100.112</t>
  </si>
  <si>
    <t xml:space="preserve">34.03</t>
  </si>
  <si>
    <t xml:space="preserve">Pias</t>
  </si>
  <si>
    <t xml:space="preserve">34.03.01</t>
  </si>
  <si>
    <t xml:space="preserve">Cuba simples de embutir, em aço inox escovado 56x34x18cm, Mekal CS-2</t>
  </si>
  <si>
    <t xml:space="preserve">34.03.02</t>
  </si>
  <si>
    <t xml:space="preserve">Cuba de aço inox a definir (Copa SS)</t>
  </si>
  <si>
    <t xml:space="preserve">34.03.03</t>
  </si>
  <si>
    <t xml:space="preserve">Cuba Inox Mekal Retta LR-50 R10 Cód.: 01035516; Ralo Quadrado Elegance 17,5x17,5cm Escovado Mozaik Cód.: RBLE1520;</t>
  </si>
  <si>
    <t xml:space="preserve">34.03.04</t>
  </si>
  <si>
    <t xml:space="preserve">Torneira de mesa bica móvel 90°, ref.: Deca Link 1166.C.LNK, cromado</t>
  </si>
  <si>
    <t xml:space="preserve">34.03.05</t>
  </si>
  <si>
    <t xml:space="preserve">Torneira cromada para pia de cozinha (Copa SS)</t>
  </si>
  <si>
    <t xml:space="preserve">34.03.06</t>
  </si>
  <si>
    <t xml:space="preserve">Torneira bica alta de mesa para cozinha Docol Doc cromado/preto Cód.: 00738957</t>
  </si>
  <si>
    <t xml:space="preserve">34.03.07</t>
  </si>
  <si>
    <t xml:space="preserve">34.03.08</t>
  </si>
  <si>
    <t xml:space="preserve">Válvula de aço inox para pia americana</t>
  </si>
  <si>
    <t xml:space="preserve">34.03.09</t>
  </si>
  <si>
    <t xml:space="preserve">Sifão cromado para pia de cozinha</t>
  </si>
  <si>
    <t xml:space="preserve">34.03.10</t>
  </si>
  <si>
    <t xml:space="preserve">Sifão Articulado Cromado, Deca, Cód.: 1682.C.112</t>
  </si>
  <si>
    <t xml:space="preserve">34.04</t>
  </si>
  <si>
    <t xml:space="preserve">Tanque</t>
  </si>
  <si>
    <t xml:space="preserve">34.04.01</t>
  </si>
  <si>
    <t xml:space="preserve">Tanque para lavanderia, capacidade 32L, 50x40cm, em aço inox escovado, Mekal CT-5</t>
  </si>
  <si>
    <t xml:space="preserve">34.04.02</t>
  </si>
  <si>
    <t xml:space="preserve">Tanque 30L branco, Deca, TQ.02.17</t>
  </si>
  <si>
    <t xml:space="preserve">34.04.03</t>
  </si>
  <si>
    <t xml:space="preserve">34.04.04</t>
  </si>
  <si>
    <t xml:space="preserve">Torneira  de parede para Jardim e Tanque com Adaptador de Mangueira  Deca Standard Cromado Cód.: 1153.C39</t>
  </si>
  <si>
    <t xml:space="preserve">34.04.05</t>
  </si>
  <si>
    <t xml:space="preserve">Válvula cromada para tanque</t>
  </si>
  <si>
    <t xml:space="preserve">34.04.06</t>
  </si>
  <si>
    <t xml:space="preserve">Sifão cromado para tanque</t>
  </si>
  <si>
    <t xml:space="preserve">34.04.07</t>
  </si>
  <si>
    <t xml:space="preserve">34.05</t>
  </si>
  <si>
    <t xml:space="preserve">Banho</t>
  </si>
  <si>
    <t xml:space="preserve">34.05.01</t>
  </si>
  <si>
    <t xml:space="preserve">Chuveiro de Parede com Tubo Deca Acqua Plus Standart Cromado, Cód.: 1990.C.STD;</t>
  </si>
  <si>
    <t xml:space="preserve">34.05.02</t>
  </si>
  <si>
    <t xml:space="preserve">Chuveiro elétrico a definir</t>
  </si>
  <si>
    <t xml:space="preserve">34.05.03</t>
  </si>
  <si>
    <t xml:space="preserve">Registro de pressão com acabamento para chuveiro elétrico</t>
  </si>
  <si>
    <t xml:space="preserve">34.05.04</t>
  </si>
  <si>
    <t xml:space="preserve">Acabamento de monocomando de chuveiro, ref.: Deca Level 4993.C26.CHU, cromado</t>
  </si>
  <si>
    <t xml:space="preserve">34.06</t>
  </si>
  <si>
    <t xml:space="preserve">Acessibilidade</t>
  </si>
  <si>
    <t xml:space="preserve">34.06.01</t>
  </si>
  <si>
    <t xml:space="preserve">Barra para banheiro de P.N.E em aço polido, ref.: Deca Conforto L=70cm</t>
  </si>
  <si>
    <t xml:space="preserve">34.06.02</t>
  </si>
  <si>
    <t xml:space="preserve">Barra para banheiro de P.N.E em aço polido, ref.: Deca Conforto L=80cm</t>
  </si>
  <si>
    <t xml:space="preserve">34.06.03</t>
  </si>
  <si>
    <t xml:space="preserve">Barra para banheiro de P.N.E em aço polido, ref.: Deca Conforto para lavatório</t>
  </si>
  <si>
    <t xml:space="preserve">34.06.04</t>
  </si>
  <si>
    <t xml:space="preserve">Cadeira articulada para banho P.N.E. acabamento inox</t>
  </si>
  <si>
    <t xml:space="preserve">34.07</t>
  </si>
  <si>
    <t xml:space="preserve">34.07.01</t>
  </si>
  <si>
    <t xml:space="preserve">Torneira de limpeza com bico rosqueado</t>
  </si>
  <si>
    <t xml:space="preserve">34.07.02</t>
  </si>
  <si>
    <t xml:space="preserve">Dispenser de sabonete líquido de parede, para espuma de sabão, ref.: Draco Star, Prime Press Espuma 70.032, acabamento white</t>
  </si>
  <si>
    <t xml:space="preserve">34.07.03</t>
  </si>
  <si>
    <t xml:space="preserve">Dispenser de papel toalha para papel interfolhado, ref.: Draco Star 70.106, acabamento white.</t>
  </si>
  <si>
    <t xml:space="preserve">34.07.04</t>
  </si>
  <si>
    <t xml:space="preserve">Suporte de papel higiênico duplo, ref.: Draco Star 70.278, acabamento white.</t>
  </si>
  <si>
    <t xml:space="preserve">34.07.05</t>
  </si>
  <si>
    <t xml:space="preserve">Papeleira Quadrada Deca Clean Cromado, Cód.: 2020.C.CLN</t>
  </si>
  <si>
    <t xml:space="preserve">34.07.06</t>
  </si>
  <si>
    <t xml:space="preserve">Ralo oculto quadrado</t>
  </si>
  <si>
    <t xml:space="preserve">34.07.07</t>
  </si>
  <si>
    <t xml:space="preserve">Ralo Quadrado Elegance 17,5x17,5cm Escovado Mozaik Cód.: RBLE1520</t>
  </si>
  <si>
    <t xml:space="preserve">34.07.08</t>
  </si>
  <si>
    <t xml:space="preserve">Acabamento para registro, ref.: Deca Level, cromado</t>
  </si>
  <si>
    <t xml:space="preserve">34.07.09</t>
  </si>
  <si>
    <t xml:space="preserve">Acabamento de registro, ref.: Deca Link, cromado.</t>
  </si>
  <si>
    <t xml:space="preserve">34.07.10</t>
  </si>
  <si>
    <t xml:space="preserve">Acabamento para Registro de Gaveta Linha Cubo Cromado, Deca Cód.: 4900.C86</t>
  </si>
  <si>
    <t xml:space="preserve">34.07.11</t>
  </si>
  <si>
    <t xml:space="preserve">Acabamento para Registro de Pressão com Mecanismo 1/2 Volta Linha Cubo, Cromado, Deca Cód.: 4916.C86</t>
  </si>
  <si>
    <t xml:space="preserve">02/04/2029</t>
  </si>
  <si>
    <t xml:space="preserve">35.01</t>
  </si>
  <si>
    <t xml:space="preserve">Latex Acrílico</t>
  </si>
  <si>
    <t xml:space="preserve">11/01/2028</t>
  </si>
  <si>
    <t xml:space="preserve">35.01.01</t>
  </si>
  <si>
    <t xml:space="preserve">35.01.02</t>
  </si>
  <si>
    <t xml:space="preserve">35.01.03</t>
  </si>
  <si>
    <t xml:space="preserve">Pintura acrílica fosca, cor Mármore. Ref. Suvinil sobre paredes - Reboco (1 demão selador + 3 demãos Latex acrílico)</t>
  </si>
  <si>
    <t xml:space="preserve">35.01.04</t>
  </si>
  <si>
    <t xml:space="preserve">Pintura  acrílica, cor Branco neve, acabamento acetinado. Ref.: Suvinil sobre paredes - Reboco (1 demão selador + 3 demãos Latex acrílico)</t>
  </si>
  <si>
    <t xml:space="preserve">35.01.05</t>
  </si>
  <si>
    <t xml:space="preserve">Pintura  acrílica, cor Branco neve, acabamento acetinado. Ref.: Suvinil sobre paredes - Drywall (1 demão selador + 3 demãos Latex acrílico)</t>
  </si>
  <si>
    <t xml:space="preserve">35.01.06</t>
  </si>
  <si>
    <t xml:space="preserve">Pintura  acrílica fosca cinza claro sobre paredes - Reboco (1 demão selador + 3 demãos Latex acrílico)</t>
  </si>
  <si>
    <t xml:space="preserve">35.01.07</t>
  </si>
  <si>
    <t xml:space="preserve">Pintura acrílica fosca. Ref.: Branco Neve; Suvinil sob tetos  (2 demãos Latex acrílico)</t>
  </si>
  <si>
    <t xml:space="preserve">35.01.08</t>
  </si>
  <si>
    <t xml:space="preserve">Pintura acrílica fosca. Ref.: Mármore; Suvinil sob tetos  (2 demãos Latex acrílico)</t>
  </si>
  <si>
    <t xml:space="preserve">35.02</t>
  </si>
  <si>
    <t xml:space="preserve">Esmalte sintético</t>
  </si>
  <si>
    <t xml:space="preserve">17/04/2028</t>
  </si>
  <si>
    <t xml:space="preserve">15/01/2029</t>
  </si>
  <si>
    <t xml:space="preserve">35.02.01</t>
  </si>
  <si>
    <t xml:space="preserve">Pintura esmalte sobre esquadrias de aço  (1 demão zarcão + 2 demãos esmalte)</t>
  </si>
  <si>
    <t xml:space="preserve">05/05/2028</t>
  </si>
  <si>
    <t xml:space="preserve">35.02.02</t>
  </si>
  <si>
    <t xml:space="preserve">Pintura de tubulações aparentes para estacionamentos (1 demão zarcão + 2 demãos esmalte)</t>
  </si>
  <si>
    <t xml:space="preserve">35.03</t>
  </si>
  <si>
    <t xml:space="preserve">Pintura Texturizada</t>
  </si>
  <si>
    <t xml:space="preserve">09/03/2029</t>
  </si>
  <si>
    <t xml:space="preserve">35.03.01</t>
  </si>
  <si>
    <t xml:space="preserve">Textura acrílica rolada fosca na cor Mármore. Ref.: Suvinil.</t>
  </si>
  <si>
    <t xml:space="preserve">35.03.02</t>
  </si>
  <si>
    <t xml:space="preserve">Textura DECORART.IT Efeito Velvet tom Coral Cinza de Grife</t>
  </si>
  <si>
    <t xml:space="preserve">35.03.03</t>
  </si>
  <si>
    <t xml:space="preserve">Textura Dacapo Rev. Cristal Areia</t>
  </si>
  <si>
    <t xml:space="preserve">35.04</t>
  </si>
  <si>
    <t xml:space="preserve">Pintura de pisos</t>
  </si>
  <si>
    <t xml:space="preserve">23/02/2029</t>
  </si>
  <si>
    <t xml:space="preserve">35.04.01</t>
  </si>
  <si>
    <t xml:space="preserve">Pintura de demarcação de vagas com borracha clorada</t>
  </si>
  <si>
    <t xml:space="preserve">35.04.02</t>
  </si>
  <si>
    <t xml:space="preserve">Pintura de pisos com emulsão acrílica Novacor Pisos ou similar  (2 demãos emulsão acrílica)</t>
  </si>
  <si>
    <t xml:space="preserve">35.05</t>
  </si>
  <si>
    <t xml:space="preserve">Caiação</t>
  </si>
  <si>
    <t xml:space="preserve">35.05.01</t>
  </si>
  <si>
    <t xml:space="preserve">Pintura tipo caiação com três demãos</t>
  </si>
  <si>
    <t xml:space="preserve">35.06</t>
  </si>
  <si>
    <t xml:space="preserve">Verniz</t>
  </si>
  <si>
    <t xml:space="preserve">10/05/2027</t>
  </si>
  <si>
    <t xml:space="preserve">35.06.01</t>
  </si>
  <si>
    <t xml:space="preserve">35.07</t>
  </si>
  <si>
    <t xml:space="preserve">Especiais</t>
  </si>
  <si>
    <t xml:space="preserve">09/06/2028</t>
  </si>
  <si>
    <t xml:space="preserve">35.07.01</t>
  </si>
  <si>
    <t xml:space="preserve">Pintura de meia parede em epóxi monolítico de tom cinza médio</t>
  </si>
  <si>
    <t xml:space="preserve">35.07.02</t>
  </si>
  <si>
    <t xml:space="preserve">Arremate em faixa de pintura epóxi fosca de cor cinza chumbo</t>
  </si>
  <si>
    <t xml:space="preserve">12/07/2028</t>
  </si>
  <si>
    <t xml:space="preserve">06/12/2028</t>
  </si>
  <si>
    <t xml:space="preserve">36.01</t>
  </si>
  <si>
    <t xml:space="preserve">Serviços de Paisagismo</t>
  </si>
  <si>
    <t xml:space="preserve">36.01.01</t>
  </si>
  <si>
    <t xml:space="preserve">Drenagens Para Jardins</t>
  </si>
  <si>
    <t xml:space="preserve">36.01.02</t>
  </si>
  <si>
    <t xml:space="preserve">Paisagismo</t>
  </si>
  <si>
    <t xml:space="preserve">36.01.03</t>
  </si>
  <si>
    <t xml:space="preserve">Terra vegetal</t>
  </si>
  <si>
    <t xml:space="preserve">36.01.04</t>
  </si>
  <si>
    <t xml:space="preserve">Irrigação</t>
  </si>
  <si>
    <t xml:space="preserve">25/09/2028</t>
  </si>
  <si>
    <t xml:space="preserve">36.01.05</t>
  </si>
  <si>
    <t xml:space="preserve">Transporte vertical de material para execução de paisagismo em pavimentos elevados</t>
  </si>
  <si>
    <t xml:space="preserve">36.01.06</t>
  </si>
  <si>
    <t xml:space="preserve">Cachepô para floreiras</t>
  </si>
  <si>
    <t xml:space="preserve">14/03/2028</t>
  </si>
  <si>
    <t xml:space="preserve">13/04/2029</t>
  </si>
  <si>
    <t xml:space="preserve">37.01</t>
  </si>
  <si>
    <t xml:space="preserve">Comunicação visual definitiva</t>
  </si>
  <si>
    <t xml:space="preserve">37.01.01</t>
  </si>
  <si>
    <t xml:space="preserve">Numeracao dos apartamentos</t>
  </si>
  <si>
    <t xml:space="preserve">37.01.02</t>
  </si>
  <si>
    <t xml:space="preserve">Letreiro com nome do predio</t>
  </si>
  <si>
    <t xml:space="preserve">37.01.03</t>
  </si>
  <si>
    <t xml:space="preserve">Placas de indicação de ambientes</t>
  </si>
  <si>
    <t xml:space="preserve">37.02</t>
  </si>
  <si>
    <t xml:space="preserve">Despesas Gerais</t>
  </si>
  <si>
    <t xml:space="preserve">24/04/2028</t>
  </si>
  <si>
    <t xml:space="preserve">19/03/2029</t>
  </si>
  <si>
    <t xml:space="preserve">37.02.01</t>
  </si>
  <si>
    <t xml:space="preserve">Arremates Finais</t>
  </si>
  <si>
    <t xml:space="preserve">37.02.02</t>
  </si>
  <si>
    <t xml:space="preserve">Vistoria final de obra</t>
  </si>
  <si>
    <t xml:space="preserve">37.02.03</t>
  </si>
  <si>
    <t xml:space="preserve">Elaboração de manual do proprietário</t>
  </si>
  <si>
    <t xml:space="preserve">37.02.04</t>
  </si>
  <si>
    <t xml:space="preserve">Enchimento de reservatórios com caminhão pipa</t>
  </si>
  <si>
    <t xml:space="preserve">37.02.05</t>
  </si>
  <si>
    <t xml:space="preserve">Enchimento de piscinas com caminhão pipa</t>
  </si>
  <si>
    <t xml:space="preserve">37.03</t>
  </si>
  <si>
    <t xml:space="preserve">Limpeza Final da Obra</t>
  </si>
  <si>
    <t xml:space="preserve">37.03.01</t>
  </si>
  <si>
    <t xml:space="preserve">Limpeza de apartamentos ou salas</t>
  </si>
  <si>
    <t xml:space="preserve">37.03.02</t>
  </si>
  <si>
    <t xml:space="preserve">Limpeza de áreas comuns</t>
  </si>
  <si>
    <t xml:space="preserve">37.03.03</t>
  </si>
  <si>
    <t xml:space="preserve">37.03.04</t>
  </si>
  <si>
    <t xml:space="preserve">Limpeza de vidros</t>
  </si>
  <si>
    <t xml:space="preserve">37.03.05</t>
  </si>
  <si>
    <t xml:space="preserve">Limpeza e desinfecção de Reservatórios</t>
  </si>
  <si>
    <t xml:space="preserve">37.03.06</t>
  </si>
  <si>
    <t xml:space="preserve">Limpeza e desinfecção de Piscinas</t>
  </si>
  <si>
    <t xml:space="preserve">37.04</t>
  </si>
  <si>
    <t xml:space="preserve">Manutenção pós entrega</t>
  </si>
  <si>
    <t xml:space="preserve">26/06/2028</t>
  </si>
  <si>
    <t xml:space="preserve">37.04.01</t>
  </si>
  <si>
    <t xml:space="preserve"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</si>
  <si>
    <t xml:space="preserve">Projeto Botânico </t>
  </si>
  <si>
    <t xml:space="preserve">CÁLCULO (não editar) — situação de cada atividade na data do retrato</t>
  </si>
  <si>
    <t xml:space="preserve">Planilha Gerada Em 24/09/2026</t>
  </si>
  <si>
    <t xml:space="preserve">Pacotes sem de-para →</t>
  </si>
  <si>
    <t xml:space="preserve">Avanço físico (%)</t>
  </si>
  <si>
    <t xml:space="preserve">DE-PARA: PACOTE DO PREVISION → PL (edite as colunas azuis; PL vazio = pacote ignorado)</t>
  </si>
  <si>
    <t xml:space="preserve">ID</t>
  </si>
  <si>
    <t xml:space="preserve">Pacote de trabalho/tarefas</t>
  </si>
  <si>
    <t xml:space="preserve">Serviço</t>
  </si>
  <si>
    <t xml:space="preserve">Lote</t>
  </si>
  <si>
    <t xml:space="preserve">Data de Início</t>
  </si>
  <si>
    <t xml:space="preserve">Data de Término</t>
  </si>
  <si>
    <t xml:space="preserve">Data de referência</t>
  </si>
  <si>
    <t xml:space="preserve">Nº pav.</t>
  </si>
  <si>
    <t xml:space="preserve">Situação na data</t>
  </si>
  <si>
    <t xml:space="preserve">Pacote de trabalho (Prevision)</t>
  </si>
  <si>
    <t xml:space="preserve">Rótulo nas observações</t>
  </si>
  <si>
    <t xml:space="preserve">Exibir?</t>
  </si>
  <si>
    <t xml:space="preserve">Nº ativ.</t>
  </si>
  <si>
    <t xml:space="preserve">Concluídas</t>
  </si>
  <si>
    <t xml:space="preserve">Em execução</t>
  </si>
  <si>
    <t xml:space="preserve">Maior pav.
concluído</t>
  </si>
  <si>
    <t xml:space="preserve">Maior pav.
em execução</t>
  </si>
  <si>
    <t xml:space="preserve">Texto (observação)</t>
  </si>
  <si>
    <t xml:space="preserve">LOCAÇÃO DE OBRA</t>
  </si>
  <si>
    <t xml:space="preserve">Locação de obra</t>
  </si>
  <si>
    <t xml:space="preserve">SIM</t>
  </si>
  <si>
    <t xml:space="preserve">Demolição</t>
  </si>
  <si>
    <t xml:space="preserve">CONTENÇÕES EM ESTACAS</t>
  </si>
  <si>
    <t xml:space="preserve">Contenções em estacas</t>
  </si>
  <si>
    <t xml:space="preserve">VIGA DE COROAMENTO (TRECHO - CENTRAL DE POLÍMEROS)</t>
  </si>
  <si>
    <t xml:space="preserve">Viga de coroamento (trecho - central de polímeros)</t>
  </si>
  <si>
    <t xml:space="preserve">NÃO</t>
  </si>
  <si>
    <t xml:space="preserve">Escavação e Arrasamento</t>
  </si>
  <si>
    <t xml:space="preserve">VIGA DE COROAMENTO (TRECHO - RUA MANACA 1º ETAPA)</t>
  </si>
  <si>
    <t xml:space="preserve">Viga de coroamento (trecho - rua manaca 1º etapa)</t>
  </si>
  <si>
    <t xml:space="preserve">Armação</t>
  </si>
  <si>
    <t xml:space="preserve">VIGA DE COROAMENTO (TRECHO - RUA MANACA 2º ETAPA)</t>
  </si>
  <si>
    <t xml:space="preserve">Viga de coroamento (trecho - rua manaca 2º etapa)</t>
  </si>
  <si>
    <t xml:space="preserve">Forma</t>
  </si>
  <si>
    <t xml:space="preserve">Fundação profunda</t>
  </si>
  <si>
    <t xml:space="preserve">Concretagem</t>
  </si>
  <si>
    <t xml:space="preserve">VIGA DE COROAMENTO (TRECHO - RUA IPÊ 1º ETAPA)</t>
  </si>
  <si>
    <t xml:space="preserve">Viga de coroamento (trecho - rua ipê 1º etapa)</t>
  </si>
  <si>
    <t xml:space="preserve">Aterro</t>
  </si>
  <si>
    <t xml:space="preserve">VIGA DE COROAMENTO (TRECHO - RUA IPÊ 2º ETAPA)</t>
  </si>
  <si>
    <t xml:space="preserve">Viga de coroamento (trecho - rua ipê 2º etapa)</t>
  </si>
  <si>
    <t xml:space="preserve">VIGA DE COROAMENTO (TRECHO - RUA BOM JESUS)</t>
  </si>
  <si>
    <t xml:space="preserve">Viga de coroamento (trecho - rua bom jesus)</t>
  </si>
  <si>
    <t xml:space="preserve">FUNDAÇÃO PROFUNDA - MEDIÇÃO</t>
  </si>
  <si>
    <t xml:space="preserve">Fundação profunda - medição</t>
  </si>
  <si>
    <t xml:space="preserve">VIGA DE COROAMENTO (TRECHO - RUA IPÊ 3º ETAPA)</t>
  </si>
  <si>
    <t xml:space="preserve">Viga de coroamento (trecho - rua ipê 3º etapa)</t>
  </si>
  <si>
    <t xml:space="preserve">TERRAPLENAGEM (FASE 1)</t>
  </si>
  <si>
    <t xml:space="preserve">Terraplenagem (fase 1)</t>
  </si>
  <si>
    <t xml:space="preserve">Fundação superficial</t>
  </si>
  <si>
    <t xml:space="preserve">FUNDAÇÃO SUPERFICIAL - FASE 1</t>
  </si>
  <si>
    <t xml:space="preserve">Fundação superficial - fase 1</t>
  </si>
  <si>
    <t xml:space="preserve">FUNDAÇÃO SUPERFICIAL - FASE 2</t>
  </si>
  <si>
    <t xml:space="preserve">Fundação superficial - fase 2</t>
  </si>
  <si>
    <t xml:space="preserve">CONTENÇÃO - BLOCO DO ELEVADOR</t>
  </si>
  <si>
    <t xml:space="preserve">Contenção - bloco do elevador</t>
  </si>
  <si>
    <t xml:space="preserve">FUNDAÇÃO SUPERFICIAL - FASE 3</t>
  </si>
  <si>
    <t xml:space="preserve">Fundação superficial - fase 3</t>
  </si>
  <si>
    <t xml:space="preserve">FUNDAÇÃO SUPERFICIAL - NUCLEO</t>
  </si>
  <si>
    <t xml:space="preserve">Fundação superficial - nucleo</t>
  </si>
  <si>
    <t xml:space="preserve">FUNDAÇÃO SUPERFICIAL - FASE 4</t>
  </si>
  <si>
    <t xml:space="preserve">Fundação superficial - fase 4</t>
  </si>
  <si>
    <t xml:space="preserve">ESTRUTURA</t>
  </si>
  <si>
    <t xml:space="preserve">Estrutura</t>
  </si>
  <si>
    <t xml:space="preserve">FUNDAÇÃO SUPERFICIAL - FASE 5</t>
  </si>
  <si>
    <t xml:space="preserve">Fundação superficial - fase 5</t>
  </si>
  <si>
    <t xml:space="preserve">PF1 e P20C</t>
  </si>
  <si>
    <t xml:space="preserve">FUNDAÇÃO SUPERFICIAL - FASE 6</t>
  </si>
  <si>
    <t xml:space="preserve">Fundação superficial - fase 6</t>
  </si>
  <si>
    <t xml:space="preserve">PF2 e P155</t>
  </si>
  <si>
    <t xml:space="preserve">Estrutura Térreo - Fase 2</t>
  </si>
  <si>
    <t xml:space="preserve">Estrutura térreo - fase 2</t>
  </si>
  <si>
    <t xml:space="preserve">P144 e P104</t>
  </si>
  <si>
    <t xml:space="preserve">Estrutura Térreo - Fase 3</t>
  </si>
  <si>
    <t xml:space="preserve">Estrutura térreo - fase 3</t>
  </si>
  <si>
    <t xml:space="preserve">P25A e P4 A</t>
  </si>
  <si>
    <t xml:space="preserve">Estrutura Térreo - Fase 4</t>
  </si>
  <si>
    <t xml:space="preserve">Estrutura térreo - fase 4</t>
  </si>
  <si>
    <t xml:space="preserve">P102 e P105</t>
  </si>
  <si>
    <t xml:space="preserve">Estrutura Mezanino</t>
  </si>
  <si>
    <t xml:space="preserve">Estrutura mezanino</t>
  </si>
  <si>
    <t xml:space="preserve">P106 e P127</t>
  </si>
  <si>
    <t xml:space="preserve">Estrutura 2º Pav - Fase 1</t>
  </si>
  <si>
    <t xml:space="preserve">Estrutura 2º pav - fase 1</t>
  </si>
  <si>
    <t xml:space="preserve">P108A e P124</t>
  </si>
  <si>
    <t xml:space="preserve">TERRAPLENAGEM (FASE 2)</t>
  </si>
  <si>
    <t xml:space="preserve">Terraplenagem (fase 2)</t>
  </si>
  <si>
    <t xml:space="preserve">P137B e P149B</t>
  </si>
  <si>
    <t xml:space="preserve">CINTAS FASE 1</t>
  </si>
  <si>
    <t xml:space="preserve">Cintas fase 1</t>
  </si>
  <si>
    <t xml:space="preserve">P108B e P149A</t>
  </si>
  <si>
    <t xml:space="preserve">CINTAS FASE 2</t>
  </si>
  <si>
    <t xml:space="preserve">Cintas fase 2</t>
  </si>
  <si>
    <t xml:space="preserve">P103 e P137A</t>
  </si>
  <si>
    <t xml:space="preserve">FECHAMENTO DE CORTINA - CONTENÇÕES</t>
  </si>
  <si>
    <t xml:space="preserve">Fechamento de cortina - contenções</t>
  </si>
  <si>
    <t xml:space="preserve">P107A e P25B</t>
  </si>
  <si>
    <t xml:space="preserve">CINTAS FASE 3</t>
  </si>
  <si>
    <t xml:space="preserve">Cintas fase 3</t>
  </si>
  <si>
    <t xml:space="preserve">P107B e P137C</t>
  </si>
  <si>
    <t xml:space="preserve">CINTAS FASE 4</t>
  </si>
  <si>
    <t xml:space="preserve">Cintas fase 4</t>
  </si>
  <si>
    <t xml:space="preserve">P154 e P153</t>
  </si>
  <si>
    <t xml:space="preserve">TRATAMENTO DE CONCRETO - TETO</t>
  </si>
  <si>
    <t xml:space="preserve">Tratamento de concreto - teto</t>
  </si>
  <si>
    <t xml:space="preserve">P156 e P152</t>
  </si>
  <si>
    <t xml:space="preserve">TRATAMENTO DE CONTENÇÕES</t>
  </si>
  <si>
    <t xml:space="preserve">P142 e P144</t>
  </si>
  <si>
    <t xml:space="preserve">DISTRIBUIÇÃO HIDRÁULICA - INFRAS ENTERRADAS</t>
  </si>
  <si>
    <t xml:space="preserve">Distribuição hidráulica - infras enterradas</t>
  </si>
  <si>
    <t xml:space="preserve">P150 e P133B</t>
  </si>
  <si>
    <t xml:space="preserve">ENTRADA DE ENERGIA</t>
  </si>
  <si>
    <t xml:space="preserve">Entrada de energia</t>
  </si>
  <si>
    <t xml:space="preserve">P151 e P19E</t>
  </si>
  <si>
    <t xml:space="preserve">ESTRUTURA IGREJA</t>
  </si>
  <si>
    <t xml:space="preserve">Estrutura igreja</t>
  </si>
  <si>
    <t xml:space="preserve">P141 e P143</t>
  </si>
  <si>
    <t xml:space="preserve">INFRA ELÉTRICA - TETO</t>
  </si>
  <si>
    <t xml:space="preserve">Infra elétrica - teto</t>
  </si>
  <si>
    <t xml:space="preserve">P19D e P133A</t>
  </si>
  <si>
    <t xml:space="preserve">ESTRUTURA - PISO ARMADO</t>
  </si>
  <si>
    <t xml:space="preserve">Estrutura - piso armado</t>
  </si>
  <si>
    <t xml:space="preserve">P25C e P134B</t>
  </si>
  <si>
    <t xml:space="preserve">FUNDAÇÃO - PROJEÇÃO IGREJA</t>
  </si>
  <si>
    <t xml:space="preserve">Fundação - projeção igreja</t>
  </si>
  <si>
    <t xml:space="preserve">P135 e P19C</t>
  </si>
  <si>
    <t xml:space="preserve">Alvenaria</t>
  </si>
  <si>
    <t xml:space="preserve">P134D e P14F</t>
  </si>
  <si>
    <t xml:space="preserve">BLOCOS E CINTAS - IGREJA</t>
  </si>
  <si>
    <t xml:space="preserve">Blocos e cintas - igreja</t>
  </si>
  <si>
    <t xml:space="preserve">P112 e P134C</t>
  </si>
  <si>
    <t xml:space="preserve">PRUMADA DE INCÊNDIO</t>
  </si>
  <si>
    <t xml:space="preserve">Prumada de incêndio</t>
  </si>
  <si>
    <t xml:space="preserve">P19B e P134A</t>
  </si>
  <si>
    <t xml:space="preserve">PRUMADA HIDROSSANITÁRIA</t>
  </si>
  <si>
    <t xml:space="preserve">Prumada hidrossanitária</t>
  </si>
  <si>
    <t xml:space="preserve">P136A e P19A</t>
  </si>
  <si>
    <t xml:space="preserve">ENCUNHAMENTO</t>
  </si>
  <si>
    <t xml:space="preserve">Encunhamento</t>
  </si>
  <si>
    <t xml:space="preserve">P10D e P136B</t>
  </si>
  <si>
    <t xml:space="preserve">ALVENARIA - ISOLAMENTO DE CONTENÇÕES</t>
  </si>
  <si>
    <t xml:space="preserve">Alvenaria - isolamento de contenções</t>
  </si>
  <si>
    <t xml:space="preserve">P14B e P122A</t>
  </si>
  <si>
    <t xml:space="preserve">TALISCAMENTO</t>
  </si>
  <si>
    <t xml:space="preserve">Taliscamento</t>
  </si>
  <si>
    <t xml:space="preserve">P136C e P138</t>
  </si>
  <si>
    <t xml:space="preserve">DISTRIBUIÇÃO HIDROSSANITÁRIA</t>
  </si>
  <si>
    <t xml:space="preserve">Distribuição hidrossanitária</t>
  </si>
  <si>
    <t xml:space="preserve">P14D e P7B</t>
  </si>
  <si>
    <t xml:space="preserve">DISTRIBUIÇÃO ELÉTRICA / QUADRO</t>
  </si>
  <si>
    <t xml:space="preserve">Distribuição elétrica / quadro</t>
  </si>
  <si>
    <t xml:space="preserve">P139 e P145E</t>
  </si>
  <si>
    <t xml:space="preserve">DISTRIBUIÇÃO DE GÁS</t>
  </si>
  <si>
    <t xml:space="preserve">Distribuição de gás</t>
  </si>
  <si>
    <t xml:space="preserve">P7A e P11D</t>
  </si>
  <si>
    <t xml:space="preserve">CONTRAMARCO</t>
  </si>
  <si>
    <t xml:space="preserve">Contramarco</t>
  </si>
  <si>
    <t xml:space="preserve">P145F e P1C</t>
  </si>
  <si>
    <t xml:space="preserve">REBOCO INTERNO</t>
  </si>
  <si>
    <t xml:space="preserve">Reboco interno</t>
  </si>
  <si>
    <t xml:space="preserve">P11B e P4A</t>
  </si>
  <si>
    <t xml:space="preserve">SHAFT INTERNO INST. HIDRAÚLICAS</t>
  </si>
  <si>
    <t xml:space="preserve">Shaft interno inst. hidraúlicas</t>
  </si>
  <si>
    <t xml:space="preserve">P122B e P126B</t>
  </si>
  <si>
    <t xml:space="preserve">PRUMADA ELÉTRICA - INFRA</t>
  </si>
  <si>
    <t xml:space="preserve">Prumada elétrica - infra</t>
  </si>
  <si>
    <t xml:space="preserve">P145A e P901A</t>
  </si>
  <si>
    <t xml:space="preserve">CHUMBAMENTO DE PCF</t>
  </si>
  <si>
    <t xml:space="preserve">Chumbamento de PCF</t>
  </si>
  <si>
    <t xml:space="preserve">P901U e P145D</t>
  </si>
  <si>
    <t xml:space="preserve">CONTRAPISO</t>
  </si>
  <si>
    <t xml:space="preserve">Contrapiso</t>
  </si>
  <si>
    <t xml:space="preserve">P20A e P901B</t>
  </si>
  <si>
    <t xml:space="preserve">DISTRIBUIÇÃO HIDRÁULICA</t>
  </si>
  <si>
    <t xml:space="preserve">Distribuição hidráulica</t>
  </si>
  <si>
    <t xml:space="preserve">P145B e P901AD</t>
  </si>
  <si>
    <t xml:space="preserve">DRYWALL 1º FACE</t>
  </si>
  <si>
    <t xml:space="preserve">Drywall 1ª face</t>
  </si>
  <si>
    <t xml:space="preserve">P901C e P901AE</t>
  </si>
  <si>
    <t xml:space="preserve">DISTRIBUIÇÃO DE GÁS - DRYWALL</t>
  </si>
  <si>
    <t xml:space="preserve">Distribuição de gás - drywall</t>
  </si>
  <si>
    <t xml:space="preserve">P901D e P145C</t>
  </si>
  <si>
    <t xml:space="preserve">DISTRIBUIÇÃO ELÉTRICA/QUADRO - DRYWALL</t>
  </si>
  <si>
    <t xml:space="preserve">Distribuição elétrica/quadro - drywall</t>
  </si>
  <si>
    <t xml:space="preserve">P901AF e P901E</t>
  </si>
  <si>
    <t xml:space="preserve">DISTRIBUIÇÃO HIDRÁULICA - DRYWALL</t>
  </si>
  <si>
    <t xml:space="preserve">Distribuição hidráulica - drywall</t>
  </si>
  <si>
    <t xml:space="preserve">P901AH e P901N</t>
  </si>
  <si>
    <t xml:space="preserve">INFRAESTRUTURA - AR CONDICIONADO</t>
  </si>
  <si>
    <t xml:space="preserve">Infraestrutura - ar condicionado</t>
  </si>
  <si>
    <t xml:space="preserve">P901K e P901X</t>
  </si>
  <si>
    <t xml:space="preserve">DRYWALL 2º FACE</t>
  </si>
  <si>
    <t xml:space="preserve">Drywall 2ª face</t>
  </si>
  <si>
    <t xml:space="preserve">P10A </t>
  </si>
  <si>
    <t xml:space="preserve">Serralheria</t>
  </si>
  <si>
    <t xml:space="preserve">P901P e P10C</t>
  </si>
  <si>
    <t xml:space="preserve">Impermeabilização</t>
  </si>
  <si>
    <t xml:space="preserve">P20D </t>
  </si>
  <si>
    <t xml:space="preserve">PREPARAÇÃO PARA FACHADA AERADA - F1 + F2 (1º ETAPA)</t>
  </si>
  <si>
    <t xml:space="preserve">Preparação para fachada aerada - F1 + F2 (1º etapa)</t>
  </si>
  <si>
    <t xml:space="preserve">P901Q e P901L</t>
  </si>
  <si>
    <t xml:space="preserve">REVESTIMENTO PORCELANATO PAREDE</t>
  </si>
  <si>
    <t xml:space="preserve">Revestimento porcelanato parede</t>
  </si>
  <si>
    <t xml:space="preserve">P901R</t>
  </si>
  <si>
    <t xml:space="preserve">FACHADA LOJA</t>
  </si>
  <si>
    <t xml:space="preserve">Fachada loja</t>
  </si>
  <si>
    <t xml:space="preserve">P901AC e P10B</t>
  </si>
  <si>
    <t xml:space="preserve">REVESTIMENTOS PORCELANATO PISO</t>
  </si>
  <si>
    <t xml:space="preserve">Revestimentos porcelanato piso</t>
  </si>
  <si>
    <t xml:space="preserve">P11C </t>
  </si>
  <si>
    <t xml:space="preserve">FACHADA AERADA - F1 + F2 (1º ETAPA)</t>
  </si>
  <si>
    <t xml:space="preserve">Fachada aerada - F1 + F2 (1º etapa)</t>
  </si>
  <si>
    <t xml:space="preserve">P901G e P11A</t>
  </si>
  <si>
    <t xml:space="preserve">DRYWALL</t>
  </si>
  <si>
    <t xml:space="preserve">Drywall</t>
  </si>
  <si>
    <t xml:space="preserve">P901T</t>
  </si>
  <si>
    <t xml:space="preserve">INSTALAÇÃO DE ADUELAS (ELEVADORES)</t>
  </si>
  <si>
    <t xml:space="preserve">Aduelas (elevadores)</t>
  </si>
  <si>
    <t xml:space="preserve">P20B e P901AG</t>
  </si>
  <si>
    <t xml:space="preserve">REVESTIMENTO DE GRANITO PISO</t>
  </si>
  <si>
    <t xml:space="preserve">Revestimento de granito piso</t>
  </si>
  <si>
    <t xml:space="preserve">P2B </t>
  </si>
  <si>
    <t xml:space="preserve">BANCADAS</t>
  </si>
  <si>
    <t xml:space="preserve">P146 </t>
  </si>
  <si>
    <t xml:space="preserve">Inst. elétricas</t>
  </si>
  <si>
    <t xml:space="preserve">P901I e  P3A</t>
  </si>
  <si>
    <t xml:space="preserve">INSTALAÇÕES HIDRÁULICAS</t>
  </si>
  <si>
    <t xml:space="preserve">Inst. hidráulicas</t>
  </si>
  <si>
    <t xml:space="preserve">P901J e P901Y</t>
  </si>
  <si>
    <t xml:space="preserve">FIAÇÃO ELÉTRICA</t>
  </si>
  <si>
    <t xml:space="preserve">Fiação elétrica</t>
  </si>
  <si>
    <t xml:space="preserve">P3C </t>
  </si>
  <si>
    <t xml:space="preserve">PRUMADA ELÉTRICA - CABOS</t>
  </si>
  <si>
    <t xml:space="preserve">Prumada elétrica - cabos</t>
  </si>
  <si>
    <t xml:space="preserve">P4B e P901S</t>
  </si>
  <si>
    <t xml:space="preserve">FIAÇÃO TELECOM/DADOS</t>
  </si>
  <si>
    <t xml:space="preserve">Fiação telecom/dados</t>
  </si>
  <si>
    <t xml:space="preserve">P24C </t>
  </si>
  <si>
    <t xml:space="preserve">INSTALAÇÕES DE INCÊNDIO</t>
  </si>
  <si>
    <t xml:space="preserve">Inst. de incêndio</t>
  </si>
  <si>
    <t xml:space="preserve">P901Z e P14A</t>
  </si>
  <si>
    <t xml:space="preserve">PREPARAÇÃO PARA FACHADA AERADA - F3 + F4 (1º ETAPA)</t>
  </si>
  <si>
    <t xml:space="preserve">Preparação para fachada aerada - F3 + F4 (1º etapa)</t>
  </si>
  <si>
    <t xml:space="preserve">P5A </t>
  </si>
  <si>
    <t xml:space="preserve">Forro</t>
  </si>
  <si>
    <t xml:space="preserve">P6A e P901Z</t>
  </si>
  <si>
    <t xml:space="preserve">SHAFT</t>
  </si>
  <si>
    <t xml:space="preserve">Shaft</t>
  </si>
  <si>
    <t xml:space="preserve">P140 </t>
  </si>
  <si>
    <t xml:space="preserve">PRESSURIZAÇÃO (VENTILAÇÃO)</t>
  </si>
  <si>
    <t xml:space="preserve">Pressurização (ventilação)</t>
  </si>
  <si>
    <t xml:space="preserve">P7C e P148</t>
  </si>
  <si>
    <t xml:space="preserve">RESERVATÓRIO</t>
  </si>
  <si>
    <t xml:space="preserve">P135</t>
  </si>
  <si>
    <t xml:space="preserve">FACHADA AERADA - F3 + F4 (1º ETAPA)</t>
  </si>
  <si>
    <t xml:space="preserve">Fachada aerada - F3 + F4 (1º etapa)</t>
  </si>
  <si>
    <t xml:space="preserve">P5C e P7D</t>
  </si>
  <si>
    <t xml:space="preserve">PEITORIS E REQUADROS DE FACHADA - F1 + F2 (1º ETAPA)</t>
  </si>
  <si>
    <t xml:space="preserve">Peitoris e requadros de fachada - F1 + F2 (1º etapa)</t>
  </si>
  <si>
    <t xml:space="preserve">P14C </t>
  </si>
  <si>
    <t xml:space="preserve">MASSA CORRIDA</t>
  </si>
  <si>
    <t xml:space="preserve">Massa corrida</t>
  </si>
  <si>
    <t xml:space="preserve">P6B e P24B</t>
  </si>
  <si>
    <t xml:space="preserve">PASSEIOS, MURETAS E RAMPAS</t>
  </si>
  <si>
    <t xml:space="preserve">Passeios, muretas e rampas</t>
  </si>
  <si>
    <t xml:space="preserve">P6C </t>
  </si>
  <si>
    <t xml:space="preserve">ESQUADRIA DE ALUMÍNIO</t>
  </si>
  <si>
    <t xml:space="preserve">Esquadria de alumínio</t>
  </si>
  <si>
    <t xml:space="preserve">P101B e P110</t>
  </si>
  <si>
    <t xml:space="preserve">PREPARAÇÃO PARA FACHADA AERADA - F5 (1º ETAPA)</t>
  </si>
  <si>
    <t xml:space="preserve">Preparação para fachada aerada - F5 (1º etapa)</t>
  </si>
  <si>
    <t xml:space="preserve">Nucleo U</t>
  </si>
  <si>
    <t xml:space="preserve">PEITORIS E REQUADROS DE FACHADA - F3 + F4 (1º ETAPA)</t>
  </si>
  <si>
    <t xml:space="preserve">Peitoris e requadros de fachada - F3 + F4 (1º etapa)</t>
  </si>
  <si>
    <t xml:space="preserve">Nucleo A-A</t>
  </si>
  <si>
    <t xml:space="preserve">PINTURA 1º DEMÃO</t>
  </si>
  <si>
    <t xml:space="preserve">Pintura 1ª demão</t>
  </si>
  <si>
    <t xml:space="preserve">Nucleo V</t>
  </si>
  <si>
    <t xml:space="preserve">FACHADA AERADA - F5 (1º ETAPA)</t>
  </si>
  <si>
    <t xml:space="preserve">Fachada aerada - F5 (1º etapa)</t>
  </si>
  <si>
    <t xml:space="preserve">Nucleo AB</t>
  </si>
  <si>
    <t xml:space="preserve">GERADOR/TRANSFORMADOR</t>
  </si>
  <si>
    <t xml:space="preserve">Gerador/transformador</t>
  </si>
  <si>
    <t xml:space="preserve">Nucleo W</t>
  </si>
  <si>
    <t xml:space="preserve">DISJUNTORES / MIOLOS</t>
  </si>
  <si>
    <t xml:space="preserve">Disjuntores / miolos</t>
  </si>
  <si>
    <t xml:space="preserve">Nucleo AC e 101A</t>
  </si>
  <si>
    <t xml:space="preserve">INSTALAÇÃO DE LUMINÁRIAS E SENSORES</t>
  </si>
  <si>
    <t xml:space="preserve">Luminárias e sensores</t>
  </si>
  <si>
    <t xml:space="preserve">Nucleo H e 101B</t>
  </si>
  <si>
    <t xml:space="preserve">PISO VINÍLICO / LAMINADO</t>
  </si>
  <si>
    <t xml:space="preserve">Piso vinílico / laminado</t>
  </si>
  <si>
    <t xml:space="preserve">Nucleo I e PF4</t>
  </si>
  <si>
    <t xml:space="preserve">INSTALAÇÕES INCÊNDIO</t>
  </si>
  <si>
    <t xml:space="preserve">Inst. incêndio</t>
  </si>
  <si>
    <t xml:space="preserve">Nucleo K e PF3</t>
  </si>
  <si>
    <t xml:space="preserve">INST. MÓDULOS CHURRASQUEIRA</t>
  </si>
  <si>
    <t xml:space="preserve">Inst. módulos churrasqueira</t>
  </si>
  <si>
    <t xml:space="preserve">7C e 109B</t>
  </si>
  <si>
    <t xml:space="preserve">ESQUADRIA MADEIRA</t>
  </si>
  <si>
    <t xml:space="preserve">Esquadria madeira</t>
  </si>
  <si>
    <t xml:space="preserve">4A e 119B</t>
  </si>
  <si>
    <t xml:space="preserve">PLACAS E IDEINTIFIC. VISUAIS</t>
  </si>
  <si>
    <t xml:space="preserve">Placas e ideintific. visuais</t>
  </si>
  <si>
    <t xml:space="preserve">4B e 110</t>
  </si>
  <si>
    <t xml:space="preserve">INSTALAÇÃO DE LUMINÁRIAS</t>
  </si>
  <si>
    <t xml:space="preserve">Luminárias</t>
  </si>
  <si>
    <t xml:space="preserve">4C e 118A</t>
  </si>
  <si>
    <t xml:space="preserve">INSTALAÇÃO DE PCF (FOLHA)</t>
  </si>
  <si>
    <t xml:space="preserve">PCF (folha)</t>
  </si>
  <si>
    <t xml:space="preserve">1A e 118B</t>
  </si>
  <si>
    <t xml:space="preserve">MARCENARIA - SHAFTS</t>
  </si>
  <si>
    <t xml:space="preserve">Marcenaria - shafts</t>
  </si>
  <si>
    <t xml:space="preserve">1B e 120A</t>
  </si>
  <si>
    <t xml:space="preserve">PREPARAÇÃO - POÇO DE ELEVADOR</t>
  </si>
  <si>
    <t xml:space="preserve">Preparação - poço de elevador</t>
  </si>
  <si>
    <t xml:space="preserve">1C e 120B</t>
  </si>
  <si>
    <t xml:space="preserve">PREPARAÇÃO PARA FACHADA AERADA - F1 + F2 (2º ETAPA)</t>
  </si>
  <si>
    <t xml:space="preserve">Preparação para fachada aerada - F1 + F2 (2º etapa)</t>
  </si>
  <si>
    <t xml:space="preserve">126A e 129</t>
  </si>
  <si>
    <t xml:space="preserve">RODAPÉ MADEIRA / PVC</t>
  </si>
  <si>
    <t xml:space="preserve">Rodapé madeira / pvc</t>
  </si>
  <si>
    <t xml:space="preserve">126B e 121B</t>
  </si>
  <si>
    <t xml:space="preserve">INSTALAÇÃO DE CORRIMÃO (SERRALHERIA)</t>
  </si>
  <si>
    <t xml:space="preserve">Corrimão (serralheria)</t>
  </si>
  <si>
    <t xml:space="preserve">121A</t>
  </si>
  <si>
    <t xml:space="preserve">LOUÇAS</t>
  </si>
  <si>
    <t xml:space="preserve">Louças</t>
  </si>
  <si>
    <t xml:space="preserve">METAIS</t>
  </si>
  <si>
    <t xml:space="preserve">Metais</t>
  </si>
  <si>
    <t xml:space="preserve">COMUNICAÇÃO E ALARME</t>
  </si>
  <si>
    <t xml:space="preserve">Comunicação e alarme</t>
  </si>
  <si>
    <t xml:space="preserve">REBOCO EXTERNO</t>
  </si>
  <si>
    <t xml:space="preserve">Reboco externo</t>
  </si>
  <si>
    <t xml:space="preserve">FACHADA AERADA - F1 + F2 (2º ETAPA)</t>
  </si>
  <si>
    <t xml:space="preserve">Fachada aerada - F1 + F2 (2º etapa)</t>
  </si>
  <si>
    <t xml:space="preserve">LIMPEZA GROSSA</t>
  </si>
  <si>
    <t xml:space="preserve">Limpeza grossa</t>
  </si>
  <si>
    <t xml:space="preserve">PEITORIS E REQUADROS DE FACHADA - F5 (1º ETAPA)</t>
  </si>
  <si>
    <t xml:space="preserve">Peitoris e requadros de fachada - F5 (1º etapa)</t>
  </si>
  <si>
    <t xml:space="preserve">POLIMENTO DE PISO</t>
  </si>
  <si>
    <t xml:space="preserve">Polimento de piso</t>
  </si>
  <si>
    <t xml:space="preserve">PREPARAÇÃO PARA FACHADA AERADA - F3 + F4 (2º ETAPA)</t>
  </si>
  <si>
    <t xml:space="preserve">Preparação para fachada aerada - F3 + F4 (2º etapa)</t>
  </si>
  <si>
    <t xml:space="preserve">PINTURA 2º DEMÃO</t>
  </si>
  <si>
    <t xml:space="preserve">Pintura 2ª demão</t>
  </si>
  <si>
    <t xml:space="preserve">TEXTURA - EXTERNA</t>
  </si>
  <si>
    <t xml:space="preserve">Textura - externa</t>
  </si>
  <si>
    <t xml:space="preserve">PONTOS DE ANCORAGEM INOX</t>
  </si>
  <si>
    <t xml:space="preserve">Pontos de ancoragem inox</t>
  </si>
  <si>
    <t xml:space="preserve">ACABAMENTOS ELÉTRICOS</t>
  </si>
  <si>
    <t xml:space="preserve">Acabamentos elétricos</t>
  </si>
  <si>
    <t xml:space="preserve">TEXTURA - 1º DEMÃO</t>
  </si>
  <si>
    <t xml:space="preserve">Textura - 1ª demão</t>
  </si>
  <si>
    <t xml:space="preserve">PINTURA DE TUBULAÇÕES (PAREDE E TETO)</t>
  </si>
  <si>
    <t xml:space="preserve">Pintura de tubulações (parede e teto)</t>
  </si>
  <si>
    <t xml:space="preserve">PEITORIS E REQUADROS DE FACHADA - F1 + F2 (2º ETAPA)</t>
  </si>
  <si>
    <t xml:space="preserve">Peitoris e requadros de fachada - F1 + F2 (2º etapa)</t>
  </si>
  <si>
    <t xml:space="preserve">CHECKLIST</t>
  </si>
  <si>
    <t xml:space="preserve">Checklist</t>
  </si>
  <si>
    <t xml:space="preserve">FACHADA AERADA - F3 + F4 (2º ETAPA)</t>
  </si>
  <si>
    <t xml:space="preserve">Fachada aerada - F3 + F4 (2º etapa)</t>
  </si>
  <si>
    <t xml:space="preserve">PINTURA 3º DEMÃO</t>
  </si>
  <si>
    <t xml:space="preserve">Pintura 3ª demão</t>
  </si>
  <si>
    <t xml:space="preserve">PINTURA - CORRIMÃO</t>
  </si>
  <si>
    <t xml:space="preserve">Pintura - corrimão</t>
  </si>
  <si>
    <t xml:space="preserve">PREPARAÇÃO PARA FACHADA AERADA - F5 (2º ETAPA)</t>
  </si>
  <si>
    <t xml:space="preserve">Preparação para fachada aerada - F5 (2º etapa)</t>
  </si>
  <si>
    <t xml:space="preserve">INSTALAÇÃO DE SHADOWBOX E BRISE - F1 + F2</t>
  </si>
  <si>
    <t xml:space="preserve">Shadowbox e brise - F1 + F2</t>
  </si>
  <si>
    <t xml:space="preserve">LIMPEZA FINA</t>
  </si>
  <si>
    <t xml:space="preserve">Limpeza fina</t>
  </si>
  <si>
    <t xml:space="preserve">PISO EMBORRACHADO</t>
  </si>
  <si>
    <t xml:space="preserve">Piso emborrachado</t>
  </si>
  <si>
    <t xml:space="preserve">DEMARCAÇÃO DE VAGAS</t>
  </si>
  <si>
    <t xml:space="preserve">Demarcação de vagas</t>
  </si>
  <si>
    <t xml:space="preserve">INSTALAÇÃO DE METAIS</t>
  </si>
  <si>
    <t xml:space="preserve">INST. CARREGADOR DE VEÍCULOS</t>
  </si>
  <si>
    <t xml:space="preserve">Inst. carregador de veículos</t>
  </si>
  <si>
    <t xml:space="preserve">MONTAGEM - ELEVADOR 1</t>
  </si>
  <si>
    <t xml:space="preserve">Montagem - elevador 1</t>
  </si>
  <si>
    <t xml:space="preserve">Escavação - F3 - F4 / 101 -108 / 110 - 112 - 118 </t>
  </si>
  <si>
    <t xml:space="preserve">REVESTIMENTO ACABAMENTO</t>
  </si>
  <si>
    <t xml:space="preserve">Revestimento acabamento</t>
  </si>
  <si>
    <t xml:space="preserve">Arrasamento - F3 - F4 / 101 -108 / 110 - 112 - 118 / 2</t>
  </si>
  <si>
    <t xml:space="preserve">PEITORIS E REQUADROS DE FACHADA - F3 + F4 (2º ETAPA)</t>
  </si>
  <si>
    <t xml:space="preserve">Peitoris e requadros de fachada - F3 + F4 (2º etapa)</t>
  </si>
  <si>
    <t xml:space="preserve">Armação - F3 - F4 / 101 -108 / 110 - 112 - 118 / 2</t>
  </si>
  <si>
    <t xml:space="preserve">AQUECEDOR (SAUNA)</t>
  </si>
  <si>
    <t xml:space="preserve">Aquecedor (sauna)</t>
  </si>
  <si>
    <t xml:space="preserve">Forma - F3 - F4 / 101 -108 / 110 - 112 - 118 / 2</t>
  </si>
  <si>
    <t xml:space="preserve">IRRIGAÇÃO</t>
  </si>
  <si>
    <t xml:space="preserve">Concreto - F3 - F4 / 101 -108 / 110 - 112 - 118 / 2</t>
  </si>
  <si>
    <t xml:space="preserve">FACHADA AERADA - F5 (2º ETAPA)</t>
  </si>
  <si>
    <t xml:space="preserve">Fachada aerada - F5 (2º etapa)</t>
  </si>
  <si>
    <t xml:space="preserve">TEXTURA - 2º E 3º DEMÃO</t>
  </si>
  <si>
    <t xml:space="preserve">Textura - 2ª e 3ª demão</t>
  </si>
  <si>
    <t xml:space="preserve">Escavação - BL 1 / 3 / 5</t>
  </si>
  <si>
    <t xml:space="preserve">Arrasamento - BL 1 / 3 / 5</t>
  </si>
  <si>
    <t xml:space="preserve">FACHADA</t>
  </si>
  <si>
    <t xml:space="preserve">Fachada</t>
  </si>
  <si>
    <t xml:space="preserve">Armação - BL 1 / 3</t>
  </si>
  <si>
    <t xml:space="preserve">PRESSURIZAÇÃO (HIDRÁULICA)</t>
  </si>
  <si>
    <t xml:space="preserve">Pressurização (hidráulica)</t>
  </si>
  <si>
    <t xml:space="preserve">Forma / Concreto - BL 1</t>
  </si>
  <si>
    <t xml:space="preserve">INSTALAÇÃO DE SHADOWBOX E BRISES - F3 + F4</t>
  </si>
  <si>
    <t xml:space="preserve">Shadowbox e brises - F3 + F4</t>
  </si>
  <si>
    <t xml:space="preserve">Escavação/Arrasamento - BL 7 </t>
  </si>
  <si>
    <t xml:space="preserve">TRATAMENTO DE CONCRETO APARENTE - F1 + F2</t>
  </si>
  <si>
    <t xml:space="preserve">Tratamento de concreto aparente - F1 + F2</t>
  </si>
  <si>
    <t xml:space="preserve">Armação - BL 5 / 7</t>
  </si>
  <si>
    <t xml:space="preserve">LIMPEZA</t>
  </si>
  <si>
    <t xml:space="preserve">Limpeza</t>
  </si>
  <si>
    <t xml:space="preserve">Forma - BL 5</t>
  </si>
  <si>
    <t xml:space="preserve">MONTAGEM - ELEVADOR 2</t>
  </si>
  <si>
    <t xml:space="preserve">Montagem - elevador 2</t>
  </si>
  <si>
    <t xml:space="preserve">Concreto - BL 3</t>
  </si>
  <si>
    <t xml:space="preserve">PEITORIS E REQUADROS DE FACHADA - F5 (2º ETAPA)</t>
  </si>
  <si>
    <t xml:space="preserve">Peitoris e requadros de fachada - F5 (2º etapa)</t>
  </si>
  <si>
    <t xml:space="preserve">Armação - BL 5</t>
  </si>
  <si>
    <t xml:space="preserve">MONTAGEM - BOILERS E AQUECEDORES</t>
  </si>
  <si>
    <t xml:space="preserve">Montagem - boilers e aquecedores</t>
  </si>
  <si>
    <t xml:space="preserve">Forma - BL 7 / </t>
  </si>
  <si>
    <t xml:space="preserve">BRISE</t>
  </si>
  <si>
    <t xml:space="preserve">Brise</t>
  </si>
  <si>
    <t xml:space="preserve">Concreto - BL 5 / 7 / </t>
  </si>
  <si>
    <t xml:space="preserve">EQUIPAMENTOS - PISCINA</t>
  </si>
  <si>
    <t xml:space="preserve">Equipamentos - piscina</t>
  </si>
  <si>
    <t xml:space="preserve">Spda</t>
  </si>
  <si>
    <t xml:space="preserve">TRATAMENTO DE CONCRETO APARENTE - F3 + F4</t>
  </si>
  <si>
    <t xml:space="preserve">Tratamento de concreto aparente - F3 + F4</t>
  </si>
  <si>
    <t xml:space="preserve">Escavação / Arrasamento - BL 4 / 6 </t>
  </si>
  <si>
    <t xml:space="preserve">QUADRA DE RECREAÇÃO</t>
  </si>
  <si>
    <t xml:space="preserve">Quadra de recreação</t>
  </si>
  <si>
    <t xml:space="preserve">Armação - BL 4 / 6</t>
  </si>
  <si>
    <t xml:space="preserve">INSTALAÇÃO DE SHADOWBOX E BRISES - F5</t>
  </si>
  <si>
    <t xml:space="preserve">Shadowbox e brises - F5</t>
  </si>
  <si>
    <t xml:space="preserve">Escavação / Arrasamento - BL  134</t>
  </si>
  <si>
    <t xml:space="preserve">FACHADA EMBASAMENTO</t>
  </si>
  <si>
    <t xml:space="preserve">Fachada embasamento</t>
  </si>
  <si>
    <t xml:space="preserve">Armação - BL 4</t>
  </si>
  <si>
    <t xml:space="preserve">MONTAGEM - ELEVADOR 3</t>
  </si>
  <si>
    <t xml:space="preserve">Montagem - elevador 3</t>
  </si>
  <si>
    <t xml:space="preserve">Forma - BL 4 / 6 </t>
  </si>
  <si>
    <t xml:space="preserve">PRESSURIZAÇÃO (INCÊNDIO)</t>
  </si>
  <si>
    <t xml:space="preserve">Pressurização (incêndio)</t>
  </si>
  <si>
    <t xml:space="preserve">Concreto - BL 4 / 6</t>
  </si>
  <si>
    <t xml:space="preserve">PISO ELEVADO</t>
  </si>
  <si>
    <t xml:space="preserve">Piso elevado</t>
  </si>
  <si>
    <t xml:space="preserve">Escavação / Arrasamento </t>
  </si>
  <si>
    <t xml:space="preserve">TRATAMENTO DE CONCRETO APARENTE - F5</t>
  </si>
  <si>
    <t xml:space="preserve">Tratamento de concreto aparente - F5</t>
  </si>
  <si>
    <t xml:space="preserve">Escavação / Armação - BL 135</t>
  </si>
  <si>
    <t xml:space="preserve">CHECKLIST FINAL</t>
  </si>
  <si>
    <t xml:space="preserve">Checklist final</t>
  </si>
  <si>
    <t xml:space="preserve">Forma - BL  134 / 135</t>
  </si>
  <si>
    <t xml:space="preserve">ENXOVAL</t>
  </si>
  <si>
    <t xml:space="preserve">Enxoval</t>
  </si>
  <si>
    <t xml:space="preserve">Concreto - BL 134 / 135</t>
  </si>
  <si>
    <t xml:space="preserve">VISTORIA APTOS</t>
  </si>
  <si>
    <t xml:space="preserve">Vistoria aptos</t>
  </si>
  <si>
    <t xml:space="preserve">SUBSOLO</t>
  </si>
  <si>
    <t xml:space="preserve">HABITE-SE</t>
  </si>
  <si>
    <t xml:space="preserve">Habite-se</t>
  </si>
  <si>
    <t xml:space="preserve">Escavação</t>
  </si>
  <si>
    <t xml:space="preserve">ENTREGA SÍNDICO</t>
  </si>
  <si>
    <t xml:space="preserve">Entrega síndico</t>
  </si>
  <si>
    <t xml:space="preserve">Arrasamento</t>
  </si>
  <si>
    <t xml:space="preserve">Forma e Armação</t>
  </si>
  <si>
    <t xml:space="preserve">Concreto</t>
  </si>
  <si>
    <t xml:space="preserve">Desforma e Aterramento</t>
  </si>
  <si>
    <t xml:space="preserve">Escavação / Arrasamento - BL 14 / 122</t>
  </si>
  <si>
    <t xml:space="preserve">Escavação / Arrasamento - BL 10 / 19 / 124 / 127</t>
  </si>
  <si>
    <t xml:space="preserve">Armação - BL 14 / 122 </t>
  </si>
  <si>
    <t xml:space="preserve">Forma - BL 14 / 122 </t>
  </si>
  <si>
    <t xml:space="preserve">Concreto - BL 14 / 122</t>
  </si>
  <si>
    <t xml:space="preserve">Armação - BL 10 / 19 / 124 / 127</t>
  </si>
  <si>
    <t xml:space="preserve">Forma - BL 10 / 19 / 124 / 127</t>
  </si>
  <si>
    <t xml:space="preserve">TÉRREO - GERAL</t>
  </si>
  <si>
    <t xml:space="preserve">Polimento</t>
  </si>
  <si>
    <t xml:space="preserve">Escavação / Arrasamento - BL 11 / F1 / F2</t>
  </si>
  <si>
    <t xml:space="preserve">Escavação / Arrasamento - BL 20 </t>
  </si>
  <si>
    <t xml:space="preserve">Armação - BL 11 / F1 / F2</t>
  </si>
  <si>
    <t xml:space="preserve">Escavação / Arrasamento - BL  142 - 144 / 151 - 153 / 137 </t>
  </si>
  <si>
    <t xml:space="preserve">Armação - BL 20</t>
  </si>
  <si>
    <t xml:space="preserve">Forma - BL 11 / F1 / F2</t>
  </si>
  <si>
    <t xml:space="preserve">Concreto - BL 11 / F1 / F2</t>
  </si>
  <si>
    <t xml:space="preserve">Armação - BL 142 - 144 / 151 - 153 / 137 </t>
  </si>
  <si>
    <t xml:space="preserve">Forma - BL 20 / 142 - 144 / 151 - 153 / 137</t>
  </si>
  <si>
    <t xml:space="preserve">Concreto - BL 20 / 142 - 144 / 151 - 153 / 137</t>
  </si>
  <si>
    <t xml:space="preserve">Escavação / Arrasamento - BL 136 - 145 - 154 / 24 - 25</t>
  </si>
  <si>
    <t xml:space="preserve">Escavação / Arrasamento - BL 138 - 140 / 146 - 149 / 155 - 156</t>
  </si>
  <si>
    <t xml:space="preserve">Armação - BL 136 - 138 - 140 / 145 - 149 / 154 - 156 / 24 - 25</t>
  </si>
  <si>
    <t xml:space="preserve">Forma - BL 136 - 138 - 140 / 145 - 149 / 154 - 156 / 24 - 25</t>
  </si>
  <si>
    <t xml:space="preserve">Concreto - BL 136 - 138 - 140 / 145 - 149 / 154 - 156 / 24 - 25</t>
  </si>
  <si>
    <t xml:space="preserve">Escoramento Laje/ Vigas</t>
  </si>
  <si>
    <t xml:space="preserve">Forro Laje</t>
  </si>
  <si>
    <t xml:space="preserve">Montagem Vigas - Armação</t>
  </si>
  <si>
    <t xml:space="preserve">Armação Laje</t>
  </si>
  <si>
    <t xml:space="preserve">Concretagem Laje</t>
  </si>
  <si>
    <t xml:space="preserve">Escoramento Lajes/ Vigas</t>
  </si>
  <si>
    <t xml:space="preserve">Montagem de Pilares</t>
  </si>
  <si>
    <t xml:space="preserve">Forma Pilares</t>
  </si>
  <si>
    <t xml:space="preserve">1º PAV. (INTERMEDIÁRIO)</t>
  </si>
  <si>
    <t xml:space="preserve">Montagem Pilares - Armação</t>
  </si>
  <si>
    <t xml:space="preserve">2º PAV - GARAGEM</t>
  </si>
  <si>
    <t xml:space="preserve">Escoramento Laje/Vigas</t>
  </si>
  <si>
    <t xml:space="preserve">Montagem Laje</t>
  </si>
  <si>
    <t xml:space="preserve">Escavação - C 41 / 45 /47 / 49 /52 / VA1 / C3</t>
  </si>
  <si>
    <t xml:space="preserve">Forma e Armação - C 41 / 45 /47 / 49 /52 / VA1 / C3</t>
  </si>
  <si>
    <t xml:space="preserve">Concreto - C 41 / 45 /47 / 49 /52 / VA1 / C3</t>
  </si>
  <si>
    <t xml:space="preserve">3º PAV - GARAGEM</t>
  </si>
  <si>
    <t xml:space="preserve">Escavação - C 22 / 23 / 26 / 27 / 34 / 37 /43 / 46</t>
  </si>
  <si>
    <t xml:space="preserve">Forma e Armação - C 22 / 23 / 26 / 27 / 34 / 37 /43 / 46</t>
  </si>
  <si>
    <t xml:space="preserve">Concreto - C 22 / 23 / 26 / 27 / 34 / 37 /43 / 46</t>
  </si>
  <si>
    <t xml:space="preserve">Escavação - C 7 / 9 /12 -16 / 20 / 18 / 35-36 / 38-40 / 42 / 44</t>
  </si>
  <si>
    <t xml:space="preserve">Forma e Armação - C 7 / 9 /12 -16 / 20 / 18 / 35-36 / 38-40 / 42 / 44</t>
  </si>
  <si>
    <t xml:space="preserve">Concreto - C 7 / 9 /12 -16 / 20 / 18 / 35-36 / 38-40 / 42 / 44</t>
  </si>
  <si>
    <t xml:space="preserve">Escavação - C 21/ 24-25 /28/48/50/51/ 53-54</t>
  </si>
  <si>
    <t xml:space="preserve">Forma e Armação - C 21/ 24-25 /28/48/50/51/ 53-54</t>
  </si>
  <si>
    <t xml:space="preserve">Concreto - C 21/ 24-25 /28/48/50/51/ 53-54</t>
  </si>
  <si>
    <t xml:space="preserve">4º PAV - GARAGEM</t>
  </si>
  <si>
    <t xml:space="preserve">5º PAV - GARAGEM</t>
  </si>
  <si>
    <t xml:space="preserve">6º PAV - PILOTIS</t>
  </si>
  <si>
    <t xml:space="preserve">7º PAV.</t>
  </si>
  <si>
    <t xml:space="preserve">8º PAV.</t>
  </si>
  <si>
    <t xml:space="preserve">9º PAV.</t>
  </si>
  <si>
    <t xml:space="preserve">P129 e PF4</t>
  </si>
  <si>
    <t xml:space="preserve">P109 e P119</t>
  </si>
  <si>
    <t xml:space="preserve">P123</t>
  </si>
  <si>
    <t xml:space="preserve">10º PAV.</t>
  </si>
  <si>
    <t xml:space="preserve">11º PAV.</t>
  </si>
  <si>
    <t xml:space="preserve">12º PAV.</t>
  </si>
  <si>
    <t xml:space="preserve">13º PAV.</t>
  </si>
  <si>
    <t xml:space="preserve">14º PAV.</t>
  </si>
  <si>
    <t xml:space="preserve">15º PAV.</t>
  </si>
  <si>
    <t xml:space="preserve">16º PAV.</t>
  </si>
  <si>
    <t xml:space="preserve">CX DE ESCADA DE INCÊND.</t>
  </si>
  <si>
    <t xml:space="preserve">HALL - APTOS</t>
  </si>
  <si>
    <t xml:space="preserve">17º PAV.</t>
  </si>
  <si>
    <t xml:space="preserve">TÉRREO - LOJA 1</t>
  </si>
  <si>
    <t xml:space="preserve">18º PAV.</t>
  </si>
  <si>
    <t xml:space="preserve">TÉRREO - LOJA 2</t>
  </si>
  <si>
    <t xml:space="preserve">19º PAV.</t>
  </si>
  <si>
    <t xml:space="preserve">20º PAV.</t>
  </si>
  <si>
    <t xml:space="preserve">TÉRREO - LOJA 3</t>
  </si>
  <si>
    <t xml:space="preserve">21º PAV.</t>
  </si>
  <si>
    <t xml:space="preserve">TÉRREO - LOJA 4</t>
  </si>
  <si>
    <t xml:space="preserve">22º PAV.</t>
  </si>
  <si>
    <t xml:space="preserve">TÉRREO - LOJA 5</t>
  </si>
  <si>
    <t xml:space="preserve">23º PAV.</t>
  </si>
  <si>
    <t xml:space="preserve">TÉRREO - LOJA 6</t>
  </si>
  <si>
    <t xml:space="preserve">24º PAV.</t>
  </si>
  <si>
    <t xml:space="preserve">TÉRREO - LOJA 7</t>
  </si>
  <si>
    <t xml:space="preserve">25º PAV.</t>
  </si>
  <si>
    <t xml:space="preserve">26º PAV.</t>
  </si>
  <si>
    <t xml:space="preserve">TÉRREO - ACESSO COMERCIAL + DML + ARS + ÁREA TEC + LAVABO + DISPENSA</t>
  </si>
  <si>
    <t xml:space="preserve">TÉRREO ÁREA EXTERNA - COMERCIAL</t>
  </si>
  <si>
    <t xml:space="preserve">TÉRREO - ÁREA EXTERNA RESIDENCIAL</t>
  </si>
  <si>
    <t xml:space="preserve">27º PAV.</t>
  </si>
  <si>
    <t xml:space="preserve">TÉRREO - HALL SOCIAL + ECLUSA + CIRCULAÇÃO</t>
  </si>
  <si>
    <t xml:space="preserve">28º PAV.</t>
  </si>
  <si>
    <t xml:space="preserve">29º PAV.</t>
  </si>
  <si>
    <t xml:space="preserve">30º PAV.</t>
  </si>
  <si>
    <t xml:space="preserve">31º PAV. - COBERTURA LINEAR</t>
  </si>
  <si>
    <t xml:space="preserve">32º PAV - COBERTURA GERAL</t>
  </si>
  <si>
    <t xml:space="preserve">6º PAV (PILOTIS) - PLAYGROUND + TERRAÇO DESCOBERTO + QUADRA DE RECREAÇÃO</t>
  </si>
  <si>
    <t xml:space="preserve">6º PAV (PILOTIS) - ACADEMIA</t>
  </si>
  <si>
    <t xml:space="preserve">6º PAV (PILOTIS) - SAUNA + DUCHA</t>
  </si>
  <si>
    <t xml:space="preserve">6º PAV (PILOTIS) - CHURRASQUEIRA + IS MASC. PCD + IS FEM. PCD + CIRCULAÇÃO 1 + HALL 1</t>
  </si>
  <si>
    <t xml:space="preserve">6º PAV (PILOTIS) - COWORKING 1 E 2 + CIRC. 2 + HALL 2 + DML + VEST. MASC. + VEST. FEM</t>
  </si>
  <si>
    <t xml:space="preserve">6º PAV (PILOTIS) - LOUNGE + SALÃO + COZINHA + GOURMET + ESPAÇO KIDS</t>
  </si>
  <si>
    <t xml:space="preserve">6º PAV (PILOTIS) - PISCINA + PRAINHA + DECK</t>
  </si>
  <si>
    <t xml:space="preserve">33º PAV - BARRILETE</t>
  </si>
  <si>
    <t xml:space="preserve">34º PAV - RESERVATÓRIO</t>
  </si>
  <si>
    <t xml:space="preserve">Teste de carga</t>
  </si>
  <si>
    <t xml:space="preserve">Preparação</t>
  </si>
  <si>
    <t xml:space="preserve">Proteção mecânica</t>
  </si>
  <si>
    <t xml:space="preserve">HALL - GARAGENS</t>
  </si>
  <si>
    <t xml:space="preserve">CRONOGRAMA DO PREVISION — % ACUMULADO PREVISTO POR PL (coluna 'Previsto' de cada mês)</t>
  </si>
  <si>
    <t xml:space="preserve">1º mês do Prevision →</t>
  </si>
  <si>
    <t xml:space="preserve">nº de meses →</t>
  </si>
  <si>
    <t xml:space="preserve">índice do mês →</t>
  </si>
  <si>
    <t xml:space="preserve">DESCRIÇÃO</t>
  </si>
  <si>
    <t xml:space="preserve">LINHA NO
PREVISION</t>
  </si>
  <si>
    <t xml:space="preserve">% ACUMULADO REALIZADO POR PL (coluna 'Realizado' de cada mês)</t>
  </si>
  <si>
    <t xml:space="preserve">INCORRIDO POR DISCIPLINA E MÊS (R$) — lido da aba DADOS BRUTOS pelo NOME do grupo e pela DATA do mês</t>
  </si>
  <si>
    <t xml:space="preserve">Grupos do ERP sem correspondência →</t>
  </si>
  <si>
    <t xml:space="preserve">CÁLCULO AUXILIAR — soma por coluna da aba DADOS BRUTOS (não editar)</t>
  </si>
  <si>
    <t xml:space="preserve">Acu até →</t>
  </si>
  <si>
    <t xml:space="preserve">NOME NO ERP (1)</t>
  </si>
  <si>
    <t xml:space="preserve">NOME NO ERP (2)</t>
  </si>
  <si>
    <t xml:space="preserve">FORA DO
HORIZONTE</t>
  </si>
  <si>
    <t xml:space="preserve">TOTAL NO ERP</t>
  </si>
  <si>
    <t xml:space="preserve">INCC DO
ACUMULADO
(mês a mês)</t>
  </si>
  <si>
    <t xml:space="preserve">SERVIÇOS TERCEIRIZADOS</t>
  </si>
  <si>
    <t xml:space="preserve">ESTRUTURA EM CONTRETO ARMADO</t>
  </si>
  <si>
    <t xml:space="preserve">REVESTIMENTOS DE MASSAS EM PAREDES</t>
  </si>
  <si>
    <t xml:space="preserve">REVESTIMENTOS</t>
  </si>
  <si>
    <t xml:space="preserve">REVESTIMENTO DIVERSOS   FACHADA</t>
  </si>
  <si>
    <t xml:space="preserve">TOTAL ACUMULADO</t>
  </si>
  <si>
    <t xml:space="preserve">NOMES DO ERP A IGNORAR (títulos, subtotais, grupos fora do orçamento)</t>
  </si>
  <si>
    <t xml:space="preserve">APORTES</t>
  </si>
  <si>
    <t xml:space="preserve">CUSTOS COM OBRAS</t>
  </si>
  <si>
    <t xml:space="preserve">MATERIAIS E SERVIÇOS PRESTADOS</t>
  </si>
  <si>
    <t xml:space="preserve">Total Geral</t>
  </si>
  <si>
    <t xml:space="preserve">DEDUÇÕES DA RECEITA</t>
  </si>
  <si>
    <t xml:space="preserve">MAIS COPY GRAFICA RAPIDA E COPIADORA LTDA</t>
  </si>
  <si>
    <t xml:space="preserve">EMPRESARIAL TRANSPORTES E LOGISTICA ES LTDA</t>
  </si>
  <si>
    <t xml:space="preserve">Soma de [VALOR REAL] (sinal invertido: custos positivos) · aba DADOS, BOTÂNICO, CUSTOS COM OBRAS, sem projeções (A PAGAR sem origem)</t>
  </si>
  <si>
    <t xml:space="preserve">Rótulos de Coluna</t>
  </si>
  <si>
    <t xml:space="preserve">Rótulos de Linha</t>
  </si>
  <si>
    <t xml:space="preserve">PARÂMETROS</t>
  </si>
  <si>
    <t xml:space="preserve">MDO e Equipamentos -&gt; histograma. </t>
  </si>
  <si>
    <t xml:space="preserve">Taxa de administração é 10% sobre o custo do mês (sem incorrido).</t>
  </si>
  <si>
    <t xml:space="preserve">Para os indiretos seguir uma curva linear.</t>
  </si>
  <si>
    <t xml:space="preserve">Atividades diretas: Andamento do Prevision.</t>
  </si>
  <si>
    <t xml:space="preserve">Elevador </t>
  </si>
  <si>
    <t xml:space="preserve">1 ano antes - 12 pagamentos</t>
  </si>
  <si>
    <t xml:space="preserve">Esquadrias  (Ex.: Confiança)</t>
  </si>
  <si>
    <t xml:space="preserve">60% em 10 pagtos (modelo Astro)</t>
  </si>
  <si>
    <t xml:space="preserve">40% medição direta</t>
  </si>
  <si>
    <t xml:space="preserve">Louças e metais </t>
  </si>
  <si>
    <t xml:space="preserve">40 a 180 dias no pedido</t>
  </si>
  <si>
    <t xml:space="preserve">pagto - 28/56/84</t>
  </si>
  <si>
    <t xml:space="preserve">Acabamentos</t>
  </si>
  <si>
    <t xml:space="preserve">pagto - 3X</t>
  </si>
  <si>
    <t xml:space="preserve">INCC CORTE →</t>
  </si>
  <si>
    <t xml:space="preserve">INCORRIDO
(R$)</t>
  </si>
  <si>
    <t xml:space="preserve">PREVISÃO
(R$) — calculada</t>
  </si>
  <si>
    <t xml:space="preserve">INCC</t>
  </si>
  <si>
    <t xml:space="preserve">CURVA MÊS</t>
  </si>
  <si>
    <t xml:space="preserve">CURVA
ACUMULADA</t>
  </si>
  <si>
    <t xml:space="preserve">PREVISÃO INFORMADA
(R$ ou peso) ← digite</t>
  </si>
  <si>
    <t xml:space="preserve">ORIGEM</t>
  </si>
  <si>
    <t xml:space="preserve">VALOR R$</t>
  </si>
  <si>
    <t xml:space="preserve">INCORRIDO
(INCC do mês)</t>
  </si>
  <si>
    <t xml:space="preserve">PREVISION
% PREVISTO
ACUMULADO</t>
  </si>
  <si>
    <t xml:space="preserve">PREVISION
% PREVISTO
NO MÊS</t>
  </si>
  <si>
    <t xml:space="preserve">PREVISION
% REALIZADO
ACUMULADO</t>
  </si>
  <si>
    <t xml:space="preserve">PESO USADO
(curva da
previsão)</t>
  </si>
  <si>
    <t xml:space="preserve">VALOR ORÇADO (R$ base / INCC)</t>
  </si>
  <si>
    <t xml:space="preserve">META DA DISTRIBUIÇÃO (INCC)</t>
  </si>
  <si>
    <t xml:space="preserve">PROJEÇÃO (R$) = incorrido + saldo INCC × INCC do corte</t>
  </si>
  <si>
    <t xml:space="preserve">INCORRIDO + COMPROMISSOS DO ERP (INCC)</t>
  </si>
  <si>
    <t xml:space="preserve">TOTAL NO FLUXO</t>
  </si>
  <si>
    <t xml:space="preserve">SALDO A DISTRIBUIR (INCC) − conciliação</t>
  </si>
  <si>
    <t xml:space="preserve">Σ PREVISÃO INFORMADA (meses futuros)</t>
  </si>
  <si>
    <t xml:space="preserve">Σ CURVA PREVISION (meses futuros, %)</t>
  </si>
  <si>
    <t xml:space="preserve">TIPO DO ITEM</t>
  </si>
  <si>
    <t xml:space="preserve">AVANÇO FÍSICO REALIZADO NO CORTE (Prevision)</t>
  </si>
  <si>
    <t xml:space="preserve">FORÇAR FONTE (opcional)</t>
  </si>
  <si>
    <t xml:space="preserve">AUTOMÁTICO</t>
  </si>
  <si>
    <t xml:space="preserve">FONTE DA CURVA USADA</t>
  </si>
  <si>
    <t xml:space="preserve">Σ PESOS USADOS</t>
  </si>
  <si>
    <t xml:space="preserve">SALDO A DISTRIBUIR (R$) = saldo INCC × INCC do corte</t>
  </si>
  <si>
    <t xml:space="preserve">AJUSTE APLICADO À PREVISÃO INFORMADA</t>
  </si>
  <si>
    <t xml:space="preserve">MOTIVO</t>
  </si>
  <si>
    <t xml:space="preserve">CONSIDERAR LANÇAMENTOS DO ERP APÓS O CORTE?</t>
  </si>
  <si>
    <t xml:space="preserve">Critério / observações:</t>
  </si>
  <si>
    <t xml:space="preserve">DIFERENÇA (fluxo em INCC − meta em INCC, descontada a conciliação)</t>
  </si>
  <si>
    <t xml:space="preserve">Somente o incorrido no ERP: a meta em INCC (VALOR POR PL!H48) é o próprio incorrido em INCC, sem previsão futura.</t>
  </si>
  <si>
    <t xml:space="preserve">PREVISÃO INFORMADA</t>
  </si>
  <si>
    <t xml:space="preserve">Saldo até a projeção lançado em 3 parcelas iguais em jan, fev e mar/2027 (decisão do usuário).</t>
  </si>
  <si>
    <t xml:space="preserve">Datas: início e término da linha-resumo do pacote ESTRUTURA no lote do pavimento (aba CRONOGRAMA ATIVIDADES). Lote vazio ou sem data: vale a distribuição manual da origem (colunas AC:AX).</t>
  </si>
  <si>
    <t xml:space="preserve">CORTE ESQUEMÁTICO</t>
  </si>
  <si>
    <t xml:space="preserve">PAVIMENTOS</t>
  </si>
  <si>
    <t xml:space="preserve">ÁREA DE PROJEÇÃO DO PAVIMENTO</t>
  </si>
  <si>
    <t xml:space="preserve">CONCRETO TORRE (m³)</t>
  </si>
  <si>
    <t xml:space="preserve">FORMA
Plana</t>
  </si>
  <si>
    <t xml:space="preserve">FORMA
Nervurada</t>
  </si>
  <si>
    <t xml:space="preserve">PROTENÇÃO</t>
  </si>
  <si>
    <t xml:space="preserve">AÇO </t>
  </si>
  <si>
    <t xml:space="preserve">Área de sarrafeamento</t>
  </si>
  <si>
    <t xml:space="preserve">Área de Camurça</t>
  </si>
  <si>
    <t xml:space="preserve">CONCRETO 
R$</t>
  </si>
  <si>
    <t xml:space="preserve">AÇO (mat)
R$</t>
  </si>
  <si>
    <t xml:space="preserve">AÇO (mdo)
R$</t>
  </si>
  <si>
    <t xml:space="preserve">PROTENÇÃO
R$</t>
  </si>
  <si>
    <t xml:space="preserve">TRATAMENTO R$</t>
  </si>
  <si>
    <t xml:space="preserve">LOTE NO CRONOGRAMA</t>
  </si>
  <si>
    <t xml:space="preserve">INÍCIO</t>
  </si>
  <si>
    <t xml:space="preserve">TÉRMINO</t>
  </si>
  <si>
    <t xml:space="preserve">CUSTO DE CADA PAVIMENTO POR MÊS (rateado pelos dias de execução no cronograma; sem par, distribuição da origem)</t>
  </si>
  <si>
    <t xml:space="preserve">Cobertura</t>
  </si>
  <si>
    <t xml:space="preserve">Fundo da caixa d'água</t>
  </si>
  <si>
    <t xml:space="preserve">31º Pavimento</t>
  </si>
  <si>
    <t xml:space="preserve">30º Pavimento</t>
  </si>
  <si>
    <t xml:space="preserve">29º Pavimento</t>
  </si>
  <si>
    <t xml:space="preserve">28º Pavimento</t>
  </si>
  <si>
    <t xml:space="preserve">27º Pavimento</t>
  </si>
  <si>
    <t xml:space="preserve">26º Pavimento</t>
  </si>
  <si>
    <t xml:space="preserve">25º Pavimento</t>
  </si>
  <si>
    <t xml:space="preserve">24º Pavimento</t>
  </si>
  <si>
    <t xml:space="preserve">23º Pavimento</t>
  </si>
  <si>
    <t xml:space="preserve">22º Pavimento</t>
  </si>
  <si>
    <t xml:space="preserve">21º Pavimento</t>
  </si>
  <si>
    <t xml:space="preserve">20º Pavimento</t>
  </si>
  <si>
    <t xml:space="preserve">19º Pavimento</t>
  </si>
  <si>
    <t xml:space="preserve">18º Pavimento</t>
  </si>
  <si>
    <t xml:space="preserve">17º Pavimento</t>
  </si>
  <si>
    <t xml:space="preserve">16º Pavimento</t>
  </si>
  <si>
    <t xml:space="preserve">15º Pavimento</t>
  </si>
  <si>
    <t xml:space="preserve">14º Pavimento</t>
  </si>
  <si>
    <t xml:space="preserve">13º Pavimento</t>
  </si>
  <si>
    <t xml:space="preserve">12º Pavimento</t>
  </si>
  <si>
    <t xml:space="preserve">11º Pavimento</t>
  </si>
  <si>
    <t xml:space="preserve">10º Pavimento</t>
  </si>
  <si>
    <t xml:space="preserve">9º Pavimento</t>
  </si>
  <si>
    <t xml:space="preserve">8º Pavimento</t>
  </si>
  <si>
    <t xml:space="preserve">7º Pavimento</t>
  </si>
  <si>
    <t xml:space="preserve">6º Pavimento</t>
  </si>
  <si>
    <t xml:space="preserve">5º Pavimento</t>
  </si>
  <si>
    <t xml:space="preserve">4º Pavimento</t>
  </si>
  <si>
    <t xml:space="preserve">3º Pavimento</t>
  </si>
  <si>
    <t xml:space="preserve">2º Pavimento</t>
  </si>
  <si>
    <t xml:space="preserve">Intermediário</t>
  </si>
  <si>
    <t xml:space="preserve">Térreo</t>
  </si>
  <si>
    <t xml:space="preserve">Subsolo</t>
  </si>
  <si>
    <t xml:space="preserve">CURVA DA ESTRUTURA (soma)</t>
  </si>
  <si>
    <t xml:space="preserve">Valor de Orçamento</t>
  </si>
  <si>
    <t xml:space="preserve">REAJUSTE</t>
  </si>
  <si>
    <t xml:space="preserve">FORMA PLANA</t>
  </si>
  <si>
    <t xml:space="preserve">FORMA NERVURADA</t>
  </si>
  <si>
    <t xml:space="preserve">Porcentagem a ser executada depois</t>
  </si>
  <si>
    <t xml:space="preserve">ARMAÇÃO - MDO</t>
  </si>
  <si>
    <t xml:space="preserve">SARRAFEAMENTO</t>
  </si>
  <si>
    <t xml:space="preserve">POLIMENTO</t>
  </si>
  <si>
    <t xml:space="preserve">JUNTAS</t>
  </si>
  <si>
    <t xml:space="preserve">ARMAÇÃO - MAT</t>
  </si>
  <si>
    <t xml:space="preserve">CONCRETO FCK 40</t>
  </si>
  <si>
    <t xml:space="preserve">CONCRETO FCK 50</t>
  </si>
  <si>
    <t xml:space="preserve">BOMBEAMENTO</t>
  </si>
  <si>
    <t xml:space="preserve">CONCRETO APARENTE  - fck 40</t>
  </si>
  <si>
    <t xml:space="preserve">CONCRETO APARENTE  - fck 50</t>
  </si>
  <si>
    <t xml:space="preserve">CONCRETO FCK 50 - piso polido</t>
  </si>
  <si>
    <t xml:space="preserve">CONSIDERAÇÕES</t>
  </si>
  <si>
    <t xml:space="preserve">Horas trabalhadas por dia =</t>
  </si>
  <si>
    <t xml:space="preserve">Índice Kg/m³</t>
  </si>
  <si>
    <t xml:space="preserve">Qtt total de aço</t>
  </si>
  <si>
    <t xml:space="preserve">Reorçamento: projeção da ANÁLISE IEC (coluna X) digitada = R$ 11.720.096 − 125.000; o fator da coluna W estava 1 (não atualizado). Usado X ÷ I = 0,9715.</t>
  </si>
  <si>
    <t xml:space="preserve">Previsão informada mantida (decisão do usuário). Premissa: pedido 1 ano antes, 12 pagamentos.</t>
  </si>
  <si>
    <t xml:space="preserve">Previsão informada mantida (decisão do usuário). Premissa: 60% em 10 pagamentos + 40% por medição direta.</t>
  </si>
  <si>
    <t xml:space="preserve">MDO
(R$)</t>
  </si>
  <si>
    <t xml:space="preserve">MATERIAL
peso (pagamento
do pedido)</t>
  </si>
  <si>
    <t xml:space="preserve">MATERIAL
peso ajustado
(só futuro)</t>
  </si>
  <si>
    <t xml:space="preserve">MATERIAL
(R$)</t>
  </si>
  <si>
    <t xml:space="preserve">MDO PREVISION + MATERIAL PREMISSA</t>
  </si>
  <si>
    <t xml:space="preserve">Saldo dividido: MDO segue a curva do Prevision; material segue a premissa (pedido antecipado, pagamento 28/56/84 dias).</t>
  </si>
  <si>
    <t xml:space="preserve">DIVISÃO MDO × MATERIAL</t>
  </si>
  <si>
    <t xml:space="preserve">% MÃO DE OBRA (segue a curva do Prevision)</t>
  </si>
  <si>
    <t xml:space="preserve">% MATERIAL (segue a premissa)</t>
  </si>
  <si>
    <t xml:space="preserve">ANTECEDÊNCIA DO PEDIDO (dias antes da instalação)</t>
  </si>
  <si>
    <t xml:space="preserve">1ª PARCELA (dias após o pedido)</t>
  </si>
  <si>
    <t xml:space="preserve">2ª PARCELA (dias após o pedido)</t>
  </si>
  <si>
    <t xml:space="preserve">3ª PARCELA (dias após o pedido)</t>
  </si>
  <si>
    <t xml:space="preserve">Σ PESOS DO MATERIAL (meses futuros)</t>
  </si>
  <si>
    <t xml:space="preserve">Parcela 1 paga X meses antes da instalação</t>
  </si>
  <si>
    <t xml:space="preserve">Parcela 2 paga X meses antes da instalação</t>
  </si>
  <si>
    <t xml:space="preserve">Parcela 3 paga X meses antes da instalação</t>
  </si>
  <si>
    <t xml:space="preserve">MDO no fluxo (R$)</t>
  </si>
  <si>
    <t xml:space="preserve">MATERIAL no fluxo (R$)</t>
  </si>
</sst>
</file>

<file path=xl/styles.xml><?xml version="1.0" encoding="utf-8"?>
<styleSheet xmlns="http://schemas.openxmlformats.org/spreadsheetml/2006/main">
  <numFmts count="30">
    <numFmt numFmtId="164" formatCode="General"/>
    <numFmt numFmtId="165" formatCode="&quot;R$ &quot;#,##0;[RED]&quot;-R$ &quot;#,##0;\-"/>
    <numFmt numFmtId="166" formatCode="0"/>
    <numFmt numFmtId="167" formatCode="&quot;R$ &quot;#,##0.00;[RED]&quot;-R$ &quot;#,##0.00;\-"/>
    <numFmt numFmtId="168" formatCode="0.00%"/>
    <numFmt numFmtId="169" formatCode="0.0%"/>
    <numFmt numFmtId="170" formatCode="#,##0,,\M"/>
    <numFmt numFmtId="171" formatCode="0%"/>
    <numFmt numFmtId="172" formatCode="#,##0.00"/>
    <numFmt numFmtId="173" formatCode="#,##0.00;[RED]\(#,##0.00\);\-"/>
    <numFmt numFmtId="174" formatCode="dd/mm/yyyy"/>
    <numFmt numFmtId="175" formatCode="#,##0;[RED]\(#,##0\);\-"/>
    <numFmt numFmtId="176" formatCode="0.0000"/>
    <numFmt numFmtId="177" formatCode="0.000000"/>
    <numFmt numFmtId="178" formatCode="mm/yyyy"/>
    <numFmt numFmtId="179" formatCode="&quot;R$ &quot;#,##0"/>
    <numFmt numFmtId="180" formatCode="General"/>
    <numFmt numFmtId="181" formatCode="mmm/yy"/>
    <numFmt numFmtId="182" formatCode="0.0%;[RED]\-0.0%;\-"/>
    <numFmt numFmtId="183" formatCode="0.0"/>
    <numFmt numFmtId="184" formatCode="0.00"/>
    <numFmt numFmtId="185" formatCode="_-* #,##0.00_-;\-* #,##0.00_-;_-* \-??_-;_-@_-"/>
    <numFmt numFmtId="186" formatCode="_-[$R$-416]\ * #,##0.00_-;\-[$R$-416]\ * #,##0.00_-;_-[$R$-416]\ * \-??_-;_-@_-"/>
    <numFmt numFmtId="187" formatCode="#,##0.00_);[RED]\(#,##0.00\)"/>
    <numFmt numFmtId="188" formatCode="#,##0.0;[RED]\-#,##0.0"/>
    <numFmt numFmtId="189" formatCode="mmm\-yy"/>
    <numFmt numFmtId="190" formatCode="_-&quot;R$ &quot;* #,##0.00_-;&quot;-R$ &quot;* #,##0.00_-;_-&quot;R$ &quot;* \-??_-;_-@_-"/>
    <numFmt numFmtId="191" formatCode="dd/mm/yy"/>
    <numFmt numFmtId="192" formatCode="#,##0;\-#,##0;\-"/>
    <numFmt numFmtId="193" formatCode="_-* #,##0.0_-;\-* #,##0.0_-;_-* \-??_-;_-@_-"/>
  </numFmts>
  <fonts count="4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8000"/>
      <name val="Calibri"/>
      <family val="0"/>
      <charset val="1"/>
    </font>
    <font>
      <b val="true"/>
      <sz val="20"/>
      <color rgb="FF1C3B2A"/>
      <name val="Calibri"/>
      <family val="0"/>
      <charset val="1"/>
    </font>
    <font>
      <sz val="10"/>
      <color rgb="FF8C877A"/>
      <name val="Calibri"/>
      <family val="0"/>
      <charset val="1"/>
    </font>
    <font>
      <b val="true"/>
      <sz val="8"/>
      <color rgb="FF8C877A"/>
      <name val="Calibri"/>
      <family val="0"/>
      <charset val="1"/>
    </font>
    <font>
      <b val="true"/>
      <sz val="14"/>
      <color rgb="FF1C3B2A"/>
      <name val="Calibri"/>
      <family val="0"/>
      <charset val="1"/>
    </font>
    <font>
      <sz val="8"/>
      <color rgb="FF8C877A"/>
      <name val="Calibri"/>
      <family val="0"/>
      <charset val="1"/>
    </font>
    <font>
      <b val="true"/>
      <sz val="10"/>
      <color rgb="FF1C3B2A"/>
      <name val="Calibri"/>
      <family val="0"/>
      <charset val="1"/>
    </font>
    <font>
      <b val="true"/>
      <sz val="12"/>
      <color rgb="FF1C3B2A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3C3A33"/>
      <name val="Calibri"/>
      <family val="0"/>
      <charset val="1"/>
    </font>
    <font>
      <i val="true"/>
      <sz val="8"/>
      <color rgb="FF8C877A"/>
      <name val="Calibri"/>
      <family val="0"/>
      <charset val="1"/>
    </font>
    <font>
      <sz val="10"/>
      <name val="Arial"/>
      <family val="2"/>
    </font>
    <font>
      <sz val="8"/>
      <color rgb="FF8C877A"/>
      <name val="Calibri"/>
      <family val="2"/>
    </font>
    <font>
      <b val="true"/>
      <sz val="13"/>
      <name val="Calibri"/>
      <family val="0"/>
      <charset val="1"/>
    </font>
    <font>
      <b val="true"/>
      <sz val="9"/>
      <color rgb="FF8C877A"/>
      <name val="Calibri"/>
      <family val="0"/>
      <charset val="1"/>
    </font>
    <font>
      <b val="true"/>
      <sz val="12"/>
      <color rgb="FF0000FF"/>
      <name val="Calibri"/>
      <family val="0"/>
      <charset val="1"/>
    </font>
    <font>
      <b val="true"/>
      <sz val="11"/>
      <color rgb="FF008000"/>
      <name val="Calibri"/>
      <family val="0"/>
      <charset val="1"/>
    </font>
    <font>
      <b val="true"/>
      <sz val="11"/>
      <color rgb="FF1C3B2A"/>
      <name val="Calibri"/>
      <family val="0"/>
      <charset val="1"/>
    </font>
    <font>
      <b val="true"/>
      <sz val="15"/>
      <color rgb="FF1C3B2A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8"/>
      <color rgb="FF0000FF"/>
      <name val="Calibri"/>
      <family val="0"/>
      <charset val="1"/>
    </font>
    <font>
      <b val="true"/>
      <sz val="11"/>
      <color rgb="FF8C6D2F"/>
      <name val="Calibri"/>
      <family val="0"/>
      <charset val="1"/>
    </font>
    <font>
      <b val="true"/>
      <sz val="11"/>
      <color rgb="FF8A6D3B"/>
      <name val="Calibri"/>
      <family val="0"/>
      <charset val="1"/>
    </font>
    <font>
      <b val="true"/>
      <sz val="18"/>
      <color rgb="FF000000"/>
      <name val="Calibri"/>
      <family val="2"/>
    </font>
    <font>
      <b val="true"/>
      <sz val="13"/>
      <color rgb="FF008000"/>
      <name val="Calibri"/>
      <family val="0"/>
      <charset val="1"/>
    </font>
    <font>
      <i val="true"/>
      <sz val="9"/>
      <color rgb="FF8C877A"/>
      <name val="Calibri"/>
      <family val="0"/>
      <charset val="1"/>
    </font>
    <font>
      <sz val="9"/>
      <color rgb="FF000000"/>
      <name val="Calibri"/>
      <family val="0"/>
      <charset val="1"/>
    </font>
    <font>
      <sz val="9"/>
      <color rgb="FF3C3A33"/>
      <name val="Calibri"/>
      <family val="0"/>
      <charset val="1"/>
    </font>
    <font>
      <b val="true"/>
      <sz val="9"/>
      <color rgb="FF1C3B2A"/>
      <name val="Calibri"/>
      <family val="0"/>
      <charset val="1"/>
    </font>
    <font>
      <sz val="9"/>
      <color rgb="FF0000FF"/>
      <name val="Calibri"/>
      <family val="0"/>
      <charset val="1"/>
    </font>
    <font>
      <sz val="9"/>
      <color rgb="FF1F7A52"/>
      <name val="Calibri"/>
      <family val="0"/>
      <charset val="1"/>
    </font>
    <font>
      <sz val="9"/>
      <name val="Calibri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FFFF00"/>
        <bgColor rgb="FFFFC000"/>
      </patternFill>
    </fill>
    <fill>
      <patternFill patternType="solid">
        <fgColor rgb="FFEDEDED"/>
        <bgColor rgb="FFE8F0EA"/>
      </patternFill>
    </fill>
    <fill>
      <patternFill patternType="solid">
        <fgColor rgb="FFF4F1EA"/>
        <bgColor rgb="FFF1F5F0"/>
      </patternFill>
    </fill>
    <fill>
      <patternFill patternType="solid">
        <fgColor rgb="FFFCFBF8"/>
        <bgColor rgb="FFFFFFFF"/>
      </patternFill>
    </fill>
    <fill>
      <patternFill patternType="solid">
        <fgColor rgb="FFC5D3C8"/>
        <bgColor rgb="FFDED8C9"/>
      </patternFill>
    </fill>
    <fill>
      <patternFill patternType="solid">
        <fgColor rgb="FF1C3B2A"/>
        <bgColor rgb="FF3C3A33"/>
      </patternFill>
    </fill>
    <fill>
      <patternFill patternType="solid">
        <fgColor rgb="FF1F7A52"/>
        <bgColor rgb="FF008080"/>
      </patternFill>
    </fill>
    <fill>
      <patternFill patternType="solid">
        <fgColor rgb="FF99BCAB"/>
        <bgColor rgb="FFA6A6A6"/>
      </patternFill>
    </fill>
    <fill>
      <patternFill patternType="solid">
        <fgColor rgb="FFF1F5F0"/>
        <bgColor rgb="FFF4F1EA"/>
      </patternFill>
    </fill>
    <fill>
      <patternFill patternType="solid">
        <fgColor rgb="FFFFFFFF"/>
        <bgColor rgb="FFFCFBF8"/>
      </patternFill>
    </fill>
    <fill>
      <patternFill patternType="solid">
        <fgColor rgb="FFE8F0EA"/>
        <bgColor rgb="FFEDEDED"/>
      </patternFill>
    </fill>
    <fill>
      <patternFill patternType="solid">
        <fgColor rgb="FF8A6D3B"/>
        <bgColor rgb="FF8C6D2F"/>
      </patternFill>
    </fill>
    <fill>
      <patternFill patternType="solid">
        <fgColor rgb="FFFFF2CC"/>
        <bgColor rgb="FFF4F1EA"/>
      </patternFill>
    </fill>
    <fill>
      <patternFill patternType="solid">
        <fgColor rgb="FFD9E6DC"/>
        <bgColor rgb="FFE5DFD2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E5DFD2"/>
      </left>
      <right style="thin">
        <color rgb="FFE5DFD2"/>
      </right>
      <top style="thin">
        <color rgb="FFE5DFD2"/>
      </top>
      <bottom/>
      <diagonal/>
    </border>
    <border diagonalUp="false" diagonalDown="false">
      <left style="thin">
        <color rgb="FFE5DFD2"/>
      </left>
      <right style="thin">
        <color rgb="FFE5DFD2"/>
      </right>
      <top/>
      <bottom/>
      <diagonal/>
    </border>
    <border diagonalUp="false" diagonalDown="false">
      <left style="thin">
        <color rgb="FFE5DFD2"/>
      </left>
      <right style="thin">
        <color rgb="FFE5DFD2"/>
      </right>
      <top/>
      <bottom style="thin">
        <color rgb="FFE5DFD2"/>
      </bottom>
      <diagonal/>
    </border>
    <border diagonalUp="false" diagonalDown="false">
      <left/>
      <right/>
      <top/>
      <bottom style="thin">
        <color rgb="FFEDE8D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8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9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6" fontId="17" fillId="1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11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10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1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3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5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9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15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7" fillId="7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8" fillId="1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8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80" fontId="5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1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8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80" fontId="5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6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5" fillId="6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5" fillId="6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25" fillId="6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5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1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2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1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3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85" fontId="3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88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89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1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3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36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E8F0EA"/>
        </patternFill>
      </fill>
    </dxf>
    <dxf>
      <fill>
        <patternFill>
          <bgColor rgb="FFF6E3DF"/>
        </patternFill>
      </fill>
    </dxf>
    <dxf>
      <font>
        <name val="Calibri"/>
        <charset val="1"/>
        <family val="0"/>
        <b val="1"/>
        <color rgb="FF1F7A52"/>
        <sz val="14"/>
      </font>
    </dxf>
    <dxf>
      <font>
        <name val="Calibri"/>
        <charset val="1"/>
        <family val="0"/>
        <b val="1"/>
        <color rgb="FFB3392B"/>
        <sz val="14"/>
      </font>
    </dxf>
    <dxf>
      <font>
        <name val="Calibri"/>
        <charset val="1"/>
        <family val="0"/>
        <b val="1"/>
        <color rgb="FF1C3B2A"/>
      </font>
      <fill>
        <patternFill>
          <bgColor rgb="FFD9E6DC"/>
        </patternFill>
      </fill>
      <border diagonalUp="false" diagonalDown="false">
        <left/>
        <right/>
        <top style="medium">
          <color rgb="FF1C3B2A"/>
        </top>
        <bottom style="medium">
          <color rgb="FF1C3B2A"/>
        </bottom>
        <diagonal/>
      </border>
    </dxf>
    <dxf>
      <font>
        <name val="Calibri"/>
        <charset val="1"/>
        <family val="0"/>
        <b val="1"/>
        <color rgb="FFB3392B"/>
      </font>
      <fill>
        <patternFill>
          <bgColor rgb="FFF6E3DF"/>
        </patternFill>
      </fill>
    </dxf>
    <dxf>
      <font>
        <name val="Calibri"/>
        <charset val="1"/>
        <family val="0"/>
        <b val="1"/>
        <color rgb="FF1C3B2A"/>
      </font>
      <fill>
        <patternFill>
          <bgColor rgb="FFE8F0EA"/>
        </patternFill>
      </fill>
    </dxf>
    <dxf>
      <font>
        <name val="Calibri"/>
        <charset val="1"/>
        <family val="0"/>
        <b val="1"/>
        <color rgb="FFB3392B"/>
      </font>
    </dxf>
    <dxf>
      <fill>
        <patternFill>
          <bgColor rgb="FFEDEDED"/>
        </patternFill>
      </fill>
    </dxf>
    <dxf>
      <font>
        <name val="Calibri"/>
        <charset val="1"/>
        <family val="0"/>
        <color rgb="FFBFBFBF"/>
      </font>
    </dxf>
    <dxf>
      <font>
        <name val="Calibri"/>
        <charset val="1"/>
        <family val="0"/>
        <strike val="1"/>
        <color rgb="FFA6A6A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C6D2F"/>
      <rgbColor rgb="FF800080"/>
      <rgbColor rgb="FF1F7A52"/>
      <rgbColor rgb="FFBFBFBF"/>
      <rgbColor rgb="FF8C877A"/>
      <rgbColor rgb="FFEDEDED"/>
      <rgbColor rgb="FFBE4B48"/>
      <rgbColor rgb="FFFFF2CC"/>
      <rgbColor rgb="FFE8F0EA"/>
      <rgbColor rgb="FF660066"/>
      <rgbColor rgb="FFC0A062"/>
      <rgbColor rgb="FF0066CC"/>
      <rgbColor rgb="FFC5D3C8"/>
      <rgbColor rgb="FF000080"/>
      <rgbColor rgb="FFFF00FF"/>
      <rgbColor rgb="FFEDE8DC"/>
      <rgbColor rgb="FF00FFFF"/>
      <rgbColor rgb="FF800080"/>
      <rgbColor rgb="FF800000"/>
      <rgbColor rgb="FF008080"/>
      <rgbColor rgb="FF0000FF"/>
      <rgbColor rgb="FF00CCFF"/>
      <rgbColor rgb="FFF1F5F0"/>
      <rgbColor rgb="FFD9E6DC"/>
      <rgbColor rgb="FFF4F1EA"/>
      <rgbColor rgb="FF99BCAB"/>
      <rgbColor rgb="FFE5DFD2"/>
      <rgbColor rgb="FFF6E3DF"/>
      <rgbColor rgb="FFDED8C9"/>
      <rgbColor rgb="FF3366FF"/>
      <rgbColor rgb="FF33CCCC"/>
      <rgbColor rgb="FFFCFBF8"/>
      <rgbColor rgb="FFFFC000"/>
      <rgbColor rgb="FFFF9900"/>
      <rgbColor rgb="FFFF6600"/>
      <rgbColor rgb="FF4A7EBB"/>
      <rgbColor rgb="FFA6A6A6"/>
      <rgbColor rgb="FF003366"/>
      <rgbColor rgb="FF339966"/>
      <rgbColor rgb="FF003300"/>
      <rgbColor rgb="FF1C3B2A"/>
      <rgbColor rgb="FFB3392B"/>
      <rgbColor rgb="FF8A6D3B"/>
      <rgbColor rgb="FF333399"/>
      <rgbColor rgb="FF3C3A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"Realizado"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rgbClr val="1f7a52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DASHBOARD!$B$13:$B$19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</c:strCache>
            </c:strRef>
          </c:cat>
          <c:val>
            <c:numRef>
              <c:f>DASHBOARD!$H$13:$H$19</c:f>
              <c:numCache>
                <c:formatCode>"R$ "#,##0.00;[RED]"-R$ "#,##0.00;\-</c:formatCode>
                <c:ptCount val="7"/>
                <c:pt idx="0">
                  <c:v>1055724.07</c:v>
                </c:pt>
                <c:pt idx="1">
                  <c:v>7679641.61</c:v>
                </c:pt>
                <c:pt idx="2">
                  <c:v>12548975.130013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 realizar"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99bcab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DASHBOARD!$B$13:$B$19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</c:strCache>
            </c:strRef>
          </c:cat>
          <c:val>
            <c:numRef>
              <c:f>DASHBOARD!$I$13:$I$19</c:f>
              <c:numCache>
                <c:formatCode>"R$ "#,##0.00;[RED]"-R$ "#,##0.00;\-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13018585.2849895</c:v>
                </c:pt>
                <c:pt idx="3">
                  <c:v>47604449.8342178</c:v>
                </c:pt>
                <c:pt idx="4">
                  <c:v>66701794.0051204</c:v>
                </c:pt>
                <c:pt idx="5">
                  <c:v>11811809.4652543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40413536"/>
        <c:axId val="33362218"/>
      </c:barChart>
      <c:catAx>
        <c:axId val="404135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33362218"/>
        <c:crosses val="autoZero"/>
        <c:auto val="1"/>
        <c:lblAlgn val="ctr"/>
        <c:lblOffset val="100"/>
        <c:noMultiLvlLbl val="0"/>
      </c:catAx>
      <c:valAx>
        <c:axId val="33362218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4041353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8c877a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7a52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DASHBOARD!$B$26:$B$31</c:f>
              <c:strCache>
                <c:ptCount val="6"/>
                <c:pt idx="0">
                  <c:v>Indiretos (01 a 11)</c:v>
                </c:pt>
                <c:pt idx="1">
                  <c:v>Infraestrutura (12 a 16)</c:v>
                </c:pt>
                <c:pt idx="2">
                  <c:v>Estrutura (17)</c:v>
                </c:pt>
                <c:pt idx="3">
                  <c:v>Vedações, instalações e elevadores (18 a 24)</c:v>
                </c:pt>
                <c:pt idx="4">
                  <c:v>Acabamentos (25 a 37)</c:v>
                </c:pt>
                <c:pt idx="5">
                  <c:v>Taxa de administração</c:v>
                </c:pt>
              </c:strCache>
            </c:strRef>
          </c:cat>
          <c:val>
            <c:numRef>
              <c:f>DASHBOARD!$D$26:$D$31</c:f>
              <c:numCache>
                <c:formatCode>"R$ "#,##0.00;[RED]"-R$ "#,##0.00;\-</c:formatCode>
                <c:ptCount val="6"/>
                <c:pt idx="0">
                  <c:v>9868861.02680791</c:v>
                </c:pt>
                <c:pt idx="1">
                  <c:v>1296311.289094</c:v>
                </c:pt>
                <c:pt idx="2">
                  <c:v>16405808.4378074</c:v>
                </c:pt>
                <c:pt idx="3">
                  <c:v>11338654.2609151</c:v>
                </c:pt>
                <c:pt idx="4">
                  <c:v>8694814.81959344</c:v>
                </c:pt>
                <c:pt idx="5">
                  <c:v>0</c:v>
                </c:pt>
              </c:numCache>
            </c:numRef>
          </c:val>
        </c:ser>
        <c:gapWidth val="50"/>
        <c:overlap val="0"/>
        <c:axId val="74433364"/>
        <c:axId val="86404384"/>
      </c:barChart>
      <c:catAx>
        <c:axId val="7443336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86404384"/>
        <c:crosses val="autoZero"/>
        <c:auto val="1"/>
        <c:lblAlgn val="ctr"/>
        <c:lblOffset val="100"/>
        <c:noMultiLvlLbl val="0"/>
      </c:catAx>
      <c:valAx>
        <c:axId val="86404384"/>
        <c:scaling>
          <c:orientation val="minMax"/>
        </c:scaling>
        <c:delete val="0"/>
        <c:axPos val="l"/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7443336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1f7a52"/>
            </a:solidFill>
            <a:ln w="28440">
              <a:solidFill>
                <a:srgbClr val="1f7a5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'MODELO PARA BI'!$H$1:$CA$1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'MODELO PARA BI'!$H$67:$CA$67</c:f>
              <c:numCache>
                <c:formatCode>0.0%;[RED]\-0.0%;\-</c:formatCode>
                <c:ptCount val="72"/>
                <c:pt idx="0">
                  <c:v>0.0065809601334641</c:v>
                </c:pt>
                <c:pt idx="1">
                  <c:v>0.00689443440714209</c:v>
                </c:pt>
                <c:pt idx="2">
                  <c:v>0.00901193656472372</c:v>
                </c:pt>
                <c:pt idx="3">
                  <c:v>0.0105641541794769</c:v>
                </c:pt>
                <c:pt idx="4">
                  <c:v>0.0119788359801327</c:v>
                </c:pt>
                <c:pt idx="5">
                  <c:v>0.0138376940990401</c:v>
                </c:pt>
                <c:pt idx="6">
                  <c:v>0.0150229952405221</c:v>
                </c:pt>
                <c:pt idx="7">
                  <c:v>0.0164068149929687</c:v>
                </c:pt>
                <c:pt idx="8">
                  <c:v>0.0188728213188284</c:v>
                </c:pt>
                <c:pt idx="9">
                  <c:v>0.0232875397842723</c:v>
                </c:pt>
                <c:pt idx="10">
                  <c:v>0.0310973825784572</c:v>
                </c:pt>
                <c:pt idx="11">
                  <c:v>0.0446778189911618</c:v>
                </c:pt>
                <c:pt idx="12">
                  <c:v>0.0544527636765074</c:v>
                </c:pt>
                <c:pt idx="13">
                  <c:v>0.0667515424732973</c:v>
                </c:pt>
                <c:pt idx="14">
                  <c:v>0.0736429515280084</c:v>
                </c:pt>
                <c:pt idx="15">
                  <c:v>0.0838459113660914</c:v>
                </c:pt>
                <c:pt idx="16">
                  <c:v>0.0928514654738333</c:v>
                </c:pt>
                <c:pt idx="17">
                  <c:v>0.0988151898793359</c:v>
                </c:pt>
                <c:pt idx="18">
                  <c:v>0.10717252128959</c:v>
                </c:pt>
                <c:pt idx="19">
                  <c:v>0.121707437911636</c:v>
                </c:pt>
                <c:pt idx="20">
                  <c:v>0.132678038057576</c:v>
                </c:pt>
                <c:pt idx="21">
                  <c:v>0.158074956043871</c:v>
                </c:pt>
                <c:pt idx="22">
                  <c:v>0.182924312257875</c:v>
                </c:pt>
                <c:pt idx="23">
                  <c:v>0.200685204976692</c:v>
                </c:pt>
                <c:pt idx="24">
                  <c:v>0.213830673664925</c:v>
                </c:pt>
                <c:pt idx="25">
                  <c:v>0.235408125741377</c:v>
                </c:pt>
                <c:pt idx="26">
                  <c:v>0.249195307281915</c:v>
                </c:pt>
                <c:pt idx="27">
                  <c:v>0.263998474088102</c:v>
                </c:pt>
                <c:pt idx="28">
                  <c:v>0.281524999720652</c:v>
                </c:pt>
                <c:pt idx="29">
                  <c:v>0.299525396875782</c:v>
                </c:pt>
                <c:pt idx="30">
                  <c:v>0.321495924331531</c:v>
                </c:pt>
                <c:pt idx="31">
                  <c:v>0.347706528579469</c:v>
                </c:pt>
                <c:pt idx="32">
                  <c:v>0.376422712044572</c:v>
                </c:pt>
                <c:pt idx="33">
                  <c:v>0.403318400261577</c:v>
                </c:pt>
                <c:pt idx="34">
                  <c:v>0.435700078186125</c:v>
                </c:pt>
                <c:pt idx="35">
                  <c:v>0.472853719951735</c:v>
                </c:pt>
                <c:pt idx="36">
                  <c:v>0.510577707702407</c:v>
                </c:pt>
                <c:pt idx="37">
                  <c:v>0.550987819864954</c:v>
                </c:pt>
                <c:pt idx="38">
                  <c:v>0.594905666667179</c:v>
                </c:pt>
                <c:pt idx="39">
                  <c:v>0.645575156355225</c:v>
                </c:pt>
                <c:pt idx="40">
                  <c:v>0.694244370002153</c:v>
                </c:pt>
                <c:pt idx="41">
                  <c:v>0.727324727145802</c:v>
                </c:pt>
                <c:pt idx="42">
                  <c:v>0.76361224567597</c:v>
                </c:pt>
                <c:pt idx="43">
                  <c:v>0.800423602109295</c:v>
                </c:pt>
                <c:pt idx="44">
                  <c:v>0.832000741450025</c:v>
                </c:pt>
                <c:pt idx="45">
                  <c:v>0.864224844948475</c:v>
                </c:pt>
                <c:pt idx="46">
                  <c:v>0.886991851078989</c:v>
                </c:pt>
                <c:pt idx="47">
                  <c:v>0.907128085287241</c:v>
                </c:pt>
                <c:pt idx="48">
                  <c:v>0.926369920508763</c:v>
                </c:pt>
                <c:pt idx="49">
                  <c:v>0.94277418235398</c:v>
                </c:pt>
                <c:pt idx="50">
                  <c:v>0.956073187904212</c:v>
                </c:pt>
                <c:pt idx="51">
                  <c:v>0.969052857872488</c:v>
                </c:pt>
                <c:pt idx="52">
                  <c:v>0.975739175987001</c:v>
                </c:pt>
                <c:pt idx="53">
                  <c:v>0.978908476777891</c:v>
                </c:pt>
                <c:pt idx="54">
                  <c:v>0.983156075435939</c:v>
                </c:pt>
                <c:pt idx="55">
                  <c:v>0.983560040466193</c:v>
                </c:pt>
                <c:pt idx="56">
                  <c:v>0.984281910321614</c:v>
                </c:pt>
                <c:pt idx="57">
                  <c:v>0.984281910321614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7043843"/>
        <c:axId val="39406824"/>
      </c:lineChart>
      <c:catAx>
        <c:axId val="67043843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39406824"/>
        <c:crosses val="autoZero"/>
        <c:auto val="1"/>
        <c:lblAlgn val="ctr"/>
        <c:lblOffset val="100"/>
        <c:noMultiLvlLbl val="0"/>
      </c:catAx>
      <c:valAx>
        <c:axId val="3940682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6704384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7a5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'RETRATO 2027'!$C$30:$C$50</c:f>
              <c:strCache>
                <c:ptCount val="21"/>
                <c:pt idx="0">
                  <c:v>ESTRUTURA EM CONCRETO ARMADO</c:v>
                </c:pt>
                <c:pt idx="1">
                  <c:v>ALVENARIA</c:v>
                </c:pt>
                <c:pt idx="2">
                  <c:v>IMPERMEABILIZAÇÃO</c:v>
                </c:pt>
                <c:pt idx="3">
                  <c:v>INSTALAÇÕES ELÉTRICAS</c:v>
                </c:pt>
                <c:pt idx="4">
                  <c:v>INSTALAÇÕES HIDROSANITÁRIAS</c:v>
                </c:pt>
                <c:pt idx="5">
                  <c:v>INSTALAÇÕES COMBATE INCÊNDIO</c:v>
                </c:pt>
                <c:pt idx="6">
                  <c:v>INSTALAÇÕES ESPECIAIS</c:v>
                </c:pt>
                <c:pt idx="7">
                  <c:v>ELEVADORES</c:v>
                </c:pt>
                <c:pt idx="8">
                  <c:v>ESQUADRIAS</c:v>
                </c:pt>
                <c:pt idx="9">
                  <c:v>SERRALHERIA</c:v>
                </c:pt>
                <c:pt idx="10">
                  <c:v>MARCENARIA</c:v>
                </c:pt>
                <c:pt idx="11">
                  <c:v>REVESTIMENTOS DE MASSA EM PISOS</c:v>
                </c:pt>
                <c:pt idx="12">
                  <c:v>REVESTIMENTOS DE MASSA EM PAREDES</c:v>
                </c:pt>
                <c:pt idx="13">
                  <c:v>REVESTIMENTOS DE ACABAMENTO</c:v>
                </c:pt>
                <c:pt idx="14">
                  <c:v>PAVIMENTAÇÃO</c:v>
                </c:pt>
                <c:pt idx="15">
                  <c:v>REVESTIMENTO DIVERSOS - FACHADA</c:v>
                </c:pt>
                <c:pt idx="16">
                  <c:v>FORRO</c:v>
                </c:pt>
                <c:pt idx="17">
                  <c:v>LOUÇAS SANITÁRIAS</c:v>
                </c:pt>
                <c:pt idx="18">
                  <c:v>PINTURA</c:v>
                </c:pt>
                <c:pt idx="19">
                  <c:v>PAISAGISMO</c:v>
                </c:pt>
                <c:pt idx="20">
                  <c:v>LIMPEZA FINAL DE OBRA</c:v>
                </c:pt>
              </c:strCache>
            </c:strRef>
          </c:cat>
          <c:val>
            <c:numRef>
              <c:f>'RETRATO 2027'!$D$30:$D$50</c:f>
              <c:numCache>
                <c:formatCode>0.0%</c:formatCode>
                <c:ptCount val="21"/>
                <c:pt idx="0">
                  <c:v>0.9662</c:v>
                </c:pt>
                <c:pt idx="1">
                  <c:v>0.6684</c:v>
                </c:pt>
                <c:pt idx="2">
                  <c:v>0.3053</c:v>
                </c:pt>
                <c:pt idx="3">
                  <c:v>0.3026</c:v>
                </c:pt>
                <c:pt idx="4">
                  <c:v>0.6507</c:v>
                </c:pt>
                <c:pt idx="5">
                  <c:v>0.6585</c:v>
                </c:pt>
                <c:pt idx="6">
                  <c:v>0.3357</c:v>
                </c:pt>
                <c:pt idx="7">
                  <c:v>0</c:v>
                </c:pt>
                <c:pt idx="8">
                  <c:v>0.0472</c:v>
                </c:pt>
                <c:pt idx="9">
                  <c:v>0.191</c:v>
                </c:pt>
                <c:pt idx="10">
                  <c:v>0</c:v>
                </c:pt>
                <c:pt idx="11">
                  <c:v>0.6151</c:v>
                </c:pt>
                <c:pt idx="12">
                  <c:v>0.6545</c:v>
                </c:pt>
                <c:pt idx="13">
                  <c:v>0.2329</c:v>
                </c:pt>
                <c:pt idx="14">
                  <c:v>0.2576</c:v>
                </c:pt>
                <c:pt idx="15">
                  <c:v>0.4136</c:v>
                </c:pt>
                <c:pt idx="16">
                  <c:v>0.1817</c:v>
                </c:pt>
                <c:pt idx="17">
                  <c:v>0</c:v>
                </c:pt>
                <c:pt idx="18">
                  <c:v>0.1499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gapWidth val="40"/>
        <c:overlap val="0"/>
        <c:axId val="78277912"/>
        <c:axId val="85663996"/>
      </c:barChart>
      <c:catAx>
        <c:axId val="7827791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85663996"/>
        <c:crosses val="autoZero"/>
        <c:auto val="1"/>
        <c:lblAlgn val="ctr"/>
        <c:lblOffset val="100"/>
        <c:noMultiLvlLbl val="0"/>
      </c:catAx>
      <c:valAx>
        <c:axId val="8566399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7827791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9bca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'RETRATO 2027'!$C$30:$C$50</c:f>
              <c:strCache>
                <c:ptCount val="21"/>
                <c:pt idx="0">
                  <c:v>ESTRUTURA EM CONCRETO ARMADO</c:v>
                </c:pt>
                <c:pt idx="1">
                  <c:v>ALVENARIA</c:v>
                </c:pt>
                <c:pt idx="2">
                  <c:v>IMPERMEABILIZAÇÃO</c:v>
                </c:pt>
                <c:pt idx="3">
                  <c:v>INSTALAÇÕES ELÉTRICAS</c:v>
                </c:pt>
                <c:pt idx="4">
                  <c:v>INSTALAÇÕES HIDROSANITÁRIAS</c:v>
                </c:pt>
                <c:pt idx="5">
                  <c:v>INSTALAÇÕES COMBATE INCÊNDIO</c:v>
                </c:pt>
                <c:pt idx="6">
                  <c:v>INSTALAÇÕES ESPECIAIS</c:v>
                </c:pt>
                <c:pt idx="7">
                  <c:v>ELEVADORES</c:v>
                </c:pt>
                <c:pt idx="8">
                  <c:v>ESQUADRIAS</c:v>
                </c:pt>
                <c:pt idx="9">
                  <c:v>SERRALHERIA</c:v>
                </c:pt>
                <c:pt idx="10">
                  <c:v>MARCENARIA</c:v>
                </c:pt>
                <c:pt idx="11">
                  <c:v>REVESTIMENTOS DE MASSA EM PISOS</c:v>
                </c:pt>
                <c:pt idx="12">
                  <c:v>REVESTIMENTOS DE MASSA EM PAREDES</c:v>
                </c:pt>
                <c:pt idx="13">
                  <c:v>REVESTIMENTOS DE ACABAMENTO</c:v>
                </c:pt>
                <c:pt idx="14">
                  <c:v>PAVIMENTAÇÃO</c:v>
                </c:pt>
                <c:pt idx="15">
                  <c:v>REVESTIMENTO DIVERSOS - FACHADA</c:v>
                </c:pt>
                <c:pt idx="16">
                  <c:v>FORRO</c:v>
                </c:pt>
                <c:pt idx="17">
                  <c:v>LOUÇAS SANITÁRIAS</c:v>
                </c:pt>
                <c:pt idx="18">
                  <c:v>PINTURA</c:v>
                </c:pt>
                <c:pt idx="19">
                  <c:v>PAISAGISMO</c:v>
                </c:pt>
                <c:pt idx="20">
                  <c:v>LIMPEZA FINAL DE OBRA</c:v>
                </c:pt>
              </c:strCache>
            </c:strRef>
          </c:cat>
          <c:val>
            <c:numRef>
              <c:f>'RETRATO 2027'!$F$30:$F$50</c:f>
              <c:numCache>
                <c:formatCode>#,##0.00;[RED]\(#,##0.00\);\-</c:formatCode>
                <c:ptCount val="21"/>
                <c:pt idx="0">
                  <c:v>16405808.4378074</c:v>
                </c:pt>
                <c:pt idx="1">
                  <c:v>3695424.6811422</c:v>
                </c:pt>
                <c:pt idx="2">
                  <c:v>1053056.10010932</c:v>
                </c:pt>
                <c:pt idx="3">
                  <c:v>2084697.93452584</c:v>
                </c:pt>
                <c:pt idx="4">
                  <c:v>1688454.19589242</c:v>
                </c:pt>
                <c:pt idx="5">
                  <c:v>481654.909059275</c:v>
                </c:pt>
                <c:pt idx="6">
                  <c:v>790945.318056139</c:v>
                </c:pt>
                <c:pt idx="7">
                  <c:v>1544421.12212986</c:v>
                </c:pt>
                <c:pt idx="8">
                  <c:v>2851294.39131396</c:v>
                </c:pt>
                <c:pt idx="9">
                  <c:v>81889.0418246785</c:v>
                </c:pt>
                <c:pt idx="10">
                  <c:v>0</c:v>
                </c:pt>
                <c:pt idx="11">
                  <c:v>539193.782832217</c:v>
                </c:pt>
                <c:pt idx="12">
                  <c:v>1384202.45300591</c:v>
                </c:pt>
                <c:pt idx="13">
                  <c:v>1730383.57570176</c:v>
                </c:pt>
                <c:pt idx="14">
                  <c:v>0</c:v>
                </c:pt>
                <c:pt idx="15">
                  <c:v>1263173.04487562</c:v>
                </c:pt>
                <c:pt idx="16">
                  <c:v>203720.47951613</c:v>
                </c:pt>
                <c:pt idx="17">
                  <c:v>244488.976377602</c:v>
                </c:pt>
                <c:pt idx="18">
                  <c:v>396469.074145568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gapWidth val="40"/>
        <c:overlap val="0"/>
        <c:axId val="27534031"/>
        <c:axId val="76253879"/>
      </c:barChart>
      <c:catAx>
        <c:axId val="2753403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76253879"/>
        <c:crosses val="autoZero"/>
        <c:auto val="1"/>
        <c:lblAlgn val="ctr"/>
        <c:lblOffset val="100"/>
        <c:noMultiLvlLbl val="0"/>
      </c:catAx>
      <c:valAx>
        <c:axId val="76253879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2753403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— acumulado (R$)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'MODELO PARA BI'!$H$1:$CA$1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'MODELO PARA BI'!$H$66:$CA$66</c:f>
              <c:numCache>
                <c:formatCode>#,##0;[RED]\(#,##0\);\-</c:formatCode>
                <c:ptCount val="72"/>
                <c:pt idx="0">
                  <c:v>1055724.07</c:v>
                </c:pt>
                <c:pt idx="1">
                  <c:v>1106011.92</c:v>
                </c:pt>
                <c:pt idx="2">
                  <c:v>1445703.69</c:v>
                </c:pt>
                <c:pt idx="3">
                  <c:v>1694711.96</c:v>
                </c:pt>
                <c:pt idx="4">
                  <c:v>1921656.6</c:v>
                </c:pt>
                <c:pt idx="5">
                  <c:v>2219856.44</c:v>
                </c:pt>
                <c:pt idx="6">
                  <c:v>2410003.61</c:v>
                </c:pt>
                <c:pt idx="7">
                  <c:v>2631997.33</c:v>
                </c:pt>
                <c:pt idx="8">
                  <c:v>3027596.48</c:v>
                </c:pt>
                <c:pt idx="9">
                  <c:v>3735809.94</c:v>
                </c:pt>
                <c:pt idx="10">
                  <c:v>4988672.57</c:v>
                </c:pt>
                <c:pt idx="11">
                  <c:v>7167259.48</c:v>
                </c:pt>
                <c:pt idx="12">
                  <c:v>8735365.68</c:v>
                </c:pt>
                <c:pt idx="13">
                  <c:v>10708347.82</c:v>
                </c:pt>
                <c:pt idx="14">
                  <c:v>11813874.41</c:v>
                </c:pt>
                <c:pt idx="15">
                  <c:v>13450643.22</c:v>
                </c:pt>
                <c:pt idx="16">
                  <c:v>14895323.03</c:v>
                </c:pt>
                <c:pt idx="17">
                  <c:v>15852029.54</c:v>
                </c:pt>
                <c:pt idx="18">
                  <c:v>17192720.83</c:v>
                </c:pt>
                <c:pt idx="19">
                  <c:v>19524426.39</c:v>
                </c:pt>
                <c:pt idx="20">
                  <c:v>21284340.810013</c:v>
                </c:pt>
                <c:pt idx="21">
                  <c:v>25358539.2671057</c:v>
                </c:pt>
                <c:pt idx="22">
                  <c:v>29344897.3284057</c:v>
                </c:pt>
                <c:pt idx="23">
                  <c:v>32194117.1333694</c:v>
                </c:pt>
                <c:pt idx="24">
                  <c:v>34302926.0950025</c:v>
                </c:pt>
                <c:pt idx="25">
                  <c:v>37764402.0900547</c:v>
                </c:pt>
                <c:pt idx="26">
                  <c:v>39976155.2559478</c:v>
                </c:pt>
                <c:pt idx="27">
                  <c:v>42350893.7732119</c:v>
                </c:pt>
                <c:pt idx="28">
                  <c:v>45162516.1806577</c:v>
                </c:pt>
                <c:pt idx="29">
                  <c:v>48050157.5218653</c:v>
                </c:pt>
                <c:pt idx="30">
                  <c:v>51574691.0542422</c:v>
                </c:pt>
                <c:pt idx="31">
                  <c:v>55779421.8583516</c:v>
                </c:pt>
                <c:pt idx="32">
                  <c:v>60386100.1344419</c:v>
                </c:pt>
                <c:pt idx="33">
                  <c:v>64700732.7798399</c:v>
                </c:pt>
                <c:pt idx="34">
                  <c:v>69895433.2670982</c:v>
                </c:pt>
                <c:pt idx="35">
                  <c:v>75855656.8673991</c:v>
                </c:pt>
                <c:pt idx="36">
                  <c:v>81907375.9292203</c:v>
                </c:pt>
                <c:pt idx="37">
                  <c:v>88390005.6999835</c:v>
                </c:pt>
                <c:pt idx="38">
                  <c:v>95435349.6971178</c:v>
                </c:pt>
                <c:pt idx="39">
                  <c:v>103563798.858552</c:v>
                </c:pt>
                <c:pt idx="40">
                  <c:v>111371361.7784</c:v>
                </c:pt>
                <c:pt idx="41">
                  <c:v>116678145.070273</c:v>
                </c:pt>
                <c:pt idx="42">
                  <c:v>122499424.332863</c:v>
                </c:pt>
                <c:pt idx="43">
                  <c:v>128404738.184925</c:v>
                </c:pt>
                <c:pt idx="44">
                  <c:v>133470373.804602</c:v>
                </c:pt>
                <c:pt idx="45">
                  <c:v>138639796.048097</c:v>
                </c:pt>
                <c:pt idx="46">
                  <c:v>142292101.469551</c:v>
                </c:pt>
                <c:pt idx="47">
                  <c:v>145522375.882658</c:v>
                </c:pt>
                <c:pt idx="48">
                  <c:v>148609169.934341</c:v>
                </c:pt>
                <c:pt idx="49">
                  <c:v>151240757.685878</c:v>
                </c:pt>
                <c:pt idx="50">
                  <c:v>153374197.181287</c:v>
                </c:pt>
                <c:pt idx="51">
                  <c:v>155456408.549881</c:v>
                </c:pt>
                <c:pt idx="52">
                  <c:v>156529034.250388</c:v>
                </c:pt>
                <c:pt idx="53">
                  <c:v>157037456.587275</c:v>
                </c:pt>
                <c:pt idx="54">
                  <c:v>157718860.524095</c:v>
                </c:pt>
                <c:pt idx="55">
                  <c:v>157783664.989892</c:v>
                </c:pt>
                <c:pt idx="56">
                  <c:v>157899468.059098</c:v>
                </c:pt>
                <c:pt idx="57">
                  <c:v>157899468.059098</c:v>
                </c:pt>
                <c:pt idx="58">
                  <c:v>160420979.399595</c:v>
                </c:pt>
                <c:pt idx="59">
                  <c:v>160420979.399595</c:v>
                </c:pt>
                <c:pt idx="60">
                  <c:v>160420979.399595</c:v>
                </c:pt>
                <c:pt idx="61">
                  <c:v>160420979.399595</c:v>
                </c:pt>
                <c:pt idx="62">
                  <c:v>160420979.399595</c:v>
                </c:pt>
                <c:pt idx="63">
                  <c:v>160420979.399595</c:v>
                </c:pt>
                <c:pt idx="64">
                  <c:v>160420979.399595</c:v>
                </c:pt>
                <c:pt idx="65">
                  <c:v>160420979.399595</c:v>
                </c:pt>
                <c:pt idx="66">
                  <c:v>160420979.399595</c:v>
                </c:pt>
                <c:pt idx="67">
                  <c:v>160420979.399595</c:v>
                </c:pt>
                <c:pt idx="68">
                  <c:v>160420979.399595</c:v>
                </c:pt>
                <c:pt idx="69">
                  <c:v>160420979.399595</c:v>
                </c:pt>
                <c:pt idx="70">
                  <c:v>160420979.399595</c:v>
                </c:pt>
                <c:pt idx="71">
                  <c:v>160420979.399595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990718"/>
        <c:axId val="29147394"/>
      </c:lineChart>
      <c:catAx>
        <c:axId val="9990718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29147394"/>
        <c:crosses val="autoZero"/>
        <c:auto val="1"/>
        <c:lblAlgn val="ctr"/>
        <c:lblOffset val="100"/>
        <c:noMultiLvlLbl val="0"/>
      </c:catAx>
      <c:valAx>
        <c:axId val="29147394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;[RED]\(#,##0\);\-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99907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— inicial × atual (% 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'AUX. CURVA'!C3</c:f>
              <c:strCache>
                <c:ptCount val="1"/>
                <c:pt idx="0">
                  <c:v>Curva inicial
% acumulado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'AUX. CURVA'!$A$4:$A$75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'AUX. CURVA'!$C$4:$C$75</c:f>
              <c:numCache>
                <c:formatCode>0.0%;[RED]\-0.0%;\-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'AUX. CURVA'!G3</c:f>
              <c:strCache>
                <c:ptCount val="1"/>
                <c:pt idx="0">
                  <c:v>Atual
% acumulado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'AUX. CURVA'!$A$4:$A$75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'AUX. CURVA'!$G$4:$G$75</c:f>
              <c:numCache>
                <c:formatCode>0.0%;[RED]\-0.0%;\-</c:formatCode>
                <c:ptCount val="72"/>
                <c:pt idx="0">
                  <c:v>0.00753543902718546</c:v>
                </c:pt>
                <c:pt idx="1">
                  <c:v>0.00788106854565687</c:v>
                </c:pt>
                <c:pt idx="2">
                  <c:v>0.0102065106515528</c:v>
                </c:pt>
                <c:pt idx="3">
                  <c:v>0.0119044866968234</c:v>
                </c:pt>
                <c:pt idx="4">
                  <c:v>0.0134440734295228</c:v>
                </c:pt>
                <c:pt idx="5">
                  <c:v>0.0154553962613438</c:v>
                </c:pt>
                <c:pt idx="6">
                  <c:v>0.0167291683181925</c:v>
                </c:pt>
                <c:pt idx="7">
                  <c:v>0.0182028092017122</c:v>
                </c:pt>
                <c:pt idx="8">
                  <c:v>0.0208154220736595</c:v>
                </c:pt>
                <c:pt idx="9">
                  <c:v>0.0254847672405656</c:v>
                </c:pt>
                <c:pt idx="10">
                  <c:v>0.0337206680781724</c:v>
                </c:pt>
                <c:pt idx="11">
                  <c:v>0.0480036802482248</c:v>
                </c:pt>
                <c:pt idx="12">
                  <c:v>0.0582631645610957</c:v>
                </c:pt>
                <c:pt idx="13">
                  <c:v>0.0710789780228384</c:v>
                </c:pt>
                <c:pt idx="14">
                  <c:v>0.0782401555162306</c:v>
                </c:pt>
                <c:pt idx="15">
                  <c:v>0.0887855593772217</c:v>
                </c:pt>
                <c:pt idx="16">
                  <c:v>0.0980012181327096</c:v>
                </c:pt>
                <c:pt idx="17">
                  <c:v>0.104051042548334</c:v>
                </c:pt>
                <c:pt idx="18">
                  <c:v>0.112463187516083</c:v>
                </c:pt>
                <c:pt idx="19">
                  <c:v>0.127004978730886</c:v>
                </c:pt>
                <c:pt idx="20">
                  <c:v>0.137926961821037</c:v>
                </c:pt>
                <c:pt idx="21">
                  <c:v>0.163170180844103</c:v>
                </c:pt>
                <c:pt idx="22">
                  <c:v>0.187869151870066</c:v>
                </c:pt>
                <c:pt idx="23">
                  <c:v>0.20552255789312</c:v>
                </c:pt>
                <c:pt idx="24">
                  <c:v>0.218588471853113</c:v>
                </c:pt>
                <c:pt idx="25">
                  <c:v>0.240035339895113</c:v>
                </c:pt>
                <c:pt idx="26">
                  <c:v>0.253739083141689</c:v>
                </c:pt>
                <c:pt idx="27">
                  <c:v>0.268452663038479</c:v>
                </c:pt>
                <c:pt idx="28">
                  <c:v>0.285873120335485</c:v>
                </c:pt>
                <c:pt idx="29">
                  <c:v>0.303764581344034</c:v>
                </c:pt>
                <c:pt idx="30">
                  <c:v>0.325602145922421</c:v>
                </c:pt>
                <c:pt idx="31">
                  <c:v>0.351654126879899</c:v>
                </c:pt>
                <c:pt idx="32">
                  <c:v>0.380196523603285</c:v>
                </c:pt>
                <c:pt idx="33">
                  <c:v>0.406929442487549</c:v>
                </c:pt>
                <c:pt idx="34">
                  <c:v>0.439115150557514</c:v>
                </c:pt>
                <c:pt idx="35">
                  <c:v>0.476043943141713</c:v>
                </c:pt>
                <c:pt idx="36">
                  <c:v>0.513539630048586</c:v>
                </c:pt>
                <c:pt idx="37">
                  <c:v>0.553705185279195</c:v>
                </c:pt>
                <c:pt idx="38">
                  <c:v>0.597357246779266</c:v>
                </c:pt>
                <c:pt idx="39">
                  <c:v>0.647720091068975</c:v>
                </c:pt>
                <c:pt idx="40">
                  <c:v>0.69609476473736</c:v>
                </c:pt>
                <c:pt idx="41">
                  <c:v>0.728974923707397</c:v>
                </c:pt>
                <c:pt idx="42">
                  <c:v>0.765042834725374</c:v>
                </c:pt>
                <c:pt idx="43">
                  <c:v>0.801631413445201</c:v>
                </c:pt>
                <c:pt idx="44">
                  <c:v>0.833017451897979</c:v>
                </c:pt>
                <c:pt idx="45">
                  <c:v>0.865046539162514</c:v>
                </c:pt>
                <c:pt idx="46">
                  <c:v>0.887675762226595</c:v>
                </c:pt>
                <c:pt idx="47">
                  <c:v>0.907690134470225</c:v>
                </c:pt>
                <c:pt idx="48">
                  <c:v>0.926815520517647</c:v>
                </c:pt>
                <c:pt idx="49">
                  <c:v>0.943120505827045</c:v>
                </c:pt>
                <c:pt idx="50">
                  <c:v>0.956339027463199</c:v>
                </c:pt>
                <c:pt idx="51">
                  <c:v>0.969240146096298</c:v>
                </c:pt>
                <c:pt idx="52">
                  <c:v>0.975885999451955</c:v>
                </c:pt>
                <c:pt idx="53">
                  <c:v>0.979036120031845</c:v>
                </c:pt>
                <c:pt idx="54">
                  <c:v>0.983258012755405</c:v>
                </c:pt>
                <c:pt idx="55">
                  <c:v>0.983659533039947</c:v>
                </c:pt>
                <c:pt idx="56">
                  <c:v>0.984377034229516</c:v>
                </c:pt>
                <c:pt idx="57">
                  <c:v>0.984377034229516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27254"/>
        <c:axId val="99164046"/>
      </c:lineChart>
      <c:catAx>
        <c:axId val="2727254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99164046"/>
        <c:crosses val="autoZero"/>
        <c:auto val="1"/>
        <c:lblAlgn val="ctr"/>
        <c:lblOffset val="100"/>
        <c:noMultiLvlLbl val="0"/>
      </c:catAx>
      <c:valAx>
        <c:axId val="99164046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.0%;[RED]\-0.0%;\-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272725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8c877a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8</xdr:row>
      <xdr:rowOff>0</xdr:rowOff>
    </xdr:from>
    <xdr:to>
      <xdr:col>16</xdr:col>
      <xdr:colOff>252000</xdr:colOff>
      <xdr:row>19</xdr:row>
      <xdr:rowOff>227520</xdr:rowOff>
    </xdr:to>
    <xdr:graphicFrame>
      <xdr:nvGraphicFramePr>
        <xdr:cNvPr id="0" name="Chart 1"/>
        <xdr:cNvGraphicFramePr/>
      </xdr:nvGraphicFramePr>
      <xdr:xfrm>
        <a:off x="12268080" y="213372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22</xdr:row>
      <xdr:rowOff>0</xdr:rowOff>
    </xdr:from>
    <xdr:to>
      <xdr:col>16</xdr:col>
      <xdr:colOff>252000</xdr:colOff>
      <xdr:row>34</xdr:row>
      <xdr:rowOff>103680</xdr:rowOff>
    </xdr:to>
    <xdr:graphicFrame>
      <xdr:nvGraphicFramePr>
        <xdr:cNvPr id="1" name="Chart 2"/>
        <xdr:cNvGraphicFramePr/>
      </xdr:nvGraphicFramePr>
      <xdr:xfrm>
        <a:off x="12268080" y="551484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36</xdr:row>
      <xdr:rowOff>0</xdr:rowOff>
    </xdr:from>
    <xdr:to>
      <xdr:col>8</xdr:col>
      <xdr:colOff>1833840</xdr:colOff>
      <xdr:row>50</xdr:row>
      <xdr:rowOff>32760</xdr:rowOff>
    </xdr:to>
    <xdr:graphicFrame>
      <xdr:nvGraphicFramePr>
        <xdr:cNvPr id="2" name="Chart 3"/>
        <xdr:cNvGraphicFramePr/>
      </xdr:nvGraphicFramePr>
      <xdr:xfrm>
        <a:off x="177840" y="8744040"/>
        <a:ext cx="118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55</xdr:row>
      <xdr:rowOff>0</xdr:rowOff>
    </xdr:from>
    <xdr:to>
      <xdr:col>4</xdr:col>
      <xdr:colOff>696600</xdr:colOff>
      <xdr:row>79</xdr:row>
      <xdr:rowOff>107640</xdr:rowOff>
    </xdr:to>
    <xdr:graphicFrame>
      <xdr:nvGraphicFramePr>
        <xdr:cNvPr id="3" name="Chart 1"/>
        <xdr:cNvGraphicFramePr/>
      </xdr:nvGraphicFramePr>
      <xdr:xfrm>
        <a:off x="177840" y="15354360"/>
        <a:ext cx="61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55</xdr:row>
      <xdr:rowOff>0</xdr:rowOff>
    </xdr:from>
    <xdr:to>
      <xdr:col>10</xdr:col>
      <xdr:colOff>2563560</xdr:colOff>
      <xdr:row>79</xdr:row>
      <xdr:rowOff>107640</xdr:rowOff>
    </xdr:to>
    <xdr:graphicFrame>
      <xdr:nvGraphicFramePr>
        <xdr:cNvPr id="4" name="Chart 2"/>
        <xdr:cNvGraphicFramePr/>
      </xdr:nvGraphicFramePr>
      <xdr:xfrm>
        <a:off x="9423360" y="15354360"/>
        <a:ext cx="61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69</xdr:row>
      <xdr:rowOff>0</xdr:rowOff>
    </xdr:from>
    <xdr:to>
      <xdr:col>8</xdr:col>
      <xdr:colOff>825480</xdr:colOff>
      <xdr:row>84</xdr:row>
      <xdr:rowOff>22320</xdr:rowOff>
    </xdr:to>
    <xdr:graphicFrame>
      <xdr:nvGraphicFramePr>
        <xdr:cNvPr id="5" name="Chart 1"/>
        <xdr:cNvGraphicFramePr/>
      </xdr:nvGraphicFramePr>
      <xdr:xfrm>
        <a:off x="2400480" y="1352556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10</xdr:row>
      <xdr:rowOff>175680</xdr:rowOff>
    </xdr:from>
    <xdr:to>
      <xdr:col>18</xdr:col>
      <xdr:colOff>309240</xdr:colOff>
      <xdr:row>27</xdr:row>
      <xdr:rowOff>177120</xdr:rowOff>
    </xdr:to>
    <xdr:graphicFrame>
      <xdr:nvGraphicFramePr>
        <xdr:cNvPr id="6" name="Chart 1"/>
        <xdr:cNvGraphicFramePr/>
      </xdr:nvGraphicFramePr>
      <xdr:xfrm>
        <a:off x="13957200" y="24764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5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6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7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8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9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0.v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11.v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12.v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13.v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14.v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vmlDrawing" Target="../drawings/vmlDrawing15.v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vmlDrawing" Target="../drawings/vmlDrawing16.v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comments" Target="../comments26.xml"/><Relationship Id="rId2" Type="http://schemas.openxmlformats.org/officeDocument/2006/relationships/vmlDrawing" Target="../drawings/vmlDrawing17.v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comments" Target="../comments27.xml"/><Relationship Id="rId2" Type="http://schemas.openxmlformats.org/officeDocument/2006/relationships/vmlDrawing" Target="../drawings/vmlDrawing18.v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comments" Target="../comments28.xml"/><Relationship Id="rId2" Type="http://schemas.openxmlformats.org/officeDocument/2006/relationships/vmlDrawing" Target="../drawings/vmlDrawing19.v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comments" Target="../comments29.xml"/><Relationship Id="rId2" Type="http://schemas.openxmlformats.org/officeDocument/2006/relationships/vmlDrawing" Target="../drawings/vmlDrawing20.v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vmlDrawing" Target="../drawings/vmlDrawing21.v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comments" Target="../comments31.xml"/><Relationship Id="rId2" Type="http://schemas.openxmlformats.org/officeDocument/2006/relationships/vmlDrawing" Target="../drawings/vmlDrawing22.v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vmlDrawing" Target="../drawings/vmlDrawing23.vm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comments" Target="../comments33.xml"/><Relationship Id="rId2" Type="http://schemas.openxmlformats.org/officeDocument/2006/relationships/vmlDrawing" Target="../drawings/vmlDrawing24.v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comments" Target="../comments34.xml"/><Relationship Id="rId2" Type="http://schemas.openxmlformats.org/officeDocument/2006/relationships/vmlDrawing" Target="../drawings/vmlDrawing25.v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comments" Target="../comments35.xml"/><Relationship Id="rId2" Type="http://schemas.openxmlformats.org/officeDocument/2006/relationships/vmlDrawing" Target="../drawings/vmlDrawing26.v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comments" Target="../comments36.xml"/><Relationship Id="rId2" Type="http://schemas.openxmlformats.org/officeDocument/2006/relationships/vmlDrawing" Target="../drawings/vmlDrawing27.v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comments" Target="../comments37.xml"/><Relationship Id="rId2" Type="http://schemas.openxmlformats.org/officeDocument/2006/relationships/vmlDrawing" Target="../drawings/vmlDrawing28.v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comments" Target="../comments38.xml"/><Relationship Id="rId2" Type="http://schemas.openxmlformats.org/officeDocument/2006/relationships/vmlDrawing" Target="../drawings/vmlDrawing29.v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comments" Target="../comments39.xml"/><Relationship Id="rId2" Type="http://schemas.openxmlformats.org/officeDocument/2006/relationships/vmlDrawing" Target="../drawings/vmlDrawing30.v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comments" Target="../comments40.xml"/><Relationship Id="rId2" Type="http://schemas.openxmlformats.org/officeDocument/2006/relationships/vmlDrawing" Target="../drawings/vmlDrawing31.v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comments" Target="../comments41.xml"/><Relationship Id="rId2" Type="http://schemas.openxmlformats.org/officeDocument/2006/relationships/vmlDrawing" Target="../drawings/vmlDrawing32.v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comments" Target="../comments42.xml"/><Relationship Id="rId2" Type="http://schemas.openxmlformats.org/officeDocument/2006/relationships/vmlDrawing" Target="../drawings/vmlDrawing33.v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comments" Target="../comments43.xml"/><Relationship Id="rId2" Type="http://schemas.openxmlformats.org/officeDocument/2006/relationships/vmlDrawing" Target="../drawings/vmlDrawing34.v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comments" Target="../comments44.xml"/><Relationship Id="rId2" Type="http://schemas.openxmlformats.org/officeDocument/2006/relationships/vmlDrawing" Target="../drawings/vmlDrawing35.v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comments" Target="../comments45.xml"/><Relationship Id="rId2" Type="http://schemas.openxmlformats.org/officeDocument/2006/relationships/vmlDrawing" Target="../drawings/vmlDrawing36.v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comments" Target="../comments46.xml"/><Relationship Id="rId2" Type="http://schemas.openxmlformats.org/officeDocument/2006/relationships/vmlDrawing" Target="../drawings/vmlDrawing37.v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comments" Target="../comments47.xml"/><Relationship Id="rId2" Type="http://schemas.openxmlformats.org/officeDocument/2006/relationships/vmlDrawing" Target="../drawings/vmlDrawing38.v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comments" Target="../comments48.xml"/><Relationship Id="rId2" Type="http://schemas.openxmlformats.org/officeDocument/2006/relationships/vmlDrawing" Target="../drawings/vmlDrawing39.vml"/>
</Relationships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comments" Target="../comments49.xml"/><Relationship Id="rId2" Type="http://schemas.openxmlformats.org/officeDocument/2006/relationships/vmlDrawing" Target="../drawings/vmlDrawing40.vml"/>
</Relationships>
</file>

<file path=xl/worksheets/_rels/sheet50.xml.rels><?xml version="1.0" encoding="UTF-8"?>
<Relationships xmlns="http://schemas.openxmlformats.org/package/2006/relationships"><Relationship Id="rId1" Type="http://schemas.openxmlformats.org/officeDocument/2006/relationships/comments" Target="../comments50.xml"/><Relationship Id="rId2" Type="http://schemas.openxmlformats.org/officeDocument/2006/relationships/vmlDrawing" Target="../drawings/vmlDrawing41.vml"/>
</Relationships>
</file>

<file path=xl/worksheets/_rels/sheet51.xml.rels><?xml version="1.0" encoding="UTF-8"?>
<Relationships xmlns="http://schemas.openxmlformats.org/package/2006/relationships"><Relationship Id="rId1" Type="http://schemas.openxmlformats.org/officeDocument/2006/relationships/comments" Target="../comments51.xml"/><Relationship Id="rId2" Type="http://schemas.openxmlformats.org/officeDocument/2006/relationships/vmlDrawing" Target="../drawings/vmlDrawing42.v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comments" Target="../comments52.xml"/><Relationship Id="rId2" Type="http://schemas.openxmlformats.org/officeDocument/2006/relationships/vmlDrawing" Target="../drawings/vmlDrawing43.v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comments" Target="../comments53.xml"/><Relationship Id="rId2" Type="http://schemas.openxmlformats.org/officeDocument/2006/relationships/vmlDrawing" Target="../drawings/vmlDrawing4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 t="s">
        <v>17</v>
      </c>
    </row>
    <row r="21" customFormat="false" ht="15" hidden="false" customHeight="false" outlineLevel="0" collapsed="false">
      <c r="A21" s="2" t="s">
        <v>18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19</v>
      </c>
    </row>
    <row r="24" customFormat="false" ht="15" hidden="false" customHeight="false" outlineLevel="0" collapsed="false">
      <c r="A24" s="4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5" t="s">
        <v>22</v>
      </c>
    </row>
    <row r="27" customFormat="false" ht="15" hidden="false" customHeight="false" outlineLevel="0" collapsed="false">
      <c r="A27" s="6" t="s">
        <v>23</v>
      </c>
    </row>
    <row r="28" customFormat="false" ht="15" hidden="false" customHeight="false" outlineLevel="0" collapsed="false">
      <c r="A28" s="7" t="s">
        <v>24</v>
      </c>
    </row>
    <row r="29" customFormat="false" ht="15" hidden="false" customHeight="false" outlineLevel="0" collapsed="false">
      <c r="A29" s="2"/>
    </row>
    <row r="30" customFormat="false" ht="15" hidden="false" customHeight="false" outlineLevel="0" collapsed="false">
      <c r="A30" s="3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52"/>
    <pageSetUpPr fitToPage="true"/>
  </sheetPr>
  <dimension ref="A1:AD5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5"/>
    <col collapsed="false" customWidth="true" hidden="false" outlineLevel="0" max="4" min="4" style="0" width="20"/>
    <col collapsed="false" customWidth="true" hidden="false" outlineLevel="0" max="5" min="5" style="0" width="11"/>
    <col collapsed="false" customWidth="true" hidden="false" outlineLevel="0" max="6" min="6" style="0" width="22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21"/>
    <col collapsed="false" customWidth="true" hidden="false" outlineLevel="0" max="10" min="10" style="0" width="2"/>
    <col collapsed="false" customWidth="true" hidden="false" outlineLevel="0" max="20" min="11" style="0" width="11"/>
  </cols>
  <sheetData>
    <row r="1" customFormat="false" ht="15" hidden="false" customHeight="false" outlineLevel="0" collapsed="false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customFormat="false" ht="33.75" hidden="false" customHeight="true" outlineLevel="0" collapsed="false">
      <c r="A2" s="8"/>
      <c r="B2" s="9" t="str">
        <f aca="false">'VALOR POR PL'!$P$9&amp;"  ·  FLUXO DE CAIXA DA OBRA"</f>
        <v>BOTÂNICO  ·  FLUXO DE CAIXA DA OBRA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customFormat="false" ht="19.5" hidden="false" customHeight="true" outlineLevel="0" collapsed="false">
      <c r="A3" s="8"/>
      <c r="B3" s="10" t="str">
        <f aca="false"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>Data de corte: Agosto/2026     ·     Ano do retrato: 2027     ·     Cenário: padrão (curvas digitadas)     ·     R$ nominais, com taxa de adm.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customFormat="false" ht="21.75" hidden="false" customHeight="true" outlineLevel="0" collapsed="false">
      <c r="A5" s="8"/>
      <c r="B5" s="11" t="s">
        <v>29</v>
      </c>
      <c r="C5" s="11"/>
      <c r="D5" s="11" t="s">
        <v>30</v>
      </c>
      <c r="E5" s="11"/>
      <c r="F5" s="11" t="str">
        <f aca="false">"DESEMBOLSO EM "&amp;'RETRATO 2027'!$D$5</f>
        <v>DESEMBOLSO EM 2027</v>
      </c>
      <c r="G5" s="8"/>
      <c r="H5" s="11" t="s">
        <v>31</v>
      </c>
      <c r="I5" s="11" t="s">
        <v>32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customFormat="false" ht="30" hidden="false" customHeight="true" outlineLevel="0" collapsed="false">
      <c r="A6" s="8"/>
      <c r="B6" s="12" t="n">
        <f aca="false">'MODELO PARA BI'!E66</f>
        <v>160420979.399595</v>
      </c>
      <c r="C6" s="12"/>
      <c r="D6" s="12" t="n">
        <f aca="false">SUMPRODUCT(('MODELO PARA BI'!$H$1:$CA$1&lt;='VALOR POR PL'!$P$5)*'MODELO PARA BI'!$H$65:$CA$65)</f>
        <v>21284340.810013</v>
      </c>
      <c r="E6" s="12"/>
      <c r="F6" s="12" t="n">
        <f aca="false">SUMPRODUCT((YEAR('MODELO PARA BI'!$H$1:$CA$1)='RETRATO 2027'!$D$5)*'MODELO PARA BI'!$H$65:$CA$65)</f>
        <v>47604449.8342178</v>
      </c>
      <c r="G6" s="8"/>
      <c r="H6" s="12" t="n">
        <f aca="false">SUM('MODELO PARA BI'!$H$65:$CA$65)-D6</f>
        <v>139136638.589582</v>
      </c>
      <c r="I6" s="13" t="str">
        <f aca="false">IF(COUNTIF('VALOR POR PL'!$F$54:$F$59,"⚠*")=0,"✓ Tudo OK","⚠ "&amp;COUNTIF('VALOR POR PL'!$F$54:$F$59,"⚠*")&amp;" pendência(s)")</f>
        <v>✓ Tudo OK</v>
      </c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customFormat="false" ht="18" hidden="false" customHeight="true" outlineLevel="0" collapsed="false">
      <c r="A7" s="8"/>
      <c r="B7" s="14" t="s">
        <v>33</v>
      </c>
      <c r="C7" s="14"/>
      <c r="D7" s="14" t="str">
        <f aca="false">FIXED(IF(B6=0,0,D6/B6)*100,1)&amp;"% da projeção"</f>
        <v>13.3% da projeção</v>
      </c>
      <c r="E7" s="14"/>
      <c r="F7" s="14" t="s">
        <v>34</v>
      </c>
      <c r="G7" s="8"/>
      <c r="H7" s="14" t="s">
        <v>35</v>
      </c>
      <c r="I7" s="14" t="s">
        <v>36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 customFormat="false" ht="15" hidden="false" customHeight="false" outlineLevel="0" collapsed="false">
      <c r="A8" s="8"/>
      <c r="B8" s="8"/>
      <c r="C8" s="8"/>
      <c r="D8" s="8"/>
      <c r="E8" s="8"/>
      <c r="F8" s="8"/>
      <c r="G8" s="8"/>
      <c r="H8" s="8"/>
      <c r="I8" s="8"/>
      <c r="J8" s="8"/>
      <c r="K8" s="15" t="s">
        <v>37</v>
      </c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customFormat="false" ht="21.75" hidden="false" customHeight="true" outlineLevel="0" collapsed="false">
      <c r="A10" s="8"/>
      <c r="B10" s="16" t="s">
        <v>38</v>
      </c>
      <c r="C10" s="16"/>
      <c r="D10" s="16"/>
      <c r="E10" s="16"/>
      <c r="F10" s="16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customFormat="false" ht="15" hidden="false" customHeight="false" outlineLevel="0" collapsed="false">
      <c r="A11" s="8"/>
      <c r="B11" s="17" t="str">
        <f aca="false"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>Setembro/2026</v>
      </c>
      <c r="C11" s="17"/>
      <c r="D11" s="17"/>
      <c r="E11" s="17"/>
      <c r="F11" s="17"/>
      <c r="G11" s="8"/>
      <c r="H11" s="18" t="s">
        <v>39</v>
      </c>
      <c r="I11" s="1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customFormat="false" ht="31.5" hidden="false" customHeight="true" outlineLevel="0" collapsed="false">
      <c r="A12" s="8"/>
      <c r="B12" s="19" t="s">
        <v>40</v>
      </c>
      <c r="C12" s="20" t="s">
        <v>41</v>
      </c>
      <c r="D12" s="20" t="s">
        <v>42</v>
      </c>
      <c r="E12" s="20" t="s">
        <v>43</v>
      </c>
      <c r="F12" s="20" t="s">
        <v>44</v>
      </c>
      <c r="G12" s="8"/>
      <c r="H12" s="21" t="s">
        <v>45</v>
      </c>
      <c r="I12" s="22" t="s">
        <v>46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customFormat="false" ht="18.75" hidden="false" customHeight="true" outlineLevel="0" collapsed="false">
      <c r="A13" s="8"/>
      <c r="B13" s="23" t="n">
        <f aca="false">YEAR('VALOR POR PL'!$P$6)+0</f>
        <v>2024</v>
      </c>
      <c r="C13" s="24" t="n">
        <f aca="false">SUMPRODUCT((YEAR('MODELO PARA BI'!$H$1:$CA$1)=B13)*'MODELO PARA BI'!$H$65:$CA$65)</f>
        <v>1055724.07</v>
      </c>
      <c r="D13" s="24" t="n">
        <f aca="false">C13</f>
        <v>1055724.07</v>
      </c>
      <c r="E13" s="25" t="n">
        <f aca="false">IF($C$20=0,0,C13/$C$20)</f>
        <v>0.0065809601334641</v>
      </c>
      <c r="F13" s="25" t="n">
        <f aca="false">IF($C$20=0,0,D13/$C$20)</f>
        <v>0.0065809601334641</v>
      </c>
      <c r="G13" s="8"/>
      <c r="H13" s="24" t="n">
        <f aca="false">SUMPRODUCT((YEAR('MODELO PARA BI'!$H$1:$CA$1)=B13)*('MODELO PARA BI'!$H$1:$CA$1&lt;='VALOR POR PL'!$P$5)*'MODELO PARA BI'!$H$65:$CA$65)</f>
        <v>1055724.07</v>
      </c>
      <c r="I13" s="24" t="n">
        <f aca="false">C13-H13</f>
        <v>0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customFormat="false" ht="18.75" hidden="false" customHeight="true" outlineLevel="0" collapsed="false">
      <c r="A14" s="8"/>
      <c r="B14" s="26" t="n">
        <f aca="false">YEAR('VALOR POR PL'!$P$6)+1</f>
        <v>2025</v>
      </c>
      <c r="C14" s="27" t="n">
        <f aca="false">SUMPRODUCT((YEAR('MODELO PARA BI'!$H$1:$CA$1)=B14)*'MODELO PARA BI'!$H$65:$CA$65)</f>
        <v>7679641.61</v>
      </c>
      <c r="D14" s="27" t="n">
        <f aca="false">D13+C14</f>
        <v>8735365.68</v>
      </c>
      <c r="E14" s="28" t="n">
        <f aca="false">IF($C$20=0,0,C14/$C$20)</f>
        <v>0.0478718035430433</v>
      </c>
      <c r="F14" s="28" t="n">
        <f aca="false">IF($C$20=0,0,D14/$C$20)</f>
        <v>0.0544527636765074</v>
      </c>
      <c r="G14" s="8"/>
      <c r="H14" s="27" t="n">
        <f aca="false">SUMPRODUCT((YEAR('MODELO PARA BI'!$H$1:$CA$1)=B14)*('MODELO PARA BI'!$H$1:$CA$1&lt;='VALOR POR PL'!$P$5)*'MODELO PARA BI'!$H$65:$CA$65)</f>
        <v>7679641.61</v>
      </c>
      <c r="I14" s="27" t="n">
        <f aca="false">C14-H14</f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customFormat="false" ht="18.75" hidden="false" customHeight="true" outlineLevel="0" collapsed="false">
      <c r="A15" s="8"/>
      <c r="B15" s="23" t="n">
        <f aca="false">YEAR('VALOR POR PL'!$P$6)+2</f>
        <v>2026</v>
      </c>
      <c r="C15" s="24" t="n">
        <f aca="false">SUMPRODUCT((YEAR('MODELO PARA BI'!$H$1:$CA$1)=B15)*'MODELO PARA BI'!$H$65:$CA$65)</f>
        <v>25567560.4150025</v>
      </c>
      <c r="D15" s="24" t="n">
        <f aca="false">D14+C15</f>
        <v>34302926.0950025</v>
      </c>
      <c r="E15" s="25" t="n">
        <f aca="false">IF($C$20=0,0,C15/$C$20)</f>
        <v>0.159377909988418</v>
      </c>
      <c r="F15" s="25" t="n">
        <f aca="false">IF($C$20=0,0,D15/$C$20)</f>
        <v>0.213830673664925</v>
      </c>
      <c r="G15" s="8"/>
      <c r="H15" s="24" t="n">
        <f aca="false">SUMPRODUCT((YEAR('MODELO PARA BI'!$H$1:$CA$1)=B15)*('MODELO PARA BI'!$H$1:$CA$1&lt;='VALOR POR PL'!$P$5)*'MODELO PARA BI'!$H$65:$CA$65)</f>
        <v>12548975.130013</v>
      </c>
      <c r="I15" s="24" t="n">
        <f aca="false">C15-H15</f>
        <v>13018585.2849895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 customFormat="false" ht="18.75" hidden="false" customHeight="true" outlineLevel="0" collapsed="false">
      <c r="A16" s="8"/>
      <c r="B16" s="26" t="n">
        <f aca="false">YEAR('VALOR POR PL'!$P$6)+3</f>
        <v>2027</v>
      </c>
      <c r="C16" s="27" t="n">
        <f aca="false">SUMPRODUCT((YEAR('MODELO PARA BI'!$H$1:$CA$1)=B16)*'MODELO PARA BI'!$H$65:$CA$65)</f>
        <v>47604449.8342178</v>
      </c>
      <c r="D16" s="27" t="n">
        <f aca="false">D15+C16</f>
        <v>81907375.9292203</v>
      </c>
      <c r="E16" s="28" t="n">
        <f aca="false">IF($C$20=0,0,C16/$C$20)</f>
        <v>0.296747034037482</v>
      </c>
      <c r="F16" s="28" t="n">
        <f aca="false">IF($C$20=0,0,D16/$C$20)</f>
        <v>0.510577707702407</v>
      </c>
      <c r="G16" s="8"/>
      <c r="H16" s="27" t="n">
        <f aca="false">SUMPRODUCT((YEAR('MODELO PARA BI'!$H$1:$CA$1)=B16)*('MODELO PARA BI'!$H$1:$CA$1&lt;='VALOR POR PL'!$P$5)*'MODELO PARA BI'!$H$65:$CA$65)</f>
        <v>0</v>
      </c>
      <c r="I16" s="27" t="n">
        <f aca="false">C16-H16</f>
        <v>47604449.8342178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 customFormat="false" ht="18.75" hidden="false" customHeight="true" outlineLevel="0" collapsed="false">
      <c r="A17" s="8"/>
      <c r="B17" s="23" t="n">
        <f aca="false">YEAR('VALOR POR PL'!$P$6)+4</f>
        <v>2028</v>
      </c>
      <c r="C17" s="24" t="n">
        <f aca="false">SUMPRODUCT((YEAR('MODELO PARA BI'!$H$1:$CA$1)=B17)*'MODELO PARA BI'!$H$65:$CA$65)</f>
        <v>66701794.0051204</v>
      </c>
      <c r="D17" s="24" t="n">
        <f aca="false">D16+C17</f>
        <v>148609169.934341</v>
      </c>
      <c r="E17" s="25" t="n">
        <f aca="false">IF($C$20=0,0,C17/$C$20)</f>
        <v>0.415792212806356</v>
      </c>
      <c r="F17" s="25" t="n">
        <f aca="false">IF($C$20=0,0,D17/$C$20)</f>
        <v>0.926369920508763</v>
      </c>
      <c r="G17" s="8"/>
      <c r="H17" s="24" t="n">
        <f aca="false">SUMPRODUCT((YEAR('MODELO PARA BI'!$H$1:$CA$1)=B17)*('MODELO PARA BI'!$H$1:$CA$1&lt;='VALOR POR PL'!$P$5)*'MODELO PARA BI'!$H$65:$CA$65)</f>
        <v>0</v>
      </c>
      <c r="I17" s="24" t="n">
        <f aca="false">C17-H17</f>
        <v>66701794.0051204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customFormat="false" ht="18.75" hidden="false" customHeight="true" outlineLevel="0" collapsed="false">
      <c r="A18" s="8"/>
      <c r="B18" s="26" t="n">
        <f aca="false">YEAR('VALOR POR PL'!$P$6)+5</f>
        <v>2029</v>
      </c>
      <c r="C18" s="27" t="n">
        <f aca="false">SUMPRODUCT((YEAR('MODELO PARA BI'!$H$1:$CA$1)=B18)*'MODELO PARA BI'!$H$65:$CA$65)</f>
        <v>11811809.4652543</v>
      </c>
      <c r="D18" s="27" t="n">
        <f aca="false">D17+C18</f>
        <v>160420979.399595</v>
      </c>
      <c r="E18" s="28" t="n">
        <f aca="false">IF($C$20=0,0,C18/$C$20)</f>
        <v>0.073630079491237</v>
      </c>
      <c r="F18" s="28" t="n">
        <f aca="false">IF($C$20=0,0,D18/$C$20)</f>
        <v>1</v>
      </c>
      <c r="G18" s="8"/>
      <c r="H18" s="27" t="n">
        <f aca="false">SUMPRODUCT((YEAR('MODELO PARA BI'!$H$1:$CA$1)=B18)*('MODELO PARA BI'!$H$1:$CA$1&lt;='VALOR POR PL'!$P$5)*'MODELO PARA BI'!$H$65:$CA$65)</f>
        <v>0</v>
      </c>
      <c r="I18" s="27" t="n">
        <f aca="false">C18-H18</f>
        <v>11811809.4652543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 customFormat="false" ht="18.75" hidden="false" customHeight="true" outlineLevel="0" collapsed="false">
      <c r="A19" s="8"/>
      <c r="B19" s="23" t="n">
        <f aca="false">YEAR('VALOR POR PL'!$P$6)+6</f>
        <v>2030</v>
      </c>
      <c r="C19" s="24" t="n">
        <f aca="false">SUMPRODUCT((YEAR('MODELO PARA BI'!$H$1:$CA$1)=B19)*'MODELO PARA BI'!$H$65:$CA$65)</f>
        <v>0</v>
      </c>
      <c r="D19" s="24" t="n">
        <f aca="false">D18+C19</f>
        <v>160420979.399595</v>
      </c>
      <c r="E19" s="25" t="n">
        <f aca="false">IF($C$20=0,0,C19/$C$20)</f>
        <v>0</v>
      </c>
      <c r="F19" s="25" t="n">
        <f aca="false">IF($C$20=0,0,D19/$C$20)</f>
        <v>1</v>
      </c>
      <c r="G19" s="8"/>
      <c r="H19" s="24" t="n">
        <f aca="false">SUMPRODUCT((YEAR('MODELO PARA BI'!$H$1:$CA$1)=B19)*('MODELO PARA BI'!$H$1:$CA$1&lt;='VALOR POR PL'!$P$5)*'MODELO PARA BI'!$H$65:$CA$65)</f>
        <v>0</v>
      </c>
      <c r="I19" s="24" t="n">
        <f aca="false">C19-H19</f>
        <v>0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 customFormat="false" ht="21.75" hidden="false" customHeight="true" outlineLevel="0" collapsed="false">
      <c r="A20" s="8"/>
      <c r="B20" s="29" t="s">
        <v>47</v>
      </c>
      <c r="C20" s="30" t="n">
        <f aca="false">SUM(C13:C19)</f>
        <v>160420979.399595</v>
      </c>
      <c r="D20" s="31"/>
      <c r="E20" s="32" t="n">
        <f aca="false">SUM(E13:E19)</f>
        <v>1</v>
      </c>
      <c r="F20" s="31"/>
      <c r="G20" s="8"/>
      <c r="H20" s="30" t="n">
        <f aca="false">SUM(H13:H19)</f>
        <v>21284340.810013</v>
      </c>
      <c r="I20" s="30" t="n">
        <f aca="false">SUM(I13:I19)</f>
        <v>139136638.589582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 customFormat="false" ht="15" hidden="false" customHeight="false" outlineLevel="0" collapsed="false">
      <c r="A21" s="8"/>
      <c r="B21" s="33" t="s">
        <v>48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  <c r="H22" s="8"/>
      <c r="I22" s="8"/>
      <c r="J22" s="8"/>
      <c r="K22" s="15" t="str">
        <f aca="false">"DESEMBOLSO EM "&amp;'RETRATO 2027'!$D$5&amp;" POR GRUPO (R$ MILHÕES)"</f>
        <v>DESEMBOLSO EM 2027 POR GRUPO (R$ MILHÕES)</v>
      </c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 customFormat="false" ht="15" hidden="false" customHeight="false" outlineLevel="0" collapsed="false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customFormat="false" ht="15" hidden="false" customHeight="false" outlineLevel="0" collapsed="false">
      <c r="A24" s="8"/>
      <c r="B24" s="15" t="str">
        <f aca="false">"DESEMBOLSO EM "&amp;'RETRATO 2027'!$D$5&amp;" POR GRUPO"</f>
        <v>DESEMBOLSO EM 2027 POR GRUPO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customFormat="false" ht="30" hidden="false" customHeight="true" outlineLevel="0" collapsed="false">
      <c r="A25" s="8"/>
      <c r="B25" s="34" t="s">
        <v>49</v>
      </c>
      <c r="C25" s="34"/>
      <c r="D25" s="20" t="s">
        <v>50</v>
      </c>
      <c r="E25" s="20" t="s">
        <v>51</v>
      </c>
      <c r="F25" s="20" t="s">
        <v>52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 customFormat="false" ht="18.75" hidden="false" customHeight="true" outlineLevel="0" collapsed="false">
      <c r="A26" s="8"/>
      <c r="B26" s="35" t="s">
        <v>53</v>
      </c>
      <c r="C26" s="35"/>
      <c r="D26" s="24" t="n">
        <f aca="false">SUM('RETRATO 2027'!F12:F22)</f>
        <v>9868861.02680791</v>
      </c>
      <c r="E26" s="36" t="n">
        <f aca="false">IF($D$32=0,0,D26/$D$32)</f>
        <v>0.207309633052712</v>
      </c>
      <c r="F26" s="36" t="n">
        <f aca="false">IFERROR(SUMPRODUCT('RETRATO 2027'!J12:J22,'RETRATO 2027'!M12:M22)/SUM('RETRATO 2027'!M12:M22),0)</f>
        <v>0.577994649737798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 customFormat="false" ht="18.75" hidden="false" customHeight="true" outlineLevel="0" collapsed="false">
      <c r="A27" s="8"/>
      <c r="B27" s="37" t="s">
        <v>54</v>
      </c>
      <c r="C27" s="37"/>
      <c r="D27" s="27" t="n">
        <f aca="false">SUM('RETRATO 2027'!F24:F28)</f>
        <v>1296311.289094</v>
      </c>
      <c r="E27" s="38" t="n">
        <f aca="false">IF($D$32=0,0,D27/$D$32)</f>
        <v>0.0272308847935098</v>
      </c>
      <c r="F27" s="38" t="n">
        <f aca="false">IFERROR(SUMPRODUCT('RETRATO 2027'!J24:J28,'RETRATO 2027'!M24:M28)/SUM('RETRATO 2027'!M24:M28),0)</f>
        <v>0.981741166734967</v>
      </c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 customFormat="false" ht="18.75" hidden="false" customHeight="true" outlineLevel="0" collapsed="false">
      <c r="A28" s="8"/>
      <c r="B28" s="35" t="s">
        <v>55</v>
      </c>
      <c r="C28" s="35"/>
      <c r="D28" s="24" t="n">
        <f aca="false">SUM('RETRATO 2027'!F30:F30)</f>
        <v>16405808.4378074</v>
      </c>
      <c r="E28" s="36" t="n">
        <f aca="false">IF($D$32=0,0,D28/$D$32)</f>
        <v>0.344627623991885</v>
      </c>
      <c r="F28" s="36" t="n">
        <f aca="false">IFERROR(SUMPRODUCT('RETRATO 2027'!J30:J30,'RETRATO 2027'!M30:M30)/SUM('RETRATO 2027'!M30:M30),0)</f>
        <v>0.973998341966936</v>
      </c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customFormat="false" ht="18.75" hidden="false" customHeight="true" outlineLevel="0" collapsed="false">
      <c r="A29" s="8"/>
      <c r="B29" s="37" t="s">
        <v>56</v>
      </c>
      <c r="C29" s="37"/>
      <c r="D29" s="27" t="n">
        <f aca="false">SUM('RETRATO 2027'!F31:F37)</f>
        <v>11338654.2609151</v>
      </c>
      <c r="E29" s="38" t="n">
        <f aca="false">IF($D$32=0,0,D29/$D$32)</f>
        <v>0.238184755845343</v>
      </c>
      <c r="F29" s="38" t="n">
        <f aca="false">IFERROR(SUMPRODUCT('RETRATO 2027'!J31:J37,'RETRATO 2027'!M31:M37)/SUM('RETRATO 2027'!M31:M37),0)</f>
        <v>0.320024015901336</v>
      </c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customFormat="false" ht="18.75" hidden="false" customHeight="true" outlineLevel="0" collapsed="false">
      <c r="A30" s="8"/>
      <c r="B30" s="35" t="s">
        <v>57</v>
      </c>
      <c r="C30" s="35"/>
      <c r="D30" s="24" t="n">
        <f aca="false">SUM('RETRATO 2027'!F38:F50)</f>
        <v>8694814.81959344</v>
      </c>
      <c r="E30" s="36" t="n">
        <f aca="false">IF($D$32=0,0,D30/$D$32)</f>
        <v>0.18264710231655</v>
      </c>
      <c r="F30" s="36" t="n">
        <f aca="false">IFERROR(SUMPRODUCT('RETRATO 2027'!J38:J50,'RETRATO 2027'!M38:M50)/SUM('RETRATO 2027'!M38:M50),0)</f>
        <v>0.188709979623382</v>
      </c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customFormat="false" ht="18.75" hidden="false" customHeight="true" outlineLevel="0" collapsed="false">
      <c r="A31" s="8"/>
      <c r="B31" s="37" t="s">
        <v>58</v>
      </c>
      <c r="C31" s="37"/>
      <c r="D31" s="27" t="n">
        <f aca="false">SUM('RETRATO 2027'!F52:F52)</f>
        <v>0</v>
      </c>
      <c r="E31" s="38" t="n">
        <f aca="false">IF($D$32=0,0,D31/$D$32)</f>
        <v>0</v>
      </c>
      <c r="F31" s="3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customFormat="false" ht="21.75" hidden="false" customHeight="true" outlineLevel="0" collapsed="false">
      <c r="A32" s="8"/>
      <c r="B32" s="39" t="s">
        <v>47</v>
      </c>
      <c r="C32" s="39"/>
      <c r="D32" s="30" t="n">
        <f aca="false">SUM(D26:D31)</f>
        <v>47604449.8342178</v>
      </c>
      <c r="E32" s="40" t="n">
        <f aca="false">SUM(E26:E31)</f>
        <v>1</v>
      </c>
      <c r="F32" s="31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customFormat="false" ht="15" hidden="false" customHeight="false" outlineLevel="0" collapsed="false">
      <c r="A33" s="8"/>
      <c r="B33" s="33" t="s">
        <v>59</v>
      </c>
      <c r="C33" s="8"/>
      <c r="D33" s="8"/>
      <c r="E33" s="8"/>
      <c r="F33" s="33" t="str">
        <f aca="false">IF(ABS(D32-F6)&lt;1,"✓ confere com o cartão","⚠ diferente do cartão")</f>
        <v>✓ confere com o cartão</v>
      </c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 customFormat="false" ht="15" hidden="false" customHeight="false" outlineLevel="0" collapsed="false">
      <c r="A36" s="8"/>
      <c r="B36" s="15" t="s">
        <v>60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</sheetData>
  <mergeCells count="17">
    <mergeCell ref="B5:C5"/>
    <mergeCell ref="D5:E5"/>
    <mergeCell ref="B6:C6"/>
    <mergeCell ref="D6:E6"/>
    <mergeCell ref="B7:C7"/>
    <mergeCell ref="D7:E7"/>
    <mergeCell ref="B10:F10"/>
    <mergeCell ref="B11:F11"/>
    <mergeCell ref="H11:I11"/>
    <mergeCell ref="B25:C25"/>
    <mergeCell ref="B26:C26"/>
    <mergeCell ref="B27:C27"/>
    <mergeCell ref="B28:C28"/>
    <mergeCell ref="B29:C29"/>
    <mergeCell ref="B30:C30"/>
    <mergeCell ref="B31:C31"/>
    <mergeCell ref="B32:C32"/>
  </mergeCells>
  <conditionalFormatting sqref="I5:I7">
    <cfRule type="expression" priority="2" aboveAverage="0" equalAverage="0" bottom="0" percent="0" rank="0" text="" dxfId="0">
      <formula>LEFT($I$6,1)="✓"</formula>
    </cfRule>
    <cfRule type="expression" priority="3" aboveAverage="0" equalAverage="0" bottom="0" percent="0" rank="0" text="" dxfId="1">
      <formula>LEFT($I$6,1)="⚠"</formula>
    </cfRule>
  </conditionalFormatting>
  <conditionalFormatting sqref="I6">
    <cfRule type="expression" priority="4" aboveAverage="0" equalAverage="0" bottom="0" percent="0" rank="0" text="" dxfId="2">
      <formula>LEFT(I6,1)="✓"</formula>
    </cfRule>
    <cfRule type="expression" priority="5" aboveAverage="0" equalAverage="0" bottom="0" percent="0" rank="0" text="" dxfId="3">
      <formula>LEFT(I6,1)="⚠"</formula>
    </cfRule>
  </conditionalFormatting>
  <conditionalFormatting sqref="B13:I19">
    <cfRule type="expression" priority="6" aboveAverage="0" equalAverage="0" bottom="0" percent="0" rank="0" text="" dxfId="4">
      <formula>$B13='RETRATO 2027'!$D$5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" t="s">
        <v>61</v>
      </c>
      <c r="B1" s="2" t="s">
        <v>62</v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s">
        <v>47</v>
      </c>
    </row>
    <row r="2" customFormat="false" ht="15" hidden="false" customHeight="false" outlineLevel="0" collapsed="false">
      <c r="A2" s="2" t="s">
        <v>63</v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 customFormat="false" ht="15" hidden="false" customHeight="false" outlineLevel="0" collapsed="false">
      <c r="A3" s="2" t="s">
        <v>64</v>
      </c>
      <c r="C3" s="2" t="s">
        <v>65</v>
      </c>
      <c r="D3" s="2" t="s">
        <v>65</v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s">
        <v>65</v>
      </c>
      <c r="M3" s="2" t="s">
        <v>65</v>
      </c>
      <c r="N3" s="2" t="n">
        <v>96688</v>
      </c>
      <c r="O3" s="2" t="n">
        <v>96688</v>
      </c>
    </row>
    <row r="4" customFormat="false" ht="15" hidden="false" customHeight="false" outlineLevel="0" collapsed="false">
      <c r="A4" s="2" t="s">
        <v>66</v>
      </c>
      <c r="B4" s="2" t="n">
        <v>1283</v>
      </c>
      <c r="C4" s="2" t="n">
        <v>543</v>
      </c>
      <c r="D4" s="2" t="s">
        <v>65</v>
      </c>
      <c r="E4" s="2" t="n">
        <v>18</v>
      </c>
      <c r="F4" s="2" t="n">
        <v>927</v>
      </c>
      <c r="G4" s="2" t="s">
        <v>65</v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s">
        <v>65</v>
      </c>
      <c r="N4" s="2" t="n">
        <v>5360</v>
      </c>
      <c r="O4" s="2" t="n">
        <v>5362</v>
      </c>
    </row>
    <row r="5" customFormat="false" ht="15" hidden="false" customHeight="false" outlineLevel="0" collapsed="false">
      <c r="A5" s="2" t="s">
        <v>67</v>
      </c>
      <c r="B5" s="2" t="n">
        <v>75504</v>
      </c>
      <c r="C5" s="2" t="s">
        <v>65</v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 customFormat="false" ht="15" hidden="false" customHeight="false" outlineLevel="0" collapsed="false">
      <c r="A6" s="2" t="s">
        <v>68</v>
      </c>
      <c r="B6" s="2" t="s">
        <v>65</v>
      </c>
      <c r="C6" s="2" t="s">
        <v>65</v>
      </c>
      <c r="D6" s="2" t="s">
        <v>65</v>
      </c>
      <c r="E6" s="2" t="s">
        <v>65</v>
      </c>
      <c r="F6" s="2" t="n">
        <v>5620</v>
      </c>
      <c r="G6" s="2" t="n">
        <v>2137</v>
      </c>
      <c r="H6" s="2" t="s">
        <v>65</v>
      </c>
      <c r="I6" s="2" t="n">
        <v>1976</v>
      </c>
      <c r="J6" s="2" t="n">
        <v>5083</v>
      </c>
      <c r="K6" s="2" t="n">
        <v>1918</v>
      </c>
      <c r="L6" s="2" t="s">
        <v>65</v>
      </c>
      <c r="M6" s="2" t="n">
        <v>2616</v>
      </c>
      <c r="N6" s="2" t="n">
        <v>19350</v>
      </c>
      <c r="O6" s="2" t="n">
        <v>19350</v>
      </c>
    </row>
    <row r="7" customFormat="false" ht="15" hidden="false" customHeight="false" outlineLevel="0" collapsed="false">
      <c r="A7" s="2" t="s">
        <v>69</v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 customFormat="false" ht="15" hidden="false" customHeight="false" outlineLevel="0" collapsed="false">
      <c r="A8" s="2" t="s">
        <v>70</v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 customFormat="false" ht="15" hidden="false" customHeight="false" outlineLevel="0" collapsed="false">
      <c r="A9" s="2" t="s">
        <v>71</v>
      </c>
      <c r="B9" s="2" t="n">
        <v>59521</v>
      </c>
      <c r="C9" s="2" t="n">
        <v>1300</v>
      </c>
      <c r="D9" s="2" t="s">
        <v>65</v>
      </c>
      <c r="E9" s="2" t="s">
        <v>65</v>
      </c>
      <c r="F9" s="2" t="s">
        <v>65</v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 customFormat="false" ht="15" hidden="false" customHeight="false" outlineLevel="0" collapsed="false">
      <c r="A10" s="2" t="s">
        <v>72</v>
      </c>
      <c r="B10" s="2" t="n">
        <v>41467</v>
      </c>
      <c r="C10" s="2" t="s">
        <v>65</v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 customFormat="false" ht="15" hidden="false" customHeight="false" outlineLevel="0" collapsed="false">
      <c r="A11" s="2" t="s">
        <v>73</v>
      </c>
      <c r="B11" s="2" t="n">
        <v>232037</v>
      </c>
      <c r="C11" s="2" t="s">
        <v>65</v>
      </c>
      <c r="D11" s="2" t="s">
        <v>65</v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 customFormat="false" ht="15" hidden="false" customHeight="false" outlineLevel="0" collapsed="false">
      <c r="A12" s="2" t="s">
        <v>74</v>
      </c>
      <c r="B12" s="2" t="n">
        <v>37306</v>
      </c>
      <c r="C12" s="2" t="s">
        <v>65</v>
      </c>
      <c r="D12" s="2" t="s">
        <v>65</v>
      </c>
      <c r="E12" s="2" t="s">
        <v>65</v>
      </c>
      <c r="F12" s="2" t="s">
        <v>65</v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 customFormat="false" ht="15" hidden="false" customHeight="false" outlineLevel="0" collapsed="false">
      <c r="A13" s="2" t="s">
        <v>75</v>
      </c>
      <c r="B13" s="2" t="s">
        <v>65</v>
      </c>
      <c r="C13" s="2" t="s">
        <v>65</v>
      </c>
      <c r="D13" s="2" t="s">
        <v>65</v>
      </c>
      <c r="E13" s="2" t="s">
        <v>65</v>
      </c>
      <c r="F13" s="2" t="s">
        <v>65</v>
      </c>
      <c r="G13" s="2" t="s">
        <v>65</v>
      </c>
      <c r="J13" s="2" t="n">
        <v>79</v>
      </c>
      <c r="K13" s="2" t="n">
        <v>79</v>
      </c>
      <c r="L13" s="2" t="s">
        <v>65</v>
      </c>
      <c r="M13" s="2" t="n">
        <v>158</v>
      </c>
      <c r="N13" s="2" t="n">
        <v>316</v>
      </c>
      <c r="O13" s="2" t="n">
        <v>158</v>
      </c>
    </row>
    <row r="14" customFormat="false" ht="15" hidden="false" customHeight="false" outlineLevel="0" collapsed="false">
      <c r="A14" s="2" t="s">
        <v>76</v>
      </c>
      <c r="B14" s="2" t="n">
        <v>136163</v>
      </c>
      <c r="C14" s="2" t="s">
        <v>65</v>
      </c>
      <c r="D14" s="2" t="s">
        <v>65</v>
      </c>
      <c r="E14" s="2" t="n">
        <v>3590</v>
      </c>
      <c r="F14" s="2" t="s">
        <v>65</v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 customFormat="false" ht="15" hidden="false" customHeight="false" outlineLevel="0" collapsed="false">
      <c r="A15" s="2" t="s">
        <v>77</v>
      </c>
      <c r="B15" s="2" t="n">
        <v>870</v>
      </c>
      <c r="C15" s="2" t="s">
        <v>65</v>
      </c>
      <c r="D15" s="2" t="s">
        <v>65</v>
      </c>
      <c r="E15" s="2" t="s">
        <v>65</v>
      </c>
      <c r="F15" s="2" t="s">
        <v>65</v>
      </c>
      <c r="G15" s="2" t="s">
        <v>65</v>
      </c>
      <c r="H15" s="2" t="s">
        <v>65</v>
      </c>
      <c r="I15" s="2" t="s">
        <v>65</v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 customFormat="false" ht="15" hidden="false" customHeight="false" outlineLevel="0" collapsed="false">
      <c r="A16" s="2" t="s">
        <v>78</v>
      </c>
      <c r="B16" s="2" t="n">
        <v>12559</v>
      </c>
      <c r="C16" s="2" t="s">
        <v>65</v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 customFormat="false" ht="15" hidden="false" customHeight="false" outlineLevel="0" collapsed="false">
      <c r="A17" s="2" t="s">
        <v>79</v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 customFormat="false" ht="15" hidden="false" customHeight="false" outlineLevel="0" collapsed="false">
      <c r="A18" s="2" t="s">
        <v>80</v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 customFormat="false" ht="15" hidden="false" customHeight="false" outlineLevel="0" collapsed="false">
      <c r="A19" s="2" t="s">
        <v>81</v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s">
        <v>65</v>
      </c>
      <c r="H19" s="2" t="n">
        <v>4350</v>
      </c>
      <c r="I19" s="2" t="s">
        <v>65</v>
      </c>
      <c r="M19" s="2" t="s">
        <v>65</v>
      </c>
      <c r="N19" s="2" t="n">
        <v>51854</v>
      </c>
      <c r="O19" s="2" t="n">
        <v>51854</v>
      </c>
    </row>
    <row r="20" customFormat="false" ht="15" hidden="false" customHeight="false" outlineLevel="0" collapsed="false">
      <c r="A20" s="2" t="s">
        <v>82</v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 customFormat="false" ht="15" hidden="false" customHeight="false" outlineLevel="0" collapsed="false">
      <c r="A21" s="2" t="s">
        <v>83</v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 customFormat="false" ht="15" hidden="false" customHeight="false" outlineLevel="0" collapsed="false">
      <c r="A22" s="2" t="s">
        <v>84</v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s">
        <v>65</v>
      </c>
      <c r="M22" s="2" t="s">
        <v>65</v>
      </c>
      <c r="N22" s="2" t="n">
        <v>111740</v>
      </c>
      <c r="O22" s="2" t="n">
        <v>111741</v>
      </c>
    </row>
    <row r="23" customFormat="false" ht="15" hidden="false" customHeight="false" outlineLevel="0" collapsed="false">
      <c r="A23" s="2" t="s">
        <v>85</v>
      </c>
      <c r="B23" s="2" t="s">
        <v>65</v>
      </c>
      <c r="C23" s="2" t="s">
        <v>65</v>
      </c>
      <c r="D23" s="2" t="s">
        <v>65</v>
      </c>
      <c r="E23" s="2" t="s">
        <v>65</v>
      </c>
      <c r="F23" s="2" t="s">
        <v>65</v>
      </c>
      <c r="G23" s="2" t="s">
        <v>65</v>
      </c>
      <c r="H23" s="2" t="s">
        <v>65</v>
      </c>
      <c r="I23" s="2" t="s">
        <v>65</v>
      </c>
      <c r="J23" s="2" t="s">
        <v>65</v>
      </c>
      <c r="K23" s="2" t="s">
        <v>65</v>
      </c>
      <c r="L23" s="2" t="s">
        <v>65</v>
      </c>
      <c r="M23" s="2" t="n">
        <v>10781</v>
      </c>
      <c r="N23" s="2" t="n">
        <v>10781</v>
      </c>
      <c r="O23" s="2" t="n">
        <v>10781</v>
      </c>
    </row>
    <row r="24" customFormat="false" ht="15" hidden="false" customHeight="false" outlineLevel="0" collapsed="false">
      <c r="A24" s="2" t="s">
        <v>86</v>
      </c>
      <c r="B24" s="2" t="s">
        <v>65</v>
      </c>
      <c r="C24" s="2" t="s">
        <v>65</v>
      </c>
      <c r="D24" s="2" t="s">
        <v>65</v>
      </c>
      <c r="E24" s="2" t="s">
        <v>65</v>
      </c>
      <c r="F24" s="2" t="s">
        <v>65</v>
      </c>
      <c r="G24" s="2" t="s">
        <v>65</v>
      </c>
      <c r="H24" s="2" t="s">
        <v>65</v>
      </c>
      <c r="J24" s="2" t="n">
        <v>9300</v>
      </c>
      <c r="K24" s="2" t="n">
        <v>9300</v>
      </c>
      <c r="L24" s="2" t="s">
        <v>65</v>
      </c>
      <c r="M24" s="2" t="s">
        <v>65</v>
      </c>
      <c r="N24" s="2" t="n">
        <v>18600</v>
      </c>
      <c r="O24" s="2" t="n">
        <v>18600</v>
      </c>
    </row>
    <row r="25" customFormat="false" ht="15" hidden="false" customHeight="false" outlineLevel="0" collapsed="false">
      <c r="A25" s="2" t="s">
        <v>87</v>
      </c>
      <c r="B25" s="2" t="s">
        <v>65</v>
      </c>
      <c r="C25" s="2" t="s">
        <v>65</v>
      </c>
      <c r="D25" s="2" t="s">
        <v>65</v>
      </c>
      <c r="E25" s="2" t="s">
        <v>65</v>
      </c>
      <c r="F25" s="2" t="s">
        <v>65</v>
      </c>
      <c r="G25" s="2" t="s">
        <v>65</v>
      </c>
      <c r="H25" s="2" t="s">
        <v>65</v>
      </c>
      <c r="I25" s="2" t="s">
        <v>65</v>
      </c>
      <c r="J25" s="2" t="s">
        <v>65</v>
      </c>
      <c r="K25" s="2" t="s">
        <v>65</v>
      </c>
      <c r="L25" s="2" t="s">
        <v>65</v>
      </c>
      <c r="M25" s="2" t="n">
        <v>1863</v>
      </c>
      <c r="N25" s="2" t="n">
        <v>1863</v>
      </c>
      <c r="O25" s="2" t="n">
        <v>1863</v>
      </c>
    </row>
    <row r="27" customFormat="false" ht="15" hidden="false" customHeight="false" outlineLevel="0" collapsed="false">
      <c r="A27" s="2" t="s">
        <v>47</v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 customFormat="false" ht="15" hidden="false" customHeight="false" outlineLevel="0" collapsed="false">
      <c r="M28" s="2" t="n">
        <v>22151847</v>
      </c>
    </row>
    <row r="29" customFormat="false" ht="15" hidden="false" customHeight="false" outlineLevel="0" collapsed="false">
      <c r="A29" s="2" t="s">
        <v>88</v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 customFormat="false" ht="15" hidden="false" customHeight="false" outlineLevel="0" collapsed="false">
      <c r="M30" s="2" t="n">
        <v>22115584</v>
      </c>
    </row>
    <row r="31" customFormat="false" ht="15" hidden="false" customHeight="false" outlineLevel="0" collapsed="false">
      <c r="C31" s="2" t="n">
        <v>-36120</v>
      </c>
      <c r="M31" s="2" t="n">
        <v>-36263</v>
      </c>
      <c r="O31" s="2" t="n">
        <v>-36260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3:S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6" min="6" style="0" width="17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40"/>
    <col collapsed="false" customWidth="true" hidden="false" outlineLevel="0" max="11" min="11" style="0" width="18"/>
    <col collapsed="false" customWidth="true" hidden="false" outlineLevel="0" max="12" min="12" style="0" width="17"/>
    <col collapsed="false" customWidth="true" hidden="false" outlineLevel="0" max="13" min="13" style="0" width="15"/>
    <col collapsed="false" customWidth="true" hidden="false" outlineLevel="0" max="14" min="14" style="0" width="44"/>
    <col collapsed="false" customWidth="true" hidden="false" outlineLevel="0" max="15" min="15" style="0" width="24"/>
    <col collapsed="false" customWidth="true" hidden="false" outlineLevel="0" max="16" min="16" style="0" width="14"/>
    <col collapsed="false" customWidth="true" hidden="false" outlineLevel="0" max="17" min="17" style="0" width="10"/>
    <col collapsed="false" customWidth="true" hidden="false" outlineLevel="0" max="18" min="18" style="0" width="14"/>
    <col collapsed="false" customWidth="true" hidden="false" outlineLevel="0" max="19" min="19" style="0" width="12"/>
  </cols>
  <sheetData>
    <row r="3" customFormat="false" ht="16.15" hidden="false" customHeight="false" outlineLevel="0" collapsed="false">
      <c r="B3" s="41" t="s">
        <v>89</v>
      </c>
      <c r="J3" s="3" t="s">
        <v>90</v>
      </c>
    </row>
    <row r="5" customFormat="false" ht="15" hidden="false" customHeight="false" outlineLevel="0" collapsed="false">
      <c r="B5" s="42" t="s">
        <v>91</v>
      </c>
      <c r="C5" s="43" t="n">
        <v>1216.76</v>
      </c>
      <c r="D5" s="42" t="s">
        <v>47</v>
      </c>
      <c r="E5" s="44" t="n">
        <f aca="false">E50</f>
        <v>1</v>
      </c>
      <c r="F5" s="45" t="n">
        <f aca="false">F50</f>
        <v>151118325.98</v>
      </c>
      <c r="G5" s="45" t="n">
        <f aca="false">G50</f>
        <v>124214.550971</v>
      </c>
      <c r="H5" s="42" t="s">
        <v>92</v>
      </c>
      <c r="J5" s="42" t="s">
        <v>93</v>
      </c>
      <c r="K5" s="46" t="n">
        <v>46235</v>
      </c>
      <c r="O5" s="47" t="s">
        <v>94</v>
      </c>
      <c r="P5" s="48" t="n">
        <f aca="false">DATE(YEAR(K5),MONTH(K5),1)</f>
        <v>46235</v>
      </c>
    </row>
    <row r="6" customFormat="false" ht="15" hidden="false" customHeight="false" outlineLevel="0" collapsed="false">
      <c r="B6" s="42" t="s">
        <v>95</v>
      </c>
      <c r="C6" s="49" t="n">
        <v>143557.19</v>
      </c>
      <c r="H6" s="43" t="n">
        <v>1216.706</v>
      </c>
      <c r="J6" s="42" t="s">
        <v>96</v>
      </c>
      <c r="K6" s="46" t="n">
        <v>45627</v>
      </c>
      <c r="O6" s="47" t="s">
        <v>97</v>
      </c>
      <c r="P6" s="48" t="n">
        <f aca="false">DATE(YEAR(K6),MONTH(K6),1)</f>
        <v>45627</v>
      </c>
    </row>
    <row r="7" customFormat="false" ht="15" hidden="false" customHeight="false" outlineLevel="0" collapsed="false">
      <c r="B7" s="42" t="s">
        <v>98</v>
      </c>
      <c r="C7" s="50" t="n">
        <f aca="false">C6*C5</f>
        <v>174674646.5044</v>
      </c>
      <c r="D7" s="42" t="s">
        <v>80</v>
      </c>
      <c r="E7" s="44" t="n">
        <f aca="false">IF(F49=0,0,F48/F49)</f>
        <v>0.00376019222702573</v>
      </c>
      <c r="F7" s="45" t="n">
        <f aca="false">F48</f>
        <v>566105.29</v>
      </c>
      <c r="G7" s="45" t="n">
        <f aca="false">G48</f>
        <v>477</v>
      </c>
      <c r="J7" s="42" t="s">
        <v>99</v>
      </c>
      <c r="K7" s="51" t="n">
        <v>1</v>
      </c>
      <c r="O7" s="47" t="s">
        <v>100</v>
      </c>
      <c r="P7" s="52" t="n">
        <f aca="false">IFERROR(INDEX('"INCC-FGV"'!$B$2:$B$800,MATCH(P5,'"INCC-FGV"'!$A$2:$A$800,0)),IFERROR(INDEX('"INCC-FGV"'!$B$2:$B$800,MATCH(P5,'"INCC-FGV"'!$A$2:$A$800,1)),"FALTA INCC"))</f>
        <v>1296.889</v>
      </c>
    </row>
    <row r="8" customFormat="false" ht="15" hidden="false" customHeight="false" outlineLevel="0" collapsed="false">
      <c r="D8" s="42" t="s">
        <v>101</v>
      </c>
      <c r="E8" s="44" t="n">
        <f aca="false">IF(F50=0,0,F49/F50)</f>
        <v>0.996253893852193</v>
      </c>
      <c r="F8" s="45" t="n">
        <f aca="false">F49</f>
        <v>150552220.69</v>
      </c>
      <c r="G8" s="45" t="n">
        <f aca="false">G49</f>
        <v>123737.550971</v>
      </c>
      <c r="J8" s="42" t="s">
        <v>102</v>
      </c>
      <c r="K8" s="53" t="s">
        <v>103</v>
      </c>
      <c r="O8" s="47" t="s">
        <v>104</v>
      </c>
      <c r="P8" s="48" t="n">
        <f aca="false">DATE(YEAR(P6),MONTH(P6)+71,1)</f>
        <v>47788</v>
      </c>
    </row>
    <row r="9" customFormat="false" ht="15" hidden="false" customHeight="false" outlineLevel="0" collapsed="false">
      <c r="O9" s="47" t="s">
        <v>105</v>
      </c>
      <c r="P9" s="53" t="s">
        <v>106</v>
      </c>
    </row>
    <row r="10" customFormat="false" ht="45" hidden="false" customHeight="true" outlineLevel="0" collapsed="false">
      <c r="B10" s="54" t="s">
        <v>107</v>
      </c>
      <c r="C10" s="54" t="s">
        <v>108</v>
      </c>
      <c r="D10" s="54" t="s">
        <v>109</v>
      </c>
      <c r="E10" s="54" t="s">
        <v>110</v>
      </c>
      <c r="F10" s="54" t="s">
        <v>111</v>
      </c>
      <c r="G10" s="54" t="s">
        <v>112</v>
      </c>
      <c r="H10" s="54" t="s">
        <v>113</v>
      </c>
      <c r="I10" s="54" t="s">
        <v>114</v>
      </c>
      <c r="J10" s="54" t="s">
        <v>115</v>
      </c>
      <c r="K10" s="54" t="s">
        <v>116</v>
      </c>
      <c r="L10" s="54" t="s">
        <v>117</v>
      </c>
      <c r="M10" s="54" t="s">
        <v>118</v>
      </c>
      <c r="N10" s="54" t="s">
        <v>32</v>
      </c>
      <c r="O10" s="54" t="s">
        <v>119</v>
      </c>
      <c r="P10" s="54" t="s">
        <v>120</v>
      </c>
      <c r="Q10" s="54" t="s">
        <v>121</v>
      </c>
      <c r="R10" s="54" t="s">
        <v>122</v>
      </c>
      <c r="S10" s="54" t="s">
        <v>123</v>
      </c>
    </row>
    <row r="11" customFormat="false" ht="15" hidden="false" customHeight="false" outlineLevel="0" collapsed="false">
      <c r="B11" s="55" t="s">
        <v>124</v>
      </c>
      <c r="C11" s="55" t="s">
        <v>125</v>
      </c>
      <c r="D11" s="55" t="s">
        <v>63</v>
      </c>
      <c r="E11" s="44" t="n">
        <f aca="false">IF($F$50=0,0,F11/$F$50)</f>
        <v>0.0158815946671989</v>
      </c>
      <c r="F11" s="49" t="n">
        <v>2400000</v>
      </c>
      <c r="G11" s="49" t="n">
        <v>1972.53897</v>
      </c>
      <c r="H11" s="45" t="n">
        <f aca="false">MAX(G11*IF(S11="",1,S11),PROJETO!$K$8)</f>
        <v>2047.22345746143</v>
      </c>
      <c r="I11" s="55" t="s">
        <v>126</v>
      </c>
      <c r="J11" s="55" t="s">
        <v>63</v>
      </c>
      <c r="K11" s="45" t="n">
        <f aca="false">IF(ISNUMBER($P$7),G11*$P$7,0)</f>
        <v>2558164.09226433</v>
      </c>
      <c r="L11" s="56" t="n">
        <f aca="false">PROJETO!$J$7</f>
        <v>2469182.34229771</v>
      </c>
      <c r="M11" s="45" t="n">
        <f aca="false">L11-K11</f>
        <v>-88981.7499666205</v>
      </c>
      <c r="N11" s="47" t="str">
        <f aca="false">IF(D11="","",IF(PROJETO!$K$8&gt;PROJETO!$K$6+0.01,"⚠ Incorrido acima da meta em INCC",IF(AND(PROJETO!$K$18&gt;1,PROJETO!$K$17=0),"⚠ Saldo sem curva (preencha a coluna H da aba)",IF(ABS(PROJETO!$D$80)&gt;0.01,"⚠ Verificar","OK"))))</f>
        <v>OK</v>
      </c>
      <c r="O11" s="57" t="str">
        <f aca="false">PROJETO!$K$16</f>
        <v>PREVISÃO INFORMADA</v>
      </c>
      <c r="P11" s="58" t="n">
        <f aca="false">PROJETO!$K$14</f>
        <v>0</v>
      </c>
      <c r="Q11" s="55" t="s">
        <v>125</v>
      </c>
      <c r="R11" s="55"/>
      <c r="S11" s="59" t="n">
        <v>1.03786211</v>
      </c>
    </row>
    <row r="12" customFormat="false" ht="15" hidden="false" customHeight="false" outlineLevel="0" collapsed="false">
      <c r="B12" s="55" t="s">
        <v>127</v>
      </c>
      <c r="C12" s="55" t="s">
        <v>128</v>
      </c>
      <c r="D12" s="55" t="s">
        <v>64</v>
      </c>
      <c r="E12" s="44" t="n">
        <f aca="false">IF($F$50=0,0,F12/$F$50)</f>
        <v>0.000834809274003579</v>
      </c>
      <c r="F12" s="49" t="n">
        <v>126154.98</v>
      </c>
      <c r="G12" s="49" t="n">
        <v>103.685673</v>
      </c>
      <c r="H12" s="45" t="n">
        <f aca="false">MAX(G12*IF(S12="",1,S12),SEGUROS!$K$8)</f>
        <v>191.166414165265</v>
      </c>
      <c r="I12" s="55" t="s">
        <v>126</v>
      </c>
      <c r="J12" s="55" t="s">
        <v>129</v>
      </c>
      <c r="K12" s="45" t="n">
        <f aca="false">IF(ISNUMBER($P$7),G12*$P$7,0)</f>
        <v>134468.808771297</v>
      </c>
      <c r="L12" s="56" t="n">
        <f aca="false">SEGUROS!$J$7</f>
        <v>241135.16</v>
      </c>
      <c r="M12" s="45" t="n">
        <f aca="false">L12-K12</f>
        <v>106666.351228703</v>
      </c>
      <c r="N12" s="47" t="str">
        <f aca="false">IF(D12="","",IF(SEGUROS!$K$8&gt;SEGUROS!$K$6+0.01,"⚠ Incorrido acima da meta em INCC",IF(AND(SEGUROS!$K$18&gt;1,SEGUROS!$K$17=0),"⚠ Saldo sem curva (preencha a coluna H da aba)",IF(ABS(SEGUROS!$D$80)&gt;0.01,"⚠ Verificar","OK"))))</f>
        <v>OK</v>
      </c>
      <c r="O12" s="57" t="str">
        <f aca="false">SEGUROS!$K$16</f>
        <v>SEM CURVA</v>
      </c>
      <c r="P12" s="58" t="n">
        <f aca="false">SEGUROS!$K$14</f>
        <v>0</v>
      </c>
      <c r="Q12" s="55" t="s">
        <v>128</v>
      </c>
      <c r="R12" s="55"/>
      <c r="S12" s="59" t="n">
        <v>0.95674951</v>
      </c>
    </row>
    <row r="13" customFormat="false" ht="15" hidden="false" customHeight="false" outlineLevel="0" collapsed="false">
      <c r="B13" s="55" t="s">
        <v>130</v>
      </c>
      <c r="C13" s="55" t="s">
        <v>131</v>
      </c>
      <c r="D13" s="55" t="s">
        <v>66</v>
      </c>
      <c r="E13" s="44" t="n">
        <f aca="false">IF($F$50=0,0,F13/$F$50)</f>
        <v>0.000992599666699934</v>
      </c>
      <c r="F13" s="49" t="n">
        <v>150000</v>
      </c>
      <c r="G13" s="49" t="n">
        <v>123.283686</v>
      </c>
      <c r="H13" s="45" t="n">
        <f aca="false">MAX(G13*IF(S13="",1,S13),'TAX. DIVERSAS'!$K$8)</f>
        <v>123.283686</v>
      </c>
      <c r="I13" s="55" t="s">
        <v>126</v>
      </c>
      <c r="J13" s="55" t="s">
        <v>66</v>
      </c>
      <c r="K13" s="45" t="n">
        <f aca="false">IF(ISNUMBER($P$7),G13*$P$7,0)</f>
        <v>159885.256252854</v>
      </c>
      <c r="L13" s="56" t="n">
        <f aca="false">'TAX. DIVERSAS'!$J$7</f>
        <v>159786.721461049</v>
      </c>
      <c r="M13" s="45" t="n">
        <f aca="false">L13-K13</f>
        <v>-98.5347918047919</v>
      </c>
      <c r="N13" s="47" t="str">
        <f aca="false"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>OK</v>
      </c>
      <c r="O13" s="57" t="str">
        <f aca="false">'TAX. DIVERSAS'!$K$16</f>
        <v>PREVISÃO INFORMADA</v>
      </c>
      <c r="P13" s="58" t="n">
        <f aca="false">'TAX. DIVERSAS'!$K$14</f>
        <v>0</v>
      </c>
      <c r="Q13" s="55" t="s">
        <v>131</v>
      </c>
      <c r="R13" s="55"/>
      <c r="S13" s="59"/>
    </row>
    <row r="14" customFormat="false" ht="15" hidden="false" customHeight="false" outlineLevel="0" collapsed="false">
      <c r="B14" s="55" t="s">
        <v>132</v>
      </c>
      <c r="C14" s="55" t="s">
        <v>133</v>
      </c>
      <c r="D14" s="55" t="s">
        <v>67</v>
      </c>
      <c r="E14" s="44" t="n">
        <f aca="false">IF($F$50=0,0,F14/$F$50)</f>
        <v>0.00618398280909808</v>
      </c>
      <c r="F14" s="49" t="n">
        <v>934513.13</v>
      </c>
      <c r="G14" s="49" t="n">
        <v>768.068153</v>
      </c>
      <c r="H14" s="45" t="n">
        <f aca="false">MAX(G14*IF(S14="",1,S14),'BARRACÃO DE OBRA'!$K$8)</f>
        <v>972.714666461365</v>
      </c>
      <c r="I14" s="55" t="s">
        <v>126</v>
      </c>
      <c r="J14" s="55" t="s">
        <v>67</v>
      </c>
      <c r="K14" s="45" t="n">
        <f aca="false">IF(ISNUMBER($P$7),G14*$P$7,0)</f>
        <v>996099.138876017</v>
      </c>
      <c r="L14" s="56" t="n">
        <f aca="false">'BARRACÃO DE OBRA'!$J$7</f>
        <v>1221240.71877809</v>
      </c>
      <c r="M14" s="45" t="n">
        <f aca="false">L14-K14</f>
        <v>225141.579902077</v>
      </c>
      <c r="N14" s="47" t="str">
        <f aca="false"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>OK</v>
      </c>
      <c r="O14" s="57" t="str">
        <f aca="false">'BARRACÃO DE OBRA'!$K$16</f>
        <v>PREVISÃO INFORMADA</v>
      </c>
      <c r="P14" s="58" t="n">
        <f aca="false">'BARRACÃO DE OBRA'!$K$14</f>
        <v>0</v>
      </c>
      <c r="Q14" s="55" t="s">
        <v>133</v>
      </c>
      <c r="R14" s="55"/>
      <c r="S14" s="59" t="n">
        <v>1.26644317</v>
      </c>
    </row>
    <row r="15" customFormat="false" ht="15" hidden="false" customHeight="false" outlineLevel="0" collapsed="false">
      <c r="B15" s="55" t="s">
        <v>134</v>
      </c>
      <c r="C15" s="55" t="s">
        <v>135</v>
      </c>
      <c r="D15" s="55" t="s">
        <v>136</v>
      </c>
      <c r="E15" s="44" t="n">
        <f aca="false">IF($F$50=0,0,F15/$F$50)</f>
        <v>0.000330866555566645</v>
      </c>
      <c r="F15" s="49" t="n">
        <v>50000</v>
      </c>
      <c r="G15" s="49" t="n">
        <v>41.094562</v>
      </c>
      <c r="H15" s="45" t="n">
        <f aca="false">MAX(G15*IF(S15="",1,S15),'LIG. PROVISÓRIAS'!$K$8)</f>
        <v>69.3874220706997</v>
      </c>
      <c r="I15" s="55" t="s">
        <v>126</v>
      </c>
      <c r="J15" s="55" t="s">
        <v>137</v>
      </c>
      <c r="K15" s="45" t="n">
        <f aca="false">IF(ISNUMBER($P$7),G15*$P$7,0)</f>
        <v>53295.085417618</v>
      </c>
      <c r="L15" s="56" t="n">
        <f aca="false">'LIG. PROVISÓRIAS'!$J$7</f>
        <v>87467.1354551868</v>
      </c>
      <c r="M15" s="45" t="n">
        <f aca="false">L15-K15</f>
        <v>34172.0500375688</v>
      </c>
      <c r="N15" s="47" t="str">
        <f aca="false"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>OK</v>
      </c>
      <c r="O15" s="57" t="str">
        <f aca="false">'LIG. PROVISÓRIAS'!$K$16</f>
        <v>PREVISÃO INFORMADA</v>
      </c>
      <c r="P15" s="58" t="n">
        <f aca="false">'LIG. PROVISÓRIAS'!$K$14</f>
        <v>0</v>
      </c>
      <c r="Q15" s="55" t="s">
        <v>135</v>
      </c>
      <c r="R15" s="55"/>
      <c r="S15" s="59" t="n">
        <v>1.68848185</v>
      </c>
    </row>
    <row r="16" customFormat="false" ht="15" hidden="false" customHeight="false" outlineLevel="0" collapsed="false">
      <c r="B16" s="55" t="s">
        <v>138</v>
      </c>
      <c r="C16" s="55" t="s">
        <v>139</v>
      </c>
      <c r="D16" s="55" t="s">
        <v>70</v>
      </c>
      <c r="E16" s="44" t="n">
        <f aca="false">IF($F$50=0,0,F16/$F$50)</f>
        <v>0.00345027644144897</v>
      </c>
      <c r="F16" s="49" t="n">
        <v>521400</v>
      </c>
      <c r="G16" s="49" t="n">
        <v>428.534091</v>
      </c>
      <c r="H16" s="45" t="n">
        <f aca="false">MAX(G16*IF(S16="",1,S16),CONSUMOS!$K$8)</f>
        <v>447.683548249062</v>
      </c>
      <c r="I16" s="55" t="s">
        <v>126</v>
      </c>
      <c r="J16" s="55" t="s">
        <v>140</v>
      </c>
      <c r="K16" s="45" t="n">
        <f aca="false">IF(ISNUMBER($P$7),G16*$P$7,0)</f>
        <v>555761.148742899</v>
      </c>
      <c r="L16" s="56" t="n">
        <f aca="false">CONSUMOS!$J$7</f>
        <v>579625.908128584</v>
      </c>
      <c r="M16" s="45" t="n">
        <f aca="false">L16-K16</f>
        <v>23864.7593856846</v>
      </c>
      <c r="N16" s="47" t="str">
        <f aca="false">IF(D16="","",IF(CONSUMOS!$K$8&gt;CONSUMOS!$K$6+0.01,"⚠ Incorrido acima da meta em INCC",IF(AND(CONSUMOS!$K$18&gt;1,CONSUMOS!$K$17=0),"⚠ Saldo sem curva (preencha a coluna H da aba)",IF(ABS(CONSUMOS!$D$80)&gt;0.01,"⚠ Verificar","OK"))))</f>
        <v>OK</v>
      </c>
      <c r="O16" s="57" t="str">
        <f aca="false">CONSUMOS!$K$16</f>
        <v>PREVISÃO INFORMADA</v>
      </c>
      <c r="P16" s="58" t="n">
        <f aca="false">CONSUMOS!$K$14</f>
        <v>0</v>
      </c>
      <c r="Q16" s="55" t="s">
        <v>139</v>
      </c>
      <c r="R16" s="55"/>
      <c r="S16" s="59" t="n">
        <v>1.04468596</v>
      </c>
    </row>
    <row r="17" customFormat="false" ht="15" hidden="false" customHeight="false" outlineLevel="0" collapsed="false">
      <c r="B17" s="55" t="s">
        <v>141</v>
      </c>
      <c r="C17" s="55" t="s">
        <v>142</v>
      </c>
      <c r="D17" s="55" t="s">
        <v>83</v>
      </c>
      <c r="E17" s="44" t="n">
        <f aca="false">IF($F$50=0,0,F17/$F$50)</f>
        <v>0.00104818524803513</v>
      </c>
      <c r="F17" s="49" t="n">
        <v>158400</v>
      </c>
      <c r="G17" s="49" t="n">
        <v>130.187572</v>
      </c>
      <c r="H17" s="45" t="n">
        <f aca="false">MAX(G17*IF(S17="",1,S17),DIVERSOS!$K$8)</f>
        <v>152.453292064016</v>
      </c>
      <c r="I17" s="55" t="s">
        <v>126</v>
      </c>
      <c r="J17" s="55" t="s">
        <v>83</v>
      </c>
      <c r="K17" s="45" t="n">
        <f aca="false">IF(ISNUMBER($P$7),G17*$P$7,0)</f>
        <v>168838.830063508</v>
      </c>
      <c r="L17" s="56" t="n">
        <f aca="false">DIVERSOS!$J$7</f>
        <v>195765.174713413</v>
      </c>
      <c r="M17" s="45" t="n">
        <f aca="false">L17-K17</f>
        <v>26926.3446499047</v>
      </c>
      <c r="N17" s="47" t="str">
        <f aca="false">IF(D17="","",IF(DIVERSOS!$K$8&gt;DIVERSOS!$K$6+0.01,"⚠ Incorrido acima da meta em INCC",IF(AND(DIVERSOS!$K$18&gt;1,DIVERSOS!$K$17=0),"⚠ Saldo sem curva (preencha a coluna H da aba)",IF(ABS(DIVERSOS!$D$80)&gt;0.01,"⚠ Verificar","OK"))))</f>
        <v>OK</v>
      </c>
      <c r="O17" s="57" t="str">
        <f aca="false">DIVERSOS!$K$16</f>
        <v>PREVISÃO INFORMADA</v>
      </c>
      <c r="P17" s="58" t="n">
        <f aca="false">DIVERSOS!$K$14</f>
        <v>0</v>
      </c>
      <c r="Q17" s="55" t="s">
        <v>142</v>
      </c>
      <c r="R17" s="55"/>
      <c r="S17" s="59" t="n">
        <v>1.171028</v>
      </c>
    </row>
    <row r="18" customFormat="false" ht="15" hidden="false" customHeight="false" outlineLevel="0" collapsed="false">
      <c r="B18" s="55" t="s">
        <v>143</v>
      </c>
      <c r="C18" s="55" t="s">
        <v>144</v>
      </c>
      <c r="D18" s="55" t="s">
        <v>79</v>
      </c>
      <c r="E18" s="44" t="n">
        <f aca="false">IF($F$50=0,0,F18/$F$50)</f>
        <v>0.00515881839574623</v>
      </c>
      <c r="F18" s="49" t="n">
        <v>779592</v>
      </c>
      <c r="G18" s="49" t="n">
        <v>640.739834</v>
      </c>
      <c r="H18" s="45" t="n">
        <f aca="false">MAX(G18*IF(S18="",1,S18),TRANSPORTES!$K$8)</f>
        <v>646.641445129837</v>
      </c>
      <c r="I18" s="55" t="s">
        <v>126</v>
      </c>
      <c r="J18" s="55" t="s">
        <v>145</v>
      </c>
      <c r="K18" s="45" t="n">
        <f aca="false">IF(ISNUMBER($P$7),G18*$P$7,0)</f>
        <v>830968.442576426</v>
      </c>
      <c r="L18" s="56" t="n">
        <f aca="false">TRANSPORTES!$J$7</f>
        <v>835011.905352242</v>
      </c>
      <c r="M18" s="45" t="n">
        <f aca="false">L18-K18</f>
        <v>4043.46277581644</v>
      </c>
      <c r="N18" s="47" t="str">
        <f aca="false">IF(D18="","",IF(TRANSPORTES!$K$8&gt;TRANSPORTES!$K$6+0.01,"⚠ Incorrido acima da meta em INCC",IF(AND(TRANSPORTES!$K$18&gt;1,TRANSPORTES!$K$17=0),"⚠ Saldo sem curva (preencha a coluna H da aba)",IF(ABS(TRANSPORTES!$D$80)&gt;0.01,"⚠ Verificar","OK"))))</f>
        <v>OK</v>
      </c>
      <c r="O18" s="57" t="str">
        <f aca="false">TRANSPORTES!$K$16</f>
        <v>PREVISÃO INFORMADA</v>
      </c>
      <c r="P18" s="58" t="n">
        <f aca="false">TRANSPORTES!$K$14</f>
        <v>0</v>
      </c>
      <c r="Q18" s="55" t="s">
        <v>144</v>
      </c>
      <c r="R18" s="55"/>
      <c r="S18" s="59" t="n">
        <v>1.00921062</v>
      </c>
    </row>
    <row r="19" customFormat="false" ht="15" hidden="false" customHeight="false" outlineLevel="0" collapsed="false">
      <c r="B19" s="55" t="s">
        <v>146</v>
      </c>
      <c r="C19" s="55" t="s">
        <v>147</v>
      </c>
      <c r="D19" s="55" t="s">
        <v>69</v>
      </c>
      <c r="E19" s="44" t="n">
        <f aca="false">IF($F$50=0,0,F19/$F$50)</f>
        <v>0.00875248565270006</v>
      </c>
      <c r="F19" s="49" t="n">
        <v>1322660.98</v>
      </c>
      <c r="G19" s="49" t="n">
        <v>1087.08347</v>
      </c>
      <c r="H19" s="45" t="n">
        <f aca="false">MAX(G19*IF(S19="",1,S19),CONSULTORIAS!$K$8)</f>
        <v>1071.13920587468</v>
      </c>
      <c r="I19" s="55" t="s">
        <v>126</v>
      </c>
      <c r="J19" s="55" t="s">
        <v>69</v>
      </c>
      <c r="K19" s="45" t="n">
        <f aca="false">IF(ISNUMBER($P$7),G19*$P$7,0)</f>
        <v>1409826.59432483</v>
      </c>
      <c r="L19" s="56" t="n">
        <f aca="false">CONSULTORIAS!$J$7</f>
        <v>1352988.41770466</v>
      </c>
      <c r="M19" s="45" t="n">
        <f aca="false">L19-K19</f>
        <v>-56838.1766201744</v>
      </c>
      <c r="N19" s="47" t="str">
        <f aca="false">IF(D19="","",IF(CONSULTORIAS!$K$8&gt;CONSULTORIAS!$K$6+0.01,"⚠ Incorrido acima da meta em INCC",IF(AND(CONSULTORIAS!$K$18&gt;1,CONSULTORIAS!$K$17=0),"⚠ Saldo sem curva (preencha a coluna H da aba)",IF(ABS(CONSULTORIAS!$D$80)&gt;0.01,"⚠ Verificar","OK"))))</f>
        <v>OK</v>
      </c>
      <c r="O19" s="57" t="str">
        <f aca="false">CONSULTORIAS!$K$16</f>
        <v>PREVISÃO INFORMADA</v>
      </c>
      <c r="P19" s="58" t="n">
        <f aca="false">CONSULTORIAS!$K$14</f>
        <v>0</v>
      </c>
      <c r="Q19" s="55" t="s">
        <v>147</v>
      </c>
      <c r="R19" s="55"/>
      <c r="S19" s="59" t="n">
        <v>0.98533299</v>
      </c>
    </row>
    <row r="20" customFormat="false" ht="15" hidden="false" customHeight="false" outlineLevel="0" collapsed="false">
      <c r="B20" s="55" t="s">
        <v>148</v>
      </c>
      <c r="C20" s="55" t="s">
        <v>149</v>
      </c>
      <c r="D20" s="55" t="s">
        <v>82</v>
      </c>
      <c r="E20" s="44" t="n">
        <f aca="false">IF($F$50=0,0,F20/$F$50)</f>
        <v>0.133590842931067</v>
      </c>
      <c r="F20" s="49" t="n">
        <v>20188024.55</v>
      </c>
      <c r="G20" s="49" t="n">
        <v>16592.360482</v>
      </c>
      <c r="H20" s="45" t="n">
        <f aca="false">MAX(G20*IF(S20="",1,S20),MDO!$K$8)</f>
        <v>16592.360482</v>
      </c>
      <c r="I20" s="55" t="s">
        <v>126</v>
      </c>
      <c r="J20" s="55" t="s">
        <v>82</v>
      </c>
      <c r="K20" s="45" t="n">
        <f aca="false">IF(ISNUMBER($P$7),G20*$P$7,0)</f>
        <v>21518449.7931405</v>
      </c>
      <c r="L20" s="56" t="n">
        <f aca="false">MDO!$J$7</f>
        <v>21332424.0263632</v>
      </c>
      <c r="M20" s="45" t="n">
        <f aca="false">L20-K20</f>
        <v>-186025.766777348</v>
      </c>
      <c r="N20" s="47" t="str">
        <f aca="false">IF(D20="","",IF(MDO!$K$8&gt;MDO!$K$6+0.01,"⚠ Incorrido acima da meta em INCC",IF(AND(MDO!$K$18&gt;1,MDO!$K$17=0),"⚠ Saldo sem curva (preencha a coluna H da aba)",IF(ABS(MDO!$D$80)&gt;0.01,"⚠ Verificar","OK"))))</f>
        <v>OK</v>
      </c>
      <c r="O20" s="57" t="str">
        <f aca="false">MDO!$K$16</f>
        <v>PREVISÃO INFORMADA</v>
      </c>
      <c r="P20" s="58" t="n">
        <f aca="false">MDO!$K$14</f>
        <v>0</v>
      </c>
      <c r="Q20" s="55" t="s">
        <v>149</v>
      </c>
      <c r="R20" s="55"/>
      <c r="S20" s="59"/>
    </row>
    <row r="21" customFormat="false" ht="15" hidden="false" customHeight="false" outlineLevel="0" collapsed="false">
      <c r="B21" s="55" t="s">
        <v>150</v>
      </c>
      <c r="C21" s="55" t="s">
        <v>151</v>
      </c>
      <c r="D21" s="55" t="s">
        <v>78</v>
      </c>
      <c r="E21" s="44" t="n">
        <f aca="false">IF($F$50=0,0,F21/$F$50)</f>
        <v>0.0428003130530708</v>
      </c>
      <c r="F21" s="49" t="n">
        <v>6467911.66</v>
      </c>
      <c r="G21" s="49" t="n">
        <v>5315.919921</v>
      </c>
      <c r="H21" s="45" t="n">
        <f aca="false">MAX(G21*IF(S21="",1,S21),'EQUIP E FER'!$K$8)</f>
        <v>5300.15774000144</v>
      </c>
      <c r="I21" s="55" t="s">
        <v>126</v>
      </c>
      <c r="J21" s="55" t="s">
        <v>78</v>
      </c>
      <c r="K21" s="45" t="n">
        <f aca="false">IF(ISNUMBER($P$7),G21*$P$7,0)</f>
        <v>6894158.07042577</v>
      </c>
      <c r="L21" s="56" t="n">
        <f aca="false">'EQUIP E FER'!$J$7</f>
        <v>6854195.05722762</v>
      </c>
      <c r="M21" s="45" t="n">
        <f aca="false">L21-K21</f>
        <v>-39963.0131981513</v>
      </c>
      <c r="N21" s="47" t="str">
        <f aca="false"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>OK</v>
      </c>
      <c r="O21" s="57" t="str">
        <f aca="false">'EQUIP E FER'!$K$16</f>
        <v>PREVISÃO INFORMADA</v>
      </c>
      <c r="P21" s="58" t="n">
        <f aca="false">'EQUIP E FER'!$K$14</f>
        <v>0</v>
      </c>
      <c r="Q21" s="55" t="s">
        <v>151</v>
      </c>
      <c r="R21" s="55"/>
      <c r="S21" s="59" t="n">
        <v>0.99703491</v>
      </c>
    </row>
    <row r="22" customFormat="false" ht="15" hidden="false" customHeight="false" outlineLevel="0" collapsed="false">
      <c r="B22" s="55" t="s">
        <v>152</v>
      </c>
      <c r="C22" s="55" t="s">
        <v>153</v>
      </c>
      <c r="D22" s="55" t="s">
        <v>81</v>
      </c>
      <c r="E22" s="44" t="n">
        <f aca="false">IF($F$50=0,0,F22/$F$50)</f>
        <v>0.00116035516449016</v>
      </c>
      <c r="F22" s="49" t="n">
        <v>175350.93</v>
      </c>
      <c r="G22" s="49" t="n">
        <v>144.119392</v>
      </c>
      <c r="H22" s="45" t="n">
        <f aca="false">MAX(G22*IF(S22="",1,S22),'SERV. INICIAIS'!$K$8)</f>
        <v>136.726941995109</v>
      </c>
      <c r="I22" s="55" t="s">
        <v>154</v>
      </c>
      <c r="J22" s="55" t="s">
        <v>81</v>
      </c>
      <c r="K22" s="45" t="n">
        <f aca="false">IF(ISNUMBER($P$7),G22*$P$7,0)</f>
        <v>186906.854171488</v>
      </c>
      <c r="L22" s="56" t="n">
        <f aca="false">'SERV. INICIAIS'!$J$7</f>
        <v>170605.435110053</v>
      </c>
      <c r="M22" s="45" t="n">
        <f aca="false">L22-K22</f>
        <v>-16301.419061435</v>
      </c>
      <c r="N22" s="47" t="str">
        <f aca="false"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>OK</v>
      </c>
      <c r="O22" s="57" t="str">
        <f aca="false">'SERV. INICIAIS'!$K$16</f>
        <v>PREVISÃO INFORMADA</v>
      </c>
      <c r="P22" s="58" t="n">
        <f aca="false">'SERV. INICIAIS'!$K$14</f>
        <v>1</v>
      </c>
      <c r="Q22" s="55" t="s">
        <v>153</v>
      </c>
      <c r="R22" s="55"/>
      <c r="S22" s="59" t="n">
        <v>0.94870607</v>
      </c>
    </row>
    <row r="23" customFormat="false" ht="15" hidden="false" customHeight="false" outlineLevel="0" collapsed="false">
      <c r="B23" s="55" t="s">
        <v>155</v>
      </c>
      <c r="C23" s="55" t="s">
        <v>156</v>
      </c>
      <c r="D23" s="55" t="s">
        <v>72</v>
      </c>
      <c r="E23" s="44" t="n">
        <f aca="false">IF($F$50=0,0,F23/$F$50)</f>
        <v>0.010882555172148</v>
      </c>
      <c r="F23" s="49" t="n">
        <v>1644553.52</v>
      </c>
      <c r="G23" s="49" t="n">
        <v>1351.644127</v>
      </c>
      <c r="H23" s="45" t="n">
        <f aca="false">MAX(G23*IF(S23="",1,S23),CONTENÇÃO!$K$8)</f>
        <v>1144.63052963836</v>
      </c>
      <c r="I23" s="55" t="s">
        <v>154</v>
      </c>
      <c r="J23" s="55" t="s">
        <v>157</v>
      </c>
      <c r="K23" s="45" t="n">
        <f aca="false">IF(ISNUMBER($P$7),G23*$P$7,0)</f>
        <v>1752932.4002209</v>
      </c>
      <c r="L23" s="56" t="n">
        <f aca="false">CONTENÇÃO!$J$7</f>
        <v>1423010.61313945</v>
      </c>
      <c r="M23" s="45" t="n">
        <f aca="false">L23-K23</f>
        <v>-329921.787081448</v>
      </c>
      <c r="N23" s="47" t="str">
        <f aca="false">IF(D23="","",IF(CONTENÇÃO!$K$8&gt;CONTENÇÃO!$K$6+0.01,"⚠ Incorrido acima da meta em INCC",IF(AND(CONTENÇÃO!$K$18&gt;1,CONTENÇÃO!$K$17=0),"⚠ Saldo sem curva (preencha a coluna H da aba)",IF(ABS(CONTENÇÃO!$D$80)&gt;0.01,"⚠ Verificar","OK"))))</f>
        <v>OK</v>
      </c>
      <c r="O23" s="57" t="str">
        <f aca="false">CONTENÇÃO!$K$16</f>
        <v>PREVISÃO INFORMADA</v>
      </c>
      <c r="P23" s="58" t="n">
        <f aca="false">CONTENÇÃO!$K$14</f>
        <v>0.7523</v>
      </c>
      <c r="Q23" s="55" t="s">
        <v>156</v>
      </c>
      <c r="R23" s="55"/>
      <c r="S23" s="59" t="n">
        <v>0.84684312</v>
      </c>
    </row>
    <row r="24" customFormat="false" ht="15" hidden="false" customHeight="false" outlineLevel="0" collapsed="false">
      <c r="B24" s="55" t="s">
        <v>158</v>
      </c>
      <c r="C24" s="55" t="s">
        <v>159</v>
      </c>
      <c r="D24" s="55" t="s">
        <v>71</v>
      </c>
      <c r="E24" s="44" t="n">
        <f aca="false">IF($F$50=0,0,F24/$F$50)</f>
        <v>0.00833641090073171</v>
      </c>
      <c r="F24" s="49" t="n">
        <v>1259784.46</v>
      </c>
      <c r="G24" s="49" t="n">
        <v>1035.405812</v>
      </c>
      <c r="H24" s="45" t="n">
        <f aca="false">MAX(G24*IF(S24="",1,S24),TERRAPLENAGEM!$K$8)</f>
        <v>1001.69121786328</v>
      </c>
      <c r="I24" s="55" t="s">
        <v>154</v>
      </c>
      <c r="J24" s="55" t="s">
        <v>71</v>
      </c>
      <c r="K24" s="45" t="n">
        <f aca="false">IF(ISNUMBER($P$7),G24*$P$7,0)</f>
        <v>1342806.40811887</v>
      </c>
      <c r="L24" s="56" t="n">
        <f aca="false">TERRAPLENAGEM!$J$7</f>
        <v>1274343.65832616</v>
      </c>
      <c r="M24" s="45" t="n">
        <f aca="false">L24-K24</f>
        <v>-68462.7497927113</v>
      </c>
      <c r="N24" s="47" t="str">
        <f aca="false">IF(D24="","",IF(TERRAPLENAGEM!$K$8&gt;TERRAPLENAGEM!$K$6+0.01,"⚠ Incorrido acima da meta em INCC",IF(AND(TERRAPLENAGEM!$K$18&gt;1,TERRAPLENAGEM!$K$17=0),"⚠ Saldo sem curva (preencha a coluna H da aba)",IF(ABS(TERRAPLENAGEM!$D$80)&gt;0.01,"⚠ Verificar","OK"))))</f>
        <v>OK</v>
      </c>
      <c r="O24" s="57" t="str">
        <f aca="false">TERRAPLENAGEM!$K$16</f>
        <v>PREVISÃO INFORMADA</v>
      </c>
      <c r="P24" s="58" t="n">
        <f aca="false">TERRAPLENAGEM!$K$14</f>
        <v>0.86</v>
      </c>
      <c r="Q24" s="55" t="s">
        <v>159</v>
      </c>
      <c r="R24" s="55"/>
      <c r="S24" s="59" t="n">
        <v>0.96743828</v>
      </c>
    </row>
    <row r="25" customFormat="false" ht="15" hidden="false" customHeight="false" outlineLevel="0" collapsed="false">
      <c r="B25" s="55" t="s">
        <v>160</v>
      </c>
      <c r="C25" s="55" t="s">
        <v>161</v>
      </c>
      <c r="D25" s="55" t="s">
        <v>73</v>
      </c>
      <c r="E25" s="44" t="n">
        <f aca="false">IF($F$50=0,0,F25/$F$50)</f>
        <v>0.0412033363896849</v>
      </c>
      <c r="F25" s="49" t="n">
        <v>6226579.22</v>
      </c>
      <c r="G25" s="49" t="n">
        <v>5117.570899</v>
      </c>
      <c r="H25" s="45" t="n">
        <f aca="false">MAX(G25*IF(S25="",1,S25),'FUND. PROF'!$K$8)</f>
        <v>5539.15691790596</v>
      </c>
      <c r="I25" s="55" t="s">
        <v>154</v>
      </c>
      <c r="J25" s="55" t="s">
        <v>73</v>
      </c>
      <c r="K25" s="45" t="n">
        <f aca="false">IF(ISNUMBER($P$7),G25*$P$7,0)</f>
        <v>6636921.40563321</v>
      </c>
      <c r="L25" s="56" t="n">
        <f aca="false">'FUND. PROF'!$J$7</f>
        <v>6863872.54</v>
      </c>
      <c r="M25" s="45" t="n">
        <f aca="false">L25-K25</f>
        <v>226951.134366789</v>
      </c>
      <c r="N25" s="47" t="str">
        <f aca="false">IF(D25="","",IF('FUND. PROF'!$K$8&gt;'FUND. PROF'!$K$6+0.01,"⚠ Incorrido acima da meta em INCC",IF(AND('FUND. PROF'!$K$18&gt;1,'FUND. PROF'!$K$17=0),"⚠ Saldo sem curva (preencha a coluna H da aba)",IF(ABS('FUND. PROF'!$D$80)&gt;0.01,"⚠ Verificar","OK"))))</f>
        <v>OK</v>
      </c>
      <c r="O25" s="57" t="str">
        <f aca="false">'FUND. PROF'!$K$16</f>
        <v>SEM CURVA</v>
      </c>
      <c r="P25" s="58" t="n">
        <f aca="false">'FUND. PROF'!$K$14</f>
        <v>0.9953</v>
      </c>
      <c r="Q25" s="55" t="s">
        <v>161</v>
      </c>
      <c r="R25" s="55"/>
      <c r="S25" s="59" t="n">
        <v>1.06257434</v>
      </c>
    </row>
    <row r="26" customFormat="false" ht="15" hidden="false" customHeight="false" outlineLevel="0" collapsed="false">
      <c r="B26" s="55" t="s">
        <v>162</v>
      </c>
      <c r="C26" s="55" t="s">
        <v>163</v>
      </c>
      <c r="D26" s="55" t="s">
        <v>74</v>
      </c>
      <c r="E26" s="44" t="n">
        <f aca="false">IF($F$50=0,0,F26/$F$50)</f>
        <v>0.0268517923533446</v>
      </c>
      <c r="F26" s="49" t="n">
        <v>4057797.91</v>
      </c>
      <c r="G26" s="49" t="n">
        <v>3335.068547</v>
      </c>
      <c r="H26" s="45" t="n">
        <f aca="false">MAX(G26*IF(S26="",1,S26),'FUND. SUP'!$K$8)</f>
        <v>3370.8967881922</v>
      </c>
      <c r="I26" s="55" t="s">
        <v>154</v>
      </c>
      <c r="J26" s="55" t="s">
        <v>74</v>
      </c>
      <c r="K26" s="45" t="n">
        <f aca="false">IF(ISNUMBER($P$7),G26*$P$7,0)</f>
        <v>4325213.71285028</v>
      </c>
      <c r="L26" s="56" t="n">
        <f aca="false">'FUND. SUP'!$J$7</f>
        <v>4345864.1654116</v>
      </c>
      <c r="M26" s="45" t="n">
        <f aca="false">L26-K26</f>
        <v>20650.4525613161</v>
      </c>
      <c r="N26" s="47" t="str">
        <f aca="false">IF(D26="","",IF('FUND. SUP'!$K$8&gt;'FUND. SUP'!$K$6+0.01,"⚠ Incorrido acima da meta em INCC",IF(AND('FUND. SUP'!$K$18&gt;1,'FUND. SUP'!$K$17=0),"⚠ Saldo sem curva (preencha a coluna H da aba)",IF(ABS('FUND. SUP'!$D$80)&gt;0.01,"⚠ Verificar","OK"))))</f>
        <v>OK</v>
      </c>
      <c r="O26" s="57" t="str">
        <f aca="false">'FUND. SUP'!$K$16</f>
        <v>PREVISÃO INFORMADA</v>
      </c>
      <c r="P26" s="58" t="n">
        <f aca="false">'FUND. SUP'!$K$14</f>
        <v>0.7666</v>
      </c>
      <c r="Q26" s="55" t="s">
        <v>163</v>
      </c>
      <c r="R26" s="55"/>
      <c r="S26" s="59" t="n">
        <v>1.01074288</v>
      </c>
    </row>
    <row r="27" customFormat="false" ht="15" hidden="false" customHeight="false" outlineLevel="0" collapsed="false">
      <c r="B27" s="55" t="s">
        <v>164</v>
      </c>
      <c r="C27" s="55" t="s">
        <v>165</v>
      </c>
      <c r="D27" s="55" t="s">
        <v>76</v>
      </c>
      <c r="E27" s="44" t="n">
        <f aca="false">IF($F$50=0,0,F27/$F$50)</f>
        <v>0.169741700244845</v>
      </c>
      <c r="F27" s="49" t="n">
        <v>25651081.59</v>
      </c>
      <c r="G27" s="49" t="n">
        <v>21082.399193</v>
      </c>
      <c r="H27" s="45" t="n">
        <f aca="false">MAX(G27*IF(S27="",1,S27),ESTRUTURA!$K$8)</f>
        <v>20961.9611386582</v>
      </c>
      <c r="I27" s="55" t="s">
        <v>154</v>
      </c>
      <c r="J27" s="55" t="s">
        <v>76</v>
      </c>
      <c r="K27" s="45" t="n">
        <f aca="false">IF(ISNUMBER($P$7),G27*$P$7,0)</f>
        <v>27341531.6070106</v>
      </c>
      <c r="L27" s="56" t="n">
        <f aca="false">ESTRUTURA!$J$7</f>
        <v>27173442.6676606</v>
      </c>
      <c r="M27" s="45" t="n">
        <f aca="false">L27-K27</f>
        <v>-168088.939349972</v>
      </c>
      <c r="N27" s="47" t="str">
        <f aca="false">IF(D27="","",IF(ESTRUTURA!$K$8&gt;ESTRUTURA!$K$6+0.01,"⚠ Incorrido acima da meta em INCC",IF(AND(ESTRUTURA!$K$18&gt;1,ESTRUTURA!$K$17=0),"⚠ Saldo sem curva (preencha a coluna H da aba)",IF(ABS(ESTRUTURA!$D$80)&gt;0.01,"⚠ Verificar","OK"))))</f>
        <v>OK</v>
      </c>
      <c r="O27" s="57" t="str">
        <f aca="false">ESTRUTURA!$K$16</f>
        <v>PREVISÃO INFORMADA</v>
      </c>
      <c r="P27" s="58" t="n">
        <f aca="false">ESTRUTURA!$K$14</f>
        <v>0.0807</v>
      </c>
      <c r="Q27" s="55" t="s">
        <v>165</v>
      </c>
      <c r="R27" s="55"/>
      <c r="S27" s="59" t="n">
        <v>0.99428727</v>
      </c>
    </row>
    <row r="28" customFormat="false" ht="15" hidden="false" customHeight="false" outlineLevel="0" collapsed="false">
      <c r="B28" s="55" t="s">
        <v>166</v>
      </c>
      <c r="C28" s="55" t="s">
        <v>167</v>
      </c>
      <c r="D28" s="55" t="s">
        <v>168</v>
      </c>
      <c r="E28" s="44" t="n">
        <f aca="false">IF($F$50=0,0,F28/$F$50)</f>
        <v>0.0392240691627598</v>
      </c>
      <c r="F28" s="49" t="n">
        <v>5927475.67</v>
      </c>
      <c r="G28" s="49" t="n">
        <v>4871.740311</v>
      </c>
      <c r="H28" s="45" t="n">
        <f aca="false">MAX(G28*IF(S28="",1,S28),ALVENARIA!$K$8)</f>
        <v>4871.740311</v>
      </c>
      <c r="I28" s="55" t="s">
        <v>154</v>
      </c>
      <c r="J28" s="55" t="s">
        <v>168</v>
      </c>
      <c r="K28" s="45" t="n">
        <f aca="false">IF(ISNUMBER($P$7),G28*$P$7,0)</f>
        <v>6318106.42019248</v>
      </c>
      <c r="L28" s="56" t="n">
        <f aca="false">ALVENARIA!$J$7</f>
        <v>6315607.9667121</v>
      </c>
      <c r="M28" s="45" t="n">
        <f aca="false">L28-K28</f>
        <v>-2498.45348038059</v>
      </c>
      <c r="N28" s="47" t="str">
        <f aca="false">IF(D28="","",IF(ALVENARIA!$K$8&gt;ALVENARIA!$K$6+0.01,"⚠ Incorrido acima da meta em INCC",IF(AND(ALVENARIA!$K$18&gt;1,ALVENARIA!$K$17=0),"⚠ Saldo sem curva (preencha a coluna H da aba)",IF(ABS(ALVENARIA!$D$80)&gt;0.01,"⚠ Verificar","OK"))))</f>
        <v>OK</v>
      </c>
      <c r="O28" s="57" t="str">
        <f aca="false">ALVENARIA!$K$16</f>
        <v>PREVISÃO INFORMADA</v>
      </c>
      <c r="P28" s="58" t="n">
        <f aca="false">ALVENARIA!$K$14</f>
        <v>0</v>
      </c>
      <c r="Q28" s="55" t="s">
        <v>167</v>
      </c>
      <c r="R28" s="55"/>
      <c r="S28" s="59"/>
    </row>
    <row r="29" customFormat="false" ht="15" hidden="false" customHeight="false" outlineLevel="0" collapsed="false">
      <c r="B29" s="55" t="s">
        <v>169</v>
      </c>
      <c r="C29" s="55" t="s">
        <v>170</v>
      </c>
      <c r="D29" s="55" t="s">
        <v>171</v>
      </c>
      <c r="E29" s="44" t="n">
        <f aca="false">IF($F$50=0,0,F29/$F$50)</f>
        <v>0.0259951482689128</v>
      </c>
      <c r="F29" s="49" t="n">
        <v>3928343.29</v>
      </c>
      <c r="G29" s="49" t="n">
        <v>3228.670926</v>
      </c>
      <c r="H29" s="45" t="n">
        <f aca="false">MAX(G29*IF(S29="",1,S29),IMPERMEABILIZAÇÃO!$K$8)</f>
        <v>3228.670926</v>
      </c>
      <c r="I29" s="55" t="s">
        <v>154</v>
      </c>
      <c r="J29" s="55" t="s">
        <v>171</v>
      </c>
      <c r="K29" s="45" t="n">
        <f aca="false">IF(ISNUMBER($P$7),G29*$P$7,0)</f>
        <v>4187227.80854921</v>
      </c>
      <c r="L29" s="56" t="n">
        <f aca="false">IMPERMEABILIZAÇÃO!$J$7</f>
        <v>4185571.99695067</v>
      </c>
      <c r="M29" s="45" t="n">
        <f aca="false">L29-K29</f>
        <v>-1655.81159854773</v>
      </c>
      <c r="N29" s="47" t="str">
        <f aca="false">IF(D29="","",IF(IMPERMEABILIZAÇÃO!$K$8&gt;IMPERMEABILIZAÇÃO!$K$6+0.01,"⚠ Incorrido acima da meta em INCC",IF(AND(IMPERMEABILIZAÇÃO!$K$18&gt;1,IMPERMEABILIZAÇÃO!$K$17=0),"⚠ Saldo sem curva (preencha a coluna H da aba)",IF(ABS(IMPERMEABILIZAÇÃO!$D$80)&gt;0.01,"⚠ Verificar","OK"))))</f>
        <v>OK</v>
      </c>
      <c r="O29" s="57" t="str">
        <f aca="false">IMPERMEABILIZAÇÃO!$K$16</f>
        <v>PREVISÃO INFORMADA</v>
      </c>
      <c r="P29" s="58" t="n">
        <f aca="false">IMPERMEABILIZAÇÃO!$K$14</f>
        <v>0</v>
      </c>
      <c r="Q29" s="55" t="s">
        <v>170</v>
      </c>
      <c r="R29" s="55"/>
      <c r="S29" s="59"/>
    </row>
    <row r="30" customFormat="false" ht="15" hidden="false" customHeight="false" outlineLevel="0" collapsed="false">
      <c r="B30" s="55" t="s">
        <v>172</v>
      </c>
      <c r="C30" s="55" t="s">
        <v>173</v>
      </c>
      <c r="D30" s="55" t="s">
        <v>77</v>
      </c>
      <c r="E30" s="44" t="n">
        <f aca="false">IF($F$50=0,0,F30/$F$50)</f>
        <v>0.0745285298587186</v>
      </c>
      <c r="F30" s="49" t="n">
        <v>11262626.67</v>
      </c>
      <c r="G30" s="49" t="n">
        <v>9256.654171</v>
      </c>
      <c r="H30" s="45" t="n">
        <f aca="false">MAX(G30*IF(S30="",1,S30),'INST. ELÉTRICA'!$K$8)</f>
        <v>8992.49258772817</v>
      </c>
      <c r="I30" s="55" t="s">
        <v>154</v>
      </c>
      <c r="J30" s="55" t="s">
        <v>174</v>
      </c>
      <c r="K30" s="45" t="n">
        <f aca="false">IF(ISNUMBER($P$7),G30*$P$7,0)</f>
        <v>12004852.971174</v>
      </c>
      <c r="L30" s="56" t="n">
        <f aca="false">'INST. ELÉTRICA'!$J$7</f>
        <v>11650169.6711975</v>
      </c>
      <c r="M30" s="45" t="n">
        <f aca="false">L30-K30</f>
        <v>-354683.299976517</v>
      </c>
      <c r="N30" s="47" t="str">
        <f aca="false"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>OK</v>
      </c>
      <c r="O30" s="57" t="str">
        <f aca="false">'INST. ELÉTRICA'!$K$16</f>
        <v>PREVISÃO INFORMADA</v>
      </c>
      <c r="P30" s="58" t="n">
        <f aca="false">'INST. ELÉTRICA'!$K$14</f>
        <v>0</v>
      </c>
      <c r="Q30" s="55" t="s">
        <v>173</v>
      </c>
      <c r="R30" s="55"/>
      <c r="S30" s="59" t="n">
        <v>0.97146252</v>
      </c>
    </row>
    <row r="31" customFormat="false" ht="15" hidden="false" customHeight="false" outlineLevel="0" collapsed="false">
      <c r="B31" s="55" t="s">
        <v>175</v>
      </c>
      <c r="C31" s="55" t="s">
        <v>176</v>
      </c>
      <c r="D31" s="55" t="s">
        <v>177</v>
      </c>
      <c r="E31" s="44" t="n">
        <f aca="false">IF($F$50=0,0,F31/$F$50)</f>
        <v>0.0487964643082132</v>
      </c>
      <c r="F31" s="49" t="n">
        <v>7374040</v>
      </c>
      <c r="G31" s="49" t="n">
        <v>6060.658861</v>
      </c>
      <c r="H31" s="45" t="n">
        <f aca="false">MAX(G31*IF(S31="",1,S31),'INST. HIDRO'!$K$8)</f>
        <v>6060.658861</v>
      </c>
      <c r="I31" s="55" t="s">
        <v>154</v>
      </c>
      <c r="J31" s="55" t="s">
        <v>177</v>
      </c>
      <c r="K31" s="45" t="n">
        <f aca="false">IF(ISNUMBER($P$7),G31*$P$7,0)</f>
        <v>7860001.80958343</v>
      </c>
      <c r="L31" s="56" t="n">
        <f aca="false">'INST. HIDRO'!$J$7</f>
        <v>7856893.62374879</v>
      </c>
      <c r="M31" s="45" t="n">
        <f aca="false">L31-K31</f>
        <v>-3108.18583463412</v>
      </c>
      <c r="N31" s="47" t="str">
        <f aca="false"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>OK</v>
      </c>
      <c r="O31" s="57" t="str">
        <f aca="false">'INST. HIDRO'!$K$16</f>
        <v>PREVISÃO INFORMADA</v>
      </c>
      <c r="P31" s="58" t="n">
        <f aca="false">'INST. HIDRO'!$K$14</f>
        <v>0</v>
      </c>
      <c r="Q31" s="55" t="s">
        <v>176</v>
      </c>
      <c r="R31" s="55"/>
      <c r="S31" s="59"/>
    </row>
    <row r="32" customFormat="false" ht="15" hidden="false" customHeight="false" outlineLevel="0" collapsed="false">
      <c r="B32" s="55" t="s">
        <v>178</v>
      </c>
      <c r="C32" s="55" t="s">
        <v>179</v>
      </c>
      <c r="D32" s="55" t="s">
        <v>180</v>
      </c>
      <c r="E32" s="44" t="n">
        <f aca="false">IF($F$50=0,0,F32/$F$50)</f>
        <v>0.00517184130337334</v>
      </c>
      <c r="F32" s="49" t="n">
        <v>781560</v>
      </c>
      <c r="G32" s="49" t="n">
        <v>642.357316</v>
      </c>
      <c r="H32" s="45" t="n">
        <f aca="false">MAX(G32*IF(S32="",1,S32),'INST. INC'!$K$8)</f>
        <v>642.357316</v>
      </c>
      <c r="I32" s="55" t="s">
        <v>154</v>
      </c>
      <c r="J32" s="55" t="s">
        <v>180</v>
      </c>
      <c r="K32" s="45" t="n">
        <f aca="false">IF(ISNUMBER($P$7),G32*$P$7,0)</f>
        <v>833066.137189924</v>
      </c>
      <c r="L32" s="56" t="n">
        <f aca="false">'INST. INC'!$J$7</f>
        <v>832736.706684734</v>
      </c>
      <c r="M32" s="45" t="n">
        <f aca="false">L32-K32</f>
        <v>-329.430505190161</v>
      </c>
      <c r="N32" s="47" t="str">
        <f aca="false">IF(D32="","",IF('INST. INC'!$K$8&gt;'INST. INC'!$K$6+0.01,"⚠ Incorrido acima da meta em INCC",IF(AND('INST. INC'!$K$18&gt;1,'INST. INC'!$K$17=0),"⚠ Saldo sem curva (preencha a coluna H da aba)",IF(ABS('INST. INC'!$D$80)&gt;0.01,"⚠ Verificar","OK"))))</f>
        <v>OK</v>
      </c>
      <c r="O32" s="57" t="str">
        <f aca="false">'INST. INC'!$K$16</f>
        <v>PREVISÃO INFORMADA</v>
      </c>
      <c r="P32" s="58" t="n">
        <f aca="false">'INST. INC'!$K$14</f>
        <v>0</v>
      </c>
      <c r="Q32" s="55" t="s">
        <v>179</v>
      </c>
      <c r="R32" s="55"/>
      <c r="S32" s="59"/>
    </row>
    <row r="33" customFormat="false" ht="15" hidden="false" customHeight="false" outlineLevel="0" collapsed="false">
      <c r="B33" s="55" t="s">
        <v>181</v>
      </c>
      <c r="C33" s="55" t="s">
        <v>182</v>
      </c>
      <c r="D33" s="55" t="s">
        <v>183</v>
      </c>
      <c r="E33" s="44" t="n">
        <f aca="false">IF($F$50=0,0,F33/$F$50)</f>
        <v>0.0177659651970689</v>
      </c>
      <c r="F33" s="49" t="n">
        <v>2684762.92</v>
      </c>
      <c r="G33" s="49" t="n">
        <v>2206.583122</v>
      </c>
      <c r="H33" s="45" t="n">
        <f aca="false">MAX(G33*IF(S33="",1,S33),'INST. ESP'!$K$8)</f>
        <v>2206.583122</v>
      </c>
      <c r="I33" s="55" t="s">
        <v>154</v>
      </c>
      <c r="J33" s="55" t="s">
        <v>183</v>
      </c>
      <c r="K33" s="45" t="n">
        <f aca="false">IF(ISNUMBER($P$7),G33*$P$7,0)</f>
        <v>2861693.37850746</v>
      </c>
      <c r="L33" s="56" t="n">
        <f aca="false">'INST. ESP'!$J$7</f>
        <v>2860561.74074991</v>
      </c>
      <c r="M33" s="45" t="n">
        <f aca="false">L33-K33</f>
        <v>-1131.63775754999</v>
      </c>
      <c r="N33" s="47" t="str">
        <f aca="false">IF(D33="","",IF('INST. ESP'!$K$8&gt;'INST. ESP'!$K$6+0.01,"⚠ Incorrido acima da meta em INCC",IF(AND('INST. ESP'!$K$18&gt;1,'INST. ESP'!$K$17=0),"⚠ Saldo sem curva (preencha a coluna H da aba)",IF(ABS('INST. ESP'!$D$80)&gt;0.01,"⚠ Verificar","OK"))))</f>
        <v>OK</v>
      </c>
      <c r="O33" s="57" t="str">
        <f aca="false">'INST. ESP'!$K$16</f>
        <v>PREVISÃO INFORMADA</v>
      </c>
      <c r="P33" s="58" t="n">
        <f aca="false">'INST. ESP'!$K$14</f>
        <v>0</v>
      </c>
      <c r="Q33" s="55" t="s">
        <v>182</v>
      </c>
      <c r="R33" s="55"/>
      <c r="S33" s="59"/>
    </row>
    <row r="34" customFormat="false" ht="15" hidden="false" customHeight="false" outlineLevel="0" collapsed="false">
      <c r="B34" s="55" t="s">
        <v>184</v>
      </c>
      <c r="C34" s="55" t="s">
        <v>185</v>
      </c>
      <c r="D34" s="55" t="s">
        <v>186</v>
      </c>
      <c r="E34" s="44" t="n">
        <f aca="false">IF($F$50=0,0,F34/$F$50)</f>
        <v>0.0214148884260953</v>
      </c>
      <c r="F34" s="49" t="n">
        <v>3236182.09</v>
      </c>
      <c r="G34" s="49" t="n">
        <v>2659.789702</v>
      </c>
      <c r="H34" s="45" t="n">
        <f aca="false">MAX(G34*IF(S34="",1,S34),'ELEVADORES '!$K$8)</f>
        <v>2659.789702</v>
      </c>
      <c r="I34" s="55" t="s">
        <v>154</v>
      </c>
      <c r="J34" s="55" t="s">
        <v>187</v>
      </c>
      <c r="K34" s="45" t="n">
        <f aca="false">IF(ISNUMBER($P$7),G34*$P$7,0)</f>
        <v>3449452.00683708</v>
      </c>
      <c r="L34" s="56" t="n">
        <f aca="false">'ELEVADORES '!$J$7</f>
        <v>3448087.94380953</v>
      </c>
      <c r="M34" s="45" t="n">
        <f aca="false">L34-K34</f>
        <v>-1364.06302754674</v>
      </c>
      <c r="N34" s="47" t="str">
        <f aca="false"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>OK</v>
      </c>
      <c r="O34" s="57" t="str">
        <f aca="false">'ELEVADORES '!$K$16</f>
        <v>PREVISÃO INFORMADA</v>
      </c>
      <c r="P34" s="58" t="n">
        <f aca="false">'ELEVADORES '!$K$14</f>
        <v>0</v>
      </c>
      <c r="Q34" s="55" t="s">
        <v>185</v>
      </c>
      <c r="R34" s="55"/>
      <c r="S34" s="59"/>
    </row>
    <row r="35" customFormat="false" ht="15" hidden="false" customHeight="false" outlineLevel="0" collapsed="false">
      <c r="B35" s="55" t="s">
        <v>188</v>
      </c>
      <c r="C35" s="55" t="s">
        <v>189</v>
      </c>
      <c r="D35" s="55" t="s">
        <v>190</v>
      </c>
      <c r="E35" s="44" t="n">
        <f aca="false">IF($F$50=0,0,F35/$F$50)</f>
        <v>0.0739915537542405</v>
      </c>
      <c r="F35" s="49" t="n">
        <v>11181479.74</v>
      </c>
      <c r="G35" s="49" t="n">
        <v>9189.960224</v>
      </c>
      <c r="H35" s="45" t="n">
        <f aca="false">MAX(G35*IF(S35="",1,S35),ESQUADRIAS!$K$8)</f>
        <v>9189.960224</v>
      </c>
      <c r="I35" s="55" t="s">
        <v>154</v>
      </c>
      <c r="J35" s="55" t="s">
        <v>191</v>
      </c>
      <c r="K35" s="45" t="n">
        <f aca="false">IF(ISNUMBER($P$7),G35*$P$7,0)</f>
        <v>11918358.3249431</v>
      </c>
      <c r="L35" s="56" t="n">
        <f aca="false">ESQUADRIAS!$J$7</f>
        <v>11913645.2888122</v>
      </c>
      <c r="M35" s="45" t="n">
        <f aca="false">L35-K35</f>
        <v>-4713.03613092378</v>
      </c>
      <c r="N35" s="47" t="str">
        <f aca="false">IF(D35="","",IF(ESQUADRIAS!$K$8&gt;ESQUADRIAS!$K$6+0.01,"⚠ Incorrido acima da meta em INCC",IF(AND(ESQUADRIAS!$K$18&gt;1,ESQUADRIAS!$K$17=0),"⚠ Saldo sem curva (preencha a coluna H da aba)",IF(ABS(ESQUADRIAS!$D$80)&gt;0.01,"⚠ Verificar","OK"))))</f>
        <v>OK</v>
      </c>
      <c r="O35" s="57" t="str">
        <f aca="false">ESQUADRIAS!$K$16</f>
        <v>PREVISÃO INFORMADA</v>
      </c>
      <c r="P35" s="58" t="n">
        <f aca="false">ESQUADRIAS!$K$14</f>
        <v>0</v>
      </c>
      <c r="Q35" s="55" t="s">
        <v>189</v>
      </c>
      <c r="R35" s="55"/>
      <c r="S35" s="59"/>
    </row>
    <row r="36" customFormat="false" ht="15" hidden="false" customHeight="false" outlineLevel="0" collapsed="false">
      <c r="B36" s="55" t="s">
        <v>192</v>
      </c>
      <c r="C36" s="55" t="s">
        <v>193</v>
      </c>
      <c r="D36" s="55" t="s">
        <v>194</v>
      </c>
      <c r="E36" s="44" t="n">
        <f aca="false">IF($F$50=0,0,F36/$F$50)</f>
        <v>0.00319462750046538</v>
      </c>
      <c r="F36" s="49" t="n">
        <v>482766.76</v>
      </c>
      <c r="G36" s="49" t="n">
        <v>396.781767</v>
      </c>
      <c r="H36" s="45" t="n">
        <f aca="false">MAX(G36*IF(S36="",1,S36),SERRALHERIA!$K$8)</f>
        <v>396.781767</v>
      </c>
      <c r="I36" s="55" t="s">
        <v>154</v>
      </c>
      <c r="J36" s="55" t="s">
        <v>194</v>
      </c>
      <c r="K36" s="45" t="n">
        <f aca="false">IF(ISNUMBER($P$7),G36*$P$7,0)</f>
        <v>514581.909022863</v>
      </c>
      <c r="L36" s="56" t="n">
        <f aca="false">SERRALHERIA!$J$7</f>
        <v>514378.421003505</v>
      </c>
      <c r="M36" s="45" t="n">
        <f aca="false">L36-K36</f>
        <v>-203.488019358134</v>
      </c>
      <c r="N36" s="47" t="str">
        <f aca="false">IF(D36="","",IF(SERRALHERIA!$K$8&gt;SERRALHERIA!$K$6+0.01,"⚠ Incorrido acima da meta em INCC",IF(AND(SERRALHERIA!$K$18&gt;1,SERRALHERIA!$K$17=0),"⚠ Saldo sem curva (preencha a coluna H da aba)",IF(ABS(SERRALHERIA!$D$80)&gt;0.01,"⚠ Verificar","OK"))))</f>
        <v>OK</v>
      </c>
      <c r="O36" s="57" t="str">
        <f aca="false">SERRALHERIA!$K$16</f>
        <v>PREVISÃO INFORMADA</v>
      </c>
      <c r="P36" s="58" t="n">
        <f aca="false">SERRALHERIA!$K$14</f>
        <v>0</v>
      </c>
      <c r="Q36" s="55" t="s">
        <v>193</v>
      </c>
      <c r="R36" s="55"/>
      <c r="S36" s="59"/>
    </row>
    <row r="37" customFormat="false" ht="15" hidden="false" customHeight="false" outlineLevel="0" collapsed="false">
      <c r="B37" s="55" t="s">
        <v>195</v>
      </c>
      <c r="C37" s="55" t="s">
        <v>196</v>
      </c>
      <c r="D37" s="55" t="s">
        <v>197</v>
      </c>
      <c r="E37" s="44" t="n">
        <f aca="false">IF($F$50=0,0,F37/$F$50)</f>
        <v>0.0197022322785262</v>
      </c>
      <c r="F37" s="49" t="n">
        <v>2977368.36</v>
      </c>
      <c r="G37" s="49" t="n">
        <v>2447.072966</v>
      </c>
      <c r="H37" s="45" t="n">
        <f aca="false">MAX(G37*IF(S37="",1,S37),MARCENARIA!$K$8)</f>
        <v>2447.072966</v>
      </c>
      <c r="I37" s="55" t="s">
        <v>154</v>
      </c>
      <c r="J37" s="55" t="s">
        <v>197</v>
      </c>
      <c r="K37" s="45" t="n">
        <f aca="false">IF(ISNUMBER($P$7),G37*$P$7,0)</f>
        <v>3173582.01180277</v>
      </c>
      <c r="L37" s="56" t="n">
        <f aca="false">MARCENARIA!$J$7</f>
        <v>3172327.03974385</v>
      </c>
      <c r="M37" s="45" t="n">
        <f aca="false">L37-K37</f>
        <v>-1254.97205892578</v>
      </c>
      <c r="N37" s="47" t="str">
        <f aca="false">IF(D37="","",IF(MARCENARIA!$K$8&gt;MARCENARIA!$K$6+0.01,"⚠ Incorrido acima da meta em INCC",IF(AND(MARCENARIA!$K$18&gt;1,MARCENARIA!$K$17=0),"⚠ Saldo sem curva (preencha a coluna H da aba)",IF(ABS(MARCENARIA!$D$80)&gt;0.01,"⚠ Verificar","OK"))))</f>
        <v>OK</v>
      </c>
      <c r="O37" s="57" t="str">
        <f aca="false">MARCENARIA!$K$16</f>
        <v>PREVISÃO INFORMADA</v>
      </c>
      <c r="P37" s="58" t="n">
        <f aca="false">MARCENARIA!$K$14</f>
        <v>0</v>
      </c>
      <c r="Q37" s="55" t="s">
        <v>196</v>
      </c>
      <c r="R37" s="55"/>
      <c r="S37" s="59"/>
    </row>
    <row r="38" customFormat="false" ht="15" hidden="false" customHeight="false" outlineLevel="0" collapsed="false">
      <c r="B38" s="55" t="s">
        <v>198</v>
      </c>
      <c r="C38" s="55" t="s">
        <v>199</v>
      </c>
      <c r="D38" s="55" t="s">
        <v>200</v>
      </c>
      <c r="E38" s="44" t="n">
        <f aca="false">IF($F$50=0,0,F38/$F$50)</f>
        <v>0.00725308014691125</v>
      </c>
      <c r="F38" s="49" t="n">
        <v>1096073.33</v>
      </c>
      <c r="G38" s="49" t="n">
        <v>900.853067</v>
      </c>
      <c r="H38" s="45" t="n">
        <f aca="false">MAX(G38*IF(S38="",1,S38),'REV. PISOS'!$K$8)</f>
        <v>900.853067</v>
      </c>
      <c r="I38" s="55" t="s">
        <v>154</v>
      </c>
      <c r="J38" s="55" t="s">
        <v>200</v>
      </c>
      <c r="K38" s="45" t="n">
        <f aca="false">IF(ISNUMBER($P$7),G38*$P$7,0)</f>
        <v>1168306.43320856</v>
      </c>
      <c r="L38" s="56" t="n">
        <f aca="false">'REV. PISOS'!$J$7</f>
        <v>1167844.43414111</v>
      </c>
      <c r="M38" s="45" t="n">
        <f aca="false">L38-K38</f>
        <v>-461.999067453668</v>
      </c>
      <c r="N38" s="47" t="str">
        <f aca="false">IF(D38="","",IF('REV. PISOS'!$K$8&gt;'REV. PISOS'!$K$6+0.01,"⚠ Incorrido acima da meta em INCC",IF(AND('REV. PISOS'!$K$18&gt;1,'REV. PISOS'!$K$17=0),"⚠ Saldo sem curva (preencha a coluna H da aba)",IF(ABS('REV. PISOS'!$D$80)&gt;0.01,"⚠ Verificar","OK"))))</f>
        <v>OK</v>
      </c>
      <c r="O38" s="57" t="str">
        <f aca="false">'REV. PISOS'!$K$16</f>
        <v>PREVISÃO INFORMADA</v>
      </c>
      <c r="P38" s="58" t="n">
        <f aca="false">'REV. PISOS'!$K$14</f>
        <v>0</v>
      </c>
      <c r="Q38" s="55" t="s">
        <v>199</v>
      </c>
      <c r="R38" s="55"/>
      <c r="S38" s="59"/>
    </row>
    <row r="39" customFormat="false" ht="15" hidden="false" customHeight="false" outlineLevel="0" collapsed="false">
      <c r="B39" s="55" t="s">
        <v>201</v>
      </c>
      <c r="C39" s="55" t="s">
        <v>202</v>
      </c>
      <c r="D39" s="55" t="s">
        <v>203</v>
      </c>
      <c r="E39" s="44" t="n">
        <f aca="false">IF($F$50=0,0,F39/$F$50)</f>
        <v>0.0166637049058714</v>
      </c>
      <c r="F39" s="49" t="n">
        <v>2518191.19</v>
      </c>
      <c r="G39" s="49" t="n">
        <v>2069.679275</v>
      </c>
      <c r="H39" s="45" t="n">
        <f aca="false">MAX(G39*IF(S39="",1,S39),'REV. PAREDE'!$K$8)</f>
        <v>2069.679275</v>
      </c>
      <c r="I39" s="55" t="s">
        <v>154</v>
      </c>
      <c r="J39" s="55" t="s">
        <v>203</v>
      </c>
      <c r="K39" s="45" t="n">
        <f aca="false">IF(ISNUMBER($P$7),G39*$P$7,0)</f>
        <v>2684144.28527547</v>
      </c>
      <c r="L39" s="56" t="n">
        <f aca="false">'REV. PAREDE'!$J$7</f>
        <v>2683082.85813491</v>
      </c>
      <c r="M39" s="45" t="n">
        <f aca="false">L39-K39</f>
        <v>-1061.42714056838</v>
      </c>
      <c r="N39" s="47" t="str">
        <f aca="false"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>OK</v>
      </c>
      <c r="O39" s="57" t="str">
        <f aca="false">'REV. PAREDE'!$K$16</f>
        <v>PREVISÃO INFORMADA</v>
      </c>
      <c r="P39" s="58" t="n">
        <f aca="false">'REV. PAREDE'!$K$14</f>
        <v>0</v>
      </c>
      <c r="Q39" s="55" t="s">
        <v>202</v>
      </c>
      <c r="R39" s="55"/>
      <c r="S39" s="59"/>
    </row>
    <row r="40" customFormat="false" ht="15" hidden="false" customHeight="false" outlineLevel="0" collapsed="false">
      <c r="B40" s="55" t="s">
        <v>204</v>
      </c>
      <c r="C40" s="55" t="s">
        <v>205</v>
      </c>
      <c r="D40" s="55" t="s">
        <v>206</v>
      </c>
      <c r="E40" s="44" t="n">
        <f aca="false">IF($F$50=0,0,F40/$F$50)</f>
        <v>0.0688358356442932</v>
      </c>
      <c r="F40" s="49" t="n">
        <v>10402356.25</v>
      </c>
      <c r="G40" s="49" t="n">
        <v>8549.605448</v>
      </c>
      <c r="H40" s="45" t="n">
        <f aca="false">MAX(G40*IF(S40="",1,S40),'REV. ACAB'!$K$8)</f>
        <v>8549.605448</v>
      </c>
      <c r="I40" s="55" t="s">
        <v>154</v>
      </c>
      <c r="J40" s="55" t="s">
        <v>206</v>
      </c>
      <c r="K40" s="45" t="n">
        <f aca="false">IF(ISNUMBER($P$7),G40*$P$7,0)</f>
        <v>11087889.2598513</v>
      </c>
      <c r="L40" s="56" t="n">
        <f aca="false">'REV. ACAB'!$J$7</f>
        <v>11083504.6272305</v>
      </c>
      <c r="M40" s="45" t="n">
        <f aca="false">L40-K40</f>
        <v>-4384.63262075</v>
      </c>
      <c r="N40" s="47" t="str">
        <f aca="false">IF(D40="","",IF('REV. ACAB'!$K$8&gt;'REV. ACAB'!$K$6+0.01,"⚠ Incorrido acima da meta em INCC",IF(AND('REV. ACAB'!$K$18&gt;1,'REV. ACAB'!$K$17=0),"⚠ Saldo sem curva (preencha a coluna H da aba)",IF(ABS('REV. ACAB'!$D$80)&gt;0.01,"⚠ Verificar","OK"))))</f>
        <v>OK</v>
      </c>
      <c r="O40" s="57" t="str">
        <f aca="false">'REV. ACAB'!$K$16</f>
        <v>PREVISÃO INFORMADA</v>
      </c>
      <c r="P40" s="58" t="n">
        <f aca="false">'REV. ACAB'!$K$14</f>
        <v>0</v>
      </c>
      <c r="Q40" s="55" t="s">
        <v>205</v>
      </c>
      <c r="R40" s="55"/>
      <c r="S40" s="59"/>
    </row>
    <row r="41" customFormat="false" ht="15" hidden="false" customHeight="false" outlineLevel="0" collapsed="false">
      <c r="B41" s="55" t="s">
        <v>207</v>
      </c>
      <c r="C41" s="55" t="s">
        <v>208</v>
      </c>
      <c r="D41" s="55" t="s">
        <v>209</v>
      </c>
      <c r="E41" s="44" t="n">
        <f aca="false">IF($F$50=0,0,F41/$F$50)</f>
        <v>0.000707364042757774</v>
      </c>
      <c r="F41" s="49" t="n">
        <v>106895.67</v>
      </c>
      <c r="G41" s="49" t="n">
        <v>87.856614</v>
      </c>
      <c r="H41" s="45" t="n">
        <f aca="false">MAX(G41*IF(S41="",1,S41),PAVIMENTAÇÃO!$K$8)</f>
        <v>87.856614</v>
      </c>
      <c r="I41" s="55" t="s">
        <v>154</v>
      </c>
      <c r="J41" s="55" t="s">
        <v>210</v>
      </c>
      <c r="K41" s="45" t="n">
        <f aca="false">IF(ISNUMBER($P$7),G41*$P$7,0)</f>
        <v>113940.276273846</v>
      </c>
      <c r="L41" s="56" t="n">
        <f aca="false">PAVIMENTAÇÃO!$J$7</f>
        <v>113895.219343671</v>
      </c>
      <c r="M41" s="45" t="n">
        <f aca="false">L41-K41</f>
        <v>-45.0569301748474</v>
      </c>
      <c r="N41" s="47" t="str">
        <f aca="false">IF(D41="","",IF(PAVIMENTAÇÃO!$K$8&gt;PAVIMENTAÇÃO!$K$6+0.01,"⚠ Incorrido acima da meta em INCC",IF(AND(PAVIMENTAÇÃO!$K$18&gt;1,PAVIMENTAÇÃO!$K$17=0),"⚠ Saldo sem curva (preencha a coluna H da aba)",IF(ABS(PAVIMENTAÇÃO!$D$80)&gt;0.01,"⚠ Verificar","OK"))))</f>
        <v>OK</v>
      </c>
      <c r="O41" s="57" t="str">
        <f aca="false">PAVIMENTAÇÃO!$K$16</f>
        <v>PREVISÃO INFORMADA</v>
      </c>
      <c r="P41" s="58" t="n">
        <f aca="false">PAVIMENTAÇÃO!$K$14</f>
        <v>0</v>
      </c>
      <c r="Q41" s="55" t="s">
        <v>208</v>
      </c>
      <c r="R41" s="55"/>
      <c r="S41" s="59"/>
    </row>
    <row r="42" customFormat="false" ht="15" hidden="false" customHeight="false" outlineLevel="0" collapsed="false">
      <c r="B42" s="55" t="s">
        <v>211</v>
      </c>
      <c r="C42" s="55" t="s">
        <v>212</v>
      </c>
      <c r="D42" s="55" t="s">
        <v>213</v>
      </c>
      <c r="E42" s="44" t="n">
        <f aca="false">IF($F$50=0,0,F42/$F$50)</f>
        <v>0.0334547267329384</v>
      </c>
      <c r="F42" s="49" t="n">
        <v>5055622.3</v>
      </c>
      <c r="G42" s="49" t="n">
        <v>4155.171665</v>
      </c>
      <c r="H42" s="45" t="n">
        <f aca="false">MAX(G42*IF(S42="",1,S42),'REV. FACHADA'!$K$8)</f>
        <v>4155.171665</v>
      </c>
      <c r="I42" s="55" t="s">
        <v>154</v>
      </c>
      <c r="J42" s="55" t="s">
        <v>213</v>
      </c>
      <c r="K42" s="45" t="n">
        <f aca="false">IF(ISNUMBER($P$7),G42*$P$7,0)</f>
        <v>5388796.42545018</v>
      </c>
      <c r="L42" s="56" t="n">
        <f aca="false">'REV. FACHADA'!$J$7</f>
        <v>5386665.46147319</v>
      </c>
      <c r="M42" s="45" t="n">
        <f aca="false">L42-K42</f>
        <v>-2130.96397699229</v>
      </c>
      <c r="N42" s="47" t="str">
        <f aca="false"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>OK</v>
      </c>
      <c r="O42" s="57" t="str">
        <f aca="false">'REV. FACHADA'!$K$16</f>
        <v>PREVISÃO INFORMADA</v>
      </c>
      <c r="P42" s="58" t="n">
        <f aca="false">'REV. FACHADA'!$K$14</f>
        <v>0</v>
      </c>
      <c r="Q42" s="55" t="s">
        <v>212</v>
      </c>
      <c r="R42" s="55"/>
      <c r="S42" s="59"/>
    </row>
    <row r="43" customFormat="false" ht="15" hidden="false" customHeight="false" outlineLevel="0" collapsed="false">
      <c r="B43" s="55" t="s">
        <v>214</v>
      </c>
      <c r="C43" s="55" t="s">
        <v>215</v>
      </c>
      <c r="D43" s="55" t="s">
        <v>216</v>
      </c>
      <c r="E43" s="44" t="n">
        <f aca="false">IF($F$50=0,0,F43/$F$50)</f>
        <v>0.0111868952295285</v>
      </c>
      <c r="F43" s="49" t="n">
        <v>1690544.88</v>
      </c>
      <c r="G43" s="49" t="n">
        <v>1389.444021</v>
      </c>
      <c r="H43" s="45" t="n">
        <f aca="false">MAX(G43*IF(S43="",1,S43),FORRO!$K$8)</f>
        <v>1389.444021</v>
      </c>
      <c r="I43" s="55" t="s">
        <v>154</v>
      </c>
      <c r="J43" s="55" t="s">
        <v>217</v>
      </c>
      <c r="K43" s="45" t="n">
        <f aca="false">IF(ISNUMBER($P$7),G43*$P$7,0)</f>
        <v>1801954.66695067</v>
      </c>
      <c r="L43" s="56" t="n">
        <f aca="false">FORRO!$J$7</f>
        <v>1801242.09587166</v>
      </c>
      <c r="M43" s="45" t="n">
        <f aca="false">L43-K43</f>
        <v>-712.571079009213</v>
      </c>
      <c r="N43" s="47" t="str">
        <f aca="false">IF(D43="","",IF(FORRO!$K$8&gt;FORRO!$K$6+0.01,"⚠ Incorrido acima da meta em INCC",IF(AND(FORRO!$K$18&gt;1,FORRO!$K$17=0),"⚠ Saldo sem curva (preencha a coluna H da aba)",IF(ABS(FORRO!$D$80)&gt;0.01,"⚠ Verificar","OK"))))</f>
        <v>OK</v>
      </c>
      <c r="O43" s="57" t="str">
        <f aca="false">FORRO!$K$16</f>
        <v>PREVISÃO INFORMADA</v>
      </c>
      <c r="P43" s="58" t="n">
        <f aca="false">FORRO!$K$14</f>
        <v>0</v>
      </c>
      <c r="Q43" s="55" t="s">
        <v>215</v>
      </c>
      <c r="R43" s="55"/>
      <c r="S43" s="59"/>
    </row>
    <row r="44" customFormat="false" ht="15" hidden="false" customHeight="false" outlineLevel="0" collapsed="false">
      <c r="B44" s="55" t="s">
        <v>218</v>
      </c>
      <c r="C44" s="55" t="s">
        <v>219</v>
      </c>
      <c r="D44" s="55" t="s">
        <v>220</v>
      </c>
      <c r="E44" s="44" t="n">
        <f aca="false">IF($F$50=0,0,F44/$F$50)</f>
        <v>0.0135695885108692</v>
      </c>
      <c r="F44" s="49" t="n">
        <v>2050613.5</v>
      </c>
      <c r="G44" s="49" t="n">
        <v>1685.381265</v>
      </c>
      <c r="H44" s="45" t="n">
        <f aca="false">MAX(G44*IF(S44="",1,S44),LOUÇAS!$K$8)</f>
        <v>1685.381265</v>
      </c>
      <c r="I44" s="55" t="s">
        <v>154</v>
      </c>
      <c r="J44" s="55" t="s">
        <v>221</v>
      </c>
      <c r="K44" s="45" t="n">
        <f aca="false">IF(ISNUMBER($P$7),G44*$P$7,0)</f>
        <v>2185752.42338459</v>
      </c>
      <c r="L44" s="56" t="n">
        <f aca="false">LOUÇAS!$J$7</f>
        <v>2184888.0820161</v>
      </c>
      <c r="M44" s="45" t="n">
        <f aca="false">L44-K44</f>
        <v>-864.341368484311</v>
      </c>
      <c r="N44" s="47" t="str">
        <f aca="false">IF(D44="","",IF(LOUÇAS!$K$8&gt;LOUÇAS!$K$6+0.01,"⚠ Incorrido acima da meta em INCC",IF(AND(LOUÇAS!$K$18&gt;1,LOUÇAS!$K$17=0),"⚠ Saldo sem curva (preencha a coluna H da aba)",IF(ABS(LOUÇAS!$D$80)&gt;0.01,"⚠ Verificar","OK"))))</f>
        <v>OK</v>
      </c>
      <c r="O44" s="57" t="str">
        <f aca="false">LOUÇAS!$K$16</f>
        <v>MDO PREVISION + MATERIAL PREMISSA</v>
      </c>
      <c r="P44" s="58" t="n">
        <f aca="false">LOUÇAS!$K$14</f>
        <v>0</v>
      </c>
      <c r="Q44" s="55" t="s">
        <v>219</v>
      </c>
      <c r="R44" s="55"/>
      <c r="S44" s="59"/>
    </row>
    <row r="45" customFormat="false" ht="15" hidden="false" customHeight="false" outlineLevel="0" collapsed="false">
      <c r="B45" s="55" t="s">
        <v>222</v>
      </c>
      <c r="C45" s="55" t="s">
        <v>223</v>
      </c>
      <c r="D45" s="55" t="s">
        <v>224</v>
      </c>
      <c r="E45" s="44" t="n">
        <f aca="false">IF($F$50=0,0,F45/$F$50)</f>
        <v>0.0243302518483867</v>
      </c>
      <c r="F45" s="49" t="n">
        <v>3676746.93</v>
      </c>
      <c r="G45" s="49" t="n">
        <v>3021.886086</v>
      </c>
      <c r="H45" s="45" t="n">
        <f aca="false">MAX(G45*IF(S45="",1,S45),PINTURA!$K$8)</f>
        <v>3021.886086</v>
      </c>
      <c r="I45" s="55" t="s">
        <v>154</v>
      </c>
      <c r="J45" s="55" t="s">
        <v>225</v>
      </c>
      <c r="K45" s="45" t="n">
        <f aca="false">IF(ISNUMBER($P$7),G45*$P$7,0)</f>
        <v>3919050.82418645</v>
      </c>
      <c r="L45" s="56" t="n">
        <f aca="false">PINTURA!$J$7</f>
        <v>3917501.06140623</v>
      </c>
      <c r="M45" s="45" t="n">
        <f aca="false">L45-K45</f>
        <v>-1549.76278021885</v>
      </c>
      <c r="N45" s="47" t="str">
        <f aca="false">IF(D45="","",IF(PINTURA!$K$8&gt;PINTURA!$K$6+0.01,"⚠ Incorrido acima da meta em INCC",IF(AND(PINTURA!$K$18&gt;1,PINTURA!$K$17=0),"⚠ Saldo sem curva (preencha a coluna H da aba)",IF(ABS(PINTURA!$D$80)&gt;0.01,"⚠ Verificar","OK"))))</f>
        <v>OK</v>
      </c>
      <c r="O45" s="57" t="str">
        <f aca="false">PINTURA!$K$16</f>
        <v>PREVISÃO INFORMADA</v>
      </c>
      <c r="P45" s="58" t="n">
        <f aca="false">PINTURA!$K$14</f>
        <v>0</v>
      </c>
      <c r="Q45" s="55" t="s">
        <v>223</v>
      </c>
      <c r="R45" s="55"/>
      <c r="S45" s="59"/>
    </row>
    <row r="46" customFormat="false" ht="15" hidden="false" customHeight="false" outlineLevel="0" collapsed="false">
      <c r="B46" s="55" t="s">
        <v>226</v>
      </c>
      <c r="C46" s="55" t="s">
        <v>227</v>
      </c>
      <c r="D46" s="55" t="s">
        <v>228</v>
      </c>
      <c r="E46" s="44" t="n">
        <f aca="false">IF($F$50=0,0,F46/$F$50)</f>
        <v>0.0073915562044264</v>
      </c>
      <c r="F46" s="49" t="n">
        <v>1116999.6</v>
      </c>
      <c r="G46" s="49" t="n">
        <v>918.052182</v>
      </c>
      <c r="H46" s="45" t="n">
        <f aca="false">MAX(G46*IF(S46="",1,S46),PAISAGISMO!$K$8)</f>
        <v>918.052182</v>
      </c>
      <c r="I46" s="55" t="s">
        <v>154</v>
      </c>
      <c r="J46" s="55" t="s">
        <v>228</v>
      </c>
      <c r="K46" s="45" t="n">
        <f aca="false">IF(ISNUMBER($P$7),G46*$P$7,0)</f>
        <v>1190611.7762618</v>
      </c>
      <c r="L46" s="56" t="n">
        <f aca="false">PAISAGISMO!$J$7</f>
        <v>1190140.95669366</v>
      </c>
      <c r="M46" s="45" t="n">
        <f aca="false">L46-K46</f>
        <v>-470.819568134612</v>
      </c>
      <c r="N46" s="47" t="str">
        <f aca="false">IF(D46="","",IF(PAISAGISMO!$K$8&gt;PAISAGISMO!$K$6+0.01,"⚠ Incorrido acima da meta em INCC",IF(AND(PAISAGISMO!$K$18&gt;1,PAISAGISMO!$K$17=0),"⚠ Saldo sem curva (preencha a coluna H da aba)",IF(ABS(PAISAGISMO!$D$80)&gt;0.01,"⚠ Verificar","OK"))))</f>
        <v>OK</v>
      </c>
      <c r="O46" s="57" t="str">
        <f aca="false">PAISAGISMO!$K$16</f>
        <v>PREVISÃO INFORMADA</v>
      </c>
      <c r="P46" s="58" t="n">
        <f aca="false">PAISAGISMO!$K$14</f>
        <v>0</v>
      </c>
      <c r="Q46" s="55" t="s">
        <v>227</v>
      </c>
      <c r="R46" s="55"/>
      <c r="S46" s="59"/>
    </row>
    <row r="47" customFormat="false" ht="15" hidden="false" customHeight="false" outlineLevel="0" collapsed="false">
      <c r="B47" s="55" t="s">
        <v>229</v>
      </c>
      <c r="C47" s="55" t="s">
        <v>230</v>
      </c>
      <c r="D47" s="55" t="s">
        <v>231</v>
      </c>
      <c r="E47" s="44" t="n">
        <f aca="false">IF($F$50=0,0,F47/$F$50)</f>
        <v>0.00587464560795554</v>
      </c>
      <c r="F47" s="49" t="n">
        <v>887766.61</v>
      </c>
      <c r="G47" s="49" t="n">
        <v>729.647598</v>
      </c>
      <c r="H47" s="45" t="n">
        <f aca="false">MAX(G47*IF(S47="",1,S47),LIMPEZA!$K$8)</f>
        <v>729.647598</v>
      </c>
      <c r="I47" s="55" t="s">
        <v>154</v>
      </c>
      <c r="J47" s="55" t="s">
        <v>231</v>
      </c>
      <c r="K47" s="45" t="n">
        <f aca="false">IF(ISNUMBER($P$7),G47*$P$7,0)</f>
        <v>946271.943722622</v>
      </c>
      <c r="L47" s="56" t="n">
        <f aca="false">LIMPEZA!$J$7</f>
        <v>945897.746728468</v>
      </c>
      <c r="M47" s="45" t="n">
        <f aca="false">L47-K47</f>
        <v>-374.196994153899</v>
      </c>
      <c r="N47" s="47" t="str">
        <f aca="false">IF(D47="","",IF(LIMPEZA!$K$8&gt;LIMPEZA!$K$6+0.01,"⚠ Incorrido acima da meta em INCC",IF(AND(LIMPEZA!$K$18&gt;1,LIMPEZA!$K$17=0),"⚠ Saldo sem curva (preencha a coluna H da aba)",IF(ABS(LIMPEZA!$D$80)&gt;0.01,"⚠ Verificar","OK"))))</f>
        <v>OK</v>
      </c>
      <c r="O47" s="57" t="str">
        <f aca="false">LIMPEZA!$K$16</f>
        <v>PREVISÃO INFORMADA</v>
      </c>
      <c r="P47" s="58" t="n">
        <f aca="false">LIMPEZA!$K$14</f>
        <v>0</v>
      </c>
      <c r="Q47" s="55" t="s">
        <v>230</v>
      </c>
      <c r="R47" s="55"/>
      <c r="S47" s="59"/>
    </row>
    <row r="48" customFormat="false" ht="15" hidden="false" customHeight="false" outlineLevel="0" collapsed="false">
      <c r="B48" s="55"/>
      <c r="C48" s="55" t="s">
        <v>232</v>
      </c>
      <c r="D48" s="55" t="s">
        <v>80</v>
      </c>
      <c r="E48" s="44" t="n">
        <f aca="false">IF($F$50=0,0,F48/$F$50)</f>
        <v>0.00374610614780713</v>
      </c>
      <c r="F48" s="49" t="n">
        <v>566105.29</v>
      </c>
      <c r="G48" s="49" t="n">
        <v>477</v>
      </c>
      <c r="H48" s="56" t="n">
        <f aca="false">'TAX. ADM'!$K$8</f>
        <v>476.964710261372</v>
      </c>
      <c r="I48" s="55" t="s">
        <v>126</v>
      </c>
      <c r="J48" s="55" t="s">
        <v>80</v>
      </c>
      <c r="K48" s="45" t="n">
        <f aca="false">IF(ISNUMBER($P$7),G48*$P$7,0)</f>
        <v>618616.053</v>
      </c>
      <c r="L48" s="56" t="n">
        <f aca="false">'TAX. ADM'!$J$7</f>
        <v>566105.29</v>
      </c>
      <c r="M48" s="45" t="n">
        <f aca="false">L48-K48</f>
        <v>-52510.7629999999</v>
      </c>
      <c r="N48" s="47" t="str">
        <f aca="false">IF(D48="","",IF('TAX. ADM'!$K$8&gt;'TAX. ADM'!$K$6+0.01,"⚠ Incorrido acima da meta em INCC",IF(AND('TAX. ADM'!$K$18&gt;1,'TAX. ADM'!$K$17=0),"⚠ Saldo sem curva (preencha a coluna H da aba)",IF(ABS('TAX. ADM'!$D$80)&gt;0.01,"⚠ Verificar","OK"))))</f>
        <v>OK</v>
      </c>
      <c r="O48" s="57" t="str">
        <f aca="false">'TAX. ADM'!$K$16</f>
        <v>SEM CURVA</v>
      </c>
      <c r="P48" s="58" t="n">
        <f aca="false">'TAX. ADM'!$K$14</f>
        <v>0</v>
      </c>
      <c r="Q48" s="55" t="s">
        <v>233</v>
      </c>
      <c r="R48" s="55"/>
      <c r="S48" s="59"/>
    </row>
    <row r="49" customFormat="false" ht="15" hidden="false" customHeight="false" outlineLevel="0" collapsed="false">
      <c r="D49" s="42" t="s">
        <v>234</v>
      </c>
      <c r="E49" s="60" t="n">
        <f aca="false">SUM(E11:E47)</f>
        <v>0.996253893852193</v>
      </c>
      <c r="F49" s="61" t="n">
        <f aca="false">SUM(F11:F47)</f>
        <v>150552220.69</v>
      </c>
      <c r="G49" s="61" t="n">
        <f aca="false">SUM(G11:G47)</f>
        <v>123737.550971</v>
      </c>
      <c r="H49" s="61" t="n">
        <f aca="false">SUM(H11:H47)</f>
        <v>123972.959897459</v>
      </c>
      <c r="K49" s="61" t="n">
        <f aca="false">SUM(K11:K47)</f>
        <v>160473868.741229</v>
      </c>
      <c r="L49" s="61" t="n">
        <f aca="false">SUM(L11:L47)</f>
        <v>159804604.589582</v>
      </c>
      <c r="M49" s="61" t="n">
        <f aca="false">SUM(M11:M47)</f>
        <v>-669264.151647319</v>
      </c>
    </row>
    <row r="50" customFormat="false" ht="15" hidden="false" customHeight="false" outlineLevel="0" collapsed="false">
      <c r="D50" s="42" t="s">
        <v>235</v>
      </c>
      <c r="E50" s="60" t="n">
        <f aca="false">SUM(E11:E48)</f>
        <v>1</v>
      </c>
      <c r="F50" s="61" t="n">
        <f aca="false">SUM(F11:F48)</f>
        <v>151118325.98</v>
      </c>
      <c r="G50" s="61" t="n">
        <f aca="false">SUM(G11:G48)</f>
        <v>124214.550971</v>
      </c>
      <c r="H50" s="61" t="n">
        <f aca="false">SUM(H11:H48)</f>
        <v>124449.92460772</v>
      </c>
      <c r="K50" s="61" t="n">
        <f aca="false">SUM(K11:K48)</f>
        <v>161092484.794229</v>
      </c>
      <c r="L50" s="61" t="n">
        <f aca="false">SUM(L11:L48)</f>
        <v>160370709.879582</v>
      </c>
      <c r="M50" s="61" t="n">
        <f aca="false">SUM(M11:M48)</f>
        <v>-721774.914647319</v>
      </c>
    </row>
    <row r="53" customFormat="false" ht="15" hidden="false" customHeight="false" outlineLevel="0" collapsed="false">
      <c r="D53" s="62" t="s">
        <v>236</v>
      </c>
      <c r="E53" s="62" t="s">
        <v>237</v>
      </c>
      <c r="F53" s="62" t="s">
        <v>238</v>
      </c>
      <c r="G53" s="62"/>
      <c r="H53" s="62"/>
    </row>
    <row r="54" customFormat="false" ht="15" hidden="false" customHeight="false" outlineLevel="0" collapsed="false">
      <c r="D54" s="47" t="s">
        <v>239</v>
      </c>
      <c r="E54" s="63" t="n">
        <f aca="false">COUNTIF(N11:N48,"⚠*")</f>
        <v>0</v>
      </c>
      <c r="F54" s="47" t="str">
        <f aca="false">IF(E54=0,"OK","⚠ Veja a coluna N")</f>
        <v>OK</v>
      </c>
      <c r="G54" s="47"/>
      <c r="H54" s="47"/>
    </row>
    <row r="55" customFormat="false" ht="15" hidden="false" customHeight="false" outlineLevel="0" collapsed="false">
      <c r="D55" s="47" t="s">
        <v>240</v>
      </c>
      <c r="E55" s="64" t="n">
        <f aca="false">'DADOS HISTORICOS'!C2</f>
        <v>0</v>
      </c>
      <c r="F55" s="47" t="str">
        <f aca="false">IF(E55=0,"OK","⚠ Veja nomes em vermelho em DADOS BRUTOS")</f>
        <v>OK</v>
      </c>
      <c r="G55" s="47"/>
      <c r="H55" s="47"/>
    </row>
    <row r="56" customFormat="false" ht="15" hidden="false" customHeight="false" outlineLevel="0" collapsed="false">
      <c r="D56" s="47" t="s">
        <v>241</v>
      </c>
      <c r="E56" s="65" t="n">
        <f aca="false">'DADOS HISTORICOS'!BX44</f>
        <v>0</v>
      </c>
      <c r="F56" s="47" t="str">
        <f aca="false">IF(ABS(E56)&lt;1,"OK","⚠ Aumente o horizonte ou revise datas")</f>
        <v>OK</v>
      </c>
      <c r="G56" s="47"/>
      <c r="H56" s="47"/>
    </row>
    <row r="57" customFormat="false" ht="15" hidden="false" customHeight="false" outlineLevel="0" collapsed="false">
      <c r="D57" s="47" t="s">
        <v>242</v>
      </c>
      <c r="E57" s="66" t="n">
        <f aca="false">IF(ISNUMBER(P7),P7,0)</f>
        <v>1296.889</v>
      </c>
      <c r="F57" s="47" t="str">
        <f aca="false">IF(COUNTIF('"INCC-FGV"'!$A$2:$A$800,P5)&gt;0,"OK",IF(E57&gt;0,"⚠ INCC do mês de corte não cadastrado: usando o último índice disponível","⚠ Inclua o índice na aba INCC-FGV"))</f>
        <v>OK</v>
      </c>
      <c r="G57" s="47"/>
      <c r="H57" s="47"/>
    </row>
    <row r="58" customFormat="false" ht="15" hidden="false" customHeight="false" outlineLevel="0" collapsed="false">
      <c r="D58" s="47" t="s">
        <v>243</v>
      </c>
      <c r="E58" s="64" t="n">
        <f aca="false"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>0</v>
      </c>
      <c r="F58" s="47" t="str">
        <f aca="false">IF(E58=0,"OK","⚠ Complete a aba INCC-FGV (há mês com desembolso sem índice)")</f>
        <v>OK</v>
      </c>
      <c r="G58" s="47"/>
      <c r="H58" s="47"/>
    </row>
    <row r="59" customFormat="false" ht="15" hidden="false" customHeight="false" outlineLevel="0" collapsed="false">
      <c r="D59" s="47" t="s">
        <v>244</v>
      </c>
      <c r="E59" s="52" t="n">
        <f aca="false">'MODELO PARA BI'!E63-'MODELO PARA BI'!E59-H50</f>
        <v>0</v>
      </c>
      <c r="F59" s="47" t="str">
        <f aca="false">IF(H50=0,"⚠ Preencha o orçamento (coluna F)",IF(ABS(E59)&lt;0.01,"OK","⚠ Distribuição em INCC diferente da meta"))</f>
        <v>OK</v>
      </c>
      <c r="G59" s="47"/>
      <c r="H59" s="47"/>
    </row>
    <row r="62" customFormat="false" ht="30" hidden="false" customHeight="true" outlineLevel="0" collapsed="false">
      <c r="D62" s="62" t="s">
        <v>245</v>
      </c>
      <c r="E62" s="54" t="s">
        <v>246</v>
      </c>
      <c r="F62" s="54" t="s">
        <v>247</v>
      </c>
      <c r="G62" s="54" t="s">
        <v>248</v>
      </c>
    </row>
    <row r="63" customFormat="false" ht="15" hidden="false" customHeight="false" outlineLevel="0" collapsed="false">
      <c r="D63" s="47" t="s">
        <v>249</v>
      </c>
      <c r="E63" s="67" t="n">
        <v>21284340.810013</v>
      </c>
      <c r="F63" s="56" t="n">
        <f aca="false">SUMPRODUCT((PROJETO!$B$5:$B$76&lt;=DATE(2026,8,1))*PROJETO!$C$5:$C$76)+SUMPRODUCT((SEGUROS!$B$5:$B$76&lt;=DATE(2026,8,1))*SEGUROS!$C$5:$C$76)+SUMPRODUCT(('TAX. DIVERSAS'!$B$5:$B$76&lt;=DATE(2026,8,1))*'TAX. DIVERSAS'!$C$5:$C$76)+SUMPRODUCT(('BARRACÃO DE OBRA'!$B$5:$B$76&lt;=DATE(2026,8,1))*'BARRACÃO DE OBRA'!$C$5:$C$76)+SUMPRODUCT(('LIG. PROVISÓRIAS'!$B$5:$B$76&lt;=DATE(2026,8,1))*'LIG. PROVISÓRIAS'!$C$5:$C$76)+SUMPRODUCT((CONSUMOS!$B$5:$B$76&lt;=DATE(2026,8,1))*CONSUMOS!$C$5:$C$76)+SUMPRODUCT((DIVERSOS!$B$5:$B$76&lt;=DATE(2026,8,1))*DIVERSOS!$C$5:$C$76)+SUMPRODUCT((TRANSPORTES!$B$5:$B$76&lt;=DATE(2026,8,1))*TRANSPORTES!$C$5:$C$76)+SUMPRODUCT((CONSULTORIAS!$B$5:$B$76&lt;=DATE(2026,8,1))*CONSULTORIAS!$C$5:$C$76)+SUMPRODUCT((MDO!$B$5:$B$76&lt;=DATE(2026,8,1))*MDO!$C$5:$C$76)+SUMPRODUCT(('EQUIP E FER'!$B$5:$B$76&lt;=DATE(2026,8,1))*'EQUIP E FER'!$C$5:$C$76)+SUMPRODUCT(('SERV. INICIAIS'!$B$5:$B$76&lt;=DATE(2026,8,1))*'SERV. INICIAIS'!$C$5:$C$76)+SUMPRODUCT((CONTENÇÃO!$B$5:$B$76&lt;=DATE(2026,8,1))*CONTENÇÃO!$C$5:$C$76)+SUMPRODUCT((TERRAPLENAGEM!$B$5:$B$76&lt;=DATE(2026,8,1))*TERRAPLENAGEM!$C$5:$C$76)+SUMPRODUCT(('FUND. PROF'!$B$5:$B$76&lt;=DATE(2026,8,1))*'FUND. PROF'!$C$5:$C$76)+SUMPRODUCT(('FUND. SUP'!$B$5:$B$76&lt;=DATE(2026,8,1))*'FUND. SUP'!$C$5:$C$76)+SUMPRODUCT((ESTRUTURA!$B$5:$B$76&lt;=DATE(2026,8,1))*ESTRUTURA!$C$5:$C$76)+SUMPRODUCT((ALVENARIA!$B$5:$B$76&lt;=DATE(2026,8,1))*ALVENARIA!$C$5:$C$76)+SUMPRODUCT((IMPERMEABILIZAÇÃO!$B$5:$B$76&lt;=DATE(2026,8,1))*IMPERMEABILIZAÇÃO!$C$5:$C$76)+SUMPRODUCT(('INST. ELÉTRICA'!$B$5:$B$76&lt;=DATE(2026,8,1))*'INST. ELÉTRICA'!$C$5:$C$76)+SUMPRODUCT(('INST. HIDRO'!$B$5:$B$76&lt;=DATE(2026,8,1))*'INST. HIDRO'!$C$5:$C$76)+SUMPRODUCT(('INST. INC'!$B$5:$B$76&lt;=DATE(2026,8,1))*'INST. INC'!$C$5:$C$76)+SUMPRODUCT(('INST. ESP'!$B$5:$B$76&lt;=DATE(2026,8,1))*'INST. ESP'!$C$5:$C$76)+SUMPRODUCT(('ELEVADORES '!$B$5:$B$76&lt;=DATE(2026,8,1))*'ELEVADORES '!$C$5:$C$76)+SUMPRODUCT((ESQUADRIAS!$B$5:$B$76&lt;=DATE(2026,8,1))*ESQUADRIAS!$C$5:$C$76)+SUMPRODUCT((SERRALHERIA!$B$5:$B$76&lt;=DATE(2026,8,1))*SERRALHERIA!$C$5:$C$76)+SUMPRODUCT((MARCENARIA!$B$5:$B$76&lt;=DATE(2026,8,1))*MARCENARIA!$C$5:$C$76)+SUMPRODUCT(('REV. PISOS'!$B$5:$B$76&lt;=DATE(2026,8,1))*'REV. PISOS'!$C$5:$C$76)+SUMPRODUCT(('REV. PAREDE'!$B$5:$B$76&lt;=DATE(2026,8,1))*'REV. PAREDE'!$C$5:$C$76)+SUMPRODUCT(('REV. ACAB'!$B$5:$B$76&lt;=DATE(2026,8,1))*'REV. ACAB'!$C$5:$C$76)+SUMPRODUCT((PAVIMENTAÇÃO!$B$5:$B$76&lt;=DATE(2026,8,1))*PAVIMENTAÇÃO!$C$5:$C$76)+SUMPRODUCT(('REV. FACHADA'!$B$5:$B$76&lt;=DATE(2026,8,1))*'REV. FACHADA'!$C$5:$C$76)+SUMPRODUCT((FORRO!$B$5:$B$76&lt;=DATE(2026,8,1))*FORRO!$C$5:$C$76)+SUMPRODUCT((LOUÇAS!$B$5:$B$76&lt;=DATE(2026,8,1))*LOUÇAS!$C$5:$C$76)+SUMPRODUCT((PINTURA!$B$5:$B$76&lt;=DATE(2026,8,1))*PINTURA!$C$5:$C$76)+SUMPRODUCT((PAISAGISMO!$B$5:$B$76&lt;=DATE(2026,8,1))*PAISAGISMO!$C$5:$C$76)+SUMPRODUCT((LIMPEZA!$B$5:$B$76&lt;=DATE(2026,8,1))*LIMPEZA!$C$5:$C$76)+SUMPRODUCT(('TAX. ADM'!$B$5:$B$76&lt;=DATE(2026,8,1))*'TAX. ADM'!$C$5:$C$76)</f>
        <v>21234071.29</v>
      </c>
      <c r="G63" s="68" t="n">
        <f aca="false">E63-F63</f>
        <v>50269.520013012</v>
      </c>
    </row>
    <row r="64" customFormat="false" ht="15" hidden="false" customHeight="false" outlineLevel="0" collapsed="false">
      <c r="D64" s="47" t="s">
        <v>250</v>
      </c>
      <c r="E64" s="69" t="n">
        <v>17165</v>
      </c>
      <c r="F64" s="52" t="n">
        <f aca="false">SUMPRODUCT((PROJETO!$B$5:$B$76&lt;=DATE(2026,8,1))*PROJETO!$L$5:$L$76)+SUMPRODUCT((SEGUROS!$B$5:$B$76&lt;=DATE(2026,8,1))*SEGUROS!$L$5:$L$76)+SUMPRODUCT(('TAX. DIVERSAS'!$B$5:$B$76&lt;=DATE(2026,8,1))*'TAX. DIVERSAS'!$L$5:$L$76)+SUMPRODUCT(('BARRACÃO DE OBRA'!$B$5:$B$76&lt;=DATE(2026,8,1))*'BARRACÃO DE OBRA'!$L$5:$L$76)+SUMPRODUCT(('LIG. PROVISÓRIAS'!$B$5:$B$76&lt;=DATE(2026,8,1))*'LIG. PROVISÓRIAS'!$L$5:$L$76)+SUMPRODUCT((CONSUMOS!$B$5:$B$76&lt;=DATE(2026,8,1))*CONSUMOS!$L$5:$L$76)+SUMPRODUCT((DIVERSOS!$B$5:$B$76&lt;=DATE(2026,8,1))*DIVERSOS!$L$5:$L$76)+SUMPRODUCT((TRANSPORTES!$B$5:$B$76&lt;=DATE(2026,8,1))*TRANSPORTES!$L$5:$L$76)+SUMPRODUCT((CONSULTORIAS!$B$5:$B$76&lt;=DATE(2026,8,1))*CONSULTORIAS!$L$5:$L$76)+SUMPRODUCT((MDO!$B$5:$B$76&lt;=DATE(2026,8,1))*MDO!$L$5:$L$76)+SUMPRODUCT(('EQUIP E FER'!$B$5:$B$76&lt;=DATE(2026,8,1))*'EQUIP E FER'!$L$5:$L$76)+SUMPRODUCT(('SERV. INICIAIS'!$B$5:$B$76&lt;=DATE(2026,8,1))*'SERV. INICIAIS'!$L$5:$L$76)+SUMPRODUCT((CONTENÇÃO!$B$5:$B$76&lt;=DATE(2026,8,1))*CONTENÇÃO!$L$5:$L$76)+SUMPRODUCT((TERRAPLENAGEM!$B$5:$B$76&lt;=DATE(2026,8,1))*TERRAPLENAGEM!$L$5:$L$76)+SUMPRODUCT(('FUND. PROF'!$B$5:$B$76&lt;=DATE(2026,8,1))*'FUND. PROF'!$L$5:$L$76)+SUMPRODUCT(('FUND. SUP'!$B$5:$B$76&lt;=DATE(2026,8,1))*'FUND. SUP'!$L$5:$L$76)+SUMPRODUCT((ESTRUTURA!$B$5:$B$76&lt;=DATE(2026,8,1))*ESTRUTURA!$L$5:$L$76)+SUMPRODUCT((ALVENARIA!$B$5:$B$76&lt;=DATE(2026,8,1))*ALVENARIA!$L$5:$L$76)+SUMPRODUCT((IMPERMEABILIZAÇÃO!$B$5:$B$76&lt;=DATE(2026,8,1))*IMPERMEABILIZAÇÃO!$L$5:$L$76)+SUMPRODUCT(('INST. ELÉTRICA'!$B$5:$B$76&lt;=DATE(2026,8,1))*'INST. ELÉTRICA'!$L$5:$L$76)+SUMPRODUCT(('INST. HIDRO'!$B$5:$B$76&lt;=DATE(2026,8,1))*'INST. HIDRO'!$L$5:$L$76)+SUMPRODUCT(('INST. INC'!$B$5:$B$76&lt;=DATE(2026,8,1))*'INST. INC'!$L$5:$L$76)+SUMPRODUCT(('INST. ESP'!$B$5:$B$76&lt;=DATE(2026,8,1))*'INST. ESP'!$L$5:$L$76)+SUMPRODUCT(('ELEVADORES '!$B$5:$B$76&lt;=DATE(2026,8,1))*'ELEVADORES '!$L$5:$L$76)+SUMPRODUCT((ESQUADRIAS!$B$5:$B$76&lt;=DATE(2026,8,1))*ESQUADRIAS!$L$5:$L$76)+SUMPRODUCT((SERRALHERIA!$B$5:$B$76&lt;=DATE(2026,8,1))*SERRALHERIA!$L$5:$L$76)+SUMPRODUCT((MARCENARIA!$B$5:$B$76&lt;=DATE(2026,8,1))*MARCENARIA!$L$5:$L$76)+SUMPRODUCT(('REV. PISOS'!$B$5:$B$76&lt;=DATE(2026,8,1))*'REV. PISOS'!$L$5:$L$76)+SUMPRODUCT(('REV. PAREDE'!$B$5:$B$76&lt;=DATE(2026,8,1))*'REV. PAREDE'!$L$5:$L$76)+SUMPRODUCT(('REV. ACAB'!$B$5:$B$76&lt;=DATE(2026,8,1))*'REV. ACAB'!$L$5:$L$76)+SUMPRODUCT((PAVIMENTAÇÃO!$B$5:$B$76&lt;=DATE(2026,8,1))*PAVIMENTAÇÃO!$L$5:$L$76)+SUMPRODUCT(('REV. FACHADA'!$B$5:$B$76&lt;=DATE(2026,8,1))*'REV. FACHADA'!$L$5:$L$76)+SUMPRODUCT((FORRO!$B$5:$B$76&lt;=DATE(2026,8,1))*FORRO!$L$5:$L$76)+SUMPRODUCT((LOUÇAS!$B$5:$B$76&lt;=DATE(2026,8,1))*LOUÇAS!$L$5:$L$76)+SUMPRODUCT((PINTURA!$B$5:$B$76&lt;=DATE(2026,8,1))*PINTURA!$L$5:$L$76)+SUMPRODUCT((PAISAGISMO!$B$5:$B$76&lt;=DATE(2026,8,1))*PAISAGISMO!$L$5:$L$76)+SUMPRODUCT((LIMPEZA!$B$5:$B$76&lt;=DATE(2026,8,1))*LIMPEZA!$L$5:$L$76)+SUMPRODUCT(('TAX. ADM'!$B$5:$B$76&lt;=DATE(2026,8,1))*'TAX. ADM'!$L$5:$L$76)</f>
        <v>17124.0262017616</v>
      </c>
      <c r="G64" s="70" t="n">
        <f aca="false">E64-F64</f>
        <v>40.9737982384067</v>
      </c>
    </row>
    <row r="65" customFormat="false" ht="15" hidden="false" customHeight="false" outlineLevel="0" collapsed="false">
      <c r="D65" s="47" t="s">
        <v>251</v>
      </c>
      <c r="F65" s="52" t="n">
        <f aca="false">MAX(0,PROJETO!$K$6-PROJETO!$K$8)+MAX(0,SEGUROS!$K$6-SEGUROS!$K$8)+MAX(0,'TAX. DIVERSAS'!$K$6-'TAX. DIVERSAS'!$K$8)+MAX(0,'BARRACÃO DE OBRA'!$K$6-'BARRACÃO DE OBRA'!$K$8)+MAX(0,'LIG. PROVISÓRIAS'!$K$6-'LIG. PROVISÓRIAS'!$K$8)+MAX(0,CONSUMOS!$K$6-CONSUMOS!$K$8)+MAX(0,DIVERSOS!$K$6-DIVERSOS!$K$8)+MAX(0,TRANSPORTES!$K$6-TRANSPORTES!$K$8)+MAX(0,CONSULTORIAS!$K$6-CONSULTORIAS!$K$8)+MAX(0,MDO!$K$6-MDO!$K$8)+MAX(0,'EQUIP E FER'!$K$6-'EQUIP E FER'!$K$8)+MAX(0,'SERV. INICIAIS'!$K$6-'SERV. INICIAIS'!$K$8)+MAX(0,CONTENÇÃO!$K$6-CONTENÇÃO!$K$8)+MAX(0,TERRAPLENAGEM!$K$6-TERRAPLENAGEM!$K$8)+MAX(0,'FUND. PROF'!$K$6-'FUND. PROF'!$K$8)+MAX(0,'FUND. SUP'!$K$6-'FUND. SUP'!$K$8)+MAX(0,ESTRUTURA!$K$6-ESTRUTURA!$K$8)+MAX(0,ALVENARIA!$K$6-ALVENARIA!$K$8)+MAX(0,IMPERMEABILIZAÇÃO!$K$6-IMPERMEABILIZAÇÃO!$K$8)+MAX(0,'INST. ELÉTRICA'!$K$6-'INST. ELÉTRICA'!$K$8)+MAX(0,'INST. HIDRO'!$K$6-'INST. HIDRO'!$K$8)+MAX(0,'INST. INC'!$K$6-'INST. INC'!$K$8)+MAX(0,'INST. ESP'!$K$6-'INST. ESP'!$K$8)+MAX(0,'ELEVADORES '!$K$6-'ELEVADORES '!$K$8)+MAX(0,ESQUADRIAS!$K$6-ESQUADRIAS!$K$8)+MAX(0,SERRALHERIA!$K$6-SERRALHERIA!$K$8)+MAX(0,MARCENARIA!$K$6-MARCENARIA!$K$8)+MAX(0,'REV. PISOS'!$K$6-'REV. PISOS'!$K$8)+MAX(0,'REV. PAREDE'!$K$6-'REV. PAREDE'!$K$8)+MAX(0,'REV. ACAB'!$K$6-'REV. ACAB'!$K$8)+MAX(0,PAVIMENTAÇÃO!$K$6-PAVIMENTAÇÃO!$K$8)+MAX(0,'REV. FACHADA'!$K$6-'REV. FACHADA'!$K$8)+MAX(0,FORRO!$K$6-FORRO!$K$8)+MAX(0,LOUÇAS!$K$6-LOUÇAS!$K$8)+MAX(0,PINTURA!$K$6-PINTURA!$K$8)+MAX(0,PAISAGISMO!$K$6-PAISAGISMO!$K$8)+MAX(0,LIMPEZA!$K$6-LIMPEZA!$K$8)+MAX(0,'TAX. ADM'!$K$6-'TAX. ADM'!$K$8)</f>
        <v>103614.824027195</v>
      </c>
      <c r="G65" s="71" t="n">
        <f aca="false">IF(F65&gt;0,1-G64/F65,1)</f>
        <v>0.99960455660063</v>
      </c>
    </row>
  </sheetData>
  <mergeCells count="7">
    <mergeCell ref="F53:H53"/>
    <mergeCell ref="F54:H54"/>
    <mergeCell ref="F55:H55"/>
    <mergeCell ref="F56:H56"/>
    <mergeCell ref="F57:H57"/>
    <mergeCell ref="F58:H58"/>
    <mergeCell ref="F59:H59"/>
  </mergeCells>
  <conditionalFormatting sqref="N11:N48">
    <cfRule type="expression" priority="2" aboveAverage="0" equalAverage="0" bottom="0" percent="0" rank="0" text="" dxfId="5">
      <formula>LEFT(N11,1)="⚠"</formula>
    </cfRule>
    <cfRule type="cellIs" priority="3" operator="equal" aboveAverage="0" equalAverage="0" bottom="0" percent="0" rank="0" text="" dxfId="0">
      <formula>"OK"</formula>
    </cfRule>
  </conditionalFormatting>
  <conditionalFormatting sqref="F54:F59">
    <cfRule type="expression" priority="4" aboveAverage="0" equalAverage="0" bottom="0" percent="0" rank="0" text="" dxfId="5">
      <formula>LEFT(F54,1)="⚠"</formula>
    </cfRule>
    <cfRule type="cellIs" priority="5" operator="equal" aboveAverage="0" equalAverage="0" bottom="0" percent="0" rank="0" text="" dxfId="0">
      <formula>"OK"</formula>
    </cfRule>
  </conditionalFormatting>
  <conditionalFormatting sqref="O11:O48">
    <cfRule type="cellIs" priority="6" operator="equal" aboveAverage="0" equalAverage="0" bottom="0" percent="0" rank="0" text="" dxfId="6">
      <formula>"CURVA PREVISION"</formula>
    </cfRule>
  </conditionalFormatting>
  <dataValidations count="2">
    <dataValidation allowBlank="false" errorStyle="stop" operator="between" showDropDown="false" showErrorMessage="false" showInputMessage="false" sqref="K8" type="list">
      <formula1>"PREVISION,PADRÃO"</formula1>
      <formula2>0</formula2>
    </dataValidation>
    <dataValidation allowBlank="true" errorStyle="stop" operator="between" showDropDown="false" showErrorMessage="false" showInputMessage="false" sqref="I11:I48" type="list">
      <formula1>"DIRETO,INDIRETO"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true"/>
  </sheetPr>
  <dimension ref="A1:N9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5" min="4" style="0" width="13"/>
    <col collapsed="false" customWidth="true" hidden="false" outlineLevel="0" max="6" min="6" style="0" width="17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9"/>
    <col collapsed="false" customWidth="true" hidden="false" outlineLevel="0" max="10" min="10" style="0" width="14"/>
    <col collapsed="false" customWidth="true" hidden="false" outlineLevel="0" max="11" min="11" style="0" width="78"/>
    <col collapsed="false" customWidth="true" hidden="false" outlineLevel="0" max="12" min="12" style="0" width="34"/>
    <col collapsed="false" customWidth="true" hidden="true" outlineLevel="0" max="14" min="13" style="0" width="2"/>
  </cols>
  <sheetData>
    <row r="1" customFormat="false" ht="15" hidden="false" customHeight="false" outlineLevel="0" collapsed="false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customFormat="false" ht="33.75" hidden="false" customHeight="true" outlineLevel="0" collapsed="false">
      <c r="A2" s="8"/>
      <c r="B2" s="9" t="str">
        <f aca="false">'VALOR POR PL'!$P$9&amp;"  ·  RETRATO DE "&amp;D5</f>
        <v>BOTÂNICO  ·  RETRATO DE 2027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customFormat="false" ht="19.5" hidden="false" customHeight="true" outlineLevel="0" collapsed="false">
      <c r="A3" s="8"/>
      <c r="B3" s="72" t="str">
        <f aca="false"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>Execução física (Prevision), desembolso do ano (fluxo financeiro) e situação da obra em 31/12/2027     ·     Corte: ago/2026     ·     Cenário: padrão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5" customFormat="false" ht="15" hidden="false" customHeight="false" outlineLevel="0" collapsed="false">
      <c r="A5" s="8"/>
      <c r="B5" s="73" t="s">
        <v>252</v>
      </c>
      <c r="C5" s="73"/>
      <c r="D5" s="74" t="n">
        <v>2027</v>
      </c>
      <c r="E5" s="75" t="s">
        <v>253</v>
      </c>
      <c r="F5" s="76" t="n">
        <f aca="false">'VALOR POR PL'!$P$5</f>
        <v>46235</v>
      </c>
      <c r="G5" s="77" t="n">
        <f aca="false">IFERROR(INDEX('"INCC-FGV"'!$B$2:$B$800,MATCH(DATE(YEAR(F5),MONTH(F5),1),'"INCC-FGV"'!$A$2:$A$800,0)),IFERROR(INDEX('"INCC-FGV"'!$B$2:$B$800,MATCH(DATE(YEAR(F5),MONTH(F5),1),'"INCC-FGV"'!$A$2:$A$800,1)),"FALTA INCC"))</f>
        <v>1296.889</v>
      </c>
      <c r="H5" s="8"/>
      <c r="I5" s="8"/>
      <c r="J5" s="75" t="s">
        <v>254</v>
      </c>
      <c r="K5" s="78" t="n">
        <f aca="false">DATE(D5,12,31)</f>
        <v>46752</v>
      </c>
      <c r="L5" s="8"/>
      <c r="M5" s="8"/>
    </row>
    <row r="6" customFormat="false" ht="15" hidden="false" customHeight="false" outlineLevel="0" collapsed="false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customFormat="false" ht="21.75" hidden="false" customHeight="true" outlineLevel="0" collapsed="false">
      <c r="A7" s="8"/>
      <c r="B7" s="11" t="s">
        <v>255</v>
      </c>
      <c r="C7" s="11"/>
      <c r="D7" s="11" t="s">
        <v>256</v>
      </c>
      <c r="E7" s="11"/>
      <c r="F7" s="11" t="s">
        <v>257</v>
      </c>
      <c r="G7" s="11"/>
      <c r="H7" s="11" t="s">
        <v>258</v>
      </c>
      <c r="I7" s="11"/>
      <c r="J7" s="11" t="s">
        <v>259</v>
      </c>
      <c r="K7" s="11" t="s">
        <v>260</v>
      </c>
      <c r="L7" s="8"/>
      <c r="M7" s="8"/>
    </row>
    <row r="8" customFormat="false" ht="27.75" hidden="false" customHeight="true" outlineLevel="0" collapsed="false">
      <c r="A8" s="8"/>
      <c r="B8" s="79" t="n">
        <f aca="false">F53</f>
        <v>47604449.8342178</v>
      </c>
      <c r="C8" s="79"/>
      <c r="D8" s="80" t="n">
        <f aca="false">G53</f>
        <v>36706.6494003864</v>
      </c>
      <c r="E8" s="80"/>
      <c r="F8" s="79" t="n">
        <f aca="false">H53</f>
        <v>47604449.8342178</v>
      </c>
      <c r="G8" s="79"/>
      <c r="H8" s="81" t="n">
        <f aca="false">IFERROR(SUMPRODUCT(D12:D50,N12:N50)/SUMPRODUCT(ISNUMBER(D12:D50)*N12:N50),0)</f>
        <v>0.569774010624715</v>
      </c>
      <c r="I8" s="81"/>
      <c r="J8" s="81" t="n">
        <f aca="false">IFERROR(SUMPRODUCT(J12:J50,M12:M50)/SUM(M12:M50),0)</f>
        <v>0.552224583828408</v>
      </c>
      <c r="K8" s="82" t="str">
        <f aca="false" t="array" ref="K8:K8">INDEX(C12:C50,MATCH(MAX(IF(LEN(B12:B50)=2,F12:F50)),IF(LEN(B12:B50)=2,F12:F50),0))</f>
        <v>ESTRUTURA EM CONCRETO ARMADO</v>
      </c>
      <c r="L8" s="8"/>
      <c r="M8" s="8"/>
    </row>
    <row r="9" customFormat="false" ht="18" hidden="false" customHeight="true" outlineLevel="0" collapsed="false">
      <c r="A9" s="8"/>
      <c r="B9" s="14" t="s">
        <v>261</v>
      </c>
      <c r="C9" s="14"/>
      <c r="D9" s="14" t="s">
        <v>262</v>
      </c>
      <c r="E9" s="14"/>
      <c r="F9" s="14" t="s">
        <v>263</v>
      </c>
      <c r="G9" s="14"/>
      <c r="H9" s="14" t="s">
        <v>264</v>
      </c>
      <c r="I9" s="14"/>
      <c r="J9" s="14" t="s">
        <v>265</v>
      </c>
      <c r="K9" s="14" t="str">
        <f aca="false" t="array" ref="K9:K9">"R$ "&amp;FIXED(MAX(IF(LEN(B12:B50)=2,F12:F50))/1000000,1)&amp;" mi no ano"</f>
        <v>R$ 16.4 mi no ano</v>
      </c>
      <c r="L9" s="8"/>
      <c r="M9" s="8"/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</row>
    <row r="11" customFormat="false" ht="43.5" hidden="false" customHeight="true" outlineLevel="0" collapsed="false">
      <c r="A11" s="8"/>
      <c r="B11" s="83" t="s">
        <v>266</v>
      </c>
      <c r="C11" s="83" t="s">
        <v>267</v>
      </c>
      <c r="D11" s="84" t="s">
        <v>268</v>
      </c>
      <c r="E11" s="84" t="s">
        <v>269</v>
      </c>
      <c r="F11" s="84" t="s">
        <v>270</v>
      </c>
      <c r="G11" s="84" t="s">
        <v>271</v>
      </c>
      <c r="H11" s="84" t="s">
        <v>272</v>
      </c>
      <c r="I11" s="84" t="s">
        <v>273</v>
      </c>
      <c r="J11" s="84" t="s">
        <v>274</v>
      </c>
      <c r="K11" s="83" t="str">
        <f aca="false">"Situação em 31/12/"&amp;D5&amp;" (cronograma de atividades do Prevision)"</f>
        <v>Situação em 31/12/2027 (cronograma de atividades do Prevision)</v>
      </c>
      <c r="L11" s="83" t="s">
        <v>275</v>
      </c>
      <c r="M11" s="8"/>
    </row>
    <row r="12" customFormat="false" ht="15.75" hidden="false" customHeight="true" outlineLevel="0" collapsed="false">
      <c r="A12" s="8"/>
      <c r="B12" s="85" t="str">
        <f aca="false">'VALOR POR PL'!C11</f>
        <v>01</v>
      </c>
      <c r="C12" s="86" t="str">
        <f aca="false">'VALOR POR PL'!D11</f>
        <v>PROJETOS</v>
      </c>
      <c r="D12" s="87" t="str">
        <f aca="false">IF(OR('VALOR POR PL'!I11&lt;&gt;"DIRETO",'CP RESUMO'!$C$5=""),"",IFERROR(INDEX('CP RESUMO'!$D$5:$BW$5,MATCH(DATE($D$5,12,1),'CP RESUMO'!$D$4:$BW$4,0))/100,""))</f>
        <v/>
      </c>
      <c r="E12" s="88" t="str">
        <f aca="false">IF('VALOR POR PL'!I11&lt;&gt;"DIRETO","",PROJETO!$K$14)</f>
        <v/>
      </c>
      <c r="F12" s="89" t="n">
        <f aca="false">SUMPRODUCT((YEAR(PROJETO!$B$5:$B$76)=$D$5)*(PROJETO!$C$5:$C$76+PROJETO!$D$5:$D$76))</f>
        <v>15577.1341469263</v>
      </c>
      <c r="G12" s="89" t="n">
        <f aca="false">SUMPRODUCT((YEAR('MODELO PARA BI'!$H$1:$CA$1)=$D$5)*'MODELO PARA BI'!$H$29:$CA$29)</f>
        <v>12.0111544989018</v>
      </c>
      <c r="H12" s="89" t="n">
        <f aca="false">IF(ISNUMBER($G$5),G12*$G$5,0)</f>
        <v>15577.1341469263</v>
      </c>
      <c r="I12" s="87" t="n">
        <f aca="false">IF($F$53=0,0,F12/$F$53)</f>
        <v>0.000327220127554746</v>
      </c>
      <c r="J12" s="87" t="n">
        <f aca="false">IF('VALOR POR PL'!L11=0,0,SUMPRODUCT((PROJETO!$B$5:$B$76&lt;=DATE($D$5,12,1))*(PROJETO!$C$5:$C$76+PROJETO!$D$5:$D$76))/'VALOR POR PL'!L11)</f>
        <v>0.935183681296256</v>
      </c>
      <c r="K12" s="90" t="str">
        <f aca="false" t="array" ref="K12: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",TRUE(),IF(('CRONOGRAMA ATIVIDADES'!$S$5:$S$304=B12)*('CRONOGRAMA ATIVIDADES'!$AA$5:$AA$304&lt;&gt;""),'CRONOGRAMA ATIVIDADES'!$AA$5:$AA$304,"")))))</f>
        <v/>
      </c>
      <c r="L12" s="91"/>
      <c r="M12" s="92" t="n">
        <f aca="false">'VALOR POR PL'!L11</f>
        <v>2469182.34229771</v>
      </c>
      <c r="N12" s="93" t="n">
        <f aca="false">IF('VALOR POR PL'!I11="DIRETO",'VALOR POR PL'!L11,0)</f>
        <v>0</v>
      </c>
    </row>
    <row r="13" customFormat="false" ht="15.75" hidden="false" customHeight="true" outlineLevel="0" collapsed="false">
      <c r="A13" s="8"/>
      <c r="B13" s="94" t="str">
        <f aca="false">'VALOR POR PL'!C12</f>
        <v>02</v>
      </c>
      <c r="C13" s="95" t="str">
        <f aca="false">'VALOR POR PL'!D12</f>
        <v>SEGUROS</v>
      </c>
      <c r="D13" s="96" t="str">
        <f aca="false">IF(OR('VALOR POR PL'!I12&lt;&gt;"DIRETO",'CP RESUMO'!$C$6=""),"",IFERROR(INDEX('CP RESUMO'!$D$6:$BW$6,MATCH(DATE($D$5,12,1),'CP RESUMO'!$D$4:$BW$4,0))/100,""))</f>
        <v/>
      </c>
      <c r="E13" s="97" t="str">
        <f aca="false">IF('VALOR POR PL'!I12&lt;&gt;"DIRETO","",SEGUROS!$K$14)</f>
        <v/>
      </c>
      <c r="F13" s="98" t="n">
        <f aca="false">SUMPRODUCT((YEAR(SEGUROS!$B$5:$B$76)=$D$5)*(SEGUROS!$C$5:$C$76+SEGUROS!$D$5:$D$76))</f>
        <v>56612.19</v>
      </c>
      <c r="G13" s="98" t="n">
        <f aca="false">SUMPRODUCT((YEAR('MODELO PARA BI'!$H$1:$CA$1)=$D$5)*'MODELO PARA BI'!$H$40:$CA$40)</f>
        <v>43.6523017775615</v>
      </c>
      <c r="H13" s="98" t="n">
        <f aca="false">IF(ISNUMBER($G$5),G13*$G$5,0)</f>
        <v>56612.19</v>
      </c>
      <c r="I13" s="96" t="n">
        <f aca="false">IF($F$53=0,0,F13/$F$53)</f>
        <v>0.00118922054969969</v>
      </c>
      <c r="J13" s="96" t="n">
        <f aca="false">IF('VALOR POR PL'!L12=0,0,SUMPRODUCT((SEGUROS!$B$5:$B$76&lt;=DATE($D$5,12,1))*(SEGUROS!$C$5:$C$76+SEGUROS!$D$5:$D$76))/'VALOR POR PL'!L12)</f>
        <v>1</v>
      </c>
      <c r="K13" s="99" t="str">
        <f aca="false" t="array" ref="K13: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",TRUE(),IF(('CRONOGRAMA ATIVIDADES'!$S$5:$S$304=B13)*('CRONOGRAMA ATIVIDADES'!$AA$5:$AA$304&lt;&gt;""),'CRONOGRAMA ATIVIDADES'!$AA$5:$AA$304,"")))))</f>
        <v/>
      </c>
      <c r="L13" s="100"/>
      <c r="M13" s="92" t="n">
        <f aca="false">'VALOR POR PL'!L12</f>
        <v>241135.16</v>
      </c>
      <c r="N13" s="93" t="n">
        <f aca="false">IF('VALOR POR PL'!I12="DIRETO",'VALOR POR PL'!L12,0)</f>
        <v>0</v>
      </c>
    </row>
    <row r="14" customFormat="false" ht="15.75" hidden="false" customHeight="true" outlineLevel="0" collapsed="false">
      <c r="A14" s="8"/>
      <c r="B14" s="85" t="str">
        <f aca="false">'VALOR POR PL'!C13</f>
        <v>03</v>
      </c>
      <c r="C14" s="86" t="str">
        <f aca="false">'VALOR POR PL'!D13</f>
        <v>TAXAS DIVERSAS</v>
      </c>
      <c r="D14" s="87" t="str">
        <f aca="false">IF(OR('VALOR POR PL'!I13&lt;&gt;"DIRETO",'CP RESUMO'!$C$7=""),"",IFERROR(INDEX('CP RESUMO'!$D$7:$BW$7,MATCH(DATE($D$5,12,1),'CP RESUMO'!$D$4:$BW$4,0))/100,""))</f>
        <v/>
      </c>
      <c r="E14" s="88" t="str">
        <f aca="false">IF('VALOR POR PL'!I13&lt;&gt;"DIRETO","",'TAX. DIVERSAS'!$K$14)</f>
        <v/>
      </c>
      <c r="F14" s="89" t="n">
        <f aca="false">SUMPRODUCT((YEAR('TAX. DIVERSAS'!$B$5:$B$76)=$D$5)*('TAX. DIVERSAS'!$C$5:$C$76+'TAX. DIVERSAS'!$D$5:$D$76))</f>
        <v>2823.15509184955</v>
      </c>
      <c r="G14" s="89" t="n">
        <f aca="false">SUMPRODUCT((YEAR('MODELO PARA BI'!$H$1:$CA$1)=$D$5)*'MODELO PARA BI'!$H$50:$CA$50)</f>
        <v>2.17686717355884</v>
      </c>
      <c r="H14" s="89" t="n">
        <f aca="false">IF(ISNUMBER($G$5),G14*$G$5,0)</f>
        <v>2823.15509184955</v>
      </c>
      <c r="I14" s="87" t="n">
        <f aca="false">IF($F$53=0,0,F14/$F$53)</f>
        <v>5.93044369104395E-005</v>
      </c>
      <c r="J14" s="87" t="n">
        <f aca="false">IF('VALOR POR PL'!L13=0,0,SUMPRODUCT(('TAX. DIVERSAS'!$B$5:$B$76&lt;=DATE($D$5,12,1))*('TAX. DIVERSAS'!$C$5:$C$76+'TAX. DIVERSAS'!$D$5:$D$76))/'VALOR POR PL'!L13)</f>
        <v>0.0664038187240884</v>
      </c>
      <c r="K14" s="90" t="str">
        <f aca="false" t="array" ref="K14: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",TRUE(),IF(('CRONOGRAMA ATIVIDADES'!$S$5:$S$304=B14)*('CRONOGRAMA ATIVIDADES'!$AA$5:$AA$304&lt;&gt;""),'CRONOGRAMA ATIVIDADES'!$AA$5:$AA$304,"")))))</f>
        <v/>
      </c>
      <c r="L14" s="91"/>
      <c r="M14" s="92" t="n">
        <f aca="false">'VALOR POR PL'!L13</f>
        <v>159786.721461049</v>
      </c>
      <c r="N14" s="93" t="n">
        <f aca="false">IF('VALOR POR PL'!I13="DIRETO",'VALOR POR PL'!L13,0)</f>
        <v>0</v>
      </c>
    </row>
    <row r="15" customFormat="false" ht="15.75" hidden="false" customHeight="true" outlineLevel="0" collapsed="false">
      <c r="A15" s="8"/>
      <c r="B15" s="94" t="str">
        <f aca="false">'VALOR POR PL'!C14</f>
        <v>04</v>
      </c>
      <c r="C15" s="95" t="str">
        <f aca="false">'VALOR POR PL'!D14</f>
        <v>BARRACAO DE OBRA</v>
      </c>
      <c r="D15" s="96" t="str">
        <f aca="false">IF(OR('VALOR POR PL'!I14&lt;&gt;"DIRETO",'CP RESUMO'!$C$8=""),"",IFERROR(INDEX('CP RESUMO'!$D$8:$BW$8,MATCH(DATE($D$5,12,1),'CP RESUMO'!$D$4:$BW$4,0))/100,""))</f>
        <v/>
      </c>
      <c r="E15" s="97" t="str">
        <f aca="false">IF('VALOR POR PL'!I14&lt;&gt;"DIRETO","",'BARRACÃO DE OBRA'!$K$14)</f>
        <v/>
      </c>
      <c r="F15" s="98" t="n">
        <f aca="false">SUMPRODUCT((YEAR('BARRACÃO DE OBRA'!$B$5:$B$76)=$D$5)*('BARRACÃO DE OBRA'!$C$5:$C$76+'BARRACÃO DE OBRA'!$D$5:$D$76))</f>
        <v>342909.29372435</v>
      </c>
      <c r="G15" s="98" t="n">
        <f aca="false">SUMPRODUCT((YEAR('MODELO PARA BI'!$H$1:$CA$1)=$D$5)*'MODELO PARA BI'!$H$3:$CA$3)</f>
        <v>264.409131178035</v>
      </c>
      <c r="H15" s="98" t="n">
        <f aca="false">IF(ISNUMBER($G$5),G15*$G$5,0)</f>
        <v>342909.29372435</v>
      </c>
      <c r="I15" s="96" t="n">
        <f aca="false">IF($F$53=0,0,F15/$F$53)</f>
        <v>0.00720330336593596</v>
      </c>
      <c r="J15" s="96" t="n">
        <f aca="false">IF('VALOR POR PL'!L14=0,0,SUMPRODUCT(('BARRACÃO DE OBRA'!$B$5:$B$76&lt;=DATE($D$5,12,1))*('BARRACÃO DE OBRA'!$C$5:$C$76+'BARRACÃO DE OBRA'!$D$5:$D$76))/'VALOR POR PL'!L14)</f>
        <v>0.865484582830182</v>
      </c>
      <c r="K15" s="99" t="str">
        <f aca="false" t="array" ref="K15: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",TRUE(),IF(('CRONOGRAMA ATIVIDADES'!$S$5:$S$304=B15)*('CRONOGRAMA ATIVIDADES'!$AA$5:$AA$304&lt;&gt;""),'CRONOGRAMA ATIVIDADES'!$AA$5:$AA$304,"")))))</f>
        <v/>
      </c>
      <c r="L15" s="100"/>
      <c r="M15" s="92" t="n">
        <f aca="false">'VALOR POR PL'!L14</f>
        <v>1221240.71877809</v>
      </c>
      <c r="N15" s="93" t="n">
        <f aca="false">IF('VALOR POR PL'!I14="DIRETO",'VALOR POR PL'!L14,0)</f>
        <v>0</v>
      </c>
    </row>
    <row r="16" customFormat="false" ht="29.25" hidden="false" customHeight="true" outlineLevel="0" collapsed="false">
      <c r="A16" s="8"/>
      <c r="B16" s="85" t="str">
        <f aca="false">'VALOR POR PL'!C15</f>
        <v>05</v>
      </c>
      <c r="C16" s="86" t="str">
        <f aca="false">'VALOR POR PL'!D15</f>
        <v>LIGAÇÕES PROVISÓRIAS AGUA, ENERGIA,TELEFONIA, ESGOTO</v>
      </c>
      <c r="D16" s="87" t="str">
        <f aca="false">IF(OR('VALOR POR PL'!I15&lt;&gt;"DIRETO",'CP RESUMO'!$C$9=""),"",IFERROR(INDEX('CP RESUMO'!$D$9:$BW$9,MATCH(DATE($D$5,12,1),'CP RESUMO'!$D$4:$BW$4,0))/100,""))</f>
        <v/>
      </c>
      <c r="E16" s="88" t="str">
        <f aca="false">IF('VALOR POR PL'!I15&lt;&gt;"DIRETO","",'LIG. PROVISÓRIAS'!$K$14)</f>
        <v/>
      </c>
      <c r="F16" s="89" t="n">
        <f aca="false">SUMPRODUCT((YEAR('LIG. PROVISÓRIAS'!$B$5:$B$76)=$D$5)*('LIG. PROVISÓRIAS'!$C$5:$C$76+'LIG. PROVISÓRIAS'!$D$5:$D$76))</f>
        <v>27945.6354551868</v>
      </c>
      <c r="G16" s="89" t="n">
        <f aca="false">SUMPRODUCT((YEAR('MODELO PARA BI'!$H$1:$CA$1)=$D$5)*'MODELO PARA BI'!$H$42:$CA$42)</f>
        <v>21.5482091799582</v>
      </c>
      <c r="H16" s="89" t="n">
        <f aca="false">IF(ISNUMBER($G$5),G16*$G$5,0)</f>
        <v>27945.6354551868</v>
      </c>
      <c r="I16" s="87" t="n">
        <f aca="false">IF($F$53=0,0,F16/$F$53)</f>
        <v>0.000587038303194498</v>
      </c>
      <c r="J16" s="87" t="n">
        <f aca="false">IF('VALOR POR PL'!L15=0,0,SUMPRODUCT(('LIG. PROVISÓRIAS'!$B$5:$B$76&lt;=DATE($D$5,12,1))*('LIG. PROVISÓRIAS'!$C$5:$C$76+'LIG. PROVISÓRIAS'!$D$5:$D$76))/'VALOR POR PL'!L15)</f>
        <v>1</v>
      </c>
      <c r="K16" s="90" t="str">
        <f aca="false" t="array" ref="K16: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",TRUE(),IF(('CRONOGRAMA ATIVIDADES'!$S$5:$S$304=B16)*('CRONOGRAMA ATIVIDADES'!$AA$5:$AA$304&lt;&gt;""),'CRONOGRAMA ATIVIDADES'!$AA$5:$AA$304,"")))))</f>
        <v/>
      </c>
      <c r="L16" s="91"/>
      <c r="M16" s="92" t="n">
        <f aca="false">'VALOR POR PL'!L15</f>
        <v>87467.1354551868</v>
      </c>
      <c r="N16" s="93" t="n">
        <f aca="false">IF('VALOR POR PL'!I15="DIRETO",'VALOR POR PL'!L15,0)</f>
        <v>0</v>
      </c>
    </row>
    <row r="17" customFormat="false" ht="15.75" hidden="false" customHeight="true" outlineLevel="0" collapsed="false">
      <c r="A17" s="8"/>
      <c r="B17" s="94" t="str">
        <f aca="false">'VALOR POR PL'!C16</f>
        <v>06</v>
      </c>
      <c r="C17" s="95" t="str">
        <f aca="false">'VALOR POR PL'!D16</f>
        <v>CONSUMO DE ÁGUA, ENERGIA, ETC.</v>
      </c>
      <c r="D17" s="96" t="str">
        <f aca="false">IF(OR('VALOR POR PL'!I16&lt;&gt;"DIRETO",'CP RESUMO'!$C$10=""),"",IFERROR(INDEX('CP RESUMO'!$D$10:$BW$10,MATCH(DATE($D$5,12,1),'CP RESUMO'!$D$4:$BW$4,0))/100,""))</f>
        <v/>
      </c>
      <c r="E17" s="97" t="str">
        <f aca="false">IF('VALOR POR PL'!I16&lt;&gt;"DIRETO","",CONSUMOS!$K$14)</f>
        <v/>
      </c>
      <c r="F17" s="98" t="n">
        <f aca="false">SUMPRODUCT((YEAR(CONSUMOS!$B$5:$B$76)=$D$5)*(CONSUMOS!$C$5:$C$76+CONSUMOS!$D$5:$D$76))</f>
        <v>153690.342613098</v>
      </c>
      <c r="G17" s="98" t="n">
        <f aca="false">SUMPRODUCT((YEAR('MODELO PARA BI'!$H$1:$CA$1)=$D$5)*'MODELO PARA BI'!$H$5:$CA$5)</f>
        <v>118.506936687024</v>
      </c>
      <c r="H17" s="98" t="n">
        <f aca="false">IF(ISNUMBER($G$5),G17*$G$5,0)</f>
        <v>153690.342613098</v>
      </c>
      <c r="I17" s="96" t="n">
        <f aca="false">IF($F$53=0,0,F17/$F$53)</f>
        <v>0.00322848689877362</v>
      </c>
      <c r="J17" s="96" t="n">
        <f aca="false">IF('VALOR POR PL'!L16=0,0,SUMPRODUCT((CONSUMOS!$B$5:$B$76&lt;=DATE($D$5,12,1))*(CONSUMOS!$C$5:$C$76+CONSUMOS!$D$5:$D$76))/'VALOR POR PL'!L16)</f>
        <v>0.419705496134542</v>
      </c>
      <c r="K17" s="99" t="str">
        <f aca="false" t="array" ref="K17: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",TRUE(),IF(('CRONOGRAMA ATIVIDADES'!$S$5:$S$304=B17)*('CRONOGRAMA ATIVIDADES'!$AA$5:$AA$304&lt;&gt;""),'CRONOGRAMA ATIVIDADES'!$AA$5:$AA$304,"")))))</f>
        <v/>
      </c>
      <c r="L17" s="100"/>
      <c r="M17" s="92" t="n">
        <f aca="false">'VALOR POR PL'!L16</f>
        <v>579625.908128584</v>
      </c>
      <c r="N17" s="93" t="n">
        <f aca="false">IF('VALOR POR PL'!I16="DIRETO",'VALOR POR PL'!L16,0)</f>
        <v>0</v>
      </c>
    </row>
    <row r="18" customFormat="false" ht="15.75" hidden="false" customHeight="true" outlineLevel="0" collapsed="false">
      <c r="A18" s="8"/>
      <c r="B18" s="85" t="str">
        <f aca="false">'VALOR POR PL'!C17</f>
        <v>07</v>
      </c>
      <c r="C18" s="86" t="str">
        <f aca="false">'VALOR POR PL'!D17</f>
        <v>DIVERSOS</v>
      </c>
      <c r="D18" s="87" t="str">
        <f aca="false">IF(OR('VALOR POR PL'!I17&lt;&gt;"DIRETO",'CP RESUMO'!$C$11=""),"",IFERROR(INDEX('CP RESUMO'!$D$11:$BW$11,MATCH(DATE($D$5,12,1),'CP RESUMO'!$D$4:$BW$4,0))/100,""))</f>
        <v/>
      </c>
      <c r="E18" s="88" t="str">
        <f aca="false">IF('VALOR POR PL'!I17&lt;&gt;"DIRETO","",DIVERSOS!$K$14)</f>
        <v/>
      </c>
      <c r="F18" s="89" t="n">
        <f aca="false">SUMPRODUCT((YEAR(DIVERSOS!$B$5:$B$76)=$D$5)*(DIVERSOS!$C$5:$C$76+DIVERSOS!$D$5:$D$76))</f>
        <v>62345.5677395971</v>
      </c>
      <c r="G18" s="89" t="n">
        <f aca="false">SUMPRODUCT((YEAR('MODELO PARA BI'!$H$1:$CA$1)=$D$5)*'MODELO PARA BI'!$H$9:$CA$9)</f>
        <v>48.0731718285814</v>
      </c>
      <c r="H18" s="89" t="n">
        <f aca="false">IF(ISNUMBER($G$5),G18*$G$5,0)</f>
        <v>62345.5677395971</v>
      </c>
      <c r="I18" s="87" t="n">
        <f aca="false">IF($F$53=0,0,F18/$F$53)</f>
        <v>0.00130965840287442</v>
      </c>
      <c r="J18" s="87" t="n">
        <f aca="false">IF('VALOR POR PL'!L17=0,0,SUMPRODUCT((DIVERSOS!$B$5:$B$76&lt;=DATE($D$5,12,1))*(DIVERSOS!$C$5:$C$76+DIVERSOS!$D$5:$D$76))/'VALOR POR PL'!L17)</f>
        <v>0.61800308210059</v>
      </c>
      <c r="K18" s="90" t="str">
        <f aca="false" t="array" ref="K18: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",TRUE(),IF(('CRONOGRAMA ATIVIDADES'!$S$5:$S$304=B18)*('CRONOGRAMA ATIVIDADES'!$AA$5:$AA$304&lt;&gt;""),'CRONOGRAMA ATIVIDADES'!$AA$5:$AA$304,"")))))</f>
        <v/>
      </c>
      <c r="L18" s="91"/>
      <c r="M18" s="92" t="n">
        <f aca="false">'VALOR POR PL'!L17</f>
        <v>195765.174713413</v>
      </c>
      <c r="N18" s="93" t="n">
        <f aca="false">IF('VALOR POR PL'!I17="DIRETO",'VALOR POR PL'!L17,0)</f>
        <v>0</v>
      </c>
    </row>
    <row r="19" customFormat="false" ht="15.75" hidden="false" customHeight="true" outlineLevel="0" collapsed="false">
      <c r="A19" s="8"/>
      <c r="B19" s="94" t="str">
        <f aca="false">'VALOR POR PL'!C18</f>
        <v>08</v>
      </c>
      <c r="C19" s="95" t="str">
        <f aca="false">'VALOR POR PL'!D18</f>
        <v>TRANSPORTES</v>
      </c>
      <c r="D19" s="96" t="str">
        <f aca="false">IF(OR('VALOR POR PL'!I18&lt;&gt;"DIRETO",'CP RESUMO'!$C$12=""),"",IFERROR(INDEX('CP RESUMO'!$D$12:$BW$12,MATCH(DATE($D$5,12,1),'CP RESUMO'!$D$4:$BW$4,0))/100,""))</f>
        <v/>
      </c>
      <c r="E19" s="97" t="str">
        <f aca="false">IF('VALOR POR PL'!I18&lt;&gt;"DIRETO","",TRANSPORTES!$K$14)</f>
        <v/>
      </c>
      <c r="F19" s="98" t="n">
        <f aca="false">SUMPRODUCT((YEAR(TRANSPORTES!$B$5:$B$76)=$D$5)*(TRANSPORTES!$C$5:$C$76+TRANSPORTES!$D$5:$D$76))</f>
        <v>349046.015301896</v>
      </c>
      <c r="G19" s="98" t="n">
        <f aca="false">SUMPRODUCT((YEAR('MODELO PARA BI'!$H$1:$CA$1)=$D$5)*'MODELO PARA BI'!$H$46:$CA$46)</f>
        <v>269.141009987667</v>
      </c>
      <c r="H19" s="98" t="n">
        <f aca="false">IF(ISNUMBER($G$5),G19*$G$5,0)</f>
        <v>349046.015301896</v>
      </c>
      <c r="I19" s="96" t="n">
        <f aca="false">IF($F$53=0,0,F19/$F$53)</f>
        <v>0.00733221403707944</v>
      </c>
      <c r="J19" s="96" t="n">
        <f aca="false">IF('VALOR POR PL'!L18=0,0,SUMPRODUCT((TRANSPORTES!$B$5:$B$76&lt;=DATE($D$5,12,1))*(TRANSPORTES!$C$5:$C$76+TRANSPORTES!$D$5:$D$76))/'VALOR POR PL'!L18)</f>
        <v>0.589658310985726</v>
      </c>
      <c r="K19" s="99" t="str">
        <f aca="false" t="array" ref="K19: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",TRUE(),IF(('CRONOGRAMA ATIVIDADES'!$S$5:$S$304=B19)*('CRONOGRAMA ATIVIDADES'!$AA$5:$AA$304&lt;&gt;""),'CRONOGRAMA ATIVIDADES'!$AA$5:$AA$304,"")))))</f>
        <v/>
      </c>
      <c r="L19" s="100"/>
      <c r="M19" s="92" t="n">
        <f aca="false">'VALOR POR PL'!L18</f>
        <v>835011.905352242</v>
      </c>
      <c r="N19" s="93" t="n">
        <f aca="false">IF('VALOR POR PL'!I18="DIRETO",'VALOR POR PL'!L18,0)</f>
        <v>0</v>
      </c>
    </row>
    <row r="20" customFormat="false" ht="15.75" hidden="false" customHeight="true" outlineLevel="0" collapsed="false">
      <c r="A20" s="8"/>
      <c r="B20" s="85" t="str">
        <f aca="false">'VALOR POR PL'!C19</f>
        <v>09</v>
      </c>
      <c r="C20" s="86" t="str">
        <f aca="false">'VALOR POR PL'!D19</f>
        <v>CONSULTORIAS (OBRAS)</v>
      </c>
      <c r="D20" s="87" t="str">
        <f aca="false">IF(OR('VALOR POR PL'!I19&lt;&gt;"DIRETO",'CP RESUMO'!$C$13=""),"",IFERROR(INDEX('CP RESUMO'!$D$13:$BW$13,MATCH(DATE($D$5,12,1),'CP RESUMO'!$D$4:$BW$4,0))/100,""))</f>
        <v/>
      </c>
      <c r="E20" s="88" t="str">
        <f aca="false">IF('VALOR POR PL'!I19&lt;&gt;"DIRETO","",CONSULTORIAS!$K$14)</f>
        <v/>
      </c>
      <c r="F20" s="89" t="n">
        <f aca="false">SUMPRODUCT((YEAR(CONSULTORIAS!$B$5:$B$76)=$D$5)*(CONSULTORIAS!$C$5:$C$76+CONSULTORIAS!$D$5:$D$76))</f>
        <v>236040.196216758</v>
      </c>
      <c r="G20" s="89" t="n">
        <f aca="false">SUMPRODUCT((YEAR('MODELO PARA BI'!$H$1:$CA$1)=$D$5)*'MODELO PARA BI'!$H$4:$CA$4)</f>
        <v>182.004933511471</v>
      </c>
      <c r="H20" s="89" t="n">
        <f aca="false">IF(ISNUMBER($G$5),G20*$G$5,0)</f>
        <v>236040.196216758</v>
      </c>
      <c r="I20" s="87" t="n">
        <f aca="false">IF($F$53=0,0,F20/$F$53)</f>
        <v>0.00495836412433642</v>
      </c>
      <c r="J20" s="87" t="n">
        <f aca="false">IF('VALOR POR PL'!L19=0,0,SUMPRODUCT((CONSULTORIAS!$B$5:$B$76&lt;=DATE($D$5,12,1))*(CONSULTORIAS!$C$5:$C$76+CONSULTORIAS!$D$5:$D$76))/'VALOR POR PL'!L19)</f>
        <v>0.77175170275053</v>
      </c>
      <c r="K20" s="90" t="str">
        <f aca="false" t="array" ref="K20: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",TRUE(),IF(('CRONOGRAMA ATIVIDADES'!$S$5:$S$304=B20)*('CRONOGRAMA ATIVIDADES'!$AA$5:$AA$304&lt;&gt;""),'CRONOGRAMA ATIVIDADES'!$AA$5:$AA$304,"")))))</f>
        <v/>
      </c>
      <c r="L20" s="91"/>
      <c r="M20" s="92" t="n">
        <f aca="false">'VALOR POR PL'!L19</f>
        <v>1352988.41770466</v>
      </c>
      <c r="N20" s="93" t="n">
        <f aca="false">IF('VALOR POR PL'!I19="DIRETO",'VALOR POR PL'!L19,0)</f>
        <v>0</v>
      </c>
    </row>
    <row r="21" customFormat="false" ht="15.75" hidden="false" customHeight="true" outlineLevel="0" collapsed="false">
      <c r="A21" s="8"/>
      <c r="B21" s="94" t="str">
        <f aca="false">'VALOR POR PL'!C20</f>
        <v>10</v>
      </c>
      <c r="C21" s="95" t="str">
        <f aca="false">'VALOR POR PL'!D20</f>
        <v>MÃO DE OBRA PRÓPRIA</v>
      </c>
      <c r="D21" s="96" t="str">
        <f aca="false">IF(OR('VALOR POR PL'!I20&lt;&gt;"DIRETO",'CP RESUMO'!$C$14=""),"",IFERROR(INDEX('CP RESUMO'!$D$14:$BW$14,MATCH(DATE($D$5,12,1),'CP RESUMO'!$D$4:$BW$4,0))/100,""))</f>
        <v/>
      </c>
      <c r="E21" s="97" t="str">
        <f aca="false">IF('VALOR POR PL'!I20&lt;&gt;"DIRETO","",MDO!$K$14)</f>
        <v/>
      </c>
      <c r="F21" s="98" t="n">
        <f aca="false">SUMPRODUCT((YEAR(MDO!$B$5:$B$76)=$D$5)*(MDO!$C$5:$C$76+MDO!$D$5:$D$76))</f>
        <v>5901875.5295059</v>
      </c>
      <c r="G21" s="98" t="n">
        <f aca="false">SUMPRODUCT((YEAR('MODELO PARA BI'!$H$1:$CA$1)=$D$5)*'MODELO PARA BI'!$H$49:$CA$49)</f>
        <v>4550.79465513694</v>
      </c>
      <c r="H21" s="98" t="n">
        <f aca="false">IF(ISNUMBER($G$5),G21*$G$5,0)</f>
        <v>5901875.5295059</v>
      </c>
      <c r="I21" s="96" t="n">
        <f aca="false">IF($F$53=0,0,F21/$F$53)</f>
        <v>0.123977391820705</v>
      </c>
      <c r="J21" s="96" t="n">
        <f aca="false">IF('VALOR POR PL'!L20=0,0,SUMPRODUCT((MDO!$B$5:$B$76&lt;=DATE($D$5,12,1))*(MDO!$C$5:$C$76+MDO!$D$5:$D$76))/'VALOR POR PL'!L20)</f>
        <v>0.506390704392884</v>
      </c>
      <c r="K21" s="99" t="str">
        <f aca="false" t="array" ref="K21: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",TRUE(),IF(('CRONOGRAMA ATIVIDADES'!$S$5:$S$304=B21)*('CRONOGRAMA ATIVIDADES'!$AA$5:$AA$304&lt;&gt;""),'CRONOGRAMA ATIVIDADES'!$AA$5:$AA$304,"")))))</f>
        <v/>
      </c>
      <c r="L21" s="100"/>
      <c r="M21" s="92" t="n">
        <f aca="false">'VALOR POR PL'!L20</f>
        <v>21332424.0263632</v>
      </c>
      <c r="N21" s="93" t="n">
        <f aca="false">IF('VALOR POR PL'!I20="DIRETO",'VALOR POR PL'!L20,0)</f>
        <v>0</v>
      </c>
    </row>
    <row r="22" customFormat="false" ht="15.75" hidden="false" customHeight="true" outlineLevel="0" collapsed="false">
      <c r="A22" s="8"/>
      <c r="B22" s="85" t="str">
        <f aca="false">'VALOR POR PL'!C21</f>
        <v>11</v>
      </c>
      <c r="C22" s="86" t="str">
        <f aca="false">'VALOR POR PL'!D21</f>
        <v>EQUIPAMENTOS E FERRAMENTAS</v>
      </c>
      <c r="D22" s="87" t="str">
        <f aca="false">IF(OR('VALOR POR PL'!I21&lt;&gt;"DIRETO",'CP RESUMO'!$C$15=""),"",IFERROR(INDEX('CP RESUMO'!$D$15:$BW$15,MATCH(DATE($D$5,12,1),'CP RESUMO'!$D$4:$BW$4,0))/100,""))</f>
        <v/>
      </c>
      <c r="E22" s="88" t="str">
        <f aca="false">IF('VALOR POR PL'!I21&lt;&gt;"DIRETO","",'EQUIP E FER'!$K$14)</f>
        <v/>
      </c>
      <c r="F22" s="89" t="n">
        <f aca="false">SUMPRODUCT((YEAR('EQUIP E FER'!$B$5:$B$76)=$D$5)*('EQUIP E FER'!$C$5:$C$76+'EQUIP E FER'!$D$5:$D$76))</f>
        <v>2719995.96701235</v>
      </c>
      <c r="G22" s="89" t="n">
        <f aca="false">SUMPRODUCT((YEAR('MODELO PARA BI'!$H$1:$CA$1)=$D$5)*'MODELO PARA BI'!$H$11:$CA$11)</f>
        <v>2097.32364682895</v>
      </c>
      <c r="H22" s="89" t="n">
        <f aca="false">IF(ISNUMBER($G$5),G22*$G$5,0)</f>
        <v>2719995.96701235</v>
      </c>
      <c r="I22" s="87" t="n">
        <f aca="false">IF($F$53=0,0,F22/$F$53)</f>
        <v>0.0571374309856478</v>
      </c>
      <c r="J22" s="87" t="n">
        <f aca="false">IF('VALOR POR PL'!L21=0,0,SUMPRODUCT(('EQUIP E FER'!$B$5:$B$76&lt;=DATE($D$5,12,1))*('EQUIP E FER'!$C$5:$C$76+'EQUIP E FER'!$D$5:$D$76))/'VALOR POR PL'!L21)</f>
        <v>0.585220275566869</v>
      </c>
      <c r="K22" s="90" t="str">
        <f aca="false" t="array" ref="K22: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",TRUE(),IF(('CRONOGRAMA ATIVIDADES'!$S$5:$S$304=B22)*('CRONOGRAMA ATIVIDADES'!$AA$5:$AA$304&lt;&gt;""),'CRONOGRAMA ATIVIDADES'!$AA$5:$AA$304,"")))))</f>
        <v/>
      </c>
      <c r="L22" s="91"/>
      <c r="M22" s="92" t="n">
        <f aca="false">'VALOR POR PL'!L21</f>
        <v>6854195.05722762</v>
      </c>
      <c r="N22" s="93" t="n">
        <f aca="false">IF('VALOR POR PL'!I21="DIRETO",'VALOR POR PL'!L21,0)</f>
        <v>0</v>
      </c>
    </row>
    <row r="23" customFormat="false" ht="15.75" hidden="false" customHeight="true" outlineLevel="0" collapsed="false">
      <c r="A23" s="8"/>
      <c r="B23" s="101" t="s">
        <v>276</v>
      </c>
      <c r="C23" s="102" t="s">
        <v>277</v>
      </c>
      <c r="D23" s="103" t="str">
        <f aca="false">IFERROR(SUMPRODUCT(D12:D22,N12:N22)/SUMPRODUCT(ISNUMBER(D12:D22)*N12:N22),"")</f>
        <v/>
      </c>
      <c r="E23" s="103" t="str">
        <f aca="false">IFERROR(SUMPRODUCT(E12:E22,N12:N22)/SUMPRODUCT(ISNUMBER(E12:E22)*N12:N22),"")</f>
        <v/>
      </c>
      <c r="F23" s="104" t="n">
        <f aca="false">SUM(F12:F22)</f>
        <v>9868861.02680791</v>
      </c>
      <c r="G23" s="104" t="n">
        <f aca="false">SUM(G12:G22)</f>
        <v>7609.64201778865</v>
      </c>
      <c r="H23" s="104" t="n">
        <f aca="false">SUM(H12:H22)</f>
        <v>9868861.02680791</v>
      </c>
      <c r="I23" s="103" t="n">
        <f aca="false">IF($F$53=0,0,F23/$F$53)</f>
        <v>0.207309633052712</v>
      </c>
      <c r="J23" s="103" t="n">
        <f aca="false">IFERROR(SUMPRODUCT(J12:J22,M12:M22)/SUM(M12:M22),0)</f>
        <v>0.577994649737798</v>
      </c>
      <c r="K23" s="105"/>
      <c r="L23" s="105"/>
      <c r="M23" s="8" t="n">
        <f aca="false">SUM(M12:M22)</f>
        <v>35328822.5674817</v>
      </c>
      <c r="N23" s="0" t="n">
        <f aca="false">SUM(N12:N22)</f>
        <v>0</v>
      </c>
    </row>
    <row r="24" customFormat="false" ht="15.75" hidden="false" customHeight="true" outlineLevel="0" collapsed="false">
      <c r="A24" s="8"/>
      <c r="B24" s="85" t="str">
        <f aca="false">'VALOR POR PL'!C22</f>
        <v>12</v>
      </c>
      <c r="C24" s="86" t="str">
        <f aca="false">'VALOR POR PL'!D22</f>
        <v>SERVIÇOS INICIAIS</v>
      </c>
      <c r="D24" s="87" t="n">
        <f aca="false">IF(OR('VALOR POR PL'!I22&lt;&gt;"DIRETO",'CP RESUMO'!$C$16=""),"",IFERROR(INDEX('CP RESUMO'!$D$16:$BW$16,MATCH(DATE($D$5,12,1),'CP RESUMO'!$D$4:$BW$4,0))/100,""))</f>
        <v>1</v>
      </c>
      <c r="E24" s="88" t="n">
        <f aca="false">IF('VALOR POR PL'!I22&lt;&gt;"DIRETO","",'SERV. INICIAIS'!$K$14)</f>
        <v>1</v>
      </c>
      <c r="F24" s="89" t="n">
        <f aca="false">SUMPRODUCT((YEAR('SERV. INICIAIS'!$B$5:$B$76)=$D$5)*('SERV. INICIAIS'!$C$5:$C$76+'SERV. INICIAIS'!$D$5:$D$76))</f>
        <v>58439.3951100531</v>
      </c>
      <c r="G24" s="89" t="n">
        <f aca="false">SUMPRODUCT((YEAR('MODELO PARA BI'!$H$1:$CA$1)=$D$5)*'MODELO PARA BI'!$H$52:$CA$52)</f>
        <v>45.0612158095666</v>
      </c>
      <c r="H24" s="89" t="n">
        <f aca="false">IF(ISNUMBER($G$5),G24*$G$5,0)</f>
        <v>58439.3951100531</v>
      </c>
      <c r="I24" s="87" t="n">
        <f aca="false">IF($F$53=0,0,F24/$F$53)</f>
        <v>0.0012276036234757</v>
      </c>
      <c r="J24" s="87" t="n">
        <f aca="false">IF('VALOR POR PL'!L22=0,0,SUMPRODUCT(('SERV. INICIAIS'!$B$5:$B$76&lt;=DATE($D$5,12,1))*('SERV. INICIAIS'!$C$5:$C$76+'SERV. INICIAIS'!$D$5:$D$76))/'VALOR POR PL'!L22)</f>
        <v>1</v>
      </c>
      <c r="K24" s="90" t="str">
        <f aca="false" t="array" ref="K24: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",TRUE(),IF(('CRONOGRAMA ATIVIDADES'!$S$5:$S$304=B24)*('CRONOGRAMA ATIVIDADES'!$AA$5:$AA$304&lt;&gt;""),'CRONOGRAMA ATIVIDADES'!$AA$5:$AA$304,"")))))</f>
        <v>Concluído (todas as 2 atividades)</v>
      </c>
      <c r="L24" s="91"/>
      <c r="M24" s="92" t="n">
        <f aca="false">'VALOR POR PL'!L22</f>
        <v>170605.435110053</v>
      </c>
      <c r="N24" s="93" t="n">
        <f aca="false">IF('VALOR POR PL'!I22="DIRETO",'VALOR POR PL'!L22,0)</f>
        <v>170605.435110053</v>
      </c>
    </row>
    <row r="25" customFormat="false" ht="15.75" hidden="false" customHeight="true" outlineLevel="0" collapsed="false">
      <c r="A25" s="8"/>
      <c r="B25" s="94" t="str">
        <f aca="false">'VALOR POR PL'!C23</f>
        <v>13</v>
      </c>
      <c r="C25" s="95" t="str">
        <f aca="false">'VALOR POR PL'!D23</f>
        <v>CONTENÇÃO</v>
      </c>
      <c r="D25" s="96" t="n">
        <f aca="false">IF(OR('VALOR POR PL'!I23&lt;&gt;"DIRETO",'CP RESUMO'!$C$17=""),"",IFERROR(INDEX('CP RESUMO'!$D$17:$BW$17,MATCH(DATE($D$5,12,1),'CP RESUMO'!$D$4:$BW$4,0))/100,""))</f>
        <v>1</v>
      </c>
      <c r="E25" s="97" t="n">
        <f aca="false">IF('VALOR POR PL'!I23&lt;&gt;"DIRETO","",CONTENÇÃO!$K$14)</f>
        <v>0.7523</v>
      </c>
      <c r="F25" s="98" t="n">
        <f aca="false">SUMPRODUCT((YEAR(CONTENÇÃO!$B$5:$B$76)=$D$5)*(CONTENÇÃO!$C$5:$C$76+CONTENÇÃO!$D$5:$D$76))</f>
        <v>216322.009392298</v>
      </c>
      <c r="G25" s="98" t="n">
        <f aca="false">SUMPRODUCT((YEAR('MODELO PARA BI'!$H$1:$CA$1)=$D$5)*'MODELO PARA BI'!$H$6:$CA$6)</f>
        <v>166.800712622513</v>
      </c>
      <c r="H25" s="98" t="n">
        <f aca="false">IF(ISNUMBER($G$5),G25*$G$5,0)</f>
        <v>216322.009392298</v>
      </c>
      <c r="I25" s="96" t="n">
        <f aca="false">IF($F$53=0,0,F25/$F$53)</f>
        <v>0.00454415522384228</v>
      </c>
      <c r="J25" s="96" t="n">
        <f aca="false">IF('VALOR POR PL'!L23=0,0,SUMPRODUCT((CONTENÇÃO!$B$5:$B$76&lt;=DATE($D$5,12,1))*(CONTENÇÃO!$C$5:$C$76+CONTENÇÃO!$D$5:$D$76))/'VALOR POR PL'!L23)</f>
        <v>1</v>
      </c>
      <c r="K25" s="99" t="str">
        <f aca="false" t="array" ref="K25: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",TRUE(),IF(('CRONOGRAMA ATIVIDADES'!$S$5:$S$304=B25)*('CRONOGRAMA ATIVIDADES'!$AA$5:$AA$304&lt;&gt;""),'CRONOGRAMA ATIVIDADES'!$AA$5:$AA$304,"")))))</f>
        <v>Concluído (todas as 4 atividades)</v>
      </c>
      <c r="L25" s="100"/>
      <c r="M25" s="92" t="n">
        <f aca="false">'VALOR POR PL'!L23</f>
        <v>1423010.61313945</v>
      </c>
      <c r="N25" s="93" t="n">
        <f aca="false">IF('VALOR POR PL'!I23="DIRETO",'VALOR POR PL'!L23,0)</f>
        <v>1423010.61313945</v>
      </c>
    </row>
    <row r="26" customFormat="false" ht="15.75" hidden="false" customHeight="true" outlineLevel="0" collapsed="false">
      <c r="A26" s="8"/>
      <c r="B26" s="85" t="str">
        <f aca="false">'VALOR POR PL'!C24</f>
        <v>14</v>
      </c>
      <c r="C26" s="86" t="str">
        <f aca="false">'VALOR POR PL'!D24</f>
        <v>TERRAPLENAGEM</v>
      </c>
      <c r="D26" s="87" t="n">
        <f aca="false">IF(OR('VALOR POR PL'!I24&lt;&gt;"DIRETO",'CP RESUMO'!$C$18=""),"",IFERROR(INDEX('CP RESUMO'!$D$18:$BW$18,MATCH(DATE($D$5,12,1),'CP RESUMO'!$D$4:$BW$4,0))/100,""))</f>
        <v>1</v>
      </c>
      <c r="E26" s="88" t="n">
        <f aca="false">IF('VALOR POR PL'!I24&lt;&gt;"DIRETO","",TERRAPLENAGEM!$K$14)</f>
        <v>0.86</v>
      </c>
      <c r="F26" s="89" t="n">
        <f aca="false">SUMPRODUCT((YEAR(TERRAPLENAGEM!$B$5:$B$76)=$D$5)*(TERRAPLENAGEM!$C$5:$C$76+TERRAPLENAGEM!$D$5:$D$76))</f>
        <v>59590.8018495999</v>
      </c>
      <c r="G26" s="89" t="n">
        <f aca="false">SUMPRODUCT((YEAR('MODELO PARA BI'!$H$1:$CA$1)=$D$5)*'MODELO PARA BI'!$H$44:$CA$44)</f>
        <v>45.9490379281496</v>
      </c>
      <c r="H26" s="89" t="n">
        <f aca="false">IF(ISNUMBER($G$5),G26*$G$5,0)</f>
        <v>59590.8018495999</v>
      </c>
      <c r="I26" s="87" t="n">
        <f aca="false">IF($F$53=0,0,F26/$F$53)</f>
        <v>0.00125179057960179</v>
      </c>
      <c r="J26" s="87" t="n">
        <f aca="false">IF('VALOR POR PL'!L24=0,0,SUMPRODUCT((TERRAPLENAGEM!$B$5:$B$76&lt;=DATE($D$5,12,1))*(TERRAPLENAGEM!$C$5:$C$76+TERRAPLENAGEM!$D$5:$D$76))/'VALOR POR PL'!L24)</f>
        <v>1</v>
      </c>
      <c r="K26" s="90" t="str">
        <f aca="false" t="array" ref="K26: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",TRUE(),IF(('CRONOGRAMA ATIVIDADES'!$S$5:$S$304=B26)*('CRONOGRAMA ATIVIDADES'!$AA$5:$AA$304&lt;&gt;""),'CRONOGRAMA ATIVIDADES'!$AA$5:$AA$304,"")))))</f>
        <v>Concluído (todas as 2 atividades)</v>
      </c>
      <c r="L26" s="91"/>
      <c r="M26" s="92" t="n">
        <f aca="false">'VALOR POR PL'!L24</f>
        <v>1274343.65832616</v>
      </c>
      <c r="N26" s="93" t="n">
        <f aca="false">IF('VALOR POR PL'!I24="DIRETO",'VALOR POR PL'!L24,0)</f>
        <v>1274343.65832616</v>
      </c>
    </row>
    <row r="27" customFormat="false" ht="15.75" hidden="false" customHeight="true" outlineLevel="0" collapsed="false">
      <c r="A27" s="8"/>
      <c r="B27" s="94" t="str">
        <f aca="false">'VALOR POR PL'!C25</f>
        <v>15</v>
      </c>
      <c r="C27" s="95" t="str">
        <f aca="false">'VALOR POR PL'!D25</f>
        <v>FUNDAÇÃO PROFUNDA</v>
      </c>
      <c r="D27" s="96" t="n">
        <f aca="false">IF(OR('VALOR POR PL'!I25&lt;&gt;"DIRETO",'CP RESUMO'!$C$19=""),"",IFERROR(INDEX('CP RESUMO'!$D$19:$BW$19,MATCH(DATE($D$5,12,1),'CP RESUMO'!$D$4:$BW$4,0))/100,""))</f>
        <v>1</v>
      </c>
      <c r="E27" s="97" t="n">
        <f aca="false">IF('VALOR POR PL'!I25&lt;&gt;"DIRETO","",'FUND. PROF'!$K$14)</f>
        <v>0.9953</v>
      </c>
      <c r="F27" s="98" t="n">
        <f aca="false">SUMPRODUCT((YEAR('FUND. PROF'!$B$5:$B$76)=$D$5)*('FUND. PROF'!$C$5:$C$76+'FUND. PROF'!$D$5:$D$76))</f>
        <v>12311.38</v>
      </c>
      <c r="G27" s="98" t="n">
        <f aca="false">SUMPRODUCT((YEAR('MODELO PARA BI'!$H$1:$CA$1)=$D$5)*'MODELO PARA BI'!$H$15:$CA$15)</f>
        <v>9.49300981040012</v>
      </c>
      <c r="H27" s="98" t="n">
        <f aca="false">IF(ISNUMBER($G$5),G27*$G$5,0)</f>
        <v>12311.38</v>
      </c>
      <c r="I27" s="96" t="n">
        <f aca="false">IF($F$53=0,0,F27/$F$53)</f>
        <v>0.000258618260328064</v>
      </c>
      <c r="J27" s="96" t="n">
        <f aca="false">IF('VALOR POR PL'!L25=0,0,SUMPRODUCT(('FUND. PROF'!$B$5:$B$76&lt;=DATE($D$5,12,1))*('FUND. PROF'!$C$5:$C$76+'FUND. PROF'!$D$5:$D$76))/'VALOR POR PL'!L25)</f>
        <v>0.999702208922429</v>
      </c>
      <c r="K27" s="99" t="str">
        <f aca="false" t="array" ref="K27: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",TRUE(),IF(('CRONOGRAMA ATIVIDADES'!$S$5:$S$304=B27)*('CRONOGRAMA ATIVIDADES'!$AA$5:$AA$304&lt;&gt;""),'CRONOGRAMA ATIVIDADES'!$AA$5:$AA$304,"")))))</f>
        <v>Concluído (todas as 133 atividades)</v>
      </c>
      <c r="L27" s="100"/>
      <c r="M27" s="92" t="n">
        <f aca="false">'VALOR POR PL'!L25</f>
        <v>6863872.54</v>
      </c>
      <c r="N27" s="93" t="n">
        <f aca="false">IF('VALOR POR PL'!I25="DIRETO",'VALOR POR PL'!L25,0)</f>
        <v>6863872.54</v>
      </c>
    </row>
    <row r="28" customFormat="false" ht="15.75" hidden="false" customHeight="true" outlineLevel="0" collapsed="false">
      <c r="A28" s="8"/>
      <c r="B28" s="85" t="str">
        <f aca="false">'VALOR POR PL'!C26</f>
        <v>16</v>
      </c>
      <c r="C28" s="86" t="str">
        <f aca="false">'VALOR POR PL'!D26</f>
        <v>FUNDAÇÃO SUPERFICIAL</v>
      </c>
      <c r="D28" s="87" t="n">
        <f aca="false">IF(OR('VALOR POR PL'!I26&lt;&gt;"DIRETO",'CP RESUMO'!$C$20=""),"",IFERROR(INDEX('CP RESUMO'!$D$20:$BW$20,MATCH(DATE($D$5,12,1),'CP RESUMO'!$D$4:$BW$4,0))/100,""))</f>
        <v>1</v>
      </c>
      <c r="E28" s="88" t="n">
        <f aca="false">IF('VALOR POR PL'!I26&lt;&gt;"DIRETO","",'FUND. SUP'!$K$14)</f>
        <v>0.7666</v>
      </c>
      <c r="F28" s="89" t="n">
        <f aca="false">SUMPRODUCT((YEAR('FUND. SUP'!$B$5:$B$76)=$D$5)*('FUND. SUP'!$C$5:$C$76+'FUND. SUP'!$D$5:$D$76))</f>
        <v>949647.702742049</v>
      </c>
      <c r="G28" s="89" t="n">
        <f aca="false">SUMPRODUCT((YEAR('MODELO PARA BI'!$H$1:$CA$1)=$D$5)*'MODELO PARA BI'!$H$16:$CA$16)</f>
        <v>732.250564807049</v>
      </c>
      <c r="H28" s="89" t="n">
        <f aca="false">IF(ISNUMBER($G$5),G28*$G$5,0)</f>
        <v>949647.702742049</v>
      </c>
      <c r="I28" s="87" t="n">
        <f aca="false">IF($F$53=0,0,F28/$F$53)</f>
        <v>0.019948717106262</v>
      </c>
      <c r="J28" s="87" t="n">
        <f aca="false">IF('VALOR POR PL'!L26=0,0,SUMPRODUCT(('FUND. SUP'!$B$5:$B$76&lt;=DATE($D$5,12,1))*('FUND. SUP'!$C$5:$C$76+'FUND. SUP'!$D$5:$D$76))/'VALOR POR PL'!L26)</f>
        <v>0.94132391123226</v>
      </c>
      <c r="K28" s="90" t="str">
        <f aca="false" t="array" ref="K28: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",TRUE(),IF(('CRONOGRAMA ATIVIDADES'!$S$5:$S$304=B28)*('CRONOGRAMA ATIVIDADES'!$AA$5:$AA$304&lt;&gt;""),'CRONOGRAMA ATIVIDADES'!$AA$5:$AA$304,"")))))</f>
        <v>Concluído (todas as 82 atividades)</v>
      </c>
      <c r="L28" s="91"/>
      <c r="M28" s="92" t="n">
        <f aca="false">'VALOR POR PL'!L26</f>
        <v>4345864.1654116</v>
      </c>
      <c r="N28" s="93" t="n">
        <f aca="false">IF('VALOR POR PL'!I26="DIRETO",'VALOR POR PL'!L26,0)</f>
        <v>4345864.1654116</v>
      </c>
    </row>
    <row r="29" customFormat="false" ht="29.25" hidden="false" customHeight="true" outlineLevel="0" collapsed="false">
      <c r="A29" s="8"/>
      <c r="B29" s="101" t="s">
        <v>278</v>
      </c>
      <c r="C29" s="102" t="s">
        <v>279</v>
      </c>
      <c r="D29" s="103" t="n">
        <f aca="false">IFERROR(SUMPRODUCT(D24:D28,N24:N28)/SUMPRODUCT(ISNUMBER(D24:D28)*N24:N28),"")</f>
        <v>1</v>
      </c>
      <c r="E29" s="103" t="n">
        <f aca="false">IFERROR(SUMPRODUCT(E24:E28,N24:N28)/SUMPRODUCT(ISNUMBER(E24:E28)*N24:N28),"")</f>
        <v>0.887945250982814</v>
      </c>
      <c r="F29" s="104" t="n">
        <f aca="false">SUM(F24:F28)</f>
        <v>1296311.289094</v>
      </c>
      <c r="G29" s="104" t="n">
        <f aca="false">SUM(G24:G28)</f>
        <v>999.554540977678</v>
      </c>
      <c r="H29" s="104" t="n">
        <f aca="false">SUM(H24:H28)</f>
        <v>1296311.289094</v>
      </c>
      <c r="I29" s="103" t="n">
        <f aca="false">IF($F$53=0,0,F29/$F$53)</f>
        <v>0.0272308847935098</v>
      </c>
      <c r="J29" s="103" t="n">
        <f aca="false">IFERROR(SUMPRODUCT(J24:J28,M24:M28)/SUM(M24:M28),0)</f>
        <v>0.981741166734967</v>
      </c>
      <c r="K29" s="105"/>
      <c r="L29" s="105"/>
      <c r="M29" s="8" t="n">
        <f aca="false">SUM(M24:M28)</f>
        <v>14077696.4119873</v>
      </c>
      <c r="N29" s="0" t="n">
        <f aca="false">SUM(N24:N28)</f>
        <v>14077696.4119873</v>
      </c>
    </row>
    <row r="30" customFormat="false" ht="15.75" hidden="false" customHeight="true" outlineLevel="0" collapsed="false">
      <c r="A30" s="8"/>
      <c r="B30" s="85" t="str">
        <f aca="false">'VALOR POR PL'!C27</f>
        <v>17</v>
      </c>
      <c r="C30" s="86" t="str">
        <f aca="false">'VALOR POR PL'!D27</f>
        <v>ESTRUTURA EM CONCRETO ARMADO</v>
      </c>
      <c r="D30" s="87" t="n">
        <f aca="false">IF(OR('VALOR POR PL'!I27&lt;&gt;"DIRETO",'CP RESUMO'!$C$21=""),"",IFERROR(INDEX('CP RESUMO'!$D$21:$BW$21,MATCH(DATE($D$5,12,1),'CP RESUMO'!$D$4:$BW$4,0))/100,""))</f>
        <v>0.9662</v>
      </c>
      <c r="E30" s="88" t="n">
        <f aca="false">IF('VALOR POR PL'!I27&lt;&gt;"DIRETO","",ESTRUTURA!$K$14)</f>
        <v>0.0807</v>
      </c>
      <c r="F30" s="89" t="n">
        <f aca="false">SUMPRODUCT((YEAR(ESTRUTURA!$B$5:$B$76)=$D$5)*(ESTRUTURA!$C$5:$C$76+ESTRUTURA!$D$5:$D$76))</f>
        <v>16405808.4378074</v>
      </c>
      <c r="G30" s="89" t="n">
        <f aca="false">SUMPRODUCT((YEAR('MODELO PARA BI'!$H$1:$CA$1)=$D$5)*'MODELO PARA BI'!$H$13:$CA$13)</f>
        <v>12650.1253675583</v>
      </c>
      <c r="H30" s="89" t="n">
        <f aca="false">IF(ISNUMBER($G$5),G30*$G$5,0)</f>
        <v>16405808.4378074</v>
      </c>
      <c r="I30" s="87" t="n">
        <f aca="false">IF($F$53=0,0,F30/$F$53)</f>
        <v>0.344627623991885</v>
      </c>
      <c r="J30" s="87" t="n">
        <f aca="false">IF('VALOR POR PL'!L27=0,0,SUMPRODUCT((ESTRUTURA!$B$5:$B$76&lt;=DATE($D$5,12,1))*(ESTRUTURA!$C$5:$C$76+ESTRUTURA!$D$5:$D$76))/'VALOR POR PL'!L27)</f>
        <v>0.973998341966936</v>
      </c>
      <c r="K30" s="90" t="str">
        <f aca="false" t="array" ref="K30: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",TRUE(),IF(('CRONOGRAMA ATIVIDADES'!$S$5:$S$304=B30)*('CRONOGRAMA ATIVIDADES'!$AA$5:$AA$304&lt;&gt;""),'CRONOGRAMA ATIVIDADES'!$AA$5:$AA$304,"")))))</f>
        <v>Estrutura: até 32º pav. (restam serviços no 32º pav.)</v>
      </c>
      <c r="L30" s="91" t="s">
        <v>280</v>
      </c>
      <c r="M30" s="92" t="n">
        <f aca="false">'VALOR POR PL'!L27</f>
        <v>27173442.6676606</v>
      </c>
      <c r="N30" s="93" t="n">
        <f aca="false">IF('VALOR POR PL'!I27="DIRETO",'VALOR POR PL'!L27,0)</f>
        <v>27173442.6676606</v>
      </c>
    </row>
    <row r="31" customFormat="false" ht="42" hidden="false" customHeight="true" outlineLevel="0" collapsed="false">
      <c r="A31" s="8"/>
      <c r="B31" s="94" t="str">
        <f aca="false">'VALOR POR PL'!C28</f>
        <v>18</v>
      </c>
      <c r="C31" s="95" t="str">
        <f aca="false">'VALOR POR PL'!D28</f>
        <v>ALVENARIA</v>
      </c>
      <c r="D31" s="96" t="n">
        <f aca="false">IF(OR('VALOR POR PL'!I28&lt;&gt;"DIRETO",'CP RESUMO'!$C$22=""),"",IFERROR(INDEX('CP RESUMO'!$D$22:$BW$22,MATCH(DATE($D$5,12,1),'CP RESUMO'!$D$4:$BW$4,0))/100,""))</f>
        <v>0.6684</v>
      </c>
      <c r="E31" s="97" t="n">
        <f aca="false">IF('VALOR POR PL'!I28&lt;&gt;"DIRETO","",ALVENARIA!$K$14)</f>
        <v>0</v>
      </c>
      <c r="F31" s="98" t="n">
        <f aca="false">SUMPRODUCT((YEAR(ALVENARIA!$B$5:$B$76)=$D$5)*(ALVENARIA!$C$5:$C$76+ALVENARIA!$D$5:$D$76))</f>
        <v>3695424.6811422</v>
      </c>
      <c r="G31" s="98" t="n">
        <f aca="false">SUMPRODUCT((YEAR('MODELO PARA BI'!$H$1:$CA$1)=$D$5)*'MODELO PARA BI'!$H$2:$CA$2)</f>
        <v>2849.45333111947</v>
      </c>
      <c r="H31" s="98" t="n">
        <f aca="false">IF(ISNUMBER($G$5),G31*$G$5,0)</f>
        <v>3695424.6811422</v>
      </c>
      <c r="I31" s="96" t="n">
        <f aca="false">IF($F$53=0,0,F31/$F$53)</f>
        <v>0.077627715350382</v>
      </c>
      <c r="J31" s="96" t="n">
        <f aca="false">IF('VALOR POR PL'!L28=0,0,SUMPRODUCT((ALVENARIA!$B$5:$B$76&lt;=DATE($D$5,12,1))*(ALVENARIA!$C$5:$C$76+ALVENARIA!$D$5:$D$76))/'VALOR POR PL'!L28)</f>
        <v>0.585125723543925</v>
      </c>
      <c r="K31" s="99" t="str">
        <f aca="false" t="array" ref="K31: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",TRUE(),IF(('CRONOGRAMA ATIVIDADES'!$S$5:$S$304=B31)*('CRONOGRAMA ATIVIDADES'!$AA$5:$AA$304&lt;&gt;""),'CRONOGRAMA ATIVIDADES'!$AA$5:$AA$304,"")))))</f>
        <v>Alvenaria: até 28º pav., executando 29º pav. / Encunhamento: até 27º pav. / Drywall 1ª face: até 20º pav., executando 21º pav. / Drywall 2ª face: até 17º pav., executando 18º pav. / Drywall: até térreo</v>
      </c>
      <c r="L31" s="100" t="s">
        <v>281</v>
      </c>
      <c r="M31" s="92" t="n">
        <f aca="false">'VALOR POR PL'!L28</f>
        <v>6315607.9667121</v>
      </c>
      <c r="N31" s="93" t="n">
        <f aca="false">IF('VALOR POR PL'!I28="DIRETO",'VALOR POR PL'!L28,0)</f>
        <v>6315607.9667121</v>
      </c>
    </row>
    <row r="32" customFormat="false" ht="15.75" hidden="false" customHeight="true" outlineLevel="0" collapsed="false">
      <c r="A32" s="8"/>
      <c r="B32" s="85" t="str">
        <f aca="false">'VALOR POR PL'!C29</f>
        <v>19</v>
      </c>
      <c r="C32" s="86" t="str">
        <f aca="false">'VALOR POR PL'!D29</f>
        <v>IMPERMEABILIZAÇÃO</v>
      </c>
      <c r="D32" s="87" t="n">
        <f aca="false">IF(OR('VALOR POR PL'!I29&lt;&gt;"DIRETO",'CP RESUMO'!$C$23=""),"",IFERROR(INDEX('CP RESUMO'!$D$23:$BW$23,MATCH(DATE($D$5,12,1),'CP RESUMO'!$D$4:$BW$4,0))/100,""))</f>
        <v>0.3053</v>
      </c>
      <c r="E32" s="88" t="n">
        <f aca="false">IF('VALOR POR PL'!I29&lt;&gt;"DIRETO","",IMPERMEABILIZAÇÃO!$K$14)</f>
        <v>0</v>
      </c>
      <c r="F32" s="89" t="n">
        <f aca="false">SUMPRODUCT((YEAR(IMPERMEABILIZAÇÃO!$B$5:$B$76)=$D$5)*(IMPERMEABILIZAÇÃO!$C$5:$C$76+IMPERMEABILIZAÇÃO!$D$5:$D$76))</f>
        <v>1053056.10010932</v>
      </c>
      <c r="G32" s="89" t="n">
        <f aca="false">SUMPRODUCT((YEAR('MODELO PARA BI'!$H$1:$CA$1)=$D$5)*'MODELO PARA BI'!$H$17:$CA$17)</f>
        <v>811.986299605686</v>
      </c>
      <c r="H32" s="89" t="n">
        <f aca="false">IF(ISNUMBER($G$5),G32*$G$5,0)</f>
        <v>1053056.10010932</v>
      </c>
      <c r="I32" s="87" t="n">
        <f aca="false">IF($F$53=0,0,F32/$F$53)</f>
        <v>0.0221209593593998</v>
      </c>
      <c r="J32" s="87" t="n">
        <f aca="false">IF('VALOR POR PL'!L29=0,0,SUMPRODUCT((IMPERMEABILIZAÇÃO!$B$5:$B$76&lt;=DATE($D$5,12,1))*(IMPERMEABILIZAÇÃO!$C$5:$C$76+IMPERMEABILIZAÇÃO!$D$5:$D$76))/'VALOR POR PL'!L29)</f>
        <v>0.251591921218057</v>
      </c>
      <c r="K32" s="90" t="str">
        <f aca="false" t="array" ref="K32: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",TRUE(),IF(('CRONOGRAMA ATIVIDADES'!$S$5:$S$304=B32)*('CRONOGRAMA ATIVIDADES'!$AA$5:$AA$304&lt;&gt;""),'CRONOGRAMA ATIVIDADES'!$AA$5:$AA$304,"")))))</f>
        <v>Impermeabilização: até 16º pav., executando 17º pav.</v>
      </c>
      <c r="L32" s="91" t="s">
        <v>282</v>
      </c>
      <c r="M32" s="92" t="n">
        <f aca="false">'VALOR POR PL'!L29</f>
        <v>4185571.99695067</v>
      </c>
      <c r="N32" s="93" t="n">
        <f aca="false">IF('VALOR POR PL'!I29="DIRETO",'VALOR POR PL'!L29,0)</f>
        <v>4185571.99695067</v>
      </c>
    </row>
    <row r="33" customFormat="false" ht="69" hidden="false" customHeight="true" outlineLevel="0" collapsed="false">
      <c r="A33" s="8"/>
      <c r="B33" s="94" t="str">
        <f aca="false">'VALOR POR PL'!C30</f>
        <v>20</v>
      </c>
      <c r="C33" s="95" t="str">
        <f aca="false">'VALOR POR PL'!D30</f>
        <v>INSTALAÇÕES ELÉTRICAS</v>
      </c>
      <c r="D33" s="96" t="n">
        <f aca="false">IF(OR('VALOR POR PL'!I30&lt;&gt;"DIRETO",'CP RESUMO'!$C$24=""),"",IFERROR(INDEX('CP RESUMO'!$D$24:$BW$24,MATCH(DATE($D$5,12,1),'CP RESUMO'!$D$4:$BW$4,0))/100,""))</f>
        <v>0.3026</v>
      </c>
      <c r="E33" s="97" t="n">
        <f aca="false">IF('VALOR POR PL'!I30&lt;&gt;"DIRETO","",'INST. ELÉTRICA'!$K$14)</f>
        <v>0</v>
      </c>
      <c r="F33" s="98" t="n">
        <f aca="false">SUMPRODUCT((YEAR('INST. ELÉTRICA'!$B$5:$B$76)=$D$5)*('INST. ELÉTRICA'!$C$5:$C$76+'INST. ELÉTRICA'!$D$5:$D$76))</f>
        <v>2084697.93452584</v>
      </c>
      <c r="G33" s="98" t="n">
        <f aca="false">SUMPRODUCT((YEAR('MODELO PARA BI'!$H$1:$CA$1)=$D$5)*'MODELO PARA BI'!$H$19:$CA$19)</f>
        <v>1607.46057259013</v>
      </c>
      <c r="H33" s="98" t="n">
        <f aca="false">IF(ISNUMBER($G$5),G33*$G$5,0)</f>
        <v>2084697.93452584</v>
      </c>
      <c r="I33" s="96" t="n">
        <f aca="false">IF($F$53=0,0,F33/$F$53)</f>
        <v>0.0437920812400058</v>
      </c>
      <c r="J33" s="96" t="n">
        <f aca="false">IF('VALOR POR PL'!L30=0,0,SUMPRODUCT(('INST. ELÉTRICA'!$B$5:$B$76&lt;=DATE($D$5,12,1))*('INST. ELÉTRICA'!$C$5:$C$76+'INST. ELÉTRICA'!$D$5:$D$76))/'VALOR POR PL'!L30)</f>
        <v>0.208738768922365</v>
      </c>
      <c r="K33" s="99" t="str">
        <f aca="false" t="array" ref="K33: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",TRUE(),IF(('CRONOGRAMA ATIVIDADES'!$S$5:$S$304=B33)*('CRONOGRAMA ATIVIDADES'!$AA$5:$AA$304&lt;&gt;""),'CRONOGRAMA ATIVIDADES'!$AA$5:$AA$304,"")))))</f>
        <v>Distribuição elétrica / quadro: até 25º pav., executando 26º pav. / Prumada elétrica - infra: até 22º pav., executando 23º pav. / Distribuição elétrica/quadro - drywall: até 18º pav., executando 20º pav. / Fiação elétrica: até 12º pav., executando 13º pav. / Prumada elétrica - cabos: até 12º pav., executando 13º pav. / Fiação telecom/dados: até 12º pav., executando 13º pav.</v>
      </c>
      <c r="L33" s="100" t="s">
        <v>283</v>
      </c>
      <c r="M33" s="92" t="n">
        <f aca="false">'VALOR POR PL'!L30</f>
        <v>11650169.6711975</v>
      </c>
      <c r="N33" s="93" t="n">
        <f aca="false">IF('VALOR POR PL'!I30="DIRETO",'VALOR POR PL'!L30,0)</f>
        <v>11650169.6711975</v>
      </c>
    </row>
    <row r="34" customFormat="false" ht="69" hidden="false" customHeight="true" outlineLevel="0" collapsed="false">
      <c r="A34" s="8"/>
      <c r="B34" s="85" t="str">
        <f aca="false">'VALOR POR PL'!C31</f>
        <v>21</v>
      </c>
      <c r="C34" s="86" t="str">
        <f aca="false">'VALOR POR PL'!D31</f>
        <v>INSTALAÇÕES HIDROSANITÁRIAS</v>
      </c>
      <c r="D34" s="87" t="n">
        <f aca="false">IF(OR('VALOR POR PL'!I31&lt;&gt;"DIRETO",'CP RESUMO'!$C$25=""),"",IFERROR(INDEX('CP RESUMO'!$D$25:$BW$25,MATCH(DATE($D$5,12,1),'CP RESUMO'!$D$4:$BW$4,0))/100,""))</f>
        <v>0.6507</v>
      </c>
      <c r="E34" s="88" t="n">
        <f aca="false">IF('VALOR POR PL'!I31&lt;&gt;"DIRETO","",'INST. HIDRO'!$K$14)</f>
        <v>0</v>
      </c>
      <c r="F34" s="89" t="n">
        <f aca="false">SUMPRODUCT((YEAR('INST. HIDRO'!$B$5:$B$76)=$D$5)*('INST. HIDRO'!$C$5:$C$76+'INST. HIDRO'!$D$5:$D$76))</f>
        <v>1688454.19589242</v>
      </c>
      <c r="G34" s="89" t="n">
        <f aca="false">SUMPRODUCT((YEAR('MODELO PARA BI'!$H$1:$CA$1)=$D$5)*'MODELO PARA BI'!$H$21:$CA$21)</f>
        <v>1301.92653025234</v>
      </c>
      <c r="H34" s="89" t="n">
        <f aca="false">IF(ISNUMBER($G$5),G34*$G$5,0)</f>
        <v>1688454.19589242</v>
      </c>
      <c r="I34" s="87" t="n">
        <f aca="false">IF($F$53=0,0,F34/$F$53)</f>
        <v>0.0354684110786377</v>
      </c>
      <c r="J34" s="87" t="n">
        <f aca="false">IF('VALOR POR PL'!L31=0,0,SUMPRODUCT(('INST. HIDRO'!$B$5:$B$76&lt;=DATE($D$5,12,1))*('INST. HIDRO'!$C$5:$C$76+'INST. HIDRO'!$D$5:$D$76))/'VALOR POR PL'!L31)</f>
        <v>0.240735022640116</v>
      </c>
      <c r="K34" s="90" t="str">
        <f aca="false" t="array" ref="K34: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",TRUE(),IF(('CRONOGRAMA ATIVIDADES'!$S$5:$S$304=B34)*('CRONOGRAMA ATIVIDADES'!$AA$5:$AA$304&lt;&gt;""),'CRONOGRAMA ATIVIDADES'!$AA$5:$AA$304,"")))))</f>
        <v>Prumada hidrossanitária: até 27º pav., executando 28º pav. / Distribuição hidrossanitária: até 25º pav., executando 26º pav. / Distribuição de gás: até 25º pav., executando 26º pav. / Shaft interno inst. hidraúlicas: até 22º pav., executando 23º pav. / Distribuição hidráulica: até 4º pav. (restam serviços no 1º pav.) / Distribuição de gás - drywall: até 18º pav., executando 20º pav. / Distribuição hidráulica - drywall: até 18º pav., executando 20º pav.</v>
      </c>
      <c r="L34" s="91" t="s">
        <v>284</v>
      </c>
      <c r="M34" s="92" t="n">
        <f aca="false">'VALOR POR PL'!L31</f>
        <v>7856893.62374879</v>
      </c>
      <c r="N34" s="93" t="n">
        <f aca="false">IF('VALOR POR PL'!I31="DIRETO",'VALOR POR PL'!L31,0)</f>
        <v>7856893.62374879</v>
      </c>
    </row>
    <row r="35" customFormat="false" ht="15.75" hidden="false" customHeight="true" outlineLevel="0" collapsed="false">
      <c r="A35" s="8"/>
      <c r="B35" s="94" t="str">
        <f aca="false">'VALOR POR PL'!C32</f>
        <v>22</v>
      </c>
      <c r="C35" s="95" t="str">
        <f aca="false">'VALOR POR PL'!D32</f>
        <v>INSTALAÇÕES COMBATE INCÊNDIO</v>
      </c>
      <c r="D35" s="96" t="n">
        <f aca="false">IF(OR('VALOR POR PL'!I32&lt;&gt;"DIRETO",'CP RESUMO'!$C$26=""),"",IFERROR(INDEX('CP RESUMO'!$D$26:$BW$26,MATCH(DATE($D$5,12,1),'CP RESUMO'!$D$4:$BW$4,0))/100,""))</f>
        <v>0.6585</v>
      </c>
      <c r="E35" s="97" t="n">
        <f aca="false">IF('VALOR POR PL'!I32&lt;&gt;"DIRETO","",'INST. INC'!$K$14)</f>
        <v>0</v>
      </c>
      <c r="F35" s="98" t="n">
        <f aca="false">SUMPRODUCT((YEAR('INST. INC'!$B$5:$B$76)=$D$5)*('INST. INC'!$C$5:$C$76+'INST. INC'!$D$5:$D$76))</f>
        <v>481654.909059275</v>
      </c>
      <c r="G35" s="98" t="n">
        <f aca="false">SUMPRODUCT((YEAR('MODELO PARA BI'!$H$1:$CA$1)=$D$5)*'MODELO PARA BI'!$H$18:$CA$18)</f>
        <v>371.39254713339</v>
      </c>
      <c r="H35" s="98" t="n">
        <f aca="false">IF(ISNUMBER($G$5),G35*$G$5,0)</f>
        <v>481654.909059275</v>
      </c>
      <c r="I35" s="96" t="n">
        <f aca="false">IF($F$53=0,0,F35/$F$53)</f>
        <v>0.0101178547538441</v>
      </c>
      <c r="J35" s="96" t="n">
        <f aca="false">IF('VALOR POR PL'!L32=0,0,SUMPRODUCT(('INST. INC'!$B$5:$B$76&lt;=DATE($D$5,12,1))*('INST. INC'!$C$5:$C$76+'INST. INC'!$D$5:$D$76))/'VALOR POR PL'!L32)</f>
        <v>0.578399997493596</v>
      </c>
      <c r="K35" s="99" t="str">
        <f aca="false" t="array" ref="K35: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",TRUE(),IF(('CRONOGRAMA ATIVIDADES'!$S$5:$S$304=B35)*('CRONOGRAMA ATIVIDADES'!$AA$5:$AA$304&lt;&gt;""),'CRONOGRAMA ATIVIDADES'!$AA$5:$AA$304,"")))))</f>
        <v>Prumada de incêndio: até 27º pav., executando 28º pav.</v>
      </c>
      <c r="L35" s="100" t="s">
        <v>285</v>
      </c>
      <c r="M35" s="92" t="n">
        <f aca="false">'VALOR POR PL'!L32</f>
        <v>832736.706684734</v>
      </c>
      <c r="N35" s="93" t="n">
        <f aca="false">IF('VALOR POR PL'!I32="DIRETO",'VALOR POR PL'!L32,0)</f>
        <v>832736.706684734</v>
      </c>
    </row>
    <row r="36" customFormat="false" ht="15.75" hidden="false" customHeight="true" outlineLevel="0" collapsed="false">
      <c r="A36" s="8"/>
      <c r="B36" s="85" t="str">
        <f aca="false">'VALOR POR PL'!C33</f>
        <v>23</v>
      </c>
      <c r="C36" s="86" t="str">
        <f aca="false">'VALOR POR PL'!D33</f>
        <v>INSTALAÇÕES ESPECIAIS</v>
      </c>
      <c r="D36" s="87" t="n">
        <f aca="false">IF(OR('VALOR POR PL'!I33&lt;&gt;"DIRETO",'CP RESUMO'!$C$27=""),"",IFERROR(INDEX('CP RESUMO'!$D$27:$BW$27,MATCH(DATE($D$5,12,1),'CP RESUMO'!$D$4:$BW$4,0))/100,""))</f>
        <v>0.3357</v>
      </c>
      <c r="E36" s="88" t="n">
        <f aca="false">IF('VALOR POR PL'!I33&lt;&gt;"DIRETO","",'INST. ESP'!$K$14)</f>
        <v>0</v>
      </c>
      <c r="F36" s="89" t="n">
        <f aca="false">SUMPRODUCT((YEAR('INST. ESP'!$B$5:$B$76)=$D$5)*('INST. ESP'!$C$5:$C$76+'INST. ESP'!$D$5:$D$76))</f>
        <v>790945.318056139</v>
      </c>
      <c r="G36" s="89" t="n">
        <f aca="false">SUMPRODUCT((YEAR('MODELO PARA BI'!$H$1:$CA$1)=$D$5)*'MODELO PARA BI'!$H$20:$CA$20)</f>
        <v>609.878962699305</v>
      </c>
      <c r="H36" s="89" t="n">
        <f aca="false">IF(ISNUMBER($G$5),G36*$G$5,0)</f>
        <v>790945.318056139</v>
      </c>
      <c r="I36" s="87" t="n">
        <f aca="false">IF($F$53=0,0,F36/$F$53)</f>
        <v>0.0166149450484272</v>
      </c>
      <c r="J36" s="87" t="n">
        <f aca="false">IF('VALOR POR PL'!L33=0,0,SUMPRODUCT(('INST. ESP'!$B$5:$B$76&lt;=DATE($D$5,12,1))*('INST. ESP'!$C$5:$C$76+'INST. ESP'!$D$5:$D$76))/'VALOR POR PL'!L33)</f>
        <v>0.27649999885994</v>
      </c>
      <c r="K36" s="90" t="str">
        <f aca="false" t="array" ref="K36: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",TRUE(),IF(('CRONOGRAMA ATIVIDADES'!$S$5:$S$304=B36)*('CRONOGRAMA ATIVIDADES'!$AA$5:$AA$304&lt;&gt;""),'CRONOGRAMA ATIVIDADES'!$AA$5:$AA$304,"")))))</f>
        <v>Infraestrutura - ar condicionado: até 18º pav., executando 20º pav.</v>
      </c>
      <c r="L36" s="91" t="s">
        <v>286</v>
      </c>
      <c r="M36" s="92" t="n">
        <f aca="false">'VALOR POR PL'!L33</f>
        <v>2860561.74074991</v>
      </c>
      <c r="N36" s="93" t="n">
        <f aca="false">IF('VALOR POR PL'!I33="DIRETO",'VALOR POR PL'!L33,0)</f>
        <v>2860561.74074991</v>
      </c>
    </row>
    <row r="37" customFormat="false" ht="15.75" hidden="false" customHeight="true" outlineLevel="0" collapsed="false">
      <c r="A37" s="8"/>
      <c r="B37" s="94" t="str">
        <f aca="false">'VALOR POR PL'!C34</f>
        <v>24</v>
      </c>
      <c r="C37" s="95" t="str">
        <f aca="false">'VALOR POR PL'!D34</f>
        <v>ELEVADORES</v>
      </c>
      <c r="D37" s="96" t="n">
        <f aca="false">IF(OR('VALOR POR PL'!I34&lt;&gt;"DIRETO",'CP RESUMO'!$C$28=""),"",IFERROR(INDEX('CP RESUMO'!$D$28:$BW$28,MATCH(DATE($D$5,12,1),'CP RESUMO'!$D$4:$BW$4,0))/100,""))</f>
        <v>0</v>
      </c>
      <c r="E37" s="97" t="n">
        <f aca="false">IF('VALOR POR PL'!I34&lt;&gt;"DIRETO","",'ELEVADORES '!$K$14)</f>
        <v>0</v>
      </c>
      <c r="F37" s="98" t="n">
        <f aca="false">SUMPRODUCT((YEAR('ELEVADORES '!$B$5:$B$76)=$D$5)*('ELEVADORES '!$C$5:$C$76+'ELEVADORES '!$D$5:$D$76))</f>
        <v>1544421.12212986</v>
      </c>
      <c r="G37" s="98" t="n">
        <f aca="false">SUMPRODUCT((YEAR('MODELO PARA BI'!$H$1:$CA$1)=$D$5)*'MODELO PARA BI'!$H$10:$CA$10)</f>
        <v>1190.86608193135</v>
      </c>
      <c r="H37" s="98" t="n">
        <f aca="false">IF(ISNUMBER($G$5),G37*$G$5,0)</f>
        <v>1544421.12212986</v>
      </c>
      <c r="I37" s="96" t="n">
        <f aca="false">IF($F$53=0,0,F37/$F$53)</f>
        <v>0.0324427890146467</v>
      </c>
      <c r="J37" s="96" t="n">
        <f aca="false">IF('VALOR POR PL'!L34=0,0,SUMPRODUCT(('ELEVADORES '!$B$5:$B$76&lt;=DATE($D$5,12,1))*('ELEVADORES '!$C$5:$C$76+'ELEVADORES '!$D$5:$D$76))/'VALOR POR PL'!L34)</f>
        <v>0.447906534664411</v>
      </c>
      <c r="K37" s="99" t="str">
        <f aca="false" t="array" ref="K37: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",TRUE(),IF(('CRONOGRAMA ATIVIDADES'!$S$5:$S$304=B37)*('CRONOGRAMA ATIVIDADES'!$AA$5:$AA$304&lt;&gt;""),'CRONOGRAMA ATIVIDADES'!$AA$5:$AA$304,"")))))</f>
        <v>Aduelas (elevadores): em execução</v>
      </c>
      <c r="L37" s="100" t="s">
        <v>287</v>
      </c>
      <c r="M37" s="92" t="n">
        <f aca="false">'VALOR POR PL'!L34</f>
        <v>3448087.94380953</v>
      </c>
      <c r="N37" s="93" t="n">
        <f aca="false">IF('VALOR POR PL'!I34="DIRETO",'VALOR POR PL'!L34,0)</f>
        <v>3448087.94380953</v>
      </c>
    </row>
    <row r="38" customFormat="false" ht="29.25" hidden="false" customHeight="true" outlineLevel="0" collapsed="false">
      <c r="A38" s="8"/>
      <c r="B38" s="85" t="str">
        <f aca="false">'VALOR POR PL'!C35</f>
        <v>25</v>
      </c>
      <c r="C38" s="86" t="str">
        <f aca="false">'VALOR POR PL'!D35</f>
        <v>ESQUADRIAS</v>
      </c>
      <c r="D38" s="87" t="n">
        <f aca="false">IF(OR('VALOR POR PL'!I35&lt;&gt;"DIRETO",'CP RESUMO'!$C$29=""),"",IFERROR(INDEX('CP RESUMO'!$D$29:$BW$29,MATCH(DATE($D$5,12,1),'CP RESUMO'!$D$4:$BW$4,0))/100,""))</f>
        <v>0.0472</v>
      </c>
      <c r="E38" s="88" t="n">
        <f aca="false">IF('VALOR POR PL'!I35&lt;&gt;"DIRETO","",ESQUADRIAS!$K$14)</f>
        <v>0</v>
      </c>
      <c r="F38" s="89" t="n">
        <f aca="false">SUMPRODUCT((YEAR(ESQUADRIAS!$B$5:$B$76)=$D$5)*(ESQUADRIAS!$C$5:$C$76+ESQUADRIAS!$D$5:$D$76))</f>
        <v>2851294.39131396</v>
      </c>
      <c r="G38" s="89" t="n">
        <f aca="false">SUMPRODUCT((YEAR('MODELO PARA BI'!$H$1:$CA$1)=$D$5)*'MODELO PARA BI'!$H$12:$CA$12)</f>
        <v>2198.56471241098</v>
      </c>
      <c r="H38" s="89" t="n">
        <f aca="false">IF(ISNUMBER($G$5),G38*$G$5,0)</f>
        <v>2851294.39131396</v>
      </c>
      <c r="I38" s="87" t="n">
        <f aca="false">IF($F$53=0,0,F38/$F$53)</f>
        <v>0.059895543404946</v>
      </c>
      <c r="J38" s="87" t="n">
        <f aca="false">IF('VALOR POR PL'!L35=0,0,SUMPRODUCT((ESQUADRIAS!$B$5:$B$76&lt;=DATE($D$5,12,1))*(ESQUADRIAS!$C$5:$C$76+ESQUADRIAS!$D$5:$D$76))/'VALOR POR PL'!L35)</f>
        <v>0.239330139700528</v>
      </c>
      <c r="K38" s="90" t="str">
        <f aca="false" t="array" ref="K38: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",TRUE(),IF(('CRONOGRAMA ATIVIDADES'!$S$5:$S$304=B38)*('CRONOGRAMA ATIVIDADES'!$AA$5:$AA$304&lt;&gt;""),'CRONOGRAMA ATIVIDADES'!$AA$5:$AA$304,"")))))</f>
        <v>Contramarco: até 24º pav., executando 25º pav. / Esquadria de alumínio: até 7º pav., executando 8º pav.</v>
      </c>
      <c r="L38" s="91" t="s">
        <v>287</v>
      </c>
      <c r="M38" s="92" t="n">
        <f aca="false">'VALOR POR PL'!L35</f>
        <v>11913645.2888122</v>
      </c>
      <c r="N38" s="93" t="n">
        <f aca="false">IF('VALOR POR PL'!I35="DIRETO",'VALOR POR PL'!L35,0)</f>
        <v>11913645.2888122</v>
      </c>
    </row>
    <row r="39" customFormat="false" ht="29.25" hidden="false" customHeight="true" outlineLevel="0" collapsed="false">
      <c r="A39" s="8"/>
      <c r="B39" s="94" t="str">
        <f aca="false">'VALOR POR PL'!C36</f>
        <v>26</v>
      </c>
      <c r="C39" s="95" t="str">
        <f aca="false">'VALOR POR PL'!D36</f>
        <v>SERRALHERIA</v>
      </c>
      <c r="D39" s="96" t="n">
        <f aca="false">IF(OR('VALOR POR PL'!I36&lt;&gt;"DIRETO",'CP RESUMO'!$C$30=""),"",IFERROR(INDEX('CP RESUMO'!$D$30:$BW$30,MATCH(DATE($D$5,12,1),'CP RESUMO'!$D$4:$BW$4,0))/100,""))</f>
        <v>0.191</v>
      </c>
      <c r="E39" s="97" t="n">
        <f aca="false">IF('VALOR POR PL'!I36&lt;&gt;"DIRETO","",SERRALHERIA!$K$14)</f>
        <v>0</v>
      </c>
      <c r="F39" s="98" t="n">
        <f aca="false">SUMPRODUCT((YEAR(SERRALHERIA!$B$5:$B$76)=$D$5)*(SERRALHERIA!$C$5:$C$76+SERRALHERIA!$D$5:$D$76))</f>
        <v>81889.0418246785</v>
      </c>
      <c r="G39" s="98" t="n">
        <f aca="false">SUMPRODUCT((YEAR('MODELO PARA BI'!$H$1:$CA$1)=$D$5)*'MODELO PARA BI'!$H$41:$CA$41)</f>
        <v>63.1426759149615</v>
      </c>
      <c r="H39" s="98" t="n">
        <f aca="false">IF(ISNUMBER($G$5),G39*$G$5,0)</f>
        <v>81889.0418246785</v>
      </c>
      <c r="I39" s="96" t="n">
        <f aca="false">IF($F$53=0,0,F39/$F$53)</f>
        <v>0.00172019721076195</v>
      </c>
      <c r="J39" s="96" t="n">
        <f aca="false">IF('VALOR POR PL'!L36=0,0,SUMPRODUCT((SERRALHERIA!$B$5:$B$76&lt;=DATE($D$5,12,1))*(SERRALHERIA!$C$5:$C$76+SERRALHERIA!$D$5:$D$76))/'VALOR POR PL'!L36)</f>
        <v>0.159199994558326</v>
      </c>
      <c r="K39" s="99" t="str">
        <f aca="false" t="array" ref="K39: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",TRUE(),IF(('CRONOGRAMA ATIVIDADES'!$S$5:$S$304=B39)*('CRONOGRAMA ATIVIDADES'!$AA$5:$AA$304&lt;&gt;""),'CRONOGRAMA ATIVIDADES'!$AA$5:$AA$304,"")))))</f>
        <v>Chumbamento de PCF: até 4º pav., executando 5º pav. / Serralheria: até 3º pav., executando 4º pav.</v>
      </c>
      <c r="L39" s="100"/>
      <c r="M39" s="92" t="n">
        <f aca="false">'VALOR POR PL'!L36</f>
        <v>514378.421003505</v>
      </c>
      <c r="N39" s="93" t="n">
        <f aca="false">IF('VALOR POR PL'!I36="DIRETO",'VALOR POR PL'!L36,0)</f>
        <v>514378.421003505</v>
      </c>
    </row>
    <row r="40" customFormat="false" ht="15.75" hidden="false" customHeight="true" outlineLevel="0" collapsed="false">
      <c r="A40" s="8"/>
      <c r="B40" s="85" t="str">
        <f aca="false">'VALOR POR PL'!C37</f>
        <v>27</v>
      </c>
      <c r="C40" s="86" t="str">
        <f aca="false">'VALOR POR PL'!D37</f>
        <v>MARCENARIA</v>
      </c>
      <c r="D40" s="87" t="n">
        <f aca="false">IF(OR('VALOR POR PL'!I37&lt;&gt;"DIRETO",'CP RESUMO'!$C$31=""),"",IFERROR(INDEX('CP RESUMO'!$D$31:$BW$31,MATCH(DATE($D$5,12,1),'CP RESUMO'!$D$4:$BW$4,0))/100,""))</f>
        <v>0</v>
      </c>
      <c r="E40" s="88" t="n">
        <f aca="false">IF('VALOR POR PL'!I37&lt;&gt;"DIRETO","",MARCENARIA!$K$14)</f>
        <v>0</v>
      </c>
      <c r="F40" s="89" t="n">
        <f aca="false">SUMPRODUCT((YEAR(MARCENARIA!$B$5:$B$76)=$D$5)*(MARCENARIA!$C$5:$C$76+MARCENARIA!$D$5:$D$76))</f>
        <v>0</v>
      </c>
      <c r="G40" s="89" t="n">
        <f aca="false">SUMPRODUCT((YEAR('MODELO PARA BI'!$H$1:$CA$1)=$D$5)*'MODELO PARA BI'!$H$25:$CA$25)</f>
        <v>0</v>
      </c>
      <c r="H40" s="89" t="n">
        <f aca="false">IF(ISNUMBER($G$5),G40*$G$5,0)</f>
        <v>0</v>
      </c>
      <c r="I40" s="87" t="n">
        <f aca="false">IF($F$53=0,0,F40/$F$53)</f>
        <v>0</v>
      </c>
      <c r="J40" s="87" t="n">
        <f aca="false">IF('VALOR POR PL'!L37=0,0,SUMPRODUCT((MARCENARIA!$B$5:$B$76&lt;=DATE($D$5,12,1))*(MARCENARIA!$C$5:$C$76+MARCENARIA!$D$5:$D$76))/'VALOR POR PL'!L37)</f>
        <v>0</v>
      </c>
      <c r="K40" s="90" t="str">
        <f aca="false" t="array" ref="K40: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",TRUE(),IF(('CRONOGRAMA ATIVIDADES'!$S$5:$S$304=B40)*('CRONOGRAMA ATIVIDADES'!$AA$5:$AA$304&lt;&gt;""),'CRONOGRAMA ATIVIDADES'!$AA$5:$AA$304,"")))))</f>
        <v>Não iniciado · início previsto em fev/2028</v>
      </c>
      <c r="L40" s="91"/>
      <c r="M40" s="92" t="n">
        <f aca="false">'VALOR POR PL'!L37</f>
        <v>3172327.03974385</v>
      </c>
      <c r="N40" s="93" t="n">
        <f aca="false">IF('VALOR POR PL'!I37="DIRETO",'VALOR POR PL'!L37,0)</f>
        <v>3172327.03974385</v>
      </c>
    </row>
    <row r="41" customFormat="false" ht="15.75" hidden="false" customHeight="true" outlineLevel="0" collapsed="false">
      <c r="A41" s="8"/>
      <c r="B41" s="94" t="str">
        <f aca="false">'VALOR POR PL'!C38</f>
        <v>28</v>
      </c>
      <c r="C41" s="95" t="str">
        <f aca="false">'VALOR POR PL'!D38</f>
        <v>REVESTIMENTOS DE MASSA EM PISOS</v>
      </c>
      <c r="D41" s="96" t="n">
        <f aca="false">IF(OR('VALOR POR PL'!I38&lt;&gt;"DIRETO",'CP RESUMO'!$C$32=""),"",IFERROR(INDEX('CP RESUMO'!$D$32:$BW$32,MATCH(DATE($D$5,12,1),'CP RESUMO'!$D$4:$BW$4,0))/100,""))</f>
        <v>0.6151</v>
      </c>
      <c r="E41" s="97" t="n">
        <f aca="false">IF('VALOR POR PL'!I38&lt;&gt;"DIRETO","",'REV. PISOS'!$K$14)</f>
        <v>0</v>
      </c>
      <c r="F41" s="98" t="n">
        <f aca="false">SUMPRODUCT((YEAR('REV. PISOS'!$B$5:$B$76)=$D$5)*('REV. PISOS'!$C$5:$C$76+'REV. PISOS'!$D$5:$D$76))</f>
        <v>539193.782832217</v>
      </c>
      <c r="G41" s="98" t="n">
        <f aca="false">SUMPRODUCT((YEAR('MODELO PARA BI'!$H$1:$CA$1)=$D$5)*'MODELO PARA BI'!$H$33:$CA$33)</f>
        <v>415.759392540315</v>
      </c>
      <c r="H41" s="98" t="n">
        <f aca="false">IF(ISNUMBER($G$5),G41*$G$5,0)</f>
        <v>539193.782832217</v>
      </c>
      <c r="I41" s="96" t="n">
        <f aca="false">IF($F$53=0,0,F41/$F$53)</f>
        <v>0.0113265416302458</v>
      </c>
      <c r="J41" s="96" t="n">
        <f aca="false">IF('VALOR POR PL'!L38=0,0,SUMPRODUCT(('REV. PISOS'!$B$5:$B$76&lt;=DATE($D$5,12,1))*('REV. PISOS'!$C$5:$C$76+'REV. PISOS'!$D$5:$D$76))/'VALOR POR PL'!L38)</f>
        <v>0.461700006498526</v>
      </c>
      <c r="K41" s="99" t="str">
        <f aca="false" t="array" ref="K41: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",TRUE(),IF(('CRONOGRAMA ATIVIDADES'!$S$5:$S$304=B41)*('CRONOGRAMA ATIVIDADES'!$AA$5:$AA$304&lt;&gt;""),'CRONOGRAMA ATIVIDADES'!$AA$5:$AA$304,"")))))</f>
        <v>Contrapiso: até 21º pav., executando 22º pav.</v>
      </c>
      <c r="L41" s="100" t="s">
        <v>288</v>
      </c>
      <c r="M41" s="92" t="n">
        <f aca="false">'VALOR POR PL'!L38</f>
        <v>1167844.43414111</v>
      </c>
      <c r="N41" s="93" t="n">
        <f aca="false">IF('VALOR POR PL'!I38="DIRETO",'VALOR POR PL'!L38,0)</f>
        <v>1167844.43414111</v>
      </c>
    </row>
    <row r="42" customFormat="false" ht="29.25" hidden="false" customHeight="true" outlineLevel="0" collapsed="false">
      <c r="A42" s="8"/>
      <c r="B42" s="85" t="str">
        <f aca="false">'VALOR POR PL'!C39</f>
        <v>29</v>
      </c>
      <c r="C42" s="86" t="str">
        <f aca="false">'VALOR POR PL'!D39</f>
        <v>REVESTIMENTOS DE MASSA EM PAREDES</v>
      </c>
      <c r="D42" s="87" t="n">
        <f aca="false">IF(OR('VALOR POR PL'!I39&lt;&gt;"DIRETO",'CP RESUMO'!$C$33=""),"",IFERROR(INDEX('CP RESUMO'!$D$33:$BW$33,MATCH(DATE($D$5,12,1),'CP RESUMO'!$D$4:$BW$4,0))/100,""))</f>
        <v>0.6545</v>
      </c>
      <c r="E42" s="88" t="n">
        <f aca="false">IF('VALOR POR PL'!I39&lt;&gt;"DIRETO","",'REV. PAREDE'!$K$14)</f>
        <v>0</v>
      </c>
      <c r="F42" s="89" t="n">
        <f aca="false">SUMPRODUCT((YEAR('REV. PAREDE'!$B$5:$B$76)=$D$5)*('REV. PAREDE'!$C$5:$C$76+'REV. PAREDE'!$D$5:$D$76))</f>
        <v>1384202.45300591</v>
      </c>
      <c r="G42" s="89" t="n">
        <f aca="false">SUMPRODUCT((YEAR('MODELO PARA BI'!$H$1:$CA$1)=$D$5)*'MODELO PARA BI'!$H$34:$CA$34)</f>
        <v>1067.32530926387</v>
      </c>
      <c r="H42" s="89" t="n">
        <f aca="false">IF(ISNUMBER($G$5),G42*$G$5,0)</f>
        <v>1384202.45300591</v>
      </c>
      <c r="I42" s="87" t="n">
        <f aca="false">IF($F$53=0,0,F42/$F$53)</f>
        <v>0.029077165219352</v>
      </c>
      <c r="J42" s="87" t="n">
        <f aca="false">IF('VALOR POR PL'!L39=0,0,SUMPRODUCT(('REV. PAREDE'!$B$5:$B$76&lt;=DATE($D$5,12,1))*('REV. PAREDE'!$C$5:$C$76+'REV. PAREDE'!$D$5:$D$76))/'VALOR POR PL'!L39)</f>
        <v>0.51590000242039</v>
      </c>
      <c r="K42" s="90" t="str">
        <f aca="false" t="array" ref="K42: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",TRUE(),IF(('CRONOGRAMA ATIVIDADES'!$S$5:$S$304=B42)*('CRONOGRAMA ATIVIDADES'!$AA$5:$AA$304&lt;&gt;""),'CRONOGRAMA ATIVIDADES'!$AA$5:$AA$304,"")))))</f>
        <v>Taliscamento: até 26º pav., executando 27º pav. / Reboco interno: até 23º pav., executando 24º pav.</v>
      </c>
      <c r="L42" s="91" t="s">
        <v>289</v>
      </c>
      <c r="M42" s="92" t="n">
        <f aca="false">'VALOR POR PL'!L39</f>
        <v>2683082.85813491</v>
      </c>
      <c r="N42" s="93" t="n">
        <f aca="false">IF('VALOR POR PL'!I39="DIRETO",'VALOR POR PL'!L39,0)</f>
        <v>2683082.85813491</v>
      </c>
    </row>
    <row r="43" customFormat="false" ht="29.25" hidden="false" customHeight="true" outlineLevel="0" collapsed="false">
      <c r="A43" s="8"/>
      <c r="B43" s="94" t="str">
        <f aca="false">'VALOR POR PL'!C40</f>
        <v>30</v>
      </c>
      <c r="C43" s="95" t="str">
        <f aca="false">'VALOR POR PL'!D40</f>
        <v>REVESTIMENTOS DE ACABAMENTO</v>
      </c>
      <c r="D43" s="96" t="n">
        <f aca="false">IF(OR('VALOR POR PL'!I40&lt;&gt;"DIRETO",'CP RESUMO'!$C$34=""),"",IFERROR(INDEX('CP RESUMO'!$D$34:$BW$34,MATCH(DATE($D$5,12,1),'CP RESUMO'!$D$4:$BW$4,0))/100,""))</f>
        <v>0.2329</v>
      </c>
      <c r="E43" s="97" t="n">
        <f aca="false">IF('VALOR POR PL'!I40&lt;&gt;"DIRETO","",'REV. ACAB'!$K$14)</f>
        <v>0</v>
      </c>
      <c r="F43" s="98" t="n">
        <f aca="false">SUMPRODUCT((YEAR('REV. ACAB'!$B$5:$B$76)=$D$5)*('REV. ACAB'!$C$5:$C$76+'REV. ACAB'!$D$5:$D$76))</f>
        <v>1730383.57570176</v>
      </c>
      <c r="G43" s="98" t="n">
        <f aca="false">SUMPRODUCT((YEAR('MODELO PARA BI'!$H$1:$CA$1)=$D$5)*'MODELO PARA BI'!$H$32:$CA$32)</f>
        <v>1334.25726928192</v>
      </c>
      <c r="H43" s="98" t="n">
        <f aca="false">IF(ISNUMBER($G$5),G43*$G$5,0)</f>
        <v>1730383.57570176</v>
      </c>
      <c r="I43" s="96" t="n">
        <f aca="false">IF($F$53=0,0,F43/$F$53)</f>
        <v>0.0363491980629502</v>
      </c>
      <c r="J43" s="96" t="n">
        <f aca="false">IF('VALOR POR PL'!L40=0,0,SUMPRODUCT(('REV. ACAB'!$B$5:$B$76&lt;=DATE($D$5,12,1))*('REV. ACAB'!$C$5:$C$76+'REV. ACAB'!$D$5:$D$76))/'VALOR POR PL'!L40)</f>
        <v>0.156122421012074</v>
      </c>
      <c r="K43" s="99" t="str">
        <f aca="false" t="array" ref="K43: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",TRUE(),IF(('CRONOGRAMA ATIVIDADES'!$S$5:$S$304=B43)*('CRONOGRAMA ATIVIDADES'!$AA$5:$AA$304&lt;&gt;""),'CRONOGRAMA ATIVIDADES'!$AA$5:$AA$304,"")))))</f>
        <v>Revestimento porcelanato parede: até 15º pav., executando 16º pav. / Revestimentos porcelanato piso: até 14º pav., executando 15º pav. / Bancadas: até 13º pav., executando 14º pav.</v>
      </c>
      <c r="L43" s="100" t="s">
        <v>290</v>
      </c>
      <c r="M43" s="92" t="n">
        <f aca="false">'VALOR POR PL'!L40</f>
        <v>11083504.6272305</v>
      </c>
      <c r="N43" s="93" t="n">
        <f aca="false">IF('VALOR POR PL'!I40="DIRETO",'VALOR POR PL'!L40,0)</f>
        <v>11083504.6272305</v>
      </c>
    </row>
    <row r="44" customFormat="false" ht="15.75" hidden="false" customHeight="true" outlineLevel="0" collapsed="false">
      <c r="A44" s="8"/>
      <c r="B44" s="85" t="str">
        <f aca="false">'VALOR POR PL'!C41</f>
        <v>31</v>
      </c>
      <c r="C44" s="86" t="str">
        <f aca="false">'VALOR POR PL'!D41</f>
        <v>PAVIMENTAÇÃO</v>
      </c>
      <c r="D44" s="87" t="n">
        <f aca="false">IF(OR('VALOR POR PL'!I41&lt;&gt;"DIRETO",'CP RESUMO'!$C$35=""),"",IFERROR(INDEX('CP RESUMO'!$D$35:$BW$35,MATCH(DATE($D$5,12,1),'CP RESUMO'!$D$4:$BW$4,0))/100,""))</f>
        <v>0.2576</v>
      </c>
      <c r="E44" s="88" t="n">
        <f aca="false">IF('VALOR POR PL'!I41&lt;&gt;"DIRETO","",PAVIMENTAÇÃO!$K$14)</f>
        <v>0</v>
      </c>
      <c r="F44" s="89" t="n">
        <f aca="false">SUMPRODUCT((YEAR(PAVIMENTAÇÃO!$B$5:$B$76)=$D$5)*(PAVIMENTAÇÃO!$C$5:$C$76+PAVIMENTAÇÃO!$D$5:$D$76))</f>
        <v>0</v>
      </c>
      <c r="G44" s="89" t="n">
        <f aca="false">SUMPRODUCT((YEAR('MODELO PARA BI'!$H$1:$CA$1)=$D$5)*'MODELO PARA BI'!$H$27:$CA$27)</f>
        <v>0</v>
      </c>
      <c r="H44" s="89" t="n">
        <f aca="false">IF(ISNUMBER($G$5),G44*$G$5,0)</f>
        <v>0</v>
      </c>
      <c r="I44" s="87" t="n">
        <f aca="false">IF($F$53=0,0,F44/$F$53)</f>
        <v>0</v>
      </c>
      <c r="J44" s="87" t="n">
        <f aca="false">IF('VALOR POR PL'!L41=0,0,SUMPRODUCT((PAVIMENTAÇÃO!$B$5:$B$76&lt;=DATE($D$5,12,1))*(PAVIMENTAÇÃO!$C$5:$C$76+PAVIMENTAÇÃO!$D$5:$D$76))/'VALOR POR PL'!L41)</f>
        <v>0</v>
      </c>
      <c r="K44" s="90" t="str">
        <f aca="false" t="array" ref="K44: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",TRUE(),IF(('CRONOGRAMA ATIVIDADES'!$S$5:$S$304=B44)*('CRONOGRAMA ATIVIDADES'!$AA$5:$AA$304&lt;&gt;""),'CRONOGRAMA ATIVIDADES'!$AA$5:$AA$304,"")))))</f>
        <v>Passeios, muretas e rampas: em execução (térreo)</v>
      </c>
      <c r="L44" s="91"/>
      <c r="M44" s="92" t="n">
        <f aca="false">'VALOR POR PL'!L41</f>
        <v>113895.219343671</v>
      </c>
      <c r="N44" s="93" t="n">
        <f aca="false">IF('VALOR POR PL'!I41="DIRETO",'VALOR POR PL'!L41,0)</f>
        <v>113895.219343671</v>
      </c>
    </row>
    <row r="45" customFormat="false" ht="69" hidden="false" customHeight="true" outlineLevel="0" collapsed="false">
      <c r="A45" s="8"/>
      <c r="B45" s="94" t="str">
        <f aca="false">'VALOR POR PL'!C42</f>
        <v>32</v>
      </c>
      <c r="C45" s="95" t="str">
        <f aca="false">'VALOR POR PL'!D42</f>
        <v>REVESTIMENTO DIVERSOS - FACHADA</v>
      </c>
      <c r="D45" s="96" t="n">
        <f aca="false">IF(OR('VALOR POR PL'!I42&lt;&gt;"DIRETO",'CP RESUMO'!$C$36=""),"",IFERROR(INDEX('CP RESUMO'!$D$36:$BW$36,MATCH(DATE($D$5,12,1),'CP RESUMO'!$D$4:$BW$4,0))/100,""))</f>
        <v>0.4136</v>
      </c>
      <c r="E45" s="97" t="n">
        <f aca="false">IF('VALOR POR PL'!I42&lt;&gt;"DIRETO","",'REV. FACHADA'!$K$14)</f>
        <v>0</v>
      </c>
      <c r="F45" s="98" t="n">
        <f aca="false">SUMPRODUCT((YEAR('REV. FACHADA'!$B$5:$B$76)=$D$5)*('REV. FACHADA'!$C$5:$C$76+'REV. FACHADA'!$D$5:$D$76))</f>
        <v>1263173.04487562</v>
      </c>
      <c r="G45" s="98" t="n">
        <f aca="false">SUMPRODUCT((YEAR('MODELO PARA BI'!$H$1:$CA$1)=$D$5)*'MODELO PARA BI'!$H$31:$CA$31)</f>
        <v>974.002435733221</v>
      </c>
      <c r="H45" s="98" t="n">
        <f aca="false">IF(ISNUMBER($G$5),G45*$G$5,0)</f>
        <v>1263173.04487562</v>
      </c>
      <c r="I45" s="96" t="n">
        <f aca="false">IF($F$53=0,0,F45/$F$53)</f>
        <v>0.0265347682679795</v>
      </c>
      <c r="J45" s="96" t="n">
        <f aca="false">IF('VALOR POR PL'!L42=0,0,SUMPRODUCT(('REV. FACHADA'!$B$5:$B$76&lt;=DATE($D$5,12,1))*('REV. FACHADA'!$C$5:$C$76+'REV. FACHADA'!$D$5:$D$76))/'VALOR POR PL'!L42)</f>
        <v>0.234499998915871</v>
      </c>
      <c r="K45" s="99" t="str">
        <f aca="false" t="array" ref="K45: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",TRUE(),IF(('CRONOGRAMA ATIVIDADES'!$S$5:$S$304=B45)*('CRONOGRAMA ATIVIDADES'!$AA$5:$AA$304&lt;&gt;""),'CRONOGRAMA ATIVIDADES'!$AA$5:$AA$304,"")))))</f>
        <v>Preparação para fachada aerada - F1 + F2 (1º etapa): concluído / Fachada loja: até térreo (restam serviços no térreo) / Fachada aerada - F1 + F2 (1º etapa): concluído / Preparação para fachada aerada - F3 + F4 (1º etapa): concluído / Fachada aerada - F3 + F4 (1º etapa): em execução / Peitoris e requadros de fachada - F1 + F2 (1º etapa): concluído / Preparação para fachada aerada - F5 (1º etapa): em execução</v>
      </c>
      <c r="L45" s="100" t="s">
        <v>291</v>
      </c>
      <c r="M45" s="92" t="n">
        <f aca="false">'VALOR POR PL'!L42</f>
        <v>5386665.46147319</v>
      </c>
      <c r="N45" s="93" t="n">
        <f aca="false">IF('VALOR POR PL'!I42="DIRETO",'VALOR POR PL'!L42,0)</f>
        <v>5386665.46147319</v>
      </c>
    </row>
    <row r="46" customFormat="false" ht="15.75" hidden="false" customHeight="true" outlineLevel="0" collapsed="false">
      <c r="A46" s="8"/>
      <c r="B46" s="85" t="str">
        <f aca="false">'VALOR POR PL'!C43</f>
        <v>33</v>
      </c>
      <c r="C46" s="86" t="str">
        <f aca="false">'VALOR POR PL'!D43</f>
        <v>FORRO</v>
      </c>
      <c r="D46" s="87" t="n">
        <f aca="false">IF(OR('VALOR POR PL'!I43&lt;&gt;"DIRETO",'CP RESUMO'!$C$37=""),"",IFERROR(INDEX('CP RESUMO'!$D$37:$BW$37,MATCH(DATE($D$5,12,1),'CP RESUMO'!$D$4:$BW$4,0))/100,""))</f>
        <v>0.1817</v>
      </c>
      <c r="E46" s="88" t="n">
        <f aca="false">IF('VALOR POR PL'!I43&lt;&gt;"DIRETO","",FORRO!$K$14)</f>
        <v>0</v>
      </c>
      <c r="F46" s="89" t="n">
        <f aca="false">SUMPRODUCT((YEAR(FORRO!$B$5:$B$76)=$D$5)*(FORRO!$C$5:$C$76+FORRO!$D$5:$D$76))</f>
        <v>203720.47951613</v>
      </c>
      <c r="G46" s="89" t="n">
        <f aca="false">SUMPRODUCT((YEAR('MODELO PARA BI'!$H$1:$CA$1)=$D$5)*'MODELO PARA BI'!$H$14:$CA$14)</f>
        <v>157.083975202296</v>
      </c>
      <c r="H46" s="89" t="n">
        <f aca="false">IF(ISNUMBER($G$5),G46*$G$5,0)</f>
        <v>203720.47951613</v>
      </c>
      <c r="I46" s="87" t="n">
        <f aca="false">IF($F$53=0,0,F46/$F$53)</f>
        <v>0.00427944194766636</v>
      </c>
      <c r="J46" s="87" t="n">
        <f aca="false">IF('VALOR POR PL'!L43=0,0,SUMPRODUCT((FORRO!$B$5:$B$76&lt;=DATE($D$5,12,1))*(FORRO!$C$5:$C$76+FORRO!$D$5:$D$76))/'VALOR POR PL'!L43)</f>
        <v>0.113099999152277</v>
      </c>
      <c r="K46" s="90" t="str">
        <f aca="false" t="array" ref="K46: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",TRUE(),IF(('CRONOGRAMA ATIVIDADES'!$S$5:$S$304=B46)*('CRONOGRAMA ATIVIDADES'!$AA$5:$AA$304&lt;&gt;""),'CRONOGRAMA ATIVIDADES'!$AA$5:$AA$304,"")))))</f>
        <v>Forro: até 11º pav., executando 12º pav.</v>
      </c>
      <c r="L46" s="91" t="s">
        <v>292</v>
      </c>
      <c r="M46" s="92" t="n">
        <f aca="false">'VALOR POR PL'!L43</f>
        <v>1801242.09587166</v>
      </c>
      <c r="N46" s="93" t="n">
        <f aca="false">IF('VALOR POR PL'!I43="DIRETO",'VALOR POR PL'!L43,0)</f>
        <v>1801242.09587166</v>
      </c>
    </row>
    <row r="47" customFormat="false" ht="15.75" hidden="false" customHeight="true" outlineLevel="0" collapsed="false">
      <c r="A47" s="8"/>
      <c r="B47" s="94" t="str">
        <f aca="false">'VALOR POR PL'!C44</f>
        <v>34</v>
      </c>
      <c r="C47" s="95" t="str">
        <f aca="false">'VALOR POR PL'!D44</f>
        <v>LOUÇAS SANITÁRIAS</v>
      </c>
      <c r="D47" s="96" t="n">
        <f aca="false">IF(OR('VALOR POR PL'!I44&lt;&gt;"DIRETO",'CP RESUMO'!$C$38=""),"",IFERROR(INDEX('CP RESUMO'!$D$38:$BW$38,MATCH(DATE($D$5,12,1),'CP RESUMO'!$D$4:$BW$4,0))/100,""))</f>
        <v>0</v>
      </c>
      <c r="E47" s="97" t="n">
        <f aca="false">IF('VALOR POR PL'!I44&lt;&gt;"DIRETO","",LOUÇAS!$K$14)</f>
        <v>0</v>
      </c>
      <c r="F47" s="98" t="n">
        <f aca="false">SUMPRODUCT((YEAR(LOUÇAS!$B$5:$B$76)=$D$5)*(LOUÇAS!$C$5:$C$76+LOUÇAS!$D$5:$D$76))</f>
        <v>244488.976377602</v>
      </c>
      <c r="G47" s="98" t="n">
        <f aca="false">SUMPRODUCT((YEAR('MODELO PARA BI'!$H$1:$CA$1)=$D$5)*'MODELO PARA BI'!$H$23:$CA$23)</f>
        <v>188.519585236363</v>
      </c>
      <c r="H47" s="98" t="n">
        <f aca="false">IF(ISNUMBER($G$5),G47*$G$5,0)</f>
        <v>244488.976377602</v>
      </c>
      <c r="I47" s="96" t="n">
        <f aca="false">IF($F$53=0,0,F47/$F$53)</f>
        <v>0.00513584291445512</v>
      </c>
      <c r="J47" s="96" t="n">
        <f aca="false">IF('VALOR POR PL'!L44=0,0,SUMPRODUCT((LOUÇAS!$B$5:$B$76&lt;=DATE($D$5,12,1))*(LOUÇAS!$C$5:$C$76+LOUÇAS!$D$5:$D$76))/'VALOR POR PL'!L44)</f>
        <v>0.1119</v>
      </c>
      <c r="K47" s="99" t="str">
        <f aca="false" t="array" ref="K47: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",TRUE(),IF(('CRONOGRAMA ATIVIDADES'!$S$5:$S$304=B47)*('CRONOGRAMA ATIVIDADES'!$AA$5:$AA$304&lt;&gt;""),'CRONOGRAMA ATIVIDADES'!$AA$5:$AA$304,"")))))</f>
        <v>Não iniciado · início previsto em mar/2028</v>
      </c>
      <c r="L47" s="100"/>
      <c r="M47" s="92" t="n">
        <f aca="false">'VALOR POR PL'!L44</f>
        <v>2184888.0820161</v>
      </c>
      <c r="N47" s="93" t="n">
        <f aca="false">IF('VALOR POR PL'!I44="DIRETO",'VALOR POR PL'!L44,0)</f>
        <v>2184888.0820161</v>
      </c>
    </row>
    <row r="48" customFormat="false" ht="15.75" hidden="false" customHeight="true" outlineLevel="0" collapsed="false">
      <c r="A48" s="8"/>
      <c r="B48" s="85" t="str">
        <f aca="false">'VALOR POR PL'!C45</f>
        <v>35</v>
      </c>
      <c r="C48" s="86" t="str">
        <f aca="false">'VALOR POR PL'!D45</f>
        <v>PINTURA</v>
      </c>
      <c r="D48" s="87" t="n">
        <f aca="false">IF(OR('VALOR POR PL'!I45&lt;&gt;"DIRETO",'CP RESUMO'!$C$39=""),"",IFERROR(INDEX('CP RESUMO'!$D$39:$BW$39,MATCH(DATE($D$5,12,1),'CP RESUMO'!$D$4:$BW$4,0))/100,""))</f>
        <v>0.1499</v>
      </c>
      <c r="E48" s="88" t="n">
        <f aca="false">IF('VALOR POR PL'!I45&lt;&gt;"DIRETO","",PINTURA!$K$14)</f>
        <v>0</v>
      </c>
      <c r="F48" s="89" t="n">
        <f aca="false">SUMPRODUCT((YEAR(PINTURA!$B$5:$B$76)=$D$5)*(PINTURA!$C$5:$C$76+PINTURA!$D$5:$D$76))</f>
        <v>396469.074145568</v>
      </c>
      <c r="G48" s="89" t="n">
        <f aca="false">SUMPRODUCT((YEAR('MODELO PARA BI'!$H$1:$CA$1)=$D$5)*'MODELO PARA BI'!$H$28:$CA$28)</f>
        <v>305.707793146189</v>
      </c>
      <c r="H48" s="89" t="n">
        <f aca="false">IF(ISNUMBER($G$5),G48*$G$5,0)</f>
        <v>396469.074145568</v>
      </c>
      <c r="I48" s="87" t="n">
        <f aca="false">IF($F$53=0,0,F48/$F$53)</f>
        <v>0.00832840365819307</v>
      </c>
      <c r="J48" s="87" t="n">
        <f aca="false">IF('VALOR POR PL'!L45=0,0,SUMPRODUCT((PINTURA!$B$5:$B$76&lt;=DATE($D$5,12,1))*(PINTURA!$C$5:$C$76+PINTURA!$D$5:$D$76))/'VALOR POR PL'!L45)</f>
        <v>0.101204586273488</v>
      </c>
      <c r="K48" s="90" t="str">
        <f aca="false" t="array" ref="K48: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",TRUE(),IF(('CRONOGRAMA ATIVIDADES'!$S$5:$S$304=B48)*('CRONOGRAMA ATIVIDADES'!$AA$5:$AA$304&lt;&gt;""),'CRONOGRAMA ATIVIDADES'!$AA$5:$AA$304,"")))))</f>
        <v>Massa corrida: até térreo, executando 7º pav.</v>
      </c>
      <c r="L48" s="91" t="s">
        <v>293</v>
      </c>
      <c r="M48" s="92" t="n">
        <f aca="false">'VALOR POR PL'!L45</f>
        <v>3917501.06140623</v>
      </c>
      <c r="N48" s="93" t="n">
        <f aca="false">IF('VALOR POR PL'!I45="DIRETO",'VALOR POR PL'!L45,0)</f>
        <v>3917501.06140623</v>
      </c>
    </row>
    <row r="49" customFormat="false" ht="15.75" hidden="false" customHeight="true" outlineLevel="0" collapsed="false">
      <c r="A49" s="8"/>
      <c r="B49" s="94" t="str">
        <f aca="false">'VALOR POR PL'!C46</f>
        <v>36</v>
      </c>
      <c r="C49" s="95" t="str">
        <f aca="false">'VALOR POR PL'!D46</f>
        <v>PAISAGISMO</v>
      </c>
      <c r="D49" s="96" t="n">
        <f aca="false">IF(OR('VALOR POR PL'!I46&lt;&gt;"DIRETO",'CP RESUMO'!$C$40=""),"",IFERROR(INDEX('CP RESUMO'!$D$40:$BW$40,MATCH(DATE($D$5,12,1),'CP RESUMO'!$D$4:$BW$4,0))/100,""))</f>
        <v>0</v>
      </c>
      <c r="E49" s="97" t="n">
        <f aca="false">IF('VALOR POR PL'!I46&lt;&gt;"DIRETO","",PAISAGISMO!$K$14)</f>
        <v>0</v>
      </c>
      <c r="F49" s="98" t="n">
        <f aca="false">SUMPRODUCT((YEAR(PAISAGISMO!$B$5:$B$76)=$D$5)*(PAISAGISMO!$C$5:$C$76+PAISAGISMO!$D$5:$D$76))</f>
        <v>0</v>
      </c>
      <c r="G49" s="98" t="n">
        <f aca="false">SUMPRODUCT((YEAR('MODELO PARA BI'!$H$1:$CA$1)=$D$5)*'MODELO PARA BI'!$H$26:$CA$26)</f>
        <v>0</v>
      </c>
      <c r="H49" s="98" t="n">
        <f aca="false">IF(ISNUMBER($G$5),G49*$G$5,0)</f>
        <v>0</v>
      </c>
      <c r="I49" s="96" t="n">
        <f aca="false">IF($F$53=0,0,F49/$F$53)</f>
        <v>0</v>
      </c>
      <c r="J49" s="96" t="n">
        <f aca="false">IF('VALOR POR PL'!L46=0,0,SUMPRODUCT((PAISAGISMO!$B$5:$B$76&lt;=DATE($D$5,12,1))*(PAISAGISMO!$C$5:$C$76+PAISAGISMO!$D$5:$D$76))/'VALOR POR PL'!L46)</f>
        <v>0</v>
      </c>
      <c r="K49" s="99" t="str">
        <f aca="false" t="array" ref="K49: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",TRUE(),IF(('CRONOGRAMA ATIVIDADES'!$S$5:$S$304=B49)*('CRONOGRAMA ATIVIDADES'!$AA$5:$AA$304&lt;&gt;""),'CRONOGRAMA ATIVIDADES'!$AA$5:$AA$304,"")))))</f>
        <v>Não iniciado · início previsto em jun/2028</v>
      </c>
      <c r="L49" s="100"/>
      <c r="M49" s="92" t="n">
        <f aca="false">'VALOR POR PL'!L46</f>
        <v>1190140.95669366</v>
      </c>
      <c r="N49" s="93" t="n">
        <f aca="false">IF('VALOR POR PL'!I46="DIRETO",'VALOR POR PL'!L46,0)</f>
        <v>1190140.95669366</v>
      </c>
    </row>
    <row r="50" customFormat="false" ht="15.75" hidden="false" customHeight="true" outlineLevel="0" collapsed="false">
      <c r="A50" s="8"/>
      <c r="B50" s="85" t="str">
        <f aca="false">'VALOR POR PL'!C47</f>
        <v>37</v>
      </c>
      <c r="C50" s="86" t="str">
        <f aca="false">'VALOR POR PL'!D47</f>
        <v>LIMPEZA FINAL DE OBRA</v>
      </c>
      <c r="D50" s="87" t="n">
        <f aca="false">IF(OR('VALOR POR PL'!I47&lt;&gt;"DIRETO",'CP RESUMO'!$C$41=""),"",IFERROR(INDEX('CP RESUMO'!$D$41:$BW$41,MATCH(DATE($D$5,12,1),'CP RESUMO'!$D$4:$BW$4,0))/100,""))</f>
        <v>0</v>
      </c>
      <c r="E50" s="88" t="n">
        <f aca="false">IF('VALOR POR PL'!I47&lt;&gt;"DIRETO","",LIMPEZA!$K$14)</f>
        <v>0</v>
      </c>
      <c r="F50" s="89" t="n">
        <f aca="false">SUMPRODUCT((YEAR(LIMPEZA!$B$5:$B$76)=$D$5)*(LIMPEZA!$C$5:$C$76+LIMPEZA!$D$5:$D$76))</f>
        <v>0</v>
      </c>
      <c r="G50" s="89" t="n">
        <f aca="false">SUMPRODUCT((YEAR('MODELO PARA BI'!$H$1:$CA$1)=$D$5)*'MODELO PARA BI'!$H$24:$CA$24)</f>
        <v>0</v>
      </c>
      <c r="H50" s="89" t="n">
        <f aca="false">IF(ISNUMBER($G$5),G50*$G$5,0)</f>
        <v>0</v>
      </c>
      <c r="I50" s="87" t="n">
        <f aca="false">IF($F$53=0,0,F50/$F$53)</f>
        <v>0</v>
      </c>
      <c r="J50" s="87" t="n">
        <f aca="false">IF('VALOR POR PL'!L47=0,0,SUMPRODUCT((LIMPEZA!$B$5:$B$76&lt;=DATE($D$5,12,1))*(LIMPEZA!$C$5:$C$76+LIMPEZA!$D$5:$D$76))/'VALOR POR PL'!L47)</f>
        <v>0</v>
      </c>
      <c r="K50" s="90" t="str">
        <f aca="false" t="array" ref="K50: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",TRUE(),IF(('CRONOGRAMA ATIVIDADES'!$S$5:$S$304=B50)*('CRONOGRAMA ATIVIDADES'!$AA$5:$AA$304&lt;&gt;""),'CRONOGRAMA ATIVIDADES'!$AA$5:$AA$304,"")))))</f>
        <v>Não iniciado · início previsto em mar/2028</v>
      </c>
      <c r="L50" s="91"/>
      <c r="M50" s="92" t="n">
        <f aca="false">'VALOR POR PL'!L47</f>
        <v>945897.746728468</v>
      </c>
      <c r="N50" s="93" t="n">
        <f aca="false">IF('VALOR POR PL'!I47="DIRETO",'VALOR POR PL'!L47,0)</f>
        <v>945897.746728468</v>
      </c>
    </row>
    <row r="51" customFormat="false" ht="19.5" hidden="false" customHeight="true" outlineLevel="0" collapsed="false">
      <c r="A51" s="8"/>
      <c r="B51" s="31"/>
      <c r="C51" s="31" t="s">
        <v>294</v>
      </c>
      <c r="D51" s="31"/>
      <c r="E51" s="31"/>
      <c r="F51" s="106" t="n">
        <f aca="false">F23+F29+SUM(F30:F50)</f>
        <v>47604449.8342178</v>
      </c>
      <c r="G51" s="106" t="n">
        <f aca="false">G23+G29+SUM(G30:G50)</f>
        <v>36706.6494003864</v>
      </c>
      <c r="H51" s="106" t="n">
        <f aca="false">H23+H29+SUM(H30:H50)</f>
        <v>47604449.8342178</v>
      </c>
      <c r="I51" s="107" t="n">
        <f aca="false">IF($F$53=0,0,F51/$F$53)</f>
        <v>1</v>
      </c>
      <c r="J51" s="31"/>
      <c r="K51" s="31"/>
      <c r="L51" s="31"/>
      <c r="M51" s="8"/>
    </row>
    <row r="52" customFormat="false" ht="19.5" hidden="false" customHeight="true" outlineLevel="0" collapsed="false">
      <c r="A52" s="8"/>
      <c r="B52" s="108" t="str">
        <f aca="false">'VALOR POR PL'!C48</f>
        <v>38</v>
      </c>
      <c r="C52" s="108" t="str">
        <f aca="false">'VALOR POR PL'!D48</f>
        <v>TAXA DE ADMINISTRAÇÃO</v>
      </c>
      <c r="D52" s="108"/>
      <c r="E52" s="108"/>
      <c r="F52" s="109" t="n">
        <f aca="false">SUMPRODUCT((YEAR('TAX. ADM'!$B$5:$B$76)=$D$5)*('TAX. ADM'!$C$5:$C$76+'TAX. ADM'!$D$5:$D$76))</f>
        <v>0</v>
      </c>
      <c r="G52" s="109" t="n">
        <f aca="false">SUMPRODUCT((YEAR('MODELO PARA BI'!$H$1:$CA$1)=$D$5)*'MODELO PARA BI'!$H$43:$CA$43)</f>
        <v>0</v>
      </c>
      <c r="H52" s="109" t="n">
        <f aca="false">IF(ISNUMBER($G$5),G52*$G$5,0)</f>
        <v>0</v>
      </c>
      <c r="I52" s="110" t="n">
        <f aca="false">IF($F$53=0,0,F52/$F$53)</f>
        <v>0</v>
      </c>
      <c r="J52" s="108"/>
      <c r="K52" s="108"/>
      <c r="L52" s="108"/>
      <c r="M52" s="111" t="n">
        <f aca="false">'VALOR POR PL'!L48</f>
        <v>566105.29</v>
      </c>
    </row>
    <row r="53" customFormat="false" ht="19.5" hidden="false" customHeight="true" outlineLevel="0" collapsed="false">
      <c r="A53" s="8"/>
      <c r="B53" s="31"/>
      <c r="C53" s="31" t="s">
        <v>295</v>
      </c>
      <c r="D53" s="31"/>
      <c r="E53" s="31"/>
      <c r="F53" s="106" t="n">
        <f aca="false">F51+F52</f>
        <v>47604449.8342178</v>
      </c>
      <c r="G53" s="106" t="n">
        <f aca="false">G51+G52</f>
        <v>36706.6494003864</v>
      </c>
      <c r="H53" s="106" t="n">
        <f aca="false">H51+H52</f>
        <v>47604449.8342178</v>
      </c>
      <c r="I53" s="107" t="n">
        <f aca="false">IF($F$53=0,0,F53/$F$53)</f>
        <v>1</v>
      </c>
      <c r="J53" s="31"/>
      <c r="K53" s="31"/>
      <c r="L53" s="31"/>
      <c r="M53" s="8"/>
    </row>
    <row r="54" customFormat="false" ht="15" hidden="false" customHeight="false" outlineLevel="0" collapsed="false">
      <c r="A54" s="8"/>
      <c r="B54" s="33" t="s">
        <v>296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 customFormat="false" ht="15" hidden="false" customHeight="false" outlineLevel="0" collapsed="false">
      <c r="A55" s="8"/>
      <c r="B55" s="15" t="s">
        <v>297</v>
      </c>
      <c r="C55" s="8"/>
      <c r="D55" s="8"/>
      <c r="E55" s="8"/>
      <c r="F55" s="8"/>
      <c r="G55" s="8"/>
      <c r="H55" s="15" t="s">
        <v>298</v>
      </c>
      <c r="I55" s="8"/>
      <c r="J55" s="8"/>
      <c r="K55" s="8"/>
      <c r="L55" s="8"/>
      <c r="M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</sheetData>
  <mergeCells count="13">
    <mergeCell ref="B5:C5"/>
    <mergeCell ref="B7:C7"/>
    <mergeCell ref="D7:E7"/>
    <mergeCell ref="F7:G7"/>
    <mergeCell ref="H7:I7"/>
    <mergeCell ref="B8:C8"/>
    <mergeCell ref="D8:E8"/>
    <mergeCell ref="F8:G8"/>
    <mergeCell ref="H8:I8"/>
    <mergeCell ref="B9:C9"/>
    <mergeCell ref="D9:E9"/>
    <mergeCell ref="F9:G9"/>
    <mergeCell ref="H9:I9"/>
  </mergeCells>
  <conditionalFormatting sqref="F12:H53">
    <cfRule type="cellIs" priority="2" operator="lessThan" aboveAverage="0" equalAverage="0" bottom="0" percent="0" rank="0" text="" dxfId="7">
      <formula>-0.5</formula>
    </cfRule>
  </conditionalFormatting>
  <conditionalFormatting sqref="D12:D50">
    <cfRule type="dataBar" priority="3">
      <dataBar showValue="1" minLength="10" maxLength="90">
        <cfvo type="num" val="0"/>
        <cfvo type="num" val="1"/>
        <color rgb="FF1F7A52"/>
      </dataBar>
      <extLst>
        <ext xmlns:x14="http://schemas.microsoft.com/office/spreadsheetml/2009/9/main" uri="{B025F937-C7B1-47D3-B67F-A62EFF666E3E}">
          <x14:id>{678E82C7-9B40-48AC-B6DD-97A577A26F88}</x14:id>
        </ext>
      </extLst>
    </cfRule>
  </conditionalFormatting>
  <conditionalFormatting sqref="I12:I50">
    <cfRule type="dataBar" priority="4">
      <dataBar showValue="1" minLength="10" maxLength="90">
        <cfvo type="num" val="0"/>
        <cfvo type="max" val="0"/>
        <color rgb="FF99BCAB"/>
      </dataBar>
      <extLst>
        <ext xmlns:x14="http://schemas.microsoft.com/office/spreadsheetml/2009/9/main" uri="{B025F937-C7B1-47D3-B67F-A62EFF666E3E}">
          <x14:id>{9026823C-67F0-4E30-B7BF-A0C3EF8746EA}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78E82C7-9B40-48AC-B6DD-97A577A26F88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1F7A52"/>
              <x14:axisColor rgb="FF000000"/>
            </x14:dataBar>
          </x14:cfRule>
          <xm:sqref>D12:D50</xm:sqref>
        </x14:conditionalFormatting>
        <x14:conditionalFormatting xmlns:xm="http://schemas.microsoft.com/office/excel/2006/main">
          <x14:cfRule type="dataBar" id="{9026823C-67F0-4E30-B7BF-A0C3EF8746EA}">
            <x14:dataBar minLength="10" maxLength="90" axisPosition="none" gradient="true">
              <x14:cfvo type="num">
                <xm:f>0</xm:f>
              </x14:cfvo>
              <x14:cfvo type="max"/>
              <x14:negativeFillColor rgb="FF99BCAB"/>
              <x14:axisColor rgb="FF000000"/>
            </x14:dataBar>
          </x14:cfRule>
          <xm:sqref>I12:I50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CA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40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2"/>
    <col collapsed="false" customWidth="true" hidden="false" outlineLevel="0" max="79" min="8" style="0" width="10"/>
  </cols>
  <sheetData>
    <row r="1" customFormat="false" ht="45" hidden="false" customHeight="true" outlineLevel="0" collapsed="false">
      <c r="A1" s="54" t="s">
        <v>299</v>
      </c>
      <c r="B1" s="54" t="s">
        <v>300</v>
      </c>
      <c r="C1" s="54" t="s">
        <v>301</v>
      </c>
      <c r="D1" s="54" t="s">
        <v>302</v>
      </c>
      <c r="E1" s="54" t="s">
        <v>303</v>
      </c>
      <c r="F1" s="54" t="s">
        <v>304</v>
      </c>
      <c r="H1" s="112" t="n">
        <f aca="false">'VALOR POR PL'!$P$6</f>
        <v>45627</v>
      </c>
      <c r="I1" s="112" t="n">
        <f aca="false">DATE(YEAR(H1),MONTH(H1)+1,1)</f>
        <v>45658</v>
      </c>
      <c r="J1" s="112" t="n">
        <f aca="false">DATE(YEAR(I1),MONTH(I1)+1,1)</f>
        <v>45689</v>
      </c>
      <c r="K1" s="112" t="n">
        <f aca="false">DATE(YEAR(J1),MONTH(J1)+1,1)</f>
        <v>45717</v>
      </c>
      <c r="L1" s="112" t="n">
        <f aca="false">DATE(YEAR(K1),MONTH(K1)+1,1)</f>
        <v>45748</v>
      </c>
      <c r="M1" s="112" t="n">
        <f aca="false">DATE(YEAR(L1),MONTH(L1)+1,1)</f>
        <v>45778</v>
      </c>
      <c r="N1" s="112" t="n">
        <f aca="false">DATE(YEAR(M1),MONTH(M1)+1,1)</f>
        <v>45809</v>
      </c>
      <c r="O1" s="112" t="n">
        <f aca="false">DATE(YEAR(N1),MONTH(N1)+1,1)</f>
        <v>45839</v>
      </c>
      <c r="P1" s="112" t="n">
        <f aca="false">DATE(YEAR(O1),MONTH(O1)+1,1)</f>
        <v>45870</v>
      </c>
      <c r="Q1" s="112" t="n">
        <f aca="false">DATE(YEAR(P1),MONTH(P1)+1,1)</f>
        <v>45901</v>
      </c>
      <c r="R1" s="112" t="n">
        <f aca="false">DATE(YEAR(Q1),MONTH(Q1)+1,1)</f>
        <v>45931</v>
      </c>
      <c r="S1" s="112" t="n">
        <f aca="false">DATE(YEAR(R1),MONTH(R1)+1,1)</f>
        <v>45962</v>
      </c>
      <c r="T1" s="112" t="n">
        <f aca="false">DATE(YEAR(S1),MONTH(S1)+1,1)</f>
        <v>45992</v>
      </c>
      <c r="U1" s="112" t="n">
        <f aca="false">DATE(YEAR(T1),MONTH(T1)+1,1)</f>
        <v>46023</v>
      </c>
      <c r="V1" s="112" t="n">
        <f aca="false">DATE(YEAR(U1),MONTH(U1)+1,1)</f>
        <v>46054</v>
      </c>
      <c r="W1" s="112" t="n">
        <f aca="false">DATE(YEAR(V1),MONTH(V1)+1,1)</f>
        <v>46082</v>
      </c>
      <c r="X1" s="112" t="n">
        <f aca="false">DATE(YEAR(W1),MONTH(W1)+1,1)</f>
        <v>46113</v>
      </c>
      <c r="Y1" s="112" t="n">
        <f aca="false">DATE(YEAR(X1),MONTH(X1)+1,1)</f>
        <v>46143</v>
      </c>
      <c r="Z1" s="112" t="n">
        <f aca="false">DATE(YEAR(Y1),MONTH(Y1)+1,1)</f>
        <v>46174</v>
      </c>
      <c r="AA1" s="112" t="n">
        <f aca="false">DATE(YEAR(Z1),MONTH(Z1)+1,1)</f>
        <v>46204</v>
      </c>
      <c r="AB1" s="112" t="n">
        <f aca="false">DATE(YEAR(AA1),MONTH(AA1)+1,1)</f>
        <v>46235</v>
      </c>
      <c r="AC1" s="112" t="n">
        <f aca="false">DATE(YEAR(AB1),MONTH(AB1)+1,1)</f>
        <v>46266</v>
      </c>
      <c r="AD1" s="112" t="n">
        <f aca="false">DATE(YEAR(AC1),MONTH(AC1)+1,1)</f>
        <v>46296</v>
      </c>
      <c r="AE1" s="112" t="n">
        <f aca="false">DATE(YEAR(AD1),MONTH(AD1)+1,1)</f>
        <v>46327</v>
      </c>
      <c r="AF1" s="112" t="n">
        <f aca="false">DATE(YEAR(AE1),MONTH(AE1)+1,1)</f>
        <v>46357</v>
      </c>
      <c r="AG1" s="112" t="n">
        <f aca="false">DATE(YEAR(AF1),MONTH(AF1)+1,1)</f>
        <v>46388</v>
      </c>
      <c r="AH1" s="112" t="n">
        <f aca="false">DATE(YEAR(AG1),MONTH(AG1)+1,1)</f>
        <v>46419</v>
      </c>
      <c r="AI1" s="112" t="n">
        <f aca="false">DATE(YEAR(AH1),MONTH(AH1)+1,1)</f>
        <v>46447</v>
      </c>
      <c r="AJ1" s="112" t="n">
        <f aca="false">DATE(YEAR(AI1),MONTH(AI1)+1,1)</f>
        <v>46478</v>
      </c>
      <c r="AK1" s="112" t="n">
        <f aca="false">DATE(YEAR(AJ1),MONTH(AJ1)+1,1)</f>
        <v>46508</v>
      </c>
      <c r="AL1" s="112" t="n">
        <f aca="false">DATE(YEAR(AK1),MONTH(AK1)+1,1)</f>
        <v>46539</v>
      </c>
      <c r="AM1" s="112" t="n">
        <f aca="false">DATE(YEAR(AL1),MONTH(AL1)+1,1)</f>
        <v>46569</v>
      </c>
      <c r="AN1" s="112" t="n">
        <f aca="false">DATE(YEAR(AM1),MONTH(AM1)+1,1)</f>
        <v>46600</v>
      </c>
      <c r="AO1" s="112" t="n">
        <f aca="false">DATE(YEAR(AN1),MONTH(AN1)+1,1)</f>
        <v>46631</v>
      </c>
      <c r="AP1" s="112" t="n">
        <f aca="false">DATE(YEAR(AO1),MONTH(AO1)+1,1)</f>
        <v>46661</v>
      </c>
      <c r="AQ1" s="112" t="n">
        <f aca="false">DATE(YEAR(AP1),MONTH(AP1)+1,1)</f>
        <v>46692</v>
      </c>
      <c r="AR1" s="112" t="n">
        <f aca="false">DATE(YEAR(AQ1),MONTH(AQ1)+1,1)</f>
        <v>46722</v>
      </c>
      <c r="AS1" s="112" t="n">
        <f aca="false">DATE(YEAR(AR1),MONTH(AR1)+1,1)</f>
        <v>46753</v>
      </c>
      <c r="AT1" s="112" t="n">
        <f aca="false">DATE(YEAR(AS1),MONTH(AS1)+1,1)</f>
        <v>46784</v>
      </c>
      <c r="AU1" s="112" t="n">
        <f aca="false">DATE(YEAR(AT1),MONTH(AT1)+1,1)</f>
        <v>46813</v>
      </c>
      <c r="AV1" s="112" t="n">
        <f aca="false">DATE(YEAR(AU1),MONTH(AU1)+1,1)</f>
        <v>46844</v>
      </c>
      <c r="AW1" s="112" t="n">
        <f aca="false">DATE(YEAR(AV1),MONTH(AV1)+1,1)</f>
        <v>46874</v>
      </c>
      <c r="AX1" s="112" t="n">
        <f aca="false">DATE(YEAR(AW1),MONTH(AW1)+1,1)</f>
        <v>46905</v>
      </c>
      <c r="AY1" s="112" t="n">
        <f aca="false">DATE(YEAR(AX1),MONTH(AX1)+1,1)</f>
        <v>46935</v>
      </c>
      <c r="AZ1" s="112" t="n">
        <f aca="false">DATE(YEAR(AY1),MONTH(AY1)+1,1)</f>
        <v>46966</v>
      </c>
      <c r="BA1" s="112" t="n">
        <f aca="false">DATE(YEAR(AZ1),MONTH(AZ1)+1,1)</f>
        <v>46997</v>
      </c>
      <c r="BB1" s="112" t="n">
        <f aca="false">DATE(YEAR(BA1),MONTH(BA1)+1,1)</f>
        <v>47027</v>
      </c>
      <c r="BC1" s="112" t="n">
        <f aca="false">DATE(YEAR(BB1),MONTH(BB1)+1,1)</f>
        <v>47058</v>
      </c>
      <c r="BD1" s="112" t="n">
        <f aca="false">DATE(YEAR(BC1),MONTH(BC1)+1,1)</f>
        <v>47088</v>
      </c>
      <c r="BE1" s="112" t="n">
        <f aca="false">DATE(YEAR(BD1),MONTH(BD1)+1,1)</f>
        <v>47119</v>
      </c>
      <c r="BF1" s="112" t="n">
        <f aca="false">DATE(YEAR(BE1),MONTH(BE1)+1,1)</f>
        <v>47150</v>
      </c>
      <c r="BG1" s="112" t="n">
        <f aca="false">DATE(YEAR(BF1),MONTH(BF1)+1,1)</f>
        <v>47178</v>
      </c>
      <c r="BH1" s="112" t="n">
        <f aca="false">DATE(YEAR(BG1),MONTH(BG1)+1,1)</f>
        <v>47209</v>
      </c>
      <c r="BI1" s="112" t="n">
        <f aca="false">DATE(YEAR(BH1),MONTH(BH1)+1,1)</f>
        <v>47239</v>
      </c>
      <c r="BJ1" s="112" t="n">
        <f aca="false">DATE(YEAR(BI1),MONTH(BI1)+1,1)</f>
        <v>47270</v>
      </c>
      <c r="BK1" s="112" t="n">
        <f aca="false">DATE(YEAR(BJ1),MONTH(BJ1)+1,1)</f>
        <v>47300</v>
      </c>
      <c r="BL1" s="112" t="n">
        <f aca="false">DATE(YEAR(BK1),MONTH(BK1)+1,1)</f>
        <v>47331</v>
      </c>
      <c r="BM1" s="112" t="n">
        <f aca="false">DATE(YEAR(BL1),MONTH(BL1)+1,1)</f>
        <v>47362</v>
      </c>
      <c r="BN1" s="112" t="n">
        <f aca="false">DATE(YEAR(BM1),MONTH(BM1)+1,1)</f>
        <v>47392</v>
      </c>
      <c r="BO1" s="112" t="n">
        <f aca="false">DATE(YEAR(BN1),MONTH(BN1)+1,1)</f>
        <v>47423</v>
      </c>
      <c r="BP1" s="112" t="n">
        <f aca="false">DATE(YEAR(BO1),MONTH(BO1)+1,1)</f>
        <v>47453</v>
      </c>
      <c r="BQ1" s="112" t="n">
        <f aca="false">DATE(YEAR(BP1),MONTH(BP1)+1,1)</f>
        <v>47484</v>
      </c>
      <c r="BR1" s="112" t="n">
        <f aca="false">DATE(YEAR(BQ1),MONTH(BQ1)+1,1)</f>
        <v>47515</v>
      </c>
      <c r="BS1" s="112" t="n">
        <f aca="false">DATE(YEAR(BR1),MONTH(BR1)+1,1)</f>
        <v>47543</v>
      </c>
      <c r="BT1" s="112" t="n">
        <f aca="false">DATE(YEAR(BS1),MONTH(BS1)+1,1)</f>
        <v>47574</v>
      </c>
      <c r="BU1" s="112" t="n">
        <f aca="false">DATE(YEAR(BT1),MONTH(BT1)+1,1)</f>
        <v>47604</v>
      </c>
      <c r="BV1" s="112" t="n">
        <f aca="false">DATE(YEAR(BU1),MONTH(BU1)+1,1)</f>
        <v>47635</v>
      </c>
      <c r="BW1" s="112" t="n">
        <f aca="false">DATE(YEAR(BV1),MONTH(BV1)+1,1)</f>
        <v>47665</v>
      </c>
      <c r="BX1" s="112" t="n">
        <f aca="false">DATE(YEAR(BW1),MONTH(BW1)+1,1)</f>
        <v>47696</v>
      </c>
      <c r="BY1" s="112" t="n">
        <f aca="false">DATE(YEAR(BX1),MONTH(BX1)+1,1)</f>
        <v>47727</v>
      </c>
      <c r="BZ1" s="112" t="n">
        <f aca="false">DATE(YEAR(BY1),MONTH(BY1)+1,1)</f>
        <v>47757</v>
      </c>
      <c r="CA1" s="112" t="n">
        <f aca="false">DATE(YEAR(BZ1),MONTH(BZ1)+1,1)</f>
        <v>47788</v>
      </c>
    </row>
    <row r="2" customFormat="false" ht="15" hidden="false" customHeight="false" outlineLevel="0" collapsed="false">
      <c r="A2" s="55" t="s">
        <v>305</v>
      </c>
      <c r="B2" s="55" t="s">
        <v>306</v>
      </c>
      <c r="C2" s="55" t="s">
        <v>168</v>
      </c>
      <c r="D2" s="56" t="n">
        <f aca="false">ALVENARIA!$K$5</f>
        <v>4871.740311</v>
      </c>
      <c r="E2" s="45" t="n">
        <f aca="false">SUM(H2:CA2)</f>
        <v>4869.81381345057</v>
      </c>
      <c r="F2" s="45" t="n">
        <f aca="false">IF(D2="","",D2-E2)</f>
        <v>1.92649754942795</v>
      </c>
      <c r="H2" s="93" t="n">
        <f aca="false">ALVENARIA!E5</f>
        <v>0</v>
      </c>
      <c r="I2" s="93" t="n">
        <f aca="false">ALVENARIA!E6</f>
        <v>0</v>
      </c>
      <c r="J2" s="93" t="n">
        <f aca="false">ALVENARIA!E7</f>
        <v>0</v>
      </c>
      <c r="K2" s="93" t="n">
        <f aca="false">ALVENARIA!E8</f>
        <v>0</v>
      </c>
      <c r="L2" s="93" t="n">
        <f aca="false">ALVENARIA!E9</f>
        <v>0</v>
      </c>
      <c r="M2" s="93" t="n">
        <f aca="false">ALVENARIA!E10</f>
        <v>0</v>
      </c>
      <c r="N2" s="93" t="n">
        <f aca="false">ALVENARIA!E11</f>
        <v>0</v>
      </c>
      <c r="O2" s="93" t="n">
        <f aca="false">ALVENARIA!E12</f>
        <v>0</v>
      </c>
      <c r="P2" s="93" t="n">
        <f aca="false">ALVENARIA!E13</f>
        <v>0</v>
      </c>
      <c r="Q2" s="93" t="n">
        <f aca="false">ALVENARIA!E14</f>
        <v>0</v>
      </c>
      <c r="R2" s="93" t="n">
        <f aca="false">ALVENARIA!E15</f>
        <v>0</v>
      </c>
      <c r="S2" s="93" t="n">
        <f aca="false">ALVENARIA!E16</f>
        <v>0</v>
      </c>
      <c r="T2" s="93" t="n">
        <f aca="false">ALVENARIA!E17</f>
        <v>0</v>
      </c>
      <c r="U2" s="93" t="n">
        <f aca="false">ALVENARIA!E18</f>
        <v>0</v>
      </c>
      <c r="V2" s="93" t="n">
        <f aca="false">ALVENARIA!E19</f>
        <v>0</v>
      </c>
      <c r="W2" s="93" t="n">
        <f aca="false">ALVENARIA!E20</f>
        <v>0</v>
      </c>
      <c r="X2" s="93" t="n">
        <f aca="false">ALVENARIA!E21</f>
        <v>0</v>
      </c>
      <c r="Y2" s="93" t="n">
        <f aca="false">ALVENARIA!E22</f>
        <v>0</v>
      </c>
      <c r="Z2" s="93" t="n">
        <f aca="false">ALVENARIA!E23</f>
        <v>0</v>
      </c>
      <c r="AA2" s="93" t="n">
        <f aca="false">ALVENARIA!E24</f>
        <v>0</v>
      </c>
      <c r="AB2" s="93" t="n">
        <f aca="false">ALVENARIA!E25</f>
        <v>0</v>
      </c>
      <c r="AC2" s="93" t="n">
        <f aca="false">ALVENARIA!E26</f>
        <v>0</v>
      </c>
      <c r="AD2" s="93" t="n">
        <f aca="false">ALVENARIA!E27</f>
        <v>0</v>
      </c>
      <c r="AE2" s="93" t="n">
        <f aca="false">ALVENARIA!E28</f>
        <v>0</v>
      </c>
      <c r="AF2" s="93" t="n">
        <f aca="false">ALVENARIA!E29</f>
        <v>0</v>
      </c>
      <c r="AG2" s="93" t="n">
        <f aca="false">ALVENARIA!E30</f>
        <v>0</v>
      </c>
      <c r="AH2" s="93" t="n">
        <f aca="false">ALVENARIA!E31</f>
        <v>0</v>
      </c>
      <c r="AI2" s="93" t="n">
        <f aca="false">ALVENARIA!E32</f>
        <v>0</v>
      </c>
      <c r="AJ2" s="93" t="n">
        <f aca="false">ALVENARIA!E33</f>
        <v>54.6834917153726</v>
      </c>
      <c r="AK2" s="93" t="n">
        <f aca="false">ALVENARIA!E34</f>
        <v>104.93319123069</v>
      </c>
      <c r="AL2" s="93" t="n">
        <f aca="false">ALVENARIA!E35</f>
        <v>172.425423765781</v>
      </c>
      <c r="AM2" s="93" t="n">
        <f aca="false">ALVENARIA!E36</f>
        <v>324.652445247748</v>
      </c>
      <c r="AN2" s="93" t="n">
        <f aca="false">ALVENARIA!E37</f>
        <v>301.990817277678</v>
      </c>
      <c r="AO2" s="93" t="n">
        <f aca="false">ALVENARIA!E38</f>
        <v>425.64448005883</v>
      </c>
      <c r="AP2" s="93" t="n">
        <f aca="false">ALVENARIA!E39</f>
        <v>439.931159409238</v>
      </c>
      <c r="AQ2" s="93" t="n">
        <f aca="false">ALVENARIA!E40</f>
        <v>494.61465112461</v>
      </c>
      <c r="AR2" s="93" t="n">
        <f aca="false">ALVENARIA!E41</f>
        <v>530.577671289521</v>
      </c>
      <c r="AS2" s="93" t="n">
        <f aca="false">ALVENARIA!E42</f>
        <v>377.858006229769</v>
      </c>
      <c r="AT2" s="93" t="n">
        <f aca="false">ALVENARIA!E43</f>
        <v>404.460790619449</v>
      </c>
      <c r="AU2" s="93" t="n">
        <f aca="false">ALVENARIA!E44</f>
        <v>338.939124598156</v>
      </c>
      <c r="AV2" s="93" t="n">
        <f aca="false">ALVENARIA!E45</f>
        <v>406.924008508368</v>
      </c>
      <c r="AW2" s="93" t="n">
        <f aca="false">ALVENARIA!E46</f>
        <v>212.3296003503</v>
      </c>
      <c r="AX2" s="93" t="n">
        <f aca="false">ALVENARIA!E47</f>
        <v>185.234172382837</v>
      </c>
      <c r="AY2" s="93" t="n">
        <f aca="false">ALVENARIA!E48</f>
        <v>54.1908481375887</v>
      </c>
      <c r="AZ2" s="93" t="n">
        <f aca="false">ALVENARIA!E49</f>
        <v>40.4239315046359</v>
      </c>
      <c r="BA2" s="93" t="n">
        <f aca="false">ALVENARIA!E50</f>
        <v>0</v>
      </c>
      <c r="BB2" s="93" t="n">
        <f aca="false">ALVENARIA!E51</f>
        <v>0</v>
      </c>
      <c r="BC2" s="93" t="n">
        <f aca="false">ALVENARIA!E52</f>
        <v>0</v>
      </c>
      <c r="BD2" s="93" t="n">
        <f aca="false">ALVENARIA!E53</f>
        <v>0</v>
      </c>
      <c r="BE2" s="93" t="n">
        <f aca="false">ALVENARIA!E54</f>
        <v>0</v>
      </c>
      <c r="BF2" s="93" t="n">
        <f aca="false">ALVENARIA!E55</f>
        <v>0</v>
      </c>
      <c r="BG2" s="93" t="n">
        <f aca="false">ALVENARIA!E56</f>
        <v>0</v>
      </c>
      <c r="BH2" s="93" t="n">
        <f aca="false">ALVENARIA!E57</f>
        <v>0</v>
      </c>
      <c r="BI2" s="93" t="n">
        <f aca="false">ALVENARIA!E58</f>
        <v>0</v>
      </c>
      <c r="BJ2" s="93" t="n">
        <f aca="false">ALVENARIA!E59</f>
        <v>0</v>
      </c>
      <c r="BK2" s="93" t="n">
        <f aca="false">ALVENARIA!E60</f>
        <v>0</v>
      </c>
      <c r="BL2" s="93" t="n">
        <f aca="false">ALVENARIA!E61</f>
        <v>0</v>
      </c>
      <c r="BM2" s="93" t="n">
        <f aca="false">ALVENARIA!E62</f>
        <v>0</v>
      </c>
      <c r="BN2" s="93" t="n">
        <f aca="false">ALVENARIA!E63</f>
        <v>0</v>
      </c>
      <c r="BO2" s="93" t="n">
        <f aca="false">ALVENARIA!E64</f>
        <v>0</v>
      </c>
      <c r="BP2" s="93" t="n">
        <f aca="false">ALVENARIA!E65</f>
        <v>0</v>
      </c>
      <c r="BQ2" s="93" t="n">
        <f aca="false">ALVENARIA!E66</f>
        <v>0</v>
      </c>
      <c r="BR2" s="93" t="n">
        <f aca="false">ALVENARIA!E67</f>
        <v>0</v>
      </c>
      <c r="BS2" s="93" t="n">
        <f aca="false">ALVENARIA!E68</f>
        <v>0</v>
      </c>
      <c r="BT2" s="93" t="n">
        <f aca="false">ALVENARIA!E69</f>
        <v>0</v>
      </c>
      <c r="BU2" s="93" t="n">
        <f aca="false">ALVENARIA!E70</f>
        <v>0</v>
      </c>
      <c r="BV2" s="93" t="n">
        <f aca="false">ALVENARIA!E71</f>
        <v>0</v>
      </c>
      <c r="BW2" s="93" t="n">
        <f aca="false">ALVENARIA!E72</f>
        <v>0</v>
      </c>
      <c r="BX2" s="93" t="n">
        <f aca="false">ALVENARIA!E73</f>
        <v>0</v>
      </c>
      <c r="BY2" s="93" t="n">
        <f aca="false">ALVENARIA!E74</f>
        <v>0</v>
      </c>
      <c r="BZ2" s="93" t="n">
        <f aca="false">ALVENARIA!E75</f>
        <v>0</v>
      </c>
      <c r="CA2" s="93" t="n">
        <f aca="false">ALVENARIA!E76</f>
        <v>0</v>
      </c>
    </row>
    <row r="3" customFormat="false" ht="15" hidden="false" customHeight="false" outlineLevel="0" collapsed="false">
      <c r="A3" s="55" t="s">
        <v>305</v>
      </c>
      <c r="B3" s="55" t="s">
        <v>307</v>
      </c>
      <c r="C3" s="55" t="s">
        <v>67</v>
      </c>
      <c r="D3" s="56" t="n">
        <f aca="false">'BARRACÃO DE OBRA'!$K$5</f>
        <v>768.068153</v>
      </c>
      <c r="E3" s="45" t="n">
        <f aca="false">SUM(H3:CA3)</f>
        <v>972.547406374673</v>
      </c>
      <c r="F3" s="45" t="n">
        <f aca="false">IF(D3="","",D3-E3)</f>
        <v>-204.479253374673</v>
      </c>
      <c r="H3" s="93" t="n">
        <f aca="false">'BARRACÃO DE OBRA'!E5</f>
        <v>53.8981367600457</v>
      </c>
      <c r="I3" s="93" t="n">
        <f aca="false">'BARRACÃO DE OBRA'!E6</f>
        <v>0</v>
      </c>
      <c r="J3" s="93" t="n">
        <f aca="false">'BARRACÃO DE OBRA'!E7</f>
        <v>0</v>
      </c>
      <c r="K3" s="93" t="n">
        <f aca="false">'BARRACÃO DE OBRA'!E8</f>
        <v>0</v>
      </c>
      <c r="L3" s="93" t="n">
        <f aca="false">'BARRACÃO DE OBRA'!E9</f>
        <v>0</v>
      </c>
      <c r="M3" s="93" t="n">
        <f aca="false">'BARRACÃO DE OBRA'!E10</f>
        <v>0</v>
      </c>
      <c r="N3" s="93" t="n">
        <f aca="false">'BARRACÃO DE OBRA'!E11</f>
        <v>51.319148084758</v>
      </c>
      <c r="O3" s="93" t="n">
        <f aca="false">'BARRACÃO DE OBRA'!E12</f>
        <v>58.3516912011936</v>
      </c>
      <c r="P3" s="93" t="n">
        <f aca="false">'BARRACÃO DE OBRA'!E13</f>
        <v>54.8961869177928</v>
      </c>
      <c r="Q3" s="93" t="n">
        <f aca="false">'BARRACÃO DE OBRA'!E14</f>
        <v>58.4218053459824</v>
      </c>
      <c r="R3" s="93" t="n">
        <f aca="false">'BARRACÃO DE OBRA'!E15</f>
        <v>48.4673041241668</v>
      </c>
      <c r="S3" s="93" t="n">
        <f aca="false">'BARRACÃO DE OBRA'!E16</f>
        <v>33.2200748511178</v>
      </c>
      <c r="T3" s="93" t="n">
        <f aca="false">'BARRACÃO DE OBRA'!E17</f>
        <v>41.9000521918543</v>
      </c>
      <c r="U3" s="93" t="n">
        <f aca="false">'BARRACÃO DE OBRA'!E18</f>
        <v>18.3373078875635</v>
      </c>
      <c r="V3" s="93" t="n">
        <f aca="false">'BARRACÃO DE OBRA'!E19</f>
        <v>14.1587577721868</v>
      </c>
      <c r="W3" s="93" t="n">
        <f aca="false">'BARRACÃO DE OBRA'!E20</f>
        <v>11.5488209008957</v>
      </c>
      <c r="X3" s="93" t="n">
        <f aca="false">'BARRACÃO DE OBRA'!E21</f>
        <v>10.8278556299676</v>
      </c>
      <c r="Y3" s="93" t="n">
        <f aca="false">'BARRACÃO DE OBRA'!E22</f>
        <v>15.6490581925639</v>
      </c>
      <c r="Z3" s="93" t="n">
        <f aca="false">'BARRACÃO DE OBRA'!E23</f>
        <v>11.6132546123387</v>
      </c>
      <c r="AA3" s="93" t="n">
        <f aca="false">'BARRACÃO DE OBRA'!E24</f>
        <v>22.2300456912322</v>
      </c>
      <c r="AB3" s="93" t="n">
        <f aca="false">'BARRACÃO DE OBRA'!E25</f>
        <v>12.6719634448284</v>
      </c>
      <c r="AC3" s="93" t="n">
        <f aca="false">'BARRACÃO DE OBRA'!E26</f>
        <v>23.7233931166315</v>
      </c>
      <c r="AD3" s="93" t="n">
        <f aca="false">'BARRACÃO DE OBRA'!E27</f>
        <v>16.8908422969391</v>
      </c>
      <c r="AE3" s="93" t="n">
        <f aca="false">'BARRACÃO DE OBRA'!E28</f>
        <v>11.8521535579646</v>
      </c>
      <c r="AF3" s="93" t="n">
        <f aca="false">'BARRACÃO DE OBRA'!E29</f>
        <v>11.4913670912739</v>
      </c>
      <c r="AG3" s="93" t="n">
        <f aca="false">'BARRACÃO DE OBRA'!E30</f>
        <v>8.77219066214234</v>
      </c>
      <c r="AH3" s="93" t="n">
        <f aca="false">'BARRACÃO DE OBRA'!E31</f>
        <v>72.499184657723</v>
      </c>
      <c r="AI3" s="93" t="n">
        <f aca="false">'BARRACÃO DE OBRA'!E32</f>
        <v>73.0119502066636</v>
      </c>
      <c r="AJ3" s="93" t="n">
        <f aca="false">'BARRACÃO DE OBRA'!E33</f>
        <v>37.0952991046226</v>
      </c>
      <c r="AK3" s="93" t="n">
        <f aca="false">'BARRACÃO DE OBRA'!E34</f>
        <v>8.77219066214234</v>
      </c>
      <c r="AL3" s="93" t="n">
        <f aca="false">'BARRACÃO DE OBRA'!E35</f>
        <v>8.77219066214234</v>
      </c>
      <c r="AM3" s="93" t="n">
        <f aca="false">'BARRACÃO DE OBRA'!E36</f>
        <v>8.77219066214234</v>
      </c>
      <c r="AN3" s="93" t="n">
        <f aca="false">'BARRACÃO DE OBRA'!E37</f>
        <v>8.77219066214234</v>
      </c>
      <c r="AO3" s="93" t="n">
        <f aca="false">'BARRACÃO DE OBRA'!E38</f>
        <v>11.6251719118869</v>
      </c>
      <c r="AP3" s="93" t="n">
        <f aca="false">'BARRACÃO DE OBRA'!E39</f>
        <v>8.77219066214234</v>
      </c>
      <c r="AQ3" s="93" t="n">
        <f aca="false">'BARRACÃO DE OBRA'!E40</f>
        <v>8.77219066214234</v>
      </c>
      <c r="AR3" s="93" t="n">
        <f aca="false">'BARRACÃO DE OBRA'!E41</f>
        <v>8.77219066214234</v>
      </c>
      <c r="AS3" s="93" t="n">
        <f aca="false">'BARRACÃO DE OBRA'!E42</f>
        <v>8.77219066214234</v>
      </c>
      <c r="AT3" s="93" t="n">
        <f aca="false">'BARRACÃO DE OBRA'!E43</f>
        <v>8.77219066214234</v>
      </c>
      <c r="AU3" s="93" t="n">
        <f aca="false">'BARRACÃO DE OBRA'!E44</f>
        <v>8.77219066214234</v>
      </c>
      <c r="AV3" s="93" t="n">
        <f aca="false">'BARRACÃO DE OBRA'!E45</f>
        <v>8.77219066214234</v>
      </c>
      <c r="AW3" s="93" t="n">
        <f aca="false">'BARRACÃO DE OBRA'!E46</f>
        <v>8.77219066214234</v>
      </c>
      <c r="AX3" s="93" t="n">
        <f aca="false">'BARRACÃO DE OBRA'!E47</f>
        <v>8.77219066214234</v>
      </c>
      <c r="AY3" s="93" t="n">
        <f aca="false">'BARRACÃO DE OBRA'!E48</f>
        <v>8.77219066214234</v>
      </c>
      <c r="AZ3" s="93" t="n">
        <f aca="false">'BARRACÃO DE OBRA'!E49</f>
        <v>8.77219066214234</v>
      </c>
      <c r="BA3" s="93" t="n">
        <f aca="false">'BARRACÃO DE OBRA'!E50</f>
        <v>0.92050102438061</v>
      </c>
      <c r="BB3" s="93" t="n">
        <f aca="false">'BARRACÃO DE OBRA'!E51</f>
        <v>0.92050102438061</v>
      </c>
      <c r="BC3" s="93" t="n">
        <f aca="false">'BARRACÃO DE OBRA'!E52</f>
        <v>0.92050102438061</v>
      </c>
      <c r="BD3" s="93" t="n">
        <f aca="false">'BARRACÃO DE OBRA'!E53</f>
        <v>1.25455792690544</v>
      </c>
      <c r="BE3" s="93" t="n">
        <f aca="false">'BARRACÃO DE OBRA'!E54</f>
        <v>1.22476909760107</v>
      </c>
      <c r="BF3" s="93" t="n">
        <f aca="false">'BARRACÃO DE OBRA'!E55</f>
        <v>1.22476909760107</v>
      </c>
      <c r="BG3" s="93" t="n">
        <f aca="false">'BARRACÃO DE OBRA'!E56</f>
        <v>50.0259310329526</v>
      </c>
      <c r="BH3" s="93" t="n">
        <f aca="false">'BARRACÃO DE OBRA'!E57</f>
        <v>0</v>
      </c>
      <c r="BI3" s="93" t="n">
        <f aca="false">'BARRACÃO DE OBRA'!E58</f>
        <v>0</v>
      </c>
      <c r="BJ3" s="93" t="n">
        <f aca="false">'BARRACÃO DE OBRA'!E59</f>
        <v>0</v>
      </c>
      <c r="BK3" s="93" t="n">
        <f aca="false">'BARRACÃO DE OBRA'!E60</f>
        <v>0</v>
      </c>
      <c r="BL3" s="93" t="n">
        <f aca="false">'BARRACÃO DE OBRA'!E61</f>
        <v>0</v>
      </c>
      <c r="BM3" s="93" t="n">
        <f aca="false">'BARRACÃO DE OBRA'!E62</f>
        <v>0</v>
      </c>
      <c r="BN3" s="93" t="n">
        <f aca="false">'BARRACÃO DE OBRA'!E63</f>
        <v>0</v>
      </c>
      <c r="BO3" s="93" t="n">
        <f aca="false">'BARRACÃO DE OBRA'!E64</f>
        <v>0</v>
      </c>
      <c r="BP3" s="93" t="n">
        <f aca="false">'BARRACÃO DE OBRA'!E65</f>
        <v>0</v>
      </c>
      <c r="BQ3" s="93" t="n">
        <f aca="false">'BARRACÃO DE OBRA'!E66</f>
        <v>0</v>
      </c>
      <c r="BR3" s="93" t="n">
        <f aca="false">'BARRACÃO DE OBRA'!E67</f>
        <v>0</v>
      </c>
      <c r="BS3" s="93" t="n">
        <f aca="false">'BARRACÃO DE OBRA'!E68</f>
        <v>0</v>
      </c>
      <c r="BT3" s="93" t="n">
        <f aca="false">'BARRACÃO DE OBRA'!E69</f>
        <v>0</v>
      </c>
      <c r="BU3" s="93" t="n">
        <f aca="false">'BARRACÃO DE OBRA'!E70</f>
        <v>0</v>
      </c>
      <c r="BV3" s="93" t="n">
        <f aca="false">'BARRACÃO DE OBRA'!E71</f>
        <v>0</v>
      </c>
      <c r="BW3" s="93" t="n">
        <f aca="false">'BARRACÃO DE OBRA'!E72</f>
        <v>0</v>
      </c>
      <c r="BX3" s="93" t="n">
        <f aca="false">'BARRACÃO DE OBRA'!E73</f>
        <v>0</v>
      </c>
      <c r="BY3" s="93" t="n">
        <f aca="false">'BARRACÃO DE OBRA'!E74</f>
        <v>0</v>
      </c>
      <c r="BZ3" s="93" t="n">
        <f aca="false">'BARRACÃO DE OBRA'!E75</f>
        <v>0</v>
      </c>
      <c r="CA3" s="93" t="n">
        <f aca="false">'BARRACÃO DE OBRA'!E76</f>
        <v>0</v>
      </c>
    </row>
    <row r="4" customFormat="false" ht="15" hidden="false" customHeight="false" outlineLevel="0" collapsed="false">
      <c r="A4" s="55" t="s">
        <v>305</v>
      </c>
      <c r="B4" s="55" t="s">
        <v>308</v>
      </c>
      <c r="C4" s="55" t="s">
        <v>69</v>
      </c>
      <c r="D4" s="56" t="n">
        <f aca="false">CONSULTORIAS!$K$5</f>
        <v>1087.08347</v>
      </c>
      <c r="E4" s="45" t="n">
        <f aca="false">SUM(H4:CA4)</f>
        <v>1070.94400909557</v>
      </c>
      <c r="F4" s="45" t="n">
        <f aca="false">IF(D4="","",D4-E4)</f>
        <v>16.1394609044289</v>
      </c>
      <c r="H4" s="93" t="n">
        <f aca="false">CONSULTORIAS!E5</f>
        <v>37.8286998660252</v>
      </c>
      <c r="I4" s="93" t="n">
        <f aca="false">CONSULTORIAS!E6</f>
        <v>0</v>
      </c>
      <c r="J4" s="93" t="n">
        <f aca="false">CONSULTORIAS!E7</f>
        <v>12.2865966646078</v>
      </c>
      <c r="K4" s="93" t="n">
        <f aca="false">CONSULTORIAS!E8</f>
        <v>0.516579456986081</v>
      </c>
      <c r="L4" s="93" t="n">
        <f aca="false">CONSULTORIAS!E9</f>
        <v>0</v>
      </c>
      <c r="M4" s="93" t="n">
        <f aca="false">CONSULTORIAS!E10</f>
        <v>0</v>
      </c>
      <c r="N4" s="93" t="n">
        <f aca="false">CONSULTORIAS!E11</f>
        <v>0</v>
      </c>
      <c r="O4" s="93" t="n">
        <f aca="false">CONSULTORIAS!E12</f>
        <v>16.6728240494816</v>
      </c>
      <c r="P4" s="93" t="n">
        <f aca="false">CONSULTORIAS!E13</f>
        <v>4.94442371452101</v>
      </c>
      <c r="Q4" s="93" t="n">
        <f aca="false">CONSULTORIAS!E14</f>
        <v>7.9716052634386</v>
      </c>
      <c r="R4" s="93" t="n">
        <f aca="false">CONSULTORIAS!E15</f>
        <v>23.5356966382952</v>
      </c>
      <c r="S4" s="93" t="n">
        <f aca="false">CONSULTORIAS!E16</f>
        <v>208.45743383215</v>
      </c>
      <c r="T4" s="93" t="n">
        <f aca="false">CONSULTORIAS!E17</f>
        <v>49.9069991637904</v>
      </c>
      <c r="U4" s="93" t="n">
        <f aca="false">CONSULTORIAS!E18</f>
        <v>21.3454014272826</v>
      </c>
      <c r="V4" s="93" t="n">
        <f aca="false">CONSULTORIAS!E19</f>
        <v>22.1074405815164</v>
      </c>
      <c r="W4" s="93" t="n">
        <f aca="false">CONSULTORIAS!E20</f>
        <v>34.2211595590375</v>
      </c>
      <c r="X4" s="93" t="n">
        <f aca="false">CONSULTORIAS!E21</f>
        <v>17.6269795149772</v>
      </c>
      <c r="Y4" s="93" t="n">
        <f aca="false">CONSULTORIAS!E22</f>
        <v>17.8271261002837</v>
      </c>
      <c r="Z4" s="93" t="n">
        <f aca="false">CONSULTORIAS!E23</f>
        <v>14.5363923222824</v>
      </c>
      <c r="AA4" s="93" t="n">
        <f aca="false">CONSULTORIAS!E24</f>
        <v>32.8947689088512</v>
      </c>
      <c r="AB4" s="93" t="n">
        <f aca="false">CONSULTORIAS!E25</f>
        <v>25.1438712179685</v>
      </c>
      <c r="AC4" s="93" t="n">
        <f aca="false">CONSULTORIAS!E26</f>
        <v>43.5184681746202</v>
      </c>
      <c r="AD4" s="93" t="n">
        <f aca="false">CONSULTORIAS!E27</f>
        <v>26.0026598538771</v>
      </c>
      <c r="AE4" s="93" t="n">
        <f aca="false">CONSULTORIAS!E28</f>
        <v>16.7361673746964</v>
      </c>
      <c r="AF4" s="93" t="n">
        <f aca="false">CONSULTORIAS!E29</f>
        <v>16.7361673746964</v>
      </c>
      <c r="AG4" s="93" t="n">
        <f aca="false">CONSULTORIAS!E30</f>
        <v>18.8666279805926</v>
      </c>
      <c r="AH4" s="93" t="n">
        <f aca="false">CONSULTORIAS!E31</f>
        <v>14.3138596312583</v>
      </c>
      <c r="AI4" s="93" t="n">
        <f aca="false">CONSULTORIAS!E32</f>
        <v>14.3138596312583</v>
      </c>
      <c r="AJ4" s="93" t="n">
        <f aca="false">CONSULTORIAS!E33</f>
        <v>15.9293580777963</v>
      </c>
      <c r="AK4" s="93" t="n">
        <f aca="false">CONSULTORIAS!E34</f>
        <v>14.3138596312583</v>
      </c>
      <c r="AL4" s="93" t="n">
        <f aca="false">CONSULTORIAS!E35</f>
        <v>18.0038049466462</v>
      </c>
      <c r="AM4" s="93" t="n">
        <f aca="false">CONSULTORIAS!E36</f>
        <v>15.9293580777963</v>
      </c>
      <c r="AN4" s="93" t="n">
        <f aca="false">CONSULTORIAS!E37</f>
        <v>14.3138596312583</v>
      </c>
      <c r="AO4" s="93" t="n">
        <f aca="false">CONSULTORIAS!E38</f>
        <v>14.3138596312583</v>
      </c>
      <c r="AP4" s="93" t="n">
        <f aca="false">CONSULTORIAS!E39</f>
        <v>15.9293580777963</v>
      </c>
      <c r="AQ4" s="93" t="n">
        <f aca="false">CONSULTORIAS!E40</f>
        <v>14.3138596312583</v>
      </c>
      <c r="AR4" s="93" t="n">
        <f aca="false">CONSULTORIAS!E41</f>
        <v>11.4632685632936</v>
      </c>
      <c r="AS4" s="93" t="n">
        <f aca="false">CONSULTORIAS!E42</f>
        <v>12.7666086509118</v>
      </c>
      <c r="AT4" s="93" t="n">
        <f aca="false">CONSULTORIAS!E43</f>
        <v>11.1511102043739</v>
      </c>
      <c r="AU4" s="93" t="n">
        <f aca="false">CONSULTORIAS!E44</f>
        <v>8.21384030157759</v>
      </c>
      <c r="AV4" s="93" t="n">
        <f aca="false">CONSULTORIAS!E45</f>
        <v>9.82933874811555</v>
      </c>
      <c r="AW4" s="93" t="n">
        <f aca="false">CONSULTORIAS!E46</f>
        <v>8.21384030157759</v>
      </c>
      <c r="AX4" s="93" t="n">
        <f aca="false">CONSULTORIAS!E47</f>
        <v>11.9037856169654</v>
      </c>
      <c r="AY4" s="93" t="n">
        <f aca="false">CONSULTORIAS!E48</f>
        <v>9.82933874811555</v>
      </c>
      <c r="AZ4" s="93" t="n">
        <f aca="false">CONSULTORIAS!E49</f>
        <v>35.7507456402928</v>
      </c>
      <c r="BA4" s="93" t="n">
        <f aca="false">CONSULTORIAS!E50</f>
        <v>37.3662440868307</v>
      </c>
      <c r="BB4" s="93" t="n">
        <f aca="false">CONSULTORIAS!E51</f>
        <v>8.21384030157759</v>
      </c>
      <c r="BC4" s="93" t="n">
        <f aca="false">CONSULTORIAS!E52</f>
        <v>7.69834943363684</v>
      </c>
      <c r="BD4" s="93" t="n">
        <f aca="false">CONSULTORIAS!E53</f>
        <v>9.3138478801748</v>
      </c>
      <c r="BE4" s="93" t="n">
        <f aca="false">CONSULTORIAS!E54</f>
        <v>6.96550059288917</v>
      </c>
      <c r="BF4" s="93" t="n">
        <f aca="false">CONSULTORIAS!E55</f>
        <v>4.1750941852327</v>
      </c>
      <c r="BG4" s="93" t="n">
        <f aca="false">CONSULTORIAS!E56</f>
        <v>56.7301298324424</v>
      </c>
      <c r="BH4" s="93" t="n">
        <f aca="false">CONSULTORIAS!E57</f>
        <v>0</v>
      </c>
      <c r="BI4" s="93" t="n">
        <f aca="false">CONSULTORIAS!E58</f>
        <v>0</v>
      </c>
      <c r="BJ4" s="93" t="n">
        <f aca="false">CONSULTORIAS!E59</f>
        <v>0</v>
      </c>
      <c r="BK4" s="93" t="n">
        <f aca="false">CONSULTORIAS!E60</f>
        <v>0</v>
      </c>
      <c r="BL4" s="93" t="n">
        <f aca="false">CONSULTORIAS!E61</f>
        <v>0</v>
      </c>
      <c r="BM4" s="93" t="n">
        <f aca="false">CONSULTORIAS!E62</f>
        <v>0</v>
      </c>
      <c r="BN4" s="93" t="n">
        <f aca="false">CONSULTORIAS!E63</f>
        <v>0</v>
      </c>
      <c r="BO4" s="93" t="n">
        <f aca="false">CONSULTORIAS!E64</f>
        <v>0</v>
      </c>
      <c r="BP4" s="93" t="n">
        <f aca="false">CONSULTORIAS!E65</f>
        <v>0</v>
      </c>
      <c r="BQ4" s="93" t="n">
        <f aca="false">CONSULTORIAS!E66</f>
        <v>0</v>
      </c>
      <c r="BR4" s="93" t="n">
        <f aca="false">CONSULTORIAS!E67</f>
        <v>0</v>
      </c>
      <c r="BS4" s="93" t="n">
        <f aca="false">CONSULTORIAS!E68</f>
        <v>0</v>
      </c>
      <c r="BT4" s="93" t="n">
        <f aca="false">CONSULTORIAS!E69</f>
        <v>0</v>
      </c>
      <c r="BU4" s="93" t="n">
        <f aca="false">CONSULTORIAS!E70</f>
        <v>0</v>
      </c>
      <c r="BV4" s="93" t="n">
        <f aca="false">CONSULTORIAS!E71</f>
        <v>0</v>
      </c>
      <c r="BW4" s="93" t="n">
        <f aca="false">CONSULTORIAS!E72</f>
        <v>0</v>
      </c>
      <c r="BX4" s="93" t="n">
        <f aca="false">CONSULTORIAS!E73</f>
        <v>0</v>
      </c>
      <c r="BY4" s="93" t="n">
        <f aca="false">CONSULTORIAS!E74</f>
        <v>0</v>
      </c>
      <c r="BZ4" s="93" t="n">
        <f aca="false">CONSULTORIAS!E75</f>
        <v>0</v>
      </c>
      <c r="CA4" s="93" t="n">
        <f aca="false">CONSULTORIAS!E76</f>
        <v>0</v>
      </c>
    </row>
    <row r="5" customFormat="false" ht="15" hidden="false" customHeight="false" outlineLevel="0" collapsed="false">
      <c r="A5" s="55" t="s">
        <v>305</v>
      </c>
      <c r="B5" s="55" t="s">
        <v>309</v>
      </c>
      <c r="C5" s="55" t="s">
        <v>70</v>
      </c>
      <c r="D5" s="56" t="n">
        <f aca="false">CONSUMOS!$K$5</f>
        <v>428.534091</v>
      </c>
      <c r="E5" s="45" t="n">
        <f aca="false">SUM(H5:CA5)</f>
        <v>447.5211842958</v>
      </c>
      <c r="F5" s="45" t="n">
        <f aca="false">IF(D5="","",D5-E5)</f>
        <v>-18.9870932958</v>
      </c>
      <c r="H5" s="93" t="n">
        <f aca="false">CONSUMOS!E5</f>
        <v>0</v>
      </c>
      <c r="I5" s="93" t="n">
        <f aca="false">CONSUMOS!E6</f>
        <v>0</v>
      </c>
      <c r="J5" s="93" t="n">
        <f aca="false">CONSUMOS!E7</f>
        <v>0</v>
      </c>
      <c r="K5" s="93" t="n">
        <f aca="false">CONSUMOS!E8</f>
        <v>0</v>
      </c>
      <c r="L5" s="93" t="n">
        <f aca="false">CONSUMOS!E9</f>
        <v>0</v>
      </c>
      <c r="M5" s="93" t="n">
        <f aca="false">CONSUMOS!E10</f>
        <v>0</v>
      </c>
      <c r="N5" s="93" t="n">
        <f aca="false">CONSUMOS!E11</f>
        <v>0</v>
      </c>
      <c r="O5" s="93" t="n">
        <f aca="false">CONSUMOS!E12</f>
        <v>0</v>
      </c>
      <c r="P5" s="93" t="n">
        <f aca="false">CONSUMOS!E13</f>
        <v>0</v>
      </c>
      <c r="Q5" s="93" t="n">
        <f aca="false">CONSUMOS!E14</f>
        <v>0</v>
      </c>
      <c r="R5" s="93" t="n">
        <f aca="false">CONSUMOS!E15</f>
        <v>0.369736803353524</v>
      </c>
      <c r="S5" s="93" t="n">
        <f aca="false">CONSUMOS!E16</f>
        <v>2.28148230343015</v>
      </c>
      <c r="T5" s="93" t="n">
        <f aca="false">CONSUMOS!E17</f>
        <v>0.130194656889447</v>
      </c>
      <c r="U5" s="93" t="n">
        <f aca="false">CONSUMOS!E18</f>
        <v>1.95391241645352</v>
      </c>
      <c r="V5" s="93" t="n">
        <f aca="false">CONSUMOS!E19</f>
        <v>1.57810558968658</v>
      </c>
      <c r="W5" s="93" t="n">
        <f aca="false">CONSUMOS!E20</f>
        <v>2.35413304083369</v>
      </c>
      <c r="X5" s="93" t="n">
        <f aca="false">CONSUMOS!E21</f>
        <v>1.26577022860282</v>
      </c>
      <c r="Y5" s="93" t="n">
        <f aca="false">CONSUMOS!E22</f>
        <v>4.98937195786558</v>
      </c>
      <c r="Z5" s="93" t="n">
        <f aca="false">CONSUMOS!E23</f>
        <v>1.84330347068382</v>
      </c>
      <c r="AA5" s="93" t="n">
        <f aca="false">CONSUMOS!E24</f>
        <v>3.49473894993213</v>
      </c>
      <c r="AB5" s="93" t="n">
        <f aca="false">CONSUMOS!E25</f>
        <v>8.12828237420473</v>
      </c>
      <c r="AC5" s="93" t="n">
        <f aca="false">CONSUMOS!E26</f>
        <v>11.7074652255333</v>
      </c>
      <c r="AD5" s="93" t="n">
        <f aca="false">CONSUMOS!E27</f>
        <v>11.2480923249363</v>
      </c>
      <c r="AE5" s="93" t="n">
        <f aca="false">CONSUMOS!E28</f>
        <v>9.35943924518447</v>
      </c>
      <c r="AF5" s="93" t="n">
        <f aca="false">CONSUMOS!E29</f>
        <v>8.95592672242928</v>
      </c>
      <c r="AG5" s="93" t="n">
        <f aca="false">CONSUMOS!E30</f>
        <v>8.64640776831538</v>
      </c>
      <c r="AH5" s="93" t="n">
        <f aca="false">CONSUMOS!E31</f>
        <v>9.34055753492761</v>
      </c>
      <c r="AI5" s="93" t="n">
        <f aca="false">CONSUMOS!E32</f>
        <v>9.50276595042655</v>
      </c>
      <c r="AJ5" s="93" t="n">
        <f aca="false">CONSUMOS!E33</f>
        <v>9.16075385536513</v>
      </c>
      <c r="AK5" s="93" t="n">
        <f aca="false">CONSUMOS!E34</f>
        <v>9.41059830541449</v>
      </c>
      <c r="AL5" s="93" t="n">
        <f aca="false">CONSUMOS!E35</f>
        <v>9.52893475589463</v>
      </c>
      <c r="AM5" s="93" t="n">
        <f aca="false">CONSUMOS!E36</f>
        <v>9.73689915761163</v>
      </c>
      <c r="AN5" s="93" t="n">
        <f aca="false">CONSUMOS!E37</f>
        <v>10.0290718372478</v>
      </c>
      <c r="AO5" s="93" t="n">
        <f aca="false">CONSUMOS!E38</f>
        <v>10.4814444163907</v>
      </c>
      <c r="AP5" s="93" t="n">
        <f aca="false">CONSUMOS!E39</f>
        <v>10.8031472609034</v>
      </c>
      <c r="AQ5" s="93" t="n">
        <f aca="false">CONSUMOS!E40</f>
        <v>10.7911044646033</v>
      </c>
      <c r="AR5" s="93" t="n">
        <f aca="false">CONSUMOS!E41</f>
        <v>11.0752513799237</v>
      </c>
      <c r="AS5" s="93" t="n">
        <f aca="false">CONSUMOS!E42</f>
        <v>10.0884890520737</v>
      </c>
      <c r="AT5" s="93" t="n">
        <f aca="false">CONSUMOS!E43</f>
        <v>10.8731050348616</v>
      </c>
      <c r="AU5" s="93" t="n">
        <f aca="false">CONSUMOS!E44</f>
        <v>10.6985882341711</v>
      </c>
      <c r="AV5" s="93" t="n">
        <f aca="false">CONSUMOS!E45</f>
        <v>10.5921451862395</v>
      </c>
      <c r="AW5" s="93" t="n">
        <f aca="false">CONSUMOS!E46</f>
        <v>10.2607234482277</v>
      </c>
      <c r="AX5" s="93" t="n">
        <f aca="false">CONSUMOS!E47</f>
        <v>10.8810644019545</v>
      </c>
      <c r="AY5" s="93" t="n">
        <f aca="false">CONSUMOS!E48</f>
        <v>10.4627286991911</v>
      </c>
      <c r="AZ5" s="93" t="n">
        <f aca="false">CONSUMOS!E49</f>
        <v>10.3454795032356</v>
      </c>
      <c r="BA5" s="93" t="n">
        <f aca="false">CONSUMOS!E50</f>
        <v>10.2553950710915</v>
      </c>
      <c r="BB5" s="93" t="n">
        <f aca="false">CONSUMOS!E51</f>
        <v>9.75979789985281</v>
      </c>
      <c r="BC5" s="93" t="n">
        <f aca="false">CONSUMOS!E52</f>
        <v>9.2741686116992</v>
      </c>
      <c r="BD5" s="93" t="n">
        <f aca="false">CONSUMOS!E53</f>
        <v>8.68198008047402</v>
      </c>
      <c r="BE5" s="93" t="n">
        <f aca="false">CONSUMOS!E54</f>
        <v>8.40014046864875</v>
      </c>
      <c r="BF5" s="93" t="n">
        <f aca="false">CONSUMOS!E55</f>
        <v>8.37091739092813</v>
      </c>
      <c r="BG5" s="93" t="n">
        <f aca="false">CONSUMOS!E56</f>
        <v>8.02863140732232</v>
      </c>
      <c r="BH5" s="93" t="n">
        <f aca="false">CONSUMOS!E57</f>
        <v>7.69598962034003</v>
      </c>
      <c r="BI5" s="93" t="n">
        <f aca="false">CONSUMOS!E58</f>
        <v>7.69598962034003</v>
      </c>
      <c r="BJ5" s="93" t="n">
        <f aca="false">CONSUMOS!E59</f>
        <v>7.69598962034003</v>
      </c>
      <c r="BK5" s="93" t="n">
        <f aca="false">CONSUMOS!E60</f>
        <v>0</v>
      </c>
      <c r="BL5" s="93" t="n">
        <f aca="false">CONSUMOS!E61</f>
        <v>89.2929689477648</v>
      </c>
      <c r="BM5" s="93" t="n">
        <f aca="false">CONSUMOS!E62</f>
        <v>0</v>
      </c>
      <c r="BN5" s="93" t="n">
        <f aca="false">CONSUMOS!E63</f>
        <v>0</v>
      </c>
      <c r="BO5" s="93" t="n">
        <f aca="false">CONSUMOS!E64</f>
        <v>0</v>
      </c>
      <c r="BP5" s="93" t="n">
        <f aca="false">CONSUMOS!E65</f>
        <v>0</v>
      </c>
      <c r="BQ5" s="93" t="n">
        <f aca="false">CONSUMOS!E66</f>
        <v>0</v>
      </c>
      <c r="BR5" s="93" t="n">
        <f aca="false">CONSUMOS!E67</f>
        <v>0</v>
      </c>
      <c r="BS5" s="93" t="n">
        <f aca="false">CONSUMOS!E68</f>
        <v>0</v>
      </c>
      <c r="BT5" s="93" t="n">
        <f aca="false">CONSUMOS!E69</f>
        <v>0</v>
      </c>
      <c r="BU5" s="93" t="n">
        <f aca="false">CONSUMOS!E70</f>
        <v>0</v>
      </c>
      <c r="BV5" s="93" t="n">
        <f aca="false">CONSUMOS!E71</f>
        <v>0</v>
      </c>
      <c r="BW5" s="93" t="n">
        <f aca="false">CONSUMOS!E72</f>
        <v>0</v>
      </c>
      <c r="BX5" s="93" t="n">
        <f aca="false">CONSUMOS!E73</f>
        <v>0</v>
      </c>
      <c r="BY5" s="93" t="n">
        <f aca="false">CONSUMOS!E74</f>
        <v>0</v>
      </c>
      <c r="BZ5" s="93" t="n">
        <f aca="false">CONSUMOS!E75</f>
        <v>0</v>
      </c>
      <c r="CA5" s="93" t="n">
        <f aca="false">CONSUMOS!E76</f>
        <v>0</v>
      </c>
    </row>
    <row r="6" customFormat="false" ht="15" hidden="false" customHeight="false" outlineLevel="0" collapsed="false">
      <c r="A6" s="55" t="s">
        <v>305</v>
      </c>
      <c r="B6" s="55" t="s">
        <v>310</v>
      </c>
      <c r="C6" s="55" t="s">
        <v>72</v>
      </c>
      <c r="D6" s="56" t="n">
        <f aca="false">CONTENÇÃO!$K$5</f>
        <v>1351.644127</v>
      </c>
      <c r="E6" s="45" t="n">
        <f aca="false">SUM(H6:CA6)</f>
        <v>1144.53125923452</v>
      </c>
      <c r="F6" s="45" t="n">
        <f aca="false">IF(D6="","",D6-E6)</f>
        <v>207.112867765475</v>
      </c>
      <c r="H6" s="93" t="n">
        <f aca="false">CONTENÇÃO!E5</f>
        <v>0</v>
      </c>
      <c r="I6" s="93" t="n">
        <f aca="false">CONTENÇÃO!E6</f>
        <v>0</v>
      </c>
      <c r="J6" s="93" t="n">
        <f aca="false">CONTENÇÃO!E7</f>
        <v>0</v>
      </c>
      <c r="K6" s="93" t="n">
        <f aca="false">CONTENÇÃO!E8</f>
        <v>0</v>
      </c>
      <c r="L6" s="93" t="n">
        <f aca="false">CONTENÇÃO!E9</f>
        <v>0</v>
      </c>
      <c r="M6" s="93" t="n">
        <f aca="false">CONTENÇÃO!E10</f>
        <v>0</v>
      </c>
      <c r="N6" s="93" t="n">
        <f aca="false">CONTENÇÃO!E11</f>
        <v>0</v>
      </c>
      <c r="O6" s="93" t="n">
        <f aca="false">CONTENÇÃO!E12</f>
        <v>9.92167511654554</v>
      </c>
      <c r="P6" s="93" t="n">
        <f aca="false">CONTENÇÃO!E13</f>
        <v>88.6113736597009</v>
      </c>
      <c r="Q6" s="93" t="n">
        <f aca="false">CONTENÇÃO!E14</f>
        <v>194.337315291853</v>
      </c>
      <c r="R6" s="93" t="n">
        <f aca="false">CONTENÇÃO!E15</f>
        <v>233.81968100946</v>
      </c>
      <c r="S6" s="93" t="n">
        <f aca="false">CONTENÇÃO!E16</f>
        <v>163.948408699831</v>
      </c>
      <c r="T6" s="93" t="n">
        <f aca="false">CONTENÇÃO!E17</f>
        <v>118.915590057004</v>
      </c>
      <c r="U6" s="93" t="n">
        <f aca="false">CONTENÇÃO!E18</f>
        <v>3.75898518717321</v>
      </c>
      <c r="V6" s="93" t="n">
        <f aca="false">CONTENÇÃO!E19</f>
        <v>0.693279461757173</v>
      </c>
      <c r="W6" s="93" t="n">
        <f aca="false">CONTENÇÃO!E20</f>
        <v>2.11035928225334</v>
      </c>
      <c r="X6" s="93" t="n">
        <f aca="false">CONTENÇÃO!E21</f>
        <v>0.275425276187391</v>
      </c>
      <c r="Y6" s="93" t="n">
        <f aca="false">CONTENÇÃO!E22</f>
        <v>3.368235493175</v>
      </c>
      <c r="Z6" s="93" t="n">
        <f aca="false">CONTENÇÃO!E23</f>
        <v>4.80072088899231</v>
      </c>
      <c r="AA6" s="93" t="n">
        <f aca="false">CONTENÇÃO!E24</f>
        <v>40.5583224868076</v>
      </c>
      <c r="AB6" s="93" t="n">
        <f aca="false">CONTENÇÃO!E25</f>
        <v>0</v>
      </c>
      <c r="AC6" s="93" t="n">
        <f aca="false">CONTENÇÃO!E26</f>
        <v>0</v>
      </c>
      <c r="AD6" s="93" t="n">
        <f aca="false">CONTENÇÃO!E27</f>
        <v>64.3665509334864</v>
      </c>
      <c r="AE6" s="93" t="n">
        <f aca="false">CONTENÇÃO!E28</f>
        <v>46.8541655250205</v>
      </c>
      <c r="AF6" s="93" t="n">
        <f aca="false">CONTENÇÃO!E29</f>
        <v>1.39045824276403</v>
      </c>
      <c r="AG6" s="93" t="n">
        <f aca="false">CONTENÇÃO!E30</f>
        <v>84.8262412540998</v>
      </c>
      <c r="AH6" s="93" t="n">
        <f aca="false">CONTENÇÃO!E31</f>
        <v>74.7588345637214</v>
      </c>
      <c r="AI6" s="93" t="n">
        <f aca="false">CONTENÇÃO!E32</f>
        <v>7.21563680469184</v>
      </c>
      <c r="AJ6" s="93" t="n">
        <f aca="false">CONTENÇÃO!E33</f>
        <v>0</v>
      </c>
      <c r="AK6" s="93" t="n">
        <f aca="false">CONTENÇÃO!E34</f>
        <v>0</v>
      </c>
      <c r="AL6" s="93" t="n">
        <f aca="false">CONTENÇÃO!E35</f>
        <v>0</v>
      </c>
      <c r="AM6" s="93" t="n">
        <f aca="false">CONTENÇÃO!E36</f>
        <v>0</v>
      </c>
      <c r="AN6" s="93" t="n">
        <f aca="false">CONTENÇÃO!E37</f>
        <v>0</v>
      </c>
      <c r="AO6" s="93" t="n">
        <f aca="false">CONTENÇÃO!E38</f>
        <v>0</v>
      </c>
      <c r="AP6" s="93" t="n">
        <f aca="false">CONTENÇÃO!E39</f>
        <v>0</v>
      </c>
      <c r="AQ6" s="93" t="n">
        <f aca="false">CONTENÇÃO!E40</f>
        <v>0</v>
      </c>
      <c r="AR6" s="93" t="n">
        <f aca="false">CONTENÇÃO!E41</f>
        <v>0</v>
      </c>
      <c r="AS6" s="93" t="n">
        <f aca="false">CONTENÇÃO!E42</f>
        <v>0</v>
      </c>
      <c r="AT6" s="93" t="n">
        <f aca="false">CONTENÇÃO!E43</f>
        <v>0</v>
      </c>
      <c r="AU6" s="93" t="n">
        <f aca="false">CONTENÇÃO!E44</f>
        <v>0</v>
      </c>
      <c r="AV6" s="93" t="n">
        <f aca="false">CONTENÇÃO!E45</f>
        <v>0</v>
      </c>
      <c r="AW6" s="93" t="n">
        <f aca="false">CONTENÇÃO!E46</f>
        <v>0</v>
      </c>
      <c r="AX6" s="93" t="n">
        <f aca="false">CONTENÇÃO!E47</f>
        <v>0</v>
      </c>
      <c r="AY6" s="93" t="n">
        <f aca="false">CONTENÇÃO!E48</f>
        <v>0</v>
      </c>
      <c r="AZ6" s="93" t="n">
        <f aca="false">CONTENÇÃO!E49</f>
        <v>0</v>
      </c>
      <c r="BA6" s="93" t="n">
        <f aca="false">CONTENÇÃO!E50</f>
        <v>0</v>
      </c>
      <c r="BB6" s="93" t="n">
        <f aca="false">CONTENÇÃO!E51</f>
        <v>0</v>
      </c>
      <c r="BC6" s="93" t="n">
        <f aca="false">CONTENÇÃO!E52</f>
        <v>0</v>
      </c>
      <c r="BD6" s="93" t="n">
        <f aca="false">CONTENÇÃO!E53</f>
        <v>0</v>
      </c>
      <c r="BE6" s="93" t="n">
        <f aca="false">CONTENÇÃO!E54</f>
        <v>0</v>
      </c>
      <c r="BF6" s="93" t="n">
        <f aca="false">CONTENÇÃO!E55</f>
        <v>0</v>
      </c>
      <c r="BG6" s="93" t="n">
        <f aca="false">CONTENÇÃO!E56</f>
        <v>0</v>
      </c>
      <c r="BH6" s="93" t="n">
        <f aca="false">CONTENÇÃO!E57</f>
        <v>0</v>
      </c>
      <c r="BI6" s="93" t="n">
        <f aca="false">CONTENÇÃO!E58</f>
        <v>0</v>
      </c>
      <c r="BJ6" s="93" t="n">
        <f aca="false">CONTENÇÃO!E59</f>
        <v>0</v>
      </c>
      <c r="BK6" s="93" t="n">
        <f aca="false">CONTENÇÃO!E60</f>
        <v>0</v>
      </c>
      <c r="BL6" s="93" t="n">
        <f aca="false">CONTENÇÃO!E61</f>
        <v>0</v>
      </c>
      <c r="BM6" s="93" t="n">
        <f aca="false">CONTENÇÃO!E62</f>
        <v>0</v>
      </c>
      <c r="BN6" s="93" t="n">
        <f aca="false">CONTENÇÃO!E63</f>
        <v>0</v>
      </c>
      <c r="BO6" s="93" t="n">
        <f aca="false">CONTENÇÃO!E64</f>
        <v>0</v>
      </c>
      <c r="BP6" s="93" t="n">
        <f aca="false">CONTENÇÃO!E65</f>
        <v>0</v>
      </c>
      <c r="BQ6" s="93" t="n">
        <f aca="false">CONTENÇÃO!E66</f>
        <v>0</v>
      </c>
      <c r="BR6" s="93" t="n">
        <f aca="false">CONTENÇÃO!E67</f>
        <v>0</v>
      </c>
      <c r="BS6" s="93" t="n">
        <f aca="false">CONTENÇÃO!E68</f>
        <v>0</v>
      </c>
      <c r="BT6" s="93" t="n">
        <f aca="false">CONTENÇÃO!E69</f>
        <v>0</v>
      </c>
      <c r="BU6" s="93" t="n">
        <f aca="false">CONTENÇÃO!E70</f>
        <v>0</v>
      </c>
      <c r="BV6" s="93" t="n">
        <f aca="false">CONTENÇÃO!E71</f>
        <v>0</v>
      </c>
      <c r="BW6" s="93" t="n">
        <f aca="false">CONTENÇÃO!E72</f>
        <v>0</v>
      </c>
      <c r="BX6" s="93" t="n">
        <f aca="false">CONTENÇÃO!E73</f>
        <v>0</v>
      </c>
      <c r="BY6" s="93" t="n">
        <f aca="false">CONTENÇÃO!E74</f>
        <v>0</v>
      </c>
      <c r="BZ6" s="93" t="n">
        <f aca="false">CONTENÇÃO!E75</f>
        <v>0</v>
      </c>
      <c r="CA6" s="93" t="n">
        <f aca="false">CONTENÇÃO!E76</f>
        <v>0</v>
      </c>
    </row>
    <row r="7" customFormat="false" ht="15" hidden="false" customHeight="false" outlineLevel="0" collapsed="false">
      <c r="A7" s="55" t="s">
        <v>305</v>
      </c>
      <c r="B7" s="55" t="s">
        <v>311</v>
      </c>
      <c r="C7" s="55" t="s">
        <v>312</v>
      </c>
      <c r="E7" s="45" t="n">
        <f aca="false">SUM(H7:CA7)</f>
        <v>0</v>
      </c>
      <c r="F7" s="45" t="str">
        <f aca="false">IF(D7="","",D7-E7)</f>
        <v/>
      </c>
    </row>
    <row r="8" customFormat="false" ht="15" hidden="false" customHeight="false" outlineLevel="0" collapsed="false">
      <c r="A8" s="55" t="s">
        <v>305</v>
      </c>
      <c r="B8" s="55" t="s">
        <v>313</v>
      </c>
      <c r="C8" s="55" t="s">
        <v>314</v>
      </c>
      <c r="E8" s="45" t="n">
        <f aca="false">SUM(H8:CA8)</f>
        <v>0</v>
      </c>
      <c r="F8" s="45" t="str">
        <f aca="false">IF(D8="","",D8-E8)</f>
        <v/>
      </c>
    </row>
    <row r="9" customFormat="false" ht="15" hidden="false" customHeight="false" outlineLevel="0" collapsed="false">
      <c r="A9" s="55" t="s">
        <v>305</v>
      </c>
      <c r="B9" s="55" t="s">
        <v>315</v>
      </c>
      <c r="C9" s="55" t="s">
        <v>83</v>
      </c>
      <c r="D9" s="56" t="n">
        <f aca="false">DIVERSOS!$K$5</f>
        <v>130.187572</v>
      </c>
      <c r="E9" s="45" t="n">
        <f aca="false">SUM(H9:CA9)</f>
        <v>152.40766295735</v>
      </c>
      <c r="F9" s="45" t="n">
        <f aca="false">IF(D9="","",D9-E9)</f>
        <v>-22.2200909573496</v>
      </c>
      <c r="H9" s="93" t="n">
        <f aca="false">DIVERSOS!E5</f>
        <v>6.60690171273853</v>
      </c>
      <c r="I9" s="93" t="n">
        <f aca="false">DIVERSOS!E6</f>
        <v>1.25542717745716</v>
      </c>
      <c r="J9" s="93" t="n">
        <f aca="false">DIVERSOS!E7</f>
        <v>0</v>
      </c>
      <c r="K9" s="93" t="n">
        <f aca="false">DIVERSOS!E8</f>
        <v>0</v>
      </c>
      <c r="L9" s="93" t="n">
        <f aca="false">DIVERSOS!E9</f>
        <v>0.0562280596591533</v>
      </c>
      <c r="M9" s="93" t="n">
        <f aca="false">DIVERSOS!E10</f>
        <v>0</v>
      </c>
      <c r="N9" s="93" t="n">
        <f aca="false">DIVERSOS!E11</f>
        <v>0</v>
      </c>
      <c r="O9" s="93" t="n">
        <f aca="false">DIVERSOS!E12</f>
        <v>0</v>
      </c>
      <c r="P9" s="93" t="n">
        <f aca="false">DIVERSOS!E13</f>
        <v>0</v>
      </c>
      <c r="Q9" s="93" t="n">
        <f aca="false">DIVERSOS!E14</f>
        <v>0.69757710172825</v>
      </c>
      <c r="R9" s="93" t="n">
        <f aca="false">DIVERSOS!E15</f>
        <v>3.43930900654147</v>
      </c>
      <c r="S9" s="93" t="n">
        <f aca="false">DIVERSOS!E16</f>
        <v>0.58207473199563</v>
      </c>
      <c r="T9" s="93" t="n">
        <f aca="false">DIVERSOS!E17</f>
        <v>1.45265970829557</v>
      </c>
      <c r="U9" s="93" t="n">
        <f aca="false">DIVERSOS!E18</f>
        <v>0.90777471310455</v>
      </c>
      <c r="V9" s="93" t="n">
        <f aca="false">DIVERSOS!E19</f>
        <v>0.935903089204913</v>
      </c>
      <c r="W9" s="93" t="n">
        <f aca="false">DIVERSOS!E20</f>
        <v>1.82861990360661</v>
      </c>
      <c r="X9" s="93" t="n">
        <f aca="false">DIVERSOS!E21</f>
        <v>1.26607983792349</v>
      </c>
      <c r="Y9" s="93" t="n">
        <f aca="false">DIVERSOS!E22</f>
        <v>1.51286500694502</v>
      </c>
      <c r="Z9" s="93" t="n">
        <f aca="false">DIVERSOS!E23</f>
        <v>1.21749967399138</v>
      </c>
      <c r="AA9" s="93" t="n">
        <f aca="false">DIVERSOS!E24</f>
        <v>1.97011714247794</v>
      </c>
      <c r="AB9" s="93" t="n">
        <f aca="false">DIVERSOS!E25</f>
        <v>3.963122518581</v>
      </c>
      <c r="AC9" s="93" t="n">
        <f aca="false">DIVERSOS!E26</f>
        <v>5.47341213174297</v>
      </c>
      <c r="AD9" s="93" t="n">
        <f aca="false">DIVERSOS!E27</f>
        <v>3.36374177951736</v>
      </c>
      <c r="AE9" s="93" t="n">
        <f aca="false">DIVERSOS!E28</f>
        <v>6.97914079722325</v>
      </c>
      <c r="AF9" s="93" t="n">
        <f aca="false">DIVERSOS!E29</f>
        <v>3.16366703169037</v>
      </c>
      <c r="AG9" s="93" t="n">
        <f aca="false">DIVERSOS!E30</f>
        <v>2.9990904201981</v>
      </c>
      <c r="AH9" s="93" t="n">
        <f aca="false">DIVERSOS!E31</f>
        <v>3.63746441322073</v>
      </c>
      <c r="AI9" s="93" t="n">
        <f aca="false">DIVERSOS!E32</f>
        <v>3.79103355069779</v>
      </c>
      <c r="AJ9" s="93" t="n">
        <f aca="false">DIVERSOS!E33</f>
        <v>3.6091796674911</v>
      </c>
      <c r="AK9" s="93" t="n">
        <f aca="false">DIVERSOS!E34</f>
        <v>3.80934463247174</v>
      </c>
      <c r="AL9" s="93" t="n">
        <f aca="false">DIVERSOS!E35</f>
        <v>3.93958982500847</v>
      </c>
      <c r="AM9" s="93" t="n">
        <f aca="false">DIVERSOS!E36</f>
        <v>3.98284622289526</v>
      </c>
      <c r="AN9" s="93" t="n">
        <f aca="false">DIVERSOS!E37</f>
        <v>4.13820035615858</v>
      </c>
      <c r="AO9" s="93" t="n">
        <f aca="false">DIVERSOS!E38</f>
        <v>4.44606006690964</v>
      </c>
      <c r="AP9" s="93" t="n">
        <f aca="false">DIVERSOS!E39</f>
        <v>4.61712216309196</v>
      </c>
      <c r="AQ9" s="93" t="n">
        <f aca="false">DIVERSOS!E40</f>
        <v>4.47607774604842</v>
      </c>
      <c r="AR9" s="93" t="n">
        <f aca="false">DIVERSOS!E41</f>
        <v>4.62716276438961</v>
      </c>
      <c r="AS9" s="93" t="n">
        <f aca="false">DIVERSOS!E42</f>
        <v>4.10247812798624</v>
      </c>
      <c r="AT9" s="93" t="n">
        <f aca="false">DIVERSOS!E43</f>
        <v>4.51967626812758</v>
      </c>
      <c r="AU9" s="93" t="n">
        <f aca="false">DIVERSOS!E44</f>
        <v>4.35956214610093</v>
      </c>
      <c r="AV9" s="93" t="n">
        <f aca="false">DIVERSOS!E45</f>
        <v>4.30296290471191</v>
      </c>
      <c r="AW9" s="93" t="n">
        <f aca="false">DIVERSOS!E46</f>
        <v>4.0594225421254</v>
      </c>
      <c r="AX9" s="93" t="n">
        <f aca="false">DIVERSOS!E47</f>
        <v>4.38926745097711</v>
      </c>
      <c r="AY9" s="93" t="n">
        <f aca="false">DIVERSOS!E48</f>
        <v>4.16683466356301</v>
      </c>
      <c r="AZ9" s="93" t="n">
        <f aca="false">DIVERSOS!E49</f>
        <v>4.10448624824577</v>
      </c>
      <c r="BA9" s="93" t="n">
        <f aca="false">DIVERSOS!E50</f>
        <v>3.92194811665436</v>
      </c>
      <c r="BB9" s="93" t="n">
        <f aca="false">DIVERSOS!E51</f>
        <v>3.65842323874428</v>
      </c>
      <c r="BC9" s="93" t="n">
        <f aca="false">DIVERSOS!E52</f>
        <v>3.4002087232983</v>
      </c>
      <c r="BD9" s="93" t="n">
        <f aca="false">DIVERSOS!E53</f>
        <v>2.74872244872918</v>
      </c>
      <c r="BE9" s="93" t="n">
        <f aca="false">DIVERSOS!E54</f>
        <v>2.3969072167417</v>
      </c>
      <c r="BF9" s="93" t="n">
        <f aca="false">DIVERSOS!E55</f>
        <v>2.38136287843644</v>
      </c>
      <c r="BG9" s="93" t="n">
        <f aca="false">DIVERSOS!E56</f>
        <v>1.86276954015365</v>
      </c>
      <c r="BH9" s="93" t="n">
        <f aca="false">DIVERSOS!E57</f>
        <v>3.28733748974774</v>
      </c>
      <c r="BI9" s="93" t="n">
        <f aca="false">DIVERSOS!E58</f>
        <v>0</v>
      </c>
      <c r="BJ9" s="93" t="n">
        <f aca="false">DIVERSOS!E59</f>
        <v>0</v>
      </c>
      <c r="BK9" s="93" t="n">
        <f aca="false">DIVERSOS!E60</f>
        <v>0</v>
      </c>
      <c r="BL9" s="93" t="n">
        <f aca="false">DIVERSOS!E61</f>
        <v>0</v>
      </c>
      <c r="BM9" s="93" t="n">
        <f aca="false">DIVERSOS!E62</f>
        <v>0</v>
      </c>
      <c r="BN9" s="93" t="n">
        <f aca="false">DIVERSOS!E63</f>
        <v>0</v>
      </c>
      <c r="BO9" s="93" t="n">
        <f aca="false">DIVERSOS!E64</f>
        <v>0</v>
      </c>
      <c r="BP9" s="93" t="n">
        <f aca="false">DIVERSOS!E65</f>
        <v>0</v>
      </c>
      <c r="BQ9" s="93" t="n">
        <f aca="false">DIVERSOS!E66</f>
        <v>0</v>
      </c>
      <c r="BR9" s="93" t="n">
        <f aca="false">DIVERSOS!E67</f>
        <v>0</v>
      </c>
      <c r="BS9" s="93" t="n">
        <f aca="false">DIVERSOS!E68</f>
        <v>0</v>
      </c>
      <c r="BT9" s="93" t="n">
        <f aca="false">DIVERSOS!E69</f>
        <v>0</v>
      </c>
      <c r="BU9" s="93" t="n">
        <f aca="false">DIVERSOS!E70</f>
        <v>0</v>
      </c>
      <c r="BV9" s="93" t="n">
        <f aca="false">DIVERSOS!E71</f>
        <v>0</v>
      </c>
      <c r="BW9" s="93" t="n">
        <f aca="false">DIVERSOS!E72</f>
        <v>0</v>
      </c>
      <c r="BX9" s="93" t="n">
        <f aca="false">DIVERSOS!E73</f>
        <v>0</v>
      </c>
      <c r="BY9" s="93" t="n">
        <f aca="false">DIVERSOS!E74</f>
        <v>0</v>
      </c>
      <c r="BZ9" s="93" t="n">
        <f aca="false">DIVERSOS!E75</f>
        <v>0</v>
      </c>
      <c r="CA9" s="93" t="n">
        <f aca="false">DIVERSOS!E76</f>
        <v>0</v>
      </c>
    </row>
    <row r="10" customFormat="false" ht="15" hidden="false" customHeight="false" outlineLevel="0" collapsed="false">
      <c r="A10" s="55" t="s">
        <v>305</v>
      </c>
      <c r="B10" s="55" t="s">
        <v>316</v>
      </c>
      <c r="C10" s="55" t="s">
        <v>187</v>
      </c>
      <c r="D10" s="56" t="n">
        <f aca="false">'ELEVADORES '!$K$5</f>
        <v>2659.789702</v>
      </c>
      <c r="E10" s="45" t="n">
        <f aca="false">SUM(H10:CA10)</f>
        <v>2658.73790571863</v>
      </c>
      <c r="F10" s="45" t="n">
        <f aca="false">IF(D10="","",D10-E10)</f>
        <v>1.05179628136739</v>
      </c>
      <c r="H10" s="93" t="n">
        <f aca="false">'ELEVADORES '!E5</f>
        <v>0</v>
      </c>
      <c r="I10" s="93" t="n">
        <f aca="false">'ELEVADORES '!E6</f>
        <v>0</v>
      </c>
      <c r="J10" s="93" t="n">
        <f aca="false">'ELEVADORES '!E7</f>
        <v>0</v>
      </c>
      <c r="K10" s="93" t="n">
        <f aca="false">'ELEVADORES '!E8</f>
        <v>0</v>
      </c>
      <c r="L10" s="93" t="n">
        <f aca="false">'ELEVADORES '!E9</f>
        <v>0</v>
      </c>
      <c r="M10" s="93" t="n">
        <f aca="false">'ELEVADORES '!E10</f>
        <v>0</v>
      </c>
      <c r="N10" s="93" t="n">
        <f aca="false">'ELEVADORES '!E11</f>
        <v>0</v>
      </c>
      <c r="O10" s="93" t="n">
        <f aca="false">'ELEVADORES '!E12</f>
        <v>0</v>
      </c>
      <c r="P10" s="93" t="n">
        <f aca="false">'ELEVADORES '!E13</f>
        <v>0</v>
      </c>
      <c r="Q10" s="93" t="n">
        <f aca="false">'ELEVADORES '!E14</f>
        <v>0</v>
      </c>
      <c r="R10" s="93" t="n">
        <f aca="false">'ELEVADORES '!E15</f>
        <v>0</v>
      </c>
      <c r="S10" s="93" t="n">
        <f aca="false">'ELEVADORES '!E16</f>
        <v>0</v>
      </c>
      <c r="T10" s="93" t="n">
        <f aca="false">'ELEVADORES '!E17</f>
        <v>0</v>
      </c>
      <c r="U10" s="93" t="n">
        <f aca="false">'ELEVADORES '!E18</f>
        <v>0</v>
      </c>
      <c r="V10" s="93" t="n">
        <f aca="false">'ELEVADORES '!E19</f>
        <v>0</v>
      </c>
      <c r="W10" s="93" t="n">
        <f aca="false">'ELEVADORES '!E20</f>
        <v>0</v>
      </c>
      <c r="X10" s="93" t="n">
        <f aca="false">'ELEVADORES '!E21</f>
        <v>0</v>
      </c>
      <c r="Y10" s="93" t="n">
        <f aca="false">'ELEVADORES '!E22</f>
        <v>0</v>
      </c>
      <c r="Z10" s="93" t="n">
        <f aca="false">'ELEVADORES '!E23</f>
        <v>0</v>
      </c>
      <c r="AA10" s="93" t="n">
        <f aca="false">'ELEVADORES '!E24</f>
        <v>0</v>
      </c>
      <c r="AB10" s="93" t="n">
        <f aca="false">'ELEVADORES '!E25</f>
        <v>0</v>
      </c>
      <c r="AC10" s="93" t="n">
        <f aca="false">'ELEVADORES '!E26</f>
        <v>0</v>
      </c>
      <c r="AD10" s="93" t="n">
        <f aca="false">'ELEVADORES '!E27</f>
        <v>0</v>
      </c>
      <c r="AE10" s="93" t="n">
        <f aca="false">'ELEVADORES '!E28</f>
        <v>0</v>
      </c>
      <c r="AF10" s="93" t="n">
        <f aca="false">'ELEVADORES '!E29</f>
        <v>0</v>
      </c>
      <c r="AG10" s="93" t="n">
        <f aca="false">'ELEVADORES '!E30</f>
        <v>0</v>
      </c>
      <c r="AH10" s="93" t="n">
        <f aca="false">'ELEVADORES '!E31</f>
        <v>0</v>
      </c>
      <c r="AI10" s="93" t="n">
        <f aca="false">'ELEVADORES '!E32</f>
        <v>0</v>
      </c>
      <c r="AJ10" s="93" t="n">
        <f aca="false">'ELEVADORES '!E33</f>
        <v>0</v>
      </c>
      <c r="AK10" s="93" t="n">
        <f aca="false">'ELEVADORES '!E34</f>
        <v>0</v>
      </c>
      <c r="AL10" s="93" t="n">
        <f aca="false">'ELEVADORES '!E35</f>
        <v>0</v>
      </c>
      <c r="AM10" s="93" t="n">
        <f aca="false">'ELEVADORES '!E36</f>
        <v>0</v>
      </c>
      <c r="AN10" s="93" t="n">
        <f aca="false">'ELEVADORES '!E37</f>
        <v>238.173216386269</v>
      </c>
      <c r="AO10" s="93" t="n">
        <f aca="false">'ELEVADORES '!E38</f>
        <v>238.173216386269</v>
      </c>
      <c r="AP10" s="93" t="n">
        <f aca="false">'ELEVADORES '!E39</f>
        <v>238.173216386269</v>
      </c>
      <c r="AQ10" s="93" t="n">
        <f aca="false">'ELEVADORES '!E40</f>
        <v>238.173216386269</v>
      </c>
      <c r="AR10" s="93" t="n">
        <f aca="false">'ELEVADORES '!E41</f>
        <v>238.173216386269</v>
      </c>
      <c r="AS10" s="93" t="n">
        <f aca="false">'ELEVADORES '!E42</f>
        <v>238.173216386269</v>
      </c>
      <c r="AT10" s="93" t="n">
        <f aca="false">'ELEVADORES '!E43</f>
        <v>238.173216386269</v>
      </c>
      <c r="AU10" s="93" t="n">
        <f aca="false">'ELEVADORES '!E44</f>
        <v>243.317462902536</v>
      </c>
      <c r="AV10" s="93" t="n">
        <f aca="false">'ELEVADORES '!E45</f>
        <v>243.317462902536</v>
      </c>
      <c r="AW10" s="93" t="n">
        <f aca="false">'ELEVADORES '!E46</f>
        <v>243.317462902536</v>
      </c>
      <c r="AX10" s="93" t="n">
        <f aca="false">'ELEVADORES '!E47</f>
        <v>238.173216386269</v>
      </c>
      <c r="AY10" s="93" t="n">
        <f aca="false">'ELEVADORES '!E48</f>
        <v>0</v>
      </c>
      <c r="AZ10" s="93" t="n">
        <f aca="false">'ELEVADORES '!E49</f>
        <v>0</v>
      </c>
      <c r="BA10" s="93" t="n">
        <f aca="false">'ELEVADORES '!E50</f>
        <v>23.3997859208692</v>
      </c>
      <c r="BB10" s="93" t="n">
        <f aca="false">'ELEVADORES '!E51</f>
        <v>0</v>
      </c>
      <c r="BC10" s="93" t="n">
        <f aca="false">'ELEVADORES '!E52</f>
        <v>0</v>
      </c>
      <c r="BD10" s="93" t="n">
        <f aca="false">'ELEVADORES '!E53</f>
        <v>0</v>
      </c>
      <c r="BE10" s="93" t="n">
        <f aca="false">'ELEVADORES '!E54</f>
        <v>0</v>
      </c>
      <c r="BF10" s="93" t="n">
        <f aca="false">'ELEVADORES '!E55</f>
        <v>0</v>
      </c>
      <c r="BG10" s="93" t="n">
        <f aca="false">'ELEVADORES '!E56</f>
        <v>0</v>
      </c>
      <c r="BH10" s="93" t="n">
        <f aca="false">'ELEVADORES '!E57</f>
        <v>0</v>
      </c>
      <c r="BI10" s="93" t="n">
        <f aca="false">'ELEVADORES '!E58</f>
        <v>0</v>
      </c>
      <c r="BJ10" s="93" t="n">
        <f aca="false">'ELEVADORES '!E59</f>
        <v>0</v>
      </c>
      <c r="BK10" s="93" t="n">
        <f aca="false">'ELEVADORES '!E60</f>
        <v>0</v>
      </c>
      <c r="BL10" s="93" t="n">
        <f aca="false">'ELEVADORES '!E61</f>
        <v>0</v>
      </c>
      <c r="BM10" s="93" t="n">
        <f aca="false">'ELEVADORES '!E62</f>
        <v>0</v>
      </c>
      <c r="BN10" s="93" t="n">
        <f aca="false">'ELEVADORES '!E63</f>
        <v>0</v>
      </c>
      <c r="BO10" s="93" t="n">
        <f aca="false">'ELEVADORES '!E64</f>
        <v>0</v>
      </c>
      <c r="BP10" s="93" t="n">
        <f aca="false">'ELEVADORES '!E65</f>
        <v>0</v>
      </c>
      <c r="BQ10" s="93" t="n">
        <f aca="false">'ELEVADORES '!E66</f>
        <v>0</v>
      </c>
      <c r="BR10" s="93" t="n">
        <f aca="false">'ELEVADORES '!E67</f>
        <v>0</v>
      </c>
      <c r="BS10" s="93" t="n">
        <f aca="false">'ELEVADORES '!E68</f>
        <v>0</v>
      </c>
      <c r="BT10" s="93" t="n">
        <f aca="false">'ELEVADORES '!E69</f>
        <v>0</v>
      </c>
      <c r="BU10" s="93" t="n">
        <f aca="false">'ELEVADORES '!E70</f>
        <v>0</v>
      </c>
      <c r="BV10" s="93" t="n">
        <f aca="false">'ELEVADORES '!E71</f>
        <v>0</v>
      </c>
      <c r="BW10" s="93" t="n">
        <f aca="false">'ELEVADORES '!E72</f>
        <v>0</v>
      </c>
      <c r="BX10" s="93" t="n">
        <f aca="false">'ELEVADORES '!E73</f>
        <v>0</v>
      </c>
      <c r="BY10" s="93" t="n">
        <f aca="false">'ELEVADORES '!E74</f>
        <v>0</v>
      </c>
      <c r="BZ10" s="93" t="n">
        <f aca="false">'ELEVADORES '!E75</f>
        <v>0</v>
      </c>
      <c r="CA10" s="93" t="n">
        <f aca="false">'ELEVADORES '!E76</f>
        <v>0</v>
      </c>
    </row>
    <row r="11" customFormat="false" ht="15" hidden="false" customHeight="false" outlineLevel="0" collapsed="false">
      <c r="A11" s="55" t="s">
        <v>305</v>
      </c>
      <c r="B11" s="55" t="s">
        <v>317</v>
      </c>
      <c r="C11" s="55" t="s">
        <v>78</v>
      </c>
      <c r="D11" s="56" t="n">
        <f aca="false">'EQUIP E FER'!$K$5</f>
        <v>5315.919921</v>
      </c>
      <c r="E11" s="45" t="n">
        <f aca="false">SUM(H11:CA11)</f>
        <v>5298.29545764417</v>
      </c>
      <c r="F11" s="45" t="n">
        <f aca="false">IF(D11="","",D11-E11)</f>
        <v>17.6244633558281</v>
      </c>
      <c r="H11" s="93" t="n">
        <f aca="false">'EQUIP E FER'!E5</f>
        <v>0</v>
      </c>
      <c r="I11" s="93" t="n">
        <f aca="false">'EQUIP E FER'!E6</f>
        <v>0</v>
      </c>
      <c r="J11" s="93" t="n">
        <f aca="false">'EQUIP E FER'!E7</f>
        <v>0</v>
      </c>
      <c r="K11" s="93" t="n">
        <f aca="false">'EQUIP E FER'!E8</f>
        <v>0</v>
      </c>
      <c r="L11" s="93" t="n">
        <f aca="false">'EQUIP E FER'!E9</f>
        <v>0</v>
      </c>
      <c r="M11" s="93" t="n">
        <f aca="false">'EQUIP E FER'!E10</f>
        <v>0</v>
      </c>
      <c r="N11" s="93" t="n">
        <f aca="false">'EQUIP E FER'!E11</f>
        <v>0</v>
      </c>
      <c r="O11" s="93" t="n">
        <f aca="false">'EQUIP E FER'!E12</f>
        <v>0.555899315225231</v>
      </c>
      <c r="P11" s="93" t="n">
        <f aca="false">'EQUIP E FER'!E13</f>
        <v>4.34074460058552</v>
      </c>
      <c r="Q11" s="93" t="n">
        <f aca="false">'EQUIP E FER'!E14</f>
        <v>5.11385053665773</v>
      </c>
      <c r="R11" s="93" t="n">
        <f aca="false">'EQUIP E FER'!E15</f>
        <v>7.77201568119271</v>
      </c>
      <c r="S11" s="93" t="n">
        <f aca="false">'EQUIP E FER'!E16</f>
        <v>45.6460947118754</v>
      </c>
      <c r="T11" s="93" t="n">
        <f aca="false">'EQUIP E FER'!E17</f>
        <v>47.9977217970608</v>
      </c>
      <c r="U11" s="93" t="n">
        <f aca="false">'EQUIP E FER'!E18</f>
        <v>116.849938077792</v>
      </c>
      <c r="V11" s="93" t="n">
        <f aca="false">'EQUIP E FER'!E19</f>
        <v>9.5024349425747</v>
      </c>
      <c r="W11" s="93" t="n">
        <f aca="false">'EQUIP E FER'!E20</f>
        <v>5.40002613894856</v>
      </c>
      <c r="X11" s="93" t="n">
        <f aca="false">'EQUIP E FER'!E21</f>
        <v>1.84463645514793</v>
      </c>
      <c r="Y11" s="93" t="n">
        <f aca="false">'EQUIP E FER'!E22</f>
        <v>22.4412781981514</v>
      </c>
      <c r="Z11" s="93" t="n">
        <f aca="false">'EQUIP E FER'!E23</f>
        <v>19.093008891641</v>
      </c>
      <c r="AA11" s="93" t="n">
        <f aca="false">'EQUIP E FER'!E24</f>
        <v>49.0337239634874</v>
      </c>
      <c r="AB11" s="93" t="n">
        <f aca="false">'EQUIP E FER'!E25</f>
        <v>96.8078224119412</v>
      </c>
      <c r="AC11" s="93" t="n">
        <f aca="false">'EQUIP E FER'!E26</f>
        <v>155.743889120639</v>
      </c>
      <c r="AD11" s="93" t="n">
        <f aca="false">'EQUIP E FER'!E27</f>
        <v>178.152288397258</v>
      </c>
      <c r="AE11" s="93" t="n">
        <f aca="false">'EQUIP E FER'!E28</f>
        <v>82.9365100974326</v>
      </c>
      <c r="AF11" s="93" t="n">
        <f aca="false">'EQUIP E FER'!E29</f>
        <v>159.585366024932</v>
      </c>
      <c r="AG11" s="93" t="n">
        <f aca="false">'EQUIP E FER'!E30</f>
        <v>75.3817898254442</v>
      </c>
      <c r="AH11" s="93" t="n">
        <f aca="false">'EQUIP E FER'!E31</f>
        <v>153.139189764124</v>
      </c>
      <c r="AI11" s="93" t="n">
        <f aca="false">'EQUIP E FER'!E32</f>
        <v>126.530670905491</v>
      </c>
      <c r="AJ11" s="93" t="n">
        <f aca="false">'EQUIP E FER'!E33</f>
        <v>129.857062182022</v>
      </c>
      <c r="AK11" s="93" t="n">
        <f aca="false">'EQUIP E FER'!E34</f>
        <v>209.703395691988</v>
      </c>
      <c r="AL11" s="93" t="n">
        <f aca="false">'EQUIP E FER'!E35</f>
        <v>167.761601247236</v>
      </c>
      <c r="AM11" s="93" t="n">
        <f aca="false">'EQUIP E FER'!E36</f>
        <v>205.295155007314</v>
      </c>
      <c r="AN11" s="93" t="n">
        <f aca="false">'EQUIP E FER'!E37</f>
        <v>179.1727522123</v>
      </c>
      <c r="AO11" s="93" t="n">
        <f aca="false">'EQUIP E FER'!E38</f>
        <v>176.353761633289</v>
      </c>
      <c r="AP11" s="93" t="n">
        <f aca="false">'EQUIP E FER'!E39</f>
        <v>220.272674707622</v>
      </c>
      <c r="AQ11" s="93" t="n">
        <f aca="false">'EQUIP E FER'!E40</f>
        <v>251.343243216683</v>
      </c>
      <c r="AR11" s="93" t="n">
        <f aca="false">'EQUIP E FER'!E41</f>
        <v>202.512350435436</v>
      </c>
      <c r="AS11" s="93" t="n">
        <f aca="false">'EQUIP E FER'!E42</f>
        <v>188.194643516427</v>
      </c>
      <c r="AT11" s="93" t="n">
        <f aca="false">'EQUIP E FER'!E43</f>
        <v>191.267112812352</v>
      </c>
      <c r="AU11" s="93" t="n">
        <f aca="false">'EQUIP E FER'!E44</f>
        <v>184.109027470172</v>
      </c>
      <c r="AV11" s="93" t="n">
        <f aca="false">'EQUIP E FER'!E45</f>
        <v>192.512230994525</v>
      </c>
      <c r="AW11" s="93" t="n">
        <f aca="false">'EQUIP E FER'!E46</f>
        <v>202.210480327111</v>
      </c>
      <c r="AX11" s="93" t="n">
        <f aca="false">'EQUIP E FER'!E47</f>
        <v>191.836763982163</v>
      </c>
      <c r="AY11" s="93" t="n">
        <f aca="false">'EQUIP E FER'!E48</f>
        <v>202.57080872054</v>
      </c>
      <c r="AZ11" s="93" t="n">
        <f aca="false">'EQUIP E FER'!E49</f>
        <v>244.791018094966</v>
      </c>
      <c r="BA11" s="93" t="n">
        <f aca="false">'EQUIP E FER'!E50</f>
        <v>161.243419085318</v>
      </c>
      <c r="BB11" s="93" t="n">
        <f aca="false">'EQUIP E FER'!E51</f>
        <v>179.330024234385</v>
      </c>
      <c r="BC11" s="93" t="n">
        <f aca="false">'EQUIP E FER'!E52</f>
        <v>14.3977447441673</v>
      </c>
      <c r="BD11" s="93" t="n">
        <f aca="false">'EQUIP E FER'!E53</f>
        <v>84.0415061301414</v>
      </c>
      <c r="BE11" s="93" t="n">
        <f aca="false">'EQUIP E FER'!E54</f>
        <v>80.2162818567153</v>
      </c>
      <c r="BF11" s="93" t="n">
        <f aca="false">'EQUIP E FER'!E55</f>
        <v>66.15402003497</v>
      </c>
      <c r="BG11" s="93" t="n">
        <f aca="false">'EQUIP E FER'!E56</f>
        <v>4.87928863360567</v>
      </c>
      <c r="BH11" s="93" t="n">
        <f aca="false">'EQUIP E FER'!E57</f>
        <v>2.20009540755946</v>
      </c>
      <c r="BI11" s="93" t="n">
        <f aca="false">'EQUIP E FER'!E58</f>
        <v>2.20009540755946</v>
      </c>
      <c r="BJ11" s="93" t="n">
        <f aca="false">'EQUIP E FER'!E59</f>
        <v>0</v>
      </c>
      <c r="BK11" s="93" t="n">
        <f aca="false">'EQUIP E FER'!E60</f>
        <v>0</v>
      </c>
      <c r="BL11" s="93" t="n">
        <f aca="false">'EQUIP E FER'!E61</f>
        <v>0</v>
      </c>
      <c r="BM11" s="93" t="n">
        <f aca="false">'EQUIP E FER'!E62</f>
        <v>0</v>
      </c>
      <c r="BN11" s="93" t="n">
        <f aca="false">'EQUIP E FER'!E63</f>
        <v>0</v>
      </c>
      <c r="BO11" s="93" t="n">
        <f aca="false">'EQUIP E FER'!E64</f>
        <v>0</v>
      </c>
      <c r="BP11" s="93" t="n">
        <f aca="false">'EQUIP E FER'!E65</f>
        <v>0</v>
      </c>
      <c r="BQ11" s="93" t="n">
        <f aca="false">'EQUIP E FER'!E66</f>
        <v>0</v>
      </c>
      <c r="BR11" s="93" t="n">
        <f aca="false">'EQUIP E FER'!E67</f>
        <v>0</v>
      </c>
      <c r="BS11" s="93" t="n">
        <f aca="false">'EQUIP E FER'!E68</f>
        <v>0</v>
      </c>
      <c r="BT11" s="93" t="n">
        <f aca="false">'EQUIP E FER'!E69</f>
        <v>0</v>
      </c>
      <c r="BU11" s="93" t="n">
        <f aca="false">'EQUIP E FER'!E70</f>
        <v>0</v>
      </c>
      <c r="BV11" s="93" t="n">
        <f aca="false">'EQUIP E FER'!E71</f>
        <v>0</v>
      </c>
      <c r="BW11" s="93" t="n">
        <f aca="false">'EQUIP E FER'!E72</f>
        <v>0</v>
      </c>
      <c r="BX11" s="93" t="n">
        <f aca="false">'EQUIP E FER'!E73</f>
        <v>0</v>
      </c>
      <c r="BY11" s="93" t="n">
        <f aca="false">'EQUIP E FER'!E74</f>
        <v>0</v>
      </c>
      <c r="BZ11" s="93" t="n">
        <f aca="false">'EQUIP E FER'!E75</f>
        <v>0</v>
      </c>
      <c r="CA11" s="93" t="n">
        <f aca="false">'EQUIP E FER'!E76</f>
        <v>0</v>
      </c>
    </row>
    <row r="12" customFormat="false" ht="15" hidden="false" customHeight="false" outlineLevel="0" collapsed="false">
      <c r="A12" s="55" t="s">
        <v>305</v>
      </c>
      <c r="B12" s="55" t="s">
        <v>318</v>
      </c>
      <c r="C12" s="55" t="s">
        <v>190</v>
      </c>
      <c r="D12" s="56" t="n">
        <f aca="false">ESQUADRIAS!$K$5</f>
        <v>9189.960224</v>
      </c>
      <c r="E12" s="45" t="n">
        <f aca="false">SUM(H12:CA12)</f>
        <v>9186.32611488895</v>
      </c>
      <c r="F12" s="45" t="n">
        <f aca="false">IF(D12="","",D12-E12)</f>
        <v>3.63410911105348</v>
      </c>
      <c r="H12" s="93" t="n">
        <f aca="false">ESQUADRIAS!E5</f>
        <v>0</v>
      </c>
      <c r="I12" s="93" t="n">
        <f aca="false">ESQUADRIAS!E6</f>
        <v>0</v>
      </c>
      <c r="J12" s="93" t="n">
        <f aca="false">ESQUADRIAS!E7</f>
        <v>0</v>
      </c>
      <c r="K12" s="93" t="n">
        <f aca="false">ESQUADRIAS!E8</f>
        <v>0</v>
      </c>
      <c r="L12" s="93" t="n">
        <f aca="false">ESQUADRIAS!E9</f>
        <v>0</v>
      </c>
      <c r="M12" s="93" t="n">
        <f aca="false">ESQUADRIAS!E10</f>
        <v>0</v>
      </c>
      <c r="N12" s="93" t="n">
        <f aca="false">ESQUADRIAS!E11</f>
        <v>0</v>
      </c>
      <c r="O12" s="93" t="n">
        <f aca="false">ESQUADRIAS!E12</f>
        <v>0</v>
      </c>
      <c r="P12" s="93" t="n">
        <f aca="false">ESQUADRIAS!E13</f>
        <v>0</v>
      </c>
      <c r="Q12" s="93" t="n">
        <f aca="false">ESQUADRIAS!E14</f>
        <v>0</v>
      </c>
      <c r="R12" s="93" t="n">
        <f aca="false">ESQUADRIAS!E15</f>
        <v>0</v>
      </c>
      <c r="S12" s="93" t="n">
        <f aca="false">ESQUADRIAS!E16</f>
        <v>0</v>
      </c>
      <c r="T12" s="93" t="n">
        <f aca="false">ESQUADRIAS!E17</f>
        <v>0</v>
      </c>
      <c r="U12" s="93" t="n">
        <f aca="false">ESQUADRIAS!E18</f>
        <v>0</v>
      </c>
      <c r="V12" s="93" t="n">
        <f aca="false">ESQUADRIAS!E19</f>
        <v>0</v>
      </c>
      <c r="W12" s="93" t="n">
        <f aca="false">ESQUADRIAS!E20</f>
        <v>0</v>
      </c>
      <c r="X12" s="93" t="n">
        <f aca="false">ESQUADRIAS!E21</f>
        <v>0</v>
      </c>
      <c r="Y12" s="93" t="n">
        <f aca="false">ESQUADRIAS!E22</f>
        <v>0</v>
      </c>
      <c r="Z12" s="93" t="n">
        <f aca="false">ESQUADRIAS!E23</f>
        <v>0</v>
      </c>
      <c r="AA12" s="93" t="n">
        <f aca="false">ESQUADRIAS!E24</f>
        <v>0</v>
      </c>
      <c r="AB12" s="93" t="n">
        <f aca="false">ESQUADRIAS!E25</f>
        <v>0</v>
      </c>
      <c r="AC12" s="93" t="n">
        <f aca="false">ESQUADRIAS!E26</f>
        <v>0</v>
      </c>
      <c r="AD12" s="93" t="n">
        <f aca="false">ESQUADRIAS!E27</f>
        <v>0</v>
      </c>
      <c r="AE12" s="93" t="n">
        <f aca="false">ESQUADRIAS!E28</f>
        <v>0</v>
      </c>
      <c r="AF12" s="93" t="n">
        <f aca="false">ESQUADRIAS!E29</f>
        <v>0</v>
      </c>
      <c r="AG12" s="93" t="n">
        <f aca="false">ESQUADRIAS!E30</f>
        <v>0</v>
      </c>
      <c r="AH12" s="93" t="n">
        <f aca="false">ESQUADRIAS!E31</f>
        <v>0</v>
      </c>
      <c r="AI12" s="93" t="n">
        <f aca="false">ESQUADRIAS!E32</f>
        <v>0</v>
      </c>
      <c r="AJ12" s="93" t="n">
        <f aca="false">ESQUADRIAS!E33</f>
        <v>0</v>
      </c>
      <c r="AK12" s="93" t="n">
        <f aca="false">ESQUADRIAS!E34</f>
        <v>0</v>
      </c>
      <c r="AL12" s="93" t="n">
        <f aca="false">ESQUADRIAS!E35</f>
        <v>610.712420114161</v>
      </c>
      <c r="AM12" s="93" t="n">
        <f aca="false">ESQUADRIAS!E36</f>
        <v>732.854904136994</v>
      </c>
      <c r="AN12" s="93" t="n">
        <f aca="false">ESQUADRIAS!E37</f>
        <v>732.854904136994</v>
      </c>
      <c r="AO12" s="93" t="n">
        <f aca="false">ESQUADRIAS!E38</f>
        <v>122.142484022832</v>
      </c>
      <c r="AP12" s="93" t="n">
        <f aca="false">ESQUADRIAS!E39</f>
        <v>0</v>
      </c>
      <c r="AQ12" s="93" t="n">
        <f aca="false">ESQUADRIAS!E40</f>
        <v>0</v>
      </c>
      <c r="AR12" s="93" t="n">
        <f aca="false">ESQUADRIAS!E41</f>
        <v>0</v>
      </c>
      <c r="AS12" s="93" t="n">
        <f aca="false">ESQUADRIAS!E42</f>
        <v>1098.8829765816</v>
      </c>
      <c r="AT12" s="93" t="n">
        <f aca="false">ESQUADRIAS!E43</f>
        <v>1267.35972704886</v>
      </c>
      <c r="AU12" s="93" t="n">
        <f aca="false">ESQUADRIAS!E44</f>
        <v>1267.35972704886</v>
      </c>
      <c r="AV12" s="93" t="n">
        <f aca="false">ESQUADRIAS!E45</f>
        <v>424.97596691521</v>
      </c>
      <c r="AW12" s="93" t="n">
        <f aca="false">ESQUADRIAS!E46</f>
        <v>73.2854904136993</v>
      </c>
      <c r="AX12" s="93" t="n">
        <f aca="false">ESQUADRIAS!E47</f>
        <v>326.000620013261</v>
      </c>
      <c r="AY12" s="93" t="n">
        <f aca="false">ESQUADRIAS!E48</f>
        <v>427.086667174683</v>
      </c>
      <c r="AZ12" s="93" t="n">
        <f aca="false">ESQUADRIAS!E49</f>
        <v>427.086667174683</v>
      </c>
      <c r="BA12" s="93" t="n">
        <f aca="false">ESQUADRIAS!E50</f>
        <v>427.086667174683</v>
      </c>
      <c r="BB12" s="93" t="n">
        <f aca="false">ESQUADRIAS!E51</f>
        <v>174.371537575122</v>
      </c>
      <c r="BC12" s="93" t="n">
        <f aca="false">ESQUADRIAS!E52</f>
        <v>101.086047161422</v>
      </c>
      <c r="BD12" s="93" t="n">
        <f aca="false">ESQUADRIAS!E53</f>
        <v>101.086047161422</v>
      </c>
      <c r="BE12" s="93" t="n">
        <f aca="false">ESQUADRIAS!E54</f>
        <v>101.086047161422</v>
      </c>
      <c r="BF12" s="93" t="n">
        <f aca="false">ESQUADRIAS!E55</f>
        <v>101.086047161422</v>
      </c>
      <c r="BG12" s="93" t="n">
        <f aca="false">ESQUADRIAS!E56</f>
        <v>101.086047161422</v>
      </c>
      <c r="BH12" s="93" t="n">
        <f aca="false">ESQUADRIAS!E57</f>
        <v>101.086047161422</v>
      </c>
      <c r="BI12" s="93" t="n">
        <f aca="false">ESQUADRIAS!E58</f>
        <v>0</v>
      </c>
      <c r="BJ12" s="93" t="n">
        <f aca="false">ESQUADRIAS!E59</f>
        <v>467.749072388785</v>
      </c>
      <c r="BK12" s="93" t="n">
        <f aca="false">ESQUADRIAS!E60</f>
        <v>0</v>
      </c>
      <c r="BL12" s="93" t="n">
        <f aca="false">ESQUADRIAS!E61</f>
        <v>0</v>
      </c>
      <c r="BM12" s="93" t="n">
        <f aca="false">ESQUADRIAS!E62</f>
        <v>0</v>
      </c>
      <c r="BN12" s="93" t="n">
        <f aca="false">ESQUADRIAS!E63</f>
        <v>0</v>
      </c>
      <c r="BO12" s="93" t="n">
        <f aca="false">ESQUADRIAS!E64</f>
        <v>0</v>
      </c>
      <c r="BP12" s="93" t="n">
        <f aca="false">ESQUADRIAS!E65</f>
        <v>0</v>
      </c>
      <c r="BQ12" s="93" t="n">
        <f aca="false">ESQUADRIAS!E66</f>
        <v>0</v>
      </c>
      <c r="BR12" s="93" t="n">
        <f aca="false">ESQUADRIAS!E67</f>
        <v>0</v>
      </c>
      <c r="BS12" s="93" t="n">
        <f aca="false">ESQUADRIAS!E68</f>
        <v>0</v>
      </c>
      <c r="BT12" s="93" t="n">
        <f aca="false">ESQUADRIAS!E69</f>
        <v>0</v>
      </c>
      <c r="BU12" s="93" t="n">
        <f aca="false">ESQUADRIAS!E70</f>
        <v>0</v>
      </c>
      <c r="BV12" s="93" t="n">
        <f aca="false">ESQUADRIAS!E71</f>
        <v>0</v>
      </c>
      <c r="BW12" s="93" t="n">
        <f aca="false">ESQUADRIAS!E72</f>
        <v>0</v>
      </c>
      <c r="BX12" s="93" t="n">
        <f aca="false">ESQUADRIAS!E73</f>
        <v>0</v>
      </c>
      <c r="BY12" s="93" t="n">
        <f aca="false">ESQUADRIAS!E74</f>
        <v>0</v>
      </c>
      <c r="BZ12" s="93" t="n">
        <f aca="false">ESQUADRIAS!E75</f>
        <v>0</v>
      </c>
      <c r="CA12" s="93" t="n">
        <f aca="false">ESQUADRIAS!E76</f>
        <v>0</v>
      </c>
    </row>
    <row r="13" customFormat="false" ht="15" hidden="false" customHeight="false" outlineLevel="0" collapsed="false">
      <c r="A13" s="55" t="s">
        <v>305</v>
      </c>
      <c r="B13" s="55" t="s">
        <v>319</v>
      </c>
      <c r="C13" s="55" t="s">
        <v>76</v>
      </c>
      <c r="D13" s="56" t="n">
        <f aca="false">ESTRUTURA!$K$5</f>
        <v>21082.399193</v>
      </c>
      <c r="E13" s="45" t="n">
        <f aca="false">SUM(H13:CA13)</f>
        <v>20954.9947517589</v>
      </c>
      <c r="F13" s="45" t="n">
        <f aca="false">IF(D13="","",D13-E13)</f>
        <v>127.404441241109</v>
      </c>
      <c r="H13" s="93" t="n">
        <f aca="false">ESTRUTURA!E5</f>
        <v>0</v>
      </c>
      <c r="I13" s="93" t="n">
        <f aca="false">ESTRUTURA!E6</f>
        <v>0</v>
      </c>
      <c r="J13" s="93" t="n">
        <f aca="false">ESTRUTURA!E7</f>
        <v>0</v>
      </c>
      <c r="K13" s="93" t="n">
        <f aca="false">ESTRUTURA!E8</f>
        <v>0</v>
      </c>
      <c r="L13" s="93" t="n">
        <f aca="false">ESTRUTURA!E9</f>
        <v>0</v>
      </c>
      <c r="M13" s="93" t="n">
        <f aca="false">ESTRUTURA!E10</f>
        <v>0</v>
      </c>
      <c r="N13" s="93" t="n">
        <f aca="false">ESTRUTURA!E11</f>
        <v>0</v>
      </c>
      <c r="O13" s="93" t="n">
        <f aca="false">ESTRUTURA!E12</f>
        <v>0</v>
      </c>
      <c r="P13" s="93" t="n">
        <f aca="false">ESTRUTURA!E13</f>
        <v>0</v>
      </c>
      <c r="Q13" s="93" t="n">
        <f aca="false">ESTRUTURA!E14</f>
        <v>0</v>
      </c>
      <c r="R13" s="93" t="n">
        <f aca="false">ESTRUTURA!E15</f>
        <v>0</v>
      </c>
      <c r="S13" s="93" t="n">
        <f aca="false">ESTRUTURA!E16</f>
        <v>0</v>
      </c>
      <c r="T13" s="93" t="n">
        <f aca="false">ESTRUTURA!E17</f>
        <v>0</v>
      </c>
      <c r="U13" s="93" t="n">
        <f aca="false">ESTRUTURA!E18</f>
        <v>0</v>
      </c>
      <c r="V13" s="93" t="n">
        <f aca="false">ESTRUTURA!E19</f>
        <v>0</v>
      </c>
      <c r="W13" s="93" t="n">
        <f aca="false">ESTRUTURA!E20</f>
        <v>0</v>
      </c>
      <c r="X13" s="93" t="n">
        <f aca="false">ESTRUTURA!E21</f>
        <v>0</v>
      </c>
      <c r="Y13" s="93" t="n">
        <f aca="false">ESTRUTURA!E22</f>
        <v>17.4973695497346</v>
      </c>
      <c r="Z13" s="93" t="n">
        <f aca="false">ESTRUTURA!E23</f>
        <v>38.8668955624566</v>
      </c>
      <c r="AA13" s="93" t="n">
        <f aca="false">ESTRUTURA!E24</f>
        <v>209.23215135308</v>
      </c>
      <c r="AB13" s="93" t="n">
        <f aca="false">ESTRUTURA!E25</f>
        <v>501.628913499922</v>
      </c>
      <c r="AC13" s="93" t="n">
        <f aca="false">ESTRUTURA!E26</f>
        <v>2312.95600981393</v>
      </c>
      <c r="AD13" s="93" t="n">
        <f aca="false">ESTRUTURA!E27</f>
        <v>2259.64544263632</v>
      </c>
      <c r="AE13" s="93" t="n">
        <f aca="false">ESTRUTURA!E28</f>
        <v>1422.08030653597</v>
      </c>
      <c r="AF13" s="93" t="n">
        <f aca="false">ESTRUTURA!E29</f>
        <v>998.155018893502</v>
      </c>
      <c r="AG13" s="93" t="n">
        <f aca="false">ESTRUTURA!E30</f>
        <v>1985.1581074935</v>
      </c>
      <c r="AH13" s="93" t="n">
        <f aca="false">ESTRUTURA!E31</f>
        <v>927.396814307361</v>
      </c>
      <c r="AI13" s="93" t="n">
        <f aca="false">ESTRUTURA!E32</f>
        <v>1019.92880182478</v>
      </c>
      <c r="AJ13" s="93" t="n">
        <f aca="false">ESTRUTURA!E33</f>
        <v>1085.9633693613</v>
      </c>
      <c r="AK13" s="93" t="n">
        <f aca="false">ESTRUTURA!E34</f>
        <v>1130.90487812761</v>
      </c>
      <c r="AL13" s="93" t="n">
        <f aca="false">ESTRUTURA!E35</f>
        <v>1035.61520652529</v>
      </c>
      <c r="AM13" s="93" t="n">
        <f aca="false">ESTRUTURA!E36</f>
        <v>1090.96966037188</v>
      </c>
      <c r="AN13" s="93" t="n">
        <f aca="false">ESTRUTURA!E37</f>
        <v>1072.80833977283</v>
      </c>
      <c r="AO13" s="93" t="n">
        <f aca="false">ESTRUTURA!E38</f>
        <v>927.716983031229</v>
      </c>
      <c r="AP13" s="93" t="n">
        <f aca="false">ESTRUTURA!E39</f>
        <v>937.294639197471</v>
      </c>
      <c r="AQ13" s="93" t="n">
        <f aca="false">ESTRUTURA!E40</f>
        <v>853.510285242328</v>
      </c>
      <c r="AR13" s="93" t="n">
        <f aca="false">ESTRUTURA!E41</f>
        <v>582.858282302754</v>
      </c>
      <c r="AS13" s="93" t="n">
        <f aca="false">ESTRUTURA!E42</f>
        <v>357.845495843417</v>
      </c>
      <c r="AT13" s="93" t="n">
        <f aca="false">ESTRUTURA!E43</f>
        <v>164.910548679743</v>
      </c>
      <c r="AU13" s="93" t="n">
        <f aca="false">ESTRUTURA!E44</f>
        <v>0</v>
      </c>
      <c r="AV13" s="93" t="n">
        <f aca="false">ESTRUTURA!E45</f>
        <v>0</v>
      </c>
      <c r="AW13" s="93" t="n">
        <f aca="false">ESTRUTURA!E46</f>
        <v>0</v>
      </c>
      <c r="AX13" s="93" t="n">
        <f aca="false">ESTRUTURA!E47</f>
        <v>0</v>
      </c>
      <c r="AY13" s="93" t="n">
        <f aca="false">ESTRUTURA!E48</f>
        <v>18.4871565723821</v>
      </c>
      <c r="AZ13" s="93" t="n">
        <f aca="false">ESTRUTURA!E49</f>
        <v>0</v>
      </c>
      <c r="BA13" s="93" t="n">
        <f aca="false">ESTRUTURA!E50</f>
        <v>0</v>
      </c>
      <c r="BB13" s="93" t="n">
        <f aca="false">ESTRUTURA!E51</f>
        <v>0</v>
      </c>
      <c r="BC13" s="93" t="n">
        <f aca="false">ESTRUTURA!E52</f>
        <v>0.175435214578888</v>
      </c>
      <c r="BD13" s="93" t="n">
        <f aca="false">ESTRUTURA!E53</f>
        <v>0</v>
      </c>
      <c r="BE13" s="93" t="n">
        <f aca="false">ESTRUTURA!E54</f>
        <v>0</v>
      </c>
      <c r="BF13" s="93" t="n">
        <f aca="false">ESTRUTURA!E55</f>
        <v>3.38864004552433</v>
      </c>
      <c r="BG13" s="93" t="n">
        <f aca="false">ESTRUTURA!E56</f>
        <v>0</v>
      </c>
      <c r="BH13" s="93" t="n">
        <f aca="false">ESTRUTURA!E57</f>
        <v>0</v>
      </c>
      <c r="BI13" s="93" t="n">
        <f aca="false">ESTRUTURA!E58</f>
        <v>0</v>
      </c>
      <c r="BJ13" s="93" t="n">
        <f aca="false">ESTRUTURA!E59</f>
        <v>0</v>
      </c>
      <c r="BK13" s="93" t="n">
        <f aca="false">ESTRUTURA!E60</f>
        <v>0</v>
      </c>
      <c r="BL13" s="93" t="n">
        <f aca="false">ESTRUTURA!E61</f>
        <v>0</v>
      </c>
      <c r="BM13" s="93" t="n">
        <f aca="false">ESTRUTURA!E62</f>
        <v>0</v>
      </c>
      <c r="BN13" s="93" t="n">
        <f aca="false">ESTRUTURA!E63</f>
        <v>0</v>
      </c>
      <c r="BO13" s="93" t="n">
        <f aca="false">ESTRUTURA!E64</f>
        <v>0</v>
      </c>
      <c r="BP13" s="93" t="n">
        <f aca="false">ESTRUTURA!E65</f>
        <v>0</v>
      </c>
      <c r="BQ13" s="93" t="n">
        <f aca="false">ESTRUTURA!E66</f>
        <v>0</v>
      </c>
      <c r="BR13" s="93" t="n">
        <f aca="false">ESTRUTURA!E67</f>
        <v>0</v>
      </c>
      <c r="BS13" s="93" t="n">
        <f aca="false">ESTRUTURA!E68</f>
        <v>0</v>
      </c>
      <c r="BT13" s="93" t="n">
        <f aca="false">ESTRUTURA!E69</f>
        <v>0</v>
      </c>
      <c r="BU13" s="93" t="n">
        <f aca="false">ESTRUTURA!E70</f>
        <v>0</v>
      </c>
      <c r="BV13" s="93" t="n">
        <f aca="false">ESTRUTURA!E71</f>
        <v>0</v>
      </c>
      <c r="BW13" s="93" t="n">
        <f aca="false">ESTRUTURA!E72</f>
        <v>0</v>
      </c>
      <c r="BX13" s="93" t="n">
        <f aca="false">ESTRUTURA!E73</f>
        <v>0</v>
      </c>
      <c r="BY13" s="93" t="n">
        <f aca="false">ESTRUTURA!E74</f>
        <v>0</v>
      </c>
      <c r="BZ13" s="93" t="n">
        <f aca="false">ESTRUTURA!E75</f>
        <v>0</v>
      </c>
      <c r="CA13" s="93" t="n">
        <f aca="false">ESTRUTURA!E76</f>
        <v>0</v>
      </c>
    </row>
    <row r="14" customFormat="false" ht="15" hidden="false" customHeight="false" outlineLevel="0" collapsed="false">
      <c r="A14" s="55" t="s">
        <v>305</v>
      </c>
      <c r="B14" s="55" t="s">
        <v>320</v>
      </c>
      <c r="C14" s="55" t="s">
        <v>216</v>
      </c>
      <c r="D14" s="56" t="n">
        <f aca="false">FORRO!$K$5</f>
        <v>1389.444021</v>
      </c>
      <c r="E14" s="45" t="n">
        <f aca="false">SUM(H14:CA14)</f>
        <v>1388.8945745331</v>
      </c>
      <c r="F14" s="45" t="n">
        <f aca="false">IF(D14="","",D14-E14)</f>
        <v>0.549446466898417</v>
      </c>
      <c r="H14" s="93" t="n">
        <f aca="false">FORRO!E5</f>
        <v>0</v>
      </c>
      <c r="I14" s="93" t="n">
        <f aca="false">FORRO!E6</f>
        <v>0</v>
      </c>
      <c r="J14" s="93" t="n">
        <f aca="false">FORRO!E7</f>
        <v>0</v>
      </c>
      <c r="K14" s="93" t="n">
        <f aca="false">FORRO!E8</f>
        <v>0</v>
      </c>
      <c r="L14" s="93" t="n">
        <f aca="false">FORRO!E9</f>
        <v>0</v>
      </c>
      <c r="M14" s="93" t="n">
        <f aca="false">FORRO!E10</f>
        <v>0</v>
      </c>
      <c r="N14" s="93" t="n">
        <f aca="false">FORRO!E11</f>
        <v>0</v>
      </c>
      <c r="O14" s="93" t="n">
        <f aca="false">FORRO!E12</f>
        <v>0</v>
      </c>
      <c r="P14" s="93" t="n">
        <f aca="false">FORRO!E13</f>
        <v>0</v>
      </c>
      <c r="Q14" s="93" t="n">
        <f aca="false">FORRO!E14</f>
        <v>0</v>
      </c>
      <c r="R14" s="93" t="n">
        <f aca="false">FORRO!E15</f>
        <v>0</v>
      </c>
      <c r="S14" s="93" t="n">
        <f aca="false">FORRO!E16</f>
        <v>0</v>
      </c>
      <c r="T14" s="93" t="n">
        <f aca="false">FORRO!E17</f>
        <v>0</v>
      </c>
      <c r="U14" s="93" t="n">
        <f aca="false">FORRO!E18</f>
        <v>0</v>
      </c>
      <c r="V14" s="93" t="n">
        <f aca="false">FORRO!E19</f>
        <v>0</v>
      </c>
      <c r="W14" s="93" t="n">
        <f aca="false">FORRO!E20</f>
        <v>0</v>
      </c>
      <c r="X14" s="93" t="n">
        <f aca="false">FORRO!E21</f>
        <v>0</v>
      </c>
      <c r="Y14" s="93" t="n">
        <f aca="false">FORRO!E22</f>
        <v>0</v>
      </c>
      <c r="Z14" s="93" t="n">
        <f aca="false">FORRO!E23</f>
        <v>0</v>
      </c>
      <c r="AA14" s="93" t="n">
        <f aca="false">FORRO!E24</f>
        <v>0</v>
      </c>
      <c r="AB14" s="93" t="n">
        <f aca="false">FORRO!E25</f>
        <v>0</v>
      </c>
      <c r="AC14" s="93" t="n">
        <f aca="false">FORRO!E26</f>
        <v>0</v>
      </c>
      <c r="AD14" s="93" t="n">
        <f aca="false">FORRO!E27</f>
        <v>0</v>
      </c>
      <c r="AE14" s="93" t="n">
        <f aca="false">FORRO!E28</f>
        <v>0</v>
      </c>
      <c r="AF14" s="93" t="n">
        <f aca="false">FORRO!E29</f>
        <v>0</v>
      </c>
      <c r="AG14" s="93" t="n">
        <f aca="false">FORRO!E30</f>
        <v>0</v>
      </c>
      <c r="AH14" s="93" t="n">
        <f aca="false">FORRO!E31</f>
        <v>0</v>
      </c>
      <c r="AI14" s="93" t="n">
        <f aca="false">FORRO!E32</f>
        <v>0</v>
      </c>
      <c r="AJ14" s="93" t="n">
        <f aca="false">FORRO!E33</f>
        <v>0</v>
      </c>
      <c r="AK14" s="93" t="n">
        <f aca="false">FORRO!E34</f>
        <v>0</v>
      </c>
      <c r="AL14" s="93" t="n">
        <f aca="false">FORRO!E35</f>
        <v>0</v>
      </c>
      <c r="AM14" s="93" t="n">
        <f aca="false">FORRO!E36</f>
        <v>0</v>
      </c>
      <c r="AN14" s="93" t="n">
        <f aca="false">FORRO!E37</f>
        <v>0</v>
      </c>
      <c r="AO14" s="93" t="n">
        <f aca="false">FORRO!E38</f>
        <v>0</v>
      </c>
      <c r="AP14" s="93" t="n">
        <f aca="false">FORRO!E39</f>
        <v>0</v>
      </c>
      <c r="AQ14" s="93" t="n">
        <f aca="false">FORRO!E40</f>
        <v>54.0280007505226</v>
      </c>
      <c r="AR14" s="93" t="n">
        <f aca="false">FORRO!E41</f>
        <v>103.055974451773</v>
      </c>
      <c r="AS14" s="93" t="n">
        <f aca="false">FORRO!E42</f>
        <v>88.8892493392901</v>
      </c>
      <c r="AT14" s="93" t="n">
        <f aca="false">FORRO!E43</f>
        <v>121.389386172871</v>
      </c>
      <c r="AU14" s="93" t="n">
        <f aca="false">FORRO!E44</f>
        <v>115.556026480278</v>
      </c>
      <c r="AV14" s="93" t="n">
        <f aca="false">FORRO!E45</f>
        <v>226.806487974506</v>
      </c>
      <c r="AW14" s="93" t="n">
        <f aca="false">FORRO!E46</f>
        <v>154.583969474997</v>
      </c>
      <c r="AX14" s="93" t="n">
        <f aca="false">FORRO!E47</f>
        <v>119.306046767232</v>
      </c>
      <c r="AY14" s="93" t="n">
        <f aca="false">FORRO!E48</f>
        <v>112.917126780868</v>
      </c>
      <c r="AZ14" s="93" t="n">
        <f aca="false">FORRO!E49</f>
        <v>109.028228116477</v>
      </c>
      <c r="BA14" s="93" t="n">
        <f aca="false">FORRO!E50</f>
        <v>103.333754598659</v>
      </c>
      <c r="BB14" s="93" t="n">
        <f aca="false">FORRO!E51</f>
        <v>23.1945370009202</v>
      </c>
      <c r="BC14" s="93" t="n">
        <f aca="false">FORRO!E52</f>
        <v>44.1668484214278</v>
      </c>
      <c r="BD14" s="93" t="n">
        <f aca="false">FORRO!E53</f>
        <v>12.6389382032793</v>
      </c>
      <c r="BE14" s="93" t="n">
        <f aca="false">FORRO!E54</f>
        <v>0</v>
      </c>
      <c r="BF14" s="93" t="n">
        <f aca="false">FORRO!E55</f>
        <v>0</v>
      </c>
      <c r="BG14" s="93" t="n">
        <f aca="false">FORRO!E56</f>
        <v>0</v>
      </c>
      <c r="BH14" s="93" t="n">
        <f aca="false">FORRO!E57</f>
        <v>0</v>
      </c>
      <c r="BI14" s="93" t="n">
        <f aca="false">FORRO!E58</f>
        <v>0</v>
      </c>
      <c r="BJ14" s="93" t="n">
        <f aca="false">FORRO!E59</f>
        <v>0</v>
      </c>
      <c r="BK14" s="93" t="n">
        <f aca="false">FORRO!E60</f>
        <v>0</v>
      </c>
      <c r="BL14" s="93" t="n">
        <f aca="false">FORRO!E61</f>
        <v>0</v>
      </c>
      <c r="BM14" s="93" t="n">
        <f aca="false">FORRO!E62</f>
        <v>0</v>
      </c>
      <c r="BN14" s="93" t="n">
        <f aca="false">FORRO!E63</f>
        <v>0</v>
      </c>
      <c r="BO14" s="93" t="n">
        <f aca="false">FORRO!E64</f>
        <v>0</v>
      </c>
      <c r="BP14" s="93" t="n">
        <f aca="false">FORRO!E65</f>
        <v>0</v>
      </c>
      <c r="BQ14" s="93" t="n">
        <f aca="false">FORRO!E66</f>
        <v>0</v>
      </c>
      <c r="BR14" s="93" t="n">
        <f aca="false">FORRO!E67</f>
        <v>0</v>
      </c>
      <c r="BS14" s="93" t="n">
        <f aca="false">FORRO!E68</f>
        <v>0</v>
      </c>
      <c r="BT14" s="93" t="n">
        <f aca="false">FORRO!E69</f>
        <v>0</v>
      </c>
      <c r="BU14" s="93" t="n">
        <f aca="false">FORRO!E70</f>
        <v>0</v>
      </c>
      <c r="BV14" s="93" t="n">
        <f aca="false">FORRO!E71</f>
        <v>0</v>
      </c>
      <c r="BW14" s="93" t="n">
        <f aca="false">FORRO!E72</f>
        <v>0</v>
      </c>
      <c r="BX14" s="93" t="n">
        <f aca="false">FORRO!E73</f>
        <v>0</v>
      </c>
      <c r="BY14" s="93" t="n">
        <f aca="false">FORRO!E74</f>
        <v>0</v>
      </c>
      <c r="BZ14" s="93" t="n">
        <f aca="false">FORRO!E75</f>
        <v>0</v>
      </c>
      <c r="CA14" s="93" t="n">
        <f aca="false">FORRO!E76</f>
        <v>0</v>
      </c>
    </row>
    <row r="15" customFormat="false" ht="15" hidden="false" customHeight="false" outlineLevel="0" collapsed="false">
      <c r="A15" s="55" t="s">
        <v>305</v>
      </c>
      <c r="B15" s="55" t="s">
        <v>321</v>
      </c>
      <c r="C15" s="55" t="s">
        <v>73</v>
      </c>
      <c r="D15" s="56" t="n">
        <f aca="false">'FUND. PROF'!$K$5</f>
        <v>5117.570899</v>
      </c>
      <c r="E15" s="45" t="n">
        <f aca="false">SUM(H15:CA15)</f>
        <v>5539.15691790596</v>
      </c>
      <c r="F15" s="45" t="n">
        <f aca="false">IF(D15="","",D15-E15)</f>
        <v>-421.586018905955</v>
      </c>
      <c r="H15" s="93" t="n">
        <f aca="false">'FUND. PROF'!E5</f>
        <v>0</v>
      </c>
      <c r="I15" s="93" t="n">
        <f aca="false">'FUND. PROF'!E6</f>
        <v>0</v>
      </c>
      <c r="J15" s="93" t="n">
        <f aca="false">'FUND. PROF'!E7</f>
        <v>0</v>
      </c>
      <c r="K15" s="93" t="n">
        <f aca="false">'FUND. PROF'!E8</f>
        <v>0</v>
      </c>
      <c r="L15" s="93" t="n">
        <f aca="false">'FUND. PROF'!E9</f>
        <v>0</v>
      </c>
      <c r="M15" s="93" t="n">
        <f aca="false">'FUND. PROF'!E10</f>
        <v>0</v>
      </c>
      <c r="N15" s="93" t="n">
        <f aca="false">'FUND. PROF'!E11</f>
        <v>0</v>
      </c>
      <c r="O15" s="93" t="n">
        <f aca="false">'FUND. PROF'!E12</f>
        <v>0</v>
      </c>
      <c r="P15" s="93" t="n">
        <f aca="false">'FUND. PROF'!E13</f>
        <v>1.58625008835331</v>
      </c>
      <c r="Q15" s="93" t="n">
        <f aca="false">'FUND. PROF'!E14</f>
        <v>119.694711043391</v>
      </c>
      <c r="R15" s="93" t="n">
        <f aca="false">'FUND. PROF'!E15</f>
        <v>426.304374503009</v>
      </c>
      <c r="S15" s="93" t="n">
        <f aca="false">'FUND. PROF'!E16</f>
        <v>914.829643131345</v>
      </c>
      <c r="T15" s="93" t="n">
        <f aca="false">'FUND. PROF'!E17</f>
        <v>713.492823823587</v>
      </c>
      <c r="U15" s="93" t="n">
        <f aca="false">'FUND. PROF'!E18</f>
        <v>1108.40713608981</v>
      </c>
      <c r="V15" s="93" t="n">
        <f aca="false">'FUND. PROF'!E19</f>
        <v>519.325890521499</v>
      </c>
      <c r="W15" s="93" t="n">
        <f aca="false">'FUND. PROF'!E20</f>
        <v>988.651462778859</v>
      </c>
      <c r="X15" s="93" t="n">
        <f aca="false">'FUND. PROF'!E21</f>
        <v>481.385065081467</v>
      </c>
      <c r="Y15" s="93" t="n">
        <f aca="false">'FUND. PROF'!E22</f>
        <v>34.4490534707385</v>
      </c>
      <c r="Z15" s="93" t="n">
        <f aca="false">'FUND. PROF'!E23</f>
        <v>12.2539181550489</v>
      </c>
      <c r="AA15" s="93" t="n">
        <f aca="false">'FUND. PROF'!E24</f>
        <v>60.8503210494004</v>
      </c>
      <c r="AB15" s="93" t="n">
        <f aca="false">'FUND. PROF'!E25</f>
        <v>29.0390850720455</v>
      </c>
      <c r="AC15" s="93" t="n">
        <f aca="false">'FUND. PROF'!E26</f>
        <v>78.7026800288999</v>
      </c>
      <c r="AD15" s="93" t="n">
        <f aca="false">'FUND. PROF'!E27</f>
        <v>26.6789756100946</v>
      </c>
      <c r="AE15" s="93" t="n">
        <f aca="false">'FUND. PROF'!E28</f>
        <v>7.98887183097397</v>
      </c>
      <c r="AF15" s="93" t="n">
        <f aca="false">'FUND. PROF'!E29</f>
        <v>4.44756644554777</v>
      </c>
      <c r="AG15" s="93" t="n">
        <f aca="false">'FUND. PROF'!E30</f>
        <v>0</v>
      </c>
      <c r="AH15" s="93" t="n">
        <f aca="false">'FUND. PROF'!E31</f>
        <v>2.18060296602099</v>
      </c>
      <c r="AI15" s="93" t="n">
        <f aca="false">'FUND. PROF'!E32</f>
        <v>7.31240684437913</v>
      </c>
      <c r="AJ15" s="93" t="n">
        <f aca="false">'FUND. PROF'!E33</f>
        <v>0</v>
      </c>
      <c r="AK15" s="93" t="n">
        <f aca="false">'FUND. PROF'!E34</f>
        <v>0</v>
      </c>
      <c r="AL15" s="93" t="n">
        <f aca="false">'FUND. PROF'!E35</f>
        <v>0</v>
      </c>
      <c r="AM15" s="93" t="n">
        <f aca="false">'FUND. PROF'!E36</f>
        <v>0</v>
      </c>
      <c r="AN15" s="93" t="n">
        <f aca="false">'FUND. PROF'!E37</f>
        <v>0</v>
      </c>
      <c r="AO15" s="93" t="n">
        <f aca="false">'FUND. PROF'!E38</f>
        <v>0</v>
      </c>
      <c r="AP15" s="93" t="n">
        <f aca="false">'FUND. PROF'!E39</f>
        <v>0</v>
      </c>
      <c r="AQ15" s="93" t="n">
        <f aca="false">'FUND. PROF'!E40</f>
        <v>0</v>
      </c>
      <c r="AR15" s="93" t="n">
        <f aca="false">'FUND. PROF'!E41</f>
        <v>0</v>
      </c>
      <c r="AS15" s="93" t="n">
        <f aca="false">'FUND. PROF'!E42</f>
        <v>0</v>
      </c>
      <c r="AT15" s="93" t="n">
        <f aca="false">'FUND. PROF'!E43</f>
        <v>0</v>
      </c>
      <c r="AU15" s="93" t="n">
        <f aca="false">'FUND. PROF'!E44</f>
        <v>0</v>
      </c>
      <c r="AV15" s="93" t="n">
        <f aca="false">'FUND. PROF'!E45</f>
        <v>0</v>
      </c>
      <c r="AW15" s="93" t="n">
        <f aca="false">'FUND. PROF'!E46</f>
        <v>0</v>
      </c>
      <c r="AX15" s="93" t="n">
        <f aca="false">'FUND. PROF'!E47</f>
        <v>0</v>
      </c>
      <c r="AY15" s="93" t="n">
        <f aca="false">'FUND. PROF'!E48</f>
        <v>1.57607937148052</v>
      </c>
      <c r="AZ15" s="93" t="n">
        <f aca="false">'FUND. PROF'!E49</f>
        <v>0</v>
      </c>
      <c r="BA15" s="93" t="n">
        <f aca="false">'FUND. PROF'!E50</f>
        <v>0</v>
      </c>
      <c r="BB15" s="93" t="n">
        <f aca="false">'FUND. PROF'!E51</f>
        <v>0</v>
      </c>
      <c r="BC15" s="93" t="n">
        <f aca="false">'FUND. PROF'!E52</f>
        <v>0</v>
      </c>
      <c r="BD15" s="93" t="n">
        <f aca="false">'FUND. PROF'!E53</f>
        <v>0</v>
      </c>
      <c r="BE15" s="93" t="n">
        <f aca="false">'FUND. PROF'!E54</f>
        <v>0</v>
      </c>
      <c r="BF15" s="93" t="n">
        <f aca="false">'FUND. PROF'!E55</f>
        <v>0</v>
      </c>
      <c r="BG15" s="93" t="n">
        <f aca="false">'FUND. PROF'!E56</f>
        <v>0</v>
      </c>
      <c r="BH15" s="93" t="n">
        <f aca="false">'FUND. PROF'!E57</f>
        <v>0</v>
      </c>
      <c r="BI15" s="93" t="n">
        <f aca="false">'FUND. PROF'!E58</f>
        <v>0</v>
      </c>
      <c r="BJ15" s="93" t="n">
        <f aca="false">'FUND. PROF'!E59</f>
        <v>0</v>
      </c>
      <c r="BK15" s="93" t="n">
        <f aca="false">'FUND. PROF'!E60</f>
        <v>0</v>
      </c>
      <c r="BL15" s="93" t="n">
        <f aca="false">'FUND. PROF'!E61</f>
        <v>0</v>
      </c>
      <c r="BM15" s="93" t="n">
        <f aca="false">'FUND. PROF'!E62</f>
        <v>0</v>
      </c>
      <c r="BN15" s="93" t="n">
        <f aca="false">'FUND. PROF'!E63</f>
        <v>0</v>
      </c>
      <c r="BO15" s="93" t="n">
        <f aca="false">'FUND. PROF'!E64</f>
        <v>0</v>
      </c>
      <c r="BP15" s="93" t="n">
        <f aca="false">'FUND. PROF'!E65</f>
        <v>0</v>
      </c>
      <c r="BQ15" s="93" t="n">
        <f aca="false">'FUND. PROF'!E66</f>
        <v>0</v>
      </c>
      <c r="BR15" s="93" t="n">
        <f aca="false">'FUND. PROF'!E67</f>
        <v>0</v>
      </c>
      <c r="BS15" s="93" t="n">
        <f aca="false">'FUND. PROF'!E68</f>
        <v>0</v>
      </c>
      <c r="BT15" s="93" t="n">
        <f aca="false">'FUND. PROF'!E69</f>
        <v>0</v>
      </c>
      <c r="BU15" s="93" t="n">
        <f aca="false">'FUND. PROF'!E70</f>
        <v>0</v>
      </c>
      <c r="BV15" s="93" t="n">
        <f aca="false">'FUND. PROF'!E71</f>
        <v>0</v>
      </c>
      <c r="BW15" s="93" t="n">
        <f aca="false">'FUND. PROF'!E72</f>
        <v>0</v>
      </c>
      <c r="BX15" s="93" t="n">
        <f aca="false">'FUND. PROF'!E73</f>
        <v>0</v>
      </c>
      <c r="BY15" s="93" t="n">
        <f aca="false">'FUND. PROF'!E74</f>
        <v>0</v>
      </c>
      <c r="BZ15" s="93" t="n">
        <f aca="false">'FUND. PROF'!E75</f>
        <v>0</v>
      </c>
      <c r="CA15" s="93" t="n">
        <f aca="false">'FUND. PROF'!E76</f>
        <v>0</v>
      </c>
    </row>
    <row r="16" customFormat="false" ht="15" hidden="false" customHeight="false" outlineLevel="0" collapsed="false">
      <c r="A16" s="55" t="s">
        <v>305</v>
      </c>
      <c r="B16" s="55" t="s">
        <v>322</v>
      </c>
      <c r="C16" s="55" t="s">
        <v>74</v>
      </c>
      <c r="D16" s="56" t="n">
        <f aca="false">'FUND. SUP'!$K$5</f>
        <v>3335.068547</v>
      </c>
      <c r="E16" s="45" t="n">
        <f aca="false">SUM(H16:CA16)</f>
        <v>3370.50810060526</v>
      </c>
      <c r="F16" s="45" t="n">
        <f aca="false">IF(D16="","",D16-E16)</f>
        <v>-35.439553605263</v>
      </c>
      <c r="H16" s="93" t="n">
        <f aca="false">'FUND. SUP'!E5</f>
        <v>0</v>
      </c>
      <c r="I16" s="93" t="n">
        <f aca="false">'FUND. SUP'!E6</f>
        <v>0</v>
      </c>
      <c r="J16" s="93" t="n">
        <f aca="false">'FUND. SUP'!E7</f>
        <v>0</v>
      </c>
      <c r="K16" s="93" t="n">
        <f aca="false">'FUND. SUP'!E8</f>
        <v>0</v>
      </c>
      <c r="L16" s="93" t="n">
        <f aca="false">'FUND. SUP'!E9</f>
        <v>0</v>
      </c>
      <c r="M16" s="93" t="n">
        <f aca="false">'FUND. SUP'!E10</f>
        <v>0</v>
      </c>
      <c r="N16" s="93" t="n">
        <f aca="false">'FUND. SUP'!E11</f>
        <v>0</v>
      </c>
      <c r="O16" s="93" t="n">
        <f aca="false">'FUND. SUP'!E12</f>
        <v>0</v>
      </c>
      <c r="P16" s="93" t="n">
        <f aca="false">'FUND. SUP'!E13</f>
        <v>0</v>
      </c>
      <c r="Q16" s="93" t="n">
        <f aca="false">'FUND. SUP'!E14</f>
        <v>0</v>
      </c>
      <c r="R16" s="93" t="n">
        <f aca="false">'FUND. SUP'!E15</f>
        <v>0</v>
      </c>
      <c r="S16" s="93" t="n">
        <f aca="false">'FUND. SUP'!E16</f>
        <v>0</v>
      </c>
      <c r="T16" s="93" t="n">
        <f aca="false">'FUND. SUP'!E17</f>
        <v>0</v>
      </c>
      <c r="U16" s="93" t="n">
        <f aca="false">'FUND. SUP'!E18</f>
        <v>0</v>
      </c>
      <c r="V16" s="93" t="n">
        <f aca="false">'FUND. SUP'!E19</f>
        <v>0</v>
      </c>
      <c r="W16" s="93" t="n">
        <f aca="false">'FUND. SUP'!E20</f>
        <v>0</v>
      </c>
      <c r="X16" s="93" t="n">
        <f aca="false">'FUND. SUP'!E21</f>
        <v>15.9872250431071</v>
      </c>
      <c r="Y16" s="93" t="n">
        <f aca="false">'FUND. SUP'!E22</f>
        <v>239.432137531036</v>
      </c>
      <c r="Z16" s="93" t="n">
        <f aca="false">'FUND. SUP'!E23</f>
        <v>546.96102186327</v>
      </c>
      <c r="AA16" s="93" t="n">
        <f aca="false">'FUND. SUP'!E24</f>
        <v>1129.89953672335</v>
      </c>
      <c r="AB16" s="93" t="n">
        <f aca="false">'FUND. SUP'!E25</f>
        <v>370.655337503827</v>
      </c>
      <c r="AC16" s="93" t="n">
        <f aca="false">'FUND. SUP'!E26</f>
        <v>39.0209262319289</v>
      </c>
      <c r="AD16" s="93" t="n">
        <f aca="false">'FUND. SUP'!E27</f>
        <v>45.5564165966867</v>
      </c>
      <c r="AE16" s="93" t="n">
        <f aca="false">'FUND. SUP'!E28</f>
        <v>38.7442221837493</v>
      </c>
      <c r="AF16" s="93" t="n">
        <f aca="false">'FUND. SUP'!E29</f>
        <v>15.3776306222044</v>
      </c>
      <c r="AG16" s="93" t="n">
        <f aca="false">'FUND. SUP'!E30</f>
        <v>17.5640397906066</v>
      </c>
      <c r="AH16" s="93" t="n">
        <f aca="false">'FUND. SUP'!E31</f>
        <v>1.81702520416165</v>
      </c>
      <c r="AI16" s="93" t="n">
        <f aca="false">'FUND. SUP'!E32</f>
        <v>1.54776546026684</v>
      </c>
      <c r="AJ16" s="93" t="n">
        <f aca="false">'FUND. SUP'!E33</f>
        <v>193.721110918746</v>
      </c>
      <c r="AK16" s="93" t="n">
        <f aca="false">'FUND. SUP'!E34</f>
        <v>193.721110918746</v>
      </c>
      <c r="AL16" s="93" t="n">
        <f aca="false">'FUND. SUP'!E35</f>
        <v>154.976888734997</v>
      </c>
      <c r="AM16" s="93" t="n">
        <f aca="false">'FUND. SUP'!E36</f>
        <v>96.8605554593732</v>
      </c>
      <c r="AN16" s="93" t="n">
        <f aca="false">'FUND. SUP'!E37</f>
        <v>0</v>
      </c>
      <c r="AO16" s="93" t="n">
        <f aca="false">'FUND. SUP'!E38</f>
        <v>0</v>
      </c>
      <c r="AP16" s="93" t="n">
        <f aca="false">'FUND. SUP'!E39</f>
        <v>0</v>
      </c>
      <c r="AQ16" s="93" t="n">
        <f aca="false">'FUND. SUP'!E40</f>
        <v>72.0420683201512</v>
      </c>
      <c r="AR16" s="93" t="n">
        <f aca="false">'FUND. SUP'!E41</f>
        <v>0</v>
      </c>
      <c r="AS16" s="93" t="n">
        <f aca="false">'FUND. SUP'!E42</f>
        <v>0</v>
      </c>
      <c r="AT16" s="93" t="n">
        <f aca="false">'FUND. SUP'!E43</f>
        <v>0</v>
      </c>
      <c r="AU16" s="93" t="n">
        <f aca="false">'FUND. SUP'!E44</f>
        <v>96.8605554593732</v>
      </c>
      <c r="AV16" s="93" t="n">
        <f aca="false">'FUND. SUP'!E45</f>
        <v>96.8564330741328</v>
      </c>
      <c r="AW16" s="93" t="n">
        <f aca="false">'FUND. SUP'!E46</f>
        <v>0</v>
      </c>
      <c r="AX16" s="93" t="n">
        <f aca="false">'FUND. SUP'!E47</f>
        <v>0</v>
      </c>
      <c r="AY16" s="93" t="n">
        <f aca="false">'FUND. SUP'!E48</f>
        <v>2.90609296555064</v>
      </c>
      <c r="AZ16" s="93" t="n">
        <f aca="false">'FUND. SUP'!E49</f>
        <v>0</v>
      </c>
      <c r="BA16" s="93" t="n">
        <f aca="false">'FUND. SUP'!E50</f>
        <v>0</v>
      </c>
      <c r="BB16" s="93" t="n">
        <f aca="false">'FUND. SUP'!E51</f>
        <v>0</v>
      </c>
      <c r="BC16" s="93" t="n">
        <f aca="false">'FUND. SUP'!E52</f>
        <v>0</v>
      </c>
      <c r="BD16" s="93" t="n">
        <f aca="false">'FUND. SUP'!E53</f>
        <v>0</v>
      </c>
      <c r="BE16" s="93" t="n">
        <f aca="false">'FUND. SUP'!E54</f>
        <v>0</v>
      </c>
      <c r="BF16" s="93" t="n">
        <f aca="false">'FUND. SUP'!E55</f>
        <v>0</v>
      </c>
      <c r="BG16" s="93" t="n">
        <f aca="false">'FUND. SUP'!E56</f>
        <v>0</v>
      </c>
      <c r="BH16" s="93" t="n">
        <f aca="false">'FUND. SUP'!E57</f>
        <v>0</v>
      </c>
      <c r="BI16" s="93" t="n">
        <f aca="false">'FUND. SUP'!E58</f>
        <v>0</v>
      </c>
      <c r="BJ16" s="93" t="n">
        <f aca="false">'FUND. SUP'!E59</f>
        <v>0</v>
      </c>
      <c r="BK16" s="93" t="n">
        <f aca="false">'FUND. SUP'!E60</f>
        <v>0</v>
      </c>
      <c r="BL16" s="93" t="n">
        <f aca="false">'FUND. SUP'!E61</f>
        <v>0</v>
      </c>
      <c r="BM16" s="93" t="n">
        <f aca="false">'FUND. SUP'!E62</f>
        <v>0</v>
      </c>
      <c r="BN16" s="93" t="n">
        <f aca="false">'FUND. SUP'!E63</f>
        <v>0</v>
      </c>
      <c r="BO16" s="93" t="n">
        <f aca="false">'FUND. SUP'!E64</f>
        <v>0</v>
      </c>
      <c r="BP16" s="93" t="n">
        <f aca="false">'FUND. SUP'!E65</f>
        <v>0</v>
      </c>
      <c r="BQ16" s="93" t="n">
        <f aca="false">'FUND. SUP'!E66</f>
        <v>0</v>
      </c>
      <c r="BR16" s="93" t="n">
        <f aca="false">'FUND. SUP'!E67</f>
        <v>0</v>
      </c>
      <c r="BS16" s="93" t="n">
        <f aca="false">'FUND. SUP'!E68</f>
        <v>0</v>
      </c>
      <c r="BT16" s="93" t="n">
        <f aca="false">'FUND. SUP'!E69</f>
        <v>0</v>
      </c>
      <c r="BU16" s="93" t="n">
        <f aca="false">'FUND. SUP'!E70</f>
        <v>0</v>
      </c>
      <c r="BV16" s="93" t="n">
        <f aca="false">'FUND. SUP'!E71</f>
        <v>0</v>
      </c>
      <c r="BW16" s="93" t="n">
        <f aca="false">'FUND. SUP'!E72</f>
        <v>0</v>
      </c>
      <c r="BX16" s="93" t="n">
        <f aca="false">'FUND. SUP'!E73</f>
        <v>0</v>
      </c>
      <c r="BY16" s="93" t="n">
        <f aca="false">'FUND. SUP'!E74</f>
        <v>0</v>
      </c>
      <c r="BZ16" s="93" t="n">
        <f aca="false">'FUND. SUP'!E75</f>
        <v>0</v>
      </c>
      <c r="CA16" s="93" t="n">
        <f aca="false">'FUND. SUP'!E76</f>
        <v>0</v>
      </c>
    </row>
    <row r="17" customFormat="false" ht="15" hidden="false" customHeight="false" outlineLevel="0" collapsed="false">
      <c r="A17" s="55" t="s">
        <v>305</v>
      </c>
      <c r="B17" s="55" t="s">
        <v>323</v>
      </c>
      <c r="C17" s="55" t="s">
        <v>171</v>
      </c>
      <c r="D17" s="56" t="n">
        <f aca="false">IMPERMEABILIZAÇÃO!$K$5</f>
        <v>3228.670926</v>
      </c>
      <c r="E17" s="45" t="n">
        <f aca="false">SUM(H17:CA17)</f>
        <v>3227.39416939358</v>
      </c>
      <c r="F17" s="45" t="n">
        <f aca="false">IF(D17="","",D17-E17)</f>
        <v>1.27675660642308</v>
      </c>
      <c r="H17" s="93" t="n">
        <f aca="false">IMPERMEABILIZAÇÃO!E5</f>
        <v>0</v>
      </c>
      <c r="I17" s="93" t="n">
        <f aca="false">IMPERMEABILIZAÇÃO!E6</f>
        <v>0</v>
      </c>
      <c r="J17" s="93" t="n">
        <f aca="false">IMPERMEABILIZAÇÃO!E7</f>
        <v>0</v>
      </c>
      <c r="K17" s="93" t="n">
        <f aca="false">IMPERMEABILIZAÇÃO!E8</f>
        <v>0</v>
      </c>
      <c r="L17" s="93" t="n">
        <f aca="false">IMPERMEABILIZAÇÃO!E9</f>
        <v>0</v>
      </c>
      <c r="M17" s="93" t="n">
        <f aca="false">IMPERMEABILIZAÇÃO!E10</f>
        <v>0</v>
      </c>
      <c r="N17" s="93" t="n">
        <f aca="false">IMPERMEABILIZAÇÃO!E11</f>
        <v>0</v>
      </c>
      <c r="O17" s="93" t="n">
        <f aca="false">IMPERMEABILIZAÇÃO!E12</f>
        <v>0</v>
      </c>
      <c r="P17" s="93" t="n">
        <f aca="false">IMPERMEABILIZAÇÃO!E13</f>
        <v>0</v>
      </c>
      <c r="Q17" s="93" t="n">
        <f aca="false">IMPERMEABILIZAÇÃO!E14</f>
        <v>0</v>
      </c>
      <c r="R17" s="93" t="n">
        <f aca="false">IMPERMEABILIZAÇÃO!E15</f>
        <v>0</v>
      </c>
      <c r="S17" s="93" t="n">
        <f aca="false">IMPERMEABILIZAÇÃO!E16</f>
        <v>0</v>
      </c>
      <c r="T17" s="93" t="n">
        <f aca="false">IMPERMEABILIZAÇÃO!E17</f>
        <v>0</v>
      </c>
      <c r="U17" s="93" t="n">
        <f aca="false">IMPERMEABILIZAÇÃO!E18</f>
        <v>0</v>
      </c>
      <c r="V17" s="93" t="n">
        <f aca="false">IMPERMEABILIZAÇÃO!E19</f>
        <v>0</v>
      </c>
      <c r="W17" s="93" t="n">
        <f aca="false">IMPERMEABILIZAÇÃO!E20</f>
        <v>0</v>
      </c>
      <c r="X17" s="93" t="n">
        <f aca="false">IMPERMEABILIZAÇÃO!E21</f>
        <v>0</v>
      </c>
      <c r="Y17" s="93" t="n">
        <f aca="false">IMPERMEABILIZAÇÃO!E22</f>
        <v>0</v>
      </c>
      <c r="Z17" s="93" t="n">
        <f aca="false">IMPERMEABILIZAÇÃO!E23</f>
        <v>0</v>
      </c>
      <c r="AA17" s="93" t="n">
        <f aca="false">IMPERMEABILIZAÇÃO!E24</f>
        <v>0</v>
      </c>
      <c r="AB17" s="93" t="n">
        <f aca="false">IMPERMEABILIZAÇÃO!E25</f>
        <v>0</v>
      </c>
      <c r="AC17" s="93" t="n">
        <f aca="false">IMPERMEABILIZAÇÃO!E26</f>
        <v>0</v>
      </c>
      <c r="AD17" s="93" t="n">
        <f aca="false">IMPERMEABILIZAÇÃO!E27</f>
        <v>0</v>
      </c>
      <c r="AE17" s="93" t="n">
        <f aca="false">IMPERMEABILIZAÇÃO!E28</f>
        <v>0</v>
      </c>
      <c r="AF17" s="93" t="n">
        <f aca="false">IMPERMEABILIZAÇÃO!E29</f>
        <v>0</v>
      </c>
      <c r="AG17" s="93" t="n">
        <f aca="false">IMPERMEABILIZAÇÃO!E30</f>
        <v>0</v>
      </c>
      <c r="AH17" s="93" t="n">
        <f aca="false">IMPERMEABILIZAÇÃO!E31</f>
        <v>0</v>
      </c>
      <c r="AI17" s="93" t="n">
        <f aca="false">IMPERMEABILIZAÇÃO!E32</f>
        <v>0</v>
      </c>
      <c r="AJ17" s="93" t="n">
        <f aca="false">IMPERMEABILIZAÇÃO!E33</f>
        <v>0</v>
      </c>
      <c r="AK17" s="93" t="n">
        <f aca="false">IMPERMEABILIZAÇÃO!E34</f>
        <v>0</v>
      </c>
      <c r="AL17" s="93" t="n">
        <f aca="false">IMPERMEABILIZAÇÃO!E35</f>
        <v>0</v>
      </c>
      <c r="AM17" s="93" t="n">
        <f aca="false">IMPERMEABILIZAÇÃO!E36</f>
        <v>0</v>
      </c>
      <c r="AN17" s="93" t="n">
        <f aca="false">IMPERMEABILIZAÇÃO!E37</f>
        <v>0</v>
      </c>
      <c r="AO17" s="93" t="n">
        <f aca="false">IMPERMEABILIZAÇÃO!E38</f>
        <v>129.617432666214</v>
      </c>
      <c r="AP17" s="93" t="n">
        <f aca="false">IMPERMEABILIZAÇÃO!E39</f>
        <v>181.203213642101</v>
      </c>
      <c r="AQ17" s="93" t="n">
        <f aca="false">IMPERMEABILIZAÇÃO!E40</f>
        <v>172.714416116315</v>
      </c>
      <c r="AR17" s="93" t="n">
        <f aca="false">IMPERMEABILIZAÇÃO!E41</f>
        <v>328.451237181057</v>
      </c>
      <c r="AS17" s="93" t="n">
        <f aca="false">IMPERMEABILIZAÇÃO!E42</f>
        <v>138.106237989337</v>
      </c>
      <c r="AT17" s="93" t="n">
        <f aca="false">IMPERMEABILIZAÇÃO!E43</f>
        <v>259.234873129765</v>
      </c>
      <c r="AU17" s="93" t="n">
        <f aca="false">IMPERMEABILIZAÇÃO!E44</f>
        <v>181.203213642101</v>
      </c>
      <c r="AV17" s="93" t="n">
        <f aca="false">IMPERMEABILIZAÇÃO!E45</f>
        <v>447.620916047326</v>
      </c>
      <c r="AW17" s="93" t="n">
        <f aca="false">IMPERMEABILIZAÇÃO!E46</f>
        <v>280.456870842899</v>
      </c>
      <c r="AX17" s="93" t="n">
        <f aca="false">IMPERMEABILIZAÇÃO!E47</f>
        <v>335.960556569764</v>
      </c>
      <c r="AY17" s="93" t="n">
        <f aca="false">IMPERMEABILIZAÇÃO!E48</f>
        <v>484.841038472293</v>
      </c>
      <c r="AZ17" s="93" t="n">
        <f aca="false">IMPERMEABILIZAÇÃO!E49</f>
        <v>247.807641192742</v>
      </c>
      <c r="BA17" s="93" t="n">
        <f aca="false">IMPERMEABILIZAÇÃO!E50</f>
        <v>31.6877243758757</v>
      </c>
      <c r="BB17" s="93" t="n">
        <f aca="false">IMPERMEABILIZAÇÃO!E51</f>
        <v>8.48879752578645</v>
      </c>
      <c r="BC17" s="93" t="n">
        <f aca="false">IMPERMEABILIZAÇÃO!E52</f>
        <v>0</v>
      </c>
      <c r="BD17" s="93" t="n">
        <f aca="false">IMPERMEABILIZAÇÃO!E53</f>
        <v>0</v>
      </c>
      <c r="BE17" s="93" t="n">
        <f aca="false">IMPERMEABILIZAÇÃO!E54</f>
        <v>0</v>
      </c>
      <c r="BF17" s="93" t="n">
        <f aca="false">IMPERMEABILIZAÇÃO!E55</f>
        <v>0</v>
      </c>
      <c r="BG17" s="93" t="n">
        <f aca="false">IMPERMEABILIZAÇÃO!E56</f>
        <v>0</v>
      </c>
      <c r="BH17" s="93" t="n">
        <f aca="false">IMPERMEABILIZAÇÃO!E57</f>
        <v>0</v>
      </c>
      <c r="BI17" s="93" t="n">
        <f aca="false">IMPERMEABILIZAÇÃO!E58</f>
        <v>0</v>
      </c>
      <c r="BJ17" s="93" t="n">
        <f aca="false">IMPERMEABILIZAÇÃO!E59</f>
        <v>0</v>
      </c>
      <c r="BK17" s="93" t="n">
        <f aca="false">IMPERMEABILIZAÇÃO!E60</f>
        <v>0</v>
      </c>
      <c r="BL17" s="93" t="n">
        <f aca="false">IMPERMEABILIZAÇÃO!E61</f>
        <v>0</v>
      </c>
      <c r="BM17" s="93" t="n">
        <f aca="false">IMPERMEABILIZAÇÃO!E62</f>
        <v>0</v>
      </c>
      <c r="BN17" s="93" t="n">
        <f aca="false">IMPERMEABILIZAÇÃO!E63</f>
        <v>0</v>
      </c>
      <c r="BO17" s="93" t="n">
        <f aca="false">IMPERMEABILIZAÇÃO!E64</f>
        <v>0</v>
      </c>
      <c r="BP17" s="93" t="n">
        <f aca="false">IMPERMEABILIZAÇÃO!E65</f>
        <v>0</v>
      </c>
      <c r="BQ17" s="93" t="n">
        <f aca="false">IMPERMEABILIZAÇÃO!E66</f>
        <v>0</v>
      </c>
      <c r="BR17" s="93" t="n">
        <f aca="false">IMPERMEABILIZAÇÃO!E67</f>
        <v>0</v>
      </c>
      <c r="BS17" s="93" t="n">
        <f aca="false">IMPERMEABILIZAÇÃO!E68</f>
        <v>0</v>
      </c>
      <c r="BT17" s="93" t="n">
        <f aca="false">IMPERMEABILIZAÇÃO!E69</f>
        <v>0</v>
      </c>
      <c r="BU17" s="93" t="n">
        <f aca="false">IMPERMEABILIZAÇÃO!E70</f>
        <v>0</v>
      </c>
      <c r="BV17" s="93" t="n">
        <f aca="false">IMPERMEABILIZAÇÃO!E71</f>
        <v>0</v>
      </c>
      <c r="BW17" s="93" t="n">
        <f aca="false">IMPERMEABILIZAÇÃO!E72</f>
        <v>0</v>
      </c>
      <c r="BX17" s="93" t="n">
        <f aca="false">IMPERMEABILIZAÇÃO!E73</f>
        <v>0</v>
      </c>
      <c r="BY17" s="93" t="n">
        <f aca="false">IMPERMEABILIZAÇÃO!E74</f>
        <v>0</v>
      </c>
      <c r="BZ17" s="93" t="n">
        <f aca="false">IMPERMEABILIZAÇÃO!E75</f>
        <v>0</v>
      </c>
      <c r="CA17" s="93" t="n">
        <f aca="false">IMPERMEABILIZAÇÃO!E76</f>
        <v>0</v>
      </c>
    </row>
    <row r="18" customFormat="false" ht="15" hidden="false" customHeight="false" outlineLevel="0" collapsed="false">
      <c r="A18" s="55" t="s">
        <v>305</v>
      </c>
      <c r="B18" s="55" t="s">
        <v>324</v>
      </c>
      <c r="C18" s="55" t="s">
        <v>180</v>
      </c>
      <c r="D18" s="56" t="n">
        <f aca="false">'INST. INC'!$K$5</f>
        <v>642.357316</v>
      </c>
      <c r="E18" s="45" t="n">
        <f aca="false">SUM(H18:CA18)</f>
        <v>642.103300039351</v>
      </c>
      <c r="F18" s="45" t="n">
        <f aca="false">IF(D18="","",D18-E18)</f>
        <v>0.254015960649099</v>
      </c>
      <c r="H18" s="93" t="n">
        <f aca="false">'INST. INC'!E5</f>
        <v>0</v>
      </c>
      <c r="I18" s="93" t="n">
        <f aca="false">'INST. INC'!E6</f>
        <v>0</v>
      </c>
      <c r="J18" s="93" t="n">
        <f aca="false">'INST. INC'!E7</f>
        <v>0</v>
      </c>
      <c r="K18" s="93" t="n">
        <f aca="false">'INST. INC'!E8</f>
        <v>0</v>
      </c>
      <c r="L18" s="93" t="n">
        <f aca="false">'INST. INC'!E9</f>
        <v>0</v>
      </c>
      <c r="M18" s="93" t="n">
        <f aca="false">'INST. INC'!E10</f>
        <v>0</v>
      </c>
      <c r="N18" s="93" t="n">
        <f aca="false">'INST. INC'!E11</f>
        <v>0</v>
      </c>
      <c r="O18" s="93" t="n">
        <f aca="false">'INST. INC'!E12</f>
        <v>0</v>
      </c>
      <c r="P18" s="93" t="n">
        <f aca="false">'INST. INC'!E13</f>
        <v>0</v>
      </c>
      <c r="Q18" s="93" t="n">
        <f aca="false">'INST. INC'!E14</f>
        <v>0</v>
      </c>
      <c r="R18" s="93" t="n">
        <f aca="false">'INST. INC'!E15</f>
        <v>0</v>
      </c>
      <c r="S18" s="93" t="n">
        <f aca="false">'INST. INC'!E16</f>
        <v>0</v>
      </c>
      <c r="T18" s="93" t="n">
        <f aca="false">'INST. INC'!E17</f>
        <v>0</v>
      </c>
      <c r="U18" s="93" t="n">
        <f aca="false">'INST. INC'!E18</f>
        <v>0</v>
      </c>
      <c r="V18" s="93" t="n">
        <f aca="false">'INST. INC'!E19</f>
        <v>0</v>
      </c>
      <c r="W18" s="93" t="n">
        <f aca="false">'INST. INC'!E20</f>
        <v>0</v>
      </c>
      <c r="X18" s="93" t="n">
        <f aca="false">'INST. INC'!E21</f>
        <v>0</v>
      </c>
      <c r="Y18" s="93" t="n">
        <f aca="false">'INST. INC'!E22</f>
        <v>0</v>
      </c>
      <c r="Z18" s="93" t="n">
        <f aca="false">'INST. INC'!E23</f>
        <v>0</v>
      </c>
      <c r="AA18" s="93" t="n">
        <f aca="false">'INST. INC'!E24</f>
        <v>0</v>
      </c>
      <c r="AB18" s="93" t="n">
        <f aca="false">'INST. INC'!E25</f>
        <v>0</v>
      </c>
      <c r="AC18" s="93" t="n">
        <f aca="false">'INST. INC'!E26</f>
        <v>0</v>
      </c>
      <c r="AD18" s="93" t="n">
        <f aca="false">'INST. INC'!E27</f>
        <v>0</v>
      </c>
      <c r="AE18" s="93" t="n">
        <f aca="false">'INST. INC'!E28</f>
        <v>0</v>
      </c>
      <c r="AF18" s="93" t="n">
        <f aca="false">'INST. INC'!E29</f>
        <v>0</v>
      </c>
      <c r="AG18" s="93" t="n">
        <f aca="false">'INST. INC'!E30</f>
        <v>0</v>
      </c>
      <c r="AH18" s="93" t="n">
        <f aca="false">'INST. INC'!E31</f>
        <v>0</v>
      </c>
      <c r="AI18" s="93" t="n">
        <f aca="false">'INST. INC'!E32</f>
        <v>0</v>
      </c>
      <c r="AJ18" s="93" t="n">
        <f aca="false">'INST. INC'!E33</f>
        <v>3.78840657430104</v>
      </c>
      <c r="AK18" s="93" t="n">
        <f aca="false">'INST. INC'!E34</f>
        <v>40.0030389780555</v>
      </c>
      <c r="AL18" s="93" t="n">
        <f aca="false">'INST. INC'!E35</f>
        <v>38.1409334305025</v>
      </c>
      <c r="AM18" s="93" t="n">
        <f aca="false">'INST. INC'!E36</f>
        <v>41.865136728271</v>
      </c>
      <c r="AN18" s="93" t="n">
        <f aca="false">'INST. INC'!E37</f>
        <v>45.20407358282</v>
      </c>
      <c r="AO18" s="93" t="n">
        <f aca="false">'INST. INC'!E38</f>
        <v>48.8640580093812</v>
      </c>
      <c r="AP18" s="93" t="n">
        <f aca="false">'INST. INC'!E39</f>
        <v>45.717754376442</v>
      </c>
      <c r="AQ18" s="93" t="n">
        <f aca="false">'INST. INC'!E40</f>
        <v>54.9640398509873</v>
      </c>
      <c r="AR18" s="93" t="n">
        <f aca="false">'INST. INC'!E41</f>
        <v>52.8451056026295</v>
      </c>
      <c r="AS18" s="93" t="n">
        <f aca="false">'INST. INC'!E42</f>
        <v>47.1303824069055</v>
      </c>
      <c r="AT18" s="93" t="n">
        <f aca="false">'INST. INC'!E43</f>
        <v>47.1945934807755</v>
      </c>
      <c r="AU18" s="93" t="n">
        <f aca="false">'INST. INC'!E44</f>
        <v>53.2945753223815</v>
      </c>
      <c r="AV18" s="93" t="n">
        <f aca="false">'INST. INC'!E45</f>
        <v>66.9071670360572</v>
      </c>
      <c r="AW18" s="93" t="n">
        <f aca="false">'INST. INC'!E46</f>
        <v>25.8767664707578</v>
      </c>
      <c r="AX18" s="93" t="n">
        <f aca="false">'INST. INC'!E47</f>
        <v>6.16419291547602</v>
      </c>
      <c r="AY18" s="93" t="n">
        <f aca="false">'INST. INC'!E48</f>
        <v>11.8789083138625</v>
      </c>
      <c r="AZ18" s="93" t="n">
        <f aca="false">'INST. INC'!E49</f>
        <v>1.79788667634563</v>
      </c>
      <c r="BA18" s="93" t="n">
        <f aca="false">'INST. INC'!E50</f>
        <v>1.79788667634563</v>
      </c>
      <c r="BB18" s="93" t="n">
        <f aca="false">'INST. INC'!E51</f>
        <v>1.7336756024757</v>
      </c>
      <c r="BC18" s="93" t="n">
        <f aca="false">'INST. INC'!E52</f>
        <v>1.79788667634563</v>
      </c>
      <c r="BD18" s="93" t="n">
        <f aca="false">'INST. INC'!E53</f>
        <v>1.7336756024757</v>
      </c>
      <c r="BE18" s="93" t="n">
        <f aca="false">'INST. INC'!E54</f>
        <v>1.47683910433344</v>
      </c>
      <c r="BF18" s="93" t="n">
        <f aca="false">'INST. INC'!E55</f>
        <v>1.66947232594322</v>
      </c>
      <c r="BG18" s="93" t="n">
        <f aca="false">'INST. INC'!E56</f>
        <v>0.25684429547971</v>
      </c>
      <c r="BH18" s="93" t="n">
        <f aca="false">'INST. INC'!E57</f>
        <v>0</v>
      </c>
      <c r="BI18" s="93" t="n">
        <f aca="false">'INST. INC'!E58</f>
        <v>0</v>
      </c>
      <c r="BJ18" s="93" t="n">
        <f aca="false">'INST. INC'!E59</f>
        <v>0</v>
      </c>
      <c r="BK18" s="93" t="n">
        <f aca="false">'INST. INC'!E60</f>
        <v>0</v>
      </c>
      <c r="BL18" s="93" t="n">
        <f aca="false">'INST. INC'!E61</f>
        <v>0</v>
      </c>
      <c r="BM18" s="93" t="n">
        <f aca="false">'INST. INC'!E62</f>
        <v>0</v>
      </c>
      <c r="BN18" s="93" t="n">
        <f aca="false">'INST. INC'!E63</f>
        <v>0</v>
      </c>
      <c r="BO18" s="93" t="n">
        <f aca="false">'INST. INC'!E64</f>
        <v>0</v>
      </c>
      <c r="BP18" s="93" t="n">
        <f aca="false">'INST. INC'!E65</f>
        <v>0</v>
      </c>
      <c r="BQ18" s="93" t="n">
        <f aca="false">'INST. INC'!E66</f>
        <v>0</v>
      </c>
      <c r="BR18" s="93" t="n">
        <f aca="false">'INST. INC'!E67</f>
        <v>0</v>
      </c>
      <c r="BS18" s="93" t="n">
        <f aca="false">'INST. INC'!E68</f>
        <v>0</v>
      </c>
      <c r="BT18" s="93" t="n">
        <f aca="false">'INST. INC'!E69</f>
        <v>0</v>
      </c>
      <c r="BU18" s="93" t="n">
        <f aca="false">'INST. INC'!E70</f>
        <v>0</v>
      </c>
      <c r="BV18" s="93" t="n">
        <f aca="false">'INST. INC'!E71</f>
        <v>0</v>
      </c>
      <c r="BW18" s="93" t="n">
        <f aca="false">'INST. INC'!E72</f>
        <v>0</v>
      </c>
      <c r="BX18" s="93" t="n">
        <f aca="false">'INST. INC'!E73</f>
        <v>0</v>
      </c>
      <c r="BY18" s="93" t="n">
        <f aca="false">'INST. INC'!E74</f>
        <v>0</v>
      </c>
      <c r="BZ18" s="93" t="n">
        <f aca="false">'INST. INC'!E75</f>
        <v>0</v>
      </c>
      <c r="CA18" s="93" t="n">
        <f aca="false">'INST. INC'!E76</f>
        <v>0</v>
      </c>
    </row>
    <row r="19" customFormat="false" ht="15" hidden="false" customHeight="false" outlineLevel="0" collapsed="false">
      <c r="A19" s="55" t="s">
        <v>305</v>
      </c>
      <c r="B19" s="55" t="s">
        <v>325</v>
      </c>
      <c r="C19" s="55" t="s">
        <v>77</v>
      </c>
      <c r="D19" s="56" t="n">
        <f aca="false">'INST. ELÉTRICA'!$K$5</f>
        <v>9256.654171</v>
      </c>
      <c r="E19" s="45" t="n">
        <f aca="false">SUM(H19:CA19)</f>
        <v>8989.03830347447</v>
      </c>
      <c r="F19" s="45" t="n">
        <f aca="false">IF(D19="","",D19-E19)</f>
        <v>267.61586752553</v>
      </c>
      <c r="H19" s="93" t="n">
        <f aca="false">'INST. ELÉTRICA'!E5</f>
        <v>0</v>
      </c>
      <c r="I19" s="93" t="n">
        <f aca="false">'INST. ELÉTRICA'!E6</f>
        <v>0</v>
      </c>
      <c r="J19" s="93" t="n">
        <f aca="false">'INST. ELÉTRICA'!E7</f>
        <v>0</v>
      </c>
      <c r="K19" s="93" t="n">
        <f aca="false">'INST. ELÉTRICA'!E8</f>
        <v>0</v>
      </c>
      <c r="L19" s="93" t="n">
        <f aca="false">'INST. ELÉTRICA'!E9</f>
        <v>0</v>
      </c>
      <c r="M19" s="93" t="n">
        <f aca="false">'INST. ELÉTRICA'!E10</f>
        <v>0</v>
      </c>
      <c r="N19" s="93" t="n">
        <f aca="false">'INST. ELÉTRICA'!E11</f>
        <v>0</v>
      </c>
      <c r="O19" s="93" t="n">
        <f aca="false">'INST. ELÉTRICA'!E12</f>
        <v>0</v>
      </c>
      <c r="P19" s="93" t="n">
        <f aca="false">'INST. ELÉTRICA'!E13</f>
        <v>0</v>
      </c>
      <c r="Q19" s="93" t="n">
        <f aca="false">'INST. ELÉTRICA'!E14</f>
        <v>0</v>
      </c>
      <c r="R19" s="93" t="n">
        <f aca="false">'INST. ELÉTRICA'!E15</f>
        <v>1.82859985143444</v>
      </c>
      <c r="S19" s="93" t="n">
        <f aca="false">'INST. ELÉTRICA'!E16</f>
        <v>0</v>
      </c>
      <c r="T19" s="93" t="n">
        <f aca="false">'INST. ELÉTRICA'!E17</f>
        <v>0</v>
      </c>
      <c r="U19" s="93" t="n">
        <f aca="false">'INST. ELÉTRICA'!E18</f>
        <v>0</v>
      </c>
      <c r="V19" s="93" t="n">
        <f aca="false">'INST. ELÉTRICA'!E19</f>
        <v>0</v>
      </c>
      <c r="W19" s="93" t="n">
        <f aca="false">'INST. ELÉTRICA'!E20</f>
        <v>0</v>
      </c>
      <c r="X19" s="93" t="n">
        <f aca="false">'INST. ELÉTRICA'!E21</f>
        <v>165.920087452725</v>
      </c>
      <c r="Y19" s="93" t="n">
        <f aca="false">'INST. ELÉTRICA'!E22</f>
        <v>2.52984390432008</v>
      </c>
      <c r="Z19" s="93" t="n">
        <f aca="false">'INST. ELÉTRICA'!E23</f>
        <v>73.4859027627571</v>
      </c>
      <c r="AA19" s="93" t="n">
        <f aca="false">'INST. ELÉTRICA'!E24</f>
        <v>4.76497383251412</v>
      </c>
      <c r="AB19" s="93" t="n">
        <f aca="false">'INST. ELÉTRICA'!E25</f>
        <v>5.13740960097587</v>
      </c>
      <c r="AC19" s="93" t="n">
        <f aca="false">'INST. ELÉTRICA'!E26</f>
        <v>3.60788779918713</v>
      </c>
      <c r="AD19" s="93" t="n">
        <f aca="false">'INST. ELÉTRICA'!E27</f>
        <v>5.42391070132566</v>
      </c>
      <c r="AE19" s="93" t="n">
        <f aca="false">'INST. ELÉTRICA'!E28</f>
        <v>5.42391070132566</v>
      </c>
      <c r="AF19" s="93" t="n">
        <f aca="false">'INST. ELÉTRICA'!E29</f>
        <v>5.42391070132566</v>
      </c>
      <c r="AG19" s="93" t="n">
        <f aca="false">'INST. ELÉTRICA'!E30</f>
        <v>0</v>
      </c>
      <c r="AH19" s="93" t="n">
        <f aca="false">'INST. ELÉTRICA'!E31</f>
        <v>0</v>
      </c>
      <c r="AI19" s="93" t="n">
        <f aca="false">'INST. ELÉTRICA'!E32</f>
        <v>81.2113935959001</v>
      </c>
      <c r="AJ19" s="93" t="n">
        <f aca="false">'INST. ELÉTRICA'!E33</f>
        <v>68.7330129128847</v>
      </c>
      <c r="AK19" s="93" t="n">
        <f aca="false">'INST. ELÉTRICA'!E34</f>
        <v>43.2344183646791</v>
      </c>
      <c r="AL19" s="93" t="n">
        <f aca="false">'INST. ELÉTRICA'!E35</f>
        <v>63.6798807471016</v>
      </c>
      <c r="AM19" s="93" t="n">
        <f aca="false">'INST. ELÉTRICA'!E36</f>
        <v>62.8955367690268</v>
      </c>
      <c r="AN19" s="93" t="n">
        <f aca="false">'INST. ELÉTRICA'!E37</f>
        <v>146.226997586086</v>
      </c>
      <c r="AO19" s="93" t="n">
        <f aca="false">'INST. ELÉTRICA'!E38</f>
        <v>164.875588089154</v>
      </c>
      <c r="AP19" s="93" t="n">
        <f aca="false">'INST. ELÉTRICA'!E39</f>
        <v>199.453568949619</v>
      </c>
      <c r="AQ19" s="93" t="n">
        <f aca="false">'INST. ELÉTRICA'!E40</f>
        <v>415.079054549422</v>
      </c>
      <c r="AR19" s="93" t="n">
        <f aca="false">'INST. ELÉTRICA'!E41</f>
        <v>362.07112102626</v>
      </c>
      <c r="AS19" s="93" t="n">
        <f aca="false">'INST. ELÉTRICA'!E42</f>
        <v>485.157329039781</v>
      </c>
      <c r="AT19" s="93" t="n">
        <f aca="false">'INST. ELÉTRICA'!E43</f>
        <v>521.993353661203</v>
      </c>
      <c r="AU19" s="93" t="n">
        <f aca="false">'INST. ELÉTRICA'!E44</f>
        <v>1123.94781976566</v>
      </c>
      <c r="AV19" s="93" t="n">
        <f aca="false">'INST. ELÉTRICA'!E45</f>
        <v>629.806092586883</v>
      </c>
      <c r="AW19" s="93" t="n">
        <f aca="false">'INST. ELÉTRICA'!E46</f>
        <v>417.774366242676</v>
      </c>
      <c r="AX19" s="93" t="n">
        <f aca="false">'INST. ELÉTRICA'!E47</f>
        <v>669.337428901558</v>
      </c>
      <c r="AY19" s="93" t="n">
        <f aca="false">'INST. ELÉTRICA'!E48</f>
        <v>630.704532400782</v>
      </c>
      <c r="AZ19" s="93" t="n">
        <f aca="false">'INST. ELÉTRICA'!E49</f>
        <v>420.469685684373</v>
      </c>
      <c r="BA19" s="93" t="n">
        <f aca="false">'INST. ELÉTRICA'!E50</f>
        <v>575.899719249821</v>
      </c>
      <c r="BB19" s="93" t="n">
        <f aca="false">'INST. ELÉTRICA'!E51</f>
        <v>127.578407083018</v>
      </c>
      <c r="BC19" s="93" t="n">
        <f aca="false">'INST. ELÉTRICA'!E52</f>
        <v>342.305452868922</v>
      </c>
      <c r="BD19" s="93" t="n">
        <f aca="false">'INST. ELÉTRICA'!E53</f>
        <v>223.711436176452</v>
      </c>
      <c r="BE19" s="93" t="n">
        <f aca="false">'INST. ELÉTRICA'!E54</f>
        <v>119.492456506369</v>
      </c>
      <c r="BF19" s="93" t="n">
        <f aca="false">'INST. ELÉTRICA'!E55</f>
        <v>260.54745304943</v>
      </c>
      <c r="BG19" s="93" t="n">
        <f aca="false">'INST. ELÉTRICA'!E56</f>
        <v>559.305760359522</v>
      </c>
      <c r="BH19" s="93" t="n">
        <f aca="false">'INST. ELÉTRICA'!E57</f>
        <v>0</v>
      </c>
      <c r="BI19" s="93" t="n">
        <f aca="false">'INST. ELÉTRICA'!E58</f>
        <v>0</v>
      </c>
      <c r="BJ19" s="93" t="n">
        <f aca="false">'INST. ELÉTRICA'!E59</f>
        <v>0</v>
      </c>
      <c r="BK19" s="93" t="n">
        <f aca="false">'INST. ELÉTRICA'!E60</f>
        <v>0</v>
      </c>
      <c r="BL19" s="93" t="n">
        <f aca="false">'INST. ELÉTRICA'!E61</f>
        <v>0</v>
      </c>
      <c r="BM19" s="93" t="n">
        <f aca="false">'INST. ELÉTRICA'!E62</f>
        <v>0</v>
      </c>
      <c r="BN19" s="93" t="n">
        <f aca="false">'INST. ELÉTRICA'!E63</f>
        <v>0</v>
      </c>
      <c r="BO19" s="93" t="n">
        <f aca="false">'INST. ELÉTRICA'!E64</f>
        <v>0</v>
      </c>
      <c r="BP19" s="93" t="n">
        <f aca="false">'INST. ELÉTRICA'!E65</f>
        <v>0</v>
      </c>
      <c r="BQ19" s="93" t="n">
        <f aca="false">'INST. ELÉTRICA'!E66</f>
        <v>0</v>
      </c>
      <c r="BR19" s="93" t="n">
        <f aca="false">'INST. ELÉTRICA'!E67</f>
        <v>0</v>
      </c>
      <c r="BS19" s="93" t="n">
        <f aca="false">'INST. ELÉTRICA'!E68</f>
        <v>0</v>
      </c>
      <c r="BT19" s="93" t="n">
        <f aca="false">'INST. ELÉTRICA'!E69</f>
        <v>0</v>
      </c>
      <c r="BU19" s="93" t="n">
        <f aca="false">'INST. ELÉTRICA'!E70</f>
        <v>0</v>
      </c>
      <c r="BV19" s="93" t="n">
        <f aca="false">'INST. ELÉTRICA'!E71</f>
        <v>0</v>
      </c>
      <c r="BW19" s="93" t="n">
        <f aca="false">'INST. ELÉTRICA'!E72</f>
        <v>0</v>
      </c>
      <c r="BX19" s="93" t="n">
        <f aca="false">'INST. ELÉTRICA'!E73</f>
        <v>0</v>
      </c>
      <c r="BY19" s="93" t="n">
        <f aca="false">'INST. ELÉTRICA'!E74</f>
        <v>0</v>
      </c>
      <c r="BZ19" s="93" t="n">
        <f aca="false">'INST. ELÉTRICA'!E75</f>
        <v>0</v>
      </c>
      <c r="CA19" s="93" t="n">
        <f aca="false">'INST. ELÉTRICA'!E76</f>
        <v>0</v>
      </c>
    </row>
    <row r="20" customFormat="false" ht="15" hidden="false" customHeight="false" outlineLevel="0" collapsed="false">
      <c r="A20" s="55" t="s">
        <v>305</v>
      </c>
      <c r="B20" s="55" t="s">
        <v>326</v>
      </c>
      <c r="C20" s="55" t="s">
        <v>183</v>
      </c>
      <c r="D20" s="56" t="n">
        <f aca="false">'INST. ESP'!$K$5</f>
        <v>2206.583122</v>
      </c>
      <c r="E20" s="45" t="n">
        <f aca="false">SUM(H20:CA20)</f>
        <v>2205.71054326924</v>
      </c>
      <c r="F20" s="45" t="n">
        <f aca="false">IF(D20="","",D20-E20)</f>
        <v>0.872578730755322</v>
      </c>
      <c r="H20" s="93" t="n">
        <f aca="false">'INST. ESP'!E5</f>
        <v>0</v>
      </c>
      <c r="I20" s="93" t="n">
        <f aca="false">'INST. ESP'!E6</f>
        <v>0</v>
      </c>
      <c r="J20" s="93" t="n">
        <f aca="false">'INST. ESP'!E7</f>
        <v>0</v>
      </c>
      <c r="K20" s="93" t="n">
        <f aca="false">'INST. ESP'!E8</f>
        <v>0</v>
      </c>
      <c r="L20" s="93" t="n">
        <f aca="false">'INST. ESP'!E9</f>
        <v>0</v>
      </c>
      <c r="M20" s="93" t="n">
        <f aca="false">'INST. ESP'!E10</f>
        <v>0</v>
      </c>
      <c r="N20" s="93" t="n">
        <f aca="false">'INST. ESP'!E11</f>
        <v>0</v>
      </c>
      <c r="O20" s="93" t="n">
        <f aca="false">'INST. ESP'!E12</f>
        <v>0</v>
      </c>
      <c r="P20" s="93" t="n">
        <f aca="false">'INST. ESP'!E13</f>
        <v>0</v>
      </c>
      <c r="Q20" s="93" t="n">
        <f aca="false">'INST. ESP'!E14</f>
        <v>0</v>
      </c>
      <c r="R20" s="93" t="n">
        <f aca="false">'INST. ESP'!E15</f>
        <v>0</v>
      </c>
      <c r="S20" s="93" t="n">
        <f aca="false">'INST. ESP'!E16</f>
        <v>0</v>
      </c>
      <c r="T20" s="93" t="n">
        <f aca="false">'INST. ESP'!E17</f>
        <v>0</v>
      </c>
      <c r="U20" s="93" t="n">
        <f aca="false">'INST. ESP'!E18</f>
        <v>0</v>
      </c>
      <c r="V20" s="93" t="n">
        <f aca="false">'INST. ESP'!E19</f>
        <v>0</v>
      </c>
      <c r="W20" s="93" t="n">
        <f aca="false">'INST. ESP'!E20</f>
        <v>0</v>
      </c>
      <c r="X20" s="93" t="n">
        <f aca="false">'INST. ESP'!E21</f>
        <v>0</v>
      </c>
      <c r="Y20" s="93" t="n">
        <f aca="false">'INST. ESP'!E22</f>
        <v>0</v>
      </c>
      <c r="Z20" s="93" t="n">
        <f aca="false">'INST. ESP'!E23</f>
        <v>0</v>
      </c>
      <c r="AA20" s="93" t="n">
        <f aca="false">'INST. ESP'!E24</f>
        <v>0</v>
      </c>
      <c r="AB20" s="93" t="n">
        <f aca="false">'INST. ESP'!E25</f>
        <v>0</v>
      </c>
      <c r="AC20" s="93" t="n">
        <f aca="false">'INST. ESP'!E26</f>
        <v>0</v>
      </c>
      <c r="AD20" s="93" t="n">
        <f aca="false">'INST. ESP'!E27</f>
        <v>0</v>
      </c>
      <c r="AE20" s="93" t="n">
        <f aca="false">'INST. ESP'!E28</f>
        <v>0</v>
      </c>
      <c r="AF20" s="93" t="n">
        <f aca="false">'INST. ESP'!E29</f>
        <v>0</v>
      </c>
      <c r="AG20" s="93" t="n">
        <f aca="false">'INST. ESP'!E30</f>
        <v>0</v>
      </c>
      <c r="AH20" s="93" t="n">
        <f aca="false">'INST. ESP'!E31</f>
        <v>0</v>
      </c>
      <c r="AI20" s="93" t="n">
        <f aca="false">'INST. ESP'!E32</f>
        <v>0</v>
      </c>
      <c r="AJ20" s="93" t="n">
        <f aca="false">'INST. ESP'!E33</f>
        <v>0</v>
      </c>
      <c r="AK20" s="93" t="n">
        <f aca="false">'INST. ESP'!E34</f>
        <v>0</v>
      </c>
      <c r="AL20" s="93" t="n">
        <f aca="false">'INST. ESP'!E35</f>
        <v>0</v>
      </c>
      <c r="AM20" s="93" t="n">
        <f aca="false">'INST. ESP'!E36</f>
        <v>11.9108384073507</v>
      </c>
      <c r="AN20" s="93" t="n">
        <f aca="false">'INST. ESP'!E37</f>
        <v>75.2147310342661</v>
      </c>
      <c r="AO20" s="93" t="n">
        <f aca="false">'INST. ESP'!E38</f>
        <v>113.152949275157</v>
      </c>
      <c r="AP20" s="93" t="n">
        <f aca="false">'INST. ESP'!E39</f>
        <v>108.300385479569</v>
      </c>
      <c r="AQ20" s="93" t="n">
        <f aca="false">'INST. ESP'!E40</f>
        <v>112.050093867069</v>
      </c>
      <c r="AR20" s="93" t="n">
        <f aca="false">'INST. ESP'!E41</f>
        <v>189.249964635893</v>
      </c>
      <c r="AS20" s="93" t="n">
        <f aca="false">'INST. ESP'!E42</f>
        <v>130.35749364133</v>
      </c>
      <c r="AT20" s="93" t="n">
        <f aca="false">'INST. ESP'!E43</f>
        <v>109.623811969275</v>
      </c>
      <c r="AU20" s="93" t="n">
        <f aca="false">'INST. ESP'!E44</f>
        <v>109.18266980604</v>
      </c>
      <c r="AV20" s="93" t="n">
        <f aca="false">'INST. ESP'!E45</f>
        <v>168.736854045456</v>
      </c>
      <c r="AW20" s="93" t="n">
        <f aca="false">'INST. ESP'!E46</f>
        <v>119.549510642067</v>
      </c>
      <c r="AX20" s="93" t="n">
        <f aca="false">'INST. ESP'!E47</f>
        <v>94.4044151349977</v>
      </c>
      <c r="AY20" s="93" t="n">
        <f aca="false">'INST. ESP'!E48</f>
        <v>145.13575610971</v>
      </c>
      <c r="AZ20" s="93" t="n">
        <f aca="false">'INST. ESP'!E49</f>
        <v>107.859243316334</v>
      </c>
      <c r="BA20" s="93" t="n">
        <f aca="false">'INST. ESP'!E50</f>
        <v>213.071641450595</v>
      </c>
      <c r="BB20" s="93" t="n">
        <f aca="false">'INST. ESP'!E51</f>
        <v>120.872937131773</v>
      </c>
      <c r="BC20" s="93" t="n">
        <f aca="false">'INST. ESP'!E52</f>
        <v>31.5416646713176</v>
      </c>
      <c r="BD20" s="93" t="n">
        <f aca="false">'INST. ESP'!E53</f>
        <v>61.9804661372097</v>
      </c>
      <c r="BE20" s="93" t="n">
        <f aca="false">'INST. ESP'!E54</f>
        <v>34.409080935009</v>
      </c>
      <c r="BF20" s="93" t="n">
        <f aca="false">'INST. ESP'!E55</f>
        <v>74.7735888710308</v>
      </c>
      <c r="BG20" s="93" t="n">
        <f aca="false">'INST. ESP'!E56</f>
        <v>53.1576228725055</v>
      </c>
      <c r="BH20" s="93" t="n">
        <f aca="false">'INST. ESP'!E57</f>
        <v>21.1748238352901</v>
      </c>
      <c r="BI20" s="93" t="n">
        <f aca="false">'INST. ESP'!E58</f>
        <v>0</v>
      </c>
      <c r="BJ20" s="93" t="n">
        <f aca="false">'INST. ESP'!E59</f>
        <v>0</v>
      </c>
      <c r="BK20" s="93" t="n">
        <f aca="false">'INST. ESP'!E60</f>
        <v>0</v>
      </c>
      <c r="BL20" s="93" t="n">
        <f aca="false">'INST. ESP'!E61</f>
        <v>0</v>
      </c>
      <c r="BM20" s="93" t="n">
        <f aca="false">'INST. ESP'!E62</f>
        <v>0</v>
      </c>
      <c r="BN20" s="93" t="n">
        <f aca="false">'INST. ESP'!E63</f>
        <v>0</v>
      </c>
      <c r="BO20" s="93" t="n">
        <f aca="false">'INST. ESP'!E64</f>
        <v>0</v>
      </c>
      <c r="BP20" s="93" t="n">
        <f aca="false">'INST. ESP'!E65</f>
        <v>0</v>
      </c>
      <c r="BQ20" s="93" t="n">
        <f aca="false">'INST. ESP'!E66</f>
        <v>0</v>
      </c>
      <c r="BR20" s="93" t="n">
        <f aca="false">'INST. ESP'!E67</f>
        <v>0</v>
      </c>
      <c r="BS20" s="93" t="n">
        <f aca="false">'INST. ESP'!E68</f>
        <v>0</v>
      </c>
      <c r="BT20" s="93" t="n">
        <f aca="false">'INST. ESP'!E69</f>
        <v>0</v>
      </c>
      <c r="BU20" s="93" t="n">
        <f aca="false">'INST. ESP'!E70</f>
        <v>0</v>
      </c>
      <c r="BV20" s="93" t="n">
        <f aca="false">'INST. ESP'!E71</f>
        <v>0</v>
      </c>
      <c r="BW20" s="93" t="n">
        <f aca="false">'INST. ESP'!E72</f>
        <v>0</v>
      </c>
      <c r="BX20" s="93" t="n">
        <f aca="false">'INST. ESP'!E73</f>
        <v>0</v>
      </c>
      <c r="BY20" s="93" t="n">
        <f aca="false">'INST. ESP'!E74</f>
        <v>0</v>
      </c>
      <c r="BZ20" s="93" t="n">
        <f aca="false">'INST. ESP'!E75</f>
        <v>0</v>
      </c>
      <c r="CA20" s="93" t="n">
        <f aca="false">'INST. ESP'!E76</f>
        <v>0</v>
      </c>
    </row>
    <row r="21" customFormat="false" ht="15" hidden="false" customHeight="false" outlineLevel="0" collapsed="false">
      <c r="A21" s="55" t="s">
        <v>305</v>
      </c>
      <c r="B21" s="55" t="s">
        <v>327</v>
      </c>
      <c r="C21" s="55" t="s">
        <v>177</v>
      </c>
      <c r="D21" s="56" t="n">
        <f aca="false">'INST. HIDRO'!$K$5</f>
        <v>6060.658861</v>
      </c>
      <c r="E21" s="45" t="n">
        <f aca="false">SUM(H21:CA21)</f>
        <v>6058.26221345759</v>
      </c>
      <c r="F21" s="45" t="n">
        <f aca="false">IF(D21="","",D21-E21)</f>
        <v>2.39664754241403</v>
      </c>
      <c r="H21" s="93" t="n">
        <f aca="false">'INST. HIDRO'!E5</f>
        <v>0</v>
      </c>
      <c r="I21" s="93" t="n">
        <f aca="false">'INST. HIDRO'!E6</f>
        <v>0</v>
      </c>
      <c r="J21" s="93" t="n">
        <f aca="false">'INST. HIDRO'!E7</f>
        <v>0</v>
      </c>
      <c r="K21" s="93" t="n">
        <f aca="false">'INST. HIDRO'!E8</f>
        <v>0</v>
      </c>
      <c r="L21" s="93" t="n">
        <f aca="false">'INST. HIDRO'!E9</f>
        <v>0</v>
      </c>
      <c r="M21" s="93" t="n">
        <f aca="false">'INST. HIDRO'!E10</f>
        <v>0</v>
      </c>
      <c r="N21" s="93" t="n">
        <f aca="false">'INST. HIDRO'!E11</f>
        <v>0</v>
      </c>
      <c r="O21" s="93" t="n">
        <f aca="false">'INST. HIDRO'!E12</f>
        <v>0</v>
      </c>
      <c r="P21" s="93" t="n">
        <f aca="false">'INST. HIDRO'!E13</f>
        <v>0</v>
      </c>
      <c r="Q21" s="93" t="n">
        <f aca="false">'INST. HIDRO'!E14</f>
        <v>0</v>
      </c>
      <c r="R21" s="93" t="n">
        <f aca="false">'INST. HIDRO'!E15</f>
        <v>0</v>
      </c>
      <c r="S21" s="93" t="n">
        <f aca="false">'INST. HIDRO'!E16</f>
        <v>0</v>
      </c>
      <c r="T21" s="93" t="n">
        <f aca="false">'INST. HIDRO'!E17</f>
        <v>0</v>
      </c>
      <c r="U21" s="93" t="n">
        <f aca="false">'INST. HIDRO'!E18</f>
        <v>0</v>
      </c>
      <c r="V21" s="93" t="n">
        <f aca="false">'INST. HIDRO'!E19</f>
        <v>0</v>
      </c>
      <c r="W21" s="93" t="n">
        <f aca="false">'INST. HIDRO'!E20</f>
        <v>0</v>
      </c>
      <c r="X21" s="93" t="n">
        <f aca="false">'INST. HIDRO'!E21</f>
        <v>0</v>
      </c>
      <c r="Y21" s="93" t="n">
        <f aca="false">'INST. HIDRO'!E22</f>
        <v>0</v>
      </c>
      <c r="Z21" s="93" t="n">
        <f aca="false">'INST. HIDRO'!E23</f>
        <v>0</v>
      </c>
      <c r="AA21" s="93" t="n">
        <f aca="false">'INST. HIDRO'!E24</f>
        <v>0</v>
      </c>
      <c r="AB21" s="93" t="n">
        <f aca="false">'INST. HIDRO'!E25</f>
        <v>0</v>
      </c>
      <c r="AC21" s="93" t="n">
        <f aca="false">'INST. HIDRO'!E26</f>
        <v>0</v>
      </c>
      <c r="AD21" s="93" t="n">
        <f aca="false">'INST. HIDRO'!E27</f>
        <v>0</v>
      </c>
      <c r="AE21" s="93" t="n">
        <f aca="false">'INST. HIDRO'!E28</f>
        <v>117.382020648098</v>
      </c>
      <c r="AF21" s="93" t="n">
        <f aca="false">'INST. HIDRO'!E29</f>
        <v>39.1273402160327</v>
      </c>
      <c r="AG21" s="93" t="n">
        <f aca="false">'INST. HIDRO'!E30</f>
        <v>39.1273402160327</v>
      </c>
      <c r="AH21" s="93" t="n">
        <f aca="false">'INST. HIDRO'!E31</f>
        <v>54.7782763024457</v>
      </c>
      <c r="AI21" s="93" t="n">
        <f aca="false">'INST. HIDRO'!E32</f>
        <v>94.1075370703972</v>
      </c>
      <c r="AJ21" s="93" t="n">
        <f aca="false">'INST. HIDRO'!E33</f>
        <v>94.1075370703972</v>
      </c>
      <c r="AK21" s="93" t="n">
        <f aca="false">'INST. HIDRO'!E34</f>
        <v>68.2740941406958</v>
      </c>
      <c r="AL21" s="93" t="n">
        <f aca="false">'INST. HIDRO'!E35</f>
        <v>3.07540894098017</v>
      </c>
      <c r="AM21" s="93" t="n">
        <f aca="false">'INST. HIDRO'!E36</f>
        <v>70.1193395052839</v>
      </c>
      <c r="AN21" s="93" t="n">
        <f aca="false">'INST. HIDRO'!E37</f>
        <v>85.4963920356528</v>
      </c>
      <c r="AO21" s="93" t="n">
        <f aca="false">'INST. HIDRO'!E38</f>
        <v>153.155404388153</v>
      </c>
      <c r="AP21" s="93" t="n">
        <f aca="false">'INST. HIDRO'!E39</f>
        <v>218.969163550596</v>
      </c>
      <c r="AQ21" s="93" t="n">
        <f aca="false">'INST. HIDRO'!E40</f>
        <v>136.548188281392</v>
      </c>
      <c r="AR21" s="93" t="n">
        <f aca="false">'INST. HIDRO'!E41</f>
        <v>284.167848750312</v>
      </c>
      <c r="AS21" s="93" t="n">
        <f aca="false">'INST. HIDRO'!E42</f>
        <v>247.878015421278</v>
      </c>
      <c r="AT21" s="93" t="n">
        <f aca="false">'INST. HIDRO'!E43</f>
        <v>332.144243880538</v>
      </c>
      <c r="AU21" s="93" t="n">
        <f aca="false">'INST. HIDRO'!E44</f>
        <v>357.362605022044</v>
      </c>
      <c r="AV21" s="93" t="n">
        <f aca="false">'INST. HIDRO'!E45</f>
        <v>769.467497019003</v>
      </c>
      <c r="AW21" s="93" t="n">
        <f aca="false">'INST. HIDRO'!E46</f>
        <v>431.172435256504</v>
      </c>
      <c r="AX21" s="93" t="n">
        <f aca="false">'INST. HIDRO'!E47</f>
        <v>286.0130941149</v>
      </c>
      <c r="AY21" s="93" t="n">
        <f aca="false">'INST. HIDRO'!E48</f>
        <v>458.23603393713</v>
      </c>
      <c r="AZ21" s="93" t="n">
        <f aca="false">'INST. HIDRO'!E49</f>
        <v>431.7875170447</v>
      </c>
      <c r="BA21" s="93" t="n">
        <f aca="false">'INST. HIDRO'!E50</f>
        <v>287.858339479488</v>
      </c>
      <c r="BB21" s="93" t="n">
        <f aca="false">'INST. HIDRO'!E51</f>
        <v>394.267520139274</v>
      </c>
      <c r="BC21" s="93" t="n">
        <f aca="false">'INST. HIDRO'!E52</f>
        <v>87.3416374002409</v>
      </c>
      <c r="BD21" s="93" t="n">
        <f aca="false">'INST. HIDRO'!E53</f>
        <v>234.346216080965</v>
      </c>
      <c r="BE21" s="93" t="n">
        <f aca="false">'INST. HIDRO'!E54</f>
        <v>153.155404388153</v>
      </c>
      <c r="BF21" s="93" t="n">
        <f aca="false">'INST. HIDRO'!E55</f>
        <v>81.8058934810085</v>
      </c>
      <c r="BG21" s="93" t="n">
        <f aca="false">'INST. HIDRO'!E56</f>
        <v>46.9898696758918</v>
      </c>
      <c r="BH21" s="93" t="n">
        <f aca="false">'INST. HIDRO'!E57</f>
        <v>0</v>
      </c>
      <c r="BI21" s="93" t="n">
        <f aca="false">'INST. HIDRO'!E58</f>
        <v>0</v>
      </c>
      <c r="BJ21" s="93" t="n">
        <f aca="false">'INST. HIDRO'!E59</f>
        <v>0</v>
      </c>
      <c r="BK21" s="93" t="n">
        <f aca="false">'INST. HIDRO'!E60</f>
        <v>0</v>
      </c>
      <c r="BL21" s="93" t="n">
        <f aca="false">'INST. HIDRO'!E61</f>
        <v>0</v>
      </c>
      <c r="BM21" s="93" t="n">
        <f aca="false">'INST. HIDRO'!E62</f>
        <v>0</v>
      </c>
      <c r="BN21" s="93" t="n">
        <f aca="false">'INST. HIDRO'!E63</f>
        <v>0</v>
      </c>
      <c r="BO21" s="93" t="n">
        <f aca="false">'INST. HIDRO'!E64</f>
        <v>0</v>
      </c>
      <c r="BP21" s="93" t="n">
        <f aca="false">'INST. HIDRO'!E65</f>
        <v>0</v>
      </c>
      <c r="BQ21" s="93" t="n">
        <f aca="false">'INST. HIDRO'!E66</f>
        <v>0</v>
      </c>
      <c r="BR21" s="93" t="n">
        <f aca="false">'INST. HIDRO'!E67</f>
        <v>0</v>
      </c>
      <c r="BS21" s="93" t="n">
        <f aca="false">'INST. HIDRO'!E68</f>
        <v>0</v>
      </c>
      <c r="BT21" s="93" t="n">
        <f aca="false">'INST. HIDRO'!E69</f>
        <v>0</v>
      </c>
      <c r="BU21" s="93" t="n">
        <f aca="false">'INST. HIDRO'!E70</f>
        <v>0</v>
      </c>
      <c r="BV21" s="93" t="n">
        <f aca="false">'INST. HIDRO'!E71</f>
        <v>0</v>
      </c>
      <c r="BW21" s="93" t="n">
        <f aca="false">'INST. HIDRO'!E72</f>
        <v>0</v>
      </c>
      <c r="BX21" s="93" t="n">
        <f aca="false">'INST. HIDRO'!E73</f>
        <v>0</v>
      </c>
      <c r="BY21" s="93" t="n">
        <f aca="false">'INST. HIDRO'!E74</f>
        <v>0</v>
      </c>
      <c r="BZ21" s="93" t="n">
        <f aca="false">'INST. HIDRO'!E75</f>
        <v>0</v>
      </c>
      <c r="CA21" s="93" t="n">
        <f aca="false">'INST. HIDRO'!E76</f>
        <v>0</v>
      </c>
    </row>
    <row r="22" customFormat="false" ht="15" hidden="false" customHeight="false" outlineLevel="0" collapsed="false">
      <c r="A22" s="55" t="s">
        <v>305</v>
      </c>
      <c r="B22" s="55" t="s">
        <v>328</v>
      </c>
      <c r="C22" s="55" t="s">
        <v>329</v>
      </c>
      <c r="E22" s="45" t="n">
        <f aca="false">SUM(H22:CA22)</f>
        <v>0</v>
      </c>
      <c r="F22" s="45" t="str">
        <f aca="false">IF(D22="","",D22-E22)</f>
        <v/>
      </c>
    </row>
    <row r="23" customFormat="false" ht="15" hidden="false" customHeight="false" outlineLevel="0" collapsed="false">
      <c r="A23" s="55" t="s">
        <v>305</v>
      </c>
      <c r="B23" s="55" t="s">
        <v>330</v>
      </c>
      <c r="C23" s="55" t="s">
        <v>220</v>
      </c>
      <c r="D23" s="56" t="n">
        <f aca="false">LOUÇAS!$K$5</f>
        <v>1685.381265</v>
      </c>
      <c r="E23" s="45" t="n">
        <f aca="false">SUM(H23:CA23)</f>
        <v>1684.71479210333</v>
      </c>
      <c r="F23" s="45" t="n">
        <f aca="false">IF(D23="","",D23-E23)</f>
        <v>0.666472896665709</v>
      </c>
      <c r="H23" s="93" t="n">
        <f aca="false">LOUÇAS!E5</f>
        <v>0</v>
      </c>
      <c r="I23" s="93" t="n">
        <f aca="false">LOUÇAS!E6</f>
        <v>0</v>
      </c>
      <c r="J23" s="93" t="n">
        <f aca="false">LOUÇAS!E7</f>
        <v>0</v>
      </c>
      <c r="K23" s="93" t="n">
        <f aca="false">LOUÇAS!E8</f>
        <v>0</v>
      </c>
      <c r="L23" s="93" t="n">
        <f aca="false">LOUÇAS!E9</f>
        <v>0</v>
      </c>
      <c r="M23" s="93" t="n">
        <f aca="false">LOUÇAS!E10</f>
        <v>0</v>
      </c>
      <c r="N23" s="93" t="n">
        <f aca="false">LOUÇAS!E11</f>
        <v>0</v>
      </c>
      <c r="O23" s="93" t="n">
        <f aca="false">LOUÇAS!E12</f>
        <v>0</v>
      </c>
      <c r="P23" s="93" t="n">
        <f aca="false">LOUÇAS!E13</f>
        <v>0</v>
      </c>
      <c r="Q23" s="93" t="n">
        <f aca="false">LOUÇAS!E14</f>
        <v>0</v>
      </c>
      <c r="R23" s="93" t="n">
        <f aca="false">LOUÇAS!E15</f>
        <v>0</v>
      </c>
      <c r="S23" s="93" t="n">
        <f aca="false">LOUÇAS!E16</f>
        <v>0</v>
      </c>
      <c r="T23" s="93" t="n">
        <f aca="false">LOUÇAS!E17</f>
        <v>0</v>
      </c>
      <c r="U23" s="93" t="n">
        <f aca="false">LOUÇAS!E18</f>
        <v>0</v>
      </c>
      <c r="V23" s="93" t="n">
        <f aca="false">LOUÇAS!E19</f>
        <v>0</v>
      </c>
      <c r="W23" s="93" t="n">
        <f aca="false">LOUÇAS!E20</f>
        <v>0</v>
      </c>
      <c r="X23" s="93" t="n">
        <f aca="false">LOUÇAS!E21</f>
        <v>0</v>
      </c>
      <c r="Y23" s="93" t="n">
        <f aca="false">LOUÇAS!E22</f>
        <v>0</v>
      </c>
      <c r="Z23" s="93" t="n">
        <f aca="false">LOUÇAS!E23</f>
        <v>0</v>
      </c>
      <c r="AA23" s="93" t="n">
        <f aca="false">LOUÇAS!E24</f>
        <v>0</v>
      </c>
      <c r="AB23" s="93" t="n">
        <f aca="false">LOUÇAS!E25</f>
        <v>0</v>
      </c>
      <c r="AC23" s="93" t="n">
        <f aca="false">LOUÇAS!E26</f>
        <v>0</v>
      </c>
      <c r="AD23" s="93" t="n">
        <f aca="false">LOUÇAS!E27</f>
        <v>0</v>
      </c>
      <c r="AE23" s="93" t="n">
        <f aca="false">LOUÇAS!E28</f>
        <v>0</v>
      </c>
      <c r="AF23" s="93" t="n">
        <f aca="false">LOUÇAS!E29</f>
        <v>0</v>
      </c>
      <c r="AG23" s="93" t="n">
        <f aca="false">LOUÇAS!E30</f>
        <v>0</v>
      </c>
      <c r="AH23" s="93" t="n">
        <f aca="false">LOUÇAS!E31</f>
        <v>0</v>
      </c>
      <c r="AI23" s="93" t="n">
        <f aca="false">LOUÇAS!E32</f>
        <v>0</v>
      </c>
      <c r="AJ23" s="93" t="n">
        <f aca="false">LOUÇAS!E33</f>
        <v>0</v>
      </c>
      <c r="AK23" s="93" t="n">
        <f aca="false">LOUÇAS!E34</f>
        <v>0</v>
      </c>
      <c r="AL23" s="93" t="n">
        <f aca="false">LOUÇAS!E35</f>
        <v>0</v>
      </c>
      <c r="AM23" s="93" t="n">
        <f aca="false">LOUÇAS!E36</f>
        <v>0</v>
      </c>
      <c r="AN23" s="93" t="n">
        <f aca="false">LOUÇAS!E37</f>
        <v>0</v>
      </c>
      <c r="AO23" s="93" t="n">
        <f aca="false">LOUÇAS!E38</f>
        <v>0</v>
      </c>
      <c r="AP23" s="93" t="n">
        <f aca="false">LOUÇAS!E39</f>
        <v>32.346524008384</v>
      </c>
      <c r="AQ23" s="93" t="n">
        <f aca="false">LOUÇAS!E40</f>
        <v>60.144318078089</v>
      </c>
      <c r="AR23" s="93" t="n">
        <f aca="false">LOUÇAS!E41</f>
        <v>96.0287431498901</v>
      </c>
      <c r="AS23" s="93" t="n">
        <f aca="false">LOUÇAS!E42</f>
        <v>96.5341575875211</v>
      </c>
      <c r="AT23" s="93" t="n">
        <f aca="false">LOUÇAS!E43</f>
        <v>101.723079147199</v>
      </c>
      <c r="AU23" s="93" t="n">
        <f aca="false">LOUÇAS!E44</f>
        <v>163.990137863339</v>
      </c>
      <c r="AV23" s="93" t="n">
        <f aca="false">LOUÇAS!E45</f>
        <v>149.804839313829</v>
      </c>
      <c r="AW23" s="93" t="n">
        <f aca="false">LOUÇAS!E46</f>
        <v>163.215169058971</v>
      </c>
      <c r="AX23" s="93" t="n">
        <f aca="false">LOUÇAS!E47</f>
        <v>154.084014885771</v>
      </c>
      <c r="AY23" s="93" t="n">
        <f aca="false">LOUÇAS!E48</f>
        <v>147.985347338357</v>
      </c>
      <c r="AZ23" s="93" t="n">
        <f aca="false">LOUÇAS!E49</f>
        <v>146.098466771201</v>
      </c>
      <c r="BA23" s="93" t="n">
        <f aca="false">LOUÇAS!E50</f>
        <v>108.765186978191</v>
      </c>
      <c r="BB23" s="93" t="n">
        <f aca="false">LOUÇAS!E51</f>
        <v>92.2886763114208</v>
      </c>
      <c r="BC23" s="93" t="n">
        <f aca="false">LOUÇAS!E52</f>
        <v>65.2321567502411</v>
      </c>
      <c r="BD23" s="93" t="n">
        <f aca="false">LOUÇAS!E53</f>
        <v>42.7917557194247</v>
      </c>
      <c r="BE23" s="93" t="n">
        <f aca="false">LOUÇAS!E54</f>
        <v>54.7869250392005</v>
      </c>
      <c r="BF23" s="93" t="n">
        <f aca="false">LOUÇAS!E55</f>
        <v>8.89529410230556</v>
      </c>
      <c r="BG23" s="93" t="n">
        <f aca="false">LOUÇAS!E56</f>
        <v>0</v>
      </c>
      <c r="BH23" s="93" t="n">
        <f aca="false">LOUÇAS!E57</f>
        <v>0</v>
      </c>
      <c r="BI23" s="93" t="n">
        <f aca="false">LOUÇAS!E58</f>
        <v>0</v>
      </c>
      <c r="BJ23" s="93" t="n">
        <f aca="false">LOUÇAS!E59</f>
        <v>0</v>
      </c>
      <c r="BK23" s="93" t="n">
        <f aca="false">LOUÇAS!E60</f>
        <v>0</v>
      </c>
      <c r="BL23" s="93" t="n">
        <f aca="false">LOUÇAS!E61</f>
        <v>0</v>
      </c>
      <c r="BM23" s="93" t="n">
        <f aca="false">LOUÇAS!E62</f>
        <v>0</v>
      </c>
      <c r="BN23" s="93" t="n">
        <f aca="false">LOUÇAS!E63</f>
        <v>0</v>
      </c>
      <c r="BO23" s="93" t="n">
        <f aca="false">LOUÇAS!E64</f>
        <v>0</v>
      </c>
      <c r="BP23" s="93" t="n">
        <f aca="false">LOUÇAS!E65</f>
        <v>0</v>
      </c>
      <c r="BQ23" s="93" t="n">
        <f aca="false">LOUÇAS!E66</f>
        <v>0</v>
      </c>
      <c r="BR23" s="93" t="n">
        <f aca="false">LOUÇAS!E67</f>
        <v>0</v>
      </c>
      <c r="BS23" s="93" t="n">
        <f aca="false">LOUÇAS!E68</f>
        <v>0</v>
      </c>
      <c r="BT23" s="93" t="n">
        <f aca="false">LOUÇAS!E69</f>
        <v>0</v>
      </c>
      <c r="BU23" s="93" t="n">
        <f aca="false">LOUÇAS!E70</f>
        <v>0</v>
      </c>
      <c r="BV23" s="93" t="n">
        <f aca="false">LOUÇAS!E71</f>
        <v>0</v>
      </c>
      <c r="BW23" s="93" t="n">
        <f aca="false">LOUÇAS!E72</f>
        <v>0</v>
      </c>
      <c r="BX23" s="93" t="n">
        <f aca="false">LOUÇAS!E73</f>
        <v>0</v>
      </c>
      <c r="BY23" s="93" t="n">
        <f aca="false">LOUÇAS!E74</f>
        <v>0</v>
      </c>
      <c r="BZ23" s="93" t="n">
        <f aca="false">LOUÇAS!E75</f>
        <v>0</v>
      </c>
      <c r="CA23" s="93" t="n">
        <f aca="false">LOUÇAS!E76</f>
        <v>0</v>
      </c>
    </row>
    <row r="24" customFormat="false" ht="15" hidden="false" customHeight="false" outlineLevel="0" collapsed="false">
      <c r="A24" s="55" t="s">
        <v>305</v>
      </c>
      <c r="B24" s="55" t="s">
        <v>331</v>
      </c>
      <c r="C24" s="55" t="s">
        <v>231</v>
      </c>
      <c r="D24" s="56" t="n">
        <f aca="false">LIMPEZA!$K$5</f>
        <v>729.647598</v>
      </c>
      <c r="E24" s="45" t="n">
        <f aca="false">SUM(H24:CA24)</f>
        <v>729.359063673505</v>
      </c>
      <c r="F24" s="45" t="n">
        <f aca="false">IF(D24="","",D24-E24)</f>
        <v>0.288534326495096</v>
      </c>
      <c r="H24" s="93" t="n">
        <f aca="false">LIMPEZA!E5</f>
        <v>0</v>
      </c>
      <c r="I24" s="93" t="n">
        <f aca="false">LIMPEZA!E6</f>
        <v>0</v>
      </c>
      <c r="J24" s="93" t="n">
        <f aca="false">LIMPEZA!E7</f>
        <v>0</v>
      </c>
      <c r="K24" s="93" t="n">
        <f aca="false">LIMPEZA!E8</f>
        <v>0</v>
      </c>
      <c r="L24" s="93" t="n">
        <f aca="false">LIMPEZA!E9</f>
        <v>0</v>
      </c>
      <c r="M24" s="93" t="n">
        <f aca="false">LIMPEZA!E10</f>
        <v>0</v>
      </c>
      <c r="N24" s="93" t="n">
        <f aca="false">LIMPEZA!E11</f>
        <v>0</v>
      </c>
      <c r="O24" s="93" t="n">
        <f aca="false">LIMPEZA!E12</f>
        <v>0</v>
      </c>
      <c r="P24" s="93" t="n">
        <f aca="false">LIMPEZA!E13</f>
        <v>0</v>
      </c>
      <c r="Q24" s="93" t="n">
        <f aca="false">LIMPEZA!E14</f>
        <v>0</v>
      </c>
      <c r="R24" s="93" t="n">
        <f aca="false">LIMPEZA!E15</f>
        <v>0</v>
      </c>
      <c r="S24" s="93" t="n">
        <f aca="false">LIMPEZA!E16</f>
        <v>0</v>
      </c>
      <c r="T24" s="93" t="n">
        <f aca="false">LIMPEZA!E17</f>
        <v>0</v>
      </c>
      <c r="U24" s="93" t="n">
        <f aca="false">LIMPEZA!E18</f>
        <v>0</v>
      </c>
      <c r="V24" s="93" t="n">
        <f aca="false">LIMPEZA!E19</f>
        <v>0</v>
      </c>
      <c r="W24" s="93" t="n">
        <f aca="false">LIMPEZA!E20</f>
        <v>0</v>
      </c>
      <c r="X24" s="93" t="n">
        <f aca="false">LIMPEZA!E21</f>
        <v>0</v>
      </c>
      <c r="Y24" s="93" t="n">
        <f aca="false">LIMPEZA!E22</f>
        <v>0</v>
      </c>
      <c r="Z24" s="93" t="n">
        <f aca="false">LIMPEZA!E23</f>
        <v>0</v>
      </c>
      <c r="AA24" s="93" t="n">
        <f aca="false">LIMPEZA!E24</f>
        <v>0</v>
      </c>
      <c r="AB24" s="93" t="n">
        <f aca="false">LIMPEZA!E25</f>
        <v>0</v>
      </c>
      <c r="AC24" s="93" t="n">
        <f aca="false">LIMPEZA!E26</f>
        <v>0</v>
      </c>
      <c r="AD24" s="93" t="n">
        <f aca="false">LIMPEZA!E27</f>
        <v>0</v>
      </c>
      <c r="AE24" s="93" t="n">
        <f aca="false">LIMPEZA!E28</f>
        <v>0</v>
      </c>
      <c r="AF24" s="93" t="n">
        <f aca="false">LIMPEZA!E29</f>
        <v>0</v>
      </c>
      <c r="AG24" s="93" t="n">
        <f aca="false">LIMPEZA!E30</f>
        <v>0</v>
      </c>
      <c r="AH24" s="93" t="n">
        <f aca="false">LIMPEZA!E31</f>
        <v>0</v>
      </c>
      <c r="AI24" s="93" t="n">
        <f aca="false">LIMPEZA!E32</f>
        <v>0</v>
      </c>
      <c r="AJ24" s="93" t="n">
        <f aca="false">LIMPEZA!E33</f>
        <v>0</v>
      </c>
      <c r="AK24" s="93" t="n">
        <f aca="false">LIMPEZA!E34</f>
        <v>0</v>
      </c>
      <c r="AL24" s="93" t="n">
        <f aca="false">LIMPEZA!E35</f>
        <v>0</v>
      </c>
      <c r="AM24" s="93" t="n">
        <f aca="false">LIMPEZA!E36</f>
        <v>0</v>
      </c>
      <c r="AN24" s="93" t="n">
        <f aca="false">LIMPEZA!E37</f>
        <v>0</v>
      </c>
      <c r="AO24" s="93" t="n">
        <f aca="false">LIMPEZA!E38</f>
        <v>0</v>
      </c>
      <c r="AP24" s="93" t="n">
        <f aca="false">LIMPEZA!E39</f>
        <v>0</v>
      </c>
      <c r="AQ24" s="93" t="n">
        <f aca="false">LIMPEZA!E40</f>
        <v>0</v>
      </c>
      <c r="AR24" s="93" t="n">
        <f aca="false">LIMPEZA!E41</f>
        <v>0</v>
      </c>
      <c r="AS24" s="93" t="n">
        <f aca="false">LIMPEZA!E42</f>
        <v>0</v>
      </c>
      <c r="AT24" s="93" t="n">
        <f aca="false">LIMPEZA!E43</f>
        <v>0</v>
      </c>
      <c r="AU24" s="93" t="n">
        <f aca="false">LIMPEZA!E44</f>
        <v>0</v>
      </c>
      <c r="AV24" s="93" t="n">
        <f aca="false">LIMPEZA!E45</f>
        <v>14.8863690461353</v>
      </c>
      <c r="AW24" s="93" t="n">
        <f aca="false">LIMPEZA!E46</f>
        <v>28.1673447401394</v>
      </c>
      <c r="AX24" s="93" t="n">
        <f aca="false">LIMPEZA!E47</f>
        <v>51.5185094238848</v>
      </c>
      <c r="AY24" s="93" t="n">
        <f aca="false">LIMPEZA!E48</f>
        <v>63.1940917657576</v>
      </c>
      <c r="AZ24" s="93" t="n">
        <f aca="false">LIMPEZA!E49</f>
        <v>67.4264895845627</v>
      </c>
      <c r="BA24" s="93" t="n">
        <f aca="false">LIMPEZA!E50</f>
        <v>65.0184034569847</v>
      </c>
      <c r="BB24" s="93" t="n">
        <f aca="false">LIMPEZA!E51</f>
        <v>65.0913762366833</v>
      </c>
      <c r="BC24" s="93" t="n">
        <f aca="false">LIMPEZA!E52</f>
        <v>60.713032858481</v>
      </c>
      <c r="BD24" s="93" t="n">
        <f aca="false">LIMPEZA!E53</f>
        <v>53.9995683311614</v>
      </c>
      <c r="BE24" s="93" t="n">
        <f aca="false">LIMPEZA!E54</f>
        <v>43.564515442927</v>
      </c>
      <c r="BF24" s="93" t="n">
        <f aca="false">LIMPEZA!E55</f>
        <v>74.7237285482331</v>
      </c>
      <c r="BG24" s="93" t="n">
        <f aca="false">LIMPEZA!E56</f>
        <v>67.6454079236585</v>
      </c>
      <c r="BH24" s="93" t="n">
        <f aca="false">LIMPEZA!E57</f>
        <v>63.9238117615057</v>
      </c>
      <c r="BI24" s="93" t="n">
        <f aca="false">LIMPEZA!E58</f>
        <v>9.48641455339057</v>
      </c>
      <c r="BJ24" s="93" t="n">
        <f aca="false">LIMPEZA!E59</f>
        <v>0</v>
      </c>
      <c r="BK24" s="93" t="n">
        <f aca="false">LIMPEZA!E60</f>
        <v>0</v>
      </c>
      <c r="BL24" s="93" t="n">
        <f aca="false">LIMPEZA!E61</f>
        <v>0</v>
      </c>
      <c r="BM24" s="93" t="n">
        <f aca="false">LIMPEZA!E62</f>
        <v>0</v>
      </c>
      <c r="BN24" s="93" t="n">
        <f aca="false">LIMPEZA!E63</f>
        <v>0</v>
      </c>
      <c r="BO24" s="93" t="n">
        <f aca="false">LIMPEZA!E64</f>
        <v>0</v>
      </c>
      <c r="BP24" s="93" t="n">
        <f aca="false">LIMPEZA!E65</f>
        <v>0</v>
      </c>
      <c r="BQ24" s="93" t="n">
        <f aca="false">LIMPEZA!E66</f>
        <v>0</v>
      </c>
      <c r="BR24" s="93" t="n">
        <f aca="false">LIMPEZA!E67</f>
        <v>0</v>
      </c>
      <c r="BS24" s="93" t="n">
        <f aca="false">LIMPEZA!E68</f>
        <v>0</v>
      </c>
      <c r="BT24" s="93" t="n">
        <f aca="false">LIMPEZA!E69</f>
        <v>0</v>
      </c>
      <c r="BU24" s="93" t="n">
        <f aca="false">LIMPEZA!E70</f>
        <v>0</v>
      </c>
      <c r="BV24" s="93" t="n">
        <f aca="false">LIMPEZA!E71</f>
        <v>0</v>
      </c>
      <c r="BW24" s="93" t="n">
        <f aca="false">LIMPEZA!E72</f>
        <v>0</v>
      </c>
      <c r="BX24" s="93" t="n">
        <f aca="false">LIMPEZA!E73</f>
        <v>0</v>
      </c>
      <c r="BY24" s="93" t="n">
        <f aca="false">LIMPEZA!E74</f>
        <v>0</v>
      </c>
      <c r="BZ24" s="93" t="n">
        <f aca="false">LIMPEZA!E75</f>
        <v>0</v>
      </c>
      <c r="CA24" s="93" t="n">
        <f aca="false">LIMPEZA!E76</f>
        <v>0</v>
      </c>
    </row>
    <row r="25" customFormat="false" ht="15" hidden="false" customHeight="false" outlineLevel="0" collapsed="false">
      <c r="A25" s="55" t="s">
        <v>305</v>
      </c>
      <c r="B25" s="55" t="s">
        <v>332</v>
      </c>
      <c r="C25" s="55" t="s">
        <v>197</v>
      </c>
      <c r="D25" s="56" t="n">
        <f aca="false">MARCENARIA!$K$5</f>
        <v>2447.072966</v>
      </c>
      <c r="E25" s="45" t="n">
        <f aca="false">SUM(H25:CA25)</f>
        <v>2446.10528714782</v>
      </c>
      <c r="F25" s="45" t="n">
        <f aca="false">IF(D25="","",D25-E25)</f>
        <v>0.967678852180598</v>
      </c>
      <c r="H25" s="93" t="n">
        <f aca="false">MARCENARIA!E5</f>
        <v>0</v>
      </c>
      <c r="I25" s="93" t="n">
        <f aca="false">MARCENARIA!E6</f>
        <v>0</v>
      </c>
      <c r="J25" s="93" t="n">
        <f aca="false">MARCENARIA!E7</f>
        <v>0</v>
      </c>
      <c r="K25" s="93" t="n">
        <f aca="false">MARCENARIA!E8</f>
        <v>0</v>
      </c>
      <c r="L25" s="93" t="n">
        <f aca="false">MARCENARIA!E9</f>
        <v>0</v>
      </c>
      <c r="M25" s="93" t="n">
        <f aca="false">MARCENARIA!E10</f>
        <v>0</v>
      </c>
      <c r="N25" s="93" t="n">
        <f aca="false">MARCENARIA!E11</f>
        <v>0</v>
      </c>
      <c r="O25" s="93" t="n">
        <f aca="false">MARCENARIA!E12</f>
        <v>0</v>
      </c>
      <c r="P25" s="93" t="n">
        <f aca="false">MARCENARIA!E13</f>
        <v>0</v>
      </c>
      <c r="Q25" s="93" t="n">
        <f aca="false">MARCENARIA!E14</f>
        <v>0</v>
      </c>
      <c r="R25" s="93" t="n">
        <f aca="false">MARCENARIA!E15</f>
        <v>0</v>
      </c>
      <c r="S25" s="93" t="n">
        <f aca="false">MARCENARIA!E16</f>
        <v>0</v>
      </c>
      <c r="T25" s="93" t="n">
        <f aca="false">MARCENARIA!E17</f>
        <v>0</v>
      </c>
      <c r="U25" s="93" t="n">
        <f aca="false">MARCENARIA!E18</f>
        <v>0</v>
      </c>
      <c r="V25" s="93" t="n">
        <f aca="false">MARCENARIA!E19</f>
        <v>0</v>
      </c>
      <c r="W25" s="93" t="n">
        <f aca="false">MARCENARIA!E20</f>
        <v>0</v>
      </c>
      <c r="X25" s="93" t="n">
        <f aca="false">MARCENARIA!E21</f>
        <v>0</v>
      </c>
      <c r="Y25" s="93" t="n">
        <f aca="false">MARCENARIA!E22</f>
        <v>0</v>
      </c>
      <c r="Z25" s="93" t="n">
        <f aca="false">MARCENARIA!E23</f>
        <v>0</v>
      </c>
      <c r="AA25" s="93" t="n">
        <f aca="false">MARCENARIA!E24</f>
        <v>0</v>
      </c>
      <c r="AB25" s="93" t="n">
        <f aca="false">MARCENARIA!E25</f>
        <v>0</v>
      </c>
      <c r="AC25" s="93" t="n">
        <f aca="false">MARCENARIA!E26</f>
        <v>0</v>
      </c>
      <c r="AD25" s="93" t="n">
        <f aca="false">MARCENARIA!E27</f>
        <v>0</v>
      </c>
      <c r="AE25" s="93" t="n">
        <f aca="false">MARCENARIA!E28</f>
        <v>0</v>
      </c>
      <c r="AF25" s="93" t="n">
        <f aca="false">MARCENARIA!E29</f>
        <v>0</v>
      </c>
      <c r="AG25" s="93" t="n">
        <f aca="false">MARCENARIA!E30</f>
        <v>0</v>
      </c>
      <c r="AH25" s="93" t="n">
        <f aca="false">MARCENARIA!E31</f>
        <v>0</v>
      </c>
      <c r="AI25" s="93" t="n">
        <f aca="false">MARCENARIA!E32</f>
        <v>0</v>
      </c>
      <c r="AJ25" s="93" t="n">
        <f aca="false">MARCENARIA!E33</f>
        <v>0</v>
      </c>
      <c r="AK25" s="93" t="n">
        <f aca="false">MARCENARIA!E34</f>
        <v>0</v>
      </c>
      <c r="AL25" s="93" t="n">
        <f aca="false">MARCENARIA!E35</f>
        <v>0</v>
      </c>
      <c r="AM25" s="93" t="n">
        <f aca="false">MARCENARIA!E36</f>
        <v>0</v>
      </c>
      <c r="AN25" s="93" t="n">
        <f aca="false">MARCENARIA!E37</f>
        <v>0</v>
      </c>
      <c r="AO25" s="93" t="n">
        <f aca="false">MARCENARIA!E38</f>
        <v>0</v>
      </c>
      <c r="AP25" s="93" t="n">
        <f aca="false">MARCENARIA!E39</f>
        <v>0</v>
      </c>
      <c r="AQ25" s="93" t="n">
        <f aca="false">MARCENARIA!E40</f>
        <v>0</v>
      </c>
      <c r="AR25" s="93" t="n">
        <f aca="false">MARCENARIA!E41</f>
        <v>0</v>
      </c>
      <c r="AS25" s="93" t="n">
        <f aca="false">MARCENARIA!E42</f>
        <v>0</v>
      </c>
      <c r="AT25" s="93" t="n">
        <f aca="false">MARCENARIA!E43</f>
        <v>0</v>
      </c>
      <c r="AU25" s="93" t="n">
        <f aca="false">MARCENARIA!E44</f>
        <v>161.687561453977</v>
      </c>
      <c r="AV25" s="93" t="n">
        <f aca="false">MARCENARIA!E45</f>
        <v>213.789604010186</v>
      </c>
      <c r="AW25" s="93" t="n">
        <f aca="false">MARCENARIA!E46</f>
        <v>180.522568006695</v>
      </c>
      <c r="AX25" s="93" t="n">
        <f aca="false">MARCENARIA!E47</f>
        <v>234.336890265518</v>
      </c>
      <c r="AY25" s="93" t="n">
        <f aca="false">MARCENARIA!E48</f>
        <v>220.63869942863</v>
      </c>
      <c r="AZ25" s="93" t="n">
        <f aca="false">MARCENARIA!E49</f>
        <v>214.523434826733</v>
      </c>
      <c r="BA25" s="93" t="n">
        <f aca="false">MARCENARIA!E50</f>
        <v>233.358441379451</v>
      </c>
      <c r="BB25" s="93" t="n">
        <f aca="false">MARCENARIA!E51</f>
        <v>185.904001792045</v>
      </c>
      <c r="BC25" s="93" t="n">
        <f aca="false">MARCENARIA!E52</f>
        <v>194.95458966013</v>
      </c>
      <c r="BD25" s="93" t="n">
        <f aca="false">MARCENARIA!E53</f>
        <v>234.092272195999</v>
      </c>
      <c r="BE25" s="93" t="n">
        <f aca="false">MARCENARIA!E54</f>
        <v>277.877557700669</v>
      </c>
      <c r="BF25" s="93" t="n">
        <f aca="false">MARCENARIA!E55</f>
        <v>94.4196664277855</v>
      </c>
      <c r="BG25" s="93" t="n">
        <f aca="false">MARCENARIA!E56</f>
        <v>0</v>
      </c>
      <c r="BH25" s="93" t="n">
        <f aca="false">MARCENARIA!E57</f>
        <v>0</v>
      </c>
      <c r="BI25" s="93" t="n">
        <f aca="false">MARCENARIA!E58</f>
        <v>0</v>
      </c>
      <c r="BJ25" s="93" t="n">
        <f aca="false">MARCENARIA!E59</f>
        <v>0</v>
      </c>
      <c r="BK25" s="93" t="n">
        <f aca="false">MARCENARIA!E60</f>
        <v>0</v>
      </c>
      <c r="BL25" s="93" t="n">
        <f aca="false">MARCENARIA!E61</f>
        <v>0</v>
      </c>
      <c r="BM25" s="93" t="n">
        <f aca="false">MARCENARIA!E62</f>
        <v>0</v>
      </c>
      <c r="BN25" s="93" t="n">
        <f aca="false">MARCENARIA!E63</f>
        <v>0</v>
      </c>
      <c r="BO25" s="93" t="n">
        <f aca="false">MARCENARIA!E64</f>
        <v>0</v>
      </c>
      <c r="BP25" s="93" t="n">
        <f aca="false">MARCENARIA!E65</f>
        <v>0</v>
      </c>
      <c r="BQ25" s="93" t="n">
        <f aca="false">MARCENARIA!E66</f>
        <v>0</v>
      </c>
      <c r="BR25" s="93" t="n">
        <f aca="false">MARCENARIA!E67</f>
        <v>0</v>
      </c>
      <c r="BS25" s="93" t="n">
        <f aca="false">MARCENARIA!E68</f>
        <v>0</v>
      </c>
      <c r="BT25" s="93" t="n">
        <f aca="false">MARCENARIA!E69</f>
        <v>0</v>
      </c>
      <c r="BU25" s="93" t="n">
        <f aca="false">MARCENARIA!E70</f>
        <v>0</v>
      </c>
      <c r="BV25" s="93" t="n">
        <f aca="false">MARCENARIA!E71</f>
        <v>0</v>
      </c>
      <c r="BW25" s="93" t="n">
        <f aca="false">MARCENARIA!E72</f>
        <v>0</v>
      </c>
      <c r="BX25" s="93" t="n">
        <f aca="false">MARCENARIA!E73</f>
        <v>0</v>
      </c>
      <c r="BY25" s="93" t="n">
        <f aca="false">MARCENARIA!E74</f>
        <v>0</v>
      </c>
      <c r="BZ25" s="93" t="n">
        <f aca="false">MARCENARIA!E75</f>
        <v>0</v>
      </c>
      <c r="CA25" s="93" t="n">
        <f aca="false">MARCENARIA!E76</f>
        <v>0</v>
      </c>
    </row>
    <row r="26" customFormat="false" ht="15" hidden="false" customHeight="false" outlineLevel="0" collapsed="false">
      <c r="A26" s="55" t="s">
        <v>305</v>
      </c>
      <c r="B26" s="55" t="s">
        <v>333</v>
      </c>
      <c r="C26" s="55" t="s">
        <v>228</v>
      </c>
      <c r="D26" s="56" t="n">
        <f aca="false">PAISAGISMO!$K$5</f>
        <v>918.052182</v>
      </c>
      <c r="E26" s="45" t="n">
        <f aca="false">SUM(H26:CA26)</f>
        <v>917.689144324351</v>
      </c>
      <c r="F26" s="45" t="n">
        <f aca="false">IF(D26="","",D26-E26)</f>
        <v>0.363037675648798</v>
      </c>
      <c r="H26" s="93" t="n">
        <f aca="false">PAISAGISMO!E5</f>
        <v>0</v>
      </c>
      <c r="I26" s="93" t="n">
        <f aca="false">PAISAGISMO!E6</f>
        <v>0</v>
      </c>
      <c r="J26" s="93" t="n">
        <f aca="false">PAISAGISMO!E7</f>
        <v>0</v>
      </c>
      <c r="K26" s="93" t="n">
        <f aca="false">PAISAGISMO!E8</f>
        <v>0</v>
      </c>
      <c r="L26" s="93" t="n">
        <f aca="false">PAISAGISMO!E9</f>
        <v>0</v>
      </c>
      <c r="M26" s="93" t="n">
        <f aca="false">PAISAGISMO!E10</f>
        <v>0</v>
      </c>
      <c r="N26" s="93" t="n">
        <f aca="false">PAISAGISMO!E11</f>
        <v>0</v>
      </c>
      <c r="O26" s="93" t="n">
        <f aca="false">PAISAGISMO!E12</f>
        <v>0</v>
      </c>
      <c r="P26" s="93" t="n">
        <f aca="false">PAISAGISMO!E13</f>
        <v>0</v>
      </c>
      <c r="Q26" s="93" t="n">
        <f aca="false">PAISAGISMO!E14</f>
        <v>0</v>
      </c>
      <c r="R26" s="93" t="n">
        <f aca="false">PAISAGISMO!E15</f>
        <v>0</v>
      </c>
      <c r="S26" s="93" t="n">
        <f aca="false">PAISAGISMO!E16</f>
        <v>0</v>
      </c>
      <c r="T26" s="93" t="n">
        <f aca="false">PAISAGISMO!E17</f>
        <v>0</v>
      </c>
      <c r="U26" s="93" t="n">
        <f aca="false">PAISAGISMO!E18</f>
        <v>0</v>
      </c>
      <c r="V26" s="93" t="n">
        <f aca="false">PAISAGISMO!E19</f>
        <v>0</v>
      </c>
      <c r="W26" s="93" t="n">
        <f aca="false">PAISAGISMO!E20</f>
        <v>0</v>
      </c>
      <c r="X26" s="93" t="n">
        <f aca="false">PAISAGISMO!E21</f>
        <v>0</v>
      </c>
      <c r="Y26" s="93" t="n">
        <f aca="false">PAISAGISMO!E22</f>
        <v>0</v>
      </c>
      <c r="Z26" s="93" t="n">
        <f aca="false">PAISAGISMO!E23</f>
        <v>0</v>
      </c>
      <c r="AA26" s="93" t="n">
        <f aca="false">PAISAGISMO!E24</f>
        <v>0</v>
      </c>
      <c r="AB26" s="93" t="n">
        <f aca="false">PAISAGISMO!E25</f>
        <v>0</v>
      </c>
      <c r="AC26" s="93" t="n">
        <f aca="false">PAISAGISMO!E26</f>
        <v>0</v>
      </c>
      <c r="AD26" s="93" t="n">
        <f aca="false">PAISAGISMO!E27</f>
        <v>0</v>
      </c>
      <c r="AE26" s="93" t="n">
        <f aca="false">PAISAGISMO!E28</f>
        <v>0</v>
      </c>
      <c r="AF26" s="93" t="n">
        <f aca="false">PAISAGISMO!E29</f>
        <v>0</v>
      </c>
      <c r="AG26" s="93" t="n">
        <f aca="false">PAISAGISMO!E30</f>
        <v>0</v>
      </c>
      <c r="AH26" s="93" t="n">
        <f aca="false">PAISAGISMO!E31</f>
        <v>0</v>
      </c>
      <c r="AI26" s="93" t="n">
        <f aca="false">PAISAGISMO!E32</f>
        <v>0</v>
      </c>
      <c r="AJ26" s="93" t="n">
        <f aca="false">PAISAGISMO!E33</f>
        <v>0</v>
      </c>
      <c r="AK26" s="93" t="n">
        <f aca="false">PAISAGISMO!E34</f>
        <v>0</v>
      </c>
      <c r="AL26" s="93" t="n">
        <f aca="false">PAISAGISMO!E35</f>
        <v>0</v>
      </c>
      <c r="AM26" s="93" t="n">
        <f aca="false">PAISAGISMO!E36</f>
        <v>0</v>
      </c>
      <c r="AN26" s="93" t="n">
        <f aca="false">PAISAGISMO!E37</f>
        <v>0</v>
      </c>
      <c r="AO26" s="93" t="n">
        <f aca="false">PAISAGISMO!E38</f>
        <v>0</v>
      </c>
      <c r="AP26" s="93" t="n">
        <f aca="false">PAISAGISMO!E39</f>
        <v>0</v>
      </c>
      <c r="AQ26" s="93" t="n">
        <f aca="false">PAISAGISMO!E40</f>
        <v>0</v>
      </c>
      <c r="AR26" s="93" t="n">
        <f aca="false">PAISAGISMO!E41</f>
        <v>0</v>
      </c>
      <c r="AS26" s="93" t="n">
        <f aca="false">PAISAGISMO!E42</f>
        <v>0</v>
      </c>
      <c r="AT26" s="93" t="n">
        <f aca="false">PAISAGISMO!E43</f>
        <v>0</v>
      </c>
      <c r="AU26" s="93" t="n">
        <f aca="false">PAISAGISMO!E44</f>
        <v>0</v>
      </c>
      <c r="AV26" s="93" t="n">
        <f aca="false">PAISAGISMO!E45</f>
        <v>0</v>
      </c>
      <c r="AW26" s="93" t="n">
        <f aca="false">PAISAGISMO!E46</f>
        <v>0</v>
      </c>
      <c r="AX26" s="93" t="n">
        <f aca="false">PAISAGISMO!E47</f>
        <v>0</v>
      </c>
      <c r="AY26" s="93" t="n">
        <f aca="false">PAISAGISMO!E48</f>
        <v>0</v>
      </c>
      <c r="AZ26" s="93" t="n">
        <f aca="false">PAISAGISMO!E49</f>
        <v>0</v>
      </c>
      <c r="BA26" s="93" t="n">
        <f aca="false">PAISAGISMO!E50</f>
        <v>294.578216037674</v>
      </c>
      <c r="BB26" s="93" t="n">
        <f aca="false">PAISAGISMO!E51</f>
        <v>270.259451128262</v>
      </c>
      <c r="BC26" s="93" t="n">
        <f aca="false">PAISAGISMO!E52</f>
        <v>208.77427957355</v>
      </c>
      <c r="BD26" s="93" t="n">
        <f aca="false">PAISAGISMO!E53</f>
        <v>96.1738260741519</v>
      </c>
      <c r="BE26" s="93" t="n">
        <f aca="false">PAISAGISMO!E54</f>
        <v>47.9033715107136</v>
      </c>
      <c r="BF26" s="93" t="n">
        <f aca="false">PAISAGISMO!E55</f>
        <v>0</v>
      </c>
      <c r="BG26" s="93" t="n">
        <f aca="false">PAISAGISMO!E56</f>
        <v>0</v>
      </c>
      <c r="BH26" s="93" t="n">
        <f aca="false">PAISAGISMO!E57</f>
        <v>0</v>
      </c>
      <c r="BI26" s="93" t="n">
        <f aca="false">PAISAGISMO!E58</f>
        <v>0</v>
      </c>
      <c r="BJ26" s="93" t="n">
        <f aca="false">PAISAGISMO!E59</f>
        <v>0</v>
      </c>
      <c r="BK26" s="93" t="n">
        <f aca="false">PAISAGISMO!E60</f>
        <v>0</v>
      </c>
      <c r="BL26" s="93" t="n">
        <f aca="false">PAISAGISMO!E61</f>
        <v>0</v>
      </c>
      <c r="BM26" s="93" t="n">
        <f aca="false">PAISAGISMO!E62</f>
        <v>0</v>
      </c>
      <c r="BN26" s="93" t="n">
        <f aca="false">PAISAGISMO!E63</f>
        <v>0</v>
      </c>
      <c r="BO26" s="93" t="n">
        <f aca="false">PAISAGISMO!E64</f>
        <v>0</v>
      </c>
      <c r="BP26" s="93" t="n">
        <f aca="false">PAISAGISMO!E65</f>
        <v>0</v>
      </c>
      <c r="BQ26" s="93" t="n">
        <f aca="false">PAISAGISMO!E66</f>
        <v>0</v>
      </c>
      <c r="BR26" s="93" t="n">
        <f aca="false">PAISAGISMO!E67</f>
        <v>0</v>
      </c>
      <c r="BS26" s="93" t="n">
        <f aca="false">PAISAGISMO!E68</f>
        <v>0</v>
      </c>
      <c r="BT26" s="93" t="n">
        <f aca="false">PAISAGISMO!E69</f>
        <v>0</v>
      </c>
      <c r="BU26" s="93" t="n">
        <f aca="false">PAISAGISMO!E70</f>
        <v>0</v>
      </c>
      <c r="BV26" s="93" t="n">
        <f aca="false">PAISAGISMO!E71</f>
        <v>0</v>
      </c>
      <c r="BW26" s="93" t="n">
        <f aca="false">PAISAGISMO!E72</f>
        <v>0</v>
      </c>
      <c r="BX26" s="93" t="n">
        <f aca="false">PAISAGISMO!E73</f>
        <v>0</v>
      </c>
      <c r="BY26" s="93" t="n">
        <f aca="false">PAISAGISMO!E74</f>
        <v>0</v>
      </c>
      <c r="BZ26" s="93" t="n">
        <f aca="false">PAISAGISMO!E75</f>
        <v>0</v>
      </c>
      <c r="CA26" s="93" t="n">
        <f aca="false">PAISAGISMO!E76</f>
        <v>0</v>
      </c>
    </row>
    <row r="27" customFormat="false" ht="15" hidden="false" customHeight="false" outlineLevel="0" collapsed="false">
      <c r="A27" s="55" t="s">
        <v>305</v>
      </c>
      <c r="B27" s="55" t="s">
        <v>334</v>
      </c>
      <c r="C27" s="55" t="s">
        <v>209</v>
      </c>
      <c r="D27" s="56" t="n">
        <f aca="false">PAVIMENTAÇÃO!$K$5</f>
        <v>87.856614</v>
      </c>
      <c r="E27" s="45" t="n">
        <f aca="false">SUM(H27:CA27)</f>
        <v>87.8218716819027</v>
      </c>
      <c r="F27" s="45" t="n">
        <f aca="false">IF(D27="","",D27-E27)</f>
        <v>0.0347423180972584</v>
      </c>
      <c r="H27" s="93" t="n">
        <f aca="false">PAVIMENTAÇÃO!E5</f>
        <v>0</v>
      </c>
      <c r="I27" s="93" t="n">
        <f aca="false">PAVIMENTAÇÃO!E6</f>
        <v>0</v>
      </c>
      <c r="J27" s="93" t="n">
        <f aca="false">PAVIMENTAÇÃO!E7</f>
        <v>0</v>
      </c>
      <c r="K27" s="93" t="n">
        <f aca="false">PAVIMENTAÇÃO!E8</f>
        <v>0</v>
      </c>
      <c r="L27" s="93" t="n">
        <f aca="false">PAVIMENTAÇÃO!E9</f>
        <v>0</v>
      </c>
      <c r="M27" s="93" t="n">
        <f aca="false">PAVIMENTAÇÃO!E10</f>
        <v>0</v>
      </c>
      <c r="N27" s="93" t="n">
        <f aca="false">PAVIMENTAÇÃO!E11</f>
        <v>0</v>
      </c>
      <c r="O27" s="93" t="n">
        <f aca="false">PAVIMENTAÇÃO!E12</f>
        <v>0</v>
      </c>
      <c r="P27" s="93" t="n">
        <f aca="false">PAVIMENTAÇÃO!E13</f>
        <v>0</v>
      </c>
      <c r="Q27" s="93" t="n">
        <f aca="false">PAVIMENTAÇÃO!E14</f>
        <v>0</v>
      </c>
      <c r="R27" s="93" t="n">
        <f aca="false">PAVIMENTAÇÃO!E15</f>
        <v>0</v>
      </c>
      <c r="S27" s="93" t="n">
        <f aca="false">PAVIMENTAÇÃO!E16</f>
        <v>0</v>
      </c>
      <c r="T27" s="93" t="n">
        <f aca="false">PAVIMENTAÇÃO!E17</f>
        <v>0</v>
      </c>
      <c r="U27" s="93" t="n">
        <f aca="false">PAVIMENTAÇÃO!E18</f>
        <v>0</v>
      </c>
      <c r="V27" s="93" t="n">
        <f aca="false">PAVIMENTAÇÃO!E19</f>
        <v>0</v>
      </c>
      <c r="W27" s="93" t="n">
        <f aca="false">PAVIMENTAÇÃO!E20</f>
        <v>0</v>
      </c>
      <c r="X27" s="93" t="n">
        <f aca="false">PAVIMENTAÇÃO!E21</f>
        <v>0</v>
      </c>
      <c r="Y27" s="93" t="n">
        <f aca="false">PAVIMENTAÇÃO!E22</f>
        <v>0</v>
      </c>
      <c r="Z27" s="93" t="n">
        <f aca="false">PAVIMENTAÇÃO!E23</f>
        <v>0</v>
      </c>
      <c r="AA27" s="93" t="n">
        <f aca="false">PAVIMENTAÇÃO!E24</f>
        <v>0</v>
      </c>
      <c r="AB27" s="93" t="n">
        <f aca="false">PAVIMENTAÇÃO!E25</f>
        <v>0</v>
      </c>
      <c r="AC27" s="93" t="n">
        <f aca="false">PAVIMENTAÇÃO!E26</f>
        <v>0</v>
      </c>
      <c r="AD27" s="93" t="n">
        <f aca="false">PAVIMENTAÇÃO!E27</f>
        <v>0</v>
      </c>
      <c r="AE27" s="93" t="n">
        <f aca="false">PAVIMENTAÇÃO!E28</f>
        <v>0</v>
      </c>
      <c r="AF27" s="93" t="n">
        <f aca="false">PAVIMENTAÇÃO!E29</f>
        <v>0</v>
      </c>
      <c r="AG27" s="93" t="n">
        <f aca="false">PAVIMENTAÇÃO!E30</f>
        <v>0</v>
      </c>
      <c r="AH27" s="93" t="n">
        <f aca="false">PAVIMENTAÇÃO!E31</f>
        <v>0</v>
      </c>
      <c r="AI27" s="93" t="n">
        <f aca="false">PAVIMENTAÇÃO!E32</f>
        <v>0</v>
      </c>
      <c r="AJ27" s="93" t="n">
        <f aca="false">PAVIMENTAÇÃO!E33</f>
        <v>0</v>
      </c>
      <c r="AK27" s="93" t="n">
        <f aca="false">PAVIMENTAÇÃO!E34</f>
        <v>0</v>
      </c>
      <c r="AL27" s="93" t="n">
        <f aca="false">PAVIMENTAÇÃO!E35</f>
        <v>0</v>
      </c>
      <c r="AM27" s="93" t="n">
        <f aca="false">PAVIMENTAÇÃO!E36</f>
        <v>0</v>
      </c>
      <c r="AN27" s="93" t="n">
        <f aca="false">PAVIMENTAÇÃO!E37</f>
        <v>0</v>
      </c>
      <c r="AO27" s="93" t="n">
        <f aca="false">PAVIMENTAÇÃO!E38</f>
        <v>0</v>
      </c>
      <c r="AP27" s="93" t="n">
        <f aca="false">PAVIMENTAÇÃO!E39</f>
        <v>0</v>
      </c>
      <c r="AQ27" s="93" t="n">
        <f aca="false">PAVIMENTAÇÃO!E40</f>
        <v>0</v>
      </c>
      <c r="AR27" s="93" t="n">
        <f aca="false">PAVIMENTAÇÃO!E41</f>
        <v>0</v>
      </c>
      <c r="AS27" s="93" t="n">
        <f aca="false">PAVIMENTAÇÃO!E42</f>
        <v>13.3050113219722</v>
      </c>
      <c r="AT27" s="93" t="n">
        <f aca="false">PAVIMENTAÇÃO!E43</f>
        <v>27.9449191356495</v>
      </c>
      <c r="AU27" s="93" t="n">
        <f aca="false">PAVIMENTAÇÃO!E44</f>
        <v>27.9449191356495</v>
      </c>
      <c r="AV27" s="93" t="n">
        <f aca="false">PAVIMENTAÇÃO!E45</f>
        <v>18.6270220886316</v>
      </c>
      <c r="AW27" s="93" t="n">
        <f aca="false">PAVIMENTAÇÃO!E46</f>
        <v>0</v>
      </c>
      <c r="AX27" s="93" t="n">
        <f aca="false">PAVIMENTAÇÃO!E47</f>
        <v>0</v>
      </c>
      <c r="AY27" s="93" t="n">
        <f aca="false">PAVIMENTAÇÃO!E48</f>
        <v>0</v>
      </c>
      <c r="AZ27" s="93" t="n">
        <f aca="false">PAVIMENTAÇÃO!E49</f>
        <v>0</v>
      </c>
      <c r="BA27" s="93" t="n">
        <f aca="false">PAVIMENTAÇÃO!E50</f>
        <v>0</v>
      </c>
      <c r="BB27" s="93" t="n">
        <f aca="false">PAVIMENTAÇÃO!E51</f>
        <v>0</v>
      </c>
      <c r="BC27" s="93" t="n">
        <f aca="false">PAVIMENTAÇÃO!E52</f>
        <v>0</v>
      </c>
      <c r="BD27" s="93" t="n">
        <f aca="false">PAVIMENTAÇÃO!E53</f>
        <v>0</v>
      </c>
      <c r="BE27" s="93" t="n">
        <f aca="false">PAVIMENTAÇÃO!E54</f>
        <v>0</v>
      </c>
      <c r="BF27" s="93" t="n">
        <f aca="false">PAVIMENTAÇÃO!E55</f>
        <v>0</v>
      </c>
      <c r="BG27" s="93" t="n">
        <f aca="false">PAVIMENTAÇÃO!E56</f>
        <v>0</v>
      </c>
      <c r="BH27" s="93" t="n">
        <f aca="false">PAVIMENTAÇÃO!E57</f>
        <v>0</v>
      </c>
      <c r="BI27" s="93" t="n">
        <f aca="false">PAVIMENTAÇÃO!E58</f>
        <v>0</v>
      </c>
      <c r="BJ27" s="93" t="n">
        <f aca="false">PAVIMENTAÇÃO!E59</f>
        <v>0</v>
      </c>
      <c r="BK27" s="93" t="n">
        <f aca="false">PAVIMENTAÇÃO!E60</f>
        <v>0</v>
      </c>
      <c r="BL27" s="93" t="n">
        <f aca="false">PAVIMENTAÇÃO!E61</f>
        <v>0</v>
      </c>
      <c r="BM27" s="93" t="n">
        <f aca="false">PAVIMENTAÇÃO!E62</f>
        <v>0</v>
      </c>
      <c r="BN27" s="93" t="n">
        <f aca="false">PAVIMENTAÇÃO!E63</f>
        <v>0</v>
      </c>
      <c r="BO27" s="93" t="n">
        <f aca="false">PAVIMENTAÇÃO!E64</f>
        <v>0</v>
      </c>
      <c r="BP27" s="93" t="n">
        <f aca="false">PAVIMENTAÇÃO!E65</f>
        <v>0</v>
      </c>
      <c r="BQ27" s="93" t="n">
        <f aca="false">PAVIMENTAÇÃO!E66</f>
        <v>0</v>
      </c>
      <c r="BR27" s="93" t="n">
        <f aca="false">PAVIMENTAÇÃO!E67</f>
        <v>0</v>
      </c>
      <c r="BS27" s="93" t="n">
        <f aca="false">PAVIMENTAÇÃO!E68</f>
        <v>0</v>
      </c>
      <c r="BT27" s="93" t="n">
        <f aca="false">PAVIMENTAÇÃO!E69</f>
        <v>0</v>
      </c>
      <c r="BU27" s="93" t="n">
        <f aca="false">PAVIMENTAÇÃO!E70</f>
        <v>0</v>
      </c>
      <c r="BV27" s="93" t="n">
        <f aca="false">PAVIMENTAÇÃO!E71</f>
        <v>0</v>
      </c>
      <c r="BW27" s="93" t="n">
        <f aca="false">PAVIMENTAÇÃO!E72</f>
        <v>0</v>
      </c>
      <c r="BX27" s="93" t="n">
        <f aca="false">PAVIMENTAÇÃO!E73</f>
        <v>0</v>
      </c>
      <c r="BY27" s="93" t="n">
        <f aca="false">PAVIMENTAÇÃO!E74</f>
        <v>0</v>
      </c>
      <c r="BZ27" s="93" t="n">
        <f aca="false">PAVIMENTAÇÃO!E75</f>
        <v>0</v>
      </c>
      <c r="CA27" s="93" t="n">
        <f aca="false">PAVIMENTAÇÃO!E76</f>
        <v>0</v>
      </c>
    </row>
    <row r="28" customFormat="false" ht="15" hidden="false" customHeight="false" outlineLevel="0" collapsed="false">
      <c r="A28" s="55" t="s">
        <v>305</v>
      </c>
      <c r="B28" s="55" t="s">
        <v>335</v>
      </c>
      <c r="C28" s="55" t="s">
        <v>224</v>
      </c>
      <c r="D28" s="56" t="n">
        <f aca="false">PINTURA!$K$5</f>
        <v>3021.886086</v>
      </c>
      <c r="E28" s="45" t="n">
        <f aca="false">SUM(H28:CA28)</f>
        <v>3020.69110109364</v>
      </c>
      <c r="F28" s="45" t="n">
        <f aca="false">IF(D28="","",D28-E28)</f>
        <v>1.19498490635579</v>
      </c>
      <c r="H28" s="93" t="n">
        <f aca="false">PINTURA!E5</f>
        <v>0</v>
      </c>
      <c r="I28" s="93" t="n">
        <f aca="false">PINTURA!E6</f>
        <v>0</v>
      </c>
      <c r="J28" s="93" t="n">
        <f aca="false">PINTURA!E7</f>
        <v>0</v>
      </c>
      <c r="K28" s="93" t="n">
        <f aca="false">PINTURA!E8</f>
        <v>0</v>
      </c>
      <c r="L28" s="93" t="n">
        <f aca="false">PINTURA!E9</f>
        <v>0</v>
      </c>
      <c r="M28" s="93" t="n">
        <f aca="false">PINTURA!E10</f>
        <v>0</v>
      </c>
      <c r="N28" s="93" t="n">
        <f aca="false">PINTURA!E11</f>
        <v>0</v>
      </c>
      <c r="O28" s="93" t="n">
        <f aca="false">PINTURA!E12</f>
        <v>0</v>
      </c>
      <c r="P28" s="93" t="n">
        <f aca="false">PINTURA!E13</f>
        <v>0</v>
      </c>
      <c r="Q28" s="93" t="n">
        <f aca="false">PINTURA!E14</f>
        <v>0</v>
      </c>
      <c r="R28" s="93" t="n">
        <f aca="false">PINTURA!E15</f>
        <v>0</v>
      </c>
      <c r="S28" s="93" t="n">
        <f aca="false">PINTURA!E16</f>
        <v>0</v>
      </c>
      <c r="T28" s="93" t="n">
        <f aca="false">PINTURA!E17</f>
        <v>0</v>
      </c>
      <c r="U28" s="93" t="n">
        <f aca="false">PINTURA!E18</f>
        <v>0</v>
      </c>
      <c r="V28" s="93" t="n">
        <f aca="false">PINTURA!E19</f>
        <v>0</v>
      </c>
      <c r="W28" s="93" t="n">
        <f aca="false">PINTURA!E20</f>
        <v>0</v>
      </c>
      <c r="X28" s="93" t="n">
        <f aca="false">PINTURA!E21</f>
        <v>0</v>
      </c>
      <c r="Y28" s="93" t="n">
        <f aca="false">PINTURA!E22</f>
        <v>0</v>
      </c>
      <c r="Z28" s="93" t="n">
        <f aca="false">PINTURA!E23</f>
        <v>0</v>
      </c>
      <c r="AA28" s="93" t="n">
        <f aca="false">PINTURA!E24</f>
        <v>0</v>
      </c>
      <c r="AB28" s="93" t="n">
        <f aca="false">PINTURA!E25</f>
        <v>0</v>
      </c>
      <c r="AC28" s="93" t="n">
        <f aca="false">PINTURA!E26</f>
        <v>0</v>
      </c>
      <c r="AD28" s="93" t="n">
        <f aca="false">PINTURA!E27</f>
        <v>0</v>
      </c>
      <c r="AE28" s="93" t="n">
        <f aca="false">PINTURA!E28</f>
        <v>0</v>
      </c>
      <c r="AF28" s="93" t="n">
        <f aca="false">PINTURA!E29</f>
        <v>0</v>
      </c>
      <c r="AG28" s="93" t="n">
        <f aca="false">PINTURA!E30</f>
        <v>0</v>
      </c>
      <c r="AH28" s="93" t="n">
        <f aca="false">PINTURA!E31</f>
        <v>0</v>
      </c>
      <c r="AI28" s="93" t="n">
        <f aca="false">PINTURA!E32</f>
        <v>0</v>
      </c>
      <c r="AJ28" s="93" t="n">
        <f aca="false">PINTURA!E33</f>
        <v>4.93557425639993</v>
      </c>
      <c r="AK28" s="93" t="n">
        <f aca="false">PINTURA!E34</f>
        <v>9.47097159354012</v>
      </c>
      <c r="AL28" s="93" t="n">
        <f aca="false">PINTURA!E35</f>
        <v>15.5626303597803</v>
      </c>
      <c r="AM28" s="93" t="n">
        <f aca="false">PINTURA!E36</f>
        <v>29.30220128697</v>
      </c>
      <c r="AN28" s="93" t="n">
        <f aca="false">PINTURA!E37</f>
        <v>27.2568302707802</v>
      </c>
      <c r="AO28" s="93" t="n">
        <f aca="false">PINTURA!E38</f>
        <v>38.4174582779703</v>
      </c>
      <c r="AP28" s="93" t="n">
        <f aca="false">PINTURA!E39</f>
        <v>39.7069297379701</v>
      </c>
      <c r="AQ28" s="93" t="n">
        <f aca="false">PINTURA!E40</f>
        <v>44.6425120287605</v>
      </c>
      <c r="AR28" s="93" t="n">
        <f aca="false">PINTURA!E41</f>
        <v>96.4126853340177</v>
      </c>
      <c r="AS28" s="93" t="n">
        <f aca="false">PINTURA!E42</f>
        <v>238.730704083691</v>
      </c>
      <c r="AT28" s="93" t="n">
        <f aca="false">PINTURA!E43</f>
        <v>255.538343586752</v>
      </c>
      <c r="AU28" s="93" t="n">
        <f aca="false">PINTURA!E44</f>
        <v>214.141757435131</v>
      </c>
      <c r="AV28" s="93" t="n">
        <f aca="false">PINTURA!E45</f>
        <v>257.094605015851</v>
      </c>
      <c r="AW28" s="93" t="n">
        <f aca="false">PINTURA!E46</f>
        <v>134.149847669881</v>
      </c>
      <c r="AX28" s="93" t="n">
        <f aca="false">PINTURA!E47</f>
        <v>127.319209773727</v>
      </c>
      <c r="AY28" s="93" t="n">
        <f aca="false">PINTURA!E48</f>
        <v>127.319209773727</v>
      </c>
      <c r="AZ28" s="93" t="n">
        <f aca="false">PINTURA!E49</f>
        <v>127.319209773727</v>
      </c>
      <c r="BA28" s="93" t="n">
        <f aca="false">PINTURA!E50</f>
        <v>127.319209773727</v>
      </c>
      <c r="BB28" s="93" t="n">
        <f aca="false">PINTURA!E51</f>
        <v>127.319209773727</v>
      </c>
      <c r="BC28" s="93" t="n">
        <f aca="false">PINTURA!E52</f>
        <v>127.319209773727</v>
      </c>
      <c r="BD28" s="93" t="n">
        <f aca="false">PINTURA!E53</f>
        <v>127.319209773727</v>
      </c>
      <c r="BE28" s="93" t="n">
        <f aca="false">PINTURA!E54</f>
        <v>127.319209773727</v>
      </c>
      <c r="BF28" s="93" t="n">
        <f aca="false">PINTURA!E55</f>
        <v>127.319209773727</v>
      </c>
      <c r="BG28" s="93" t="n">
        <f aca="false">PINTURA!E56</f>
        <v>127.319209773727</v>
      </c>
      <c r="BH28" s="93" t="n">
        <f aca="false">PINTURA!E57</f>
        <v>127.319209773727</v>
      </c>
      <c r="BI28" s="93" t="n">
        <f aca="false">PINTURA!E58</f>
        <v>214.816742645155</v>
      </c>
      <c r="BJ28" s="93" t="n">
        <f aca="false">PINTURA!E59</f>
        <v>0</v>
      </c>
      <c r="BK28" s="93" t="n">
        <f aca="false">PINTURA!E60</f>
        <v>0</v>
      </c>
      <c r="BL28" s="93" t="n">
        <f aca="false">PINTURA!E61</f>
        <v>0</v>
      </c>
      <c r="BM28" s="93" t="n">
        <f aca="false">PINTURA!E62</f>
        <v>0</v>
      </c>
      <c r="BN28" s="93" t="n">
        <f aca="false">PINTURA!E63</f>
        <v>0</v>
      </c>
      <c r="BO28" s="93" t="n">
        <f aca="false">PINTURA!E64</f>
        <v>0</v>
      </c>
      <c r="BP28" s="93" t="n">
        <f aca="false">PINTURA!E65</f>
        <v>0</v>
      </c>
      <c r="BQ28" s="93" t="n">
        <f aca="false">PINTURA!E66</f>
        <v>0</v>
      </c>
      <c r="BR28" s="93" t="n">
        <f aca="false">PINTURA!E67</f>
        <v>0</v>
      </c>
      <c r="BS28" s="93" t="n">
        <f aca="false">PINTURA!E68</f>
        <v>0</v>
      </c>
      <c r="BT28" s="93" t="n">
        <f aca="false">PINTURA!E69</f>
        <v>0</v>
      </c>
      <c r="BU28" s="93" t="n">
        <f aca="false">PINTURA!E70</f>
        <v>0</v>
      </c>
      <c r="BV28" s="93" t="n">
        <f aca="false">PINTURA!E71</f>
        <v>0</v>
      </c>
      <c r="BW28" s="93" t="n">
        <f aca="false">PINTURA!E72</f>
        <v>0</v>
      </c>
      <c r="BX28" s="93" t="n">
        <f aca="false">PINTURA!E73</f>
        <v>0</v>
      </c>
      <c r="BY28" s="93" t="n">
        <f aca="false">PINTURA!E74</f>
        <v>0</v>
      </c>
      <c r="BZ28" s="93" t="n">
        <f aca="false">PINTURA!E75</f>
        <v>0</v>
      </c>
      <c r="CA28" s="93" t="n">
        <f aca="false">PINTURA!E76</f>
        <v>0</v>
      </c>
    </row>
    <row r="29" customFormat="false" ht="15" hidden="false" customHeight="false" outlineLevel="0" collapsed="false">
      <c r="A29" s="55" t="s">
        <v>305</v>
      </c>
      <c r="B29" s="55" t="s">
        <v>336</v>
      </c>
      <c r="C29" s="55" t="s">
        <v>63</v>
      </c>
      <c r="D29" s="56" t="n">
        <f aca="false">PROJETO!$K$5</f>
        <v>1972.53897</v>
      </c>
      <c r="E29" s="45" t="n">
        <f aca="false">SUM(H29:CA29)</f>
        <v>2047.12936818156</v>
      </c>
      <c r="F29" s="45" t="n">
        <f aca="false">IF(D29="","",D29-E29)</f>
        <v>-74.5903981815618</v>
      </c>
      <c r="H29" s="93" t="n">
        <f aca="false">PROJETO!E5</f>
        <v>373.966007423308</v>
      </c>
      <c r="I29" s="93" t="n">
        <f aca="false">PROJETO!E6</f>
        <v>9.33785013634233</v>
      </c>
      <c r="J29" s="93" t="n">
        <f aca="false">PROJETO!E7</f>
        <v>224.754386488041</v>
      </c>
      <c r="K29" s="93" t="n">
        <f aca="false">PROJETO!E8</f>
        <v>80.9391744301103</v>
      </c>
      <c r="L29" s="93" t="n">
        <f aca="false">PROJETO!E9</f>
        <v>128.417678237039</v>
      </c>
      <c r="M29" s="93" t="n">
        <f aca="false">PROJETO!E10</f>
        <v>169.95929748927</v>
      </c>
      <c r="N29" s="93" t="n">
        <f aca="false">PROJETO!E11</f>
        <v>54.300226175877</v>
      </c>
      <c r="O29" s="93" t="n">
        <f aca="false">PROJETO!E12</f>
        <v>38.2796613880052</v>
      </c>
      <c r="P29" s="93" t="n">
        <f aca="false">PROJETO!E13</f>
        <v>73.4694576997237</v>
      </c>
      <c r="Q29" s="93" t="n">
        <f aca="false">PROJETO!E14</f>
        <v>25.6009737870124</v>
      </c>
      <c r="R29" s="93" t="n">
        <f aca="false">PROJETO!E15</f>
        <v>48.3343559486762</v>
      </c>
      <c r="S29" s="93" t="n">
        <f aca="false">PROJETO!E16</f>
        <v>96.8832105532406</v>
      </c>
      <c r="T29" s="93" t="n">
        <f aca="false">PROJETO!E17</f>
        <v>60.1001660205787</v>
      </c>
      <c r="U29" s="93" t="n">
        <f aca="false">PROJETO!E18</f>
        <v>114.027247388112</v>
      </c>
      <c r="V29" s="93" t="n">
        <f aca="false">PROJETO!E19</f>
        <v>74.9814950813434</v>
      </c>
      <c r="W29" s="93" t="n">
        <f aca="false">PROJETO!E20</f>
        <v>37.36426388792</v>
      </c>
      <c r="X29" s="93" t="n">
        <f aca="false">PROJETO!E21</f>
        <v>115.56980023054</v>
      </c>
      <c r="Y29" s="93" t="n">
        <f aca="false">PROJETO!E22</f>
        <v>0.727948091398802</v>
      </c>
      <c r="Z29" s="93" t="n">
        <f aca="false">PROJETO!E23</f>
        <v>0.722294538438173</v>
      </c>
      <c r="AA29" s="93" t="n">
        <f aca="false">PROJETO!E24</f>
        <v>13.6117882913404</v>
      </c>
      <c r="AB29" s="93" t="n">
        <f aca="false">PROJETO!E25</f>
        <v>25.967311003486</v>
      </c>
      <c r="AC29" s="93" t="n">
        <f aca="false">PROJETO!E26</f>
        <v>48.5902296556425</v>
      </c>
      <c r="AD29" s="93" t="n">
        <f aca="false">PROJETO!E27</f>
        <v>44.5964226001627</v>
      </c>
      <c r="AE29" s="93" t="n">
        <f aca="false">PROJETO!E28</f>
        <v>44.5964226001627</v>
      </c>
      <c r="AF29" s="93" t="n">
        <f aca="false">PROJETO!E29</f>
        <v>6.61498736428213</v>
      </c>
      <c r="AG29" s="93" t="n">
        <f aca="false">PROJETO!E30</f>
        <v>6.61498736428213</v>
      </c>
      <c r="AH29" s="93" t="n">
        <f aca="false">PROJETO!E31</f>
        <v>0.490560648601789</v>
      </c>
      <c r="AI29" s="93" t="n">
        <f aca="false">PROJETO!E32</f>
        <v>0.490560648601789</v>
      </c>
      <c r="AJ29" s="93" t="n">
        <f aca="false">PROJETO!E33</f>
        <v>0.490560648601789</v>
      </c>
      <c r="AK29" s="93" t="n">
        <f aca="false">PROJETO!E34</f>
        <v>0.490560648601789</v>
      </c>
      <c r="AL29" s="93" t="n">
        <f aca="false">PROJETO!E35</f>
        <v>0.490560648601789</v>
      </c>
      <c r="AM29" s="93" t="n">
        <f aca="false">PROJETO!E36</f>
        <v>0.490560648601789</v>
      </c>
      <c r="AN29" s="93" t="n">
        <f aca="false">PROJETO!E37</f>
        <v>0.490560648601789</v>
      </c>
      <c r="AO29" s="93" t="n">
        <f aca="false">PROJETO!E38</f>
        <v>0.490560648601789</v>
      </c>
      <c r="AP29" s="93" t="n">
        <f aca="false">PROJETO!E39</f>
        <v>0.490560648601789</v>
      </c>
      <c r="AQ29" s="93" t="n">
        <f aca="false">PROJETO!E40</f>
        <v>0.490560648601789</v>
      </c>
      <c r="AR29" s="93" t="n">
        <f aca="false">PROJETO!E41</f>
        <v>0.490560648601789</v>
      </c>
      <c r="AS29" s="93" t="n">
        <f aca="false">PROJETO!E42</f>
        <v>0.490560648601789</v>
      </c>
      <c r="AT29" s="93" t="n">
        <f aca="false">PROJETO!E43</f>
        <v>0.490560648601789</v>
      </c>
      <c r="AU29" s="93" t="n">
        <f aca="false">PROJETO!E44</f>
        <v>0.490560648601789</v>
      </c>
      <c r="AV29" s="93" t="n">
        <f aca="false">PROJETO!E45</f>
        <v>0.490560648601789</v>
      </c>
      <c r="AW29" s="93" t="n">
        <f aca="false">PROJETO!E46</f>
        <v>0.490560648601789</v>
      </c>
      <c r="AX29" s="93" t="n">
        <f aca="false">PROJETO!E47</f>
        <v>0.490560648601789</v>
      </c>
      <c r="AY29" s="93" t="n">
        <f aca="false">PROJETO!E48</f>
        <v>0.490560648601789</v>
      </c>
      <c r="AZ29" s="93" t="n">
        <f aca="false">PROJETO!E49</f>
        <v>0.490560648601789</v>
      </c>
      <c r="BA29" s="93" t="n">
        <f aca="false">PROJETO!E50</f>
        <v>0.490560648601789</v>
      </c>
      <c r="BB29" s="93" t="n">
        <f aca="false">PROJETO!E51</f>
        <v>0.490560648601789</v>
      </c>
      <c r="BC29" s="93" t="n">
        <f aca="false">PROJETO!E52</f>
        <v>118.009390037987</v>
      </c>
      <c r="BD29" s="93" t="n">
        <f aca="false">PROJETO!E53</f>
        <v>0.490560648601789</v>
      </c>
      <c r="BE29" s="93" t="n">
        <f aca="false">PROJETO!E54</f>
        <v>0</v>
      </c>
      <c r="BF29" s="93" t="n">
        <f aca="false">PROJETO!E55</f>
        <v>0</v>
      </c>
      <c r="BG29" s="93" t="n">
        <f aca="false">PROJETO!E56</f>
        <v>0</v>
      </c>
      <c r="BH29" s="93" t="n">
        <f aca="false">PROJETO!E57</f>
        <v>0</v>
      </c>
      <c r="BI29" s="93" t="n">
        <f aca="false">PROJETO!E58</f>
        <v>0</v>
      </c>
      <c r="BJ29" s="93" t="n">
        <f aca="false">PROJETO!E59</f>
        <v>0</v>
      </c>
      <c r="BK29" s="93" t="n">
        <f aca="false">PROJETO!E60</f>
        <v>0</v>
      </c>
      <c r="BL29" s="93" t="n">
        <f aca="false">PROJETO!E61</f>
        <v>0</v>
      </c>
      <c r="BM29" s="93" t="n">
        <f aca="false">PROJETO!E62</f>
        <v>0</v>
      </c>
      <c r="BN29" s="93" t="n">
        <f aca="false">PROJETO!E63</f>
        <v>0</v>
      </c>
      <c r="BO29" s="93" t="n">
        <f aca="false">PROJETO!E64</f>
        <v>0</v>
      </c>
      <c r="BP29" s="93" t="n">
        <f aca="false">PROJETO!E65</f>
        <v>0</v>
      </c>
      <c r="BQ29" s="93" t="n">
        <f aca="false">PROJETO!E66</f>
        <v>0</v>
      </c>
      <c r="BR29" s="93" t="n">
        <f aca="false">PROJETO!E67</f>
        <v>0</v>
      </c>
      <c r="BS29" s="93" t="n">
        <f aca="false">PROJETO!E68</f>
        <v>0</v>
      </c>
      <c r="BT29" s="93" t="n">
        <f aca="false">PROJETO!E69</f>
        <v>0</v>
      </c>
      <c r="BU29" s="93" t="n">
        <f aca="false">PROJETO!E70</f>
        <v>0</v>
      </c>
      <c r="BV29" s="93" t="n">
        <f aca="false">PROJETO!E71</f>
        <v>0</v>
      </c>
      <c r="BW29" s="93" t="n">
        <f aca="false">PROJETO!E72</f>
        <v>0</v>
      </c>
      <c r="BX29" s="93" t="n">
        <f aca="false">PROJETO!E73</f>
        <v>0</v>
      </c>
      <c r="BY29" s="93" t="n">
        <f aca="false">PROJETO!E74</f>
        <v>0</v>
      </c>
      <c r="BZ29" s="93" t="n">
        <f aca="false">PROJETO!E75</f>
        <v>0</v>
      </c>
      <c r="CA29" s="93" t="n">
        <f aca="false">PROJETO!E76</f>
        <v>0</v>
      </c>
    </row>
    <row r="30" customFormat="false" ht="15" hidden="false" customHeight="false" outlineLevel="0" collapsed="false">
      <c r="A30" s="55" t="s">
        <v>305</v>
      </c>
      <c r="B30" s="55" t="s">
        <v>337</v>
      </c>
      <c r="C30" s="55" t="s">
        <v>84</v>
      </c>
      <c r="E30" s="45" t="n">
        <f aca="false">SUM(H30:CA30)</f>
        <v>0</v>
      </c>
      <c r="F30" s="45" t="str">
        <f aca="false">IF(D30="","",D30-E30)</f>
        <v/>
      </c>
    </row>
    <row r="31" customFormat="false" ht="15" hidden="false" customHeight="false" outlineLevel="0" collapsed="false">
      <c r="A31" s="55" t="s">
        <v>305</v>
      </c>
      <c r="B31" s="55" t="s">
        <v>338</v>
      </c>
      <c r="C31" s="55" t="s">
        <v>213</v>
      </c>
      <c r="D31" s="56" t="n">
        <f aca="false">'REV. FACHADA'!$K$5</f>
        <v>4155.171665</v>
      </c>
      <c r="E31" s="45" t="n">
        <f aca="false">SUM(H31:CA31)</f>
        <v>4153.52852979183</v>
      </c>
      <c r="F31" s="45" t="n">
        <f aca="false">IF(D31="","",D31-E31)</f>
        <v>1.64313520817268</v>
      </c>
      <c r="H31" s="93" t="n">
        <f aca="false">'REV. FACHADA'!E5</f>
        <v>0</v>
      </c>
      <c r="I31" s="93" t="n">
        <f aca="false">'REV. FACHADA'!E6</f>
        <v>0</v>
      </c>
      <c r="J31" s="93" t="n">
        <f aca="false">'REV. FACHADA'!E7</f>
        <v>0</v>
      </c>
      <c r="K31" s="93" t="n">
        <f aca="false">'REV. FACHADA'!E8</f>
        <v>0</v>
      </c>
      <c r="L31" s="93" t="n">
        <f aca="false">'REV. FACHADA'!E9</f>
        <v>0</v>
      </c>
      <c r="M31" s="93" t="n">
        <f aca="false">'REV. FACHADA'!E10</f>
        <v>0</v>
      </c>
      <c r="N31" s="93" t="n">
        <f aca="false">'REV. FACHADA'!E11</f>
        <v>0</v>
      </c>
      <c r="O31" s="93" t="n">
        <f aca="false">'REV. FACHADA'!E12</f>
        <v>0</v>
      </c>
      <c r="P31" s="93" t="n">
        <f aca="false">'REV. FACHADA'!E13</f>
        <v>0</v>
      </c>
      <c r="Q31" s="93" t="n">
        <f aca="false">'REV. FACHADA'!E14</f>
        <v>0</v>
      </c>
      <c r="R31" s="93" t="n">
        <f aca="false">'REV. FACHADA'!E15</f>
        <v>0</v>
      </c>
      <c r="S31" s="93" t="n">
        <f aca="false">'REV. FACHADA'!E16</f>
        <v>0</v>
      </c>
      <c r="T31" s="93" t="n">
        <f aca="false">'REV. FACHADA'!E17</f>
        <v>0</v>
      </c>
      <c r="U31" s="93" t="n">
        <f aca="false">'REV. FACHADA'!E18</f>
        <v>0</v>
      </c>
      <c r="V31" s="93" t="n">
        <f aca="false">'REV. FACHADA'!E19</f>
        <v>0</v>
      </c>
      <c r="W31" s="93" t="n">
        <f aca="false">'REV. FACHADA'!E20</f>
        <v>0</v>
      </c>
      <c r="X31" s="93" t="n">
        <f aca="false">'REV. FACHADA'!E21</f>
        <v>0</v>
      </c>
      <c r="Y31" s="93" t="n">
        <f aca="false">'REV. FACHADA'!E22</f>
        <v>0</v>
      </c>
      <c r="Z31" s="93" t="n">
        <f aca="false">'REV. FACHADA'!E23</f>
        <v>0</v>
      </c>
      <c r="AA31" s="93" t="n">
        <f aca="false">'REV. FACHADA'!E24</f>
        <v>0</v>
      </c>
      <c r="AB31" s="93" t="n">
        <f aca="false">'REV. FACHADA'!E25</f>
        <v>0</v>
      </c>
      <c r="AC31" s="93" t="n">
        <f aca="false">'REV. FACHADA'!E26</f>
        <v>0</v>
      </c>
      <c r="AD31" s="93" t="n">
        <f aca="false">'REV. FACHADA'!E27</f>
        <v>0</v>
      </c>
      <c r="AE31" s="93" t="n">
        <f aca="false">'REV. FACHADA'!E28</f>
        <v>0</v>
      </c>
      <c r="AF31" s="93" t="n">
        <f aca="false">'REV. FACHADA'!E29</f>
        <v>0</v>
      </c>
      <c r="AG31" s="93" t="n">
        <f aca="false">'REV. FACHADA'!E30</f>
        <v>0</v>
      </c>
      <c r="AH31" s="93" t="n">
        <f aca="false">'REV. FACHADA'!E31</f>
        <v>0</v>
      </c>
      <c r="AI31" s="93" t="n">
        <f aca="false">'REV. FACHADA'!E32</f>
        <v>0</v>
      </c>
      <c r="AJ31" s="93" t="n">
        <f aca="false">'REV. FACHADA'!E33</f>
        <v>0</v>
      </c>
      <c r="AK31" s="93" t="n">
        <f aca="false">'REV. FACHADA'!E34</f>
        <v>0</v>
      </c>
      <c r="AL31" s="93" t="n">
        <f aca="false">'REV. FACHADA'!E35</f>
        <v>0</v>
      </c>
      <c r="AM31" s="93" t="n">
        <f aca="false">'REV. FACHADA'!E36</f>
        <v>0</v>
      </c>
      <c r="AN31" s="93" t="n">
        <f aca="false">'REV. FACHADA'!E37</f>
        <v>0</v>
      </c>
      <c r="AO31" s="93" t="n">
        <f aca="false">'REV. FACHADA'!E38</f>
        <v>97.1925708486184</v>
      </c>
      <c r="AP31" s="93" t="n">
        <f aca="false">'REV. FACHADA'!E39</f>
        <v>267.071881904189</v>
      </c>
      <c r="AQ31" s="93" t="n">
        <f aca="false">'REV. FACHADA'!E40</f>
        <v>328.128753034834</v>
      </c>
      <c r="AR31" s="93" t="n">
        <f aca="false">'REV. FACHADA'!E41</f>
        <v>281.60922994558</v>
      </c>
      <c r="AS31" s="93" t="n">
        <f aca="false">'REV. FACHADA'!E42</f>
        <v>217.229539078847</v>
      </c>
      <c r="AT31" s="93" t="n">
        <f aca="false">'REV. FACHADA'!E43</f>
        <v>208.507133372948</v>
      </c>
      <c r="AU31" s="93" t="n">
        <f aca="false">'REV. FACHADA'!E44</f>
        <v>329.374814334536</v>
      </c>
      <c r="AV31" s="93" t="n">
        <f aca="false">'REV. FACHADA'!E45</f>
        <v>280.363176443215</v>
      </c>
      <c r="AW31" s="93" t="n">
        <f aca="false">'REV. FACHADA'!E46</f>
        <v>233.428304785619</v>
      </c>
      <c r="AX31" s="93" t="n">
        <f aca="false">'REV. FACHADA'!E47</f>
        <v>207.676428438926</v>
      </c>
      <c r="AY31" s="93" t="n">
        <f aca="false">'REV. FACHADA'!E48</f>
        <v>245.473538024943</v>
      </c>
      <c r="AZ31" s="93" t="n">
        <f aca="false">'REV. FACHADA'!E49</f>
        <v>317.329581095211</v>
      </c>
      <c r="BA31" s="93" t="n">
        <f aca="false">'REV. FACHADA'!E50</f>
        <v>484.716777348716</v>
      </c>
      <c r="BB31" s="93" t="n">
        <f aca="false">'REV. FACHADA'!E51</f>
        <v>215.152780642461</v>
      </c>
      <c r="BC31" s="93" t="n">
        <f aca="false">'REV. FACHADA'!E52</f>
        <v>198.123310001667</v>
      </c>
      <c r="BD31" s="93" t="n">
        <f aca="false">'REV. FACHADA'!E53</f>
        <v>137.897143805044</v>
      </c>
      <c r="BE31" s="93" t="n">
        <f aca="false">'REV. FACHADA'!E54</f>
        <v>88.8855137110614</v>
      </c>
      <c r="BF31" s="93" t="n">
        <f aca="false">'REV. FACHADA'!E55</f>
        <v>8.30705713755703</v>
      </c>
      <c r="BG31" s="93" t="n">
        <f aca="false">'REV. FACHADA'!E56</f>
        <v>7.06099583785539</v>
      </c>
      <c r="BH31" s="93" t="n">
        <f aca="false">'REV. FACHADA'!E57</f>
        <v>0</v>
      </c>
      <c r="BI31" s="93" t="n">
        <f aca="false">'REV. FACHADA'!E58</f>
        <v>0</v>
      </c>
      <c r="BJ31" s="93" t="n">
        <f aca="false">'REV. FACHADA'!E59</f>
        <v>0</v>
      </c>
      <c r="BK31" s="93" t="n">
        <f aca="false">'REV. FACHADA'!E60</f>
        <v>0</v>
      </c>
      <c r="BL31" s="93" t="n">
        <f aca="false">'REV. FACHADA'!E61</f>
        <v>0</v>
      </c>
      <c r="BM31" s="93" t="n">
        <f aca="false">'REV. FACHADA'!E62</f>
        <v>0</v>
      </c>
      <c r="BN31" s="93" t="n">
        <f aca="false">'REV. FACHADA'!E63</f>
        <v>0</v>
      </c>
      <c r="BO31" s="93" t="n">
        <f aca="false">'REV. FACHADA'!E64</f>
        <v>0</v>
      </c>
      <c r="BP31" s="93" t="n">
        <f aca="false">'REV. FACHADA'!E65</f>
        <v>0</v>
      </c>
      <c r="BQ31" s="93" t="n">
        <f aca="false">'REV. FACHADA'!E66</f>
        <v>0</v>
      </c>
      <c r="BR31" s="93" t="n">
        <f aca="false">'REV. FACHADA'!E67</f>
        <v>0</v>
      </c>
      <c r="BS31" s="93" t="n">
        <f aca="false">'REV. FACHADA'!E68</f>
        <v>0</v>
      </c>
      <c r="BT31" s="93" t="n">
        <f aca="false">'REV. FACHADA'!E69</f>
        <v>0</v>
      </c>
      <c r="BU31" s="93" t="n">
        <f aca="false">'REV. FACHADA'!E70</f>
        <v>0</v>
      </c>
      <c r="BV31" s="93" t="n">
        <f aca="false">'REV. FACHADA'!E71</f>
        <v>0</v>
      </c>
      <c r="BW31" s="93" t="n">
        <f aca="false">'REV. FACHADA'!E72</f>
        <v>0</v>
      </c>
      <c r="BX31" s="93" t="n">
        <f aca="false">'REV. FACHADA'!E73</f>
        <v>0</v>
      </c>
      <c r="BY31" s="93" t="n">
        <f aca="false">'REV. FACHADA'!E74</f>
        <v>0</v>
      </c>
      <c r="BZ31" s="93" t="n">
        <f aca="false">'REV. FACHADA'!E75</f>
        <v>0</v>
      </c>
      <c r="CA31" s="93" t="n">
        <f aca="false">'REV. FACHADA'!E76</f>
        <v>0</v>
      </c>
    </row>
    <row r="32" customFormat="false" ht="15" hidden="false" customHeight="false" outlineLevel="0" collapsed="false">
      <c r="A32" s="55" t="s">
        <v>305</v>
      </c>
      <c r="B32" s="55" t="s">
        <v>339</v>
      </c>
      <c r="C32" s="55" t="s">
        <v>206</v>
      </c>
      <c r="D32" s="56" t="n">
        <f aca="false">'REV. ACAB'!$K$5</f>
        <v>8549.605448</v>
      </c>
      <c r="E32" s="45" t="n">
        <f aca="false">SUM(H32:CA32)</f>
        <v>8546.22456295837</v>
      </c>
      <c r="F32" s="45" t="n">
        <f aca="false">IF(D32="","",D32-E32)</f>
        <v>3.38088504162624</v>
      </c>
      <c r="H32" s="93" t="n">
        <f aca="false">'REV. ACAB'!E5</f>
        <v>0</v>
      </c>
      <c r="I32" s="93" t="n">
        <f aca="false">'REV. ACAB'!E6</f>
        <v>0</v>
      </c>
      <c r="J32" s="93" t="n">
        <f aca="false">'REV. ACAB'!E7</f>
        <v>0</v>
      </c>
      <c r="K32" s="93" t="n">
        <f aca="false">'REV. ACAB'!E8</f>
        <v>0</v>
      </c>
      <c r="L32" s="93" t="n">
        <f aca="false">'REV. ACAB'!E9</f>
        <v>0</v>
      </c>
      <c r="M32" s="93" t="n">
        <f aca="false">'REV. ACAB'!E10</f>
        <v>0</v>
      </c>
      <c r="N32" s="93" t="n">
        <f aca="false">'REV. ACAB'!E11</f>
        <v>0</v>
      </c>
      <c r="O32" s="93" t="n">
        <f aca="false">'REV. ACAB'!E12</f>
        <v>0</v>
      </c>
      <c r="P32" s="93" t="n">
        <f aca="false">'REV. ACAB'!E13</f>
        <v>0</v>
      </c>
      <c r="Q32" s="93" t="n">
        <f aca="false">'REV. ACAB'!E14</f>
        <v>0</v>
      </c>
      <c r="R32" s="93" t="n">
        <f aca="false">'REV. ACAB'!E15</f>
        <v>0</v>
      </c>
      <c r="S32" s="93" t="n">
        <f aca="false">'REV. ACAB'!E16</f>
        <v>0</v>
      </c>
      <c r="T32" s="93" t="n">
        <f aca="false">'REV. ACAB'!E17</f>
        <v>0</v>
      </c>
      <c r="U32" s="93" t="n">
        <f aca="false">'REV. ACAB'!E18</f>
        <v>0</v>
      </c>
      <c r="V32" s="93" t="n">
        <f aca="false">'REV. ACAB'!E19</f>
        <v>0</v>
      </c>
      <c r="W32" s="93" t="n">
        <f aca="false">'REV. ACAB'!E20</f>
        <v>0</v>
      </c>
      <c r="X32" s="93" t="n">
        <f aca="false">'REV. ACAB'!E21</f>
        <v>0</v>
      </c>
      <c r="Y32" s="93" t="n">
        <f aca="false">'REV. ACAB'!E22</f>
        <v>0</v>
      </c>
      <c r="Z32" s="93" t="n">
        <f aca="false">'REV. ACAB'!E23</f>
        <v>0</v>
      </c>
      <c r="AA32" s="93" t="n">
        <f aca="false">'REV. ACAB'!E24</f>
        <v>0</v>
      </c>
      <c r="AB32" s="93" t="n">
        <f aca="false">'REV. ACAB'!E25</f>
        <v>0</v>
      </c>
      <c r="AC32" s="93" t="n">
        <f aca="false">'REV. ACAB'!E26</f>
        <v>0</v>
      </c>
      <c r="AD32" s="93" t="n">
        <f aca="false">'REV. ACAB'!E27</f>
        <v>0</v>
      </c>
      <c r="AE32" s="93" t="n">
        <f aca="false">'REV. ACAB'!E28</f>
        <v>0</v>
      </c>
      <c r="AF32" s="93" t="n">
        <f aca="false">'REV. ACAB'!E29</f>
        <v>0</v>
      </c>
      <c r="AG32" s="93" t="n">
        <f aca="false">'REV. ACAB'!E30</f>
        <v>0</v>
      </c>
      <c r="AH32" s="93" t="n">
        <f aca="false">'REV. ACAB'!E31</f>
        <v>0</v>
      </c>
      <c r="AI32" s="93" t="n">
        <f aca="false">'REV. ACAB'!E32</f>
        <v>0</v>
      </c>
      <c r="AJ32" s="93" t="n">
        <f aca="false">'REV. ACAB'!E33</f>
        <v>0</v>
      </c>
      <c r="AK32" s="93" t="n">
        <f aca="false">'REV. ACAB'!E34</f>
        <v>0</v>
      </c>
      <c r="AL32" s="93" t="n">
        <f aca="false">'REV. ACAB'!E35</f>
        <v>0</v>
      </c>
      <c r="AM32" s="93" t="n">
        <f aca="false">'REV. ACAB'!E36</f>
        <v>0</v>
      </c>
      <c r="AN32" s="93" t="n">
        <f aca="false">'REV. ACAB'!E37</f>
        <v>0</v>
      </c>
      <c r="AO32" s="93" t="n">
        <f aca="false">'REV. ACAB'!E38</f>
        <v>41.0540699441122</v>
      </c>
      <c r="AP32" s="93" t="n">
        <f aca="false">'REV. ACAB'!E39</f>
        <v>342.117246933116</v>
      </c>
      <c r="AQ32" s="93" t="n">
        <f aca="false">'REV. ACAB'!E40</f>
        <v>462.713578857094</v>
      </c>
      <c r="AR32" s="93" t="n">
        <f aca="false">'REV. ACAB'!E41</f>
        <v>488.372373547596</v>
      </c>
      <c r="AS32" s="93" t="n">
        <f aca="false">'REV. ACAB'!E42</f>
        <v>336.985491116398</v>
      </c>
      <c r="AT32" s="93" t="n">
        <f aca="false">'REV. ACAB'!E43</f>
        <v>473.832388328954</v>
      </c>
      <c r="AU32" s="93" t="n">
        <f aca="false">'REV. ACAB'!E44</f>
        <v>603.8369418514</v>
      </c>
      <c r="AV32" s="93" t="n">
        <f aca="false">'REV. ACAB'!E45</f>
        <v>692.78743323319</v>
      </c>
      <c r="AW32" s="93" t="n">
        <f aca="false">'REV. ACAB'!E46</f>
        <v>614.955759126716</v>
      </c>
      <c r="AX32" s="93" t="n">
        <f aca="false">'REV. ACAB'!E47</f>
        <v>655.154531232404</v>
      </c>
      <c r="AY32" s="93" t="n">
        <f aca="false">'REV. ACAB'!E48</f>
        <v>706.472120613408</v>
      </c>
      <c r="AZ32" s="93" t="n">
        <f aca="false">'REV. ACAB'!E49</f>
        <v>552.519360273852</v>
      </c>
      <c r="BA32" s="93" t="n">
        <f aca="false">'REV. ACAB'!E50</f>
        <v>448.173593638452</v>
      </c>
      <c r="BB32" s="93" t="n">
        <f aca="false">'REV. ACAB'!E51</f>
        <v>455.871235166985</v>
      </c>
      <c r="BC32" s="93" t="n">
        <f aca="false">'REV. ACAB'!E52</f>
        <v>379.750148933902</v>
      </c>
      <c r="BD32" s="93" t="n">
        <f aca="false">'REV. ACAB'!E53</f>
        <v>438.765372039983</v>
      </c>
      <c r="BE32" s="93" t="n">
        <f aca="false">'REV. ACAB'!E54</f>
        <v>402.843057912589</v>
      </c>
      <c r="BF32" s="93" t="n">
        <f aca="false">'REV. ACAB'!E55</f>
        <v>325.011383806115</v>
      </c>
      <c r="BG32" s="93" t="n">
        <f aca="false">'REV. ACAB'!E56</f>
        <v>125.008476402108</v>
      </c>
      <c r="BH32" s="93" t="n">
        <f aca="false">'REV. ACAB'!E57</f>
        <v>0</v>
      </c>
      <c r="BI32" s="93" t="n">
        <f aca="false">'REV. ACAB'!E58</f>
        <v>0</v>
      </c>
      <c r="BJ32" s="93" t="n">
        <f aca="false">'REV. ACAB'!E59</f>
        <v>0</v>
      </c>
      <c r="BK32" s="93" t="n">
        <f aca="false">'REV. ACAB'!E60</f>
        <v>0</v>
      </c>
      <c r="BL32" s="93" t="n">
        <f aca="false">'REV. ACAB'!E61</f>
        <v>0</v>
      </c>
      <c r="BM32" s="93" t="n">
        <f aca="false">'REV. ACAB'!E62</f>
        <v>0</v>
      </c>
      <c r="BN32" s="93" t="n">
        <f aca="false">'REV. ACAB'!E63</f>
        <v>0</v>
      </c>
      <c r="BO32" s="93" t="n">
        <f aca="false">'REV. ACAB'!E64</f>
        <v>0</v>
      </c>
      <c r="BP32" s="93" t="n">
        <f aca="false">'REV. ACAB'!E65</f>
        <v>0</v>
      </c>
      <c r="BQ32" s="93" t="n">
        <f aca="false">'REV. ACAB'!E66</f>
        <v>0</v>
      </c>
      <c r="BR32" s="93" t="n">
        <f aca="false">'REV. ACAB'!E67</f>
        <v>0</v>
      </c>
      <c r="BS32" s="93" t="n">
        <f aca="false">'REV. ACAB'!E68</f>
        <v>0</v>
      </c>
      <c r="BT32" s="93" t="n">
        <f aca="false">'REV. ACAB'!E69</f>
        <v>0</v>
      </c>
      <c r="BU32" s="93" t="n">
        <f aca="false">'REV. ACAB'!E70</f>
        <v>0</v>
      </c>
      <c r="BV32" s="93" t="n">
        <f aca="false">'REV. ACAB'!E71</f>
        <v>0</v>
      </c>
      <c r="BW32" s="93" t="n">
        <f aca="false">'REV. ACAB'!E72</f>
        <v>0</v>
      </c>
      <c r="BX32" s="93" t="n">
        <f aca="false">'REV. ACAB'!E73</f>
        <v>0</v>
      </c>
      <c r="BY32" s="93" t="n">
        <f aca="false">'REV. ACAB'!E74</f>
        <v>0</v>
      </c>
      <c r="BZ32" s="93" t="n">
        <f aca="false">'REV. ACAB'!E75</f>
        <v>0</v>
      </c>
      <c r="CA32" s="93" t="n">
        <f aca="false">'REV. ACAB'!E76</f>
        <v>0</v>
      </c>
    </row>
    <row r="33" customFormat="false" ht="15" hidden="false" customHeight="false" outlineLevel="0" collapsed="false">
      <c r="A33" s="55" t="s">
        <v>305</v>
      </c>
      <c r="B33" s="55" t="s">
        <v>340</v>
      </c>
      <c r="C33" s="55" t="s">
        <v>200</v>
      </c>
      <c r="D33" s="56" t="n">
        <f aca="false">'REV. PISOS'!$K$5</f>
        <v>900.853067</v>
      </c>
      <c r="E33" s="45" t="n">
        <f aca="false">SUM(H33:CA33)</f>
        <v>900.496830600853</v>
      </c>
      <c r="F33" s="45" t="n">
        <f aca="false">IF(D33="","",D33-E33)</f>
        <v>0.356236399147178</v>
      </c>
      <c r="H33" s="93" t="n">
        <f aca="false">'REV. PISOS'!E5</f>
        <v>0</v>
      </c>
      <c r="I33" s="93" t="n">
        <f aca="false">'REV. PISOS'!E6</f>
        <v>0</v>
      </c>
      <c r="J33" s="93" t="n">
        <f aca="false">'REV. PISOS'!E7</f>
        <v>0</v>
      </c>
      <c r="K33" s="93" t="n">
        <f aca="false">'REV. PISOS'!E8</f>
        <v>0</v>
      </c>
      <c r="L33" s="93" t="n">
        <f aca="false">'REV. PISOS'!E9</f>
        <v>0</v>
      </c>
      <c r="M33" s="93" t="n">
        <f aca="false">'REV. PISOS'!E10</f>
        <v>0</v>
      </c>
      <c r="N33" s="93" t="n">
        <f aca="false">'REV. PISOS'!E11</f>
        <v>0</v>
      </c>
      <c r="O33" s="93" t="n">
        <f aca="false">'REV. PISOS'!E12</f>
        <v>0</v>
      </c>
      <c r="P33" s="93" t="n">
        <f aca="false">'REV. PISOS'!E13</f>
        <v>0</v>
      </c>
      <c r="Q33" s="93" t="n">
        <f aca="false">'REV. PISOS'!E14</f>
        <v>0</v>
      </c>
      <c r="R33" s="93" t="n">
        <f aca="false">'REV. PISOS'!E15</f>
        <v>0</v>
      </c>
      <c r="S33" s="93" t="n">
        <f aca="false">'REV. PISOS'!E16</f>
        <v>0</v>
      </c>
      <c r="T33" s="93" t="n">
        <f aca="false">'REV. PISOS'!E17</f>
        <v>0</v>
      </c>
      <c r="U33" s="93" t="n">
        <f aca="false">'REV. PISOS'!E18</f>
        <v>0</v>
      </c>
      <c r="V33" s="93" t="n">
        <f aca="false">'REV. PISOS'!E19</f>
        <v>0</v>
      </c>
      <c r="W33" s="93" t="n">
        <f aca="false">'REV. PISOS'!E20</f>
        <v>0</v>
      </c>
      <c r="X33" s="93" t="n">
        <f aca="false">'REV. PISOS'!E21</f>
        <v>0</v>
      </c>
      <c r="Y33" s="93" t="n">
        <f aca="false">'REV. PISOS'!E22</f>
        <v>0</v>
      </c>
      <c r="Z33" s="93" t="n">
        <f aca="false">'REV. PISOS'!E23</f>
        <v>0</v>
      </c>
      <c r="AA33" s="93" t="n">
        <f aca="false">'REV. PISOS'!E24</f>
        <v>0</v>
      </c>
      <c r="AB33" s="93" t="n">
        <f aca="false">'REV. PISOS'!E25</f>
        <v>0</v>
      </c>
      <c r="AC33" s="93" t="n">
        <f aca="false">'REV. PISOS'!E26</f>
        <v>0</v>
      </c>
      <c r="AD33" s="93" t="n">
        <f aca="false">'REV. PISOS'!E27</f>
        <v>0</v>
      </c>
      <c r="AE33" s="93" t="n">
        <f aca="false">'REV. PISOS'!E28</f>
        <v>0</v>
      </c>
      <c r="AF33" s="93" t="n">
        <f aca="false">'REV. PISOS'!E29</f>
        <v>0</v>
      </c>
      <c r="AG33" s="93" t="n">
        <f aca="false">'REV. PISOS'!E30</f>
        <v>0</v>
      </c>
      <c r="AH33" s="93" t="n">
        <f aca="false">'REV. PISOS'!E31</f>
        <v>0</v>
      </c>
      <c r="AI33" s="93" t="n">
        <f aca="false">'REV. PISOS'!E32</f>
        <v>0</v>
      </c>
      <c r="AJ33" s="93" t="n">
        <f aca="false">'REV. PISOS'!E33</f>
        <v>0</v>
      </c>
      <c r="AK33" s="93" t="n">
        <f aca="false">'REV. PISOS'!E34</f>
        <v>1.44079199716252</v>
      </c>
      <c r="AL33" s="93" t="n">
        <f aca="false">'REV. PISOS'!E35</f>
        <v>2.97164324081939</v>
      </c>
      <c r="AM33" s="93" t="n">
        <f aca="false">'REV. PISOS'!E36</f>
        <v>25.3940096326822</v>
      </c>
      <c r="AN33" s="93" t="n">
        <f aca="false">'REV. PISOS'!E37</f>
        <v>75.2815377984887</v>
      </c>
      <c r="AO33" s="93" t="n">
        <f aca="false">'REV. PISOS'!E38</f>
        <v>68.527811666449</v>
      </c>
      <c r="AP33" s="93" t="n">
        <f aca="false">'REV. PISOS'!E39</f>
        <v>74.8312883500411</v>
      </c>
      <c r="AQ33" s="93" t="n">
        <f aca="false">'REV. PISOS'!E40</f>
        <v>72.580041107803</v>
      </c>
      <c r="AR33" s="93" t="n">
        <f aca="false">'REV. PISOS'!E41</f>
        <v>94.7322687468695</v>
      </c>
      <c r="AS33" s="93" t="n">
        <f aca="false">'REV. PISOS'!E42</f>
        <v>137.145666984718</v>
      </c>
      <c r="AT33" s="93" t="n">
        <f aca="false">'REV. PISOS'!E43</f>
        <v>69.0681047667163</v>
      </c>
      <c r="AU33" s="93" t="n">
        <f aca="false">'REV. PISOS'!E44</f>
        <v>77.8929752426801</v>
      </c>
      <c r="AV33" s="93" t="n">
        <f aca="false">'REV. PISOS'!E45</f>
        <v>68.2576573189781</v>
      </c>
      <c r="AW33" s="93" t="n">
        <f aca="false">'REV. PISOS'!E46</f>
        <v>51.238268713812</v>
      </c>
      <c r="AX33" s="93" t="n">
        <f aca="false">'REV. PISOS'!E47</f>
        <v>28.7258508727922</v>
      </c>
      <c r="AY33" s="93" t="n">
        <f aca="false">'REV. PISOS'!E48</f>
        <v>7.11392413133031</v>
      </c>
      <c r="AZ33" s="93" t="n">
        <f aca="false">'REV. PISOS'!E49</f>
        <v>38.8114104476046</v>
      </c>
      <c r="BA33" s="93" t="n">
        <f aca="false">'REV. PISOS'!E50</f>
        <v>6.48357958190605</v>
      </c>
      <c r="BB33" s="93" t="n">
        <f aca="false">'REV. PISOS'!E51</f>
        <v>0</v>
      </c>
      <c r="BC33" s="93" t="n">
        <f aca="false">'REV. PISOS'!E52</f>
        <v>0</v>
      </c>
      <c r="BD33" s="93" t="n">
        <f aca="false">'REV. PISOS'!E53</f>
        <v>0</v>
      </c>
      <c r="BE33" s="93" t="n">
        <f aca="false">'REV. PISOS'!E54</f>
        <v>0</v>
      </c>
      <c r="BF33" s="93" t="n">
        <f aca="false">'REV. PISOS'!E55</f>
        <v>0</v>
      </c>
      <c r="BG33" s="93" t="n">
        <f aca="false">'REV. PISOS'!E56</f>
        <v>0</v>
      </c>
      <c r="BH33" s="93" t="n">
        <f aca="false">'REV. PISOS'!E57</f>
        <v>0</v>
      </c>
      <c r="BI33" s="93" t="n">
        <f aca="false">'REV. PISOS'!E58</f>
        <v>0</v>
      </c>
      <c r="BJ33" s="93" t="n">
        <f aca="false">'REV. PISOS'!E59</f>
        <v>0</v>
      </c>
      <c r="BK33" s="93" t="n">
        <f aca="false">'REV. PISOS'!E60</f>
        <v>0</v>
      </c>
      <c r="BL33" s="93" t="n">
        <f aca="false">'REV. PISOS'!E61</f>
        <v>0</v>
      </c>
      <c r="BM33" s="93" t="n">
        <f aca="false">'REV. PISOS'!E62</f>
        <v>0</v>
      </c>
      <c r="BN33" s="93" t="n">
        <f aca="false">'REV. PISOS'!E63</f>
        <v>0</v>
      </c>
      <c r="BO33" s="93" t="n">
        <f aca="false">'REV. PISOS'!E64</f>
        <v>0</v>
      </c>
      <c r="BP33" s="93" t="n">
        <f aca="false">'REV. PISOS'!E65</f>
        <v>0</v>
      </c>
      <c r="BQ33" s="93" t="n">
        <f aca="false">'REV. PISOS'!E66</f>
        <v>0</v>
      </c>
      <c r="BR33" s="93" t="n">
        <f aca="false">'REV. PISOS'!E67</f>
        <v>0</v>
      </c>
      <c r="BS33" s="93" t="n">
        <f aca="false">'REV. PISOS'!E68</f>
        <v>0</v>
      </c>
      <c r="BT33" s="93" t="n">
        <f aca="false">'REV. PISOS'!E69</f>
        <v>0</v>
      </c>
      <c r="BU33" s="93" t="n">
        <f aca="false">'REV. PISOS'!E70</f>
        <v>0</v>
      </c>
      <c r="BV33" s="93" t="n">
        <f aca="false">'REV. PISOS'!E71</f>
        <v>0</v>
      </c>
      <c r="BW33" s="93" t="n">
        <f aca="false">'REV. PISOS'!E72</f>
        <v>0</v>
      </c>
      <c r="BX33" s="93" t="n">
        <f aca="false">'REV. PISOS'!E73</f>
        <v>0</v>
      </c>
      <c r="BY33" s="93" t="n">
        <f aca="false">'REV. PISOS'!E74</f>
        <v>0</v>
      </c>
      <c r="BZ33" s="93" t="n">
        <f aca="false">'REV. PISOS'!E75</f>
        <v>0</v>
      </c>
      <c r="CA33" s="93" t="n">
        <f aca="false">'REV. PISOS'!E76</f>
        <v>0</v>
      </c>
    </row>
    <row r="34" customFormat="false" ht="15" hidden="false" customHeight="false" outlineLevel="0" collapsed="false">
      <c r="A34" s="55" t="s">
        <v>305</v>
      </c>
      <c r="B34" s="55" t="s">
        <v>341</v>
      </c>
      <c r="C34" s="55" t="s">
        <v>203</v>
      </c>
      <c r="D34" s="56" t="n">
        <f aca="false">'REV. PAREDE'!$K$5</f>
        <v>2069.679275</v>
      </c>
      <c r="E34" s="45" t="n">
        <f aca="false">SUM(H34:CA34)</f>
        <v>2068.86083399189</v>
      </c>
      <c r="F34" s="45" t="n">
        <f aca="false">IF(D34="","",D34-E34)</f>
        <v>0.818441008111222</v>
      </c>
      <c r="H34" s="93" t="n">
        <f aca="false">'REV. PAREDE'!E5</f>
        <v>0</v>
      </c>
      <c r="I34" s="93" t="n">
        <f aca="false">'REV. PAREDE'!E6</f>
        <v>0</v>
      </c>
      <c r="J34" s="93" t="n">
        <f aca="false">'REV. PAREDE'!E7</f>
        <v>0</v>
      </c>
      <c r="K34" s="93" t="n">
        <f aca="false">'REV. PAREDE'!E8</f>
        <v>0</v>
      </c>
      <c r="L34" s="93" t="n">
        <f aca="false">'REV. PAREDE'!E9</f>
        <v>0</v>
      </c>
      <c r="M34" s="93" t="n">
        <f aca="false">'REV. PAREDE'!E10</f>
        <v>0</v>
      </c>
      <c r="N34" s="93" t="n">
        <f aca="false">'REV. PAREDE'!E11</f>
        <v>0</v>
      </c>
      <c r="O34" s="93" t="n">
        <f aca="false">'REV. PAREDE'!E12</f>
        <v>0</v>
      </c>
      <c r="P34" s="93" t="n">
        <f aca="false">'REV. PAREDE'!E13</f>
        <v>0</v>
      </c>
      <c r="Q34" s="93" t="n">
        <f aca="false">'REV. PAREDE'!E14</f>
        <v>0</v>
      </c>
      <c r="R34" s="93" t="n">
        <f aca="false">'REV. PAREDE'!E15</f>
        <v>0</v>
      </c>
      <c r="S34" s="93" t="n">
        <f aca="false">'REV. PAREDE'!E16</f>
        <v>0</v>
      </c>
      <c r="T34" s="93" t="n">
        <f aca="false">'REV. PAREDE'!E17</f>
        <v>0</v>
      </c>
      <c r="U34" s="93" t="n">
        <f aca="false">'REV. PAREDE'!E18</f>
        <v>0</v>
      </c>
      <c r="V34" s="93" t="n">
        <f aca="false">'REV. PAREDE'!E19</f>
        <v>0</v>
      </c>
      <c r="W34" s="93" t="n">
        <f aca="false">'REV. PAREDE'!E20</f>
        <v>0</v>
      </c>
      <c r="X34" s="93" t="n">
        <f aca="false">'REV. PAREDE'!E21</f>
        <v>0</v>
      </c>
      <c r="Y34" s="93" t="n">
        <f aca="false">'REV. PAREDE'!E22</f>
        <v>0</v>
      </c>
      <c r="Z34" s="93" t="n">
        <f aca="false">'REV. PAREDE'!E23</f>
        <v>0</v>
      </c>
      <c r="AA34" s="93" t="n">
        <f aca="false">'REV. PAREDE'!E24</f>
        <v>0</v>
      </c>
      <c r="AB34" s="93" t="n">
        <f aca="false">'REV. PAREDE'!E25</f>
        <v>0</v>
      </c>
      <c r="AC34" s="93" t="n">
        <f aca="false">'REV. PAREDE'!E26</f>
        <v>0</v>
      </c>
      <c r="AD34" s="93" t="n">
        <f aca="false">'REV. PAREDE'!E27</f>
        <v>0</v>
      </c>
      <c r="AE34" s="93" t="n">
        <f aca="false">'REV. PAREDE'!E28</f>
        <v>0</v>
      </c>
      <c r="AF34" s="93" t="n">
        <f aca="false">'REV. PAREDE'!E29</f>
        <v>0</v>
      </c>
      <c r="AG34" s="93" t="n">
        <f aca="false">'REV. PAREDE'!E30</f>
        <v>0</v>
      </c>
      <c r="AH34" s="93" t="n">
        <f aca="false">'REV. PAREDE'!E31</f>
        <v>0</v>
      </c>
      <c r="AI34" s="93" t="n">
        <f aca="false">'REV. PAREDE'!E32</f>
        <v>0</v>
      </c>
      <c r="AJ34" s="93" t="n">
        <f aca="false">'REV. PAREDE'!E33</f>
        <v>0</v>
      </c>
      <c r="AK34" s="93" t="n">
        <f aca="false">'REV. PAREDE'!E34</f>
        <v>4.75837971077217</v>
      </c>
      <c r="AL34" s="93" t="n">
        <f aca="false">'REV. PAREDE'!E35</f>
        <v>24.6194455635038</v>
      </c>
      <c r="AM34" s="93" t="n">
        <f aca="false">'REV. PAREDE'!E36</f>
        <v>125.786740004184</v>
      </c>
      <c r="AN34" s="93" t="n">
        <f aca="false">'REV. PAREDE'!E37</f>
        <v>144.19959859004</v>
      </c>
      <c r="AO34" s="93" t="n">
        <f aca="false">'REV. PAREDE'!E38</f>
        <v>126.200513509005</v>
      </c>
      <c r="AP34" s="93" t="n">
        <f aca="false">'REV. PAREDE'!E39</f>
        <v>209.368715071313</v>
      </c>
      <c r="AQ34" s="93" t="n">
        <f aca="false">'REV. PAREDE'!E40</f>
        <v>246.194440040363</v>
      </c>
      <c r="AR34" s="93" t="n">
        <f aca="false">'REV. PAREDE'!E41</f>
        <v>186.197476774684</v>
      </c>
      <c r="AS34" s="93" t="n">
        <f aca="false">'REV. PAREDE'!E42</f>
        <v>133.234639698958</v>
      </c>
      <c r="AT34" s="93" t="n">
        <f aca="false">'REV. PAREDE'!E43</f>
        <v>190.955856485456</v>
      </c>
      <c r="AU34" s="93" t="n">
        <f aca="false">'REV. PAREDE'!E44</f>
        <v>185.576816517452</v>
      </c>
      <c r="AV34" s="93" t="n">
        <f aca="false">'REV. PAREDE'!E45</f>
        <v>174.611849829033</v>
      </c>
      <c r="AW34" s="93" t="n">
        <f aca="false">'REV. PAREDE'!E46</f>
        <v>85.6508347938991</v>
      </c>
      <c r="AX34" s="93" t="n">
        <f aca="false">'REV. PAREDE'!E47</f>
        <v>159.922944989232</v>
      </c>
      <c r="AY34" s="93" t="n">
        <f aca="false">'REV. PAREDE'!E48</f>
        <v>71.5825824139933</v>
      </c>
      <c r="AZ34" s="93" t="n">
        <f aca="false">'REV. PAREDE'!E49</f>
        <v>0</v>
      </c>
      <c r="BA34" s="93" t="n">
        <f aca="false">'REV. PAREDE'!E50</f>
        <v>0</v>
      </c>
      <c r="BB34" s="93" t="n">
        <f aca="false">'REV. PAREDE'!E51</f>
        <v>0</v>
      </c>
      <c r="BC34" s="93" t="n">
        <f aca="false">'REV. PAREDE'!E52</f>
        <v>0</v>
      </c>
      <c r="BD34" s="93" t="n">
        <f aca="false">'REV. PAREDE'!E53</f>
        <v>0</v>
      </c>
      <c r="BE34" s="93" t="n">
        <f aca="false">'REV. PAREDE'!E54</f>
        <v>0</v>
      </c>
      <c r="BF34" s="93" t="n">
        <f aca="false">'REV. PAREDE'!E55</f>
        <v>0</v>
      </c>
      <c r="BG34" s="93" t="n">
        <f aca="false">'REV. PAREDE'!E56</f>
        <v>0</v>
      </c>
      <c r="BH34" s="93" t="n">
        <f aca="false">'REV. PAREDE'!E57</f>
        <v>0</v>
      </c>
      <c r="BI34" s="93" t="n">
        <f aca="false">'REV. PAREDE'!E58</f>
        <v>0</v>
      </c>
      <c r="BJ34" s="93" t="n">
        <f aca="false">'REV. PAREDE'!E59</f>
        <v>0</v>
      </c>
      <c r="BK34" s="93" t="n">
        <f aca="false">'REV. PAREDE'!E60</f>
        <v>0</v>
      </c>
      <c r="BL34" s="93" t="n">
        <f aca="false">'REV. PAREDE'!E61</f>
        <v>0</v>
      </c>
      <c r="BM34" s="93" t="n">
        <f aca="false">'REV. PAREDE'!E62</f>
        <v>0</v>
      </c>
      <c r="BN34" s="93" t="n">
        <f aca="false">'REV. PAREDE'!E63</f>
        <v>0</v>
      </c>
      <c r="BO34" s="93" t="n">
        <f aca="false">'REV. PAREDE'!E64</f>
        <v>0</v>
      </c>
      <c r="BP34" s="93" t="n">
        <f aca="false">'REV. PAREDE'!E65</f>
        <v>0</v>
      </c>
      <c r="BQ34" s="93" t="n">
        <f aca="false">'REV. PAREDE'!E66</f>
        <v>0</v>
      </c>
      <c r="BR34" s="93" t="n">
        <f aca="false">'REV. PAREDE'!E67</f>
        <v>0</v>
      </c>
      <c r="BS34" s="93" t="n">
        <f aca="false">'REV. PAREDE'!E68</f>
        <v>0</v>
      </c>
      <c r="BT34" s="93" t="n">
        <f aca="false">'REV. PAREDE'!E69</f>
        <v>0</v>
      </c>
      <c r="BU34" s="93" t="n">
        <f aca="false">'REV. PAREDE'!E70</f>
        <v>0</v>
      </c>
      <c r="BV34" s="93" t="n">
        <f aca="false">'REV. PAREDE'!E71</f>
        <v>0</v>
      </c>
      <c r="BW34" s="93" t="n">
        <f aca="false">'REV. PAREDE'!E72</f>
        <v>0</v>
      </c>
      <c r="BX34" s="93" t="n">
        <f aca="false">'REV. PAREDE'!E73</f>
        <v>0</v>
      </c>
      <c r="BY34" s="93" t="n">
        <f aca="false">'REV. PAREDE'!E74</f>
        <v>0</v>
      </c>
      <c r="BZ34" s="93" t="n">
        <f aca="false">'REV. PAREDE'!E75</f>
        <v>0</v>
      </c>
      <c r="CA34" s="93" t="n">
        <f aca="false">'REV. PAREDE'!E76</f>
        <v>0</v>
      </c>
    </row>
    <row r="35" customFormat="false" ht="15" hidden="false" customHeight="false" outlineLevel="0" collapsed="false">
      <c r="A35" s="55" t="s">
        <v>305</v>
      </c>
      <c r="B35" s="55" t="s">
        <v>342</v>
      </c>
      <c r="C35" s="55" t="s">
        <v>343</v>
      </c>
      <c r="E35" s="45" t="n">
        <f aca="false">SUM(H35:CA35)</f>
        <v>0</v>
      </c>
      <c r="F35" s="45" t="str">
        <f aca="false">IF(D35="","",D35-E35)</f>
        <v/>
      </c>
    </row>
    <row r="36" customFormat="false" ht="15" hidden="false" customHeight="false" outlineLevel="0" collapsed="false">
      <c r="A36" s="55" t="s">
        <v>305</v>
      </c>
      <c r="B36" s="55" t="s">
        <v>344</v>
      </c>
      <c r="C36" s="55" t="s">
        <v>345</v>
      </c>
      <c r="E36" s="45" t="n">
        <f aca="false">SUM(H36:CA36)</f>
        <v>0</v>
      </c>
      <c r="F36" s="45" t="str">
        <f aca="false">IF(D36="","",D36-E36)</f>
        <v/>
      </c>
    </row>
    <row r="37" customFormat="false" ht="15" hidden="false" customHeight="false" outlineLevel="0" collapsed="false">
      <c r="A37" s="55" t="s">
        <v>305</v>
      </c>
      <c r="B37" s="55" t="s">
        <v>346</v>
      </c>
      <c r="C37" s="55" t="s">
        <v>347</v>
      </c>
      <c r="E37" s="45" t="n">
        <f aca="false">SUM(H37:CA37)</f>
        <v>0</v>
      </c>
      <c r="F37" s="45" t="str">
        <f aca="false">IF(D37="","",D37-E37)</f>
        <v/>
      </c>
    </row>
    <row r="38" customFormat="false" ht="15" hidden="false" customHeight="false" outlineLevel="0" collapsed="false">
      <c r="A38" s="55" t="s">
        <v>305</v>
      </c>
      <c r="B38" s="55" t="s">
        <v>348</v>
      </c>
      <c r="C38" s="55" t="s">
        <v>349</v>
      </c>
      <c r="E38" s="45" t="n">
        <f aca="false">SUM(H38:CA38)</f>
        <v>0</v>
      </c>
      <c r="F38" s="45" t="str">
        <f aca="false">IF(D38="","",D38-E38)</f>
        <v/>
      </c>
    </row>
    <row r="39" customFormat="false" ht="15" hidden="false" customHeight="false" outlineLevel="0" collapsed="false">
      <c r="A39" s="55" t="s">
        <v>305</v>
      </c>
      <c r="B39" s="55" t="s">
        <v>350</v>
      </c>
      <c r="C39" s="55" t="s">
        <v>75</v>
      </c>
      <c r="E39" s="45" t="n">
        <f aca="false">SUM(H39:CA39)</f>
        <v>0</v>
      </c>
      <c r="F39" s="45" t="str">
        <f aca="false">IF(D39="","",D39-E39)</f>
        <v/>
      </c>
    </row>
    <row r="40" customFormat="false" ht="15" hidden="false" customHeight="false" outlineLevel="0" collapsed="false">
      <c r="A40" s="55" t="s">
        <v>305</v>
      </c>
      <c r="B40" s="55" t="s">
        <v>351</v>
      </c>
      <c r="C40" s="55" t="s">
        <v>64</v>
      </c>
      <c r="D40" s="56" t="n">
        <f aca="false">SEGUROS!$K$5</f>
        <v>103.685673</v>
      </c>
      <c r="E40" s="45" t="n">
        <f aca="false">SUM(H40:CA40)</f>
        <v>191.166414165265</v>
      </c>
      <c r="F40" s="45" t="n">
        <f aca="false">IF(D40="","",D40-E40)</f>
        <v>-87.4807411652654</v>
      </c>
      <c r="H40" s="93" t="n">
        <f aca="false">SEGUROS!E5</f>
        <v>0</v>
      </c>
      <c r="I40" s="93" t="n">
        <f aca="false">SEGUROS!E6</f>
        <v>0</v>
      </c>
      <c r="J40" s="93" t="n">
        <f aca="false">SEGUROS!E7</f>
        <v>0</v>
      </c>
      <c r="K40" s="93" t="n">
        <f aca="false">SEGUROS!E8</f>
        <v>0</v>
      </c>
      <c r="L40" s="93" t="n">
        <f aca="false">SEGUROS!E9</f>
        <v>0</v>
      </c>
      <c r="M40" s="93" t="n">
        <f aca="false">SEGUROS!E10</f>
        <v>0</v>
      </c>
      <c r="N40" s="93" t="n">
        <f aca="false">SEGUROS!E11</f>
        <v>0</v>
      </c>
      <c r="O40" s="93" t="n">
        <f aca="false">SEGUROS!E12</f>
        <v>0</v>
      </c>
      <c r="P40" s="93" t="n">
        <f aca="false">SEGUROS!E13</f>
        <v>0</v>
      </c>
      <c r="Q40" s="93" t="n">
        <f aca="false">SEGUROS!E14</f>
        <v>24.2826279777509</v>
      </c>
      <c r="R40" s="93" t="n">
        <f aca="false">SEGUROS!E15</f>
        <v>12.8956948712159</v>
      </c>
      <c r="S40" s="93" t="n">
        <f aca="false">SEGUROS!E16</f>
        <v>1.57623040502336</v>
      </c>
      <c r="T40" s="93" t="n">
        <f aca="false">SEGUROS!E17</f>
        <v>24.3417027572118</v>
      </c>
      <c r="U40" s="93" t="n">
        <f aca="false">SEGUROS!E18</f>
        <v>12.986105497334</v>
      </c>
      <c r="V40" s="93" t="n">
        <f aca="false">SEGUROS!E19</f>
        <v>1.80013236800886</v>
      </c>
      <c r="W40" s="93" t="n">
        <f aca="false">SEGUROS!E20</f>
        <v>23.9704341230343</v>
      </c>
      <c r="X40" s="93" t="n">
        <f aca="false">SEGUROS!E21</f>
        <v>1.77269595094518</v>
      </c>
      <c r="Y40" s="93" t="n">
        <f aca="false">SEGUROS!E22</f>
        <v>0.236996289432161</v>
      </c>
      <c r="Z40" s="93" t="n">
        <f aca="false">SEGUROS!E23</f>
        <v>0</v>
      </c>
      <c r="AA40" s="93" t="n">
        <f aca="false">SEGUROS!E24</f>
        <v>0</v>
      </c>
      <c r="AB40" s="93" t="n">
        <f aca="false">SEGUROS!E25</f>
        <v>0</v>
      </c>
      <c r="AC40" s="93" t="n">
        <f aca="false">SEGUROS!E26</f>
        <v>0</v>
      </c>
      <c r="AD40" s="93" t="n">
        <f aca="false">SEGUROS!E27</f>
        <v>14.5504973825825</v>
      </c>
      <c r="AE40" s="93" t="n">
        <f aca="false">SEGUROS!E28</f>
        <v>14.5504973825825</v>
      </c>
      <c r="AF40" s="93" t="n">
        <f aca="false">SEGUROS!E29</f>
        <v>14.5504973825825</v>
      </c>
      <c r="AG40" s="93" t="n">
        <f aca="false">SEGUROS!E30</f>
        <v>14.5504973825825</v>
      </c>
      <c r="AH40" s="93" t="n">
        <f aca="false">SEGUROS!E31</f>
        <v>14.5504973825825</v>
      </c>
      <c r="AI40" s="93" t="n">
        <f aca="false">SEGUROS!E32</f>
        <v>14.5513070123966</v>
      </c>
      <c r="AJ40" s="93" t="n">
        <f aca="false">SEGUROS!E33</f>
        <v>0</v>
      </c>
      <c r="AK40" s="93" t="n">
        <f aca="false">SEGUROS!E34</f>
        <v>0</v>
      </c>
      <c r="AL40" s="93" t="n">
        <f aca="false">SEGUROS!E35</f>
        <v>0</v>
      </c>
      <c r="AM40" s="93" t="n">
        <f aca="false">SEGUROS!E36</f>
        <v>0</v>
      </c>
      <c r="AN40" s="93" t="n">
        <f aca="false">SEGUROS!E37</f>
        <v>0</v>
      </c>
      <c r="AO40" s="93" t="n">
        <f aca="false">SEGUROS!E38</f>
        <v>0</v>
      </c>
      <c r="AP40" s="93" t="n">
        <f aca="false">SEGUROS!E39</f>
        <v>0</v>
      </c>
      <c r="AQ40" s="93" t="n">
        <f aca="false">SEGUROS!E40</f>
        <v>0</v>
      </c>
      <c r="AR40" s="93" t="n">
        <f aca="false">SEGUROS!E41</f>
        <v>0</v>
      </c>
      <c r="AS40" s="93" t="n">
        <f aca="false">SEGUROS!E42</f>
        <v>0</v>
      </c>
      <c r="AT40" s="93" t="n">
        <f aca="false">SEGUROS!E43</f>
        <v>0</v>
      </c>
      <c r="AU40" s="93" t="n">
        <f aca="false">SEGUROS!E44</f>
        <v>0</v>
      </c>
      <c r="AV40" s="93" t="n">
        <f aca="false">SEGUROS!E45</f>
        <v>0</v>
      </c>
      <c r="AW40" s="93" t="n">
        <f aca="false">SEGUROS!E46</f>
        <v>0</v>
      </c>
      <c r="AX40" s="93" t="n">
        <f aca="false">SEGUROS!E47</f>
        <v>0</v>
      </c>
      <c r="AY40" s="93" t="n">
        <f aca="false">SEGUROS!E48</f>
        <v>0</v>
      </c>
      <c r="AZ40" s="93" t="n">
        <f aca="false">SEGUROS!E49</f>
        <v>0</v>
      </c>
      <c r="BA40" s="93" t="n">
        <f aca="false">SEGUROS!E50</f>
        <v>0</v>
      </c>
      <c r="BB40" s="93" t="n">
        <f aca="false">SEGUROS!E51</f>
        <v>0</v>
      </c>
      <c r="BC40" s="93" t="n">
        <f aca="false">SEGUROS!E52</f>
        <v>0</v>
      </c>
      <c r="BD40" s="93" t="n">
        <f aca="false">SEGUROS!E53</f>
        <v>0</v>
      </c>
      <c r="BE40" s="93" t="n">
        <f aca="false">SEGUROS!E54</f>
        <v>0</v>
      </c>
      <c r="BF40" s="93" t="n">
        <f aca="false">SEGUROS!E55</f>
        <v>0</v>
      </c>
      <c r="BG40" s="93" t="n">
        <f aca="false">SEGUROS!E56</f>
        <v>0</v>
      </c>
      <c r="BH40" s="93" t="n">
        <f aca="false">SEGUROS!E57</f>
        <v>0</v>
      </c>
      <c r="BI40" s="93" t="n">
        <f aca="false">SEGUROS!E58</f>
        <v>0</v>
      </c>
      <c r="BJ40" s="93" t="n">
        <f aca="false">SEGUROS!E59</f>
        <v>0</v>
      </c>
      <c r="BK40" s="93" t="n">
        <f aca="false">SEGUROS!E60</f>
        <v>0</v>
      </c>
      <c r="BL40" s="93" t="n">
        <f aca="false">SEGUROS!E61</f>
        <v>0</v>
      </c>
      <c r="BM40" s="93" t="n">
        <f aca="false">SEGUROS!E62</f>
        <v>0</v>
      </c>
      <c r="BN40" s="93" t="n">
        <f aca="false">SEGUROS!E63</f>
        <v>0</v>
      </c>
      <c r="BO40" s="93" t="n">
        <f aca="false">SEGUROS!E64</f>
        <v>0</v>
      </c>
      <c r="BP40" s="93" t="n">
        <f aca="false">SEGUROS!E65</f>
        <v>0</v>
      </c>
      <c r="BQ40" s="93" t="n">
        <f aca="false">SEGUROS!E66</f>
        <v>0</v>
      </c>
      <c r="BR40" s="93" t="n">
        <f aca="false">SEGUROS!E67</f>
        <v>0</v>
      </c>
      <c r="BS40" s="93" t="n">
        <f aca="false">SEGUROS!E68</f>
        <v>0</v>
      </c>
      <c r="BT40" s="93" t="n">
        <f aca="false">SEGUROS!E69</f>
        <v>0</v>
      </c>
      <c r="BU40" s="93" t="n">
        <f aca="false">SEGUROS!E70</f>
        <v>0</v>
      </c>
      <c r="BV40" s="93" t="n">
        <f aca="false">SEGUROS!E71</f>
        <v>0</v>
      </c>
      <c r="BW40" s="93" t="n">
        <f aca="false">SEGUROS!E72</f>
        <v>0</v>
      </c>
      <c r="BX40" s="93" t="n">
        <f aca="false">SEGUROS!E73</f>
        <v>0</v>
      </c>
      <c r="BY40" s="93" t="n">
        <f aca="false">SEGUROS!E74</f>
        <v>0</v>
      </c>
      <c r="BZ40" s="93" t="n">
        <f aca="false">SEGUROS!E75</f>
        <v>0</v>
      </c>
      <c r="CA40" s="93" t="n">
        <f aca="false">SEGUROS!E76</f>
        <v>0</v>
      </c>
    </row>
    <row r="41" customFormat="false" ht="15" hidden="false" customHeight="false" outlineLevel="0" collapsed="false">
      <c r="A41" s="55" t="s">
        <v>305</v>
      </c>
      <c r="B41" s="55" t="s">
        <v>352</v>
      </c>
      <c r="C41" s="55" t="s">
        <v>194</v>
      </c>
      <c r="D41" s="56" t="n">
        <f aca="false">SERRALHERIA!$K$5</f>
        <v>396.781767</v>
      </c>
      <c r="E41" s="45" t="n">
        <f aca="false">SUM(H41:CA41)</f>
        <v>396.62486226925</v>
      </c>
      <c r="F41" s="45" t="n">
        <f aca="false">IF(D41="","",D41-E41)</f>
        <v>0.156904730750341</v>
      </c>
      <c r="H41" s="93" t="n">
        <f aca="false">SERRALHERIA!E5</f>
        <v>0</v>
      </c>
      <c r="I41" s="93" t="n">
        <f aca="false">SERRALHERIA!E6</f>
        <v>0</v>
      </c>
      <c r="J41" s="93" t="n">
        <f aca="false">SERRALHERIA!E7</f>
        <v>0</v>
      </c>
      <c r="K41" s="93" t="n">
        <f aca="false">SERRALHERIA!E8</f>
        <v>0</v>
      </c>
      <c r="L41" s="93" t="n">
        <f aca="false">SERRALHERIA!E9</f>
        <v>0</v>
      </c>
      <c r="M41" s="93" t="n">
        <f aca="false">SERRALHERIA!E10</f>
        <v>0</v>
      </c>
      <c r="N41" s="93" t="n">
        <f aca="false">SERRALHERIA!E11</f>
        <v>0</v>
      </c>
      <c r="O41" s="93" t="n">
        <f aca="false">SERRALHERIA!E12</f>
        <v>0</v>
      </c>
      <c r="P41" s="93" t="n">
        <f aca="false">SERRALHERIA!E13</f>
        <v>0</v>
      </c>
      <c r="Q41" s="93" t="n">
        <f aca="false">SERRALHERIA!E14</f>
        <v>0</v>
      </c>
      <c r="R41" s="93" t="n">
        <f aca="false">SERRALHERIA!E15</f>
        <v>0</v>
      </c>
      <c r="S41" s="93" t="n">
        <f aca="false">SERRALHERIA!E16</f>
        <v>0</v>
      </c>
      <c r="T41" s="93" t="n">
        <f aca="false">SERRALHERIA!E17</f>
        <v>0</v>
      </c>
      <c r="U41" s="93" t="n">
        <f aca="false">SERRALHERIA!E18</f>
        <v>0</v>
      </c>
      <c r="V41" s="93" t="n">
        <f aca="false">SERRALHERIA!E19</f>
        <v>0</v>
      </c>
      <c r="W41" s="93" t="n">
        <f aca="false">SERRALHERIA!E20</f>
        <v>0</v>
      </c>
      <c r="X41" s="93" t="n">
        <f aca="false">SERRALHERIA!E21</f>
        <v>0</v>
      </c>
      <c r="Y41" s="93" t="n">
        <f aca="false">SERRALHERIA!E22</f>
        <v>0</v>
      </c>
      <c r="Z41" s="93" t="n">
        <f aca="false">SERRALHERIA!E23</f>
        <v>0</v>
      </c>
      <c r="AA41" s="93" t="n">
        <f aca="false">SERRALHERIA!E24</f>
        <v>0</v>
      </c>
      <c r="AB41" s="93" t="n">
        <f aca="false">SERRALHERIA!E25</f>
        <v>0</v>
      </c>
      <c r="AC41" s="93" t="n">
        <f aca="false">SERRALHERIA!E26</f>
        <v>0</v>
      </c>
      <c r="AD41" s="93" t="n">
        <f aca="false">SERRALHERIA!E27</f>
        <v>0</v>
      </c>
      <c r="AE41" s="93" t="n">
        <f aca="false">SERRALHERIA!E28</f>
        <v>0</v>
      </c>
      <c r="AF41" s="93" t="n">
        <f aca="false">SERRALHERIA!E29</f>
        <v>0</v>
      </c>
      <c r="AG41" s="93" t="n">
        <f aca="false">SERRALHERIA!E30</f>
        <v>0</v>
      </c>
      <c r="AH41" s="93" t="n">
        <f aca="false">SERRALHERIA!E31</f>
        <v>0</v>
      </c>
      <c r="AI41" s="93" t="n">
        <f aca="false">SERRALHERIA!E32</f>
        <v>0</v>
      </c>
      <c r="AJ41" s="93" t="n">
        <f aca="false">SERRALHERIA!E33</f>
        <v>0</v>
      </c>
      <c r="AK41" s="93" t="n">
        <f aca="false">SERRALHERIA!E34</f>
        <v>0</v>
      </c>
      <c r="AL41" s="93" t="n">
        <f aca="false">SERRALHERIA!E35</f>
        <v>0</v>
      </c>
      <c r="AM41" s="93" t="n">
        <f aca="false">SERRALHERIA!E36</f>
        <v>0</v>
      </c>
      <c r="AN41" s="93" t="n">
        <f aca="false">SERRALHERIA!E37</f>
        <v>0</v>
      </c>
      <c r="AO41" s="93" t="n">
        <f aca="false">SERRALHERIA!E38</f>
        <v>21.0607803237303</v>
      </c>
      <c r="AP41" s="93" t="n">
        <f aca="false">SERRALHERIA!E39</f>
        <v>21.0211152675009</v>
      </c>
      <c r="AQ41" s="93" t="n">
        <f aca="false">SERRALHERIA!E40</f>
        <v>0</v>
      </c>
      <c r="AR41" s="93" t="n">
        <f aca="false">SERRALHERIA!E41</f>
        <v>21.0607803237303</v>
      </c>
      <c r="AS41" s="93" t="n">
        <f aca="false">SERRALHERIA!E42</f>
        <v>0</v>
      </c>
      <c r="AT41" s="93" t="n">
        <f aca="false">SERRALHERIA!E43</f>
        <v>21.0211152675009</v>
      </c>
      <c r="AU41" s="93" t="n">
        <f aca="false">SERRALHERIA!E44</f>
        <v>17.2135193842819</v>
      </c>
      <c r="AV41" s="93" t="n">
        <f aca="false">SERRALHERIA!E45</f>
        <v>80.038898241421</v>
      </c>
      <c r="AW41" s="93" t="n">
        <f aca="false">SERRALHERIA!E46</f>
        <v>46.2067963296102</v>
      </c>
      <c r="AX41" s="93" t="n">
        <f aca="false">SERRALHERIA!E47</f>
        <v>18.9983299545408</v>
      </c>
      <c r="AY41" s="93" t="n">
        <f aca="false">SERRALHERIA!E48</f>
        <v>30.1831506588342</v>
      </c>
      <c r="AZ41" s="93" t="n">
        <f aca="false">SERRALHERIA!E49</f>
        <v>18.9190076394196</v>
      </c>
      <c r="BA41" s="93" t="n">
        <f aca="false">SERRALHERIA!E50</f>
        <v>6.74262290809205</v>
      </c>
      <c r="BB41" s="93" t="n">
        <f aca="false">SERRALHERIA!E51</f>
        <v>6.38566079404026</v>
      </c>
      <c r="BC41" s="93" t="n">
        <f aca="false">SERRALHERIA!E52</f>
        <v>6.50464816539086</v>
      </c>
      <c r="BD41" s="93" t="n">
        <f aca="false">SERRALHERIA!E53</f>
        <v>19.1966474383502</v>
      </c>
      <c r="BE41" s="93" t="n">
        <f aca="false">SERRALHERIA!E54</f>
        <v>58.5814907474095</v>
      </c>
      <c r="BF41" s="93" t="n">
        <f aca="false">SERRALHERIA!E55</f>
        <v>3.37131145404602</v>
      </c>
      <c r="BG41" s="93" t="n">
        <f aca="false">SERRALHERIA!E56</f>
        <v>0.118987371350594</v>
      </c>
      <c r="BH41" s="93" t="n">
        <f aca="false">SERRALHERIA!E57</f>
        <v>0</v>
      </c>
      <c r="BI41" s="93" t="n">
        <f aca="false">SERRALHERIA!E58</f>
        <v>0</v>
      </c>
      <c r="BJ41" s="93" t="n">
        <f aca="false">SERRALHERIA!E59</f>
        <v>0</v>
      </c>
      <c r="BK41" s="93" t="n">
        <f aca="false">SERRALHERIA!E60</f>
        <v>0</v>
      </c>
      <c r="BL41" s="93" t="n">
        <f aca="false">SERRALHERIA!E61</f>
        <v>0</v>
      </c>
      <c r="BM41" s="93" t="n">
        <f aca="false">SERRALHERIA!E62</f>
        <v>0</v>
      </c>
      <c r="BN41" s="93" t="n">
        <f aca="false">SERRALHERIA!E63</f>
        <v>0</v>
      </c>
      <c r="BO41" s="93" t="n">
        <f aca="false">SERRALHERIA!E64</f>
        <v>0</v>
      </c>
      <c r="BP41" s="93" t="n">
        <f aca="false">SERRALHERIA!E65</f>
        <v>0</v>
      </c>
      <c r="BQ41" s="93" t="n">
        <f aca="false">SERRALHERIA!E66</f>
        <v>0</v>
      </c>
      <c r="BR41" s="93" t="n">
        <f aca="false">SERRALHERIA!E67</f>
        <v>0</v>
      </c>
      <c r="BS41" s="93" t="n">
        <f aca="false">SERRALHERIA!E68</f>
        <v>0</v>
      </c>
      <c r="BT41" s="93" t="n">
        <f aca="false">SERRALHERIA!E69</f>
        <v>0</v>
      </c>
      <c r="BU41" s="93" t="n">
        <f aca="false">SERRALHERIA!E70</f>
        <v>0</v>
      </c>
      <c r="BV41" s="93" t="n">
        <f aca="false">SERRALHERIA!E71</f>
        <v>0</v>
      </c>
      <c r="BW41" s="93" t="n">
        <f aca="false">SERRALHERIA!E72</f>
        <v>0</v>
      </c>
      <c r="BX41" s="93" t="n">
        <f aca="false">SERRALHERIA!E73</f>
        <v>0</v>
      </c>
      <c r="BY41" s="93" t="n">
        <f aca="false">SERRALHERIA!E74</f>
        <v>0</v>
      </c>
      <c r="BZ41" s="93" t="n">
        <f aca="false">SERRALHERIA!E75</f>
        <v>0</v>
      </c>
      <c r="CA41" s="93" t="n">
        <f aca="false">SERRALHERIA!E76</f>
        <v>0</v>
      </c>
    </row>
    <row r="42" customFormat="false" ht="15" hidden="false" customHeight="false" outlineLevel="0" collapsed="false">
      <c r="A42" s="55" t="s">
        <v>305</v>
      </c>
      <c r="B42" s="55" t="s">
        <v>353</v>
      </c>
      <c r="C42" s="55" t="s">
        <v>136</v>
      </c>
      <c r="D42" s="56" t="n">
        <f aca="false">'LIG. PROVISÓRIAS'!$K$5</f>
        <v>41.094562</v>
      </c>
      <c r="E42" s="45" t="n">
        <f aca="false">SUM(H42:CA42)</f>
        <v>69.3788976026666</v>
      </c>
      <c r="F42" s="45" t="n">
        <f aca="false">IF(D42="","",D42-E42)</f>
        <v>-28.2843356026666</v>
      </c>
      <c r="H42" s="93" t="n">
        <f aca="false">'LIG. PROVISÓRIAS'!E5</f>
        <v>0</v>
      </c>
      <c r="I42" s="93" t="n">
        <f aca="false">'LIG. PROVISÓRIAS'!E6</f>
        <v>0</v>
      </c>
      <c r="J42" s="93" t="n">
        <f aca="false">'LIG. PROVISÓRIAS'!E7</f>
        <v>0</v>
      </c>
      <c r="K42" s="93" t="n">
        <f aca="false">'LIG. PROVISÓRIAS'!E8</f>
        <v>0</v>
      </c>
      <c r="L42" s="93" t="n">
        <f aca="false">'LIG. PROVISÓRIAS'!E9</f>
        <v>0</v>
      </c>
      <c r="M42" s="93" t="n">
        <f aca="false">'LIG. PROVISÓRIAS'!E10</f>
        <v>0</v>
      </c>
      <c r="N42" s="93" t="n">
        <f aca="false">'LIG. PROVISÓRIAS'!E11</f>
        <v>0</v>
      </c>
      <c r="O42" s="93" t="n">
        <f aca="false">'LIG. PROVISÓRIAS'!E12</f>
        <v>0.51662534666258</v>
      </c>
      <c r="P42" s="93" t="n">
        <f aca="false">'LIG. PROVISÓRIAS'!E13</f>
        <v>0.293949401087855</v>
      </c>
      <c r="Q42" s="93" t="n">
        <f aca="false">'LIG. PROVISÓRIAS'!E14</f>
        <v>1.34092637766493</v>
      </c>
      <c r="R42" s="93" t="n">
        <f aca="false">'LIG. PROVISÓRIAS'!E15</f>
        <v>12.0083756287039</v>
      </c>
      <c r="S42" s="93" t="n">
        <f aca="false">'LIG. PROVISÓRIAS'!E16</f>
        <v>7.05151542101102</v>
      </c>
      <c r="T42" s="93" t="n">
        <f aca="false">'LIG. PROVISÓRIAS'!E17</f>
        <v>1.36921787941483</v>
      </c>
      <c r="U42" s="93" t="n">
        <f aca="false">'LIG. PROVISÓRIAS'!E18</f>
        <v>0.425007841323939</v>
      </c>
      <c r="V42" s="93" t="n">
        <f aca="false">'LIG. PROVISÓRIAS'!E19</f>
        <v>4.12533525301879</v>
      </c>
      <c r="W42" s="93" t="n">
        <f aca="false">'LIG. PROVISÓRIAS'!E20</f>
        <v>0</v>
      </c>
      <c r="X42" s="93" t="n">
        <f aca="false">'LIG. PROVISÓRIAS'!E21</f>
        <v>5.49903465401555</v>
      </c>
      <c r="Y42" s="93" t="n">
        <f aca="false">'LIG. PROVISÓRIAS'!E22</f>
        <v>14.5773139895884</v>
      </c>
      <c r="Z42" s="93" t="n">
        <f aca="false">'LIG. PROVISÓRIAS'!E23</f>
        <v>0.0162028234298293</v>
      </c>
      <c r="AA42" s="93" t="n">
        <f aca="false">'LIG. PROVISÓRIAS'!E24</f>
        <v>0</v>
      </c>
      <c r="AB42" s="93" t="n">
        <f aca="false">'LIG. PROVISÓRIAS'!E25</f>
        <v>0</v>
      </c>
      <c r="AC42" s="93" t="n">
        <f aca="false">'LIG. PROVISÓRIAS'!E26</f>
        <v>0</v>
      </c>
      <c r="AD42" s="93" t="n">
        <f aca="false">'LIG. PROVISÓRIAS'!E27</f>
        <v>0.478375558740956</v>
      </c>
      <c r="AE42" s="93" t="n">
        <f aca="false">'LIG. PROVISÓRIAS'!E28</f>
        <v>0.128808248045901</v>
      </c>
      <c r="AF42" s="93" t="n">
        <f aca="false">'LIG. PROVISÓRIAS'!E29</f>
        <v>0</v>
      </c>
      <c r="AG42" s="93" t="n">
        <f aca="false">'LIG. PROVISÓRIAS'!E30</f>
        <v>7.18273639331939</v>
      </c>
      <c r="AH42" s="93" t="n">
        <f aca="false">'LIG. PROVISÓRIAS'!E31</f>
        <v>7.18273639331939</v>
      </c>
      <c r="AI42" s="93" t="n">
        <f aca="false">'LIG. PROVISÓRIAS'!E32</f>
        <v>7.18273639331939</v>
      </c>
      <c r="AJ42" s="93" t="n">
        <f aca="false">'LIG. PROVISÓRIAS'!E33</f>
        <v>0</v>
      </c>
      <c r="AK42" s="93" t="n">
        <f aca="false">'LIG. PROVISÓRIAS'!E34</f>
        <v>0</v>
      </c>
      <c r="AL42" s="93" t="n">
        <f aca="false">'LIG. PROVISÓRIAS'!E35</f>
        <v>0</v>
      </c>
      <c r="AM42" s="93" t="n">
        <f aca="false">'LIG. PROVISÓRIAS'!E36</f>
        <v>0</v>
      </c>
      <c r="AN42" s="93" t="n">
        <f aca="false">'LIG. PROVISÓRIAS'!E37</f>
        <v>0</v>
      </c>
      <c r="AO42" s="93" t="n">
        <f aca="false">'LIG. PROVISÓRIAS'!E38</f>
        <v>0</v>
      </c>
      <c r="AP42" s="93" t="n">
        <f aca="false">'LIG. PROVISÓRIAS'!E39</f>
        <v>0</v>
      </c>
      <c r="AQ42" s="93" t="n">
        <f aca="false">'LIG. PROVISÓRIAS'!E40</f>
        <v>0</v>
      </c>
      <c r="AR42" s="93" t="n">
        <f aca="false">'LIG. PROVISÓRIAS'!E41</f>
        <v>0</v>
      </c>
      <c r="AS42" s="93" t="n">
        <f aca="false">'LIG. PROVISÓRIAS'!E42</f>
        <v>0</v>
      </c>
      <c r="AT42" s="93" t="n">
        <f aca="false">'LIG. PROVISÓRIAS'!E43</f>
        <v>0</v>
      </c>
      <c r="AU42" s="93" t="n">
        <f aca="false">'LIG. PROVISÓRIAS'!E44</f>
        <v>0</v>
      </c>
      <c r="AV42" s="93" t="n">
        <f aca="false">'LIG. PROVISÓRIAS'!E45</f>
        <v>0</v>
      </c>
      <c r="AW42" s="93" t="n">
        <f aca="false">'LIG. PROVISÓRIAS'!E46</f>
        <v>0</v>
      </c>
      <c r="AX42" s="93" t="n">
        <f aca="false">'LIG. PROVISÓRIAS'!E47</f>
        <v>0</v>
      </c>
      <c r="AY42" s="93" t="n">
        <f aca="false">'LIG. PROVISÓRIAS'!E48</f>
        <v>0</v>
      </c>
      <c r="AZ42" s="93" t="n">
        <f aca="false">'LIG. PROVISÓRIAS'!E49</f>
        <v>0</v>
      </c>
      <c r="BA42" s="93" t="n">
        <f aca="false">'LIG. PROVISÓRIAS'!E50</f>
        <v>0</v>
      </c>
      <c r="BB42" s="93" t="n">
        <f aca="false">'LIG. PROVISÓRIAS'!E51</f>
        <v>0</v>
      </c>
      <c r="BC42" s="93" t="n">
        <f aca="false">'LIG. PROVISÓRIAS'!E52</f>
        <v>0</v>
      </c>
      <c r="BD42" s="93" t="n">
        <f aca="false">'LIG. PROVISÓRIAS'!E53</f>
        <v>0</v>
      </c>
      <c r="BE42" s="93" t="n">
        <f aca="false">'LIG. PROVISÓRIAS'!E54</f>
        <v>0</v>
      </c>
      <c r="BF42" s="93" t="n">
        <f aca="false">'LIG. PROVISÓRIAS'!E55</f>
        <v>0</v>
      </c>
      <c r="BG42" s="93" t="n">
        <f aca="false">'LIG. PROVISÓRIAS'!E56</f>
        <v>0</v>
      </c>
      <c r="BH42" s="93" t="n">
        <f aca="false">'LIG. PROVISÓRIAS'!E57</f>
        <v>0</v>
      </c>
      <c r="BI42" s="93" t="n">
        <f aca="false">'LIG. PROVISÓRIAS'!E58</f>
        <v>0</v>
      </c>
      <c r="BJ42" s="93" t="n">
        <f aca="false">'LIG. PROVISÓRIAS'!E59</f>
        <v>0</v>
      </c>
      <c r="BK42" s="93" t="n">
        <f aca="false">'LIG. PROVISÓRIAS'!E60</f>
        <v>0</v>
      </c>
      <c r="BL42" s="93" t="n">
        <f aca="false">'LIG. PROVISÓRIAS'!E61</f>
        <v>0</v>
      </c>
      <c r="BM42" s="93" t="n">
        <f aca="false">'LIG. PROVISÓRIAS'!E62</f>
        <v>0</v>
      </c>
      <c r="BN42" s="93" t="n">
        <f aca="false">'LIG. PROVISÓRIAS'!E63</f>
        <v>0</v>
      </c>
      <c r="BO42" s="93" t="n">
        <f aca="false">'LIG. PROVISÓRIAS'!E64</f>
        <v>0</v>
      </c>
      <c r="BP42" s="93" t="n">
        <f aca="false">'LIG. PROVISÓRIAS'!E65</f>
        <v>0</v>
      </c>
      <c r="BQ42" s="93" t="n">
        <f aca="false">'LIG. PROVISÓRIAS'!E66</f>
        <v>0</v>
      </c>
      <c r="BR42" s="93" t="n">
        <f aca="false">'LIG. PROVISÓRIAS'!E67</f>
        <v>0</v>
      </c>
      <c r="BS42" s="93" t="n">
        <f aca="false">'LIG. PROVISÓRIAS'!E68</f>
        <v>0</v>
      </c>
      <c r="BT42" s="93" t="n">
        <f aca="false">'LIG. PROVISÓRIAS'!E69</f>
        <v>0</v>
      </c>
      <c r="BU42" s="93" t="n">
        <f aca="false">'LIG. PROVISÓRIAS'!E70</f>
        <v>0</v>
      </c>
      <c r="BV42" s="93" t="n">
        <f aca="false">'LIG. PROVISÓRIAS'!E71</f>
        <v>0</v>
      </c>
      <c r="BW42" s="93" t="n">
        <f aca="false">'LIG. PROVISÓRIAS'!E72</f>
        <v>0</v>
      </c>
      <c r="BX42" s="93" t="n">
        <f aca="false">'LIG. PROVISÓRIAS'!E73</f>
        <v>0</v>
      </c>
      <c r="BY42" s="93" t="n">
        <f aca="false">'LIG. PROVISÓRIAS'!E74</f>
        <v>0</v>
      </c>
      <c r="BZ42" s="93" t="n">
        <f aca="false">'LIG. PROVISÓRIAS'!E75</f>
        <v>0</v>
      </c>
      <c r="CA42" s="93" t="n">
        <f aca="false">'LIG. PROVISÓRIAS'!E76</f>
        <v>0</v>
      </c>
    </row>
    <row r="43" customFormat="false" ht="15" hidden="false" customHeight="false" outlineLevel="0" collapsed="false">
      <c r="A43" s="55" t="s">
        <v>305</v>
      </c>
      <c r="B43" s="55" t="s">
        <v>354</v>
      </c>
      <c r="C43" s="55" t="s">
        <v>80</v>
      </c>
      <c r="D43" s="56" t="n">
        <f aca="false">'TAX. ADM'!$K$5</f>
        <v>477</v>
      </c>
      <c r="E43" s="45" t="n">
        <f aca="false">SUM(H43:CA43)</f>
        <v>476.964710261372</v>
      </c>
      <c r="F43" s="45" t="n">
        <f aca="false">IF(D43="","",D43-E43)</f>
        <v>0.0352897386283644</v>
      </c>
      <c r="H43" s="93" t="n">
        <f aca="false">'TAX. ADM'!E5</f>
        <v>121.837103655049</v>
      </c>
      <c r="I43" s="93" t="n">
        <f aca="false">'TAX. ADM'!E6</f>
        <v>31.5815197123297</v>
      </c>
      <c r="J43" s="93" t="n">
        <f aca="false">'TAX. ADM'!E7</f>
        <v>0</v>
      </c>
      <c r="K43" s="93" t="n">
        <f aca="false">'TAX. ADM'!E8</f>
        <v>28.8916450127547</v>
      </c>
      <c r="L43" s="93" t="n">
        <f aca="false">'TAX. ADM'!E9</f>
        <v>11.9504213727414</v>
      </c>
      <c r="M43" s="93" t="n">
        <f aca="false">'TAX. ADM'!E10</f>
        <v>60.2325725850249</v>
      </c>
      <c r="N43" s="93" t="n">
        <f aca="false">'TAX. ADM'!E11</f>
        <v>5.43681623064104</v>
      </c>
      <c r="O43" s="93" t="n">
        <f aca="false">'TAX. ADM'!E12</f>
        <v>11.2110244689877</v>
      </c>
      <c r="P43" s="93" t="n">
        <f aca="false">'TAX. ADM'!E13</f>
        <v>21.5683328593761</v>
      </c>
      <c r="Q43" s="93" t="n">
        <f aca="false">'TAX. ADM'!E14</f>
        <v>28.7069424581148</v>
      </c>
      <c r="R43" s="93" t="n">
        <f aca="false">'TAX. ADM'!E15</f>
        <v>58.0740553488509</v>
      </c>
      <c r="S43" s="93" t="n">
        <f aca="false">'TAX. ADM'!E16</f>
        <v>97.4742765575013</v>
      </c>
      <c r="T43" s="93" t="n">
        <f aca="false">'TAX. ADM'!E17</f>
        <v>0</v>
      </c>
      <c r="U43" s="93" t="n">
        <f aca="false">'TAX. ADM'!E18</f>
        <v>0</v>
      </c>
      <c r="V43" s="93" t="n">
        <f aca="false">'TAX. ADM'!E19</f>
        <v>0</v>
      </c>
      <c r="W43" s="93" t="n">
        <f aca="false">'TAX. ADM'!E20</f>
        <v>0</v>
      </c>
      <c r="X43" s="93" t="n">
        <f aca="false">'TAX. ADM'!E21</f>
        <v>0</v>
      </c>
      <c r="Y43" s="93" t="n">
        <f aca="false">'TAX. ADM'!E22</f>
        <v>0</v>
      </c>
      <c r="Z43" s="93" t="n">
        <f aca="false">'TAX. ADM'!E23</f>
        <v>0</v>
      </c>
      <c r="AA43" s="93" t="n">
        <f aca="false">'TAX. ADM'!E24</f>
        <v>0</v>
      </c>
      <c r="AB43" s="93" t="n">
        <f aca="false">'TAX. ADM'!E25</f>
        <v>0</v>
      </c>
      <c r="AC43" s="93" t="n">
        <f aca="false">'TAX. ADM'!E26</f>
        <v>0</v>
      </c>
      <c r="AD43" s="93" t="n">
        <f aca="false">'TAX. ADM'!E27</f>
        <v>0</v>
      </c>
      <c r="AE43" s="93" t="n">
        <f aca="false">'TAX. ADM'!E28</f>
        <v>0</v>
      </c>
      <c r="AF43" s="93" t="n">
        <f aca="false">'TAX. ADM'!E29</f>
        <v>0</v>
      </c>
      <c r="AG43" s="93" t="n">
        <f aca="false">'TAX. ADM'!E30</f>
        <v>0</v>
      </c>
      <c r="AH43" s="93" t="n">
        <f aca="false">'TAX. ADM'!E31</f>
        <v>0</v>
      </c>
      <c r="AI43" s="93" t="n">
        <f aca="false">'TAX. ADM'!E32</f>
        <v>0</v>
      </c>
      <c r="AJ43" s="93" t="n">
        <f aca="false">'TAX. ADM'!E33</f>
        <v>0</v>
      </c>
      <c r="AK43" s="93" t="n">
        <f aca="false">'TAX. ADM'!E34</f>
        <v>0</v>
      </c>
      <c r="AL43" s="93" t="n">
        <f aca="false">'TAX. ADM'!E35</f>
        <v>0</v>
      </c>
      <c r="AM43" s="93" t="n">
        <f aca="false">'TAX. ADM'!E36</f>
        <v>0</v>
      </c>
      <c r="AN43" s="93" t="n">
        <f aca="false">'TAX. ADM'!E37</f>
        <v>0</v>
      </c>
      <c r="AO43" s="93" t="n">
        <f aca="false">'TAX. ADM'!E38</f>
        <v>0</v>
      </c>
      <c r="AP43" s="93" t="n">
        <f aca="false">'TAX. ADM'!E39</f>
        <v>0</v>
      </c>
      <c r="AQ43" s="93" t="n">
        <f aca="false">'TAX. ADM'!E40</f>
        <v>0</v>
      </c>
      <c r="AR43" s="93" t="n">
        <f aca="false">'TAX. ADM'!E41</f>
        <v>0</v>
      </c>
      <c r="AS43" s="93" t="n">
        <f aca="false">'TAX. ADM'!E42</f>
        <v>0</v>
      </c>
      <c r="AT43" s="93" t="n">
        <f aca="false">'TAX. ADM'!E43</f>
        <v>0</v>
      </c>
      <c r="AU43" s="93" t="n">
        <f aca="false">'TAX. ADM'!E44</f>
        <v>0</v>
      </c>
      <c r="AV43" s="93" t="n">
        <f aca="false">'TAX. ADM'!E45</f>
        <v>0</v>
      </c>
      <c r="AW43" s="93" t="n">
        <f aca="false">'TAX. ADM'!E46</f>
        <v>0</v>
      </c>
      <c r="AX43" s="93" t="n">
        <f aca="false">'TAX. ADM'!E47</f>
        <v>0</v>
      </c>
      <c r="AY43" s="93" t="n">
        <f aca="false">'TAX. ADM'!E48</f>
        <v>0</v>
      </c>
      <c r="AZ43" s="93" t="n">
        <f aca="false">'TAX. ADM'!E49</f>
        <v>0</v>
      </c>
      <c r="BA43" s="93" t="n">
        <f aca="false">'TAX. ADM'!E50</f>
        <v>0</v>
      </c>
      <c r="BB43" s="93" t="n">
        <f aca="false">'TAX. ADM'!E51</f>
        <v>0</v>
      </c>
      <c r="BC43" s="93" t="n">
        <f aca="false">'TAX. ADM'!E52</f>
        <v>0</v>
      </c>
      <c r="BD43" s="93" t="n">
        <f aca="false">'TAX. ADM'!E53</f>
        <v>0</v>
      </c>
      <c r="BE43" s="93" t="n">
        <f aca="false">'TAX. ADM'!E54</f>
        <v>0</v>
      </c>
      <c r="BF43" s="93" t="n">
        <f aca="false">'TAX. ADM'!E55</f>
        <v>0</v>
      </c>
      <c r="BG43" s="93" t="n">
        <f aca="false">'TAX. ADM'!E56</f>
        <v>0</v>
      </c>
      <c r="BH43" s="93" t="n">
        <f aca="false">'TAX. ADM'!E57</f>
        <v>0</v>
      </c>
      <c r="BI43" s="93" t="n">
        <f aca="false">'TAX. ADM'!E58</f>
        <v>0</v>
      </c>
      <c r="BJ43" s="93" t="n">
        <f aca="false">'TAX. ADM'!E59</f>
        <v>0</v>
      </c>
      <c r="BK43" s="93" t="n">
        <f aca="false">'TAX. ADM'!E60</f>
        <v>0</v>
      </c>
      <c r="BL43" s="93" t="n">
        <f aca="false">'TAX. ADM'!E61</f>
        <v>0</v>
      </c>
      <c r="BM43" s="93" t="n">
        <f aca="false">'TAX. ADM'!E62</f>
        <v>0</v>
      </c>
      <c r="BN43" s="93" t="n">
        <f aca="false">'TAX. ADM'!E63</f>
        <v>0</v>
      </c>
      <c r="BO43" s="93" t="n">
        <f aca="false">'TAX. ADM'!E64</f>
        <v>0</v>
      </c>
      <c r="BP43" s="93" t="n">
        <f aca="false">'TAX. ADM'!E65</f>
        <v>0</v>
      </c>
      <c r="BQ43" s="93" t="n">
        <f aca="false">'TAX. ADM'!E66</f>
        <v>0</v>
      </c>
      <c r="BR43" s="93" t="n">
        <f aca="false">'TAX. ADM'!E67</f>
        <v>0</v>
      </c>
      <c r="BS43" s="93" t="n">
        <f aca="false">'TAX. ADM'!E68</f>
        <v>0</v>
      </c>
      <c r="BT43" s="93" t="n">
        <f aca="false">'TAX. ADM'!E69</f>
        <v>0</v>
      </c>
      <c r="BU43" s="93" t="n">
        <f aca="false">'TAX. ADM'!E70</f>
        <v>0</v>
      </c>
      <c r="BV43" s="93" t="n">
        <f aca="false">'TAX. ADM'!E71</f>
        <v>0</v>
      </c>
      <c r="BW43" s="93" t="n">
        <f aca="false">'TAX. ADM'!E72</f>
        <v>0</v>
      </c>
      <c r="BX43" s="93" t="n">
        <f aca="false">'TAX. ADM'!E73</f>
        <v>0</v>
      </c>
      <c r="BY43" s="93" t="n">
        <f aca="false">'TAX. ADM'!E74</f>
        <v>0</v>
      </c>
      <c r="BZ43" s="93" t="n">
        <f aca="false">'TAX. ADM'!E75</f>
        <v>0</v>
      </c>
      <c r="CA43" s="93" t="n">
        <f aca="false">'TAX. ADM'!E76</f>
        <v>0</v>
      </c>
    </row>
    <row r="44" customFormat="false" ht="15" hidden="false" customHeight="false" outlineLevel="0" collapsed="false">
      <c r="A44" s="55" t="s">
        <v>305</v>
      </c>
      <c r="B44" s="55" t="s">
        <v>355</v>
      </c>
      <c r="C44" s="55" t="s">
        <v>71</v>
      </c>
      <c r="D44" s="56" t="n">
        <f aca="false">TERRAPLENAGEM!$K$5</f>
        <v>1035.405812</v>
      </c>
      <c r="E44" s="45" t="n">
        <f aca="false">SUM(H44:CA44)</f>
        <v>1001.60741370941</v>
      </c>
      <c r="F44" s="45" t="n">
        <f aca="false">IF(D44="","",D44-E44)</f>
        <v>33.7983982905938</v>
      </c>
      <c r="H44" s="93" t="n">
        <f aca="false">TERRAPLENAGEM!E5</f>
        <v>0</v>
      </c>
      <c r="I44" s="93" t="n">
        <f aca="false">TERRAPLENAGEM!E6</f>
        <v>0</v>
      </c>
      <c r="J44" s="93" t="n">
        <f aca="false">TERRAPLENAGEM!E7</f>
        <v>0</v>
      </c>
      <c r="K44" s="93" t="n">
        <f aca="false">TERRAPLENAGEM!E8</f>
        <v>0</v>
      </c>
      <c r="L44" s="93" t="n">
        <f aca="false">TERRAPLENAGEM!E9</f>
        <v>0</v>
      </c>
      <c r="M44" s="93" t="n">
        <f aca="false">TERRAPLENAGEM!E10</f>
        <v>0</v>
      </c>
      <c r="N44" s="93" t="n">
        <f aca="false">TERRAPLENAGEM!E11</f>
        <v>0</v>
      </c>
      <c r="O44" s="93" t="n">
        <f aca="false">TERRAPLENAGEM!E12</f>
        <v>0</v>
      </c>
      <c r="P44" s="93" t="n">
        <f aca="false">TERRAPLENAGEM!E13</f>
        <v>0</v>
      </c>
      <c r="Q44" s="93" t="n">
        <f aca="false">TERRAPLENAGEM!E14</f>
        <v>0</v>
      </c>
      <c r="R44" s="93" t="n">
        <f aca="false">TERRAPLENAGEM!E15</f>
        <v>0</v>
      </c>
      <c r="S44" s="93" t="n">
        <f aca="false">TERRAPLENAGEM!E16</f>
        <v>3.154288437077</v>
      </c>
      <c r="T44" s="93" t="n">
        <f aca="false">TERRAPLENAGEM!E17</f>
        <v>47.3606473418387</v>
      </c>
      <c r="U44" s="93" t="n">
        <f aca="false">TERRAPLENAGEM!E18</f>
        <v>17.2981869565639</v>
      </c>
      <c r="V44" s="93" t="n">
        <f aca="false">TERRAPLENAGEM!E19</f>
        <v>84.5072677453343</v>
      </c>
      <c r="W44" s="93" t="n">
        <f aca="false">TERRAPLENAGEM!E20</f>
        <v>17.4004334575334</v>
      </c>
      <c r="X44" s="93" t="n">
        <f aca="false">TERRAPLENAGEM!E21</f>
        <v>161.398838726886</v>
      </c>
      <c r="Y44" s="93" t="n">
        <f aca="false">TERRAPLENAGEM!E22</f>
        <v>212.022979550561</v>
      </c>
      <c r="Z44" s="93" t="n">
        <f aca="false">TERRAPLENAGEM!E23</f>
        <v>158.156095267917</v>
      </c>
      <c r="AA44" s="93" t="n">
        <f aca="false">TERRAPLENAGEM!E24</f>
        <v>41.3313402114665</v>
      </c>
      <c r="AB44" s="93" t="n">
        <f aca="false">TERRAPLENAGEM!E25</f>
        <v>0</v>
      </c>
      <c r="AC44" s="93" t="n">
        <f aca="false">TERRAPLENAGEM!E26</f>
        <v>86.802975519986</v>
      </c>
      <c r="AD44" s="93" t="n">
        <f aca="false">TERRAPLENAGEM!E27</f>
        <v>63.1126612830464</v>
      </c>
      <c r="AE44" s="93" t="n">
        <f aca="false">TERRAPLENAGEM!E28</f>
        <v>63.1126612830464</v>
      </c>
      <c r="AF44" s="93" t="n">
        <f aca="false">TERRAPLENAGEM!E29</f>
        <v>0</v>
      </c>
      <c r="AG44" s="93" t="n">
        <f aca="false">TERRAPLENAGEM!E30</f>
        <v>0</v>
      </c>
      <c r="AH44" s="93" t="n">
        <f aca="false">TERRAPLENAGEM!E31</f>
        <v>0</v>
      </c>
      <c r="AI44" s="93" t="n">
        <f aca="false">TERRAPLENAGEM!E32</f>
        <v>1.61925962823341</v>
      </c>
      <c r="AJ44" s="93" t="n">
        <f aca="false">TERRAPLENAGEM!E33</f>
        <v>44.3297782999161</v>
      </c>
      <c r="AK44" s="93" t="n">
        <f aca="false">TERRAPLENAGEM!E34</f>
        <v>0</v>
      </c>
      <c r="AL44" s="93" t="n">
        <f aca="false">TERRAPLENAGEM!E35</f>
        <v>0</v>
      </c>
      <c r="AM44" s="93" t="n">
        <f aca="false">TERRAPLENAGEM!E36</f>
        <v>0</v>
      </c>
      <c r="AN44" s="93" t="n">
        <f aca="false">TERRAPLENAGEM!E37</f>
        <v>0</v>
      </c>
      <c r="AO44" s="93" t="n">
        <f aca="false">TERRAPLENAGEM!E38</f>
        <v>0</v>
      </c>
      <c r="AP44" s="93" t="n">
        <f aca="false">TERRAPLENAGEM!E39</f>
        <v>0</v>
      </c>
      <c r="AQ44" s="93" t="n">
        <f aca="false">TERRAPLENAGEM!E40</f>
        <v>0</v>
      </c>
      <c r="AR44" s="93" t="n">
        <f aca="false">TERRAPLENAGEM!E41</f>
        <v>0</v>
      </c>
      <c r="AS44" s="93" t="n">
        <f aca="false">TERRAPLENAGEM!E42</f>
        <v>0</v>
      </c>
      <c r="AT44" s="93" t="n">
        <f aca="false">TERRAPLENAGEM!E43</f>
        <v>0</v>
      </c>
      <c r="AU44" s="93" t="n">
        <f aca="false">TERRAPLENAGEM!E44</f>
        <v>0</v>
      </c>
      <c r="AV44" s="93" t="n">
        <f aca="false">TERRAPLENAGEM!E45</f>
        <v>0</v>
      </c>
      <c r="AW44" s="93" t="n">
        <f aca="false">TERRAPLENAGEM!E46</f>
        <v>0</v>
      </c>
      <c r="AX44" s="93" t="n">
        <f aca="false">TERRAPLENAGEM!E47</f>
        <v>0</v>
      </c>
      <c r="AY44" s="93" t="n">
        <f aca="false">TERRAPLENAGEM!E48</f>
        <v>0</v>
      </c>
      <c r="AZ44" s="93" t="n">
        <f aca="false">TERRAPLENAGEM!E49</f>
        <v>0</v>
      </c>
      <c r="BA44" s="93" t="n">
        <f aca="false">TERRAPLENAGEM!E50</f>
        <v>0</v>
      </c>
      <c r="BB44" s="93" t="n">
        <f aca="false">TERRAPLENAGEM!E51</f>
        <v>0</v>
      </c>
      <c r="BC44" s="93" t="n">
        <f aca="false">TERRAPLENAGEM!E52</f>
        <v>0</v>
      </c>
      <c r="BD44" s="93" t="n">
        <f aca="false">TERRAPLENAGEM!E53</f>
        <v>0</v>
      </c>
      <c r="BE44" s="93" t="n">
        <f aca="false">TERRAPLENAGEM!E54</f>
        <v>0</v>
      </c>
      <c r="BF44" s="93" t="n">
        <f aca="false">TERRAPLENAGEM!E55</f>
        <v>0</v>
      </c>
      <c r="BG44" s="93" t="n">
        <f aca="false">TERRAPLENAGEM!E56</f>
        <v>0</v>
      </c>
      <c r="BH44" s="93" t="n">
        <f aca="false">TERRAPLENAGEM!E57</f>
        <v>0</v>
      </c>
      <c r="BI44" s="93" t="n">
        <f aca="false">TERRAPLENAGEM!E58</f>
        <v>0</v>
      </c>
      <c r="BJ44" s="93" t="n">
        <f aca="false">TERRAPLENAGEM!E59</f>
        <v>0</v>
      </c>
      <c r="BK44" s="93" t="n">
        <f aca="false">TERRAPLENAGEM!E60</f>
        <v>0</v>
      </c>
      <c r="BL44" s="93" t="n">
        <f aca="false">TERRAPLENAGEM!E61</f>
        <v>0</v>
      </c>
      <c r="BM44" s="93" t="n">
        <f aca="false">TERRAPLENAGEM!E62</f>
        <v>0</v>
      </c>
      <c r="BN44" s="93" t="n">
        <f aca="false">TERRAPLENAGEM!E63</f>
        <v>0</v>
      </c>
      <c r="BO44" s="93" t="n">
        <f aca="false">TERRAPLENAGEM!E64</f>
        <v>0</v>
      </c>
      <c r="BP44" s="93" t="n">
        <f aca="false">TERRAPLENAGEM!E65</f>
        <v>0</v>
      </c>
      <c r="BQ44" s="93" t="n">
        <f aca="false">TERRAPLENAGEM!E66</f>
        <v>0</v>
      </c>
      <c r="BR44" s="93" t="n">
        <f aca="false">TERRAPLENAGEM!E67</f>
        <v>0</v>
      </c>
      <c r="BS44" s="93" t="n">
        <f aca="false">TERRAPLENAGEM!E68</f>
        <v>0</v>
      </c>
      <c r="BT44" s="93" t="n">
        <f aca="false">TERRAPLENAGEM!E69</f>
        <v>0</v>
      </c>
      <c r="BU44" s="93" t="n">
        <f aca="false">TERRAPLENAGEM!E70</f>
        <v>0</v>
      </c>
      <c r="BV44" s="93" t="n">
        <f aca="false">TERRAPLENAGEM!E71</f>
        <v>0</v>
      </c>
      <c r="BW44" s="93" t="n">
        <f aca="false">TERRAPLENAGEM!E72</f>
        <v>0</v>
      </c>
      <c r="BX44" s="93" t="n">
        <f aca="false">TERRAPLENAGEM!E73</f>
        <v>0</v>
      </c>
      <c r="BY44" s="93" t="n">
        <f aca="false">TERRAPLENAGEM!E74</f>
        <v>0</v>
      </c>
      <c r="BZ44" s="93" t="n">
        <f aca="false">TERRAPLENAGEM!E75</f>
        <v>0</v>
      </c>
      <c r="CA44" s="93" t="n">
        <f aca="false">TERRAPLENAGEM!E76</f>
        <v>0</v>
      </c>
    </row>
    <row r="45" customFormat="false" ht="15" hidden="false" customHeight="false" outlineLevel="0" collapsed="false">
      <c r="A45" s="55" t="s">
        <v>305</v>
      </c>
      <c r="B45" s="55" t="s">
        <v>356</v>
      </c>
      <c r="C45" s="55" t="s">
        <v>86</v>
      </c>
      <c r="E45" s="45" t="n">
        <f aca="false">SUM(H45:CA45)</f>
        <v>0</v>
      </c>
      <c r="F45" s="45" t="str">
        <f aca="false">IF(D45="","",D45-E45)</f>
        <v/>
      </c>
    </row>
    <row r="46" customFormat="false" ht="15" hidden="false" customHeight="false" outlineLevel="0" collapsed="false">
      <c r="A46" s="55" t="s">
        <v>305</v>
      </c>
      <c r="B46" s="55" t="s">
        <v>357</v>
      </c>
      <c r="C46" s="55" t="s">
        <v>79</v>
      </c>
      <c r="D46" s="56" t="n">
        <f aca="false">TRANSPORTES!$K$5</f>
        <v>640.739834</v>
      </c>
      <c r="E46" s="45" t="n">
        <f aca="false">SUM(H46:CA46)</f>
        <v>646.413125953338</v>
      </c>
      <c r="F46" s="45" t="n">
        <f aca="false">IF(D46="","",D46-E46)</f>
        <v>-5.67329195333821</v>
      </c>
      <c r="H46" s="93" t="n">
        <f aca="false">TRANSPORTES!E5</f>
        <v>0.209155518310871</v>
      </c>
      <c r="I46" s="93" t="n">
        <f aca="false">TRANSPORTES!E6</f>
        <v>0</v>
      </c>
      <c r="J46" s="93" t="n">
        <f aca="false">TRANSPORTES!E7</f>
        <v>0.0865838853272561</v>
      </c>
      <c r="K46" s="93" t="n">
        <f aca="false">TRANSPORTES!E8</f>
        <v>0.00285984388816568</v>
      </c>
      <c r="L46" s="93" t="n">
        <f aca="false">TRANSPORTES!E9</f>
        <v>0</v>
      </c>
      <c r="M46" s="93" t="n">
        <f aca="false">TRANSPORTES!E10</f>
        <v>0.0446644791900125</v>
      </c>
      <c r="N46" s="93" t="n">
        <f aca="false">TRANSPORTES!E11</f>
        <v>0.0418171101675769</v>
      </c>
      <c r="O46" s="93" t="n">
        <f aca="false">TRANSPORTES!E12</f>
        <v>0.834427260132626</v>
      </c>
      <c r="P46" s="93" t="n">
        <f aca="false">TRANSPORTES!E13</f>
        <v>1.53966529301245</v>
      </c>
      <c r="Q46" s="93" t="n">
        <f aca="false">TRANSPORTES!E14</f>
        <v>12.851395736769</v>
      </c>
      <c r="R46" s="93" t="n">
        <f aca="false">TRANSPORTES!E15</f>
        <v>6.8855390737232</v>
      </c>
      <c r="S46" s="93" t="n">
        <f aca="false">TRANSPORTES!E16</f>
        <v>3.26647536415877</v>
      </c>
      <c r="T46" s="93" t="n">
        <f aca="false">TRANSPORTES!E17</f>
        <v>6.15429898848767</v>
      </c>
      <c r="U46" s="93" t="n">
        <f aca="false">TRANSPORTES!E18</f>
        <v>3.47219482698968</v>
      </c>
      <c r="V46" s="93" t="n">
        <f aca="false">TRANSPORTES!E19</f>
        <v>3.20682058008144</v>
      </c>
      <c r="W46" s="93" t="n">
        <f aca="false">TRANSPORTES!E20</f>
        <v>6.74635036935297</v>
      </c>
      <c r="X46" s="93" t="n">
        <f aca="false">TRANSPORTES!E21</f>
        <v>1.59377351840032</v>
      </c>
      <c r="Y46" s="93" t="n">
        <f aca="false">TRANSPORTES!E22</f>
        <v>2.00681516807731</v>
      </c>
      <c r="Z46" s="93" t="n">
        <f aca="false">TRANSPORTES!E23</f>
        <v>2.53046716449028</v>
      </c>
      <c r="AA46" s="93" t="n">
        <f aca="false">TRANSPORTES!E24</f>
        <v>0.864881394502305</v>
      </c>
      <c r="AB46" s="93" t="n">
        <f aca="false">TRANSPORTES!E25</f>
        <v>4.41218947805094</v>
      </c>
      <c r="AC46" s="93" t="n">
        <f aca="false">TRANSPORTES!E26</f>
        <v>21.8512969017233</v>
      </c>
      <c r="AD46" s="93" t="n">
        <f aca="false">TRANSPORTES!E27</f>
        <v>15.5511014466661</v>
      </c>
      <c r="AE46" s="93" t="n">
        <f aca="false">TRANSPORTES!E28</f>
        <v>9.33921856332146</v>
      </c>
      <c r="AF46" s="93" t="n">
        <f aca="false">TRANSPORTES!E29</f>
        <v>9.57848794003848</v>
      </c>
      <c r="AG46" s="93" t="n">
        <f aca="false">TRANSPORTES!E30</f>
        <v>12.6298268482304</v>
      </c>
      <c r="AH46" s="93" t="n">
        <f aca="false">TRANSPORTES!E31</f>
        <v>21.8654249982613</v>
      </c>
      <c r="AI46" s="93" t="n">
        <f aca="false">TRANSPORTES!E32</f>
        <v>19.758440456736</v>
      </c>
      <c r="AJ46" s="93" t="n">
        <f aca="false">TRANSPORTES!E33</f>
        <v>23.1547832250968</v>
      </c>
      <c r="AK46" s="93" t="n">
        <f aca="false">TRANSPORTES!E34</f>
        <v>23.386130646594</v>
      </c>
      <c r="AL46" s="93" t="n">
        <f aca="false">TRANSPORTES!E35</f>
        <v>26.7170611415024</v>
      </c>
      <c r="AM46" s="93" t="n">
        <f aca="false">TRANSPORTES!E36</f>
        <v>25.3846703583069</v>
      </c>
      <c r="AN46" s="93" t="n">
        <f aca="false">TRANSPORTES!E37</f>
        <v>24.1436956859322</v>
      </c>
      <c r="AO46" s="93" t="n">
        <f aca="false">TRANSPORTES!E38</f>
        <v>26.3461076508922</v>
      </c>
      <c r="AP46" s="93" t="n">
        <f aca="false">TRANSPORTES!E39</f>
        <v>22.8007810150106</v>
      </c>
      <c r="AQ46" s="93" t="n">
        <f aca="false">TRANSPORTES!E40</f>
        <v>20.4934631582005</v>
      </c>
      <c r="AR46" s="93" t="n">
        <f aca="false">TRANSPORTES!E41</f>
        <v>22.4606248029039</v>
      </c>
      <c r="AS46" s="93" t="n">
        <f aca="false">TRANSPORTES!E42</f>
        <v>24.4103860239721</v>
      </c>
      <c r="AT46" s="93" t="n">
        <f aca="false">TRANSPORTES!E43</f>
        <v>24.0151710615108</v>
      </c>
      <c r="AU46" s="93" t="n">
        <f aca="false">TRANSPORTES!E44</f>
        <v>15.9938313125854</v>
      </c>
      <c r="AV46" s="93" t="n">
        <f aca="false">TRANSPORTES!E45</f>
        <v>10.0114154361464</v>
      </c>
      <c r="AW46" s="93" t="n">
        <f aca="false">TRANSPORTES!E46</f>
        <v>10.0114154361464</v>
      </c>
      <c r="AX46" s="93" t="n">
        <f aca="false">TRANSPORTES!E47</f>
        <v>10.0114154361464</v>
      </c>
      <c r="AY46" s="93" t="n">
        <f aca="false">TRANSPORTES!E48</f>
        <v>10.0114154361464</v>
      </c>
      <c r="AZ46" s="93" t="n">
        <f aca="false">TRANSPORTES!E49</f>
        <v>10.0114154361464</v>
      </c>
      <c r="BA46" s="93" t="n">
        <f aca="false">TRANSPORTES!E50</f>
        <v>10.0114154361464</v>
      </c>
      <c r="BB46" s="93" t="n">
        <f aca="false">TRANSPORTES!E51</f>
        <v>10.0114154361464</v>
      </c>
      <c r="BC46" s="93" t="n">
        <f aca="false">TRANSPORTES!E52</f>
        <v>10.0114154361464</v>
      </c>
      <c r="BD46" s="93" t="n">
        <f aca="false">TRANSPORTES!E53</f>
        <v>10.0114154361464</v>
      </c>
      <c r="BE46" s="93" t="n">
        <f aca="false">TRANSPORTES!E54</f>
        <v>10.0114154361464</v>
      </c>
      <c r="BF46" s="93" t="n">
        <f aca="false">TRANSPORTES!E55</f>
        <v>4.646308046806</v>
      </c>
      <c r="BG46" s="93" t="n">
        <f aca="false">TRANSPORTES!E56</f>
        <v>50.7678926172725</v>
      </c>
      <c r="BH46" s="93" t="n">
        <f aca="false">TRANSPORTES!E57</f>
        <v>15.0527216177048</v>
      </c>
      <c r="BI46" s="93" t="n">
        <f aca="false">TRANSPORTES!E58</f>
        <v>29.2011710194935</v>
      </c>
      <c r="BJ46" s="93" t="n">
        <f aca="false">TRANSPORTES!E59</f>
        <v>0</v>
      </c>
      <c r="BK46" s="93" t="n">
        <f aca="false">TRANSPORTES!E60</f>
        <v>0</v>
      </c>
      <c r="BL46" s="93" t="n">
        <f aca="false">TRANSPORTES!E61</f>
        <v>0</v>
      </c>
      <c r="BM46" s="93" t="n">
        <f aca="false">TRANSPORTES!E62</f>
        <v>0</v>
      </c>
      <c r="BN46" s="93" t="n">
        <f aca="false">TRANSPORTES!E63</f>
        <v>0</v>
      </c>
      <c r="BO46" s="93" t="n">
        <f aca="false">TRANSPORTES!E64</f>
        <v>0</v>
      </c>
      <c r="BP46" s="93" t="n">
        <f aca="false">TRANSPORTES!E65</f>
        <v>0</v>
      </c>
      <c r="BQ46" s="93" t="n">
        <f aca="false">TRANSPORTES!E66</f>
        <v>0</v>
      </c>
      <c r="BR46" s="93" t="n">
        <f aca="false">TRANSPORTES!E67</f>
        <v>0</v>
      </c>
      <c r="BS46" s="93" t="n">
        <f aca="false">TRANSPORTES!E68</f>
        <v>0</v>
      </c>
      <c r="BT46" s="93" t="n">
        <f aca="false">TRANSPORTES!E69</f>
        <v>0</v>
      </c>
      <c r="BU46" s="93" t="n">
        <f aca="false">TRANSPORTES!E70</f>
        <v>0</v>
      </c>
      <c r="BV46" s="93" t="n">
        <f aca="false">TRANSPORTES!E71</f>
        <v>0</v>
      </c>
      <c r="BW46" s="93" t="n">
        <f aca="false">TRANSPORTES!E72</f>
        <v>0</v>
      </c>
      <c r="BX46" s="93" t="n">
        <f aca="false">TRANSPORTES!E73</f>
        <v>0</v>
      </c>
      <c r="BY46" s="93" t="n">
        <f aca="false">TRANSPORTES!E74</f>
        <v>0</v>
      </c>
      <c r="BZ46" s="93" t="n">
        <f aca="false">TRANSPORTES!E75</f>
        <v>0</v>
      </c>
      <c r="CA46" s="93" t="n">
        <f aca="false">TRANSPORTES!E76</f>
        <v>0</v>
      </c>
    </row>
    <row r="47" customFormat="false" ht="15" hidden="false" customHeight="false" outlineLevel="0" collapsed="false">
      <c r="A47" s="55" t="s">
        <v>305</v>
      </c>
      <c r="B47" s="55" t="s">
        <v>358</v>
      </c>
      <c r="C47" s="55" t="s">
        <v>359</v>
      </c>
      <c r="E47" s="45" t="n">
        <f aca="false">SUM(H47:CA47)</f>
        <v>0</v>
      </c>
      <c r="F47" s="45" t="str">
        <f aca="false">IF(D47="","",D47-E47)</f>
        <v/>
      </c>
    </row>
    <row r="48" customFormat="false" ht="15" hidden="false" customHeight="false" outlineLevel="0" collapsed="false">
      <c r="A48" s="55" t="s">
        <v>305</v>
      </c>
      <c r="B48" s="55" t="s">
        <v>360</v>
      </c>
      <c r="C48" s="55" t="s">
        <v>361</v>
      </c>
      <c r="E48" s="45" t="n">
        <f aca="false">SUM(H48:CA48)</f>
        <v>0</v>
      </c>
      <c r="F48" s="45" t="str">
        <f aca="false">IF(D48="","",D48-E48)</f>
        <v/>
      </c>
    </row>
    <row r="49" customFormat="false" ht="15" hidden="false" customHeight="false" outlineLevel="0" collapsed="false">
      <c r="A49" s="55" t="s">
        <v>305</v>
      </c>
      <c r="B49" s="55" t="s">
        <v>362</v>
      </c>
      <c r="C49" s="55" t="s">
        <v>82</v>
      </c>
      <c r="D49" s="56" t="n">
        <f aca="false">MDO!$K$5</f>
        <v>16592.360482</v>
      </c>
      <c r="E49" s="45" t="n">
        <f aca="false">SUM(H49:CA49)</f>
        <v>16587.039563599</v>
      </c>
      <c r="F49" s="45" t="n">
        <f aca="false">IF(D49="","",D49-E49)</f>
        <v>5.32091840102294</v>
      </c>
      <c r="H49" s="93" t="n">
        <f aca="false">MDO!E5</f>
        <v>343.30301603844</v>
      </c>
      <c r="I49" s="93" t="n">
        <f aca="false">MDO!E6</f>
        <v>0.804026289948987</v>
      </c>
      <c r="J49" s="93" t="n">
        <f aca="false">MDO!E7</f>
        <v>52.2735277203893</v>
      </c>
      <c r="K49" s="93" t="n">
        <f aca="false">MDO!E8</f>
        <v>100.962732075907</v>
      </c>
      <c r="L49" s="93" t="n">
        <f aca="false">MDO!E9</f>
        <v>51.1771251420476</v>
      </c>
      <c r="M49" s="93" t="n">
        <f aca="false">MDO!E10</f>
        <v>20.0724402284176</v>
      </c>
      <c r="N49" s="93" t="n">
        <f aca="false">MDO!E11</f>
        <v>22.619046626578</v>
      </c>
      <c r="O49" s="93" t="n">
        <f aca="false">MDO!E12</f>
        <v>42.5351701940815</v>
      </c>
      <c r="P49" s="93" t="n">
        <f aca="false">MDO!E13</f>
        <v>73.8890907088483</v>
      </c>
      <c r="Q49" s="93" t="n">
        <f aca="false">MDO!E14</f>
        <v>89.7696404586021</v>
      </c>
      <c r="R49" s="93" t="n">
        <f aca="false">MDO!E15</f>
        <v>134.2475432689</v>
      </c>
      <c r="S49" s="93" t="n">
        <f aca="false">MDO!E16</f>
        <v>191.104596563572</v>
      </c>
      <c r="T49" s="93" t="n">
        <f aca="false">MDO!E17</f>
        <v>152.504810037121</v>
      </c>
      <c r="U49" s="93" t="n">
        <f aca="false">MDO!E18</f>
        <v>167.363835813994</v>
      </c>
      <c r="V49" s="93" t="n">
        <f aca="false">MDO!E19</f>
        <v>152.992032929162</v>
      </c>
      <c r="W49" s="93" t="n">
        <f aca="false">MDO!E20</f>
        <v>172.517645794796</v>
      </c>
      <c r="X49" s="93" t="n">
        <f aca="false">MDO!E21</f>
        <v>161.590748873498</v>
      </c>
      <c r="Y49" s="93" t="n">
        <f aca="false">MDO!E22</f>
        <v>163.521309204805</v>
      </c>
      <c r="Z49" s="93" t="n">
        <f aca="false">MDO!E23</f>
        <v>160.274557819092</v>
      </c>
      <c r="AA49" s="93" t="n">
        <f aca="false">MDO!E24</f>
        <v>198.988110345063</v>
      </c>
      <c r="AB49" s="93" t="n">
        <f aca="false">MDO!E25</f>
        <v>230.436637214133</v>
      </c>
      <c r="AC49" s="93" t="n">
        <f aca="false">MDO!E26</f>
        <v>309.092448165041</v>
      </c>
      <c r="AD49" s="93" t="n">
        <f aca="false">MDO!E27</f>
        <v>298.167102667789</v>
      </c>
      <c r="AE49" s="93" t="n">
        <f aca="false">MDO!E28</f>
        <v>295.9696721366</v>
      </c>
      <c r="AF49" s="93" t="n">
        <f aca="false">MDO!E29</f>
        <v>330.727992807574</v>
      </c>
      <c r="AG49" s="93" t="n">
        <f aca="false">MDO!E30</f>
        <v>386.74122749927</v>
      </c>
      <c r="AH49" s="93" t="n">
        <f aca="false">MDO!E31</f>
        <v>347.478785112296</v>
      </c>
      <c r="AI49" s="93" t="n">
        <f aca="false">MDO!E32</f>
        <v>348.30216048967</v>
      </c>
      <c r="AJ49" s="93" t="n">
        <f aca="false">MDO!E33</f>
        <v>355.594079383629</v>
      </c>
      <c r="AK49" s="93" t="n">
        <f aca="false">MDO!E34</f>
        <v>359.964018355452</v>
      </c>
      <c r="AL49" s="93" t="n">
        <f aca="false">MDO!E35</f>
        <v>359.964018355452</v>
      </c>
      <c r="AM49" s="93" t="n">
        <f aca="false">MDO!E36</f>
        <v>359.964018355452</v>
      </c>
      <c r="AN49" s="93" t="n">
        <f aca="false">MDO!E37</f>
        <v>366.331350843426</v>
      </c>
      <c r="AO49" s="93" t="n">
        <f aca="false">MDO!E38</f>
        <v>366.331350843426</v>
      </c>
      <c r="AP49" s="93" t="n">
        <f aca="false">MDO!E39</f>
        <v>366.316305954251</v>
      </c>
      <c r="AQ49" s="93" t="n">
        <f aca="false">MDO!E40</f>
        <v>466.977295794174</v>
      </c>
      <c r="AR49" s="93" t="n">
        <f aca="false">MDO!E41</f>
        <v>466.830044150447</v>
      </c>
      <c r="AS49" s="93" t="n">
        <f aca="false">MDO!E42</f>
        <v>366.331350843426</v>
      </c>
      <c r="AT49" s="93" t="n">
        <f aca="false">MDO!E43</f>
        <v>366.331350843426</v>
      </c>
      <c r="AU49" s="93" t="n">
        <f aca="false">MDO!E44</f>
        <v>366.331350843426</v>
      </c>
      <c r="AV49" s="93" t="n">
        <f aca="false">MDO!E45</f>
        <v>352.033305723199</v>
      </c>
      <c r="AW49" s="93" t="n">
        <f aca="false">MDO!E46</f>
        <v>352.033305723199</v>
      </c>
      <c r="AX49" s="93" t="n">
        <f aca="false">MDO!E47</f>
        <v>352.033305723199</v>
      </c>
      <c r="AY49" s="93" t="n">
        <f aca="false">MDO!E48</f>
        <v>339.219081222475</v>
      </c>
      <c r="AZ49" s="93" t="n">
        <f aca="false">MDO!E49</f>
        <v>322.516461826989</v>
      </c>
      <c r="BA49" s="93" t="n">
        <f aca="false">MDO!E50</f>
        <v>322.516461826989</v>
      </c>
      <c r="BB49" s="93" t="n">
        <f aca="false">MDO!E51</f>
        <v>322.516461826989</v>
      </c>
      <c r="BC49" s="93" t="n">
        <f aca="false">MDO!E52</f>
        <v>457.719807840233</v>
      </c>
      <c r="BD49" s="93" t="n">
        <f aca="false">MDO!E53</f>
        <v>477.642853291848</v>
      </c>
      <c r="BE49" s="93" t="n">
        <f aca="false">MDO!E54</f>
        <v>373.333180397718</v>
      </c>
      <c r="BF49" s="93" t="n">
        <f aca="false">MDO!E55</f>
        <v>345.299376507239</v>
      </c>
      <c r="BG49" s="93" t="n">
        <f aca="false">MDO!E56</f>
        <v>345.299376507239</v>
      </c>
      <c r="BH49" s="93" t="n">
        <f aca="false">MDO!E57</f>
        <v>485.335912398161</v>
      </c>
      <c r="BI49" s="93" t="n">
        <f aca="false">MDO!E58</f>
        <v>128.63185542661</v>
      </c>
      <c r="BJ49" s="93" t="n">
        <f aca="false">MDO!E59</f>
        <v>49.9691691397517</v>
      </c>
      <c r="BK49" s="93" t="n">
        <f aca="false">MDO!E60</f>
        <v>49.9691691397517</v>
      </c>
      <c r="BL49" s="93" t="n">
        <f aca="false">MDO!E61</f>
        <v>0</v>
      </c>
      <c r="BM49" s="93" t="n">
        <f aca="false">MDO!E62</f>
        <v>0</v>
      </c>
      <c r="BN49" s="93" t="n">
        <f aca="false">MDO!E63</f>
        <v>1944.27691228576</v>
      </c>
      <c r="BO49" s="93" t="n">
        <f aca="false">MDO!E64</f>
        <v>0</v>
      </c>
      <c r="BP49" s="93" t="n">
        <f aca="false">MDO!E65</f>
        <v>0</v>
      </c>
      <c r="BQ49" s="93" t="n">
        <f aca="false">MDO!E66</f>
        <v>0</v>
      </c>
      <c r="BR49" s="93" t="n">
        <f aca="false">MDO!E67</f>
        <v>0</v>
      </c>
      <c r="BS49" s="93" t="n">
        <f aca="false">MDO!E68</f>
        <v>0</v>
      </c>
      <c r="BT49" s="93" t="n">
        <f aca="false">MDO!E69</f>
        <v>0</v>
      </c>
      <c r="BU49" s="93" t="n">
        <f aca="false">MDO!E70</f>
        <v>0</v>
      </c>
      <c r="BV49" s="93" t="n">
        <f aca="false">MDO!E71</f>
        <v>0</v>
      </c>
      <c r="BW49" s="93" t="n">
        <f aca="false">MDO!E72</f>
        <v>0</v>
      </c>
      <c r="BX49" s="93" t="n">
        <f aca="false">MDO!E73</f>
        <v>0</v>
      </c>
      <c r="BY49" s="93" t="n">
        <f aca="false">MDO!E74</f>
        <v>0</v>
      </c>
      <c r="BZ49" s="93" t="n">
        <f aca="false">MDO!E75</f>
        <v>0</v>
      </c>
      <c r="CA49" s="93" t="n">
        <f aca="false">MDO!E76</f>
        <v>0</v>
      </c>
    </row>
    <row r="50" customFormat="false" ht="15" hidden="false" customHeight="false" outlineLevel="0" collapsed="false">
      <c r="A50" s="55" t="s">
        <v>305</v>
      </c>
      <c r="B50" s="55" t="s">
        <v>363</v>
      </c>
      <c r="C50" s="55" t="s">
        <v>66</v>
      </c>
      <c r="D50" s="56" t="n">
        <f aca="false">'TAX. DIVERSAS'!$K$5</f>
        <v>123.283686</v>
      </c>
      <c r="E50" s="45" t="n">
        <f aca="false">SUM(H50:CA50)</f>
        <v>123.23674635542</v>
      </c>
      <c r="F50" s="45" t="n">
        <f aca="false">IF(D50="","",D50-E50)</f>
        <v>0.0469396445796662</v>
      </c>
      <c r="H50" s="93" t="n">
        <f aca="false">'TAX. DIVERSAS'!E5</f>
        <v>0.135797845387852</v>
      </c>
      <c r="I50" s="93" t="n">
        <f aca="false">'TAX. DIVERSAS'!E6</f>
        <v>0.0347441998911998</v>
      </c>
      <c r="J50" s="93" t="n">
        <f aca="false">'TAX. DIVERSAS'!E7</f>
        <v>0</v>
      </c>
      <c r="K50" s="93" t="n">
        <f aca="false">'TAX. DIVERSAS'!E8</f>
        <v>0</v>
      </c>
      <c r="L50" s="93" t="n">
        <f aca="false">'TAX. DIVERSAS'!E9</f>
        <v>0</v>
      </c>
      <c r="M50" s="93" t="n">
        <f aca="false">'TAX. DIVERSAS'!E10</f>
        <v>0</v>
      </c>
      <c r="N50" s="93" t="n">
        <f aca="false">'TAX. DIVERSAS'!E11</f>
        <v>0.0535552463549669</v>
      </c>
      <c r="O50" s="93" t="n">
        <f aca="false">'TAX. DIVERSAS'!E12</f>
        <v>0</v>
      </c>
      <c r="P50" s="93" t="n">
        <f aca="false">'TAX. DIVERSAS'!E13</f>
        <v>0</v>
      </c>
      <c r="Q50" s="93" t="n">
        <f aca="false">'TAX. DIVERSAS'!E14</f>
        <v>0</v>
      </c>
      <c r="R50" s="93" t="n">
        <f aca="false">'TAX. DIVERSAS'!E15</f>
        <v>0</v>
      </c>
      <c r="S50" s="93" t="n">
        <f aca="false">'TAX. DIVERSAS'!E16</f>
        <v>0.0840626843435188</v>
      </c>
      <c r="T50" s="93" t="n">
        <f aca="false">'TAX. DIVERSAS'!E17</f>
        <v>0</v>
      </c>
      <c r="U50" s="93" t="n">
        <f aca="false">'TAX. DIVERSAS'!E18</f>
        <v>0</v>
      </c>
      <c r="V50" s="93" t="n">
        <f aca="false">'TAX. DIVERSAS'!E19</f>
        <v>0</v>
      </c>
      <c r="W50" s="93" t="n">
        <f aca="false">'TAX. DIVERSAS'!E20</f>
        <v>0</v>
      </c>
      <c r="X50" s="93" t="n">
        <f aca="false">'TAX. DIVERSAS'!E21</f>
        <v>0</v>
      </c>
      <c r="Y50" s="93" t="n">
        <f aca="false">'TAX. DIVERSAS'!E22</f>
        <v>0</v>
      </c>
      <c r="Z50" s="93" t="n">
        <f aca="false">'TAX. DIVERSAS'!E23</f>
        <v>0</v>
      </c>
      <c r="AA50" s="93" t="n">
        <f aca="false">'TAX. DIVERSAS'!E24</f>
        <v>0</v>
      </c>
      <c r="AB50" s="93" t="n">
        <f aca="false">'TAX. DIVERSAS'!E25</f>
        <v>4.27422855772545</v>
      </c>
      <c r="AC50" s="93" t="n">
        <f aca="false">'TAX. DIVERSAS'!E26</f>
        <v>0.72562239118628</v>
      </c>
      <c r="AD50" s="93" t="n">
        <f aca="false">'TAX. DIVERSAS'!E27</f>
        <v>0</v>
      </c>
      <c r="AE50" s="93" t="n">
        <f aca="false">'TAX. DIVERSAS'!E28</f>
        <v>0</v>
      </c>
      <c r="AF50" s="93" t="n">
        <f aca="false">'TAX. DIVERSAS'!E29</f>
        <v>0.72562239118628</v>
      </c>
      <c r="AG50" s="93" t="n">
        <f aca="false">'TAX. DIVERSAS'!E30</f>
        <v>0</v>
      </c>
      <c r="AH50" s="93" t="n">
        <f aca="false">'TAX. DIVERSAS'!E31</f>
        <v>0</v>
      </c>
      <c r="AI50" s="93" t="n">
        <f aca="false">'TAX. DIVERSAS'!E32</f>
        <v>0.72562239118628</v>
      </c>
      <c r="AJ50" s="93" t="n">
        <f aca="false">'TAX. DIVERSAS'!E33</f>
        <v>0</v>
      </c>
      <c r="AK50" s="93" t="n">
        <f aca="false">'TAX. DIVERSAS'!E34</f>
        <v>0</v>
      </c>
      <c r="AL50" s="93" t="n">
        <f aca="false">'TAX. DIVERSAS'!E35</f>
        <v>0.72562239118628</v>
      </c>
      <c r="AM50" s="93" t="n">
        <f aca="false">'TAX. DIVERSAS'!E36</f>
        <v>0</v>
      </c>
      <c r="AN50" s="93" t="n">
        <f aca="false">'TAX. DIVERSAS'!E37</f>
        <v>0</v>
      </c>
      <c r="AO50" s="93" t="n">
        <f aca="false">'TAX. DIVERSAS'!E38</f>
        <v>0.72562239118628</v>
      </c>
      <c r="AP50" s="93" t="n">
        <f aca="false">'TAX. DIVERSAS'!E39</f>
        <v>0</v>
      </c>
      <c r="AQ50" s="93" t="n">
        <f aca="false">'TAX. DIVERSAS'!E40</f>
        <v>0</v>
      </c>
      <c r="AR50" s="93" t="n">
        <f aca="false">'TAX. DIVERSAS'!E41</f>
        <v>0</v>
      </c>
      <c r="AS50" s="93" t="n">
        <f aca="false">'TAX. DIVERSAS'!E42</f>
        <v>0</v>
      </c>
      <c r="AT50" s="93" t="n">
        <f aca="false">'TAX. DIVERSAS'!E43</f>
        <v>0</v>
      </c>
      <c r="AU50" s="93" t="n">
        <f aca="false">'TAX. DIVERSAS'!E44</f>
        <v>0</v>
      </c>
      <c r="AV50" s="93" t="n">
        <f aca="false">'TAX. DIVERSAS'!E45</f>
        <v>0</v>
      </c>
      <c r="AW50" s="93" t="n">
        <f aca="false">'TAX. DIVERSAS'!E46</f>
        <v>0</v>
      </c>
      <c r="AX50" s="93" t="n">
        <f aca="false">'TAX. DIVERSAS'!E47</f>
        <v>0</v>
      </c>
      <c r="AY50" s="93" t="n">
        <f aca="false">'TAX. DIVERSAS'!E48</f>
        <v>0</v>
      </c>
      <c r="AZ50" s="93" t="n">
        <f aca="false">'TAX. DIVERSAS'!E49</f>
        <v>0</v>
      </c>
      <c r="BA50" s="93" t="n">
        <f aca="false">'TAX. DIVERSAS'!E50</f>
        <v>0</v>
      </c>
      <c r="BB50" s="93" t="n">
        <f aca="false">'TAX. DIVERSAS'!E51</f>
        <v>12.5242757414688</v>
      </c>
      <c r="BC50" s="93" t="n">
        <f aca="false">'TAX. DIVERSAS'!E52</f>
        <v>19.5691828076956</v>
      </c>
      <c r="BD50" s="93" t="n">
        <f aca="false">'TAX. DIVERSAS'!E53</f>
        <v>0.23483311262839</v>
      </c>
      <c r="BE50" s="93" t="n">
        <f aca="false">'TAX. DIVERSAS'!E54</f>
        <v>35.2245274845316</v>
      </c>
      <c r="BF50" s="93" t="n">
        <f aca="false">'TAX. DIVERSAS'!E55</f>
        <v>47.4734267194616</v>
      </c>
      <c r="BG50" s="93" t="n">
        <f aca="false">'TAX. DIVERSAS'!E56</f>
        <v>0</v>
      </c>
      <c r="BH50" s="93" t="n">
        <f aca="false">'TAX. DIVERSAS'!E57</f>
        <v>0</v>
      </c>
      <c r="BI50" s="93" t="n">
        <f aca="false">'TAX. DIVERSAS'!E58</f>
        <v>0</v>
      </c>
      <c r="BJ50" s="93" t="n">
        <f aca="false">'TAX. DIVERSAS'!E59</f>
        <v>0</v>
      </c>
      <c r="BK50" s="93" t="n">
        <f aca="false">'TAX. DIVERSAS'!E60</f>
        <v>0</v>
      </c>
      <c r="BL50" s="93" t="n">
        <f aca="false">'TAX. DIVERSAS'!E61</f>
        <v>0</v>
      </c>
      <c r="BM50" s="93" t="n">
        <f aca="false">'TAX. DIVERSAS'!E62</f>
        <v>0</v>
      </c>
      <c r="BN50" s="93" t="n">
        <f aca="false">'TAX. DIVERSAS'!E63</f>
        <v>0</v>
      </c>
      <c r="BO50" s="93" t="n">
        <f aca="false">'TAX. DIVERSAS'!E64</f>
        <v>0</v>
      </c>
      <c r="BP50" s="93" t="n">
        <f aca="false">'TAX. DIVERSAS'!E65</f>
        <v>0</v>
      </c>
      <c r="BQ50" s="93" t="n">
        <f aca="false">'TAX. DIVERSAS'!E66</f>
        <v>0</v>
      </c>
      <c r="BR50" s="93" t="n">
        <f aca="false">'TAX. DIVERSAS'!E67</f>
        <v>0</v>
      </c>
      <c r="BS50" s="93" t="n">
        <f aca="false">'TAX. DIVERSAS'!E68</f>
        <v>0</v>
      </c>
      <c r="BT50" s="93" t="n">
        <f aca="false">'TAX. DIVERSAS'!E69</f>
        <v>0</v>
      </c>
      <c r="BU50" s="93" t="n">
        <f aca="false">'TAX. DIVERSAS'!E70</f>
        <v>0</v>
      </c>
      <c r="BV50" s="93" t="n">
        <f aca="false">'TAX. DIVERSAS'!E71</f>
        <v>0</v>
      </c>
      <c r="BW50" s="93" t="n">
        <f aca="false">'TAX. DIVERSAS'!E72</f>
        <v>0</v>
      </c>
      <c r="BX50" s="93" t="n">
        <f aca="false">'TAX. DIVERSAS'!E73</f>
        <v>0</v>
      </c>
      <c r="BY50" s="93" t="n">
        <f aca="false">'TAX. DIVERSAS'!E74</f>
        <v>0</v>
      </c>
      <c r="BZ50" s="93" t="n">
        <f aca="false">'TAX. DIVERSAS'!E75</f>
        <v>0</v>
      </c>
      <c r="CA50" s="93" t="n">
        <f aca="false">'TAX. DIVERSAS'!E76</f>
        <v>0</v>
      </c>
    </row>
    <row r="51" customFormat="false" ht="15" hidden="false" customHeight="false" outlineLevel="0" collapsed="false">
      <c r="A51" s="55" t="s">
        <v>305</v>
      </c>
      <c r="B51" s="55" t="s">
        <v>364</v>
      </c>
      <c r="C51" s="55" t="s">
        <v>85</v>
      </c>
      <c r="E51" s="45" t="n">
        <f aca="false">SUM(H51:CA51)</f>
        <v>0</v>
      </c>
      <c r="F51" s="45" t="str">
        <f aca="false">IF(D51="","",D51-E51)</f>
        <v/>
      </c>
    </row>
    <row r="52" customFormat="false" ht="15" hidden="false" customHeight="false" outlineLevel="0" collapsed="false">
      <c r="A52" s="55" t="s">
        <v>305</v>
      </c>
      <c r="B52" s="55" t="s">
        <v>365</v>
      </c>
      <c r="C52" s="55" t="s">
        <v>81</v>
      </c>
      <c r="D52" s="56" t="n">
        <f aca="false">'SERV. INICIAIS'!$K$5</f>
        <v>144.119392</v>
      </c>
      <c r="E52" s="45" t="n">
        <f aca="false">SUM(H52:CA52)</f>
        <v>136.710001919561</v>
      </c>
      <c r="F52" s="45" t="n">
        <f aca="false">IF(D52="","",D52-E52)</f>
        <v>7.40939008043873</v>
      </c>
      <c r="H52" s="93" t="n">
        <f aca="false">'SERV. INICIAIS'!E5</f>
        <v>0</v>
      </c>
      <c r="I52" s="93" t="n">
        <f aca="false">'SERV. INICIAIS'!E6</f>
        <v>0</v>
      </c>
      <c r="J52" s="93" t="n">
        <f aca="false">'SERV. INICIAIS'!E7</f>
        <v>0</v>
      </c>
      <c r="K52" s="93" t="n">
        <f aca="false">'SERV. INICIAIS'!E8</f>
        <v>0</v>
      </c>
      <c r="L52" s="93" t="n">
        <f aca="false">'SERV. INICIAIS'!E9</f>
        <v>0</v>
      </c>
      <c r="M52" s="93" t="n">
        <f aca="false">'SERV. INICIAIS'!E10</f>
        <v>0</v>
      </c>
      <c r="N52" s="93" t="n">
        <f aca="false">'SERV. INICIAIS'!E11</f>
        <v>24.7502269678677</v>
      </c>
      <c r="O52" s="93" t="n">
        <f aca="false">'SERV. INICIAIS'!E12</f>
        <v>4.51549851256247</v>
      </c>
      <c r="P52" s="93" t="n">
        <f aca="false">'SERV. INICIAIS'!E13</f>
        <v>0</v>
      </c>
      <c r="Q52" s="93" t="n">
        <f aca="false">'SERV. INICIAIS'!E14</f>
        <v>12.3102826099264</v>
      </c>
      <c r="R52" s="93" t="n">
        <f aca="false">'SERV. INICIAIS'!E15</f>
        <v>6.97495655930024</v>
      </c>
      <c r="S52" s="93" t="n">
        <f aca="false">'SERV. INICIAIS'!E16</f>
        <v>7.95991948650208</v>
      </c>
      <c r="T52" s="93" t="n">
        <f aca="false">'SERV. INICIAIS'!E17</f>
        <v>11.1651648277384</v>
      </c>
      <c r="U52" s="93" t="n">
        <f aca="false">'SERV. INICIAIS'!E18</f>
        <v>7.79398497699339</v>
      </c>
      <c r="V52" s="93" t="n">
        <f aca="false">'SERV. INICIAIS'!E19</f>
        <v>1.29310323979166</v>
      </c>
      <c r="W52" s="93" t="n">
        <f aca="false">'SERV. INICIAIS'!E20</f>
        <v>8.26100622123012</v>
      </c>
      <c r="X52" s="93" t="n">
        <f aca="false">'SERV. INICIAIS'!E21</f>
        <v>3.06402085655403</v>
      </c>
      <c r="Y52" s="93" t="n">
        <f aca="false">'SERV. INICIAIS'!E22</f>
        <v>0.110490715710694</v>
      </c>
      <c r="Z52" s="93" t="n">
        <f aca="false">'SERV. INICIAIS'!E23</f>
        <v>0.519271208715011</v>
      </c>
      <c r="AA52" s="93" t="n">
        <f aca="false">'SERV. INICIAIS'!E24</f>
        <v>0</v>
      </c>
      <c r="AB52" s="93" t="n">
        <f aca="false">'SERV. INICIAIS'!E25</f>
        <v>0</v>
      </c>
      <c r="AC52" s="93" t="n">
        <f aca="false">'SERV. INICIAIS'!E26</f>
        <v>0</v>
      </c>
      <c r="AD52" s="93" t="n">
        <f aca="false">'SERV. INICIAIS'!E27</f>
        <v>0</v>
      </c>
      <c r="AE52" s="93" t="n">
        <f aca="false">'SERV. INICIAIS'!E28</f>
        <v>2.93085992710247</v>
      </c>
      <c r="AF52" s="93" t="n">
        <f aca="false">'SERV. INICIAIS'!E29</f>
        <v>0</v>
      </c>
      <c r="AG52" s="93" t="n">
        <f aca="false">'SERV. INICIAIS'!E30</f>
        <v>0</v>
      </c>
      <c r="AH52" s="93" t="n">
        <f aca="false">'SERV. INICIAIS'!E31</f>
        <v>0</v>
      </c>
      <c r="AI52" s="93" t="n">
        <f aca="false">'SERV. INICIAIS'!E32</f>
        <v>0</v>
      </c>
      <c r="AJ52" s="93" t="n">
        <f aca="false">'SERV. INICIAIS'!E33</f>
        <v>42.8212399905104</v>
      </c>
      <c r="AK52" s="93" t="n">
        <f aca="false">'SERV. INICIAIS'!E34</f>
        <v>0</v>
      </c>
      <c r="AL52" s="93" t="n">
        <f aca="false">'SERV. INICIAIS'!E35</f>
        <v>0</v>
      </c>
      <c r="AM52" s="93" t="n">
        <f aca="false">'SERV. INICIAIS'!E36</f>
        <v>0</v>
      </c>
      <c r="AN52" s="93" t="n">
        <f aca="false">'SERV. INICIAIS'!E37</f>
        <v>0</v>
      </c>
      <c r="AO52" s="93" t="n">
        <f aca="false">'SERV. INICIAIS'!E38</f>
        <v>0</v>
      </c>
      <c r="AP52" s="93" t="n">
        <f aca="false">'SERV. INICIAIS'!E39</f>
        <v>0</v>
      </c>
      <c r="AQ52" s="93" t="n">
        <f aca="false">'SERV. INICIAIS'!E40</f>
        <v>0</v>
      </c>
      <c r="AR52" s="93" t="n">
        <f aca="false">'SERV. INICIAIS'!E41</f>
        <v>2.23997581905622</v>
      </c>
      <c r="AS52" s="93" t="n">
        <f aca="false">'SERV. INICIAIS'!E42</f>
        <v>0</v>
      </c>
      <c r="AT52" s="93" t="n">
        <f aca="false">'SERV. INICIAIS'!E43</f>
        <v>0</v>
      </c>
      <c r="AU52" s="93" t="n">
        <f aca="false">'SERV. INICIAIS'!E44</f>
        <v>0</v>
      </c>
      <c r="AV52" s="93" t="n">
        <f aca="false">'SERV. INICIAIS'!E45</f>
        <v>0</v>
      </c>
      <c r="AW52" s="93" t="n">
        <f aca="false">'SERV. INICIAIS'!E46</f>
        <v>0</v>
      </c>
      <c r="AX52" s="93" t="n">
        <f aca="false">'SERV. INICIAIS'!E47</f>
        <v>0</v>
      </c>
      <c r="AY52" s="93" t="n">
        <f aca="false">'SERV. INICIAIS'!E48</f>
        <v>0</v>
      </c>
      <c r="AZ52" s="93" t="n">
        <f aca="false">'SERV. INICIAIS'!E49</f>
        <v>0</v>
      </c>
      <c r="BA52" s="93" t="n">
        <f aca="false">'SERV. INICIAIS'!E50</f>
        <v>0</v>
      </c>
      <c r="BB52" s="93" t="n">
        <f aca="false">'SERV. INICIAIS'!E51</f>
        <v>0</v>
      </c>
      <c r="BC52" s="93" t="n">
        <f aca="false">'SERV. INICIAIS'!E52</f>
        <v>0</v>
      </c>
      <c r="BD52" s="93" t="n">
        <f aca="false">'SERV. INICIAIS'!E53</f>
        <v>0</v>
      </c>
      <c r="BE52" s="93" t="n">
        <f aca="false">'SERV. INICIAIS'!E54</f>
        <v>0</v>
      </c>
      <c r="BF52" s="93" t="n">
        <f aca="false">'SERV. INICIAIS'!E55</f>
        <v>0</v>
      </c>
      <c r="BG52" s="93" t="n">
        <f aca="false">'SERV. INICIAIS'!E56</f>
        <v>0</v>
      </c>
      <c r="BH52" s="93" t="n">
        <f aca="false">'SERV. INICIAIS'!E57</f>
        <v>0</v>
      </c>
      <c r="BI52" s="93" t="n">
        <f aca="false">'SERV. INICIAIS'!E58</f>
        <v>0</v>
      </c>
      <c r="BJ52" s="93" t="n">
        <f aca="false">'SERV. INICIAIS'!E59</f>
        <v>0</v>
      </c>
      <c r="BK52" s="93" t="n">
        <f aca="false">'SERV. INICIAIS'!E60</f>
        <v>0</v>
      </c>
      <c r="BL52" s="93" t="n">
        <f aca="false">'SERV. INICIAIS'!E61</f>
        <v>0</v>
      </c>
      <c r="BM52" s="93" t="n">
        <f aca="false">'SERV. INICIAIS'!E62</f>
        <v>0</v>
      </c>
      <c r="BN52" s="93" t="n">
        <f aca="false">'SERV. INICIAIS'!E63</f>
        <v>0</v>
      </c>
      <c r="BO52" s="93" t="n">
        <f aca="false">'SERV. INICIAIS'!E64</f>
        <v>0</v>
      </c>
      <c r="BP52" s="93" t="n">
        <f aca="false">'SERV. INICIAIS'!E65</f>
        <v>0</v>
      </c>
      <c r="BQ52" s="93" t="n">
        <f aca="false">'SERV. INICIAIS'!E66</f>
        <v>0</v>
      </c>
      <c r="BR52" s="93" t="n">
        <f aca="false">'SERV. INICIAIS'!E67</f>
        <v>0</v>
      </c>
      <c r="BS52" s="93" t="n">
        <f aca="false">'SERV. INICIAIS'!E68</f>
        <v>0</v>
      </c>
      <c r="BT52" s="93" t="n">
        <f aca="false">'SERV. INICIAIS'!E69</f>
        <v>0</v>
      </c>
      <c r="BU52" s="93" t="n">
        <f aca="false">'SERV. INICIAIS'!E70</f>
        <v>0</v>
      </c>
      <c r="BV52" s="93" t="n">
        <f aca="false">'SERV. INICIAIS'!E71</f>
        <v>0</v>
      </c>
      <c r="BW52" s="93" t="n">
        <f aca="false">'SERV. INICIAIS'!E72</f>
        <v>0</v>
      </c>
      <c r="BX52" s="93" t="n">
        <f aca="false">'SERV. INICIAIS'!E73</f>
        <v>0</v>
      </c>
      <c r="BY52" s="93" t="n">
        <f aca="false">'SERV. INICIAIS'!E74</f>
        <v>0</v>
      </c>
      <c r="BZ52" s="93" t="n">
        <f aca="false">'SERV. INICIAIS'!E75</f>
        <v>0</v>
      </c>
      <c r="CA52" s="93" t="n">
        <f aca="false">'SERV. INICIAIS'!E76</f>
        <v>0</v>
      </c>
    </row>
    <row r="53" customFormat="false" ht="15" hidden="false" customHeight="false" outlineLevel="0" collapsed="false">
      <c r="A53" s="55" t="s">
        <v>305</v>
      </c>
      <c r="B53" s="55" t="s">
        <v>366</v>
      </c>
      <c r="C53" s="55" t="s">
        <v>367</v>
      </c>
      <c r="E53" s="45" t="n">
        <f aca="false">SUM(H53:CA53)</f>
        <v>0</v>
      </c>
      <c r="F53" s="45" t="str">
        <f aca="false">IF(D53="","",D53-E53)</f>
        <v/>
      </c>
    </row>
    <row r="54" customFormat="false" ht="15" hidden="false" customHeight="false" outlineLevel="0" collapsed="false">
      <c r="A54" s="55" t="s">
        <v>305</v>
      </c>
      <c r="B54" s="55" t="s">
        <v>368</v>
      </c>
      <c r="C54" s="55" t="s">
        <v>369</v>
      </c>
      <c r="E54" s="45" t="n">
        <f aca="false">SUM(H54:CA54)</f>
        <v>0</v>
      </c>
      <c r="F54" s="45" t="str">
        <f aca="false">IF(D54="","",D54-E54)</f>
        <v/>
      </c>
    </row>
    <row r="55" customFormat="false" ht="15" hidden="false" customHeight="false" outlineLevel="0" collapsed="false">
      <c r="A55" s="55" t="s">
        <v>305</v>
      </c>
      <c r="B55" s="55" t="s">
        <v>368</v>
      </c>
      <c r="C55" s="55" t="s">
        <v>369</v>
      </c>
      <c r="E55" s="45" t="n">
        <f aca="false">SUM(H55:CA55)</f>
        <v>0</v>
      </c>
      <c r="F55" s="45" t="str">
        <f aca="false">IF(D55="","",D55-E55)</f>
        <v/>
      </c>
    </row>
    <row r="56" customFormat="false" ht="15" hidden="false" customHeight="false" outlineLevel="0" collapsed="false">
      <c r="A56" s="55" t="s">
        <v>305</v>
      </c>
      <c r="B56" s="55" t="s">
        <v>370</v>
      </c>
      <c r="C56" s="55" t="s">
        <v>371</v>
      </c>
      <c r="E56" s="45" t="n">
        <f aca="false">SUM(H56:CA56)</f>
        <v>0</v>
      </c>
      <c r="F56" s="45" t="str">
        <f aca="false">IF(D56="","",D56-E56)</f>
        <v/>
      </c>
    </row>
    <row r="57" customFormat="false" ht="15" hidden="false" customHeight="false" outlineLevel="0" collapsed="false">
      <c r="A57" s="55" t="s">
        <v>305</v>
      </c>
      <c r="B57" s="55" t="s">
        <v>372</v>
      </c>
      <c r="C57" s="55"/>
      <c r="E57" s="45" t="n">
        <f aca="false">SUM(H57:CA57)</f>
        <v>0</v>
      </c>
      <c r="F57" s="45" t="str">
        <f aca="false">IF(D57="","",D57-E57)</f>
        <v/>
      </c>
    </row>
    <row r="58" customFormat="false" ht="15" hidden="false" customHeight="false" outlineLevel="0" collapsed="false">
      <c r="A58" s="55" t="s">
        <v>305</v>
      </c>
      <c r="B58" s="55"/>
      <c r="C58" s="113" t="s">
        <v>373</v>
      </c>
      <c r="D58" s="45"/>
      <c r="E58" s="45" t="n">
        <f aca="false">SUM(H58:CA58)</f>
        <v>40.9737982384067</v>
      </c>
      <c r="F58" s="45" t="str">
        <f aca="false">IF(D58="","",D58-E58)</f>
        <v/>
      </c>
      <c r="H58" s="114" t="n">
        <f aca="false">IF(H$1=DATE(2026,8,1),'VALOR POR PL'!$G$64,0)</f>
        <v>0</v>
      </c>
      <c r="I58" s="114" t="n">
        <f aca="false">IF(I$1=DATE(2026,8,1),'VALOR POR PL'!$G$64,0)</f>
        <v>0</v>
      </c>
      <c r="J58" s="114" t="n">
        <f aca="false">IF(J$1=DATE(2026,8,1),'VALOR POR PL'!$G$64,0)</f>
        <v>0</v>
      </c>
      <c r="K58" s="114" t="n">
        <f aca="false">IF(K$1=DATE(2026,8,1),'VALOR POR PL'!$G$64,0)</f>
        <v>0</v>
      </c>
      <c r="L58" s="114" t="n">
        <f aca="false">IF(L$1=DATE(2026,8,1),'VALOR POR PL'!$G$64,0)</f>
        <v>0</v>
      </c>
      <c r="M58" s="114" t="n">
        <f aca="false">IF(M$1=DATE(2026,8,1),'VALOR POR PL'!$G$64,0)</f>
        <v>0</v>
      </c>
      <c r="N58" s="114" t="n">
        <f aca="false">IF(N$1=DATE(2026,8,1),'VALOR POR PL'!$G$64,0)</f>
        <v>0</v>
      </c>
      <c r="O58" s="114" t="n">
        <f aca="false">IF(O$1=DATE(2026,8,1),'VALOR POR PL'!$G$64,0)</f>
        <v>0</v>
      </c>
      <c r="P58" s="114" t="n">
        <f aca="false">IF(P$1=DATE(2026,8,1),'VALOR POR PL'!$G$64,0)</f>
        <v>0</v>
      </c>
      <c r="Q58" s="114" t="n">
        <f aca="false">IF(Q$1=DATE(2026,8,1),'VALOR POR PL'!$G$64,0)</f>
        <v>0</v>
      </c>
      <c r="R58" s="114" t="n">
        <f aca="false">IF(R$1=DATE(2026,8,1),'VALOR POR PL'!$G$64,0)</f>
        <v>0</v>
      </c>
      <c r="S58" s="114" t="n">
        <f aca="false">IF(S$1=DATE(2026,8,1),'VALOR POR PL'!$G$64,0)</f>
        <v>0</v>
      </c>
      <c r="T58" s="114" t="n">
        <f aca="false">IF(T$1=DATE(2026,8,1),'VALOR POR PL'!$G$64,0)</f>
        <v>0</v>
      </c>
      <c r="U58" s="114" t="n">
        <f aca="false">IF(U$1=DATE(2026,8,1),'VALOR POR PL'!$G$64,0)</f>
        <v>0</v>
      </c>
      <c r="V58" s="114" t="n">
        <f aca="false">IF(V$1=DATE(2026,8,1),'VALOR POR PL'!$G$64,0)</f>
        <v>0</v>
      </c>
      <c r="W58" s="114" t="n">
        <f aca="false">IF(W$1=DATE(2026,8,1),'VALOR POR PL'!$G$64,0)</f>
        <v>0</v>
      </c>
      <c r="X58" s="114" t="n">
        <f aca="false">IF(X$1=DATE(2026,8,1),'VALOR POR PL'!$G$64,0)</f>
        <v>0</v>
      </c>
      <c r="Y58" s="114" t="n">
        <f aca="false">IF(Y$1=DATE(2026,8,1),'VALOR POR PL'!$G$64,0)</f>
        <v>0</v>
      </c>
      <c r="Z58" s="114" t="n">
        <f aca="false">IF(Z$1=DATE(2026,8,1),'VALOR POR PL'!$G$64,0)</f>
        <v>0</v>
      </c>
      <c r="AA58" s="114" t="n">
        <f aca="false">IF(AA$1=DATE(2026,8,1),'VALOR POR PL'!$G$64,0)</f>
        <v>0</v>
      </c>
      <c r="AB58" s="114" t="n">
        <f aca="false">IF(AB$1=DATE(2026,8,1),'VALOR POR PL'!$G$64,0)</f>
        <v>40.9737982384067</v>
      </c>
      <c r="AC58" s="114" t="n">
        <f aca="false">IF(AC$1=DATE(2026,8,1),'VALOR POR PL'!$G$64,0)</f>
        <v>0</v>
      </c>
      <c r="AD58" s="114" t="n">
        <f aca="false">IF(AD$1=DATE(2026,8,1),'VALOR POR PL'!$G$64,0)</f>
        <v>0</v>
      </c>
      <c r="AE58" s="114" t="n">
        <f aca="false">IF(AE$1=DATE(2026,8,1),'VALOR POR PL'!$G$64,0)</f>
        <v>0</v>
      </c>
      <c r="AF58" s="114" t="n">
        <f aca="false">IF(AF$1=DATE(2026,8,1),'VALOR POR PL'!$G$64,0)</f>
        <v>0</v>
      </c>
      <c r="AG58" s="114" t="n">
        <f aca="false">IF(AG$1=DATE(2026,8,1),'VALOR POR PL'!$G$64,0)</f>
        <v>0</v>
      </c>
      <c r="AH58" s="114" t="n">
        <f aca="false">IF(AH$1=DATE(2026,8,1),'VALOR POR PL'!$G$64,0)</f>
        <v>0</v>
      </c>
      <c r="AI58" s="114" t="n">
        <f aca="false">IF(AI$1=DATE(2026,8,1),'VALOR POR PL'!$G$64,0)</f>
        <v>0</v>
      </c>
      <c r="AJ58" s="114" t="n">
        <f aca="false">IF(AJ$1=DATE(2026,8,1),'VALOR POR PL'!$G$64,0)</f>
        <v>0</v>
      </c>
      <c r="AK58" s="114" t="n">
        <f aca="false">IF(AK$1=DATE(2026,8,1),'VALOR POR PL'!$G$64,0)</f>
        <v>0</v>
      </c>
      <c r="AL58" s="114" t="n">
        <f aca="false">IF(AL$1=DATE(2026,8,1),'VALOR POR PL'!$G$64,0)</f>
        <v>0</v>
      </c>
      <c r="AM58" s="114" t="n">
        <f aca="false">IF(AM$1=DATE(2026,8,1),'VALOR POR PL'!$G$64,0)</f>
        <v>0</v>
      </c>
      <c r="AN58" s="114" t="n">
        <f aca="false">IF(AN$1=DATE(2026,8,1),'VALOR POR PL'!$G$64,0)</f>
        <v>0</v>
      </c>
      <c r="AO58" s="114" t="n">
        <f aca="false">IF(AO$1=DATE(2026,8,1),'VALOR POR PL'!$G$64,0)</f>
        <v>0</v>
      </c>
      <c r="AP58" s="114" t="n">
        <f aca="false">IF(AP$1=DATE(2026,8,1),'VALOR POR PL'!$G$64,0)</f>
        <v>0</v>
      </c>
      <c r="AQ58" s="114" t="n">
        <f aca="false">IF(AQ$1=DATE(2026,8,1),'VALOR POR PL'!$G$64,0)</f>
        <v>0</v>
      </c>
      <c r="AR58" s="114" t="n">
        <f aca="false">IF(AR$1=DATE(2026,8,1),'VALOR POR PL'!$G$64,0)</f>
        <v>0</v>
      </c>
      <c r="AS58" s="114" t="n">
        <f aca="false">IF(AS$1=DATE(2026,8,1),'VALOR POR PL'!$G$64,0)</f>
        <v>0</v>
      </c>
      <c r="AT58" s="114" t="n">
        <f aca="false">IF(AT$1=DATE(2026,8,1),'VALOR POR PL'!$G$64,0)</f>
        <v>0</v>
      </c>
      <c r="AU58" s="114" t="n">
        <f aca="false">IF(AU$1=DATE(2026,8,1),'VALOR POR PL'!$G$64,0)</f>
        <v>0</v>
      </c>
      <c r="AV58" s="114" t="n">
        <f aca="false">IF(AV$1=DATE(2026,8,1),'VALOR POR PL'!$G$64,0)</f>
        <v>0</v>
      </c>
      <c r="AW58" s="114" t="n">
        <f aca="false">IF(AW$1=DATE(2026,8,1),'VALOR POR PL'!$G$64,0)</f>
        <v>0</v>
      </c>
      <c r="AX58" s="114" t="n">
        <f aca="false">IF(AX$1=DATE(2026,8,1),'VALOR POR PL'!$G$64,0)</f>
        <v>0</v>
      </c>
      <c r="AY58" s="114" t="n">
        <f aca="false">IF(AY$1=DATE(2026,8,1),'VALOR POR PL'!$G$64,0)</f>
        <v>0</v>
      </c>
      <c r="AZ58" s="114" t="n">
        <f aca="false">IF(AZ$1=DATE(2026,8,1),'VALOR POR PL'!$G$64,0)</f>
        <v>0</v>
      </c>
      <c r="BA58" s="114" t="n">
        <f aca="false">IF(BA$1=DATE(2026,8,1),'VALOR POR PL'!$G$64,0)</f>
        <v>0</v>
      </c>
      <c r="BB58" s="114" t="n">
        <f aca="false">IF(BB$1=DATE(2026,8,1),'VALOR POR PL'!$G$64,0)</f>
        <v>0</v>
      </c>
      <c r="BC58" s="114" t="n">
        <f aca="false">IF(BC$1=DATE(2026,8,1),'VALOR POR PL'!$G$64,0)</f>
        <v>0</v>
      </c>
      <c r="BD58" s="114" t="n">
        <f aca="false">IF(BD$1=DATE(2026,8,1),'VALOR POR PL'!$G$64,0)</f>
        <v>0</v>
      </c>
      <c r="BE58" s="114" t="n">
        <f aca="false">IF(BE$1=DATE(2026,8,1),'VALOR POR PL'!$G$64,0)</f>
        <v>0</v>
      </c>
      <c r="BF58" s="114" t="n">
        <f aca="false">IF(BF$1=DATE(2026,8,1),'VALOR POR PL'!$G$64,0)</f>
        <v>0</v>
      </c>
      <c r="BG58" s="114" t="n">
        <f aca="false">IF(BG$1=DATE(2026,8,1),'VALOR POR PL'!$G$64,0)</f>
        <v>0</v>
      </c>
      <c r="BH58" s="114" t="n">
        <f aca="false">IF(BH$1=DATE(2026,8,1),'VALOR POR PL'!$G$64,0)</f>
        <v>0</v>
      </c>
      <c r="BI58" s="114" t="n">
        <f aca="false">IF(BI$1=DATE(2026,8,1),'VALOR POR PL'!$G$64,0)</f>
        <v>0</v>
      </c>
      <c r="BJ58" s="114" t="n">
        <f aca="false">IF(BJ$1=DATE(2026,8,1),'VALOR POR PL'!$G$64,0)</f>
        <v>0</v>
      </c>
      <c r="BK58" s="114" t="n">
        <f aca="false">IF(BK$1=DATE(2026,8,1),'VALOR POR PL'!$G$64,0)</f>
        <v>0</v>
      </c>
      <c r="BL58" s="114" t="n">
        <f aca="false">IF(BL$1=DATE(2026,8,1),'VALOR POR PL'!$G$64,0)</f>
        <v>0</v>
      </c>
      <c r="BM58" s="114" t="n">
        <f aca="false">IF(BM$1=DATE(2026,8,1),'VALOR POR PL'!$G$64,0)</f>
        <v>0</v>
      </c>
      <c r="BN58" s="114" t="n">
        <f aca="false">IF(BN$1=DATE(2026,8,1),'VALOR POR PL'!$G$64,0)</f>
        <v>0</v>
      </c>
      <c r="BO58" s="114" t="n">
        <f aca="false">IF(BO$1=DATE(2026,8,1),'VALOR POR PL'!$G$64,0)</f>
        <v>0</v>
      </c>
      <c r="BP58" s="114" t="n">
        <f aca="false">IF(BP$1=DATE(2026,8,1),'VALOR POR PL'!$G$64,0)</f>
        <v>0</v>
      </c>
      <c r="BQ58" s="114" t="n">
        <f aca="false">IF(BQ$1=DATE(2026,8,1),'VALOR POR PL'!$G$64,0)</f>
        <v>0</v>
      </c>
      <c r="BR58" s="114" t="n">
        <f aca="false">IF(BR$1=DATE(2026,8,1),'VALOR POR PL'!$G$64,0)</f>
        <v>0</v>
      </c>
      <c r="BS58" s="114" t="n">
        <f aca="false">IF(BS$1=DATE(2026,8,1),'VALOR POR PL'!$G$64,0)</f>
        <v>0</v>
      </c>
      <c r="BT58" s="114" t="n">
        <f aca="false">IF(BT$1=DATE(2026,8,1),'VALOR POR PL'!$G$64,0)</f>
        <v>0</v>
      </c>
      <c r="BU58" s="114" t="n">
        <f aca="false">IF(BU$1=DATE(2026,8,1),'VALOR POR PL'!$G$64,0)</f>
        <v>0</v>
      </c>
      <c r="BV58" s="114" t="n">
        <f aca="false">IF(BV$1=DATE(2026,8,1),'VALOR POR PL'!$G$64,0)</f>
        <v>0</v>
      </c>
      <c r="BW58" s="114" t="n">
        <f aca="false">IF(BW$1=DATE(2026,8,1),'VALOR POR PL'!$G$64,0)</f>
        <v>0</v>
      </c>
      <c r="BX58" s="114" t="n">
        <f aca="false">IF(BX$1=DATE(2026,8,1),'VALOR POR PL'!$G$64,0)</f>
        <v>0</v>
      </c>
      <c r="BY58" s="114" t="n">
        <f aca="false">IF(BY$1=DATE(2026,8,1),'VALOR POR PL'!$G$64,0)</f>
        <v>0</v>
      </c>
      <c r="BZ58" s="114" t="n">
        <f aca="false">IF(BZ$1=DATE(2026,8,1),'VALOR POR PL'!$G$64,0)</f>
        <v>0</v>
      </c>
      <c r="CA58" s="114" t="n">
        <f aca="false">IF(CA$1=DATE(2026,8,1),'VALOR POR PL'!$G$64,0)</f>
        <v>0</v>
      </c>
    </row>
    <row r="59" customFormat="false" ht="15" hidden="false" customHeight="false" outlineLevel="0" collapsed="false">
      <c r="A59" s="55" t="s">
        <v>305</v>
      </c>
      <c r="B59" s="55"/>
      <c r="C59" s="115" t="s">
        <v>374</v>
      </c>
      <c r="D59" s="45"/>
      <c r="E59" s="45" t="n">
        <f aca="false">SUM(H59:CA59)</f>
        <v>0</v>
      </c>
      <c r="F59" s="45" t="str">
        <f aca="false">IF(D59="","",D59-E59)</f>
        <v/>
      </c>
      <c r="H59" s="114" t="n">
        <f aca="false">IF(H$1=DATE(2030,6,1),MAX(0,'VALOR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I59" s="114" t="n">
        <f aca="false">IF(I$1=DATE(2030,6,1),MAX(0,'VALOR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J59" s="114" t="n">
        <f aca="false">IF(J$1=DATE(2030,6,1),MAX(0,'VALOR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K59" s="114" t="n">
        <f aca="false">IF(K$1=DATE(2030,6,1),MAX(0,'VALOR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L59" s="114" t="n">
        <f aca="false">IF(L$1=DATE(2030,6,1),MAX(0,'VALOR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M59" s="114" t="n">
        <f aca="false">IF(M$1=DATE(2030,6,1),MAX(0,'VALOR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N59" s="114" t="n">
        <f aca="false">IF(N$1=DATE(2030,6,1),MAX(0,'VALOR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O59" s="114" t="n">
        <f aca="false">IF(O$1=DATE(2030,6,1),MAX(0,'VALOR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P59" s="114" t="n">
        <f aca="false">IF(P$1=DATE(2030,6,1),MAX(0,'VALOR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Q59" s="114" t="n">
        <f aca="false">IF(Q$1=DATE(2030,6,1),MAX(0,'VALOR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R59" s="114" t="n">
        <f aca="false">IF(R$1=DATE(2030,6,1),MAX(0,'VALOR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S59" s="114" t="n">
        <f aca="false">IF(S$1=DATE(2030,6,1),MAX(0,'VALOR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T59" s="114" t="n">
        <f aca="false">IF(T$1=DATE(2030,6,1),MAX(0,'VALOR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U59" s="114" t="n">
        <f aca="false">IF(U$1=DATE(2030,6,1),MAX(0,'VALOR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V59" s="114" t="n">
        <f aca="false">IF(V$1=DATE(2030,6,1),MAX(0,'VALOR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W59" s="114" t="n">
        <f aca="false">IF(W$1=DATE(2030,6,1),MAX(0,'VALOR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X59" s="114" t="n">
        <f aca="false">IF(X$1=DATE(2030,6,1),MAX(0,'VALOR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Y59" s="114" t="n">
        <f aca="false">IF(Y$1=DATE(2030,6,1),MAX(0,'VALOR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Z59" s="114" t="n">
        <f aca="false">IF(Z$1=DATE(2030,6,1),MAX(0,'VALOR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A59" s="114" t="n">
        <f aca="false">IF(AA$1=DATE(2030,6,1),MAX(0,'VALOR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B59" s="114" t="n">
        <f aca="false">IF(AB$1=DATE(2030,6,1),MAX(0,'VALOR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C59" s="114" t="n">
        <f aca="false">IF(AC$1=DATE(2030,6,1),MAX(0,'VALOR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D59" s="114" t="n">
        <f aca="false">IF(AD$1=DATE(2030,6,1),MAX(0,'VALOR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E59" s="114" t="n">
        <f aca="false">IF(AE$1=DATE(2030,6,1),MAX(0,'VALOR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F59" s="114" t="n">
        <f aca="false">IF(AF$1=DATE(2030,6,1),MAX(0,'VALOR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G59" s="114" t="n">
        <f aca="false">IF(AG$1=DATE(2030,6,1),MAX(0,'VALOR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H59" s="114" t="n">
        <f aca="false">IF(AH$1=DATE(2030,6,1),MAX(0,'VALOR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I59" s="114" t="n">
        <f aca="false">IF(AI$1=DATE(2030,6,1),MAX(0,'VALOR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J59" s="114" t="n">
        <f aca="false">IF(AJ$1=DATE(2030,6,1),MAX(0,'VALOR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K59" s="114" t="n">
        <f aca="false">IF(AK$1=DATE(2030,6,1),MAX(0,'VALOR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L59" s="114" t="n">
        <f aca="false">IF(AL$1=DATE(2030,6,1),MAX(0,'VALOR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M59" s="114" t="n">
        <f aca="false">IF(AM$1=DATE(2030,6,1),MAX(0,'VALOR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N59" s="114" t="n">
        <f aca="false">IF(AN$1=DATE(2030,6,1),MAX(0,'VALOR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O59" s="114" t="n">
        <f aca="false">IF(AO$1=DATE(2030,6,1),MAX(0,'VALOR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P59" s="114" t="n">
        <f aca="false">IF(AP$1=DATE(2030,6,1),MAX(0,'VALOR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Q59" s="114" t="n">
        <f aca="false">IF(AQ$1=DATE(2030,6,1),MAX(0,'VALOR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R59" s="114" t="n">
        <f aca="false">IF(AR$1=DATE(2030,6,1),MAX(0,'VALOR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S59" s="114" t="n">
        <f aca="false">IF(AS$1=DATE(2030,6,1),MAX(0,'VALOR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T59" s="114" t="n">
        <f aca="false">IF(AT$1=DATE(2030,6,1),MAX(0,'VALOR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U59" s="114" t="n">
        <f aca="false">IF(AU$1=DATE(2030,6,1),MAX(0,'VALOR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V59" s="114" t="n">
        <f aca="false">IF(AV$1=DATE(2030,6,1),MAX(0,'VALOR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W59" s="114" t="n">
        <f aca="false">IF(AW$1=DATE(2030,6,1),MAX(0,'VALOR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X59" s="114" t="n">
        <f aca="false">IF(AX$1=DATE(2030,6,1),MAX(0,'VALOR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Y59" s="114" t="n">
        <f aca="false">IF(AY$1=DATE(2030,6,1),MAX(0,'VALOR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Z59" s="114" t="n">
        <f aca="false">IF(AZ$1=DATE(2030,6,1),MAX(0,'VALOR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A59" s="114" t="n">
        <f aca="false">IF(BA$1=DATE(2030,6,1),MAX(0,'VALOR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B59" s="114" t="n">
        <f aca="false">IF(BB$1=DATE(2030,6,1),MAX(0,'VALOR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C59" s="114" t="n">
        <f aca="false">IF(BC$1=DATE(2030,6,1),MAX(0,'VALOR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D59" s="114" t="n">
        <f aca="false">IF(BD$1=DATE(2030,6,1),MAX(0,'VALOR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E59" s="114" t="n">
        <f aca="false">IF(BE$1=DATE(2030,6,1),MAX(0,'VALOR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F59" s="114" t="n">
        <f aca="false">IF(BF$1=DATE(2030,6,1),MAX(0,'VALOR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G59" s="114" t="n">
        <f aca="false">IF(BG$1=DATE(2030,6,1),MAX(0,'VALOR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H59" s="114" t="n">
        <f aca="false">IF(BH$1=DATE(2030,6,1),MAX(0,'VALOR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I59" s="114" t="n">
        <f aca="false">IF(BI$1=DATE(2030,6,1),MAX(0,'VALOR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J59" s="114" t="n">
        <f aca="false">IF(BJ$1=DATE(2030,6,1),MAX(0,'VALOR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K59" s="114" t="n">
        <f aca="false">IF(BK$1=DATE(2030,6,1),MAX(0,'VALOR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L59" s="114" t="n">
        <f aca="false">IF(BL$1=DATE(2030,6,1),MAX(0,'VALOR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M59" s="114" t="n">
        <f aca="false">IF(BM$1=DATE(2030,6,1),MAX(0,'VALOR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N59" s="114" t="n">
        <f aca="false">IF(BN$1=DATE(2030,6,1),MAX(0,'VALOR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O59" s="114" t="n">
        <f aca="false">IF(BO$1=DATE(2030,6,1),MAX(0,'VALOR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P59" s="114" t="n">
        <f aca="false">IF(BP$1=DATE(2030,6,1),MAX(0,'VALOR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Q59" s="114" t="n">
        <f aca="false">IF(BQ$1=DATE(2030,6,1),MAX(0,'VALOR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R59" s="114" t="n">
        <f aca="false">IF(BR$1=DATE(2030,6,1),MAX(0,'VALOR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S59" s="114" t="n">
        <f aca="false">IF(BS$1=DATE(2030,6,1),MAX(0,'VALOR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T59" s="114" t="n">
        <f aca="false">IF(BT$1=DATE(2030,6,1),MAX(0,'VALOR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U59" s="114" t="n">
        <f aca="false">IF(BU$1=DATE(2030,6,1),MAX(0,'VALOR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V59" s="114" t="n">
        <f aca="false">IF(BV$1=DATE(2030,6,1),MAX(0,'VALOR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W59" s="114" t="n">
        <f aca="false">IF(BW$1=DATE(2030,6,1),MAX(0,'VALOR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X59" s="114" t="n">
        <f aca="false">IF(BX$1=DATE(2030,6,1),MAX(0,'VALOR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Y59" s="114" t="n">
        <f aca="false">IF(BY$1=DATE(2030,6,1),MAX(0,'VALOR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Z59" s="114" t="n">
        <f aca="false">IF(BZ$1=DATE(2030,6,1),MAX(0,'VALOR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CA59" s="114" t="n">
        <f aca="false">IF(CA$1=DATE(2030,6,1),MAX(0,'VALOR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</row>
    <row r="61" customFormat="false" ht="15" hidden="false" customHeight="false" outlineLevel="0" collapsed="false">
      <c r="C61" s="42" t="s">
        <v>375</v>
      </c>
      <c r="D61" s="61" t="n">
        <f aca="false">SUM(D2:D59)-D43</f>
        <v>123737.550971</v>
      </c>
      <c r="E61" s="61" t="n">
        <f aca="false">SUM(E2:E59)-E43</f>
        <v>123972.959897459</v>
      </c>
      <c r="H61" s="61" t="n">
        <f aca="false">SUM(H2:H59)-H43</f>
        <v>815.947715164256</v>
      </c>
      <c r="I61" s="61" t="n">
        <f aca="false">SUM(I2:I59)-I43</f>
        <v>11.4320478036397</v>
      </c>
      <c r="J61" s="61" t="n">
        <f aca="false">SUM(J2:J59)-J43</f>
        <v>289.401094758365</v>
      </c>
      <c r="K61" s="61" t="n">
        <f aca="false">SUM(K2:K59)-K43</f>
        <v>182.421345806892</v>
      </c>
      <c r="L61" s="61" t="n">
        <f aca="false">SUM(L2:L59)-L43</f>
        <v>179.651031438746</v>
      </c>
      <c r="M61" s="61" t="n">
        <f aca="false">SUM(M2:M59)-M43</f>
        <v>190.076402196878</v>
      </c>
      <c r="N61" s="61" t="n">
        <f aca="false">SUM(N2:N59)-N43</f>
        <v>153.084020211603</v>
      </c>
      <c r="O61" s="61" t="n">
        <f aca="false">SUM(O2:O59)-O43</f>
        <v>172.18347238389</v>
      </c>
      <c r="P61" s="61" t="n">
        <f aca="false">SUM(P2:P59)-P43</f>
        <v>303.571142083626</v>
      </c>
      <c r="Q61" s="61" t="n">
        <f aca="false">SUM(Q2:Q59)-Q43</f>
        <v>552.392711530777</v>
      </c>
      <c r="R61" s="61" t="n">
        <f aca="false">SUM(R2:R59)-R43</f>
        <v>966.883182967973</v>
      </c>
      <c r="S61" s="61" t="n">
        <f aca="false">SUM(S2:S59)-S43</f>
        <v>1680.04551117667</v>
      </c>
      <c r="T61" s="61" t="n">
        <f aca="false">SUM(T2:T59)-T43</f>
        <v>1276.79204925087</v>
      </c>
      <c r="U61" s="61" t="n">
        <f aca="false">SUM(U2:U59)-U43</f>
        <v>1594.9270191005</v>
      </c>
      <c r="V61" s="61" t="n">
        <f aca="false">SUM(V2:V59)-V43</f>
        <v>891.207999155167</v>
      </c>
      <c r="W61" s="61" t="n">
        <f aca="false">SUM(W2:W59)-W43</f>
        <v>1312.3747154583</v>
      </c>
      <c r="X61" s="61" t="n">
        <f aca="false">SUM(X2:X59)-X43</f>
        <v>1146.88803733095</v>
      </c>
      <c r="Y61" s="61" t="n">
        <f aca="false">SUM(Y2:Y59)-Y43</f>
        <v>752.900192414387</v>
      </c>
      <c r="Z61" s="61" t="n">
        <f aca="false">SUM(Z2:Z59)-Z43</f>
        <v>1046.89080702554</v>
      </c>
      <c r="AA61" s="61" t="n">
        <f aca="false">SUM(AA2:AA59)-AA43</f>
        <v>1809.7248203435</v>
      </c>
      <c r="AB61" s="61" t="n">
        <f aca="false">SUM(AB2:AB59)-AB43</f>
        <v>1359.2399721361</v>
      </c>
      <c r="AC61" s="61" t="n">
        <f aca="false">SUM(AC2:AC59)-AC43</f>
        <v>3141.5167042767</v>
      </c>
      <c r="AD61" s="61" t="n">
        <f aca="false">SUM(AD2:AD59)-AD43</f>
        <v>3073.78508206943</v>
      </c>
      <c r="AE61" s="61" t="n">
        <f aca="false">SUM(AE2:AE59)-AE43</f>
        <v>2196.9650486385</v>
      </c>
      <c r="AF61" s="61" t="n">
        <f aca="false">SUM(AF2:AF59)-AF43</f>
        <v>1626.05200725206</v>
      </c>
      <c r="AG61" s="61" t="n">
        <f aca="false">SUM(AG2:AG59)-AG43</f>
        <v>2669.06111089861</v>
      </c>
      <c r="AH61" s="61" t="n">
        <f aca="false">SUM(AH2:AH59)-AH43</f>
        <v>1705.42981388003</v>
      </c>
      <c r="AI61" s="61" t="n">
        <f aca="false">SUM(AI2:AI59)-AI43</f>
        <v>1831.10390886509</v>
      </c>
      <c r="AJ61" s="61" t="n">
        <f aca="false">SUM(AJ2:AJ59)-AJ43</f>
        <v>2167.97459724445</v>
      </c>
      <c r="AK61" s="61" t="n">
        <f aca="false">SUM(AK2:AK59)-AK43</f>
        <v>2226.59097363587</v>
      </c>
      <c r="AL61" s="61" t="n">
        <f aca="false">SUM(AL2:AL59)-AL43</f>
        <v>2717.68326539659</v>
      </c>
      <c r="AM61" s="61" t="n">
        <f aca="false">SUM(AM2:AM59)-AM43</f>
        <v>3242.16706603989</v>
      </c>
      <c r="AN61" s="61" t="n">
        <f aca="false">SUM(AN2:AN59)-AN43</f>
        <v>3552.09912034897</v>
      </c>
      <c r="AO61" s="61" t="n">
        <f aca="false">SUM(AO2:AO59)-AO43</f>
        <v>3326.90973969095</v>
      </c>
      <c r="AP61" s="61" t="n">
        <f aca="false">SUM(AP2:AP59)-AP43</f>
        <v>4005.50894275324</v>
      </c>
      <c r="AQ61" s="61" t="n">
        <f aca="false">SUM(AQ2:AQ59)-AQ43</f>
        <v>4595.78545295772</v>
      </c>
      <c r="AR61" s="61" t="n">
        <f aca="false">SUM(AR2:AR59)-AR43</f>
        <v>4666.33540867503</v>
      </c>
      <c r="AS61" s="61" t="n">
        <f aca="false">SUM(AS2:AS59)-AS43</f>
        <v>4998.60032027662</v>
      </c>
      <c r="AT61" s="61" t="n">
        <f aca="false">SUM(AT2:AT59)-AT43</f>
        <v>5432.49576265532</v>
      </c>
      <c r="AU61" s="61" t="n">
        <f aca="false">SUM(AU2:AU59)-AU43</f>
        <v>6267.65217488465</v>
      </c>
      <c r="AV61" s="61" t="n">
        <f aca="false">SUM(AV2:AV59)-AV43</f>
        <v>6020.22449095363</v>
      </c>
      <c r="AW61" s="61" t="n">
        <f aca="false">SUM(AW2:AW59)-AW43</f>
        <v>4091.93330491091</v>
      </c>
      <c r="AX61" s="61" t="n">
        <f aca="false">SUM(AX2:AX59)-AX43</f>
        <v>4488.64880694524</v>
      </c>
      <c r="AY61" s="61" t="n">
        <f aca="false">SUM(AY2:AY59)-AY43</f>
        <v>4553.44586318609</v>
      </c>
      <c r="AZ61" s="61" t="n">
        <f aca="false">SUM(AZ2:AZ59)-AZ43</f>
        <v>3905.99011918322</v>
      </c>
      <c r="BA61" s="61" t="n">
        <f aca="false">SUM(BA2:BA59)-BA43</f>
        <v>3986.01749532554</v>
      </c>
      <c r="BB61" s="61" t="n">
        <f aca="false">SUM(BB2:BB59)-BB43</f>
        <v>2816.20510425614</v>
      </c>
      <c r="BC61" s="61" t="n">
        <f aca="false">SUM(BC2:BC59)-BC43</f>
        <v>2490.78711679059</v>
      </c>
      <c r="BD61" s="61" t="n">
        <f aca="false">SUM(BD2:BD59)-BD43</f>
        <v>2380.15285169529</v>
      </c>
      <c r="BE61" s="61" t="n">
        <f aca="false">SUM(BE2:BE59)-BE43</f>
        <v>2029.15419248458</v>
      </c>
      <c r="BF61" s="61" t="n">
        <f aca="false">SUM(BF2:BF59)-BF43</f>
        <v>1645.0440210448</v>
      </c>
      <c r="BG61" s="61" t="n">
        <f aca="false">SUM(BG2:BG59)-BG43</f>
        <v>1605.54324124451</v>
      </c>
      <c r="BH61" s="61" t="n">
        <f aca="false">SUM(BH2:BH59)-BH43</f>
        <v>827.075949065458</v>
      </c>
      <c r="BI61" s="61" t="n">
        <f aca="false">SUM(BI2:BI59)-BI43</f>
        <v>392.032268672549</v>
      </c>
      <c r="BJ61" s="61" t="n">
        <f aca="false">SUM(BJ2:BJ59)-BJ43</f>
        <v>525.414231148877</v>
      </c>
      <c r="BK61" s="61" t="n">
        <f aca="false">SUM(BK2:BK59)-BK43</f>
        <v>49.9691691397517</v>
      </c>
      <c r="BL61" s="61" t="n">
        <f aca="false">SUM(BL2:BL59)-BL43</f>
        <v>89.2929689477648</v>
      </c>
      <c r="BM61" s="61" t="n">
        <f aca="false">SUM(BM2:BM59)-BM43</f>
        <v>0</v>
      </c>
      <c r="BN61" s="61" t="n">
        <f aca="false">SUM(BN2:BN59)-BN43</f>
        <v>1944.27691228576</v>
      </c>
      <c r="BO61" s="61" t="n">
        <f aca="false">SUM(BO2:BO59)-BO43</f>
        <v>0</v>
      </c>
      <c r="BP61" s="61" t="n">
        <f aca="false">SUM(BP2:BP59)-BP43</f>
        <v>0</v>
      </c>
      <c r="BQ61" s="61" t="n">
        <f aca="false">SUM(BQ2:BQ59)-BQ43</f>
        <v>0</v>
      </c>
      <c r="BR61" s="61" t="n">
        <f aca="false">SUM(BR2:BR59)-BR43</f>
        <v>0</v>
      </c>
      <c r="BS61" s="61" t="n">
        <f aca="false">SUM(BS2:BS59)-BS43</f>
        <v>0</v>
      </c>
      <c r="BT61" s="61" t="n">
        <f aca="false">SUM(BT2:BT59)-BT43</f>
        <v>0</v>
      </c>
      <c r="BU61" s="61" t="n">
        <f aca="false">SUM(BU2:BU59)-BU43</f>
        <v>0</v>
      </c>
      <c r="BV61" s="61" t="n">
        <f aca="false">SUM(BV2:BV59)-BV43</f>
        <v>0</v>
      </c>
      <c r="BW61" s="61" t="n">
        <f aca="false">SUM(BW2:BW59)-BW43</f>
        <v>0</v>
      </c>
      <c r="BX61" s="61" t="n">
        <f aca="false">SUM(BX2:BX59)-BX43</f>
        <v>0</v>
      </c>
      <c r="BY61" s="61" t="n">
        <f aca="false">SUM(BY2:BY59)-BY43</f>
        <v>0</v>
      </c>
      <c r="BZ61" s="61" t="n">
        <f aca="false">SUM(BZ2:BZ59)-BZ43</f>
        <v>0</v>
      </c>
      <c r="CA61" s="61" t="n">
        <f aca="false">SUM(CA2:CA59)-CA43</f>
        <v>0</v>
      </c>
    </row>
    <row r="62" customFormat="false" ht="15" hidden="false" customHeight="false" outlineLevel="0" collapsed="false">
      <c r="C62" s="42" t="s">
        <v>376</v>
      </c>
      <c r="D62" s="61" t="n">
        <f aca="false">D43</f>
        <v>477</v>
      </c>
      <c r="E62" s="61" t="n">
        <f aca="false">E43</f>
        <v>476.964710261372</v>
      </c>
      <c r="H62" s="61" t="n">
        <f aca="false">H43</f>
        <v>121.837103655049</v>
      </c>
      <c r="I62" s="61" t="n">
        <f aca="false">I43</f>
        <v>31.5815197123297</v>
      </c>
      <c r="J62" s="61" t="n">
        <f aca="false">J43</f>
        <v>0</v>
      </c>
      <c r="K62" s="61" t="n">
        <f aca="false">K43</f>
        <v>28.8916450127547</v>
      </c>
      <c r="L62" s="61" t="n">
        <f aca="false">L43</f>
        <v>11.9504213727414</v>
      </c>
      <c r="M62" s="61" t="n">
        <f aca="false">M43</f>
        <v>60.2325725850249</v>
      </c>
      <c r="N62" s="61" t="n">
        <f aca="false">N43</f>
        <v>5.43681623064104</v>
      </c>
      <c r="O62" s="61" t="n">
        <f aca="false">O43</f>
        <v>11.2110244689877</v>
      </c>
      <c r="P62" s="61" t="n">
        <f aca="false">P43</f>
        <v>21.5683328593761</v>
      </c>
      <c r="Q62" s="61" t="n">
        <f aca="false">Q43</f>
        <v>28.7069424581148</v>
      </c>
      <c r="R62" s="61" t="n">
        <f aca="false">R43</f>
        <v>58.0740553488509</v>
      </c>
      <c r="S62" s="61" t="n">
        <f aca="false">S43</f>
        <v>97.4742765575013</v>
      </c>
      <c r="T62" s="61" t="n">
        <f aca="false">T43</f>
        <v>0</v>
      </c>
      <c r="U62" s="61" t="n">
        <f aca="false">U43</f>
        <v>0</v>
      </c>
      <c r="V62" s="61" t="n">
        <f aca="false">V43</f>
        <v>0</v>
      </c>
      <c r="W62" s="61" t="n">
        <f aca="false">W43</f>
        <v>0</v>
      </c>
      <c r="X62" s="61" t="n">
        <f aca="false">X43</f>
        <v>0</v>
      </c>
      <c r="Y62" s="61" t="n">
        <f aca="false">Y43</f>
        <v>0</v>
      </c>
      <c r="Z62" s="61" t="n">
        <f aca="false">Z43</f>
        <v>0</v>
      </c>
      <c r="AA62" s="61" t="n">
        <f aca="false">AA43</f>
        <v>0</v>
      </c>
      <c r="AB62" s="61" t="n">
        <f aca="false">AB43</f>
        <v>0</v>
      </c>
      <c r="AC62" s="61" t="n">
        <f aca="false">AC43</f>
        <v>0</v>
      </c>
      <c r="AD62" s="61" t="n">
        <f aca="false">AD43</f>
        <v>0</v>
      </c>
      <c r="AE62" s="61" t="n">
        <f aca="false">AE43</f>
        <v>0</v>
      </c>
      <c r="AF62" s="61" t="n">
        <f aca="false">AF43</f>
        <v>0</v>
      </c>
      <c r="AG62" s="61" t="n">
        <f aca="false">AG43</f>
        <v>0</v>
      </c>
      <c r="AH62" s="61" t="n">
        <f aca="false">AH43</f>
        <v>0</v>
      </c>
      <c r="AI62" s="61" t="n">
        <f aca="false">AI43</f>
        <v>0</v>
      </c>
      <c r="AJ62" s="61" t="n">
        <f aca="false">AJ43</f>
        <v>0</v>
      </c>
      <c r="AK62" s="61" t="n">
        <f aca="false">AK43</f>
        <v>0</v>
      </c>
      <c r="AL62" s="61" t="n">
        <f aca="false">AL43</f>
        <v>0</v>
      </c>
      <c r="AM62" s="61" t="n">
        <f aca="false">AM43</f>
        <v>0</v>
      </c>
      <c r="AN62" s="61" t="n">
        <f aca="false">AN43</f>
        <v>0</v>
      </c>
      <c r="AO62" s="61" t="n">
        <f aca="false">AO43</f>
        <v>0</v>
      </c>
      <c r="AP62" s="61" t="n">
        <f aca="false">AP43</f>
        <v>0</v>
      </c>
      <c r="AQ62" s="61" t="n">
        <f aca="false">AQ43</f>
        <v>0</v>
      </c>
      <c r="AR62" s="61" t="n">
        <f aca="false">AR43</f>
        <v>0</v>
      </c>
      <c r="AS62" s="61" t="n">
        <f aca="false">AS43</f>
        <v>0</v>
      </c>
      <c r="AT62" s="61" t="n">
        <f aca="false">AT43</f>
        <v>0</v>
      </c>
      <c r="AU62" s="61" t="n">
        <f aca="false">AU43</f>
        <v>0</v>
      </c>
      <c r="AV62" s="61" t="n">
        <f aca="false">AV43</f>
        <v>0</v>
      </c>
      <c r="AW62" s="61" t="n">
        <f aca="false">AW43</f>
        <v>0</v>
      </c>
      <c r="AX62" s="61" t="n">
        <f aca="false">AX43</f>
        <v>0</v>
      </c>
      <c r="AY62" s="61" t="n">
        <f aca="false">AY43</f>
        <v>0</v>
      </c>
      <c r="AZ62" s="61" t="n">
        <f aca="false">AZ43</f>
        <v>0</v>
      </c>
      <c r="BA62" s="61" t="n">
        <f aca="false">BA43</f>
        <v>0</v>
      </c>
      <c r="BB62" s="61" t="n">
        <f aca="false">BB43</f>
        <v>0</v>
      </c>
      <c r="BC62" s="61" t="n">
        <f aca="false">BC43</f>
        <v>0</v>
      </c>
      <c r="BD62" s="61" t="n">
        <f aca="false">BD43</f>
        <v>0</v>
      </c>
      <c r="BE62" s="61" t="n">
        <f aca="false">BE43</f>
        <v>0</v>
      </c>
      <c r="BF62" s="61" t="n">
        <f aca="false">BF43</f>
        <v>0</v>
      </c>
      <c r="BG62" s="61" t="n">
        <f aca="false">BG43</f>
        <v>0</v>
      </c>
      <c r="BH62" s="61" t="n">
        <f aca="false">BH43</f>
        <v>0</v>
      </c>
      <c r="BI62" s="61" t="n">
        <f aca="false">BI43</f>
        <v>0</v>
      </c>
      <c r="BJ62" s="61" t="n">
        <f aca="false">BJ43</f>
        <v>0</v>
      </c>
      <c r="BK62" s="61" t="n">
        <f aca="false">BK43</f>
        <v>0</v>
      </c>
      <c r="BL62" s="61" t="n">
        <f aca="false">BL43</f>
        <v>0</v>
      </c>
      <c r="BM62" s="61" t="n">
        <f aca="false">BM43</f>
        <v>0</v>
      </c>
      <c r="BN62" s="61" t="n">
        <f aca="false">BN43</f>
        <v>0</v>
      </c>
      <c r="BO62" s="61" t="n">
        <f aca="false">BO43</f>
        <v>0</v>
      </c>
      <c r="BP62" s="61" t="n">
        <f aca="false">BP43</f>
        <v>0</v>
      </c>
      <c r="BQ62" s="61" t="n">
        <f aca="false">BQ43</f>
        <v>0</v>
      </c>
      <c r="BR62" s="61" t="n">
        <f aca="false">BR43</f>
        <v>0</v>
      </c>
      <c r="BS62" s="61" t="n">
        <f aca="false">BS43</f>
        <v>0</v>
      </c>
      <c r="BT62" s="61" t="n">
        <f aca="false">BT43</f>
        <v>0</v>
      </c>
      <c r="BU62" s="61" t="n">
        <f aca="false">BU43</f>
        <v>0</v>
      </c>
      <c r="BV62" s="61" t="n">
        <f aca="false">BV43</f>
        <v>0</v>
      </c>
      <c r="BW62" s="61" t="n">
        <f aca="false">BW43</f>
        <v>0</v>
      </c>
      <c r="BX62" s="61" t="n">
        <f aca="false">BX43</f>
        <v>0</v>
      </c>
      <c r="BY62" s="61" t="n">
        <f aca="false">BY43</f>
        <v>0</v>
      </c>
      <c r="BZ62" s="61" t="n">
        <f aca="false">BZ43</f>
        <v>0</v>
      </c>
      <c r="CA62" s="61" t="n">
        <f aca="false">CA43</f>
        <v>0</v>
      </c>
    </row>
    <row r="63" customFormat="false" ht="15" hidden="false" customHeight="false" outlineLevel="0" collapsed="false">
      <c r="C63" s="42" t="s">
        <v>377</v>
      </c>
      <c r="D63" s="61" t="n">
        <f aca="false">D61+D62</f>
        <v>124214.550971</v>
      </c>
      <c r="E63" s="61" t="n">
        <f aca="false">E61+E62</f>
        <v>124449.92460772</v>
      </c>
      <c r="H63" s="61" t="n">
        <f aca="false">H61+H62</f>
        <v>937.784818819305</v>
      </c>
      <c r="I63" s="61" t="n">
        <f aca="false">I61+I62</f>
        <v>43.0135675159693</v>
      </c>
      <c r="J63" s="61" t="n">
        <f aca="false">J61+J62</f>
        <v>289.401094758365</v>
      </c>
      <c r="K63" s="61" t="n">
        <f aca="false">K61+K62</f>
        <v>211.312990819647</v>
      </c>
      <c r="L63" s="61" t="n">
        <f aca="false">L61+L62</f>
        <v>191.601452811487</v>
      </c>
      <c r="M63" s="61" t="n">
        <f aca="false">M61+M62</f>
        <v>250.308974781903</v>
      </c>
      <c r="N63" s="61" t="n">
        <f aca="false">N61+N62</f>
        <v>158.520836442244</v>
      </c>
      <c r="O63" s="61" t="n">
        <f aca="false">O61+O62</f>
        <v>183.394496852878</v>
      </c>
      <c r="P63" s="61" t="n">
        <f aca="false">P61+P62</f>
        <v>325.139474943002</v>
      </c>
      <c r="Q63" s="61" t="n">
        <f aca="false">Q61+Q62</f>
        <v>581.099653988892</v>
      </c>
      <c r="R63" s="61" t="n">
        <f aca="false">R61+R62</f>
        <v>1024.95723831682</v>
      </c>
      <c r="S63" s="61" t="n">
        <f aca="false">S61+S62</f>
        <v>1777.51978773417</v>
      </c>
      <c r="T63" s="61" t="n">
        <f aca="false">T61+T62</f>
        <v>1276.79204925087</v>
      </c>
      <c r="U63" s="61" t="n">
        <f aca="false">U61+U62</f>
        <v>1594.9270191005</v>
      </c>
      <c r="V63" s="61" t="n">
        <f aca="false">V61+V62</f>
        <v>891.207999155167</v>
      </c>
      <c r="W63" s="61" t="n">
        <f aca="false">W61+W62</f>
        <v>1312.3747154583</v>
      </c>
      <c r="X63" s="61" t="n">
        <f aca="false">X61+X62</f>
        <v>1146.88803733095</v>
      </c>
      <c r="Y63" s="61" t="n">
        <f aca="false">Y61+Y62</f>
        <v>752.900192414387</v>
      </c>
      <c r="Z63" s="61" t="n">
        <f aca="false">Z61+Z62</f>
        <v>1046.89080702554</v>
      </c>
      <c r="AA63" s="61" t="n">
        <f aca="false">AA61+AA62</f>
        <v>1809.7248203435</v>
      </c>
      <c r="AB63" s="61" t="n">
        <f aca="false">AB61+AB62</f>
        <v>1359.2399721361</v>
      </c>
      <c r="AC63" s="61" t="n">
        <f aca="false">AC61+AC62</f>
        <v>3141.5167042767</v>
      </c>
      <c r="AD63" s="61" t="n">
        <f aca="false">AD61+AD62</f>
        <v>3073.78508206943</v>
      </c>
      <c r="AE63" s="61" t="n">
        <f aca="false">AE61+AE62</f>
        <v>2196.9650486385</v>
      </c>
      <c r="AF63" s="61" t="n">
        <f aca="false">AF61+AF62</f>
        <v>1626.05200725206</v>
      </c>
      <c r="AG63" s="61" t="n">
        <f aca="false">AG61+AG62</f>
        <v>2669.06111089861</v>
      </c>
      <c r="AH63" s="61" t="n">
        <f aca="false">AH61+AH62</f>
        <v>1705.42981388003</v>
      </c>
      <c r="AI63" s="61" t="n">
        <f aca="false">AI61+AI62</f>
        <v>1831.10390886509</v>
      </c>
      <c r="AJ63" s="61" t="n">
        <f aca="false">AJ61+AJ62</f>
        <v>2167.97459724445</v>
      </c>
      <c r="AK63" s="61" t="n">
        <f aca="false">AK61+AK62</f>
        <v>2226.59097363587</v>
      </c>
      <c r="AL63" s="61" t="n">
        <f aca="false">AL61+AL62</f>
        <v>2717.68326539659</v>
      </c>
      <c r="AM63" s="61" t="n">
        <f aca="false">AM61+AM62</f>
        <v>3242.16706603989</v>
      </c>
      <c r="AN63" s="61" t="n">
        <f aca="false">AN61+AN62</f>
        <v>3552.09912034897</v>
      </c>
      <c r="AO63" s="61" t="n">
        <f aca="false">AO61+AO62</f>
        <v>3326.90973969095</v>
      </c>
      <c r="AP63" s="61" t="n">
        <f aca="false">AP61+AP62</f>
        <v>4005.50894275324</v>
      </c>
      <c r="AQ63" s="61" t="n">
        <f aca="false">AQ61+AQ62</f>
        <v>4595.78545295772</v>
      </c>
      <c r="AR63" s="61" t="n">
        <f aca="false">AR61+AR62</f>
        <v>4666.33540867503</v>
      </c>
      <c r="AS63" s="61" t="n">
        <f aca="false">AS61+AS62</f>
        <v>4998.60032027662</v>
      </c>
      <c r="AT63" s="61" t="n">
        <f aca="false">AT61+AT62</f>
        <v>5432.49576265532</v>
      </c>
      <c r="AU63" s="61" t="n">
        <f aca="false">AU61+AU62</f>
        <v>6267.65217488465</v>
      </c>
      <c r="AV63" s="61" t="n">
        <f aca="false">AV61+AV62</f>
        <v>6020.22449095363</v>
      </c>
      <c r="AW63" s="61" t="n">
        <f aca="false">AW61+AW62</f>
        <v>4091.93330491091</v>
      </c>
      <c r="AX63" s="61" t="n">
        <f aca="false">AX61+AX62</f>
        <v>4488.64880694524</v>
      </c>
      <c r="AY63" s="61" t="n">
        <f aca="false">AY61+AY62</f>
        <v>4553.44586318609</v>
      </c>
      <c r="AZ63" s="61" t="n">
        <f aca="false">AZ61+AZ62</f>
        <v>3905.99011918322</v>
      </c>
      <c r="BA63" s="61" t="n">
        <f aca="false">BA61+BA62</f>
        <v>3986.01749532554</v>
      </c>
      <c r="BB63" s="61" t="n">
        <f aca="false">BB61+BB62</f>
        <v>2816.20510425614</v>
      </c>
      <c r="BC63" s="61" t="n">
        <f aca="false">BC61+BC62</f>
        <v>2490.78711679059</v>
      </c>
      <c r="BD63" s="61" t="n">
        <f aca="false">BD61+BD62</f>
        <v>2380.15285169529</v>
      </c>
      <c r="BE63" s="61" t="n">
        <f aca="false">BE61+BE62</f>
        <v>2029.15419248458</v>
      </c>
      <c r="BF63" s="61" t="n">
        <f aca="false">BF61+BF62</f>
        <v>1645.0440210448</v>
      </c>
      <c r="BG63" s="61" t="n">
        <f aca="false">BG61+BG62</f>
        <v>1605.54324124451</v>
      </c>
      <c r="BH63" s="61" t="n">
        <f aca="false">BH61+BH62</f>
        <v>827.075949065458</v>
      </c>
      <c r="BI63" s="61" t="n">
        <f aca="false">BI61+BI62</f>
        <v>392.032268672549</v>
      </c>
      <c r="BJ63" s="61" t="n">
        <f aca="false">BJ61+BJ62</f>
        <v>525.414231148877</v>
      </c>
      <c r="BK63" s="61" t="n">
        <f aca="false">BK61+BK62</f>
        <v>49.9691691397517</v>
      </c>
      <c r="BL63" s="61" t="n">
        <f aca="false">BL61+BL62</f>
        <v>89.2929689477648</v>
      </c>
      <c r="BM63" s="61" t="n">
        <f aca="false">BM61+BM62</f>
        <v>0</v>
      </c>
      <c r="BN63" s="61" t="n">
        <f aca="false">BN61+BN62</f>
        <v>1944.27691228576</v>
      </c>
      <c r="BO63" s="61" t="n">
        <f aca="false">BO61+BO62</f>
        <v>0</v>
      </c>
      <c r="BP63" s="61" t="n">
        <f aca="false">BP61+BP62</f>
        <v>0</v>
      </c>
      <c r="BQ63" s="61" t="n">
        <f aca="false">BQ61+BQ62</f>
        <v>0</v>
      </c>
      <c r="BR63" s="61" t="n">
        <f aca="false">BR61+BR62</f>
        <v>0</v>
      </c>
      <c r="BS63" s="61" t="n">
        <f aca="false">BS61+BS62</f>
        <v>0</v>
      </c>
      <c r="BT63" s="61" t="n">
        <f aca="false">BT61+BT62</f>
        <v>0</v>
      </c>
      <c r="BU63" s="61" t="n">
        <f aca="false">BU61+BU62</f>
        <v>0</v>
      </c>
      <c r="BV63" s="61" t="n">
        <f aca="false">BV61+BV62</f>
        <v>0</v>
      </c>
      <c r="BW63" s="61" t="n">
        <f aca="false">BW61+BW62</f>
        <v>0</v>
      </c>
      <c r="BX63" s="61" t="n">
        <f aca="false">BX61+BX62</f>
        <v>0</v>
      </c>
      <c r="BY63" s="61" t="n">
        <f aca="false">BY61+BY62</f>
        <v>0</v>
      </c>
      <c r="BZ63" s="61" t="n">
        <f aca="false">BZ61+BZ62</f>
        <v>0</v>
      </c>
      <c r="CA63" s="61" t="n">
        <f aca="false">CA61+CA62</f>
        <v>0</v>
      </c>
    </row>
    <row r="64" customFormat="false" ht="15" hidden="false" customHeight="false" outlineLevel="0" collapsed="false">
      <c r="C64" s="57" t="str">
        <f aca="false">"INCORRIDO ATÉ -&gt; "&amp;TEXT(MONTH('VALOR POR PL'!$P$5),"00")&amp;"/"&amp;YEAR('VALOR POR PL'!$P$5)</f>
        <v>INCORRIDO ATÉ -&gt; 08/2026</v>
      </c>
    </row>
    <row r="65" customFormat="false" ht="15" hidden="false" customHeight="false" outlineLevel="0" collapsed="false">
      <c r="C65" s="42" t="s">
        <v>378</v>
      </c>
      <c r="E65" s="116" t="n">
        <f aca="false">SUM(H65:CA65)</f>
        <v>160420979.399595</v>
      </c>
      <c r="H65" s="50" t="n">
        <f aca="false">PROJETO!C5+PROJETO!D5+SEGUROS!C5+SEGUROS!D5+'TAX. DIVERSAS'!C5+'TAX. DIVERSAS'!D5+'BARRACÃO DE OBRA'!C5+'BARRACÃO DE OBRA'!D5+'LIG. PROVISÓRIAS'!C5+'LIG. PROVISÓRIAS'!D5+CONSUMOS!C5+CONSUMOS!D5+DIVERSOS!C5+DIVERSOS!D5+TRANSPORTES!C5+TRANSPORTES!D5+CONSULTORIAS!C5+CONSULTORIAS!D5+MDO!C5+MDO!D5+'EQUIP E FER'!C5+'EQUIP E FER'!D5+'SERV. INICIAIS'!C5+'SERV. INICIAIS'!D5+CONTENÇÃO!C5+CONTENÇÃO!D5+TERRAPLENAGEM!C5+TERRAPLENAGEM!D5+'FUND. PROF'!C5+'FUND. PROF'!D5+'FUND. SUP'!C5+'FUND. SUP'!D5+ESTRUTURA!C5+ESTRUTURA!D5+ALVENARIA!C5+ALVENARIA!D5+IMPERMEABILIZAÇÃO!C5+IMPERMEABILIZAÇÃO!D5+'INST. ELÉTRICA'!C5+'INST. ELÉTRICA'!D5+'INST. HIDRO'!C5+'INST. HIDRO'!D5+'INST. INC'!C5+'INST. INC'!D5+'INST. ESP'!C5+'INST. ESP'!D5+'ELEVADORES '!C5+'ELEVADORES '!D5+ESQUADRIAS!C5+ESQUADRIAS!D5+SERRALHERIA!C5+SERRALHERIA!D5+MARCENARIA!C5+MARCENARIA!D5+'REV. PISOS'!C5+'REV. PISOS'!D5+'REV. PAREDE'!C5+'REV. PAREDE'!D5+'REV. ACAB'!C5+'REV. ACAB'!D5+PAVIMENTAÇÃO!C5+PAVIMENTAÇÃO!D5+'REV. FACHADA'!C5+'REV. FACHADA'!D5+FORRO!C5+FORRO!D5+LOUÇAS!C5+LOUÇAS!D5+PINTURA!C5+PINTURA!D5+PAISAGISMO!C5+PAISAGISMO!D5+LIMPEZA!C5+LIMPEZA!D5+'TAX. ADM'!C5+'TAX. ADM'!D5+H59*'VALOR POR PL'!$P$7+IF(H$1=DATE(2026,8,1),'VALOR POR PL'!$G$63,0)</f>
        <v>1055724.07</v>
      </c>
      <c r="I65" s="50" t="n">
        <f aca="false">PROJETO!C6+PROJETO!D6+SEGUROS!C6+SEGUROS!D6+'TAX. DIVERSAS'!C6+'TAX. DIVERSAS'!D6+'BARRACÃO DE OBRA'!C6+'BARRACÃO DE OBRA'!D6+'LIG. PROVISÓRIAS'!C6+'LIG. PROVISÓRIAS'!D6+CONSUMOS!C6+CONSUMOS!D6+DIVERSOS!C6+DIVERSOS!D6+TRANSPORTES!C6+TRANSPORTES!D6+CONSULTORIAS!C6+CONSULTORIAS!D6+MDO!C6+MDO!D6+'EQUIP E FER'!C6+'EQUIP E FER'!D6+'SERV. INICIAIS'!C6+'SERV. INICIAIS'!D6+CONTENÇÃO!C6+CONTENÇÃO!D6+TERRAPLENAGEM!C6+TERRAPLENAGEM!D6+'FUND. PROF'!C6+'FUND. PROF'!D6+'FUND. SUP'!C6+'FUND. SUP'!D6+ESTRUTURA!C6+ESTRUTURA!D6+ALVENARIA!C6+ALVENARIA!D6+IMPERMEABILIZAÇÃO!C6+IMPERMEABILIZAÇÃO!D6+'INST. ELÉTRICA'!C6+'INST. ELÉTRICA'!D6+'INST. HIDRO'!C6+'INST. HIDRO'!D6+'INST. INC'!C6+'INST. INC'!D6+'INST. ESP'!C6+'INST. ESP'!D6+'ELEVADORES '!C6+'ELEVADORES '!D6+ESQUADRIAS!C6+ESQUADRIAS!D6+SERRALHERIA!C6+SERRALHERIA!D6+MARCENARIA!C6+MARCENARIA!D6+'REV. PISOS'!C6+'REV. PISOS'!D6+'REV. PAREDE'!C6+'REV. PAREDE'!D6+'REV. ACAB'!C6+'REV. ACAB'!D6+PAVIMENTAÇÃO!C6+PAVIMENTAÇÃO!D6+'REV. FACHADA'!C6+'REV. FACHADA'!D6+FORRO!C6+FORRO!D6+LOUÇAS!C6+LOUÇAS!D6+PINTURA!C6+PINTURA!D6+PAISAGISMO!C6+PAISAGISMO!D6+LIMPEZA!C6+LIMPEZA!D6+'TAX. ADM'!C6+'TAX. ADM'!D6+I59*'VALOR POR PL'!$P$7+IF(I$1=DATE(2026,8,1),'VALOR POR PL'!$G$63,0)</f>
        <v>50287.85</v>
      </c>
      <c r="J65" s="50" t="n">
        <f aca="false">PROJETO!C7+PROJETO!D7+SEGUROS!C7+SEGUROS!D7+'TAX. DIVERSAS'!C7+'TAX. DIVERSAS'!D7+'BARRACÃO DE OBRA'!C7+'BARRACÃO DE OBRA'!D7+'LIG. PROVISÓRIAS'!C7+'LIG. PROVISÓRIAS'!D7+CONSUMOS!C7+CONSUMOS!D7+DIVERSOS!C7+DIVERSOS!D7+TRANSPORTES!C7+TRANSPORTES!D7+CONSULTORIAS!C7+CONSULTORIAS!D7+MDO!C7+MDO!D7+'EQUIP E FER'!C7+'EQUIP E FER'!D7+'SERV. INICIAIS'!C7+'SERV. INICIAIS'!D7+CONTENÇÃO!C7+CONTENÇÃO!D7+TERRAPLENAGEM!C7+TERRAPLENAGEM!D7+'FUND. PROF'!C7+'FUND. PROF'!D7+'FUND. SUP'!C7+'FUND. SUP'!D7+ESTRUTURA!C7+ESTRUTURA!D7+ALVENARIA!C7+ALVENARIA!D7+IMPERMEABILIZAÇÃO!C7+IMPERMEABILIZAÇÃO!D7+'INST. ELÉTRICA'!C7+'INST. ELÉTRICA'!D7+'INST. HIDRO'!C7+'INST. HIDRO'!D7+'INST. INC'!C7+'INST. INC'!D7+'INST. ESP'!C7+'INST. ESP'!D7+'ELEVADORES '!C7+'ELEVADORES '!D7+ESQUADRIAS!C7+ESQUADRIAS!D7+SERRALHERIA!C7+SERRALHERIA!D7+MARCENARIA!C7+MARCENARIA!D7+'REV. PISOS'!C7+'REV. PISOS'!D7+'REV. PAREDE'!C7+'REV. PAREDE'!D7+'REV. ACAB'!C7+'REV. ACAB'!D7+PAVIMENTAÇÃO!C7+PAVIMENTAÇÃO!D7+'REV. FACHADA'!C7+'REV. FACHADA'!D7+FORRO!C7+FORRO!D7+LOUÇAS!C7+LOUÇAS!D7+PINTURA!C7+PINTURA!D7+PAISAGISMO!C7+PAISAGISMO!D7+LIMPEZA!C7+LIMPEZA!D7+'TAX. ADM'!C7+'TAX. ADM'!D7+J59*'VALOR POR PL'!$P$7+IF(J$1=DATE(2026,8,1),'VALOR POR PL'!$G$63,0)</f>
        <v>339691.77</v>
      </c>
      <c r="K65" s="50" t="n">
        <f aca="false">PROJETO!C8+PROJETO!D8+SEGUROS!C8+SEGUROS!D8+'TAX. DIVERSAS'!C8+'TAX. DIVERSAS'!D8+'BARRACÃO DE OBRA'!C8+'BARRACÃO DE OBRA'!D8+'LIG. PROVISÓRIAS'!C8+'LIG. PROVISÓRIAS'!D8+CONSUMOS!C8+CONSUMOS!D8+DIVERSOS!C8+DIVERSOS!D8+TRANSPORTES!C8+TRANSPORTES!D8+CONSULTORIAS!C8+CONSULTORIAS!D8+MDO!C8+MDO!D8+'EQUIP E FER'!C8+'EQUIP E FER'!D8+'SERV. INICIAIS'!C8+'SERV. INICIAIS'!D8+CONTENÇÃO!C8+CONTENÇÃO!D8+TERRAPLENAGEM!C8+TERRAPLENAGEM!D8+'FUND. PROF'!C8+'FUND. PROF'!D8+'FUND. SUP'!C8+'FUND. SUP'!D8+ESTRUTURA!C8+ESTRUTURA!D8+ALVENARIA!C8+ALVENARIA!D8+IMPERMEABILIZAÇÃO!C8+IMPERMEABILIZAÇÃO!D8+'INST. ELÉTRICA'!C8+'INST. ELÉTRICA'!D8+'INST. HIDRO'!C8+'INST. HIDRO'!D8+'INST. INC'!C8+'INST. INC'!D8+'INST. ESP'!C8+'INST. ESP'!D8+'ELEVADORES '!C8+'ELEVADORES '!D8+ESQUADRIAS!C8+ESQUADRIAS!D8+SERRALHERIA!C8+SERRALHERIA!D8+MARCENARIA!C8+MARCENARIA!D8+'REV. PISOS'!C8+'REV. PISOS'!D8+'REV. PAREDE'!C8+'REV. PAREDE'!D8+'REV. ACAB'!C8+'REV. ACAB'!D8+PAVIMENTAÇÃO!C8+PAVIMENTAÇÃO!D8+'REV. FACHADA'!C8+'REV. FACHADA'!D8+FORRO!C8+FORRO!D8+LOUÇAS!C8+LOUÇAS!D8+PINTURA!C8+PINTURA!D8+PAISAGISMO!C8+PAISAGISMO!D8+LIMPEZA!C8+LIMPEZA!D8+'TAX. ADM'!C8+'TAX. ADM'!D8+K59*'VALOR POR PL'!$P$7+IF(K$1=DATE(2026,8,1),'VALOR POR PL'!$G$63,0)</f>
        <v>249008.27</v>
      </c>
      <c r="L65" s="50" t="n">
        <f aca="false">PROJETO!C9+PROJETO!D9+SEGUROS!C9+SEGUROS!D9+'TAX. DIVERSAS'!C9+'TAX. DIVERSAS'!D9+'BARRACÃO DE OBRA'!C9+'BARRACÃO DE OBRA'!D9+'LIG. PROVISÓRIAS'!C9+'LIG. PROVISÓRIAS'!D9+CONSUMOS!C9+CONSUMOS!D9+DIVERSOS!C9+DIVERSOS!D9+TRANSPORTES!C9+TRANSPORTES!D9+CONSULTORIAS!C9+CONSULTORIAS!D9+MDO!C9+MDO!D9+'EQUIP E FER'!C9+'EQUIP E FER'!D9+'SERV. INICIAIS'!C9+'SERV. INICIAIS'!D9+CONTENÇÃO!C9+CONTENÇÃO!D9+TERRAPLENAGEM!C9+TERRAPLENAGEM!D9+'FUND. PROF'!C9+'FUND. PROF'!D9+'FUND. SUP'!C9+'FUND. SUP'!D9+ESTRUTURA!C9+ESTRUTURA!D9+ALVENARIA!C9+ALVENARIA!D9+IMPERMEABILIZAÇÃO!C9+IMPERMEABILIZAÇÃO!D9+'INST. ELÉTRICA'!C9+'INST. ELÉTRICA'!D9+'INST. HIDRO'!C9+'INST. HIDRO'!D9+'INST. INC'!C9+'INST. INC'!D9+'INST. ESP'!C9+'INST. ESP'!D9+'ELEVADORES '!C9+'ELEVADORES '!D9+ESQUADRIAS!C9+ESQUADRIAS!D9+SERRALHERIA!C9+SERRALHERIA!D9+MARCENARIA!C9+MARCENARIA!D9+'REV. PISOS'!C9+'REV. PISOS'!D9+'REV. PAREDE'!C9+'REV. PAREDE'!D9+'REV. ACAB'!C9+'REV. ACAB'!D9+PAVIMENTAÇÃO!C9+PAVIMENTAÇÃO!D9+'REV. FACHADA'!C9+'REV. FACHADA'!D9+FORRO!C9+FORRO!D9+LOUÇAS!C9+LOUÇAS!D9+PINTURA!C9+PINTURA!D9+PAISAGISMO!C9+PAISAGISMO!D9+LIMPEZA!C9+LIMPEZA!D9+'TAX. ADM'!C9+'TAX. ADM'!D9+L59*'VALOR POR PL'!$P$7+IF(L$1=DATE(2026,8,1),'VALOR POR PL'!$G$63,0)</f>
        <v>226944.64</v>
      </c>
      <c r="M65" s="50" t="n">
        <f aca="false">PROJETO!C10+PROJETO!D10+SEGUROS!C10+SEGUROS!D10+'TAX. DIVERSAS'!C10+'TAX. DIVERSAS'!D10+'BARRACÃO DE OBRA'!C10+'BARRACÃO DE OBRA'!D10+'LIG. PROVISÓRIAS'!C10+'LIG. PROVISÓRIAS'!D10+CONSUMOS!C10+CONSUMOS!D10+DIVERSOS!C10+DIVERSOS!D10+TRANSPORTES!C10+TRANSPORTES!D10+CONSULTORIAS!C10+CONSULTORIAS!D10+MDO!C10+MDO!D10+'EQUIP E FER'!C10+'EQUIP E FER'!D10+'SERV. INICIAIS'!C10+'SERV. INICIAIS'!D10+CONTENÇÃO!C10+CONTENÇÃO!D10+TERRAPLENAGEM!C10+TERRAPLENAGEM!D10+'FUND. PROF'!C10+'FUND. PROF'!D10+'FUND. SUP'!C10+'FUND. SUP'!D10+ESTRUTURA!C10+ESTRUTURA!D10+ALVENARIA!C10+ALVENARIA!D10+IMPERMEABILIZAÇÃO!C10+IMPERMEABILIZAÇÃO!D10+'INST. ELÉTRICA'!C10+'INST. ELÉTRICA'!D10+'INST. HIDRO'!C10+'INST. HIDRO'!D10+'INST. INC'!C10+'INST. INC'!D10+'INST. ESP'!C10+'INST. ESP'!D10+'ELEVADORES '!C10+'ELEVADORES '!D10+ESQUADRIAS!C10+ESQUADRIAS!D10+SERRALHERIA!C10+SERRALHERIA!D10+MARCENARIA!C10+MARCENARIA!D10+'REV. PISOS'!C10+'REV. PISOS'!D10+'REV. PAREDE'!C10+'REV. PAREDE'!D10+'REV. ACAB'!C10+'REV. ACAB'!D10+PAVIMENTAÇÃO!C10+PAVIMENTAÇÃO!D10+'REV. FACHADA'!C10+'REV. FACHADA'!D10+FORRO!C10+FORRO!D10+LOUÇAS!C10+LOUÇAS!D10+PINTURA!C10+PINTURA!D10+PAISAGISMO!C10+PAISAGISMO!D10+LIMPEZA!C10+LIMPEZA!D10+'TAX. ADM'!C10+'TAX. ADM'!D10+M59*'VALOR POR PL'!$P$7+IF(M$1=DATE(2026,8,1),'VALOR POR PL'!$G$63,0)</f>
        <v>298199.84</v>
      </c>
      <c r="N65" s="50" t="n">
        <f aca="false">PROJETO!C11+PROJETO!D11+SEGUROS!C11+SEGUROS!D11+'TAX. DIVERSAS'!C11+'TAX. DIVERSAS'!D11+'BARRACÃO DE OBRA'!C11+'BARRACÃO DE OBRA'!D11+'LIG. PROVISÓRIAS'!C11+'LIG. PROVISÓRIAS'!D11+CONSUMOS!C11+CONSUMOS!D11+DIVERSOS!C11+DIVERSOS!D11+TRANSPORTES!C11+TRANSPORTES!D11+CONSULTORIAS!C11+CONSULTORIAS!D11+MDO!C11+MDO!D11+'EQUIP E FER'!C11+'EQUIP E FER'!D11+'SERV. INICIAIS'!C11+'SERV. INICIAIS'!D11+CONTENÇÃO!C11+CONTENÇÃO!D11+TERRAPLENAGEM!C11+TERRAPLENAGEM!D11+'FUND. PROF'!C11+'FUND. PROF'!D11+'FUND. SUP'!C11+'FUND. SUP'!D11+ESTRUTURA!C11+ESTRUTURA!D11+ALVENARIA!C11+ALVENARIA!D11+IMPERMEABILIZAÇÃO!C11+IMPERMEABILIZAÇÃO!D11+'INST. ELÉTRICA'!C11+'INST. ELÉTRICA'!D11+'INST. HIDRO'!C11+'INST. HIDRO'!D11+'INST. INC'!C11+'INST. INC'!D11+'INST. ESP'!C11+'INST. ESP'!D11+'ELEVADORES '!C11+'ELEVADORES '!D11+ESQUADRIAS!C11+ESQUADRIAS!D11+SERRALHERIA!C11+SERRALHERIA!D11+MARCENARIA!C11+MARCENARIA!D11+'REV. PISOS'!C11+'REV. PISOS'!D11+'REV. PAREDE'!C11+'REV. PAREDE'!D11+'REV. ACAB'!C11+'REV. ACAB'!D11+PAVIMENTAÇÃO!C11+PAVIMENTAÇÃO!D11+'REV. FACHADA'!C11+'REV. FACHADA'!D11+FORRO!C11+FORRO!D11+LOUÇAS!C11+LOUÇAS!D11+PINTURA!C11+PINTURA!D11+PAISAGISMO!C11+PAISAGISMO!D11+LIMPEZA!C11+LIMPEZA!D11+'TAX. ADM'!C11+'TAX. ADM'!D11+N59*'VALOR POR PL'!$P$7+IF(N$1=DATE(2026,8,1),'VALOR POR PL'!$G$63,0)</f>
        <v>190147.17</v>
      </c>
      <c r="O65" s="50" t="n">
        <f aca="false">PROJETO!C12+PROJETO!D12+SEGUROS!C12+SEGUROS!D12+'TAX. DIVERSAS'!C12+'TAX. DIVERSAS'!D12+'BARRACÃO DE OBRA'!C12+'BARRACÃO DE OBRA'!D12+'LIG. PROVISÓRIAS'!C12+'LIG. PROVISÓRIAS'!D12+CONSUMOS!C12+CONSUMOS!D12+DIVERSOS!C12+DIVERSOS!D12+TRANSPORTES!C12+TRANSPORTES!D12+CONSULTORIAS!C12+CONSULTORIAS!D12+MDO!C12+MDO!D12+'EQUIP E FER'!C12+'EQUIP E FER'!D12+'SERV. INICIAIS'!C12+'SERV. INICIAIS'!D12+CONTENÇÃO!C12+CONTENÇÃO!D12+TERRAPLENAGEM!C12+TERRAPLENAGEM!D12+'FUND. PROF'!C12+'FUND. PROF'!D12+'FUND. SUP'!C12+'FUND. SUP'!D12+ESTRUTURA!C12+ESTRUTURA!D12+ALVENARIA!C12+ALVENARIA!D12+IMPERMEABILIZAÇÃO!C12+IMPERMEABILIZAÇÃO!D12+'INST. ELÉTRICA'!C12+'INST. ELÉTRICA'!D12+'INST. HIDRO'!C12+'INST. HIDRO'!D12+'INST. INC'!C12+'INST. INC'!D12+'INST. ESP'!C12+'INST. ESP'!D12+'ELEVADORES '!C12+'ELEVADORES '!D12+ESQUADRIAS!C12+ESQUADRIAS!D12+SERRALHERIA!C12+SERRALHERIA!D12+MARCENARIA!C12+MARCENARIA!D12+'REV. PISOS'!C12+'REV. PISOS'!D12+'REV. PAREDE'!C12+'REV. PAREDE'!D12+'REV. ACAB'!C12+'REV. ACAB'!D12+PAVIMENTAÇÃO!C12+PAVIMENTAÇÃO!D12+'REV. FACHADA'!C12+'REV. FACHADA'!D12+FORRO!C12+FORRO!D12+LOUÇAS!C12+LOUÇAS!D12+PINTURA!C12+PINTURA!D12+PAISAGISMO!C12+PAISAGISMO!D12+LIMPEZA!C12+LIMPEZA!D12+'TAX. ADM'!C12+'TAX. ADM'!D12+O59*'VALOR POR PL'!$P$7+IF(O$1=DATE(2026,8,1),'VALOR POR PL'!$G$63,0)</f>
        <v>221993.72</v>
      </c>
      <c r="P65" s="50" t="n">
        <f aca="false">PROJETO!C13+PROJETO!D13+SEGUROS!C13+SEGUROS!D13+'TAX. DIVERSAS'!C13+'TAX. DIVERSAS'!D13+'BARRACÃO DE OBRA'!C13+'BARRACÃO DE OBRA'!D13+'LIG. PROVISÓRIAS'!C13+'LIG. PROVISÓRIAS'!D13+CONSUMOS!C13+CONSUMOS!D13+DIVERSOS!C13+DIVERSOS!D13+TRANSPORTES!C13+TRANSPORTES!D13+CONSULTORIAS!C13+CONSULTORIAS!D13+MDO!C13+MDO!D13+'EQUIP E FER'!C13+'EQUIP E FER'!D13+'SERV. INICIAIS'!C13+'SERV. INICIAIS'!D13+CONTENÇÃO!C13+CONTENÇÃO!D13+TERRAPLENAGEM!C13+TERRAPLENAGEM!D13+'FUND. PROF'!C13+'FUND. PROF'!D13+'FUND. SUP'!C13+'FUND. SUP'!D13+ESTRUTURA!C13+ESTRUTURA!D13+ALVENARIA!C13+ALVENARIA!D13+IMPERMEABILIZAÇÃO!C13+IMPERMEABILIZAÇÃO!D13+'INST. ELÉTRICA'!C13+'INST. ELÉTRICA'!D13+'INST. HIDRO'!C13+'INST. HIDRO'!D13+'INST. INC'!C13+'INST. INC'!D13+'INST. ESP'!C13+'INST. ESP'!D13+'ELEVADORES '!C13+'ELEVADORES '!D13+ESQUADRIAS!C13+ESQUADRIAS!D13+SERRALHERIA!C13+SERRALHERIA!D13+MARCENARIA!C13+MARCENARIA!D13+'REV. PISOS'!C13+'REV. PISOS'!D13+'REV. PAREDE'!C13+'REV. PAREDE'!D13+'REV. ACAB'!C13+'REV. ACAB'!D13+PAVIMENTAÇÃO!C13+PAVIMENTAÇÃO!D13+'REV. FACHADA'!C13+'REV. FACHADA'!D13+FORRO!C13+FORRO!D13+LOUÇAS!C13+LOUÇAS!D13+PINTURA!C13+PINTURA!D13+PAISAGISMO!C13+PAISAGISMO!D13+LIMPEZA!C13+LIMPEZA!D13+'TAX. ADM'!C13+'TAX. ADM'!D13+P59*'VALOR POR PL'!$P$7+IF(P$1=DATE(2026,8,1),'VALOR POR PL'!$G$63,0)</f>
        <v>395599.15</v>
      </c>
      <c r="Q65" s="50" t="n">
        <f aca="false">PROJETO!C14+PROJETO!D14+SEGUROS!C14+SEGUROS!D14+'TAX. DIVERSAS'!C14+'TAX. DIVERSAS'!D14+'BARRACÃO DE OBRA'!C14+'BARRACÃO DE OBRA'!D14+'LIG. PROVISÓRIAS'!C14+'LIG. PROVISÓRIAS'!D14+CONSUMOS!C14+CONSUMOS!D14+DIVERSOS!C14+DIVERSOS!D14+TRANSPORTES!C14+TRANSPORTES!D14+CONSULTORIAS!C14+CONSULTORIAS!D14+MDO!C14+MDO!D14+'EQUIP E FER'!C14+'EQUIP E FER'!D14+'SERV. INICIAIS'!C14+'SERV. INICIAIS'!D14+CONTENÇÃO!C14+CONTENÇÃO!D14+TERRAPLENAGEM!C14+TERRAPLENAGEM!D14+'FUND. PROF'!C14+'FUND. PROF'!D14+'FUND. SUP'!C14+'FUND. SUP'!D14+ESTRUTURA!C14+ESTRUTURA!D14+ALVENARIA!C14+ALVENARIA!D14+IMPERMEABILIZAÇÃO!C14+IMPERMEABILIZAÇÃO!D14+'INST. ELÉTRICA'!C14+'INST. ELÉTRICA'!D14+'INST. HIDRO'!C14+'INST. HIDRO'!D14+'INST. INC'!C14+'INST. INC'!D14+'INST. ESP'!C14+'INST. ESP'!D14+'ELEVADORES '!C14+'ELEVADORES '!D14+ESQUADRIAS!C14+ESQUADRIAS!D14+SERRALHERIA!C14+SERRALHERIA!D14+MARCENARIA!C14+MARCENARIA!D14+'REV. PISOS'!C14+'REV. PISOS'!D14+'REV. PAREDE'!C14+'REV. PAREDE'!D14+'REV. ACAB'!C14+'REV. ACAB'!D14+PAVIMENTAÇÃO!C14+PAVIMENTAÇÃO!D14+'REV. FACHADA'!C14+'REV. FACHADA'!D14+FORRO!C14+FORRO!D14+LOUÇAS!C14+LOUÇAS!D14+PINTURA!C14+PINTURA!D14+PAISAGISMO!C14+PAISAGISMO!D14+LIMPEZA!C14+LIMPEZA!D14+'TAX. ADM'!C14+'TAX. ADM'!D14+Q59*'VALOR POR PL'!$P$7+IF(Q$1=DATE(2026,8,1),'VALOR POR PL'!$G$63,0)</f>
        <v>708213.46</v>
      </c>
      <c r="R65" s="50" t="n">
        <f aca="false">PROJETO!C15+PROJETO!D15+SEGUROS!C15+SEGUROS!D15+'TAX. DIVERSAS'!C15+'TAX. DIVERSAS'!D15+'BARRACÃO DE OBRA'!C15+'BARRACÃO DE OBRA'!D15+'LIG. PROVISÓRIAS'!C15+'LIG. PROVISÓRIAS'!D15+CONSUMOS!C15+CONSUMOS!D15+DIVERSOS!C15+DIVERSOS!D15+TRANSPORTES!C15+TRANSPORTES!D15+CONSULTORIAS!C15+CONSULTORIAS!D15+MDO!C15+MDO!D15+'EQUIP E FER'!C15+'EQUIP E FER'!D15+'SERV. INICIAIS'!C15+'SERV. INICIAIS'!D15+CONTENÇÃO!C15+CONTENÇÃO!D15+TERRAPLENAGEM!C15+TERRAPLENAGEM!D15+'FUND. PROF'!C15+'FUND. PROF'!D15+'FUND. SUP'!C15+'FUND. SUP'!D15+ESTRUTURA!C15+ESTRUTURA!D15+ALVENARIA!C15+ALVENARIA!D15+IMPERMEABILIZAÇÃO!C15+IMPERMEABILIZAÇÃO!D15+'INST. ELÉTRICA'!C15+'INST. ELÉTRICA'!D15+'INST. HIDRO'!C15+'INST. HIDRO'!D15+'INST. INC'!C15+'INST. INC'!D15+'INST. ESP'!C15+'INST. ESP'!D15+'ELEVADORES '!C15+'ELEVADORES '!D15+ESQUADRIAS!C15+ESQUADRIAS!D15+SERRALHERIA!C15+SERRALHERIA!D15+MARCENARIA!C15+MARCENARIA!D15+'REV. PISOS'!C15+'REV. PISOS'!D15+'REV. PAREDE'!C15+'REV. PAREDE'!D15+'REV. ACAB'!C15+'REV. ACAB'!D15+PAVIMENTAÇÃO!C15+PAVIMENTAÇÃO!D15+'REV. FACHADA'!C15+'REV. FACHADA'!D15+FORRO!C15+FORRO!D15+LOUÇAS!C15+LOUÇAS!D15+PINTURA!C15+PINTURA!D15+PAISAGISMO!C15+PAISAGISMO!D15+LIMPEZA!C15+LIMPEZA!D15+'TAX. ADM'!C15+'TAX. ADM'!D15+R59*'VALOR POR PL'!$P$7+IF(R$1=DATE(2026,8,1),'VALOR POR PL'!$G$63,0)</f>
        <v>1252862.63</v>
      </c>
      <c r="S65" s="50" t="n">
        <f aca="false">PROJETO!C16+PROJETO!D16+SEGUROS!C16+SEGUROS!D16+'TAX. DIVERSAS'!C16+'TAX. DIVERSAS'!D16+'BARRACÃO DE OBRA'!C16+'BARRACÃO DE OBRA'!D16+'LIG. PROVISÓRIAS'!C16+'LIG. PROVISÓRIAS'!D16+CONSUMOS!C16+CONSUMOS!D16+DIVERSOS!C16+DIVERSOS!D16+TRANSPORTES!C16+TRANSPORTES!D16+CONSULTORIAS!C16+CONSULTORIAS!D16+MDO!C16+MDO!D16+'EQUIP E FER'!C16+'EQUIP E FER'!D16+'SERV. INICIAIS'!C16+'SERV. INICIAIS'!D16+CONTENÇÃO!C16+CONTENÇÃO!D16+TERRAPLENAGEM!C16+TERRAPLENAGEM!D16+'FUND. PROF'!C16+'FUND. PROF'!D16+'FUND. SUP'!C16+'FUND. SUP'!D16+ESTRUTURA!C16+ESTRUTURA!D16+ALVENARIA!C16+ALVENARIA!D16+IMPERMEABILIZAÇÃO!C16+IMPERMEABILIZAÇÃO!D16+'INST. ELÉTRICA'!C16+'INST. ELÉTRICA'!D16+'INST. HIDRO'!C16+'INST. HIDRO'!D16+'INST. INC'!C16+'INST. INC'!D16+'INST. ESP'!C16+'INST. ESP'!D16+'ELEVADORES '!C16+'ELEVADORES '!D16+ESQUADRIAS!C16+ESQUADRIAS!D16+SERRALHERIA!C16+SERRALHERIA!D16+MARCENARIA!C16+MARCENARIA!D16+'REV. PISOS'!C16+'REV. PISOS'!D16+'REV. PAREDE'!C16+'REV. PAREDE'!D16+'REV. ACAB'!C16+'REV. ACAB'!D16+PAVIMENTAÇÃO!C16+PAVIMENTAÇÃO!D16+'REV. FACHADA'!C16+'REV. FACHADA'!D16+FORRO!C16+FORRO!D16+LOUÇAS!C16+LOUÇAS!D16+PINTURA!C16+PINTURA!D16+PAISAGISMO!C16+PAISAGISMO!D16+LIMPEZA!C16+LIMPEZA!D16+'TAX. ADM'!C16+'TAX. ADM'!D16+S59*'VALOR POR PL'!$P$7+IF(S$1=DATE(2026,8,1),'VALOR POR PL'!$G$63,0)</f>
        <v>2178586.91</v>
      </c>
      <c r="T65" s="50" t="n">
        <f aca="false">PROJETO!C17+PROJETO!D17+SEGUROS!C17+SEGUROS!D17+'TAX. DIVERSAS'!C17+'TAX. DIVERSAS'!D17+'BARRACÃO DE OBRA'!C17+'BARRACÃO DE OBRA'!D17+'LIG. PROVISÓRIAS'!C17+'LIG. PROVISÓRIAS'!D17+CONSUMOS!C17+CONSUMOS!D17+DIVERSOS!C17+DIVERSOS!D17+TRANSPORTES!C17+TRANSPORTES!D17+CONSULTORIAS!C17+CONSULTORIAS!D17+MDO!C17+MDO!D17+'EQUIP E FER'!C17+'EQUIP E FER'!D17+'SERV. INICIAIS'!C17+'SERV. INICIAIS'!D17+CONTENÇÃO!C17+CONTENÇÃO!D17+TERRAPLENAGEM!C17+TERRAPLENAGEM!D17+'FUND. PROF'!C17+'FUND. PROF'!D17+'FUND. SUP'!C17+'FUND. SUP'!D17+ESTRUTURA!C17+ESTRUTURA!D17+ALVENARIA!C17+ALVENARIA!D17+IMPERMEABILIZAÇÃO!C17+IMPERMEABILIZAÇÃO!D17+'INST. ELÉTRICA'!C17+'INST. ELÉTRICA'!D17+'INST. HIDRO'!C17+'INST. HIDRO'!D17+'INST. INC'!C17+'INST. INC'!D17+'INST. ESP'!C17+'INST. ESP'!D17+'ELEVADORES '!C17+'ELEVADORES '!D17+ESQUADRIAS!C17+ESQUADRIAS!D17+SERRALHERIA!C17+SERRALHERIA!D17+MARCENARIA!C17+MARCENARIA!D17+'REV. PISOS'!C17+'REV. PISOS'!D17+'REV. PAREDE'!C17+'REV. PAREDE'!D17+'REV. ACAB'!C17+'REV. ACAB'!D17+PAVIMENTAÇÃO!C17+PAVIMENTAÇÃO!D17+'REV. FACHADA'!C17+'REV. FACHADA'!D17+FORRO!C17+FORRO!D17+LOUÇAS!C17+LOUÇAS!D17+PINTURA!C17+PINTURA!D17+PAISAGISMO!C17+PAISAGISMO!D17+LIMPEZA!C17+LIMPEZA!D17+'TAX. ADM'!C17+'TAX. ADM'!D17+T59*'VALOR POR PL'!$P$7+IF(T$1=DATE(2026,8,1),'VALOR POR PL'!$G$63,0)</f>
        <v>1568106.2</v>
      </c>
      <c r="U65" s="50" t="n">
        <f aca="false">PROJETO!C18+PROJETO!D18+SEGUROS!C18+SEGUROS!D18+'TAX. DIVERSAS'!C18+'TAX. DIVERSAS'!D18+'BARRACÃO DE OBRA'!C18+'BARRACÃO DE OBRA'!D18+'LIG. PROVISÓRIAS'!C18+'LIG. PROVISÓRIAS'!D18+CONSUMOS!C18+CONSUMOS!D18+DIVERSOS!C18+DIVERSOS!D18+TRANSPORTES!C18+TRANSPORTES!D18+CONSULTORIAS!C18+CONSULTORIAS!D18+MDO!C18+MDO!D18+'EQUIP E FER'!C18+'EQUIP E FER'!D18+'SERV. INICIAIS'!C18+'SERV. INICIAIS'!D18+CONTENÇÃO!C18+CONTENÇÃO!D18+TERRAPLENAGEM!C18+TERRAPLENAGEM!D18+'FUND. PROF'!C18+'FUND. PROF'!D18+'FUND. SUP'!C18+'FUND. SUP'!D18+ESTRUTURA!C18+ESTRUTURA!D18+ALVENARIA!C18+ALVENARIA!D18+IMPERMEABILIZAÇÃO!C18+IMPERMEABILIZAÇÃO!D18+'INST. ELÉTRICA'!C18+'INST. ELÉTRICA'!D18+'INST. HIDRO'!C18+'INST. HIDRO'!D18+'INST. INC'!C18+'INST. INC'!D18+'INST. ESP'!C18+'INST. ESP'!D18+'ELEVADORES '!C18+'ELEVADORES '!D18+ESQUADRIAS!C18+ESQUADRIAS!D18+SERRALHERIA!C18+SERRALHERIA!D18+MARCENARIA!C18+MARCENARIA!D18+'REV. PISOS'!C18+'REV. PISOS'!D18+'REV. PAREDE'!C18+'REV. PAREDE'!D18+'REV. ACAB'!C18+'REV. ACAB'!D18+PAVIMENTAÇÃO!C18+PAVIMENTAÇÃO!D18+'REV. FACHADA'!C18+'REV. FACHADA'!D18+FORRO!C18+FORRO!D18+LOUÇAS!C18+LOUÇAS!D18+PINTURA!C18+PINTURA!D18+PAISAGISMO!C18+PAISAGISMO!D18+LIMPEZA!C18+LIMPEZA!D18+'TAX. ADM'!C18+'TAX. ADM'!D18+U59*'VALOR POR PL'!$P$7+IF(U$1=DATE(2026,8,1),'VALOR POR PL'!$G$63,0)</f>
        <v>1972982.14</v>
      </c>
      <c r="V65" s="50" t="n">
        <f aca="false">PROJETO!C19+PROJETO!D19+SEGUROS!C19+SEGUROS!D19+'TAX. DIVERSAS'!C19+'TAX. DIVERSAS'!D19+'BARRACÃO DE OBRA'!C19+'BARRACÃO DE OBRA'!D19+'LIG. PROVISÓRIAS'!C19+'LIG. PROVISÓRIAS'!D19+CONSUMOS!C19+CONSUMOS!D19+DIVERSOS!C19+DIVERSOS!D19+TRANSPORTES!C19+TRANSPORTES!D19+CONSULTORIAS!C19+CONSULTORIAS!D19+MDO!C19+MDO!D19+'EQUIP E FER'!C19+'EQUIP E FER'!D19+'SERV. INICIAIS'!C19+'SERV. INICIAIS'!D19+CONTENÇÃO!C19+CONTENÇÃO!D19+TERRAPLENAGEM!C19+TERRAPLENAGEM!D19+'FUND. PROF'!C19+'FUND. PROF'!D19+'FUND. SUP'!C19+'FUND. SUP'!D19+ESTRUTURA!C19+ESTRUTURA!D19+ALVENARIA!C19+ALVENARIA!D19+IMPERMEABILIZAÇÃO!C19+IMPERMEABILIZAÇÃO!D19+'INST. ELÉTRICA'!C19+'INST. ELÉTRICA'!D19+'INST. HIDRO'!C19+'INST. HIDRO'!D19+'INST. INC'!C19+'INST. INC'!D19+'INST. ESP'!C19+'INST. ESP'!D19+'ELEVADORES '!C19+'ELEVADORES '!D19+ESQUADRIAS!C19+ESQUADRIAS!D19+SERRALHERIA!C19+SERRALHERIA!D19+MARCENARIA!C19+MARCENARIA!D19+'REV. PISOS'!C19+'REV. PISOS'!D19+'REV. PAREDE'!C19+'REV. PAREDE'!D19+'REV. ACAB'!C19+'REV. ACAB'!D19+PAVIMENTAÇÃO!C19+PAVIMENTAÇÃO!D19+'REV. FACHADA'!C19+'REV. FACHADA'!D19+FORRO!C19+FORRO!D19+LOUÇAS!C19+LOUÇAS!D19+PINTURA!C19+PINTURA!D19+PAISAGISMO!C19+PAISAGISMO!D19+LIMPEZA!C19+LIMPEZA!D19+'TAX. ADM'!C19+'TAX. ADM'!D19+V59*'VALOR POR PL'!$P$7+IF(V$1=DATE(2026,8,1),'VALOR POR PL'!$G$63,0)</f>
        <v>1105526.59</v>
      </c>
      <c r="W65" s="50" t="n">
        <f aca="false">PROJETO!C20+PROJETO!D20+SEGUROS!C20+SEGUROS!D20+'TAX. DIVERSAS'!C20+'TAX. DIVERSAS'!D20+'BARRACÃO DE OBRA'!C20+'BARRACÃO DE OBRA'!D20+'LIG. PROVISÓRIAS'!C20+'LIG. PROVISÓRIAS'!D20+CONSUMOS!C20+CONSUMOS!D20+DIVERSOS!C20+DIVERSOS!D20+TRANSPORTES!C20+TRANSPORTES!D20+CONSULTORIAS!C20+CONSULTORIAS!D20+MDO!C20+MDO!D20+'EQUIP E FER'!C20+'EQUIP E FER'!D20+'SERV. INICIAIS'!C20+'SERV. INICIAIS'!D20+CONTENÇÃO!C20+CONTENÇÃO!D20+TERRAPLENAGEM!C20+TERRAPLENAGEM!D20+'FUND. PROF'!C20+'FUND. PROF'!D20+'FUND. SUP'!C20+'FUND. SUP'!D20+ESTRUTURA!C20+ESTRUTURA!D20+ALVENARIA!C20+ALVENARIA!D20+IMPERMEABILIZAÇÃO!C20+IMPERMEABILIZAÇÃO!D20+'INST. ELÉTRICA'!C20+'INST. ELÉTRICA'!D20+'INST. HIDRO'!C20+'INST. HIDRO'!D20+'INST. INC'!C20+'INST. INC'!D20+'INST. ESP'!C20+'INST. ESP'!D20+'ELEVADORES '!C20+'ELEVADORES '!D20+ESQUADRIAS!C20+ESQUADRIAS!D20+SERRALHERIA!C20+SERRALHERIA!D20+MARCENARIA!C20+MARCENARIA!D20+'REV. PISOS'!C20+'REV. PISOS'!D20+'REV. PAREDE'!C20+'REV. PAREDE'!D20+'REV. ACAB'!C20+'REV. ACAB'!D20+PAVIMENTAÇÃO!C20+PAVIMENTAÇÃO!D20+'REV. FACHADA'!C20+'REV. FACHADA'!D20+FORRO!C20+FORRO!D20+LOUÇAS!C20+LOUÇAS!D20+PINTURA!C20+PINTURA!D20+PAISAGISMO!C20+PAISAGISMO!D20+LIMPEZA!C20+LIMPEZA!D20+'TAX. ADM'!C20+'TAX. ADM'!D20+W59*'VALOR POR PL'!$P$7+IF(W$1=DATE(2026,8,1),'VALOR POR PL'!$G$63,0)</f>
        <v>1636768.81</v>
      </c>
      <c r="X65" s="50" t="n">
        <f aca="false">PROJETO!C21+PROJETO!D21+SEGUROS!C21+SEGUROS!D21+'TAX. DIVERSAS'!C21+'TAX. DIVERSAS'!D21+'BARRACÃO DE OBRA'!C21+'BARRACÃO DE OBRA'!D21+'LIG. PROVISÓRIAS'!C21+'LIG. PROVISÓRIAS'!D21+CONSUMOS!C21+CONSUMOS!D21+DIVERSOS!C21+DIVERSOS!D21+TRANSPORTES!C21+TRANSPORTES!D21+CONSULTORIAS!C21+CONSULTORIAS!D21+MDO!C21+MDO!D21+'EQUIP E FER'!C21+'EQUIP E FER'!D21+'SERV. INICIAIS'!C21+'SERV. INICIAIS'!D21+CONTENÇÃO!C21+CONTENÇÃO!D21+TERRAPLENAGEM!C21+TERRAPLENAGEM!D21+'FUND. PROF'!C21+'FUND. PROF'!D21+'FUND. SUP'!C21+'FUND. SUP'!D21+ESTRUTURA!C21+ESTRUTURA!D21+ALVENARIA!C21+ALVENARIA!D21+IMPERMEABILIZAÇÃO!C21+IMPERMEABILIZAÇÃO!D21+'INST. ELÉTRICA'!C21+'INST. ELÉTRICA'!D21+'INST. HIDRO'!C21+'INST. HIDRO'!D21+'INST. INC'!C21+'INST. INC'!D21+'INST. ESP'!C21+'INST. ESP'!D21+'ELEVADORES '!C21+'ELEVADORES '!D21+ESQUADRIAS!C21+ESQUADRIAS!D21+SERRALHERIA!C21+SERRALHERIA!D21+MARCENARIA!C21+MARCENARIA!D21+'REV. PISOS'!C21+'REV. PISOS'!D21+'REV. PAREDE'!C21+'REV. PAREDE'!D21+'REV. ACAB'!C21+'REV. ACAB'!D21+PAVIMENTAÇÃO!C21+PAVIMENTAÇÃO!D21+'REV. FACHADA'!C21+'REV. FACHADA'!D21+FORRO!C21+FORRO!D21+LOUÇAS!C21+LOUÇAS!D21+PINTURA!C21+PINTURA!D21+PAISAGISMO!C21+PAISAGISMO!D21+LIMPEZA!C21+LIMPEZA!D21+'TAX. ADM'!C21+'TAX. ADM'!D21+X59*'VALOR POR PL'!$P$7+IF(X$1=DATE(2026,8,1),'VALOR POR PL'!$G$63,0)</f>
        <v>1444679.81</v>
      </c>
      <c r="Y65" s="50" t="n">
        <f aca="false">PROJETO!C22+PROJETO!D22+SEGUROS!C22+SEGUROS!D22+'TAX. DIVERSAS'!C22+'TAX. DIVERSAS'!D22+'BARRACÃO DE OBRA'!C22+'BARRACÃO DE OBRA'!D22+'LIG. PROVISÓRIAS'!C22+'LIG. PROVISÓRIAS'!D22+CONSUMOS!C22+CONSUMOS!D22+DIVERSOS!C22+DIVERSOS!D22+TRANSPORTES!C22+TRANSPORTES!D22+CONSULTORIAS!C22+CONSULTORIAS!D22+MDO!C22+MDO!D22+'EQUIP E FER'!C22+'EQUIP E FER'!D22+'SERV. INICIAIS'!C22+'SERV. INICIAIS'!D22+CONTENÇÃO!C22+CONTENÇÃO!D22+TERRAPLENAGEM!C22+TERRAPLENAGEM!D22+'FUND. PROF'!C22+'FUND. PROF'!D22+'FUND. SUP'!C22+'FUND. SUP'!D22+ESTRUTURA!C22+ESTRUTURA!D22+ALVENARIA!C22+ALVENARIA!D22+IMPERMEABILIZAÇÃO!C22+IMPERMEABILIZAÇÃO!D22+'INST. ELÉTRICA'!C22+'INST. ELÉTRICA'!D22+'INST. HIDRO'!C22+'INST. HIDRO'!D22+'INST. INC'!C22+'INST. INC'!D22+'INST. ESP'!C22+'INST. ESP'!D22+'ELEVADORES '!C22+'ELEVADORES '!D22+ESQUADRIAS!C22+ESQUADRIAS!D22+SERRALHERIA!C22+SERRALHERIA!D22+MARCENARIA!C22+MARCENARIA!D22+'REV. PISOS'!C22+'REV. PISOS'!D22+'REV. PAREDE'!C22+'REV. PAREDE'!D22+'REV. ACAB'!C22+'REV. ACAB'!D22+PAVIMENTAÇÃO!C22+PAVIMENTAÇÃO!D22+'REV. FACHADA'!C22+'REV. FACHADA'!D22+FORRO!C22+FORRO!D22+LOUÇAS!C22+LOUÇAS!D22+PINTURA!C22+PINTURA!D22+PAISAGISMO!C22+PAISAGISMO!D22+LIMPEZA!C22+LIMPEZA!D22+'TAX. ADM'!C22+'TAX. ADM'!D22+Y59*'VALOR POR PL'!$P$7+IF(Y$1=DATE(2026,8,1),'VALOR POR PL'!$G$63,0)</f>
        <v>956706.51</v>
      </c>
      <c r="Z65" s="50" t="n">
        <f aca="false">PROJETO!C23+PROJETO!D23+SEGUROS!C23+SEGUROS!D23+'TAX. DIVERSAS'!C23+'TAX. DIVERSAS'!D23+'BARRACÃO DE OBRA'!C23+'BARRACÃO DE OBRA'!D23+'LIG. PROVISÓRIAS'!C23+'LIG. PROVISÓRIAS'!D23+CONSUMOS!C23+CONSUMOS!D23+DIVERSOS!C23+DIVERSOS!D23+TRANSPORTES!C23+TRANSPORTES!D23+CONSULTORIAS!C23+CONSULTORIAS!D23+MDO!C23+MDO!D23+'EQUIP E FER'!C23+'EQUIP E FER'!D23+'SERV. INICIAIS'!C23+'SERV. INICIAIS'!D23+CONTENÇÃO!C23+CONTENÇÃO!D23+TERRAPLENAGEM!C23+TERRAPLENAGEM!D23+'FUND. PROF'!C23+'FUND. PROF'!D23+'FUND. SUP'!C23+'FUND. SUP'!D23+ESTRUTURA!C23+ESTRUTURA!D23+ALVENARIA!C23+ALVENARIA!D23+IMPERMEABILIZAÇÃO!C23+IMPERMEABILIZAÇÃO!D23+'INST. ELÉTRICA'!C23+'INST. ELÉTRICA'!D23+'INST. HIDRO'!C23+'INST. HIDRO'!D23+'INST. INC'!C23+'INST. INC'!D23+'INST. ESP'!C23+'INST. ESP'!D23+'ELEVADORES '!C23+'ELEVADORES '!D23+ESQUADRIAS!C23+ESQUADRIAS!D23+SERRALHERIA!C23+SERRALHERIA!D23+MARCENARIA!C23+MARCENARIA!D23+'REV. PISOS'!C23+'REV. PISOS'!D23+'REV. PAREDE'!C23+'REV. PAREDE'!D23+'REV. ACAB'!C23+'REV. ACAB'!D23+PAVIMENTAÇÃO!C23+PAVIMENTAÇÃO!D23+'REV. FACHADA'!C23+'REV. FACHADA'!D23+FORRO!C23+FORRO!D23+LOUÇAS!C23+LOUÇAS!D23+PINTURA!C23+PINTURA!D23+PAISAGISMO!C23+PAISAGISMO!D23+LIMPEZA!C23+LIMPEZA!D23+'TAX. ADM'!C23+'TAX. ADM'!D23+Z59*'VALOR POR PL'!$P$7+IF(Z$1=DATE(2026,8,1),'VALOR POR PL'!$G$63,0)</f>
        <v>1340691.29</v>
      </c>
      <c r="AA65" s="50" t="n">
        <f aca="false">PROJETO!C24+PROJETO!D24+SEGUROS!C24+SEGUROS!D24+'TAX. DIVERSAS'!C24+'TAX. DIVERSAS'!D24+'BARRACÃO DE OBRA'!C24+'BARRACÃO DE OBRA'!D24+'LIG. PROVISÓRIAS'!C24+'LIG. PROVISÓRIAS'!D24+CONSUMOS!C24+CONSUMOS!D24+DIVERSOS!C24+DIVERSOS!D24+TRANSPORTES!C24+TRANSPORTES!D24+CONSULTORIAS!C24+CONSULTORIAS!D24+MDO!C24+MDO!D24+'EQUIP E FER'!C24+'EQUIP E FER'!D24+'SERV. INICIAIS'!C24+'SERV. INICIAIS'!D24+CONTENÇÃO!C24+CONTENÇÃO!D24+TERRAPLENAGEM!C24+TERRAPLENAGEM!D24+'FUND. PROF'!C24+'FUND. PROF'!D24+'FUND. SUP'!C24+'FUND. SUP'!D24+ESTRUTURA!C24+ESTRUTURA!D24+ALVENARIA!C24+ALVENARIA!D24+IMPERMEABILIZAÇÃO!C24+IMPERMEABILIZAÇÃO!D24+'INST. ELÉTRICA'!C24+'INST. ELÉTRICA'!D24+'INST. HIDRO'!C24+'INST. HIDRO'!D24+'INST. INC'!C24+'INST. INC'!D24+'INST. ESP'!C24+'INST. ESP'!D24+'ELEVADORES '!C24+'ELEVADORES '!D24+ESQUADRIAS!C24+ESQUADRIAS!D24+SERRALHERIA!C24+SERRALHERIA!D24+MARCENARIA!C24+MARCENARIA!D24+'REV. PISOS'!C24+'REV. PISOS'!D24+'REV. PAREDE'!C24+'REV. PAREDE'!D24+'REV. ACAB'!C24+'REV. ACAB'!D24+PAVIMENTAÇÃO!C24+PAVIMENTAÇÃO!D24+'REV. FACHADA'!C24+'REV. FACHADA'!D24+FORRO!C24+FORRO!D24+LOUÇAS!C24+LOUÇAS!D24+PINTURA!C24+PINTURA!D24+PAISAGISMO!C24+PAISAGISMO!D24+LIMPEZA!C24+LIMPEZA!D24+'TAX. ADM'!C24+'TAX. ADM'!D24+AA59*'VALOR POR PL'!$P$7+IF(AA$1=DATE(2026,8,1),'VALOR POR PL'!$G$63,0)</f>
        <v>2331705.56</v>
      </c>
      <c r="AB65" s="50" t="n">
        <f aca="false">PROJETO!C25+PROJETO!D25+SEGUROS!C25+SEGUROS!D25+'TAX. DIVERSAS'!C25+'TAX. DIVERSAS'!D25+'BARRACÃO DE OBRA'!C25+'BARRACÃO DE OBRA'!D25+'LIG. PROVISÓRIAS'!C25+'LIG. PROVISÓRIAS'!D25+CONSUMOS!C25+CONSUMOS!D25+DIVERSOS!C25+DIVERSOS!D25+TRANSPORTES!C25+TRANSPORTES!D25+CONSULTORIAS!C25+CONSULTORIAS!D25+MDO!C25+MDO!D25+'EQUIP E FER'!C25+'EQUIP E FER'!D25+'SERV. INICIAIS'!C25+'SERV. INICIAIS'!D25+CONTENÇÃO!C25+CONTENÇÃO!D25+TERRAPLENAGEM!C25+TERRAPLENAGEM!D25+'FUND. PROF'!C25+'FUND. PROF'!D25+'FUND. SUP'!C25+'FUND. SUP'!D25+ESTRUTURA!C25+ESTRUTURA!D25+ALVENARIA!C25+ALVENARIA!D25+IMPERMEABILIZAÇÃO!C25+IMPERMEABILIZAÇÃO!D25+'INST. ELÉTRICA'!C25+'INST. ELÉTRICA'!D25+'INST. HIDRO'!C25+'INST. HIDRO'!D25+'INST. INC'!C25+'INST. INC'!D25+'INST. ESP'!C25+'INST. ESP'!D25+'ELEVADORES '!C25+'ELEVADORES '!D25+ESQUADRIAS!C25+ESQUADRIAS!D25+SERRALHERIA!C25+SERRALHERIA!D25+MARCENARIA!C25+MARCENARIA!D25+'REV. PISOS'!C25+'REV. PISOS'!D25+'REV. PAREDE'!C25+'REV. PAREDE'!D25+'REV. ACAB'!C25+'REV. ACAB'!D25+PAVIMENTAÇÃO!C25+PAVIMENTAÇÃO!D25+'REV. FACHADA'!C25+'REV. FACHADA'!D25+FORRO!C25+FORRO!D25+LOUÇAS!C25+LOUÇAS!D25+PINTURA!C25+PINTURA!D25+PAISAGISMO!C25+PAISAGISMO!D25+LIMPEZA!C25+LIMPEZA!D25+'TAX. ADM'!C25+'TAX. ADM'!D25+AB59*'VALOR POR PL'!$P$7+IF(AB$1=DATE(2026,8,1),'VALOR POR PL'!$G$63,0)</f>
        <v>1759914.42001301</v>
      </c>
      <c r="AC65" s="50" t="n">
        <f aca="false">PROJETO!C26+PROJETO!D26+SEGUROS!C26+SEGUROS!D26+'TAX. DIVERSAS'!C26+'TAX. DIVERSAS'!D26+'BARRACÃO DE OBRA'!C26+'BARRACÃO DE OBRA'!D26+'LIG. PROVISÓRIAS'!C26+'LIG. PROVISÓRIAS'!D26+CONSUMOS!C26+CONSUMOS!D26+DIVERSOS!C26+DIVERSOS!D26+TRANSPORTES!C26+TRANSPORTES!D26+CONSULTORIAS!C26+CONSULTORIAS!D26+MDO!C26+MDO!D26+'EQUIP E FER'!C26+'EQUIP E FER'!D26+'SERV. INICIAIS'!C26+'SERV. INICIAIS'!D26+CONTENÇÃO!C26+CONTENÇÃO!D26+TERRAPLENAGEM!C26+TERRAPLENAGEM!D26+'FUND. PROF'!C26+'FUND. PROF'!D26+'FUND. SUP'!C26+'FUND. SUP'!D26+ESTRUTURA!C26+ESTRUTURA!D26+ALVENARIA!C26+ALVENARIA!D26+IMPERMEABILIZAÇÃO!C26+IMPERMEABILIZAÇÃO!D26+'INST. ELÉTRICA'!C26+'INST. ELÉTRICA'!D26+'INST. HIDRO'!C26+'INST. HIDRO'!D26+'INST. INC'!C26+'INST. INC'!D26+'INST. ESP'!C26+'INST. ESP'!D26+'ELEVADORES '!C26+'ELEVADORES '!D26+ESQUADRIAS!C26+ESQUADRIAS!D26+SERRALHERIA!C26+SERRALHERIA!D26+MARCENARIA!C26+MARCENARIA!D26+'REV. PISOS'!C26+'REV. PISOS'!D26+'REV. PAREDE'!C26+'REV. PAREDE'!D26+'REV. ACAB'!C26+'REV. ACAB'!D26+PAVIMENTAÇÃO!C26+PAVIMENTAÇÃO!D26+'REV. FACHADA'!C26+'REV. FACHADA'!D26+FORRO!C26+FORRO!D26+LOUÇAS!C26+LOUÇAS!D26+PINTURA!C26+PINTURA!D26+PAISAGISMO!C26+PAISAGISMO!D26+LIMPEZA!C26+LIMPEZA!D26+'TAX. ADM'!C26+'TAX. ADM'!D26+AC59*'VALOR POR PL'!$P$7+IF(AC$1=DATE(2026,8,1),'VALOR POR PL'!$G$63,0)</f>
        <v>4074198.4570927</v>
      </c>
      <c r="AD65" s="50" t="n">
        <f aca="false">PROJETO!C27+PROJETO!D27+SEGUROS!C27+SEGUROS!D27+'TAX. DIVERSAS'!C27+'TAX. DIVERSAS'!D27+'BARRACÃO DE OBRA'!C27+'BARRACÃO DE OBRA'!D27+'LIG. PROVISÓRIAS'!C27+'LIG. PROVISÓRIAS'!D27+CONSUMOS!C27+CONSUMOS!D27+DIVERSOS!C27+DIVERSOS!D27+TRANSPORTES!C27+TRANSPORTES!D27+CONSULTORIAS!C27+CONSULTORIAS!D27+MDO!C27+MDO!D27+'EQUIP E FER'!C27+'EQUIP E FER'!D27+'SERV. INICIAIS'!C27+'SERV. INICIAIS'!D27+CONTENÇÃO!C27+CONTENÇÃO!D27+TERRAPLENAGEM!C27+TERRAPLENAGEM!D27+'FUND. PROF'!C27+'FUND. PROF'!D27+'FUND. SUP'!C27+'FUND. SUP'!D27+ESTRUTURA!C27+ESTRUTURA!D27+ALVENARIA!C27+ALVENARIA!D27+IMPERMEABILIZAÇÃO!C27+IMPERMEABILIZAÇÃO!D27+'INST. ELÉTRICA'!C27+'INST. ELÉTRICA'!D27+'INST. HIDRO'!C27+'INST. HIDRO'!D27+'INST. INC'!C27+'INST. INC'!D27+'INST. ESP'!C27+'INST. ESP'!D27+'ELEVADORES '!C27+'ELEVADORES '!D27+ESQUADRIAS!C27+ESQUADRIAS!D27+SERRALHERIA!C27+SERRALHERIA!D27+MARCENARIA!C27+MARCENARIA!D27+'REV. PISOS'!C27+'REV. PISOS'!D27+'REV. PAREDE'!C27+'REV. PAREDE'!D27+'REV. ACAB'!C27+'REV. ACAB'!D27+PAVIMENTAÇÃO!C27+PAVIMENTAÇÃO!D27+'REV. FACHADA'!C27+'REV. FACHADA'!D27+FORRO!C27+FORRO!D27+LOUÇAS!C27+LOUÇAS!D27+PINTURA!C27+PINTURA!D27+PAISAGISMO!C27+PAISAGISMO!D27+LIMPEZA!C27+LIMPEZA!D27+'TAX. ADM'!C27+'TAX. ADM'!D27+AD59*'VALOR POR PL'!$P$7+IF(AD$1=DATE(2026,8,1),'VALOR POR PL'!$G$63,0)</f>
        <v>3986358.06129994</v>
      </c>
      <c r="AE65" s="50" t="n">
        <f aca="false">PROJETO!C28+PROJETO!D28+SEGUROS!C28+SEGUROS!D28+'TAX. DIVERSAS'!C28+'TAX. DIVERSAS'!D28+'BARRACÃO DE OBRA'!C28+'BARRACÃO DE OBRA'!D28+'LIG. PROVISÓRIAS'!C28+'LIG. PROVISÓRIAS'!D28+CONSUMOS!C28+CONSUMOS!D28+DIVERSOS!C28+DIVERSOS!D28+TRANSPORTES!C28+TRANSPORTES!D28+CONSULTORIAS!C28+CONSULTORIAS!D28+MDO!C28+MDO!D28+'EQUIP E FER'!C28+'EQUIP E FER'!D28+'SERV. INICIAIS'!C28+'SERV. INICIAIS'!D28+CONTENÇÃO!C28+CONTENÇÃO!D28+TERRAPLENAGEM!C28+TERRAPLENAGEM!D28+'FUND. PROF'!C28+'FUND. PROF'!D28+'FUND. SUP'!C28+'FUND. SUP'!D28+ESTRUTURA!C28+ESTRUTURA!D28+ALVENARIA!C28+ALVENARIA!D28+IMPERMEABILIZAÇÃO!C28+IMPERMEABILIZAÇÃO!D28+'INST. ELÉTRICA'!C28+'INST. ELÉTRICA'!D28+'INST. HIDRO'!C28+'INST. HIDRO'!D28+'INST. INC'!C28+'INST. INC'!D28+'INST. ESP'!C28+'INST. ESP'!D28+'ELEVADORES '!C28+'ELEVADORES '!D28+ESQUADRIAS!C28+ESQUADRIAS!D28+SERRALHERIA!C28+SERRALHERIA!D28+MARCENARIA!C28+MARCENARIA!D28+'REV. PISOS'!C28+'REV. PISOS'!D28+'REV. PAREDE'!C28+'REV. PAREDE'!D28+'REV. ACAB'!C28+'REV. ACAB'!D28+PAVIMENTAÇÃO!C28+PAVIMENTAÇÃO!D28+'REV. FACHADA'!C28+'REV. FACHADA'!D28+FORRO!C28+FORRO!D28+LOUÇAS!C28+LOUÇAS!D28+PINTURA!C28+PINTURA!D28+PAISAGISMO!C28+PAISAGISMO!D28+LIMPEZA!C28+LIMPEZA!D28+'TAX. ADM'!C28+'TAX. ADM'!D28+AE59*'VALOR POR PL'!$P$7+IF(AE$1=DATE(2026,8,1),'VALOR POR PL'!$G$63,0)</f>
        <v>2849219.80496373</v>
      </c>
      <c r="AF65" s="50" t="n">
        <f aca="false">PROJETO!C29+PROJETO!D29+SEGUROS!C29+SEGUROS!D29+'TAX. DIVERSAS'!C29+'TAX. DIVERSAS'!D29+'BARRACÃO DE OBRA'!C29+'BARRACÃO DE OBRA'!D29+'LIG. PROVISÓRIAS'!C29+'LIG. PROVISÓRIAS'!D29+CONSUMOS!C29+CONSUMOS!D29+DIVERSOS!C29+DIVERSOS!D29+TRANSPORTES!C29+TRANSPORTES!D29+CONSULTORIAS!C29+CONSULTORIAS!D29+MDO!C29+MDO!D29+'EQUIP E FER'!C29+'EQUIP E FER'!D29+'SERV. INICIAIS'!C29+'SERV. INICIAIS'!D29+CONTENÇÃO!C29+CONTENÇÃO!D29+TERRAPLENAGEM!C29+TERRAPLENAGEM!D29+'FUND. PROF'!C29+'FUND. PROF'!D29+'FUND. SUP'!C29+'FUND. SUP'!D29+ESTRUTURA!C29+ESTRUTURA!D29+ALVENARIA!C29+ALVENARIA!D29+IMPERMEABILIZAÇÃO!C29+IMPERMEABILIZAÇÃO!D29+'INST. ELÉTRICA'!C29+'INST. ELÉTRICA'!D29+'INST. HIDRO'!C29+'INST. HIDRO'!D29+'INST. INC'!C29+'INST. INC'!D29+'INST. ESP'!C29+'INST. ESP'!D29+'ELEVADORES '!C29+'ELEVADORES '!D29+ESQUADRIAS!C29+ESQUADRIAS!D29+SERRALHERIA!C29+SERRALHERIA!D29+MARCENARIA!C29+MARCENARIA!D29+'REV. PISOS'!C29+'REV. PISOS'!D29+'REV. PAREDE'!C29+'REV. PAREDE'!D29+'REV. ACAB'!C29+'REV. ACAB'!D29+PAVIMENTAÇÃO!C29+PAVIMENTAÇÃO!D29+'REV. FACHADA'!C29+'REV. FACHADA'!D29+FORRO!C29+FORRO!D29+LOUÇAS!C29+LOUÇAS!D29+PINTURA!C29+PINTURA!D29+PAISAGISMO!C29+PAISAGISMO!D29+LIMPEZA!C29+LIMPEZA!D29+'TAX. ADM'!C29+'TAX. ADM'!D29+AF59*'VALOR POR PL'!$P$7+IF(AF$1=DATE(2026,8,1),'VALOR POR PL'!$G$63,0)</f>
        <v>2108808.96163312</v>
      </c>
      <c r="AG65" s="50" t="n">
        <f aca="false">PROJETO!C30+PROJETO!D30+SEGUROS!C30+SEGUROS!D30+'TAX. DIVERSAS'!C30+'TAX. DIVERSAS'!D30+'BARRACÃO DE OBRA'!C30+'BARRACÃO DE OBRA'!D30+'LIG. PROVISÓRIAS'!C30+'LIG. PROVISÓRIAS'!D30+CONSUMOS!C30+CONSUMOS!D30+DIVERSOS!C30+DIVERSOS!D30+TRANSPORTES!C30+TRANSPORTES!D30+CONSULTORIAS!C30+CONSULTORIAS!D30+MDO!C30+MDO!D30+'EQUIP E FER'!C30+'EQUIP E FER'!D30+'SERV. INICIAIS'!C30+'SERV. INICIAIS'!D30+CONTENÇÃO!C30+CONTENÇÃO!D30+TERRAPLENAGEM!C30+TERRAPLENAGEM!D30+'FUND. PROF'!C30+'FUND. PROF'!D30+'FUND. SUP'!C30+'FUND. SUP'!D30+ESTRUTURA!C30+ESTRUTURA!D30+ALVENARIA!C30+ALVENARIA!D30+IMPERMEABILIZAÇÃO!C30+IMPERMEABILIZAÇÃO!D30+'INST. ELÉTRICA'!C30+'INST. ELÉTRICA'!D30+'INST. HIDRO'!C30+'INST. HIDRO'!D30+'INST. INC'!C30+'INST. INC'!D30+'INST. ESP'!C30+'INST. ESP'!D30+'ELEVADORES '!C30+'ELEVADORES '!D30+ESQUADRIAS!C30+ESQUADRIAS!D30+SERRALHERIA!C30+SERRALHERIA!D30+MARCENARIA!C30+MARCENARIA!D30+'REV. PISOS'!C30+'REV. PISOS'!D30+'REV. PAREDE'!C30+'REV. PAREDE'!D30+'REV. ACAB'!C30+'REV. ACAB'!D30+PAVIMENTAÇÃO!C30+PAVIMENTAÇÃO!D30+'REV. FACHADA'!C30+'REV. FACHADA'!D30+FORRO!C30+FORRO!D30+LOUÇAS!C30+LOUÇAS!D30+PINTURA!C30+PINTURA!D30+PAISAGISMO!C30+PAISAGISMO!D30+LIMPEZA!C30+LIMPEZA!D30+'TAX. ADM'!C30+'TAX. ADM'!D30+AG59*'VALOR POR PL'!$P$7+IF(AG$1=DATE(2026,8,1),'VALOR POR PL'!$G$63,0)</f>
        <v>3461475.99505219</v>
      </c>
      <c r="AH65" s="50" t="n">
        <f aca="false">PROJETO!C31+PROJETO!D31+SEGUROS!C31+SEGUROS!D31+'TAX. DIVERSAS'!C31+'TAX. DIVERSAS'!D31+'BARRACÃO DE OBRA'!C31+'BARRACÃO DE OBRA'!D31+'LIG. PROVISÓRIAS'!C31+'LIG. PROVISÓRIAS'!D31+CONSUMOS!C31+CONSUMOS!D31+DIVERSOS!C31+DIVERSOS!D31+TRANSPORTES!C31+TRANSPORTES!D31+CONSULTORIAS!C31+CONSULTORIAS!D31+MDO!C31+MDO!D31+'EQUIP E FER'!C31+'EQUIP E FER'!D31+'SERV. INICIAIS'!C31+'SERV. INICIAIS'!D31+CONTENÇÃO!C31+CONTENÇÃO!D31+TERRAPLENAGEM!C31+TERRAPLENAGEM!D31+'FUND. PROF'!C31+'FUND. PROF'!D31+'FUND. SUP'!C31+'FUND. SUP'!D31+ESTRUTURA!C31+ESTRUTURA!D31+ALVENARIA!C31+ALVENARIA!D31+IMPERMEABILIZAÇÃO!C31+IMPERMEABILIZAÇÃO!D31+'INST. ELÉTRICA'!C31+'INST. ELÉTRICA'!D31+'INST. HIDRO'!C31+'INST. HIDRO'!D31+'INST. INC'!C31+'INST. INC'!D31+'INST. ESP'!C31+'INST. ESP'!D31+'ELEVADORES '!C31+'ELEVADORES '!D31+ESQUADRIAS!C31+ESQUADRIAS!D31+SERRALHERIA!C31+SERRALHERIA!D31+MARCENARIA!C31+MARCENARIA!D31+'REV. PISOS'!C31+'REV. PISOS'!D31+'REV. PAREDE'!C31+'REV. PAREDE'!D31+'REV. ACAB'!C31+'REV. ACAB'!D31+PAVIMENTAÇÃO!C31+PAVIMENTAÇÃO!D31+'REV. FACHADA'!C31+'REV. FACHADA'!D31+FORRO!C31+FORRO!D31+LOUÇAS!C31+LOUÇAS!D31+PINTURA!C31+PINTURA!D31+PAISAGISMO!C31+PAISAGISMO!D31+LIMPEZA!C31+LIMPEZA!D31+'TAX. ADM'!C31+'TAX. ADM'!D31+AH59*'VALOR POR PL'!$P$7+IF(AH$1=DATE(2026,8,1),'VALOR POR PL'!$G$63,0)</f>
        <v>2211753.16589305</v>
      </c>
      <c r="AI65" s="50" t="n">
        <f aca="false">PROJETO!C32+PROJETO!D32+SEGUROS!C32+SEGUROS!D32+'TAX. DIVERSAS'!C32+'TAX. DIVERSAS'!D32+'BARRACÃO DE OBRA'!C32+'BARRACÃO DE OBRA'!D32+'LIG. PROVISÓRIAS'!C32+'LIG. PROVISÓRIAS'!D32+CONSUMOS!C32+CONSUMOS!D32+DIVERSOS!C32+DIVERSOS!D32+TRANSPORTES!C32+TRANSPORTES!D32+CONSULTORIAS!C32+CONSULTORIAS!D32+MDO!C32+MDO!D32+'EQUIP E FER'!C32+'EQUIP E FER'!D32+'SERV. INICIAIS'!C32+'SERV. INICIAIS'!D32+CONTENÇÃO!C32+CONTENÇÃO!D32+TERRAPLENAGEM!C32+TERRAPLENAGEM!D32+'FUND. PROF'!C32+'FUND. PROF'!D32+'FUND. SUP'!C32+'FUND. SUP'!D32+ESTRUTURA!C32+ESTRUTURA!D32+ALVENARIA!C32+ALVENARIA!D32+IMPERMEABILIZAÇÃO!C32+IMPERMEABILIZAÇÃO!D32+'INST. ELÉTRICA'!C32+'INST. ELÉTRICA'!D32+'INST. HIDRO'!C32+'INST. HIDRO'!D32+'INST. INC'!C32+'INST. INC'!D32+'INST. ESP'!C32+'INST. ESP'!D32+'ELEVADORES '!C32+'ELEVADORES '!D32+ESQUADRIAS!C32+ESQUADRIAS!D32+SERRALHERIA!C32+SERRALHERIA!D32+MARCENARIA!C32+MARCENARIA!D32+'REV. PISOS'!C32+'REV. PISOS'!D32+'REV. PAREDE'!C32+'REV. PAREDE'!D32+'REV. ACAB'!C32+'REV. ACAB'!D32+PAVIMENTAÇÃO!C32+PAVIMENTAÇÃO!D32+'REV. FACHADA'!C32+'REV. FACHADA'!D32+FORRO!C32+FORRO!D32+LOUÇAS!C32+LOUÇAS!D32+PINTURA!C32+PINTURA!D32+PAISAGISMO!C32+PAISAGISMO!D32+LIMPEZA!C32+LIMPEZA!D32+'TAX. ADM'!C32+'TAX. ADM'!D32+AI59*'VALOR POR PL'!$P$7+IF(AI$1=DATE(2026,8,1),'VALOR POR PL'!$G$63,0)</f>
        <v>2374738.51726414</v>
      </c>
      <c r="AJ65" s="50" t="n">
        <f aca="false">PROJETO!C33+PROJETO!D33+SEGUROS!C33+SEGUROS!D33+'TAX. DIVERSAS'!C33+'TAX. DIVERSAS'!D33+'BARRACÃO DE OBRA'!C33+'BARRACÃO DE OBRA'!D33+'LIG. PROVISÓRIAS'!C33+'LIG. PROVISÓRIAS'!D33+CONSUMOS!C33+CONSUMOS!D33+DIVERSOS!C33+DIVERSOS!D33+TRANSPORTES!C33+TRANSPORTES!D33+CONSULTORIAS!C33+CONSULTORIAS!D33+MDO!C33+MDO!D33+'EQUIP E FER'!C33+'EQUIP E FER'!D33+'SERV. INICIAIS'!C33+'SERV. INICIAIS'!D33+CONTENÇÃO!C33+CONTENÇÃO!D33+TERRAPLENAGEM!C33+TERRAPLENAGEM!D33+'FUND. PROF'!C33+'FUND. PROF'!D33+'FUND. SUP'!C33+'FUND. SUP'!D33+ESTRUTURA!C33+ESTRUTURA!D33+ALVENARIA!C33+ALVENARIA!D33+IMPERMEABILIZAÇÃO!C33+IMPERMEABILIZAÇÃO!D33+'INST. ELÉTRICA'!C33+'INST. ELÉTRICA'!D33+'INST. HIDRO'!C33+'INST. HIDRO'!D33+'INST. INC'!C33+'INST. INC'!D33+'INST. ESP'!C33+'INST. ESP'!D33+'ELEVADORES '!C33+'ELEVADORES '!D33+ESQUADRIAS!C33+ESQUADRIAS!D33+SERRALHERIA!C33+SERRALHERIA!D33+MARCENARIA!C33+MARCENARIA!D33+'REV. PISOS'!C33+'REV. PISOS'!D33+'REV. PAREDE'!C33+'REV. PAREDE'!D33+'REV. ACAB'!C33+'REV. ACAB'!D33+PAVIMENTAÇÃO!C33+PAVIMENTAÇÃO!D33+'REV. FACHADA'!C33+'REV. FACHADA'!D33+FORRO!C33+FORRO!D33+LOUÇAS!C33+LOUÇAS!D33+PINTURA!C33+PINTURA!D33+PAISAGISMO!C33+PAISAGISMO!D33+LIMPEZA!C33+LIMPEZA!D33+'TAX. ADM'!C33+'TAX. ADM'!D33+AJ59*'VALOR POR PL'!$P$7+IF(AJ$1=DATE(2026,8,1),'VALOR POR PL'!$G$63,0)</f>
        <v>2811622.40744576</v>
      </c>
      <c r="AK65" s="50" t="n">
        <f aca="false">PROJETO!C34+PROJETO!D34+SEGUROS!C34+SEGUROS!D34+'TAX. DIVERSAS'!C34+'TAX. DIVERSAS'!D34+'BARRACÃO DE OBRA'!C34+'BARRACÃO DE OBRA'!D34+'LIG. PROVISÓRIAS'!C34+'LIG. PROVISÓRIAS'!D34+CONSUMOS!C34+CONSUMOS!D34+DIVERSOS!C34+DIVERSOS!D34+TRANSPORTES!C34+TRANSPORTES!D34+CONSULTORIAS!C34+CONSULTORIAS!D34+MDO!C34+MDO!D34+'EQUIP E FER'!C34+'EQUIP E FER'!D34+'SERV. INICIAIS'!C34+'SERV. INICIAIS'!D34+CONTENÇÃO!C34+CONTENÇÃO!D34+TERRAPLENAGEM!C34+TERRAPLENAGEM!D34+'FUND. PROF'!C34+'FUND. PROF'!D34+'FUND. SUP'!C34+'FUND. SUP'!D34+ESTRUTURA!C34+ESTRUTURA!D34+ALVENARIA!C34+ALVENARIA!D34+IMPERMEABILIZAÇÃO!C34+IMPERMEABILIZAÇÃO!D34+'INST. ELÉTRICA'!C34+'INST. ELÉTRICA'!D34+'INST. HIDRO'!C34+'INST. HIDRO'!D34+'INST. INC'!C34+'INST. INC'!D34+'INST. ESP'!C34+'INST. ESP'!D34+'ELEVADORES '!C34+'ELEVADORES '!D34+ESQUADRIAS!C34+ESQUADRIAS!D34+SERRALHERIA!C34+SERRALHERIA!D34+MARCENARIA!C34+MARCENARIA!D34+'REV. PISOS'!C34+'REV. PISOS'!D34+'REV. PAREDE'!C34+'REV. PAREDE'!D34+'REV. ACAB'!C34+'REV. ACAB'!D34+PAVIMENTAÇÃO!C34+PAVIMENTAÇÃO!D34+'REV. FACHADA'!C34+'REV. FACHADA'!D34+FORRO!C34+FORRO!D34+LOUÇAS!C34+LOUÇAS!D34+PINTURA!C34+PINTURA!D34+PAISAGISMO!C34+PAISAGISMO!D34+LIMPEZA!C34+LIMPEZA!D34+'TAX. ADM'!C34+'TAX. ADM'!D34+AK59*'VALOR POR PL'!$P$7+IF(AK$1=DATE(2026,8,1),'VALOR POR PL'!$G$63,0)</f>
        <v>2887641.34120766</v>
      </c>
      <c r="AL65" s="50" t="n">
        <f aca="false">PROJETO!C35+PROJETO!D35+SEGUROS!C35+SEGUROS!D35+'TAX. DIVERSAS'!C35+'TAX. DIVERSAS'!D35+'BARRACÃO DE OBRA'!C35+'BARRACÃO DE OBRA'!D35+'LIG. PROVISÓRIAS'!C35+'LIG. PROVISÓRIAS'!D35+CONSUMOS!C35+CONSUMOS!D35+DIVERSOS!C35+DIVERSOS!D35+TRANSPORTES!C35+TRANSPORTES!D35+CONSULTORIAS!C35+CONSULTORIAS!D35+MDO!C35+MDO!D35+'EQUIP E FER'!C35+'EQUIP E FER'!D35+'SERV. INICIAIS'!C35+'SERV. INICIAIS'!D35+CONTENÇÃO!C35+CONTENÇÃO!D35+TERRAPLENAGEM!C35+TERRAPLENAGEM!D35+'FUND. PROF'!C35+'FUND. PROF'!D35+'FUND. SUP'!C35+'FUND. SUP'!D35+ESTRUTURA!C35+ESTRUTURA!D35+ALVENARIA!C35+ALVENARIA!D35+IMPERMEABILIZAÇÃO!C35+IMPERMEABILIZAÇÃO!D35+'INST. ELÉTRICA'!C35+'INST. ELÉTRICA'!D35+'INST. HIDRO'!C35+'INST. HIDRO'!D35+'INST. INC'!C35+'INST. INC'!D35+'INST. ESP'!C35+'INST. ESP'!D35+'ELEVADORES '!C35+'ELEVADORES '!D35+ESQUADRIAS!C35+ESQUADRIAS!D35+SERRALHERIA!C35+SERRALHERIA!D35+MARCENARIA!C35+MARCENARIA!D35+'REV. PISOS'!C35+'REV. PISOS'!D35+'REV. PAREDE'!C35+'REV. PAREDE'!D35+'REV. ACAB'!C35+'REV. ACAB'!D35+PAVIMENTAÇÃO!C35+PAVIMENTAÇÃO!D35+'REV. FACHADA'!C35+'REV. FACHADA'!D35+FORRO!C35+FORRO!D35+LOUÇAS!C35+LOUÇAS!D35+PINTURA!C35+PINTURA!D35+PAISAGISMO!C35+PAISAGISMO!D35+LIMPEZA!C35+LIMPEZA!D35+'TAX. ADM'!C35+'TAX. ADM'!D35+AL59*'VALOR POR PL'!$P$7+IF(AL$1=DATE(2026,8,1),'VALOR POR PL'!$G$63,0)</f>
        <v>3524533.53237692</v>
      </c>
      <c r="AM65" s="50" t="n">
        <f aca="false">PROJETO!C36+PROJETO!D36+SEGUROS!C36+SEGUROS!D36+'TAX. DIVERSAS'!C36+'TAX. DIVERSAS'!D36+'BARRACÃO DE OBRA'!C36+'BARRACÃO DE OBRA'!D36+'LIG. PROVISÓRIAS'!C36+'LIG. PROVISÓRIAS'!D36+CONSUMOS!C36+CONSUMOS!D36+DIVERSOS!C36+DIVERSOS!D36+TRANSPORTES!C36+TRANSPORTES!D36+CONSULTORIAS!C36+CONSULTORIAS!D36+MDO!C36+MDO!D36+'EQUIP E FER'!C36+'EQUIP E FER'!D36+'SERV. INICIAIS'!C36+'SERV. INICIAIS'!D36+CONTENÇÃO!C36+CONTENÇÃO!D36+TERRAPLENAGEM!C36+TERRAPLENAGEM!D36+'FUND. PROF'!C36+'FUND. PROF'!D36+'FUND. SUP'!C36+'FUND. SUP'!D36+ESTRUTURA!C36+ESTRUTURA!D36+ALVENARIA!C36+ALVENARIA!D36+IMPERMEABILIZAÇÃO!C36+IMPERMEABILIZAÇÃO!D36+'INST. ELÉTRICA'!C36+'INST. ELÉTRICA'!D36+'INST. HIDRO'!C36+'INST. HIDRO'!D36+'INST. INC'!C36+'INST. INC'!D36+'INST. ESP'!C36+'INST. ESP'!D36+'ELEVADORES '!C36+'ELEVADORES '!D36+ESQUADRIAS!C36+ESQUADRIAS!D36+SERRALHERIA!C36+SERRALHERIA!D36+MARCENARIA!C36+MARCENARIA!D36+'REV. PISOS'!C36+'REV. PISOS'!D36+'REV. PAREDE'!C36+'REV. PAREDE'!D36+'REV. ACAB'!C36+'REV. ACAB'!D36+PAVIMENTAÇÃO!C36+PAVIMENTAÇÃO!D36+'REV. FACHADA'!C36+'REV. FACHADA'!D36+FORRO!C36+FORRO!D36+LOUÇAS!C36+LOUÇAS!D36+PINTURA!C36+PINTURA!D36+PAISAGISMO!C36+PAISAGISMO!D36+LIMPEZA!C36+LIMPEZA!D36+'TAX. ADM'!C36+'TAX. ADM'!D36+AM59*'VALOR POR PL'!$P$7+IF(AM$1=DATE(2026,8,1),'VALOR POR PL'!$G$63,0)</f>
        <v>4204730.8041094</v>
      </c>
      <c r="AN65" s="50" t="n">
        <f aca="false">PROJETO!C37+PROJETO!D37+SEGUROS!C37+SEGUROS!D37+'TAX. DIVERSAS'!C37+'TAX. DIVERSAS'!D37+'BARRACÃO DE OBRA'!C37+'BARRACÃO DE OBRA'!D37+'LIG. PROVISÓRIAS'!C37+'LIG. PROVISÓRIAS'!D37+CONSUMOS!C37+CONSUMOS!D37+DIVERSOS!C37+DIVERSOS!D37+TRANSPORTES!C37+TRANSPORTES!D37+CONSULTORIAS!C37+CONSULTORIAS!D37+MDO!C37+MDO!D37+'EQUIP E FER'!C37+'EQUIP E FER'!D37+'SERV. INICIAIS'!C37+'SERV. INICIAIS'!D37+CONTENÇÃO!C37+CONTENÇÃO!D37+TERRAPLENAGEM!C37+TERRAPLENAGEM!D37+'FUND. PROF'!C37+'FUND. PROF'!D37+'FUND. SUP'!C37+'FUND. SUP'!D37+ESTRUTURA!C37+ESTRUTURA!D37+ALVENARIA!C37+ALVENARIA!D37+IMPERMEABILIZAÇÃO!C37+IMPERMEABILIZAÇÃO!D37+'INST. ELÉTRICA'!C37+'INST. ELÉTRICA'!D37+'INST. HIDRO'!C37+'INST. HIDRO'!D37+'INST. INC'!C37+'INST. INC'!D37+'INST. ESP'!C37+'INST. ESP'!D37+'ELEVADORES '!C37+'ELEVADORES '!D37+ESQUADRIAS!C37+ESQUADRIAS!D37+SERRALHERIA!C37+SERRALHERIA!D37+MARCENARIA!C37+MARCENARIA!D37+'REV. PISOS'!C37+'REV. PISOS'!D37+'REV. PAREDE'!C37+'REV. PAREDE'!D37+'REV. ACAB'!C37+'REV. ACAB'!D37+PAVIMENTAÇÃO!C37+PAVIMENTAÇÃO!D37+'REV. FACHADA'!C37+'REV. FACHADA'!D37+FORRO!C37+FORRO!D37+LOUÇAS!C37+LOUÇAS!D37+PINTURA!C37+PINTURA!D37+PAISAGISMO!C37+PAISAGISMO!D37+LIMPEZA!C37+LIMPEZA!D37+'TAX. ADM'!C37+'TAX. ADM'!D37+AN59*'VALOR POR PL'!$P$7+IF(AN$1=DATE(2026,8,1),'VALOR POR PL'!$G$63,0)</f>
        <v>4606678.27609025</v>
      </c>
      <c r="AO65" s="50" t="n">
        <f aca="false">PROJETO!C38+PROJETO!D38+SEGUROS!C38+SEGUROS!D38+'TAX. DIVERSAS'!C38+'TAX. DIVERSAS'!D38+'BARRACÃO DE OBRA'!C38+'BARRACÃO DE OBRA'!D38+'LIG. PROVISÓRIAS'!C38+'LIG. PROVISÓRIAS'!D38+CONSUMOS!C38+CONSUMOS!D38+DIVERSOS!C38+DIVERSOS!D38+TRANSPORTES!C38+TRANSPORTES!D38+CONSULTORIAS!C38+CONSULTORIAS!D38+MDO!C38+MDO!D38+'EQUIP E FER'!C38+'EQUIP E FER'!D38+'SERV. INICIAIS'!C38+'SERV. INICIAIS'!D38+CONTENÇÃO!C38+CONTENÇÃO!D38+TERRAPLENAGEM!C38+TERRAPLENAGEM!D38+'FUND. PROF'!C38+'FUND. PROF'!D38+'FUND. SUP'!C38+'FUND. SUP'!D38+ESTRUTURA!C38+ESTRUTURA!D38+ALVENARIA!C38+ALVENARIA!D38+IMPERMEABILIZAÇÃO!C38+IMPERMEABILIZAÇÃO!D38+'INST. ELÉTRICA'!C38+'INST. ELÉTRICA'!D38+'INST. HIDRO'!C38+'INST. HIDRO'!D38+'INST. INC'!C38+'INST. INC'!D38+'INST. ESP'!C38+'INST. ESP'!D38+'ELEVADORES '!C38+'ELEVADORES '!D38+ESQUADRIAS!C38+ESQUADRIAS!D38+SERRALHERIA!C38+SERRALHERIA!D38+MARCENARIA!C38+MARCENARIA!D38+'REV. PISOS'!C38+'REV. PISOS'!D38+'REV. PAREDE'!C38+'REV. PAREDE'!D38+'REV. ACAB'!C38+'REV. ACAB'!D38+PAVIMENTAÇÃO!C38+PAVIMENTAÇÃO!D38+'REV. FACHADA'!C38+'REV. FACHADA'!D38+FORRO!C38+FORRO!D38+LOUÇAS!C38+LOUÇAS!D38+PINTURA!C38+PINTURA!D38+PAISAGISMO!C38+PAISAGISMO!D38+LIMPEZA!C38+LIMPEZA!D38+'TAX. ADM'!C38+'TAX. ADM'!D38+AO59*'VALOR POR PL'!$P$7+IF(AO$1=DATE(2026,8,1),'VALOR POR PL'!$G$63,0)</f>
        <v>4314632.64539805</v>
      </c>
      <c r="AP65" s="50" t="n">
        <f aca="false">PROJETO!C39+PROJETO!D39+SEGUROS!C39+SEGUROS!D39+'TAX. DIVERSAS'!C39+'TAX. DIVERSAS'!D39+'BARRACÃO DE OBRA'!C39+'BARRACÃO DE OBRA'!D39+'LIG. PROVISÓRIAS'!C39+'LIG. PROVISÓRIAS'!D39+CONSUMOS!C39+CONSUMOS!D39+DIVERSOS!C39+DIVERSOS!D39+TRANSPORTES!C39+TRANSPORTES!D39+CONSULTORIAS!C39+CONSULTORIAS!D39+MDO!C39+MDO!D39+'EQUIP E FER'!C39+'EQUIP E FER'!D39+'SERV. INICIAIS'!C39+'SERV. INICIAIS'!D39+CONTENÇÃO!C39+CONTENÇÃO!D39+TERRAPLENAGEM!C39+TERRAPLENAGEM!D39+'FUND. PROF'!C39+'FUND. PROF'!D39+'FUND. SUP'!C39+'FUND. SUP'!D39+ESTRUTURA!C39+ESTRUTURA!D39+ALVENARIA!C39+ALVENARIA!D39+IMPERMEABILIZAÇÃO!C39+IMPERMEABILIZAÇÃO!D39+'INST. ELÉTRICA'!C39+'INST. ELÉTRICA'!D39+'INST. HIDRO'!C39+'INST. HIDRO'!D39+'INST. INC'!C39+'INST. INC'!D39+'INST. ESP'!C39+'INST. ESP'!D39+'ELEVADORES '!C39+'ELEVADORES '!D39+ESQUADRIAS!C39+ESQUADRIAS!D39+SERRALHERIA!C39+SERRALHERIA!D39+MARCENARIA!C39+MARCENARIA!D39+'REV. PISOS'!C39+'REV. PISOS'!D39+'REV. PAREDE'!C39+'REV. PAREDE'!D39+'REV. ACAB'!C39+'REV. ACAB'!D39+PAVIMENTAÇÃO!C39+PAVIMENTAÇÃO!D39+'REV. FACHADA'!C39+'REV. FACHADA'!D39+FORRO!C39+FORRO!D39+LOUÇAS!C39+LOUÇAS!D39+PINTURA!C39+PINTURA!D39+PAISAGISMO!C39+PAISAGISMO!D39+LIMPEZA!C39+LIMPEZA!D39+'TAX. ADM'!C39+'TAX. ADM'!D39+AP59*'VALOR POR PL'!$P$7+IF(AP$1=DATE(2026,8,1),'VALOR POR PL'!$G$63,0)</f>
        <v>5194700.48725831</v>
      </c>
      <c r="AQ65" s="50" t="n">
        <f aca="false">PROJETO!C40+PROJETO!D40+SEGUROS!C40+SEGUROS!D40+'TAX. DIVERSAS'!C40+'TAX. DIVERSAS'!D40+'BARRACÃO DE OBRA'!C40+'BARRACÃO DE OBRA'!D40+'LIG. PROVISÓRIAS'!C40+'LIG. PROVISÓRIAS'!D40+CONSUMOS!C40+CONSUMOS!D40+DIVERSOS!C40+DIVERSOS!D40+TRANSPORTES!C40+TRANSPORTES!D40+CONSULTORIAS!C40+CONSULTORIAS!D40+MDO!C40+MDO!D40+'EQUIP E FER'!C40+'EQUIP E FER'!D40+'SERV. INICIAIS'!C40+'SERV. INICIAIS'!D40+CONTENÇÃO!C40+CONTENÇÃO!D40+TERRAPLENAGEM!C40+TERRAPLENAGEM!D40+'FUND. PROF'!C40+'FUND. PROF'!D40+'FUND. SUP'!C40+'FUND. SUP'!D40+ESTRUTURA!C40+ESTRUTURA!D40+ALVENARIA!C40+ALVENARIA!D40+IMPERMEABILIZAÇÃO!C40+IMPERMEABILIZAÇÃO!D40+'INST. ELÉTRICA'!C40+'INST. ELÉTRICA'!D40+'INST. HIDRO'!C40+'INST. HIDRO'!D40+'INST. INC'!C40+'INST. INC'!D40+'INST. ESP'!C40+'INST. ESP'!D40+'ELEVADORES '!C40+'ELEVADORES '!D40+ESQUADRIAS!C40+ESQUADRIAS!D40+SERRALHERIA!C40+SERRALHERIA!D40+MARCENARIA!C40+MARCENARIA!D40+'REV. PISOS'!C40+'REV. PISOS'!D40+'REV. PAREDE'!C40+'REV. PAREDE'!D40+'REV. ACAB'!C40+'REV. ACAB'!D40+PAVIMENTAÇÃO!C40+PAVIMENTAÇÃO!D40+'REV. FACHADA'!C40+'REV. FACHADA'!D40+FORRO!C40+FORRO!D40+LOUÇAS!C40+LOUÇAS!D40+PINTURA!C40+PINTURA!D40+PAISAGISMO!C40+PAISAGISMO!D40+LIMPEZA!C40+LIMPEZA!D40+'TAX. ADM'!C40+'TAX. ADM'!D40+AQ59*'VALOR POR PL'!$P$7+IF(AQ$1=DATE(2026,8,1),'VALOR POR PL'!$G$63,0)</f>
        <v>5960223.60030089</v>
      </c>
      <c r="AR65" s="50" t="n">
        <f aca="false">PROJETO!C41+PROJETO!D41+SEGUROS!C41+SEGUROS!D41+'TAX. DIVERSAS'!C41+'TAX. DIVERSAS'!D41+'BARRACÃO DE OBRA'!C41+'BARRACÃO DE OBRA'!D41+'LIG. PROVISÓRIAS'!C41+'LIG. PROVISÓRIAS'!D41+CONSUMOS!C41+CONSUMOS!D41+DIVERSOS!C41+DIVERSOS!D41+TRANSPORTES!C41+TRANSPORTES!D41+CONSULTORIAS!C41+CONSULTORIAS!D41+MDO!C41+MDO!D41+'EQUIP E FER'!C41+'EQUIP E FER'!D41+'SERV. INICIAIS'!C41+'SERV. INICIAIS'!D41+CONTENÇÃO!C41+CONTENÇÃO!D41+TERRAPLENAGEM!C41+TERRAPLENAGEM!D41+'FUND. PROF'!C41+'FUND. PROF'!D41+'FUND. SUP'!C41+'FUND. SUP'!D41+ESTRUTURA!C41+ESTRUTURA!D41+ALVENARIA!C41+ALVENARIA!D41+IMPERMEABILIZAÇÃO!C41+IMPERMEABILIZAÇÃO!D41+'INST. ELÉTRICA'!C41+'INST. ELÉTRICA'!D41+'INST. HIDRO'!C41+'INST. HIDRO'!D41+'INST. INC'!C41+'INST. INC'!D41+'INST. ESP'!C41+'INST. ESP'!D41+'ELEVADORES '!C41+'ELEVADORES '!D41+ESQUADRIAS!C41+ESQUADRIAS!D41+SERRALHERIA!C41+SERRALHERIA!D41+MARCENARIA!C41+MARCENARIA!D41+'REV. PISOS'!C41+'REV. PISOS'!D41+'REV. PAREDE'!C41+'REV. PAREDE'!D41+'REV. ACAB'!C41+'REV. ACAB'!D41+PAVIMENTAÇÃO!C41+PAVIMENTAÇÃO!D41+'REV. FACHADA'!C41+'REV. FACHADA'!D41+FORRO!C41+FORRO!D41+LOUÇAS!C41+LOUÇAS!D41+PINTURA!C41+PINTURA!D41+PAISAGISMO!C41+PAISAGISMO!D41+LIMPEZA!C41+LIMPEZA!D41+'TAX. ADM'!C41+'TAX. ADM'!D41+AR59*'VALOR POR PL'!$P$7+IF(AR$1=DATE(2026,8,1),'VALOR POR PL'!$G$63,0)</f>
        <v>6051719.06182115</v>
      </c>
      <c r="AS65" s="50" t="n">
        <f aca="false">PROJETO!C42+PROJETO!D42+SEGUROS!C42+SEGUROS!D42+'TAX. DIVERSAS'!C42+'TAX. DIVERSAS'!D42+'BARRACÃO DE OBRA'!C42+'BARRACÃO DE OBRA'!D42+'LIG. PROVISÓRIAS'!C42+'LIG. PROVISÓRIAS'!D42+CONSUMOS!C42+CONSUMOS!D42+DIVERSOS!C42+DIVERSOS!D42+TRANSPORTES!C42+TRANSPORTES!D42+CONSULTORIAS!C42+CONSULTORIAS!D42+MDO!C42+MDO!D42+'EQUIP E FER'!C42+'EQUIP E FER'!D42+'SERV. INICIAIS'!C42+'SERV. INICIAIS'!D42+CONTENÇÃO!C42+CONTENÇÃO!D42+TERRAPLENAGEM!C42+TERRAPLENAGEM!D42+'FUND. PROF'!C42+'FUND. PROF'!D42+'FUND. SUP'!C42+'FUND. SUP'!D42+ESTRUTURA!C42+ESTRUTURA!D42+ALVENARIA!C42+ALVENARIA!D42+IMPERMEABILIZAÇÃO!C42+IMPERMEABILIZAÇÃO!D42+'INST. ELÉTRICA'!C42+'INST. ELÉTRICA'!D42+'INST. HIDRO'!C42+'INST. HIDRO'!D42+'INST. INC'!C42+'INST. INC'!D42+'INST. ESP'!C42+'INST. ESP'!D42+'ELEVADORES '!C42+'ELEVADORES '!D42+ESQUADRIAS!C42+ESQUADRIAS!D42+SERRALHERIA!C42+SERRALHERIA!D42+MARCENARIA!C42+MARCENARIA!D42+'REV. PISOS'!C42+'REV. PISOS'!D42+'REV. PAREDE'!C42+'REV. PAREDE'!D42+'REV. ACAB'!C42+'REV. ACAB'!D42+PAVIMENTAÇÃO!C42+PAVIMENTAÇÃO!D42+'REV. FACHADA'!C42+'REV. FACHADA'!D42+FORRO!C42+FORRO!D42+LOUÇAS!C42+LOUÇAS!D42+PINTURA!C42+PINTURA!D42+PAISAGISMO!C42+PAISAGISMO!D42+LIMPEZA!C42+LIMPEZA!D42+'TAX. ADM'!C42+'TAX. ADM'!D42+AS59*'VALOR POR PL'!$P$7+IF(AS$1=DATE(2026,8,1),'VALOR POR PL'!$G$63,0)</f>
        <v>6482629.77076323</v>
      </c>
      <c r="AT65" s="50" t="n">
        <f aca="false">PROJETO!C43+PROJETO!D43+SEGUROS!C43+SEGUROS!D43+'TAX. DIVERSAS'!C43+'TAX. DIVERSAS'!D43+'BARRACÃO DE OBRA'!C43+'BARRACÃO DE OBRA'!D43+'LIG. PROVISÓRIAS'!C43+'LIG. PROVISÓRIAS'!D43+CONSUMOS!C43+CONSUMOS!D43+DIVERSOS!C43+DIVERSOS!D43+TRANSPORTES!C43+TRANSPORTES!D43+CONSULTORIAS!C43+CONSULTORIAS!D43+MDO!C43+MDO!D43+'EQUIP E FER'!C43+'EQUIP E FER'!D43+'SERV. INICIAIS'!C43+'SERV. INICIAIS'!D43+CONTENÇÃO!C43+CONTENÇÃO!D43+TERRAPLENAGEM!C43+TERRAPLENAGEM!D43+'FUND. PROF'!C43+'FUND. PROF'!D43+'FUND. SUP'!C43+'FUND. SUP'!D43+ESTRUTURA!C43+ESTRUTURA!D43+ALVENARIA!C43+ALVENARIA!D43+IMPERMEABILIZAÇÃO!C43+IMPERMEABILIZAÇÃO!D43+'INST. ELÉTRICA'!C43+'INST. ELÉTRICA'!D43+'INST. HIDRO'!C43+'INST. HIDRO'!D43+'INST. INC'!C43+'INST. INC'!D43+'INST. ESP'!C43+'INST. ESP'!D43+'ELEVADORES '!C43+'ELEVADORES '!D43+ESQUADRIAS!C43+ESQUADRIAS!D43+SERRALHERIA!C43+SERRALHERIA!D43+MARCENARIA!C43+MARCENARIA!D43+'REV. PISOS'!C43+'REV. PISOS'!D43+'REV. PAREDE'!C43+'REV. PAREDE'!D43+'REV. ACAB'!C43+'REV. ACAB'!D43+PAVIMENTAÇÃO!C43+PAVIMENTAÇÃO!D43+'REV. FACHADA'!C43+'REV. FACHADA'!D43+FORRO!C43+FORRO!D43+LOUÇAS!C43+LOUÇAS!D43+PINTURA!C43+PINTURA!D43+PAISAGISMO!C43+PAISAGISMO!D43+LIMPEZA!C43+LIMPEZA!D43+'TAX. ADM'!C43+'TAX. ADM'!D43+AT59*'VALOR POR PL'!$P$7+IF(AT$1=DATE(2026,8,1),'VALOR POR PL'!$G$63,0)</f>
        <v>7045343.99713429</v>
      </c>
      <c r="AU65" s="50" t="n">
        <f aca="false">PROJETO!C44+PROJETO!D44+SEGUROS!C44+SEGUROS!D44+'TAX. DIVERSAS'!C44+'TAX. DIVERSAS'!D44+'BARRACÃO DE OBRA'!C44+'BARRACÃO DE OBRA'!D44+'LIG. PROVISÓRIAS'!C44+'LIG. PROVISÓRIAS'!D44+CONSUMOS!C44+CONSUMOS!D44+DIVERSOS!C44+DIVERSOS!D44+TRANSPORTES!C44+TRANSPORTES!D44+CONSULTORIAS!C44+CONSULTORIAS!D44+MDO!C44+MDO!D44+'EQUIP E FER'!C44+'EQUIP E FER'!D44+'SERV. INICIAIS'!C44+'SERV. INICIAIS'!D44+CONTENÇÃO!C44+CONTENÇÃO!D44+TERRAPLENAGEM!C44+TERRAPLENAGEM!D44+'FUND. PROF'!C44+'FUND. PROF'!D44+'FUND. SUP'!C44+'FUND. SUP'!D44+ESTRUTURA!C44+ESTRUTURA!D44+ALVENARIA!C44+ALVENARIA!D44+IMPERMEABILIZAÇÃO!C44+IMPERMEABILIZAÇÃO!D44+'INST. ELÉTRICA'!C44+'INST. ELÉTRICA'!D44+'INST. HIDRO'!C44+'INST. HIDRO'!D44+'INST. INC'!C44+'INST. INC'!D44+'INST. ESP'!C44+'INST. ESP'!D44+'ELEVADORES '!C44+'ELEVADORES '!D44+ESQUADRIAS!C44+ESQUADRIAS!D44+SERRALHERIA!C44+SERRALHERIA!D44+MARCENARIA!C44+MARCENARIA!D44+'REV. PISOS'!C44+'REV. PISOS'!D44+'REV. PAREDE'!C44+'REV. PAREDE'!D44+'REV. ACAB'!C44+'REV. ACAB'!D44+PAVIMENTAÇÃO!C44+PAVIMENTAÇÃO!D44+'REV. FACHADA'!C44+'REV. FACHADA'!D44+FORRO!C44+FORRO!D44+LOUÇAS!C44+LOUÇAS!D44+PINTURA!C44+PINTURA!D44+PAISAGISMO!C44+PAISAGISMO!D44+LIMPEZA!C44+LIMPEZA!D44+'TAX. ADM'!C44+'TAX. ADM'!D44+AU59*'VALOR POR PL'!$P$7+IF(AU$1=DATE(2026,8,1),'VALOR POR PL'!$G$63,0)</f>
        <v>8128449.16143397</v>
      </c>
      <c r="AV65" s="50" t="n">
        <f aca="false">PROJETO!C45+PROJETO!D45+SEGUROS!C45+SEGUROS!D45+'TAX. DIVERSAS'!C45+'TAX. DIVERSAS'!D45+'BARRACÃO DE OBRA'!C45+'BARRACÃO DE OBRA'!D45+'LIG. PROVISÓRIAS'!C45+'LIG. PROVISÓRIAS'!D45+CONSUMOS!C45+CONSUMOS!D45+DIVERSOS!C45+DIVERSOS!D45+TRANSPORTES!C45+TRANSPORTES!D45+CONSULTORIAS!C45+CONSULTORIAS!D45+MDO!C45+MDO!D45+'EQUIP E FER'!C45+'EQUIP E FER'!D45+'SERV. INICIAIS'!C45+'SERV. INICIAIS'!D45+CONTENÇÃO!C45+CONTENÇÃO!D45+TERRAPLENAGEM!C45+TERRAPLENAGEM!D45+'FUND. PROF'!C45+'FUND. PROF'!D45+'FUND. SUP'!C45+'FUND. SUP'!D45+ESTRUTURA!C45+ESTRUTURA!D45+ALVENARIA!C45+ALVENARIA!D45+IMPERMEABILIZAÇÃO!C45+IMPERMEABILIZAÇÃO!D45+'INST. ELÉTRICA'!C45+'INST. ELÉTRICA'!D45+'INST. HIDRO'!C45+'INST. HIDRO'!D45+'INST. INC'!C45+'INST. INC'!D45+'INST. ESP'!C45+'INST. ESP'!D45+'ELEVADORES '!C45+'ELEVADORES '!D45+ESQUADRIAS!C45+ESQUADRIAS!D45+SERRALHERIA!C45+SERRALHERIA!D45+MARCENARIA!C45+MARCENARIA!D45+'REV. PISOS'!C45+'REV. PISOS'!D45+'REV. PAREDE'!C45+'REV. PAREDE'!D45+'REV. ACAB'!C45+'REV. ACAB'!D45+PAVIMENTAÇÃO!C45+PAVIMENTAÇÃO!D45+'REV. FACHADA'!C45+'REV. FACHADA'!D45+FORRO!C45+FORRO!D45+LOUÇAS!C45+LOUÇAS!D45+PINTURA!C45+PINTURA!D45+PAISAGISMO!C45+PAISAGISMO!D45+LIMPEZA!C45+LIMPEZA!D45+'TAX. ADM'!C45+'TAX. ADM'!D45+AV59*'VALOR POR PL'!$P$7+IF(AV$1=DATE(2026,8,1),'VALOR POR PL'!$G$63,0)</f>
        <v>7807562.91984836</v>
      </c>
      <c r="AW65" s="50" t="n">
        <f aca="false">PROJETO!C46+PROJETO!D46+SEGUROS!C46+SEGUROS!D46+'TAX. DIVERSAS'!C46+'TAX. DIVERSAS'!D46+'BARRACÃO DE OBRA'!C46+'BARRACÃO DE OBRA'!D46+'LIG. PROVISÓRIAS'!C46+'LIG. PROVISÓRIAS'!D46+CONSUMOS!C46+CONSUMOS!D46+DIVERSOS!C46+DIVERSOS!D46+TRANSPORTES!C46+TRANSPORTES!D46+CONSULTORIAS!C46+CONSULTORIAS!D46+MDO!C46+MDO!D46+'EQUIP E FER'!C46+'EQUIP E FER'!D46+'SERV. INICIAIS'!C46+'SERV. INICIAIS'!D46+CONTENÇÃO!C46+CONTENÇÃO!D46+TERRAPLENAGEM!C46+TERRAPLENAGEM!D46+'FUND. PROF'!C46+'FUND. PROF'!D46+'FUND. SUP'!C46+'FUND. SUP'!D46+ESTRUTURA!C46+ESTRUTURA!D46+ALVENARIA!C46+ALVENARIA!D46+IMPERMEABILIZAÇÃO!C46+IMPERMEABILIZAÇÃO!D46+'INST. ELÉTRICA'!C46+'INST. ELÉTRICA'!D46+'INST. HIDRO'!C46+'INST. HIDRO'!D46+'INST. INC'!C46+'INST. INC'!D46+'INST. ESP'!C46+'INST. ESP'!D46+'ELEVADORES '!C46+'ELEVADORES '!D46+ESQUADRIAS!C46+ESQUADRIAS!D46+SERRALHERIA!C46+SERRALHERIA!D46+MARCENARIA!C46+MARCENARIA!D46+'REV. PISOS'!C46+'REV. PISOS'!D46+'REV. PAREDE'!C46+'REV. PAREDE'!D46+'REV. ACAB'!C46+'REV. ACAB'!D46+PAVIMENTAÇÃO!C46+PAVIMENTAÇÃO!D46+'REV. FACHADA'!C46+'REV. FACHADA'!D46+FORRO!C46+FORRO!D46+LOUÇAS!C46+LOUÇAS!D46+PINTURA!C46+PINTURA!D46+PAISAGISMO!C46+PAISAGISMO!D46+LIMPEZA!C46+LIMPEZA!D46+'TAX. ADM'!C46+'TAX. ADM'!D46+AW59*'VALOR POR PL'!$P$7+IF(AW$1=DATE(2026,8,1),'VALOR POR PL'!$G$63,0)</f>
        <v>5306783.29187261</v>
      </c>
      <c r="AX65" s="50" t="n">
        <f aca="false">PROJETO!C47+PROJETO!D47+SEGUROS!C47+SEGUROS!D47+'TAX. DIVERSAS'!C47+'TAX. DIVERSAS'!D47+'BARRACÃO DE OBRA'!C47+'BARRACÃO DE OBRA'!D47+'LIG. PROVISÓRIAS'!C47+'LIG. PROVISÓRIAS'!D47+CONSUMOS!C47+CONSUMOS!D47+DIVERSOS!C47+DIVERSOS!D47+TRANSPORTES!C47+TRANSPORTES!D47+CONSULTORIAS!C47+CONSULTORIAS!D47+MDO!C47+MDO!D47+'EQUIP E FER'!C47+'EQUIP E FER'!D47+'SERV. INICIAIS'!C47+'SERV. INICIAIS'!D47+CONTENÇÃO!C47+CONTENÇÃO!D47+TERRAPLENAGEM!C47+TERRAPLENAGEM!D47+'FUND. PROF'!C47+'FUND. PROF'!D47+'FUND. SUP'!C47+'FUND. SUP'!D47+ESTRUTURA!C47+ESTRUTURA!D47+ALVENARIA!C47+ALVENARIA!D47+IMPERMEABILIZAÇÃO!C47+IMPERMEABILIZAÇÃO!D47+'INST. ELÉTRICA'!C47+'INST. ELÉTRICA'!D47+'INST. HIDRO'!C47+'INST. HIDRO'!D47+'INST. INC'!C47+'INST. INC'!D47+'INST. ESP'!C47+'INST. ESP'!D47+'ELEVADORES '!C47+'ELEVADORES '!D47+ESQUADRIAS!C47+ESQUADRIAS!D47+SERRALHERIA!C47+SERRALHERIA!D47+MARCENARIA!C47+MARCENARIA!D47+'REV. PISOS'!C47+'REV. PISOS'!D47+'REV. PAREDE'!C47+'REV. PAREDE'!D47+'REV. ACAB'!C47+'REV. ACAB'!D47+PAVIMENTAÇÃO!C47+PAVIMENTAÇÃO!D47+'REV. FACHADA'!C47+'REV. FACHADA'!D47+FORRO!C47+FORRO!D47+LOUÇAS!C47+LOUÇAS!D47+PINTURA!C47+PINTURA!D47+PAISAGISMO!C47+PAISAGISMO!D47+LIMPEZA!C47+LIMPEZA!D47+'TAX. ADM'!C47+'TAX. ADM'!D47+AX59*'VALOR POR PL'!$P$7+IF(AX$1=DATE(2026,8,1),'VALOR POR PL'!$G$63,0)</f>
        <v>5821279.26259041</v>
      </c>
      <c r="AY65" s="50" t="n">
        <f aca="false">PROJETO!C48+PROJETO!D48+SEGUROS!C48+SEGUROS!D48+'TAX. DIVERSAS'!C48+'TAX. DIVERSAS'!D48+'BARRACÃO DE OBRA'!C48+'BARRACÃO DE OBRA'!D48+'LIG. PROVISÓRIAS'!C48+'LIG. PROVISÓRIAS'!D48+CONSUMOS!C48+CONSUMOS!D48+DIVERSOS!C48+DIVERSOS!D48+TRANSPORTES!C48+TRANSPORTES!D48+CONSULTORIAS!C48+CONSULTORIAS!D48+MDO!C48+MDO!D48+'EQUIP E FER'!C48+'EQUIP E FER'!D48+'SERV. INICIAIS'!C48+'SERV. INICIAIS'!D48+CONTENÇÃO!C48+CONTENÇÃO!D48+TERRAPLENAGEM!C48+TERRAPLENAGEM!D48+'FUND. PROF'!C48+'FUND. PROF'!D48+'FUND. SUP'!C48+'FUND. SUP'!D48+ESTRUTURA!C48+ESTRUTURA!D48+ALVENARIA!C48+ALVENARIA!D48+IMPERMEABILIZAÇÃO!C48+IMPERMEABILIZAÇÃO!D48+'INST. ELÉTRICA'!C48+'INST. ELÉTRICA'!D48+'INST. HIDRO'!C48+'INST. HIDRO'!D48+'INST. INC'!C48+'INST. INC'!D48+'INST. ESP'!C48+'INST. ESP'!D48+'ELEVADORES '!C48+'ELEVADORES '!D48+ESQUADRIAS!C48+ESQUADRIAS!D48+SERRALHERIA!C48+SERRALHERIA!D48+MARCENARIA!C48+MARCENARIA!D48+'REV. PISOS'!C48+'REV. PISOS'!D48+'REV. PAREDE'!C48+'REV. PAREDE'!D48+'REV. ACAB'!C48+'REV. ACAB'!D48+PAVIMENTAÇÃO!C48+PAVIMENTAÇÃO!D48+'REV. FACHADA'!C48+'REV. FACHADA'!D48+FORRO!C48+FORRO!D48+LOUÇAS!C48+LOUÇAS!D48+PINTURA!C48+PINTURA!D48+PAISAGISMO!C48+PAISAGISMO!D48+LIMPEZA!C48+LIMPEZA!D48+'TAX. ADM'!C48+'TAX. ADM'!D48+AY59*'VALOR POR PL'!$P$7+IF(AY$1=DATE(2026,8,1),'VALOR POR PL'!$G$63,0)</f>
        <v>5905313.85206154</v>
      </c>
      <c r="AZ65" s="50" t="n">
        <f aca="false">PROJETO!C49+PROJETO!D49+SEGUROS!C49+SEGUROS!D49+'TAX. DIVERSAS'!C49+'TAX. DIVERSAS'!D49+'BARRACÃO DE OBRA'!C49+'BARRACÃO DE OBRA'!D49+'LIG. PROVISÓRIAS'!C49+'LIG. PROVISÓRIAS'!D49+CONSUMOS!C49+CONSUMOS!D49+DIVERSOS!C49+DIVERSOS!D49+TRANSPORTES!C49+TRANSPORTES!D49+CONSULTORIAS!C49+CONSULTORIAS!D49+MDO!C49+MDO!D49+'EQUIP E FER'!C49+'EQUIP E FER'!D49+'SERV. INICIAIS'!C49+'SERV. INICIAIS'!D49+CONTENÇÃO!C49+CONTENÇÃO!D49+TERRAPLENAGEM!C49+TERRAPLENAGEM!D49+'FUND. PROF'!C49+'FUND. PROF'!D49+'FUND. SUP'!C49+'FUND. SUP'!D49+ESTRUTURA!C49+ESTRUTURA!D49+ALVENARIA!C49+ALVENARIA!D49+IMPERMEABILIZAÇÃO!C49+IMPERMEABILIZAÇÃO!D49+'INST. ELÉTRICA'!C49+'INST. ELÉTRICA'!D49+'INST. HIDRO'!C49+'INST. HIDRO'!D49+'INST. INC'!C49+'INST. INC'!D49+'INST. ESP'!C49+'INST. ESP'!D49+'ELEVADORES '!C49+'ELEVADORES '!D49+ESQUADRIAS!C49+ESQUADRIAS!D49+SERRALHERIA!C49+SERRALHERIA!D49+MARCENARIA!C49+MARCENARIA!D49+'REV. PISOS'!C49+'REV. PISOS'!D49+'REV. PAREDE'!C49+'REV. PAREDE'!D49+'REV. ACAB'!C49+'REV. ACAB'!D49+PAVIMENTAÇÃO!C49+PAVIMENTAÇÃO!D49+'REV. FACHADA'!C49+'REV. FACHADA'!D49+FORRO!C49+FORRO!D49+LOUÇAS!C49+LOUÇAS!D49+PINTURA!C49+PINTURA!D49+PAISAGISMO!C49+PAISAGISMO!D49+LIMPEZA!C49+LIMPEZA!D49+'TAX. ADM'!C49+'TAX. ADM'!D49+AZ59*'VALOR POR PL'!$P$7+IF(AZ$1=DATE(2026,8,1),'VALOR POR PL'!$G$63,0)</f>
        <v>5065635.61967741</v>
      </c>
      <c r="BA65" s="50" t="n">
        <f aca="false">PROJETO!C50+PROJETO!D50+SEGUROS!C50+SEGUROS!D50+'TAX. DIVERSAS'!C50+'TAX. DIVERSAS'!D50+'BARRACÃO DE OBRA'!C50+'BARRACÃO DE OBRA'!D50+'LIG. PROVISÓRIAS'!C50+'LIG. PROVISÓRIAS'!D50+CONSUMOS!C50+CONSUMOS!D50+DIVERSOS!C50+DIVERSOS!D50+TRANSPORTES!C50+TRANSPORTES!D50+CONSULTORIAS!C50+CONSULTORIAS!D50+MDO!C50+MDO!D50+'EQUIP E FER'!C50+'EQUIP E FER'!D50+'SERV. INICIAIS'!C50+'SERV. INICIAIS'!D50+CONTENÇÃO!C50+CONTENÇÃO!D50+TERRAPLENAGEM!C50+TERRAPLENAGEM!D50+'FUND. PROF'!C50+'FUND. PROF'!D50+'FUND. SUP'!C50+'FUND. SUP'!D50+ESTRUTURA!C50+ESTRUTURA!D50+ALVENARIA!C50+ALVENARIA!D50+IMPERMEABILIZAÇÃO!C50+IMPERMEABILIZAÇÃO!D50+'INST. ELÉTRICA'!C50+'INST. ELÉTRICA'!D50+'INST. HIDRO'!C50+'INST. HIDRO'!D50+'INST. INC'!C50+'INST. INC'!D50+'INST. ESP'!C50+'INST. ESP'!D50+'ELEVADORES '!C50+'ELEVADORES '!D50+ESQUADRIAS!C50+ESQUADRIAS!D50+SERRALHERIA!C50+SERRALHERIA!D50+MARCENARIA!C50+MARCENARIA!D50+'REV. PISOS'!C50+'REV. PISOS'!D50+'REV. PAREDE'!C50+'REV. PAREDE'!D50+'REV. ACAB'!C50+'REV. ACAB'!D50+PAVIMENTAÇÃO!C50+PAVIMENTAÇÃO!D50+'REV. FACHADA'!C50+'REV. FACHADA'!D50+FORRO!C50+FORRO!D50+LOUÇAS!C50+LOUÇAS!D50+PINTURA!C50+PINTURA!D50+PAISAGISMO!C50+PAISAGISMO!D50+LIMPEZA!C50+LIMPEZA!D50+'TAX. ADM'!C50+'TAX. ADM'!D50+BA59*'VALOR POR PL'!$P$7+IF(BA$1=DATE(2026,8,1),'VALOR POR PL'!$G$63,0)</f>
        <v>5169422.24349525</v>
      </c>
      <c r="BB65" s="50" t="n">
        <f aca="false">PROJETO!C51+PROJETO!D51+SEGUROS!C51+SEGUROS!D51+'TAX. DIVERSAS'!C51+'TAX. DIVERSAS'!D51+'BARRACÃO DE OBRA'!C51+'BARRACÃO DE OBRA'!D51+'LIG. PROVISÓRIAS'!C51+'LIG. PROVISÓRIAS'!D51+CONSUMOS!C51+CONSUMOS!D51+DIVERSOS!C51+DIVERSOS!D51+TRANSPORTES!C51+TRANSPORTES!D51+CONSULTORIAS!C51+CONSULTORIAS!D51+MDO!C51+MDO!D51+'EQUIP E FER'!C51+'EQUIP E FER'!D51+'SERV. INICIAIS'!C51+'SERV. INICIAIS'!D51+CONTENÇÃO!C51+CONTENÇÃO!D51+TERRAPLENAGEM!C51+TERRAPLENAGEM!D51+'FUND. PROF'!C51+'FUND. PROF'!D51+'FUND. SUP'!C51+'FUND. SUP'!D51+ESTRUTURA!C51+ESTRUTURA!D51+ALVENARIA!C51+ALVENARIA!D51+IMPERMEABILIZAÇÃO!C51+IMPERMEABILIZAÇÃO!D51+'INST. ELÉTRICA'!C51+'INST. ELÉTRICA'!D51+'INST. HIDRO'!C51+'INST. HIDRO'!D51+'INST. INC'!C51+'INST. INC'!D51+'INST. ESP'!C51+'INST. ESP'!D51+'ELEVADORES '!C51+'ELEVADORES '!D51+ESQUADRIAS!C51+ESQUADRIAS!D51+SERRALHERIA!C51+SERRALHERIA!D51+MARCENARIA!C51+MARCENARIA!D51+'REV. PISOS'!C51+'REV. PISOS'!D51+'REV. PAREDE'!C51+'REV. PAREDE'!D51+'REV. ACAB'!C51+'REV. ACAB'!D51+PAVIMENTAÇÃO!C51+PAVIMENTAÇÃO!D51+'REV. FACHADA'!C51+'REV. FACHADA'!D51+FORRO!C51+FORRO!D51+LOUÇAS!C51+LOUÇAS!D51+PINTURA!C51+PINTURA!D51+PAISAGISMO!C51+PAISAGISMO!D51+LIMPEZA!C51+LIMPEZA!D51+'TAX. ADM'!C51+'TAX. ADM'!D51+BB59*'VALOR POR PL'!$P$7+IF(BB$1=DATE(2026,8,1),'VALOR POR PL'!$G$63,0)</f>
        <v>3652305.42145364</v>
      </c>
      <c r="BC65" s="50" t="n">
        <f aca="false">PROJETO!C52+PROJETO!D52+SEGUROS!C52+SEGUROS!D52+'TAX. DIVERSAS'!C52+'TAX. DIVERSAS'!D52+'BARRACÃO DE OBRA'!C52+'BARRACÃO DE OBRA'!D52+'LIG. PROVISÓRIAS'!C52+'LIG. PROVISÓRIAS'!D52+CONSUMOS!C52+CONSUMOS!D52+DIVERSOS!C52+DIVERSOS!D52+TRANSPORTES!C52+TRANSPORTES!D52+CONSULTORIAS!C52+CONSULTORIAS!D52+MDO!C52+MDO!D52+'EQUIP E FER'!C52+'EQUIP E FER'!D52+'SERV. INICIAIS'!C52+'SERV. INICIAIS'!D52+CONTENÇÃO!C52+CONTENÇÃO!D52+TERRAPLENAGEM!C52+TERRAPLENAGEM!D52+'FUND. PROF'!C52+'FUND. PROF'!D52+'FUND. SUP'!C52+'FUND. SUP'!D52+ESTRUTURA!C52+ESTRUTURA!D52+ALVENARIA!C52+ALVENARIA!D52+IMPERMEABILIZAÇÃO!C52+IMPERMEABILIZAÇÃO!D52+'INST. ELÉTRICA'!C52+'INST. ELÉTRICA'!D52+'INST. HIDRO'!C52+'INST. HIDRO'!D52+'INST. INC'!C52+'INST. INC'!D52+'INST. ESP'!C52+'INST. ESP'!D52+'ELEVADORES '!C52+'ELEVADORES '!D52+ESQUADRIAS!C52+ESQUADRIAS!D52+SERRALHERIA!C52+SERRALHERIA!D52+MARCENARIA!C52+MARCENARIA!D52+'REV. PISOS'!C52+'REV. PISOS'!D52+'REV. PAREDE'!C52+'REV. PAREDE'!D52+'REV. ACAB'!C52+'REV. ACAB'!D52+PAVIMENTAÇÃO!C52+PAVIMENTAÇÃO!D52+'REV. FACHADA'!C52+'REV. FACHADA'!D52+FORRO!C52+FORRO!D52+LOUÇAS!C52+LOUÇAS!D52+PINTURA!C52+PINTURA!D52+PAISAGISMO!C52+PAISAGISMO!D52+LIMPEZA!C52+LIMPEZA!D52+'TAX. ADM'!C52+'TAX. ADM'!D52+BC59*'VALOR POR PL'!$P$7+IF(BC$1=DATE(2026,8,1),'VALOR POR PL'!$G$63,0)</f>
        <v>3230274.41310743</v>
      </c>
      <c r="BD65" s="50" t="n">
        <f aca="false">PROJETO!C53+PROJETO!D53+SEGUROS!C53+SEGUROS!D53+'TAX. DIVERSAS'!C53+'TAX. DIVERSAS'!D53+'BARRACÃO DE OBRA'!C53+'BARRACÃO DE OBRA'!D53+'LIG. PROVISÓRIAS'!C53+'LIG. PROVISÓRIAS'!D53+CONSUMOS!C53+CONSUMOS!D53+DIVERSOS!C53+DIVERSOS!D53+TRANSPORTES!C53+TRANSPORTES!D53+CONSULTORIAS!C53+CONSULTORIAS!D53+MDO!C53+MDO!D53+'EQUIP E FER'!C53+'EQUIP E FER'!D53+'SERV. INICIAIS'!C53+'SERV. INICIAIS'!D53+CONTENÇÃO!C53+CONTENÇÃO!D53+TERRAPLENAGEM!C53+TERRAPLENAGEM!D53+'FUND. PROF'!C53+'FUND. PROF'!D53+'FUND. SUP'!C53+'FUND. SUP'!D53+ESTRUTURA!C53+ESTRUTURA!D53+ALVENARIA!C53+ALVENARIA!D53+IMPERMEABILIZAÇÃO!C53+IMPERMEABILIZAÇÃO!D53+'INST. ELÉTRICA'!C53+'INST. ELÉTRICA'!D53+'INST. HIDRO'!C53+'INST. HIDRO'!D53+'INST. INC'!C53+'INST. INC'!D53+'INST. ESP'!C53+'INST. ESP'!D53+'ELEVADORES '!C53+'ELEVADORES '!D53+ESQUADRIAS!C53+ESQUADRIAS!D53+SERRALHERIA!C53+SERRALHERIA!D53+MARCENARIA!C53+MARCENARIA!D53+'REV. PISOS'!C53+'REV. PISOS'!D53+'REV. PAREDE'!C53+'REV. PAREDE'!D53+'REV. ACAB'!C53+'REV. ACAB'!D53+PAVIMENTAÇÃO!C53+PAVIMENTAÇÃO!D53+'REV. FACHADA'!C53+'REV. FACHADA'!D53+FORRO!C53+FORRO!D53+LOUÇAS!C53+LOUÇAS!D53+PINTURA!C53+PINTURA!D53+PAISAGISMO!C53+PAISAGISMO!D53+LIMPEZA!C53+LIMPEZA!D53+'TAX. ADM'!C53+'TAX. ADM'!D53+BD59*'VALOR POR PL'!$P$7+IF(BD$1=DATE(2026,8,1),'VALOR POR PL'!$G$63,0)</f>
        <v>3086794.05168226</v>
      </c>
      <c r="BE65" s="50" t="n">
        <f aca="false">PROJETO!C54+PROJETO!D54+SEGUROS!C54+SEGUROS!D54+'TAX. DIVERSAS'!C54+'TAX. DIVERSAS'!D54+'BARRACÃO DE OBRA'!C54+'BARRACÃO DE OBRA'!D54+'LIG. PROVISÓRIAS'!C54+'LIG. PROVISÓRIAS'!D54+CONSUMOS!C54+CONSUMOS!D54+DIVERSOS!C54+DIVERSOS!D54+TRANSPORTES!C54+TRANSPORTES!D54+CONSULTORIAS!C54+CONSULTORIAS!D54+MDO!C54+MDO!D54+'EQUIP E FER'!C54+'EQUIP E FER'!D54+'SERV. INICIAIS'!C54+'SERV. INICIAIS'!D54+CONTENÇÃO!C54+CONTENÇÃO!D54+TERRAPLENAGEM!C54+TERRAPLENAGEM!D54+'FUND. PROF'!C54+'FUND. PROF'!D54+'FUND. SUP'!C54+'FUND. SUP'!D54+ESTRUTURA!C54+ESTRUTURA!D54+ALVENARIA!C54+ALVENARIA!D54+IMPERMEABILIZAÇÃO!C54+IMPERMEABILIZAÇÃO!D54+'INST. ELÉTRICA'!C54+'INST. ELÉTRICA'!D54+'INST. HIDRO'!C54+'INST. HIDRO'!D54+'INST. INC'!C54+'INST. INC'!D54+'INST. ESP'!C54+'INST. ESP'!D54+'ELEVADORES '!C54+'ELEVADORES '!D54+ESQUADRIAS!C54+ESQUADRIAS!D54+SERRALHERIA!C54+SERRALHERIA!D54+MARCENARIA!C54+MARCENARIA!D54+'REV. PISOS'!C54+'REV. PISOS'!D54+'REV. PAREDE'!C54+'REV. PAREDE'!D54+'REV. ACAB'!C54+'REV. ACAB'!D54+PAVIMENTAÇÃO!C54+PAVIMENTAÇÃO!D54+'REV. FACHADA'!C54+'REV. FACHADA'!D54+FORRO!C54+FORRO!D54+LOUÇAS!C54+LOUÇAS!D54+PINTURA!C54+PINTURA!D54+PAISAGISMO!C54+PAISAGISMO!D54+LIMPEZA!C54+LIMPEZA!D54+'TAX. ADM'!C54+'TAX. ADM'!D54+BE59*'VALOR POR PL'!$P$7+IF(BE$1=DATE(2026,8,1),'VALOR POR PL'!$G$63,0)</f>
        <v>2631587.75153713</v>
      </c>
      <c r="BF65" s="50" t="n">
        <f aca="false">PROJETO!C55+PROJETO!D55+SEGUROS!C55+SEGUROS!D55+'TAX. DIVERSAS'!C55+'TAX. DIVERSAS'!D55+'BARRACÃO DE OBRA'!C55+'BARRACÃO DE OBRA'!D55+'LIG. PROVISÓRIAS'!C55+'LIG. PROVISÓRIAS'!D55+CONSUMOS!C55+CONSUMOS!D55+DIVERSOS!C55+DIVERSOS!D55+TRANSPORTES!C55+TRANSPORTES!D55+CONSULTORIAS!C55+CONSULTORIAS!D55+MDO!C55+MDO!D55+'EQUIP E FER'!C55+'EQUIP E FER'!D55+'SERV. INICIAIS'!C55+'SERV. INICIAIS'!D55+CONTENÇÃO!C55+CONTENÇÃO!D55+TERRAPLENAGEM!C55+TERRAPLENAGEM!D55+'FUND. PROF'!C55+'FUND. PROF'!D55+'FUND. SUP'!C55+'FUND. SUP'!D55+ESTRUTURA!C55+ESTRUTURA!D55+ALVENARIA!C55+ALVENARIA!D55+IMPERMEABILIZAÇÃO!C55+IMPERMEABILIZAÇÃO!D55+'INST. ELÉTRICA'!C55+'INST. ELÉTRICA'!D55+'INST. HIDRO'!C55+'INST. HIDRO'!D55+'INST. INC'!C55+'INST. INC'!D55+'INST. ESP'!C55+'INST. ESP'!D55+'ELEVADORES '!C55+'ELEVADORES '!D55+ESQUADRIAS!C55+ESQUADRIAS!D55+SERRALHERIA!C55+SERRALHERIA!D55+MARCENARIA!C55+MARCENARIA!D55+'REV. PISOS'!C55+'REV. PISOS'!D55+'REV. PAREDE'!C55+'REV. PAREDE'!D55+'REV. ACAB'!C55+'REV. ACAB'!D55+PAVIMENTAÇÃO!C55+PAVIMENTAÇÃO!D55+'REV. FACHADA'!C55+'REV. FACHADA'!D55+FORRO!C55+FORRO!D55+LOUÇAS!C55+LOUÇAS!D55+PINTURA!C55+PINTURA!D55+PAISAGISMO!C55+PAISAGISMO!D55+LIMPEZA!C55+LIMPEZA!D55+'TAX. ADM'!C55+'TAX. ADM'!D55+BF59*'VALOR POR PL'!$P$7+IF(BF$1=DATE(2026,8,1),'VALOR POR PL'!$G$63,0)</f>
        <v>2133439.49540877</v>
      </c>
      <c r="BG65" s="50" t="n">
        <f aca="false">PROJETO!C56+PROJETO!D56+SEGUROS!C56+SEGUROS!D56+'TAX. DIVERSAS'!C56+'TAX. DIVERSAS'!D56+'BARRACÃO DE OBRA'!C56+'BARRACÃO DE OBRA'!D56+'LIG. PROVISÓRIAS'!C56+'LIG. PROVISÓRIAS'!D56+CONSUMOS!C56+CONSUMOS!D56+DIVERSOS!C56+DIVERSOS!D56+TRANSPORTES!C56+TRANSPORTES!D56+CONSULTORIAS!C56+CONSULTORIAS!D56+MDO!C56+MDO!D56+'EQUIP E FER'!C56+'EQUIP E FER'!D56+'SERV. INICIAIS'!C56+'SERV. INICIAIS'!D56+CONTENÇÃO!C56+CONTENÇÃO!D56+TERRAPLENAGEM!C56+TERRAPLENAGEM!D56+'FUND. PROF'!C56+'FUND. PROF'!D56+'FUND. SUP'!C56+'FUND. SUP'!D56+ESTRUTURA!C56+ESTRUTURA!D56+ALVENARIA!C56+ALVENARIA!D56+IMPERMEABILIZAÇÃO!C56+IMPERMEABILIZAÇÃO!D56+'INST. ELÉTRICA'!C56+'INST. ELÉTRICA'!D56+'INST. HIDRO'!C56+'INST. HIDRO'!D56+'INST. INC'!C56+'INST. INC'!D56+'INST. ESP'!C56+'INST. ESP'!D56+'ELEVADORES '!C56+'ELEVADORES '!D56+ESQUADRIAS!C56+ESQUADRIAS!D56+SERRALHERIA!C56+SERRALHERIA!D56+MARCENARIA!C56+MARCENARIA!D56+'REV. PISOS'!C56+'REV. PISOS'!D56+'REV. PAREDE'!C56+'REV. PAREDE'!D56+'REV. ACAB'!C56+'REV. ACAB'!D56+PAVIMENTAÇÃO!C56+PAVIMENTAÇÃO!D56+'REV. FACHADA'!C56+'REV. FACHADA'!D56+FORRO!C56+FORRO!D56+LOUÇAS!C56+LOUÇAS!D56+PINTURA!C56+PINTURA!D56+PAISAGISMO!C56+PAISAGISMO!D56+LIMPEZA!C56+LIMPEZA!D56+'TAX. ADM'!C56+'TAX. ADM'!D56+BG59*'VALOR POR PL'!$P$7+IF(BG$1=DATE(2026,8,1),'VALOR POR PL'!$G$63,0)</f>
        <v>2082211.36859435</v>
      </c>
      <c r="BH65" s="50" t="n">
        <f aca="false">PROJETO!C57+PROJETO!D57+SEGUROS!C57+SEGUROS!D57+'TAX. DIVERSAS'!C57+'TAX. DIVERSAS'!D57+'BARRACÃO DE OBRA'!C57+'BARRACÃO DE OBRA'!D57+'LIG. PROVISÓRIAS'!C57+'LIG. PROVISÓRIAS'!D57+CONSUMOS!C57+CONSUMOS!D57+DIVERSOS!C57+DIVERSOS!D57+TRANSPORTES!C57+TRANSPORTES!D57+CONSULTORIAS!C57+CONSULTORIAS!D57+MDO!C57+MDO!D57+'EQUIP E FER'!C57+'EQUIP E FER'!D57+'SERV. INICIAIS'!C57+'SERV. INICIAIS'!D57+CONTENÇÃO!C57+CONTENÇÃO!D57+TERRAPLENAGEM!C57+TERRAPLENAGEM!D57+'FUND. PROF'!C57+'FUND. PROF'!D57+'FUND. SUP'!C57+'FUND. SUP'!D57+ESTRUTURA!C57+ESTRUTURA!D57+ALVENARIA!C57+ALVENARIA!D57+IMPERMEABILIZAÇÃO!C57+IMPERMEABILIZAÇÃO!D57+'INST. ELÉTRICA'!C57+'INST. ELÉTRICA'!D57+'INST. HIDRO'!C57+'INST. HIDRO'!D57+'INST. INC'!C57+'INST. INC'!D57+'INST. ESP'!C57+'INST. ESP'!D57+'ELEVADORES '!C57+'ELEVADORES '!D57+ESQUADRIAS!C57+ESQUADRIAS!D57+SERRALHERIA!C57+SERRALHERIA!D57+MARCENARIA!C57+MARCENARIA!D57+'REV. PISOS'!C57+'REV. PISOS'!D57+'REV. PAREDE'!C57+'REV. PAREDE'!D57+'REV. ACAB'!C57+'REV. ACAB'!D57+PAVIMENTAÇÃO!C57+PAVIMENTAÇÃO!D57+'REV. FACHADA'!C57+'REV. FACHADA'!D57+FORRO!C57+FORRO!D57+LOUÇAS!C57+LOUÇAS!D57+PINTURA!C57+PINTURA!D57+PAISAGISMO!C57+PAISAGISMO!D57+LIMPEZA!C57+LIMPEZA!D57+'TAX. ADM'!C57+'TAX. ADM'!D57+BH59*'VALOR POR PL'!$P$7+IF(BH$1=DATE(2026,8,1),'VALOR POR PL'!$G$63,0)</f>
        <v>1072625.70050755</v>
      </c>
      <c r="BI65" s="50" t="n">
        <f aca="false">PROJETO!C58+PROJETO!D58+SEGUROS!C58+SEGUROS!D58+'TAX. DIVERSAS'!C58+'TAX. DIVERSAS'!D58+'BARRACÃO DE OBRA'!C58+'BARRACÃO DE OBRA'!D58+'LIG. PROVISÓRIAS'!C58+'LIG. PROVISÓRIAS'!D58+CONSUMOS!C58+CONSUMOS!D58+DIVERSOS!C58+DIVERSOS!D58+TRANSPORTES!C58+TRANSPORTES!D58+CONSULTORIAS!C58+CONSULTORIAS!D58+MDO!C58+MDO!D58+'EQUIP E FER'!C58+'EQUIP E FER'!D58+'SERV. INICIAIS'!C58+'SERV. INICIAIS'!D58+CONTENÇÃO!C58+CONTENÇÃO!D58+TERRAPLENAGEM!C58+TERRAPLENAGEM!D58+'FUND. PROF'!C58+'FUND. PROF'!D58+'FUND. SUP'!C58+'FUND. SUP'!D58+ESTRUTURA!C58+ESTRUTURA!D58+ALVENARIA!C58+ALVENARIA!D58+IMPERMEABILIZAÇÃO!C58+IMPERMEABILIZAÇÃO!D58+'INST. ELÉTRICA'!C58+'INST. ELÉTRICA'!D58+'INST. HIDRO'!C58+'INST. HIDRO'!D58+'INST. INC'!C58+'INST. INC'!D58+'INST. ESP'!C58+'INST. ESP'!D58+'ELEVADORES '!C58+'ELEVADORES '!D58+ESQUADRIAS!C58+ESQUADRIAS!D58+SERRALHERIA!C58+SERRALHERIA!D58+MARCENARIA!C58+MARCENARIA!D58+'REV. PISOS'!C58+'REV. PISOS'!D58+'REV. PAREDE'!C58+'REV. PAREDE'!D58+'REV. ACAB'!C58+'REV. ACAB'!D58+PAVIMENTAÇÃO!C58+PAVIMENTAÇÃO!D58+'REV. FACHADA'!C58+'REV. FACHADA'!D58+FORRO!C58+FORRO!D58+LOUÇAS!C58+LOUÇAS!D58+PINTURA!C58+PINTURA!D58+PAISAGISMO!C58+PAISAGISMO!D58+LIMPEZA!C58+LIMPEZA!D58+'TAX. ADM'!C58+'TAX. ADM'!D58+BI59*'VALOR POR PL'!$P$7+IF(BI$1=DATE(2026,8,1),'VALOR POR PL'!$G$63,0)</f>
        <v>508422.336886473</v>
      </c>
      <c r="BJ65" s="50" t="n">
        <f aca="false">PROJETO!C59+PROJETO!D59+SEGUROS!C59+SEGUROS!D59+'TAX. DIVERSAS'!C59+'TAX. DIVERSAS'!D59+'BARRACÃO DE OBRA'!C59+'BARRACÃO DE OBRA'!D59+'LIG. PROVISÓRIAS'!C59+'LIG. PROVISÓRIAS'!D59+CONSUMOS!C59+CONSUMOS!D59+DIVERSOS!C59+DIVERSOS!D59+TRANSPORTES!C59+TRANSPORTES!D59+CONSULTORIAS!C59+CONSULTORIAS!D59+MDO!C59+MDO!D59+'EQUIP E FER'!C59+'EQUIP E FER'!D59+'SERV. INICIAIS'!C59+'SERV. INICIAIS'!D59+CONTENÇÃO!C59+CONTENÇÃO!D59+TERRAPLENAGEM!C59+TERRAPLENAGEM!D59+'FUND. PROF'!C59+'FUND. PROF'!D59+'FUND. SUP'!C59+'FUND. SUP'!D59+ESTRUTURA!C59+ESTRUTURA!D59+ALVENARIA!C59+ALVENARIA!D59+IMPERMEABILIZAÇÃO!C59+IMPERMEABILIZAÇÃO!D59+'INST. ELÉTRICA'!C59+'INST. ELÉTRICA'!D59+'INST. HIDRO'!C59+'INST. HIDRO'!D59+'INST. INC'!C59+'INST. INC'!D59+'INST. ESP'!C59+'INST. ESP'!D59+'ELEVADORES '!C59+'ELEVADORES '!D59+ESQUADRIAS!C59+ESQUADRIAS!D59+SERRALHERIA!C59+SERRALHERIA!D59+MARCENARIA!C59+MARCENARIA!D59+'REV. PISOS'!C59+'REV. PISOS'!D59+'REV. PAREDE'!C59+'REV. PAREDE'!D59+'REV. ACAB'!C59+'REV. ACAB'!D59+PAVIMENTAÇÃO!C59+PAVIMENTAÇÃO!D59+'REV. FACHADA'!C59+'REV. FACHADA'!D59+FORRO!C59+FORRO!D59+LOUÇAS!C59+LOUÇAS!D59+PINTURA!C59+PINTURA!D59+PAISAGISMO!C59+PAISAGISMO!D59+LIMPEZA!C59+LIMPEZA!D59+'TAX. ADM'!C59+'TAX. ADM'!D59+BJ59*'VALOR POR PL'!$P$7+IF(BJ$1=DATE(2026,8,1),'VALOR POR PL'!$G$63,0)</f>
        <v>681403.936820435</v>
      </c>
      <c r="BK65" s="50" t="n">
        <f aca="false">PROJETO!C60+PROJETO!D60+SEGUROS!C60+SEGUROS!D60+'TAX. DIVERSAS'!C60+'TAX. DIVERSAS'!D60+'BARRACÃO DE OBRA'!C60+'BARRACÃO DE OBRA'!D60+'LIG. PROVISÓRIAS'!C60+'LIG. PROVISÓRIAS'!D60+CONSUMOS!C60+CONSUMOS!D60+DIVERSOS!C60+DIVERSOS!D60+TRANSPORTES!C60+TRANSPORTES!D60+CONSULTORIAS!C60+CONSULTORIAS!D60+MDO!C60+MDO!D60+'EQUIP E FER'!C60+'EQUIP E FER'!D60+'SERV. INICIAIS'!C60+'SERV. INICIAIS'!D60+CONTENÇÃO!C60+CONTENÇÃO!D60+TERRAPLENAGEM!C60+TERRAPLENAGEM!D60+'FUND. PROF'!C60+'FUND. PROF'!D60+'FUND. SUP'!C60+'FUND. SUP'!D60+ESTRUTURA!C60+ESTRUTURA!D60+ALVENARIA!C60+ALVENARIA!D60+IMPERMEABILIZAÇÃO!C60+IMPERMEABILIZAÇÃO!D60+'INST. ELÉTRICA'!C60+'INST. ELÉTRICA'!D60+'INST. HIDRO'!C60+'INST. HIDRO'!D60+'INST. INC'!C60+'INST. INC'!D60+'INST. ESP'!C60+'INST. ESP'!D60+'ELEVADORES '!C60+'ELEVADORES '!D60+ESQUADRIAS!C60+ESQUADRIAS!D60+SERRALHERIA!C60+SERRALHERIA!D60+MARCENARIA!C60+MARCENARIA!D60+'REV. PISOS'!C60+'REV. PISOS'!D60+'REV. PAREDE'!C60+'REV. PAREDE'!D60+'REV. ACAB'!C60+'REV. ACAB'!D60+PAVIMENTAÇÃO!C60+PAVIMENTAÇÃO!D60+'REV. FACHADA'!C60+'REV. FACHADA'!D60+FORRO!C60+FORRO!D60+LOUÇAS!C60+LOUÇAS!D60+PINTURA!C60+PINTURA!D60+PAISAGISMO!C60+PAISAGISMO!D60+LIMPEZA!C60+LIMPEZA!D60+'TAX. ADM'!C60+'TAX. ADM'!D60+BK59*'VALOR POR PL'!$P$7+IF(BK$1=DATE(2026,8,1),'VALOR POR PL'!$G$63,0)</f>
        <v>64804.4657964834</v>
      </c>
      <c r="BL65" s="50" t="n">
        <f aca="false">PROJETO!C61+PROJETO!D61+SEGUROS!C61+SEGUROS!D61+'TAX. DIVERSAS'!C61+'TAX. DIVERSAS'!D61+'BARRACÃO DE OBRA'!C61+'BARRACÃO DE OBRA'!D61+'LIG. PROVISÓRIAS'!C61+'LIG. PROVISÓRIAS'!D61+CONSUMOS!C61+CONSUMOS!D61+DIVERSOS!C61+DIVERSOS!D61+TRANSPORTES!C61+TRANSPORTES!D61+CONSULTORIAS!C61+CONSULTORIAS!D61+MDO!C61+MDO!D61+'EQUIP E FER'!C61+'EQUIP E FER'!D61+'SERV. INICIAIS'!C61+'SERV. INICIAIS'!D61+CONTENÇÃO!C61+CONTENÇÃO!D61+TERRAPLENAGEM!C61+TERRAPLENAGEM!D61+'FUND. PROF'!C61+'FUND. PROF'!D61+'FUND. SUP'!C61+'FUND. SUP'!D61+ESTRUTURA!C61+ESTRUTURA!D61+ALVENARIA!C61+ALVENARIA!D61+IMPERMEABILIZAÇÃO!C61+IMPERMEABILIZAÇÃO!D61+'INST. ELÉTRICA'!C61+'INST. ELÉTRICA'!D61+'INST. HIDRO'!C61+'INST. HIDRO'!D61+'INST. INC'!C61+'INST. INC'!D61+'INST. ESP'!C61+'INST. ESP'!D61+'ELEVADORES '!C61+'ELEVADORES '!D61+ESQUADRIAS!C61+ESQUADRIAS!D61+SERRALHERIA!C61+SERRALHERIA!D61+MARCENARIA!C61+MARCENARIA!D61+'REV. PISOS'!C61+'REV. PISOS'!D61+'REV. PAREDE'!C61+'REV. PAREDE'!D61+'REV. ACAB'!C61+'REV. ACAB'!D61+PAVIMENTAÇÃO!C61+PAVIMENTAÇÃO!D61+'REV. FACHADA'!C61+'REV. FACHADA'!D61+FORRO!C61+FORRO!D61+LOUÇAS!C61+LOUÇAS!D61+PINTURA!C61+PINTURA!D61+PAISAGISMO!C61+PAISAGISMO!D61+LIMPEZA!C61+LIMPEZA!D61+'TAX. ADM'!C61+'TAX. ADM'!D61+BL59*'VALOR POR PL'!$P$7+IF(BL$1=DATE(2026,8,1),'VALOR POR PL'!$G$63,0)</f>
        <v>115803.069205698</v>
      </c>
      <c r="BM65" s="50" t="n">
        <f aca="false">PROJETO!C62+PROJETO!D62+SEGUROS!C62+SEGUROS!D62+'TAX. DIVERSAS'!C62+'TAX. DIVERSAS'!D62+'BARRACÃO DE OBRA'!C62+'BARRACÃO DE OBRA'!D62+'LIG. PROVISÓRIAS'!C62+'LIG. PROVISÓRIAS'!D62+CONSUMOS!C62+CONSUMOS!D62+DIVERSOS!C62+DIVERSOS!D62+TRANSPORTES!C62+TRANSPORTES!D62+CONSULTORIAS!C62+CONSULTORIAS!D62+MDO!C62+MDO!D62+'EQUIP E FER'!C62+'EQUIP E FER'!D62+'SERV. INICIAIS'!C62+'SERV. INICIAIS'!D62+CONTENÇÃO!C62+CONTENÇÃO!D62+TERRAPLENAGEM!C62+TERRAPLENAGEM!D62+'FUND. PROF'!C62+'FUND. PROF'!D62+'FUND. SUP'!C62+'FUND. SUP'!D62+ESTRUTURA!C62+ESTRUTURA!D62+ALVENARIA!C62+ALVENARIA!D62+IMPERMEABILIZAÇÃO!C62+IMPERMEABILIZAÇÃO!D62+'INST. ELÉTRICA'!C62+'INST. ELÉTRICA'!D62+'INST. HIDRO'!C62+'INST. HIDRO'!D62+'INST. INC'!C62+'INST. INC'!D62+'INST. ESP'!C62+'INST. ESP'!D62+'ELEVADORES '!C62+'ELEVADORES '!D62+ESQUADRIAS!C62+ESQUADRIAS!D62+SERRALHERIA!C62+SERRALHERIA!D62+MARCENARIA!C62+MARCENARIA!D62+'REV. PISOS'!C62+'REV. PISOS'!D62+'REV. PAREDE'!C62+'REV. PAREDE'!D62+'REV. ACAB'!C62+'REV. ACAB'!D62+PAVIMENTAÇÃO!C62+PAVIMENTAÇÃO!D62+'REV. FACHADA'!C62+'REV. FACHADA'!D62+FORRO!C62+FORRO!D62+LOUÇAS!C62+LOUÇAS!D62+PINTURA!C62+PINTURA!D62+PAISAGISMO!C62+PAISAGISMO!D62+LIMPEZA!C62+LIMPEZA!D62+'TAX. ADM'!C62+'TAX. ADM'!D62+BM59*'VALOR POR PL'!$P$7+IF(BM$1=DATE(2026,8,1),'VALOR POR PL'!$G$63,0)</f>
        <v>0</v>
      </c>
      <c r="BN65" s="50" t="n">
        <f aca="false">PROJETO!C63+PROJETO!D63+SEGUROS!C63+SEGUROS!D63+'TAX. DIVERSAS'!C63+'TAX. DIVERSAS'!D63+'BARRACÃO DE OBRA'!C63+'BARRACÃO DE OBRA'!D63+'LIG. PROVISÓRIAS'!C63+'LIG. PROVISÓRIAS'!D63+CONSUMOS!C63+CONSUMOS!D63+DIVERSOS!C63+DIVERSOS!D63+TRANSPORTES!C63+TRANSPORTES!D63+CONSULTORIAS!C63+CONSULTORIAS!D63+MDO!C63+MDO!D63+'EQUIP E FER'!C63+'EQUIP E FER'!D63+'SERV. INICIAIS'!C63+'SERV. INICIAIS'!D63+CONTENÇÃO!C63+CONTENÇÃO!D63+TERRAPLENAGEM!C63+TERRAPLENAGEM!D63+'FUND. PROF'!C63+'FUND. PROF'!D63+'FUND. SUP'!C63+'FUND. SUP'!D63+ESTRUTURA!C63+ESTRUTURA!D63+ALVENARIA!C63+ALVENARIA!D63+IMPERMEABILIZAÇÃO!C63+IMPERMEABILIZAÇÃO!D63+'INST. ELÉTRICA'!C63+'INST. ELÉTRICA'!D63+'INST. HIDRO'!C63+'INST. HIDRO'!D63+'INST. INC'!C63+'INST. INC'!D63+'INST. ESP'!C63+'INST. ESP'!D63+'ELEVADORES '!C63+'ELEVADORES '!D63+ESQUADRIAS!C63+ESQUADRIAS!D63+SERRALHERIA!C63+SERRALHERIA!D63+MARCENARIA!C63+MARCENARIA!D63+'REV. PISOS'!C63+'REV. PISOS'!D63+'REV. PAREDE'!C63+'REV. PAREDE'!D63+'REV. ACAB'!C63+'REV. ACAB'!D63+PAVIMENTAÇÃO!C63+PAVIMENTAÇÃO!D63+'REV. FACHADA'!C63+'REV. FACHADA'!D63+FORRO!C63+FORRO!D63+LOUÇAS!C63+LOUÇAS!D63+PINTURA!C63+PINTURA!D63+PAISAGISMO!C63+PAISAGISMO!D63+LIMPEZA!C63+LIMPEZA!D63+'TAX. ADM'!C63+'TAX. ADM'!D63+BN59*'VALOR POR PL'!$P$7+IF(BN$1=DATE(2026,8,1),'VALOR POR PL'!$G$63,0)</f>
        <v>2521511.34049737</v>
      </c>
      <c r="BO65" s="50" t="n">
        <f aca="false">PROJETO!C64+PROJETO!D64+SEGUROS!C64+SEGUROS!D64+'TAX. DIVERSAS'!C64+'TAX. DIVERSAS'!D64+'BARRACÃO DE OBRA'!C64+'BARRACÃO DE OBRA'!D64+'LIG. PROVISÓRIAS'!C64+'LIG. PROVISÓRIAS'!D64+CONSUMOS!C64+CONSUMOS!D64+DIVERSOS!C64+DIVERSOS!D64+TRANSPORTES!C64+TRANSPORTES!D64+CONSULTORIAS!C64+CONSULTORIAS!D64+MDO!C64+MDO!D64+'EQUIP E FER'!C64+'EQUIP E FER'!D64+'SERV. INICIAIS'!C64+'SERV. INICIAIS'!D64+CONTENÇÃO!C64+CONTENÇÃO!D64+TERRAPLENAGEM!C64+TERRAPLENAGEM!D64+'FUND. PROF'!C64+'FUND. PROF'!D64+'FUND. SUP'!C64+'FUND. SUP'!D64+ESTRUTURA!C64+ESTRUTURA!D64+ALVENARIA!C64+ALVENARIA!D64+IMPERMEABILIZAÇÃO!C64+IMPERMEABILIZAÇÃO!D64+'INST. ELÉTRICA'!C64+'INST. ELÉTRICA'!D64+'INST. HIDRO'!C64+'INST. HIDRO'!D64+'INST. INC'!C64+'INST. INC'!D64+'INST. ESP'!C64+'INST. ESP'!D64+'ELEVADORES '!C64+'ELEVADORES '!D64+ESQUADRIAS!C64+ESQUADRIAS!D64+SERRALHERIA!C64+SERRALHERIA!D64+MARCENARIA!C64+MARCENARIA!D64+'REV. PISOS'!C64+'REV. PISOS'!D64+'REV. PAREDE'!C64+'REV. PAREDE'!D64+'REV. ACAB'!C64+'REV. ACAB'!D64+PAVIMENTAÇÃO!C64+PAVIMENTAÇÃO!D64+'REV. FACHADA'!C64+'REV. FACHADA'!D64+FORRO!C64+FORRO!D64+LOUÇAS!C64+LOUÇAS!D64+PINTURA!C64+PINTURA!D64+PAISAGISMO!C64+PAISAGISMO!D64+LIMPEZA!C64+LIMPEZA!D64+'TAX. ADM'!C64+'TAX. ADM'!D64+BO59*'VALOR POR PL'!$P$7+IF(BO$1=DATE(2026,8,1),'VALOR POR PL'!$G$63,0)</f>
        <v>0</v>
      </c>
      <c r="BP65" s="50" t="n">
        <f aca="false">PROJETO!C65+PROJETO!D65+SEGUROS!C65+SEGUROS!D65+'TAX. DIVERSAS'!C65+'TAX. DIVERSAS'!D65+'BARRACÃO DE OBRA'!C65+'BARRACÃO DE OBRA'!D65+'LIG. PROVISÓRIAS'!C65+'LIG. PROVISÓRIAS'!D65+CONSUMOS!C65+CONSUMOS!D65+DIVERSOS!C65+DIVERSOS!D65+TRANSPORTES!C65+TRANSPORTES!D65+CONSULTORIAS!C65+CONSULTORIAS!D65+MDO!C65+MDO!D65+'EQUIP E FER'!C65+'EQUIP E FER'!D65+'SERV. INICIAIS'!C65+'SERV. INICIAIS'!D65+CONTENÇÃO!C65+CONTENÇÃO!D65+TERRAPLENAGEM!C65+TERRAPLENAGEM!D65+'FUND. PROF'!C65+'FUND. PROF'!D65+'FUND. SUP'!C65+'FUND. SUP'!D65+ESTRUTURA!C65+ESTRUTURA!D65+ALVENARIA!C65+ALVENARIA!D65+IMPERMEABILIZAÇÃO!C65+IMPERMEABILIZAÇÃO!D65+'INST. ELÉTRICA'!C65+'INST. ELÉTRICA'!D65+'INST. HIDRO'!C65+'INST. HIDRO'!D65+'INST. INC'!C65+'INST. INC'!D65+'INST. ESP'!C65+'INST. ESP'!D65+'ELEVADORES '!C65+'ELEVADORES '!D65+ESQUADRIAS!C65+ESQUADRIAS!D65+SERRALHERIA!C65+SERRALHERIA!D65+MARCENARIA!C65+MARCENARIA!D65+'REV. PISOS'!C65+'REV. PISOS'!D65+'REV. PAREDE'!C65+'REV. PAREDE'!D65+'REV. ACAB'!C65+'REV. ACAB'!D65+PAVIMENTAÇÃO!C65+PAVIMENTAÇÃO!D65+'REV. FACHADA'!C65+'REV. FACHADA'!D65+FORRO!C65+FORRO!D65+LOUÇAS!C65+LOUÇAS!D65+PINTURA!C65+PINTURA!D65+PAISAGISMO!C65+PAISAGISMO!D65+LIMPEZA!C65+LIMPEZA!D65+'TAX. ADM'!C65+'TAX. ADM'!D65+BP59*'VALOR POR PL'!$P$7+IF(BP$1=DATE(2026,8,1),'VALOR POR PL'!$G$63,0)</f>
        <v>0</v>
      </c>
      <c r="BQ65" s="50" t="n">
        <f aca="false">PROJETO!C66+PROJETO!D66+SEGUROS!C66+SEGUROS!D66+'TAX. DIVERSAS'!C66+'TAX. DIVERSAS'!D66+'BARRACÃO DE OBRA'!C66+'BARRACÃO DE OBRA'!D66+'LIG. PROVISÓRIAS'!C66+'LIG. PROVISÓRIAS'!D66+CONSUMOS!C66+CONSUMOS!D66+DIVERSOS!C66+DIVERSOS!D66+TRANSPORTES!C66+TRANSPORTES!D66+CONSULTORIAS!C66+CONSULTORIAS!D66+MDO!C66+MDO!D66+'EQUIP E FER'!C66+'EQUIP E FER'!D66+'SERV. INICIAIS'!C66+'SERV. INICIAIS'!D66+CONTENÇÃO!C66+CONTENÇÃO!D66+TERRAPLENAGEM!C66+TERRAPLENAGEM!D66+'FUND. PROF'!C66+'FUND. PROF'!D66+'FUND. SUP'!C66+'FUND. SUP'!D66+ESTRUTURA!C66+ESTRUTURA!D66+ALVENARIA!C66+ALVENARIA!D66+IMPERMEABILIZAÇÃO!C66+IMPERMEABILIZAÇÃO!D66+'INST. ELÉTRICA'!C66+'INST. ELÉTRICA'!D66+'INST. HIDRO'!C66+'INST. HIDRO'!D66+'INST. INC'!C66+'INST. INC'!D66+'INST. ESP'!C66+'INST. ESP'!D66+'ELEVADORES '!C66+'ELEVADORES '!D66+ESQUADRIAS!C66+ESQUADRIAS!D66+SERRALHERIA!C66+SERRALHERIA!D66+MARCENARIA!C66+MARCENARIA!D66+'REV. PISOS'!C66+'REV. PISOS'!D66+'REV. PAREDE'!C66+'REV. PAREDE'!D66+'REV. ACAB'!C66+'REV. ACAB'!D66+PAVIMENTAÇÃO!C66+PAVIMENTAÇÃO!D66+'REV. FACHADA'!C66+'REV. FACHADA'!D66+FORRO!C66+FORRO!D66+LOUÇAS!C66+LOUÇAS!D66+PINTURA!C66+PINTURA!D66+PAISAGISMO!C66+PAISAGISMO!D66+LIMPEZA!C66+LIMPEZA!D66+'TAX. ADM'!C66+'TAX. ADM'!D66+BQ59*'VALOR POR PL'!$P$7+IF(BQ$1=DATE(2026,8,1),'VALOR POR PL'!$G$63,0)</f>
        <v>0</v>
      </c>
      <c r="BR65" s="50" t="n">
        <f aca="false">PROJETO!C67+PROJETO!D67+SEGUROS!C67+SEGUROS!D67+'TAX. DIVERSAS'!C67+'TAX. DIVERSAS'!D67+'BARRACÃO DE OBRA'!C67+'BARRACÃO DE OBRA'!D67+'LIG. PROVISÓRIAS'!C67+'LIG. PROVISÓRIAS'!D67+CONSUMOS!C67+CONSUMOS!D67+DIVERSOS!C67+DIVERSOS!D67+TRANSPORTES!C67+TRANSPORTES!D67+CONSULTORIAS!C67+CONSULTORIAS!D67+MDO!C67+MDO!D67+'EQUIP E FER'!C67+'EQUIP E FER'!D67+'SERV. INICIAIS'!C67+'SERV. INICIAIS'!D67+CONTENÇÃO!C67+CONTENÇÃO!D67+TERRAPLENAGEM!C67+TERRAPLENAGEM!D67+'FUND. PROF'!C67+'FUND. PROF'!D67+'FUND. SUP'!C67+'FUND. SUP'!D67+ESTRUTURA!C67+ESTRUTURA!D67+ALVENARIA!C67+ALVENARIA!D67+IMPERMEABILIZAÇÃO!C67+IMPERMEABILIZAÇÃO!D67+'INST. ELÉTRICA'!C67+'INST. ELÉTRICA'!D67+'INST. HIDRO'!C67+'INST. HIDRO'!D67+'INST. INC'!C67+'INST. INC'!D67+'INST. ESP'!C67+'INST. ESP'!D67+'ELEVADORES '!C67+'ELEVADORES '!D67+ESQUADRIAS!C67+ESQUADRIAS!D67+SERRALHERIA!C67+SERRALHERIA!D67+MARCENARIA!C67+MARCENARIA!D67+'REV. PISOS'!C67+'REV. PISOS'!D67+'REV. PAREDE'!C67+'REV. PAREDE'!D67+'REV. ACAB'!C67+'REV. ACAB'!D67+PAVIMENTAÇÃO!C67+PAVIMENTAÇÃO!D67+'REV. FACHADA'!C67+'REV. FACHADA'!D67+FORRO!C67+FORRO!D67+LOUÇAS!C67+LOUÇAS!D67+PINTURA!C67+PINTURA!D67+PAISAGISMO!C67+PAISAGISMO!D67+LIMPEZA!C67+LIMPEZA!D67+'TAX. ADM'!C67+'TAX. ADM'!D67+BR59*'VALOR POR PL'!$P$7+IF(BR$1=DATE(2026,8,1),'VALOR POR PL'!$G$63,0)</f>
        <v>0</v>
      </c>
      <c r="BS65" s="50" t="n">
        <f aca="false">PROJETO!C68+PROJETO!D68+SEGUROS!C68+SEGUROS!D68+'TAX. DIVERSAS'!C68+'TAX. DIVERSAS'!D68+'BARRACÃO DE OBRA'!C68+'BARRACÃO DE OBRA'!D68+'LIG. PROVISÓRIAS'!C68+'LIG. PROVISÓRIAS'!D68+CONSUMOS!C68+CONSUMOS!D68+DIVERSOS!C68+DIVERSOS!D68+TRANSPORTES!C68+TRANSPORTES!D68+CONSULTORIAS!C68+CONSULTORIAS!D68+MDO!C68+MDO!D68+'EQUIP E FER'!C68+'EQUIP E FER'!D68+'SERV. INICIAIS'!C68+'SERV. INICIAIS'!D68+CONTENÇÃO!C68+CONTENÇÃO!D68+TERRAPLENAGEM!C68+TERRAPLENAGEM!D68+'FUND. PROF'!C68+'FUND. PROF'!D68+'FUND. SUP'!C68+'FUND. SUP'!D68+ESTRUTURA!C68+ESTRUTURA!D68+ALVENARIA!C68+ALVENARIA!D68+IMPERMEABILIZAÇÃO!C68+IMPERMEABILIZAÇÃO!D68+'INST. ELÉTRICA'!C68+'INST. ELÉTRICA'!D68+'INST. HIDRO'!C68+'INST. HIDRO'!D68+'INST. INC'!C68+'INST. INC'!D68+'INST. ESP'!C68+'INST. ESP'!D68+'ELEVADORES '!C68+'ELEVADORES '!D68+ESQUADRIAS!C68+ESQUADRIAS!D68+SERRALHERIA!C68+SERRALHERIA!D68+MARCENARIA!C68+MARCENARIA!D68+'REV. PISOS'!C68+'REV. PISOS'!D68+'REV. PAREDE'!C68+'REV. PAREDE'!D68+'REV. ACAB'!C68+'REV. ACAB'!D68+PAVIMENTAÇÃO!C68+PAVIMENTAÇÃO!D68+'REV. FACHADA'!C68+'REV. FACHADA'!D68+FORRO!C68+FORRO!D68+LOUÇAS!C68+LOUÇAS!D68+PINTURA!C68+PINTURA!D68+PAISAGISMO!C68+PAISAGISMO!D68+LIMPEZA!C68+LIMPEZA!D68+'TAX. ADM'!C68+'TAX. ADM'!D68+BS59*'VALOR POR PL'!$P$7+IF(BS$1=DATE(2026,8,1),'VALOR POR PL'!$G$63,0)</f>
        <v>0</v>
      </c>
      <c r="BT65" s="50" t="n">
        <f aca="false">PROJETO!C69+PROJETO!D69+SEGUROS!C69+SEGUROS!D69+'TAX. DIVERSAS'!C69+'TAX. DIVERSAS'!D69+'BARRACÃO DE OBRA'!C69+'BARRACÃO DE OBRA'!D69+'LIG. PROVISÓRIAS'!C69+'LIG. PROVISÓRIAS'!D69+CONSUMOS!C69+CONSUMOS!D69+DIVERSOS!C69+DIVERSOS!D69+TRANSPORTES!C69+TRANSPORTES!D69+CONSULTORIAS!C69+CONSULTORIAS!D69+MDO!C69+MDO!D69+'EQUIP E FER'!C69+'EQUIP E FER'!D69+'SERV. INICIAIS'!C69+'SERV. INICIAIS'!D69+CONTENÇÃO!C69+CONTENÇÃO!D69+TERRAPLENAGEM!C69+TERRAPLENAGEM!D69+'FUND. PROF'!C69+'FUND. PROF'!D69+'FUND. SUP'!C69+'FUND. SUP'!D69+ESTRUTURA!C69+ESTRUTURA!D69+ALVENARIA!C69+ALVENARIA!D69+IMPERMEABILIZAÇÃO!C69+IMPERMEABILIZAÇÃO!D69+'INST. ELÉTRICA'!C69+'INST. ELÉTRICA'!D69+'INST. HIDRO'!C69+'INST. HIDRO'!D69+'INST. INC'!C69+'INST. INC'!D69+'INST. ESP'!C69+'INST. ESP'!D69+'ELEVADORES '!C69+'ELEVADORES '!D69+ESQUADRIAS!C69+ESQUADRIAS!D69+SERRALHERIA!C69+SERRALHERIA!D69+MARCENARIA!C69+MARCENARIA!D69+'REV. PISOS'!C69+'REV. PISOS'!D69+'REV. PAREDE'!C69+'REV. PAREDE'!D69+'REV. ACAB'!C69+'REV. ACAB'!D69+PAVIMENTAÇÃO!C69+PAVIMENTAÇÃO!D69+'REV. FACHADA'!C69+'REV. FACHADA'!D69+FORRO!C69+FORRO!D69+LOUÇAS!C69+LOUÇAS!D69+PINTURA!C69+PINTURA!D69+PAISAGISMO!C69+PAISAGISMO!D69+LIMPEZA!C69+LIMPEZA!D69+'TAX. ADM'!C69+'TAX. ADM'!D69+BT59*'VALOR POR PL'!$P$7+IF(BT$1=DATE(2026,8,1),'VALOR POR PL'!$G$63,0)</f>
        <v>0</v>
      </c>
      <c r="BU65" s="50" t="n">
        <f aca="false">PROJETO!C70+PROJETO!D70+SEGUROS!C70+SEGUROS!D70+'TAX. DIVERSAS'!C70+'TAX. DIVERSAS'!D70+'BARRACÃO DE OBRA'!C70+'BARRACÃO DE OBRA'!D70+'LIG. PROVISÓRIAS'!C70+'LIG. PROVISÓRIAS'!D70+CONSUMOS!C70+CONSUMOS!D70+DIVERSOS!C70+DIVERSOS!D70+TRANSPORTES!C70+TRANSPORTES!D70+CONSULTORIAS!C70+CONSULTORIAS!D70+MDO!C70+MDO!D70+'EQUIP E FER'!C70+'EQUIP E FER'!D70+'SERV. INICIAIS'!C70+'SERV. INICIAIS'!D70+CONTENÇÃO!C70+CONTENÇÃO!D70+TERRAPLENAGEM!C70+TERRAPLENAGEM!D70+'FUND. PROF'!C70+'FUND. PROF'!D70+'FUND. SUP'!C70+'FUND. SUP'!D70+ESTRUTURA!C70+ESTRUTURA!D70+ALVENARIA!C70+ALVENARIA!D70+IMPERMEABILIZAÇÃO!C70+IMPERMEABILIZAÇÃO!D70+'INST. ELÉTRICA'!C70+'INST. ELÉTRICA'!D70+'INST. HIDRO'!C70+'INST. HIDRO'!D70+'INST. INC'!C70+'INST. INC'!D70+'INST. ESP'!C70+'INST. ESP'!D70+'ELEVADORES '!C70+'ELEVADORES '!D70+ESQUADRIAS!C70+ESQUADRIAS!D70+SERRALHERIA!C70+SERRALHERIA!D70+MARCENARIA!C70+MARCENARIA!D70+'REV. PISOS'!C70+'REV. PISOS'!D70+'REV. PAREDE'!C70+'REV. PAREDE'!D70+'REV. ACAB'!C70+'REV. ACAB'!D70+PAVIMENTAÇÃO!C70+PAVIMENTAÇÃO!D70+'REV. FACHADA'!C70+'REV. FACHADA'!D70+FORRO!C70+FORRO!D70+LOUÇAS!C70+LOUÇAS!D70+PINTURA!C70+PINTURA!D70+PAISAGISMO!C70+PAISAGISMO!D70+LIMPEZA!C70+LIMPEZA!D70+'TAX. ADM'!C70+'TAX. ADM'!D70+BU59*'VALOR POR PL'!$P$7+IF(BU$1=DATE(2026,8,1),'VALOR POR PL'!$G$63,0)</f>
        <v>0</v>
      </c>
      <c r="BV65" s="50" t="n">
        <f aca="false">PROJETO!C71+PROJETO!D71+SEGUROS!C71+SEGUROS!D71+'TAX. DIVERSAS'!C71+'TAX. DIVERSAS'!D71+'BARRACÃO DE OBRA'!C71+'BARRACÃO DE OBRA'!D71+'LIG. PROVISÓRIAS'!C71+'LIG. PROVISÓRIAS'!D71+CONSUMOS!C71+CONSUMOS!D71+DIVERSOS!C71+DIVERSOS!D71+TRANSPORTES!C71+TRANSPORTES!D71+CONSULTORIAS!C71+CONSULTORIAS!D71+MDO!C71+MDO!D71+'EQUIP E FER'!C71+'EQUIP E FER'!D71+'SERV. INICIAIS'!C71+'SERV. INICIAIS'!D71+CONTENÇÃO!C71+CONTENÇÃO!D71+TERRAPLENAGEM!C71+TERRAPLENAGEM!D71+'FUND. PROF'!C71+'FUND. PROF'!D71+'FUND. SUP'!C71+'FUND. SUP'!D71+ESTRUTURA!C71+ESTRUTURA!D71+ALVENARIA!C71+ALVENARIA!D71+IMPERMEABILIZAÇÃO!C71+IMPERMEABILIZAÇÃO!D71+'INST. ELÉTRICA'!C71+'INST. ELÉTRICA'!D71+'INST. HIDRO'!C71+'INST. HIDRO'!D71+'INST. INC'!C71+'INST. INC'!D71+'INST. ESP'!C71+'INST. ESP'!D71+'ELEVADORES '!C71+'ELEVADORES '!D71+ESQUADRIAS!C71+ESQUADRIAS!D71+SERRALHERIA!C71+SERRALHERIA!D71+MARCENARIA!C71+MARCENARIA!D71+'REV. PISOS'!C71+'REV. PISOS'!D71+'REV. PAREDE'!C71+'REV. PAREDE'!D71+'REV. ACAB'!C71+'REV. ACAB'!D71+PAVIMENTAÇÃO!C71+PAVIMENTAÇÃO!D71+'REV. FACHADA'!C71+'REV. FACHADA'!D71+FORRO!C71+FORRO!D71+LOUÇAS!C71+LOUÇAS!D71+PINTURA!C71+PINTURA!D71+PAISAGISMO!C71+PAISAGISMO!D71+LIMPEZA!C71+LIMPEZA!D71+'TAX. ADM'!C71+'TAX. ADM'!D71+BV59*'VALOR POR PL'!$P$7+IF(BV$1=DATE(2026,8,1),'VALOR POR PL'!$G$63,0)</f>
        <v>0</v>
      </c>
      <c r="BW65" s="50" t="n">
        <f aca="false">PROJETO!C72+PROJETO!D72+SEGUROS!C72+SEGUROS!D72+'TAX. DIVERSAS'!C72+'TAX. DIVERSAS'!D72+'BARRACÃO DE OBRA'!C72+'BARRACÃO DE OBRA'!D72+'LIG. PROVISÓRIAS'!C72+'LIG. PROVISÓRIAS'!D72+CONSUMOS!C72+CONSUMOS!D72+DIVERSOS!C72+DIVERSOS!D72+TRANSPORTES!C72+TRANSPORTES!D72+CONSULTORIAS!C72+CONSULTORIAS!D72+MDO!C72+MDO!D72+'EQUIP E FER'!C72+'EQUIP E FER'!D72+'SERV. INICIAIS'!C72+'SERV. INICIAIS'!D72+CONTENÇÃO!C72+CONTENÇÃO!D72+TERRAPLENAGEM!C72+TERRAPLENAGEM!D72+'FUND. PROF'!C72+'FUND. PROF'!D72+'FUND. SUP'!C72+'FUND. SUP'!D72+ESTRUTURA!C72+ESTRUTURA!D72+ALVENARIA!C72+ALVENARIA!D72+IMPERMEABILIZAÇÃO!C72+IMPERMEABILIZAÇÃO!D72+'INST. ELÉTRICA'!C72+'INST. ELÉTRICA'!D72+'INST. HIDRO'!C72+'INST. HIDRO'!D72+'INST. INC'!C72+'INST. INC'!D72+'INST. ESP'!C72+'INST. ESP'!D72+'ELEVADORES '!C72+'ELEVADORES '!D72+ESQUADRIAS!C72+ESQUADRIAS!D72+SERRALHERIA!C72+SERRALHERIA!D72+MARCENARIA!C72+MARCENARIA!D72+'REV. PISOS'!C72+'REV. PISOS'!D72+'REV. PAREDE'!C72+'REV. PAREDE'!D72+'REV. ACAB'!C72+'REV. ACAB'!D72+PAVIMENTAÇÃO!C72+PAVIMENTAÇÃO!D72+'REV. FACHADA'!C72+'REV. FACHADA'!D72+FORRO!C72+FORRO!D72+LOUÇAS!C72+LOUÇAS!D72+PINTURA!C72+PINTURA!D72+PAISAGISMO!C72+PAISAGISMO!D72+LIMPEZA!C72+LIMPEZA!D72+'TAX. ADM'!C72+'TAX. ADM'!D72+BW59*'VALOR POR PL'!$P$7+IF(BW$1=DATE(2026,8,1),'VALOR POR PL'!$G$63,0)</f>
        <v>0</v>
      </c>
      <c r="BX65" s="50" t="n">
        <f aca="false">PROJETO!C73+PROJETO!D73+SEGUROS!C73+SEGUROS!D73+'TAX. DIVERSAS'!C73+'TAX. DIVERSAS'!D73+'BARRACÃO DE OBRA'!C73+'BARRACÃO DE OBRA'!D73+'LIG. PROVISÓRIAS'!C73+'LIG. PROVISÓRIAS'!D73+CONSUMOS!C73+CONSUMOS!D73+DIVERSOS!C73+DIVERSOS!D73+TRANSPORTES!C73+TRANSPORTES!D73+CONSULTORIAS!C73+CONSULTORIAS!D73+MDO!C73+MDO!D73+'EQUIP E FER'!C73+'EQUIP E FER'!D73+'SERV. INICIAIS'!C73+'SERV. INICIAIS'!D73+CONTENÇÃO!C73+CONTENÇÃO!D73+TERRAPLENAGEM!C73+TERRAPLENAGEM!D73+'FUND. PROF'!C73+'FUND. PROF'!D73+'FUND. SUP'!C73+'FUND. SUP'!D73+ESTRUTURA!C73+ESTRUTURA!D73+ALVENARIA!C73+ALVENARIA!D73+IMPERMEABILIZAÇÃO!C73+IMPERMEABILIZAÇÃO!D73+'INST. ELÉTRICA'!C73+'INST. ELÉTRICA'!D73+'INST. HIDRO'!C73+'INST. HIDRO'!D73+'INST. INC'!C73+'INST. INC'!D73+'INST. ESP'!C73+'INST. ESP'!D73+'ELEVADORES '!C73+'ELEVADORES '!D73+ESQUADRIAS!C73+ESQUADRIAS!D73+SERRALHERIA!C73+SERRALHERIA!D73+MARCENARIA!C73+MARCENARIA!D73+'REV. PISOS'!C73+'REV. PISOS'!D73+'REV. PAREDE'!C73+'REV. PAREDE'!D73+'REV. ACAB'!C73+'REV. ACAB'!D73+PAVIMENTAÇÃO!C73+PAVIMENTAÇÃO!D73+'REV. FACHADA'!C73+'REV. FACHADA'!D73+FORRO!C73+FORRO!D73+LOUÇAS!C73+LOUÇAS!D73+PINTURA!C73+PINTURA!D73+PAISAGISMO!C73+PAISAGISMO!D73+LIMPEZA!C73+LIMPEZA!D73+'TAX. ADM'!C73+'TAX. ADM'!D73+BX59*'VALOR POR PL'!$P$7+IF(BX$1=DATE(2026,8,1),'VALOR POR PL'!$G$63,0)</f>
        <v>0</v>
      </c>
      <c r="BY65" s="50" t="n">
        <f aca="false">PROJETO!C74+PROJETO!D74+SEGUROS!C74+SEGUROS!D74+'TAX. DIVERSAS'!C74+'TAX. DIVERSAS'!D74+'BARRACÃO DE OBRA'!C74+'BARRACÃO DE OBRA'!D74+'LIG. PROVISÓRIAS'!C74+'LIG. PROVISÓRIAS'!D74+CONSUMOS!C74+CONSUMOS!D74+DIVERSOS!C74+DIVERSOS!D74+TRANSPORTES!C74+TRANSPORTES!D74+CONSULTORIAS!C74+CONSULTORIAS!D74+MDO!C74+MDO!D74+'EQUIP E FER'!C74+'EQUIP E FER'!D74+'SERV. INICIAIS'!C74+'SERV. INICIAIS'!D74+CONTENÇÃO!C74+CONTENÇÃO!D74+TERRAPLENAGEM!C74+TERRAPLENAGEM!D74+'FUND. PROF'!C74+'FUND. PROF'!D74+'FUND. SUP'!C74+'FUND. SUP'!D74+ESTRUTURA!C74+ESTRUTURA!D74+ALVENARIA!C74+ALVENARIA!D74+IMPERMEABILIZAÇÃO!C74+IMPERMEABILIZAÇÃO!D74+'INST. ELÉTRICA'!C74+'INST. ELÉTRICA'!D74+'INST. HIDRO'!C74+'INST. HIDRO'!D74+'INST. INC'!C74+'INST. INC'!D74+'INST. ESP'!C74+'INST. ESP'!D74+'ELEVADORES '!C74+'ELEVADORES '!D74+ESQUADRIAS!C74+ESQUADRIAS!D74+SERRALHERIA!C74+SERRALHERIA!D74+MARCENARIA!C74+MARCENARIA!D74+'REV. PISOS'!C74+'REV. PISOS'!D74+'REV. PAREDE'!C74+'REV. PAREDE'!D74+'REV. ACAB'!C74+'REV. ACAB'!D74+PAVIMENTAÇÃO!C74+PAVIMENTAÇÃO!D74+'REV. FACHADA'!C74+'REV. FACHADA'!D74+FORRO!C74+FORRO!D74+LOUÇAS!C74+LOUÇAS!D74+PINTURA!C74+PINTURA!D74+PAISAGISMO!C74+PAISAGISMO!D74+LIMPEZA!C74+LIMPEZA!D74+'TAX. ADM'!C74+'TAX. ADM'!D74+BY59*'VALOR POR PL'!$P$7+IF(BY$1=DATE(2026,8,1),'VALOR POR PL'!$G$63,0)</f>
        <v>0</v>
      </c>
      <c r="BZ65" s="50" t="n">
        <f aca="false">PROJETO!C75+PROJETO!D75+SEGUROS!C75+SEGUROS!D75+'TAX. DIVERSAS'!C75+'TAX. DIVERSAS'!D75+'BARRACÃO DE OBRA'!C75+'BARRACÃO DE OBRA'!D75+'LIG. PROVISÓRIAS'!C75+'LIG. PROVISÓRIAS'!D75+CONSUMOS!C75+CONSUMOS!D75+DIVERSOS!C75+DIVERSOS!D75+TRANSPORTES!C75+TRANSPORTES!D75+CONSULTORIAS!C75+CONSULTORIAS!D75+MDO!C75+MDO!D75+'EQUIP E FER'!C75+'EQUIP E FER'!D75+'SERV. INICIAIS'!C75+'SERV. INICIAIS'!D75+CONTENÇÃO!C75+CONTENÇÃO!D75+TERRAPLENAGEM!C75+TERRAPLENAGEM!D75+'FUND. PROF'!C75+'FUND. PROF'!D75+'FUND. SUP'!C75+'FUND. SUP'!D75+ESTRUTURA!C75+ESTRUTURA!D75+ALVENARIA!C75+ALVENARIA!D75+IMPERMEABILIZAÇÃO!C75+IMPERMEABILIZAÇÃO!D75+'INST. ELÉTRICA'!C75+'INST. ELÉTRICA'!D75+'INST. HIDRO'!C75+'INST. HIDRO'!D75+'INST. INC'!C75+'INST. INC'!D75+'INST. ESP'!C75+'INST. ESP'!D75+'ELEVADORES '!C75+'ELEVADORES '!D75+ESQUADRIAS!C75+ESQUADRIAS!D75+SERRALHERIA!C75+SERRALHERIA!D75+MARCENARIA!C75+MARCENARIA!D75+'REV. PISOS'!C75+'REV. PISOS'!D75+'REV. PAREDE'!C75+'REV. PAREDE'!D75+'REV. ACAB'!C75+'REV. ACAB'!D75+PAVIMENTAÇÃO!C75+PAVIMENTAÇÃO!D75+'REV. FACHADA'!C75+'REV. FACHADA'!D75+FORRO!C75+FORRO!D75+LOUÇAS!C75+LOUÇAS!D75+PINTURA!C75+PINTURA!D75+PAISAGISMO!C75+PAISAGISMO!D75+LIMPEZA!C75+LIMPEZA!D75+'TAX. ADM'!C75+'TAX. ADM'!D75+BZ59*'VALOR POR PL'!$P$7+IF(BZ$1=DATE(2026,8,1),'VALOR POR PL'!$G$63,0)</f>
        <v>0</v>
      </c>
      <c r="CA65" s="50" t="n">
        <f aca="false">PROJETO!C76+PROJETO!D76+SEGUROS!C76+SEGUROS!D76+'TAX. DIVERSAS'!C76+'TAX. DIVERSAS'!D76+'BARRACÃO DE OBRA'!C76+'BARRACÃO DE OBRA'!D76+'LIG. PROVISÓRIAS'!C76+'LIG. PROVISÓRIAS'!D76+CONSUMOS!C76+CONSUMOS!D76+DIVERSOS!C76+DIVERSOS!D76+TRANSPORTES!C76+TRANSPORTES!D76+CONSULTORIAS!C76+CONSULTORIAS!D76+MDO!C76+MDO!D76+'EQUIP E FER'!C76+'EQUIP E FER'!D76+'SERV. INICIAIS'!C76+'SERV. INICIAIS'!D76+CONTENÇÃO!C76+CONTENÇÃO!D76+TERRAPLENAGEM!C76+TERRAPLENAGEM!D76+'FUND. PROF'!C76+'FUND. PROF'!D76+'FUND. SUP'!C76+'FUND. SUP'!D76+ESTRUTURA!C76+ESTRUTURA!D76+ALVENARIA!C76+ALVENARIA!D76+IMPERMEABILIZAÇÃO!C76+IMPERMEABILIZAÇÃO!D76+'INST. ELÉTRICA'!C76+'INST. ELÉTRICA'!D76+'INST. HIDRO'!C76+'INST. HIDRO'!D76+'INST. INC'!C76+'INST. INC'!D76+'INST. ESP'!C76+'INST. ESP'!D76+'ELEVADORES '!C76+'ELEVADORES '!D76+ESQUADRIAS!C76+ESQUADRIAS!D76+SERRALHERIA!C76+SERRALHERIA!D76+MARCENARIA!C76+MARCENARIA!D76+'REV. PISOS'!C76+'REV. PISOS'!D76+'REV. PAREDE'!C76+'REV. PAREDE'!D76+'REV. ACAB'!C76+'REV. ACAB'!D76+PAVIMENTAÇÃO!C76+PAVIMENTAÇÃO!D76+'REV. FACHADA'!C76+'REV. FACHADA'!D76+FORRO!C76+FORRO!D76+LOUÇAS!C76+LOUÇAS!D76+PINTURA!C76+PINTURA!D76+PAISAGISMO!C76+PAISAGISMO!D76+LIMPEZA!C76+LIMPEZA!D76+'TAX. ADM'!C76+'TAX. ADM'!D76+CA59*'VALOR POR PL'!$P$7+IF(CA$1=DATE(2026,8,1),'VALOR POR PL'!$G$63,0)</f>
        <v>0</v>
      </c>
    </row>
    <row r="66" customFormat="false" ht="15" hidden="false" customHeight="false" outlineLevel="0" collapsed="false">
      <c r="C66" s="42" t="s">
        <v>379</v>
      </c>
      <c r="E66" s="116" t="n">
        <f aca="false">CA66</f>
        <v>160420979.399595</v>
      </c>
      <c r="H66" s="50" t="n">
        <f aca="false">H65</f>
        <v>1055724.07</v>
      </c>
      <c r="I66" s="50" t="n">
        <f aca="false">H66+I65</f>
        <v>1106011.92</v>
      </c>
      <c r="J66" s="50" t="n">
        <f aca="false">I66+J65</f>
        <v>1445703.69</v>
      </c>
      <c r="K66" s="50" t="n">
        <f aca="false">J66+K65</f>
        <v>1694711.96</v>
      </c>
      <c r="L66" s="50" t="n">
        <f aca="false">K66+L65</f>
        <v>1921656.6</v>
      </c>
      <c r="M66" s="50" t="n">
        <f aca="false">L66+M65</f>
        <v>2219856.44</v>
      </c>
      <c r="N66" s="50" t="n">
        <f aca="false">M66+N65</f>
        <v>2410003.61</v>
      </c>
      <c r="O66" s="50" t="n">
        <f aca="false">N66+O65</f>
        <v>2631997.33</v>
      </c>
      <c r="P66" s="50" t="n">
        <f aca="false">O66+P65</f>
        <v>3027596.48</v>
      </c>
      <c r="Q66" s="50" t="n">
        <f aca="false">P66+Q65</f>
        <v>3735809.94</v>
      </c>
      <c r="R66" s="50" t="n">
        <f aca="false">Q66+R65</f>
        <v>4988672.57</v>
      </c>
      <c r="S66" s="50" t="n">
        <f aca="false">R66+S65</f>
        <v>7167259.48</v>
      </c>
      <c r="T66" s="50" t="n">
        <f aca="false">S66+T65</f>
        <v>8735365.68</v>
      </c>
      <c r="U66" s="50" t="n">
        <f aca="false">T66+U65</f>
        <v>10708347.82</v>
      </c>
      <c r="V66" s="50" t="n">
        <f aca="false">U66+V65</f>
        <v>11813874.41</v>
      </c>
      <c r="W66" s="50" t="n">
        <f aca="false">V66+W65</f>
        <v>13450643.22</v>
      </c>
      <c r="X66" s="50" t="n">
        <f aca="false">W66+X65</f>
        <v>14895323.03</v>
      </c>
      <c r="Y66" s="50" t="n">
        <f aca="false">X66+Y65</f>
        <v>15852029.54</v>
      </c>
      <c r="Z66" s="50" t="n">
        <f aca="false">Y66+Z65</f>
        <v>17192720.83</v>
      </c>
      <c r="AA66" s="50" t="n">
        <f aca="false">Z66+AA65</f>
        <v>19524426.39</v>
      </c>
      <c r="AB66" s="50" t="n">
        <f aca="false">AA66+AB65</f>
        <v>21284340.810013</v>
      </c>
      <c r="AC66" s="50" t="n">
        <f aca="false">AB66+AC65</f>
        <v>25358539.2671057</v>
      </c>
      <c r="AD66" s="50" t="n">
        <f aca="false">AC66+AD65</f>
        <v>29344897.3284057</v>
      </c>
      <c r="AE66" s="50" t="n">
        <f aca="false">AD66+AE65</f>
        <v>32194117.1333694</v>
      </c>
      <c r="AF66" s="50" t="n">
        <f aca="false">AE66+AF65</f>
        <v>34302926.0950025</v>
      </c>
      <c r="AG66" s="50" t="n">
        <f aca="false">AF66+AG65</f>
        <v>37764402.0900547</v>
      </c>
      <c r="AH66" s="50" t="n">
        <f aca="false">AG66+AH65</f>
        <v>39976155.2559478</v>
      </c>
      <c r="AI66" s="50" t="n">
        <f aca="false">AH66+AI65</f>
        <v>42350893.7732119</v>
      </c>
      <c r="AJ66" s="50" t="n">
        <f aca="false">AI66+AJ65</f>
        <v>45162516.1806577</v>
      </c>
      <c r="AK66" s="50" t="n">
        <f aca="false">AJ66+AK65</f>
        <v>48050157.5218653</v>
      </c>
      <c r="AL66" s="50" t="n">
        <f aca="false">AK66+AL65</f>
        <v>51574691.0542422</v>
      </c>
      <c r="AM66" s="50" t="n">
        <f aca="false">AL66+AM65</f>
        <v>55779421.8583516</v>
      </c>
      <c r="AN66" s="50" t="n">
        <f aca="false">AM66+AN65</f>
        <v>60386100.1344419</v>
      </c>
      <c r="AO66" s="50" t="n">
        <f aca="false">AN66+AO65</f>
        <v>64700732.7798399</v>
      </c>
      <c r="AP66" s="50" t="n">
        <f aca="false">AO66+AP65</f>
        <v>69895433.2670982</v>
      </c>
      <c r="AQ66" s="50" t="n">
        <f aca="false">AP66+AQ65</f>
        <v>75855656.8673991</v>
      </c>
      <c r="AR66" s="50" t="n">
        <f aca="false">AQ66+AR65</f>
        <v>81907375.9292203</v>
      </c>
      <c r="AS66" s="50" t="n">
        <f aca="false">AR66+AS65</f>
        <v>88390005.6999835</v>
      </c>
      <c r="AT66" s="50" t="n">
        <f aca="false">AS66+AT65</f>
        <v>95435349.6971178</v>
      </c>
      <c r="AU66" s="50" t="n">
        <f aca="false">AT66+AU65</f>
        <v>103563798.858552</v>
      </c>
      <c r="AV66" s="50" t="n">
        <f aca="false">AU66+AV65</f>
        <v>111371361.7784</v>
      </c>
      <c r="AW66" s="50" t="n">
        <f aca="false">AV66+AW65</f>
        <v>116678145.070273</v>
      </c>
      <c r="AX66" s="50" t="n">
        <f aca="false">AW66+AX65</f>
        <v>122499424.332863</v>
      </c>
      <c r="AY66" s="50" t="n">
        <f aca="false">AX66+AY65</f>
        <v>128404738.184925</v>
      </c>
      <c r="AZ66" s="50" t="n">
        <f aca="false">AY66+AZ65</f>
        <v>133470373.804602</v>
      </c>
      <c r="BA66" s="50" t="n">
        <f aca="false">AZ66+BA65</f>
        <v>138639796.048097</v>
      </c>
      <c r="BB66" s="50" t="n">
        <f aca="false">BA66+BB65</f>
        <v>142292101.469551</v>
      </c>
      <c r="BC66" s="50" t="n">
        <f aca="false">BB66+BC65</f>
        <v>145522375.882658</v>
      </c>
      <c r="BD66" s="50" t="n">
        <f aca="false">BC66+BD65</f>
        <v>148609169.934341</v>
      </c>
      <c r="BE66" s="50" t="n">
        <f aca="false">BD66+BE65</f>
        <v>151240757.685878</v>
      </c>
      <c r="BF66" s="50" t="n">
        <f aca="false">BE66+BF65</f>
        <v>153374197.181287</v>
      </c>
      <c r="BG66" s="50" t="n">
        <f aca="false">BF66+BG65</f>
        <v>155456408.549881</v>
      </c>
      <c r="BH66" s="50" t="n">
        <f aca="false">BG66+BH65</f>
        <v>156529034.250388</v>
      </c>
      <c r="BI66" s="50" t="n">
        <f aca="false">BH66+BI65</f>
        <v>157037456.587275</v>
      </c>
      <c r="BJ66" s="50" t="n">
        <f aca="false">BI66+BJ65</f>
        <v>157718860.524095</v>
      </c>
      <c r="BK66" s="50" t="n">
        <f aca="false">BJ66+BK65</f>
        <v>157783664.989892</v>
      </c>
      <c r="BL66" s="50" t="n">
        <f aca="false">BK66+BL65</f>
        <v>157899468.059098</v>
      </c>
      <c r="BM66" s="50" t="n">
        <f aca="false">BL66+BM65</f>
        <v>157899468.059098</v>
      </c>
      <c r="BN66" s="50" t="n">
        <f aca="false">BM66+BN65</f>
        <v>160420979.399595</v>
      </c>
      <c r="BO66" s="50" t="n">
        <f aca="false">BN66+BO65</f>
        <v>160420979.399595</v>
      </c>
      <c r="BP66" s="50" t="n">
        <f aca="false">BO66+BP65</f>
        <v>160420979.399595</v>
      </c>
      <c r="BQ66" s="50" t="n">
        <f aca="false">BP66+BQ65</f>
        <v>160420979.399595</v>
      </c>
      <c r="BR66" s="50" t="n">
        <f aca="false">BQ66+BR65</f>
        <v>160420979.399595</v>
      </c>
      <c r="BS66" s="50" t="n">
        <f aca="false">BR66+BS65</f>
        <v>160420979.399595</v>
      </c>
      <c r="BT66" s="50" t="n">
        <f aca="false">BS66+BT65</f>
        <v>160420979.399595</v>
      </c>
      <c r="BU66" s="50" t="n">
        <f aca="false">BT66+BU65</f>
        <v>160420979.399595</v>
      </c>
      <c r="BV66" s="50" t="n">
        <f aca="false">BU66+BV65</f>
        <v>160420979.399595</v>
      </c>
      <c r="BW66" s="50" t="n">
        <f aca="false">BV66+BW65</f>
        <v>160420979.399595</v>
      </c>
      <c r="BX66" s="50" t="n">
        <f aca="false">BW66+BX65</f>
        <v>160420979.399595</v>
      </c>
      <c r="BY66" s="50" t="n">
        <f aca="false">BX66+BY65</f>
        <v>160420979.399595</v>
      </c>
      <c r="BZ66" s="50" t="n">
        <f aca="false">BY66+BZ65</f>
        <v>160420979.399595</v>
      </c>
      <c r="CA66" s="50" t="n">
        <f aca="false">BZ66+CA65</f>
        <v>160420979.399595</v>
      </c>
    </row>
    <row r="67" customFormat="false" ht="15" hidden="false" customHeight="false" outlineLevel="0" collapsed="false">
      <c r="C67" s="42" t="s">
        <v>380</v>
      </c>
      <c r="H67" s="117" t="n">
        <f aca="false">IF($E$66=0,0,H66/$E$66)</f>
        <v>0.0065809601334641</v>
      </c>
      <c r="I67" s="117" t="n">
        <f aca="false">IF($E$66=0,0,I66/$E$66)</f>
        <v>0.00689443440714209</v>
      </c>
      <c r="J67" s="117" t="n">
        <f aca="false">IF($E$66=0,0,J66/$E$66)</f>
        <v>0.00901193656472372</v>
      </c>
      <c r="K67" s="117" t="n">
        <f aca="false">IF($E$66=0,0,K66/$E$66)</f>
        <v>0.0105641541794769</v>
      </c>
      <c r="L67" s="117" t="n">
        <f aca="false">IF($E$66=0,0,L66/$E$66)</f>
        <v>0.0119788359801327</v>
      </c>
      <c r="M67" s="117" t="n">
        <f aca="false">IF($E$66=0,0,M66/$E$66)</f>
        <v>0.0138376940990401</v>
      </c>
      <c r="N67" s="117" t="n">
        <f aca="false">IF($E$66=0,0,N66/$E$66)</f>
        <v>0.0150229952405221</v>
      </c>
      <c r="O67" s="117" t="n">
        <f aca="false">IF($E$66=0,0,O66/$E$66)</f>
        <v>0.0164068149929687</v>
      </c>
      <c r="P67" s="117" t="n">
        <f aca="false">IF($E$66=0,0,P66/$E$66)</f>
        <v>0.0188728213188284</v>
      </c>
      <c r="Q67" s="117" t="n">
        <f aca="false">IF($E$66=0,0,Q66/$E$66)</f>
        <v>0.0232875397842723</v>
      </c>
      <c r="R67" s="117" t="n">
        <f aca="false">IF($E$66=0,0,R66/$E$66)</f>
        <v>0.0310973825784572</v>
      </c>
      <c r="S67" s="117" t="n">
        <f aca="false">IF($E$66=0,0,S66/$E$66)</f>
        <v>0.0446778189911618</v>
      </c>
      <c r="T67" s="117" t="n">
        <f aca="false">IF($E$66=0,0,T66/$E$66)</f>
        <v>0.0544527636765074</v>
      </c>
      <c r="U67" s="117" t="n">
        <f aca="false">IF($E$66=0,0,U66/$E$66)</f>
        <v>0.0667515424732973</v>
      </c>
      <c r="V67" s="117" t="n">
        <f aca="false">IF($E$66=0,0,V66/$E$66)</f>
        <v>0.0736429515280084</v>
      </c>
      <c r="W67" s="117" t="n">
        <f aca="false">IF($E$66=0,0,W66/$E$66)</f>
        <v>0.0838459113660914</v>
      </c>
      <c r="X67" s="117" t="n">
        <f aca="false">IF($E$66=0,0,X66/$E$66)</f>
        <v>0.0928514654738333</v>
      </c>
      <c r="Y67" s="117" t="n">
        <f aca="false">IF($E$66=0,0,Y66/$E$66)</f>
        <v>0.0988151898793359</v>
      </c>
      <c r="Z67" s="117" t="n">
        <f aca="false">IF($E$66=0,0,Z66/$E$66)</f>
        <v>0.10717252128959</v>
      </c>
      <c r="AA67" s="117" t="n">
        <f aca="false">IF($E$66=0,0,AA66/$E$66)</f>
        <v>0.121707437911636</v>
      </c>
      <c r="AB67" s="117" t="n">
        <f aca="false">IF($E$66=0,0,AB66/$E$66)</f>
        <v>0.132678038057576</v>
      </c>
      <c r="AC67" s="117" t="n">
        <f aca="false">IF($E$66=0,0,AC66/$E$66)</f>
        <v>0.158074956043871</v>
      </c>
      <c r="AD67" s="117" t="n">
        <f aca="false">IF($E$66=0,0,AD66/$E$66)</f>
        <v>0.182924312257875</v>
      </c>
      <c r="AE67" s="117" t="n">
        <f aca="false">IF($E$66=0,0,AE66/$E$66)</f>
        <v>0.200685204976692</v>
      </c>
      <c r="AF67" s="117" t="n">
        <f aca="false">IF($E$66=0,0,AF66/$E$66)</f>
        <v>0.213830673664925</v>
      </c>
      <c r="AG67" s="117" t="n">
        <f aca="false">IF($E$66=0,0,AG66/$E$66)</f>
        <v>0.235408125741377</v>
      </c>
      <c r="AH67" s="117" t="n">
        <f aca="false">IF($E$66=0,0,AH66/$E$66)</f>
        <v>0.249195307281915</v>
      </c>
      <c r="AI67" s="117" t="n">
        <f aca="false">IF($E$66=0,0,AI66/$E$66)</f>
        <v>0.263998474088102</v>
      </c>
      <c r="AJ67" s="117" t="n">
        <f aca="false">IF($E$66=0,0,AJ66/$E$66)</f>
        <v>0.281524999720652</v>
      </c>
      <c r="AK67" s="117" t="n">
        <f aca="false">IF($E$66=0,0,AK66/$E$66)</f>
        <v>0.299525396875782</v>
      </c>
      <c r="AL67" s="117" t="n">
        <f aca="false">IF($E$66=0,0,AL66/$E$66)</f>
        <v>0.321495924331531</v>
      </c>
      <c r="AM67" s="117" t="n">
        <f aca="false">IF($E$66=0,0,AM66/$E$66)</f>
        <v>0.347706528579469</v>
      </c>
      <c r="AN67" s="117" t="n">
        <f aca="false">IF($E$66=0,0,AN66/$E$66)</f>
        <v>0.376422712044572</v>
      </c>
      <c r="AO67" s="117" t="n">
        <f aca="false">IF($E$66=0,0,AO66/$E$66)</f>
        <v>0.403318400261577</v>
      </c>
      <c r="AP67" s="117" t="n">
        <f aca="false">IF($E$66=0,0,AP66/$E$66)</f>
        <v>0.435700078186125</v>
      </c>
      <c r="AQ67" s="117" t="n">
        <f aca="false">IF($E$66=0,0,AQ66/$E$66)</f>
        <v>0.472853719951735</v>
      </c>
      <c r="AR67" s="117" t="n">
        <f aca="false">IF($E$66=0,0,AR66/$E$66)</f>
        <v>0.510577707702407</v>
      </c>
      <c r="AS67" s="117" t="n">
        <f aca="false">IF($E$66=0,0,AS66/$E$66)</f>
        <v>0.550987819864954</v>
      </c>
      <c r="AT67" s="117" t="n">
        <f aca="false">IF($E$66=0,0,AT66/$E$66)</f>
        <v>0.594905666667179</v>
      </c>
      <c r="AU67" s="117" t="n">
        <f aca="false">IF($E$66=0,0,AU66/$E$66)</f>
        <v>0.645575156355225</v>
      </c>
      <c r="AV67" s="117" t="n">
        <f aca="false">IF($E$66=0,0,AV66/$E$66)</f>
        <v>0.694244370002153</v>
      </c>
      <c r="AW67" s="117" t="n">
        <f aca="false">IF($E$66=0,0,AW66/$E$66)</f>
        <v>0.727324727145802</v>
      </c>
      <c r="AX67" s="117" t="n">
        <f aca="false">IF($E$66=0,0,AX66/$E$66)</f>
        <v>0.76361224567597</v>
      </c>
      <c r="AY67" s="117" t="n">
        <f aca="false">IF($E$66=0,0,AY66/$E$66)</f>
        <v>0.800423602109295</v>
      </c>
      <c r="AZ67" s="117" t="n">
        <f aca="false">IF($E$66=0,0,AZ66/$E$66)</f>
        <v>0.832000741450025</v>
      </c>
      <c r="BA67" s="117" t="n">
        <f aca="false">IF($E$66=0,0,BA66/$E$66)</f>
        <v>0.864224844948475</v>
      </c>
      <c r="BB67" s="117" t="n">
        <f aca="false">IF($E$66=0,0,BB66/$E$66)</f>
        <v>0.886991851078989</v>
      </c>
      <c r="BC67" s="117" t="n">
        <f aca="false">IF($E$66=0,0,BC66/$E$66)</f>
        <v>0.907128085287241</v>
      </c>
      <c r="BD67" s="117" t="n">
        <f aca="false">IF($E$66=0,0,BD66/$E$66)</f>
        <v>0.926369920508763</v>
      </c>
      <c r="BE67" s="117" t="n">
        <f aca="false">IF($E$66=0,0,BE66/$E$66)</f>
        <v>0.94277418235398</v>
      </c>
      <c r="BF67" s="117" t="n">
        <f aca="false">IF($E$66=0,0,BF66/$E$66)</f>
        <v>0.956073187904212</v>
      </c>
      <c r="BG67" s="117" t="n">
        <f aca="false">IF($E$66=0,0,BG66/$E$66)</f>
        <v>0.969052857872488</v>
      </c>
      <c r="BH67" s="117" t="n">
        <f aca="false">IF($E$66=0,0,BH66/$E$66)</f>
        <v>0.975739175987001</v>
      </c>
      <c r="BI67" s="117" t="n">
        <f aca="false">IF($E$66=0,0,BI66/$E$66)</f>
        <v>0.978908476777891</v>
      </c>
      <c r="BJ67" s="117" t="n">
        <f aca="false">IF($E$66=0,0,BJ66/$E$66)</f>
        <v>0.983156075435939</v>
      </c>
      <c r="BK67" s="117" t="n">
        <f aca="false">IF($E$66=0,0,BK66/$E$66)</f>
        <v>0.983560040466193</v>
      </c>
      <c r="BL67" s="117" t="n">
        <f aca="false">IF($E$66=0,0,BL66/$E$66)</f>
        <v>0.984281910321614</v>
      </c>
      <c r="BM67" s="117" t="n">
        <f aca="false">IF($E$66=0,0,BM66/$E$66)</f>
        <v>0.984281910321614</v>
      </c>
      <c r="BN67" s="117" t="n">
        <f aca="false">IF($E$66=0,0,BN66/$E$66)</f>
        <v>1</v>
      </c>
      <c r="BO67" s="117" t="n">
        <f aca="false">IF($E$66=0,0,BO66/$E$66)</f>
        <v>1</v>
      </c>
      <c r="BP67" s="117" t="n">
        <f aca="false">IF($E$66=0,0,BP66/$E$66)</f>
        <v>1</v>
      </c>
      <c r="BQ67" s="117" t="n">
        <f aca="false">IF($E$66=0,0,BQ66/$E$66)</f>
        <v>1</v>
      </c>
      <c r="BR67" s="117" t="n">
        <f aca="false">IF($E$66=0,0,BR66/$E$66)</f>
        <v>1</v>
      </c>
      <c r="BS67" s="117" t="n">
        <f aca="false">IF($E$66=0,0,BS66/$E$66)</f>
        <v>1</v>
      </c>
      <c r="BT67" s="117" t="n">
        <f aca="false">IF($E$66=0,0,BT66/$E$66)</f>
        <v>1</v>
      </c>
      <c r="BU67" s="117" t="n">
        <f aca="false">IF($E$66=0,0,BU66/$E$66)</f>
        <v>1</v>
      </c>
      <c r="BV67" s="117" t="n">
        <f aca="false">IF($E$66=0,0,BV66/$E$66)</f>
        <v>1</v>
      </c>
      <c r="BW67" s="117" t="n">
        <f aca="false">IF($E$66=0,0,BW66/$E$66)</f>
        <v>1</v>
      </c>
      <c r="BX67" s="117" t="n">
        <f aca="false">IF($E$66=0,0,BX66/$E$66)</f>
        <v>1</v>
      </c>
      <c r="BY67" s="117" t="n">
        <f aca="false">IF($E$66=0,0,BY66/$E$66)</f>
        <v>1</v>
      </c>
      <c r="BZ67" s="117" t="n">
        <f aca="false">IF($E$66=0,0,BZ66/$E$66)</f>
        <v>1</v>
      </c>
      <c r="CA67" s="117" t="n">
        <f aca="false">IF($E$66=0,0,CA66/$E$66)</f>
        <v>1</v>
      </c>
    </row>
  </sheetData>
  <conditionalFormatting sqref="H2:CA63">
    <cfRule type="expression" priority="2" aboveAverage="0" equalAverage="0" bottom="0" percent="0" rank="0" text="" dxfId="8">
      <formula>H$1&lt;='VALOR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O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4"/>
    <col collapsed="false" customWidth="true" hidden="false" outlineLevel="0" max="5" min="3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"/>
    <col collapsed="false" customWidth="true" hidden="false" outlineLevel="0" max="9" min="9" style="0" width="12"/>
    <col collapsed="false" customWidth="true" hidden="false" outlineLevel="0" max="11" min="10" style="0" width="14"/>
    <col collapsed="false" customWidth="true" hidden="false" outlineLevel="0" max="13" min="12" style="0" width="16"/>
    <col collapsed="false" customWidth="true" hidden="false" outlineLevel="0" max="14" min="14" style="0" width="2"/>
    <col collapsed="false" customWidth="true" hidden="false" outlineLevel="0" max="15" min="15" style="0" width="60"/>
  </cols>
  <sheetData>
    <row r="1" customFormat="false" ht="16.15" hidden="false" customHeight="false" outlineLevel="0" collapsed="false">
      <c r="A1" s="118" t="str">
        <f aca="false">'VALOR POR PL'!$P$9</f>
        <v>BOTÂNICO</v>
      </c>
      <c r="C1" s="3" t="s">
        <v>381</v>
      </c>
    </row>
    <row r="3" customFormat="false" ht="45" hidden="false" customHeight="true" outlineLevel="0" collapsed="false">
      <c r="A3" s="54" t="s">
        <v>382</v>
      </c>
      <c r="B3" s="54" t="s">
        <v>383</v>
      </c>
      <c r="C3" s="54" t="s">
        <v>384</v>
      </c>
      <c r="D3" s="54" t="s">
        <v>385</v>
      </c>
      <c r="E3" s="54" t="s">
        <v>386</v>
      </c>
      <c r="F3" s="54" t="s">
        <v>387</v>
      </c>
      <c r="G3" s="54" t="s">
        <v>388</v>
      </c>
      <c r="I3" s="54" t="s">
        <v>389</v>
      </c>
      <c r="J3" s="54" t="s">
        <v>390</v>
      </c>
      <c r="K3" s="54" t="s">
        <v>391</v>
      </c>
      <c r="L3" s="54" t="s">
        <v>392</v>
      </c>
      <c r="M3" s="54" t="s">
        <v>393</v>
      </c>
      <c r="O3" s="62" t="s">
        <v>394</v>
      </c>
    </row>
    <row r="4" customFormat="false" ht="15" hidden="false" customHeight="false" outlineLevel="0" collapsed="false">
      <c r="A4" s="119" t="n">
        <f aca="false">'MODELO PARA BI'!H1</f>
        <v>45627</v>
      </c>
      <c r="B4" s="120"/>
      <c r="C4" s="117" t="n">
        <f aca="false">B4</f>
        <v>0</v>
      </c>
      <c r="D4" s="56" t="n">
        <f aca="false">IF(A4&lt;='VALOR POR PL'!$P$5,'MODELO PARA BI'!H63,0)</f>
        <v>937.784818819305</v>
      </c>
      <c r="E4" s="56" t="n">
        <f aca="false">IF(A4&gt;'VALOR POR PL'!$P$5,'MODELO PARA BI'!H63,0)</f>
        <v>0</v>
      </c>
      <c r="F4" s="117" t="n">
        <f aca="false">IF('MODELO PARA BI'!$E$63=0,0,(D4+E4)/'MODELO PARA BI'!$E$63)</f>
        <v>0.00753543902718546</v>
      </c>
      <c r="G4" s="117" t="n">
        <f aca="false">F4</f>
        <v>0.00753543902718546</v>
      </c>
      <c r="I4" s="45" t="n">
        <f aca="false">B4*'VALOR POR PL'!$G$50</f>
        <v>0</v>
      </c>
      <c r="J4" s="50" t="n">
        <f aca="false">I4*IF(A4&lt;='VALOR POR PL'!$P$5,IFERROR(INDEX('"INCC-FGV"'!$B$2:$B$800,MATCH(A4,'"INCC-FGV"'!$A$2:$A$800,0)),'VALOR POR PL'!$P$7),'VALOR POR PL'!$P$7)</f>
        <v>0</v>
      </c>
      <c r="K4" s="65" t="n">
        <f aca="false">'MODELO PARA BI'!H65</f>
        <v>1055724.07</v>
      </c>
      <c r="L4" s="65" t="n">
        <f aca="false">'MODELO PARA BI'!H66</f>
        <v>1055724.07</v>
      </c>
      <c r="M4" s="50" t="n">
        <f aca="false">J4</f>
        <v>0</v>
      </c>
      <c r="O4" s="4" t="s">
        <v>395</v>
      </c>
    </row>
    <row r="5" customFormat="false" ht="15" hidden="false" customHeight="false" outlineLevel="0" collapsed="false">
      <c r="A5" s="119" t="n">
        <f aca="false">'MODELO PARA BI'!I1</f>
        <v>45658</v>
      </c>
      <c r="B5" s="120"/>
      <c r="C5" s="117" t="n">
        <f aca="false">C4+B5</f>
        <v>0</v>
      </c>
      <c r="D5" s="56" t="n">
        <f aca="false">IF(A5&lt;='VALOR POR PL'!$P$5,'MODELO PARA BI'!I63,0)</f>
        <v>43.0135675159693</v>
      </c>
      <c r="E5" s="56" t="n">
        <f aca="false">IF(A5&gt;'VALOR POR PL'!$P$5,'MODELO PARA BI'!I63,0)</f>
        <v>0</v>
      </c>
      <c r="F5" s="117" t="n">
        <f aca="false">IF('MODELO PARA BI'!$E$63=0,0,(D5+E5)/'MODELO PARA BI'!$E$63)</f>
        <v>0.000345629518471407</v>
      </c>
      <c r="G5" s="117" t="n">
        <f aca="false">G4+F5</f>
        <v>0.00788106854565687</v>
      </c>
      <c r="I5" s="45" t="n">
        <f aca="false">B5*'VALOR POR PL'!$G$50</f>
        <v>0</v>
      </c>
      <c r="J5" s="50" t="n">
        <f aca="false">I5*IF(A5&lt;='VALOR POR PL'!$P$5,IFERROR(INDEX('"INCC-FGV"'!$B$2:$B$800,MATCH(A5,'"INCC-FGV"'!$A$2:$A$800,0)),'VALOR POR PL'!$P$7),'VALOR POR PL'!$P$7)</f>
        <v>0</v>
      </c>
      <c r="K5" s="65" t="n">
        <f aca="false">'MODELO PARA BI'!I65</f>
        <v>50287.85</v>
      </c>
      <c r="L5" s="65" t="n">
        <f aca="false">'MODELO PARA BI'!I66</f>
        <v>1106011.92</v>
      </c>
      <c r="M5" s="50" t="n">
        <f aca="false">M4+J5</f>
        <v>0</v>
      </c>
      <c r="O5" s="4" t="s">
        <v>396</v>
      </c>
    </row>
    <row r="6" customFormat="false" ht="15" hidden="false" customHeight="false" outlineLevel="0" collapsed="false">
      <c r="A6" s="119" t="n">
        <f aca="false">'MODELO PARA BI'!J1</f>
        <v>45689</v>
      </c>
      <c r="B6" s="120"/>
      <c r="C6" s="117" t="n">
        <f aca="false">C5+B6</f>
        <v>0</v>
      </c>
      <c r="D6" s="56" t="n">
        <f aca="false">IF(A6&lt;='VALOR POR PL'!$P$5,'MODELO PARA BI'!J63,0)</f>
        <v>289.401094758365</v>
      </c>
      <c r="E6" s="56" t="n">
        <f aca="false">IF(A6&gt;'VALOR POR PL'!$P$5,'MODELO PARA BI'!J63,0)</f>
        <v>0</v>
      </c>
      <c r="F6" s="117" t="n">
        <f aca="false">IF('MODELO PARA BI'!$E$63=0,0,(D6+E6)/'MODELO PARA BI'!$E$63)</f>
        <v>0.00232544210589591</v>
      </c>
      <c r="G6" s="117" t="n">
        <f aca="false">G5+F6</f>
        <v>0.0102065106515528</v>
      </c>
      <c r="I6" s="45" t="n">
        <f aca="false">B6*'VALOR POR PL'!$G$50</f>
        <v>0</v>
      </c>
      <c r="J6" s="50" t="n">
        <f aca="false">I6*IF(A6&lt;='VALOR POR PL'!$P$5,IFERROR(INDEX('"INCC-FGV"'!$B$2:$B$800,MATCH(A6,'"INCC-FGV"'!$A$2:$A$800,0)),'VALOR POR PL'!$P$7),'VALOR POR PL'!$P$7)</f>
        <v>0</v>
      </c>
      <c r="K6" s="65" t="n">
        <f aca="false">'MODELO PARA BI'!J65</f>
        <v>339691.77</v>
      </c>
      <c r="L6" s="65" t="n">
        <f aca="false">'MODELO PARA BI'!J66</f>
        <v>1445703.69</v>
      </c>
      <c r="M6" s="50" t="n">
        <f aca="false">M5+J6</f>
        <v>0</v>
      </c>
      <c r="O6" s="4" t="s">
        <v>397</v>
      </c>
    </row>
    <row r="7" customFormat="false" ht="15" hidden="false" customHeight="false" outlineLevel="0" collapsed="false">
      <c r="A7" s="119" t="n">
        <f aca="false">'MODELO PARA BI'!K1</f>
        <v>45717</v>
      </c>
      <c r="B7" s="120"/>
      <c r="C7" s="117" t="n">
        <f aca="false">C6+B7</f>
        <v>0</v>
      </c>
      <c r="D7" s="56" t="n">
        <f aca="false">IF(A7&lt;='VALOR POR PL'!$P$5,'MODELO PARA BI'!K63,0)</f>
        <v>211.312990819647</v>
      </c>
      <c r="E7" s="56" t="n">
        <f aca="false">IF(A7&gt;'VALOR POR PL'!$P$5,'MODELO PARA BI'!K63,0)</f>
        <v>0</v>
      </c>
      <c r="F7" s="117" t="n">
        <f aca="false">IF('MODELO PARA BI'!$E$63=0,0,(D7+E7)/'MODELO PARA BI'!$E$63)</f>
        <v>0.00169797604527064</v>
      </c>
      <c r="G7" s="117" t="n">
        <f aca="false">G6+F7</f>
        <v>0.0119044866968234</v>
      </c>
      <c r="I7" s="45" t="n">
        <f aca="false">B7*'VALOR POR PL'!$G$50</f>
        <v>0</v>
      </c>
      <c r="J7" s="50" t="n">
        <f aca="false">I7*IF(A7&lt;='VALOR POR PL'!$P$5,IFERROR(INDEX('"INCC-FGV"'!$B$2:$B$800,MATCH(A7,'"INCC-FGV"'!$A$2:$A$800,0)),'VALOR POR PL'!$P$7),'VALOR POR PL'!$P$7)</f>
        <v>0</v>
      </c>
      <c r="K7" s="65" t="n">
        <f aca="false">'MODELO PARA BI'!K65</f>
        <v>249008.27</v>
      </c>
      <c r="L7" s="65" t="n">
        <f aca="false">'MODELO PARA BI'!K66</f>
        <v>1694711.96</v>
      </c>
      <c r="M7" s="50" t="n">
        <f aca="false">M6+J7</f>
        <v>0</v>
      </c>
      <c r="O7" s="4" t="s">
        <v>398</v>
      </c>
    </row>
    <row r="8" customFormat="false" ht="15" hidden="false" customHeight="false" outlineLevel="0" collapsed="false">
      <c r="A8" s="119" t="n">
        <f aca="false">'MODELO PARA BI'!L1</f>
        <v>45748</v>
      </c>
      <c r="B8" s="120"/>
      <c r="C8" s="117" t="n">
        <f aca="false">C7+B8</f>
        <v>0</v>
      </c>
      <c r="D8" s="56" t="n">
        <f aca="false">IF(A8&lt;='VALOR POR PL'!$P$5,'MODELO PARA BI'!L63,0)</f>
        <v>191.601452811487</v>
      </c>
      <c r="E8" s="56" t="n">
        <f aca="false">IF(A8&gt;'VALOR POR PL'!$P$5,'MODELO PARA BI'!L63,0)</f>
        <v>0</v>
      </c>
      <c r="F8" s="117" t="n">
        <f aca="false">IF('MODELO PARA BI'!$E$63=0,0,(D8+E8)/'MODELO PARA BI'!$E$63)</f>
        <v>0.0015395867326994</v>
      </c>
      <c r="G8" s="117" t="n">
        <f aca="false">G7+F8</f>
        <v>0.0134440734295228</v>
      </c>
      <c r="I8" s="45" t="n">
        <f aca="false">B8*'VALOR POR PL'!$G$50</f>
        <v>0</v>
      </c>
      <c r="J8" s="50" t="n">
        <f aca="false">I8*IF(A8&lt;='VALOR POR PL'!$P$5,IFERROR(INDEX('"INCC-FGV"'!$B$2:$B$800,MATCH(A8,'"INCC-FGV"'!$A$2:$A$800,0)),'VALOR POR PL'!$P$7),'VALOR POR PL'!$P$7)</f>
        <v>0</v>
      </c>
      <c r="K8" s="65" t="n">
        <f aca="false">'MODELO PARA BI'!L65</f>
        <v>226944.64</v>
      </c>
      <c r="L8" s="65" t="n">
        <f aca="false">'MODELO PARA BI'!L66</f>
        <v>1921656.6</v>
      </c>
      <c r="M8" s="50" t="n">
        <f aca="false">M7+J8</f>
        <v>0</v>
      </c>
    </row>
    <row r="9" customFormat="false" ht="15" hidden="false" customHeight="false" outlineLevel="0" collapsed="false">
      <c r="A9" s="119" t="n">
        <f aca="false">'MODELO PARA BI'!M1</f>
        <v>45778</v>
      </c>
      <c r="B9" s="120"/>
      <c r="C9" s="117" t="n">
        <f aca="false">C8+B9</f>
        <v>0</v>
      </c>
      <c r="D9" s="56" t="n">
        <f aca="false">IF(A9&lt;='VALOR POR PL'!$P$5,'MODELO PARA BI'!M63,0)</f>
        <v>250.308974781903</v>
      </c>
      <c r="E9" s="56" t="n">
        <f aca="false">IF(A9&gt;'VALOR POR PL'!$P$5,'MODELO PARA BI'!M63,0)</f>
        <v>0</v>
      </c>
      <c r="F9" s="117" t="n">
        <f aca="false">IF('MODELO PARA BI'!$E$63=0,0,(D9+E9)/'MODELO PARA BI'!$E$63)</f>
        <v>0.00201132283182094</v>
      </c>
      <c r="G9" s="117" t="n">
        <f aca="false">G8+F9</f>
        <v>0.0154553962613438</v>
      </c>
      <c r="I9" s="45" t="n">
        <f aca="false">B9*'VALOR POR PL'!$G$50</f>
        <v>0</v>
      </c>
      <c r="J9" s="50" t="n">
        <f aca="false">I9*IF(A9&lt;='VALOR POR PL'!$P$5,IFERROR(INDEX('"INCC-FGV"'!$B$2:$B$800,MATCH(A9,'"INCC-FGV"'!$A$2:$A$800,0)),'VALOR POR PL'!$P$7),'VALOR POR PL'!$P$7)</f>
        <v>0</v>
      </c>
      <c r="K9" s="65" t="n">
        <f aca="false">'MODELO PARA BI'!M65</f>
        <v>298199.84</v>
      </c>
      <c r="L9" s="65" t="n">
        <f aca="false">'MODELO PARA BI'!M66</f>
        <v>2219856.44</v>
      </c>
      <c r="M9" s="50" t="n">
        <f aca="false">M8+J9</f>
        <v>0</v>
      </c>
    </row>
    <row r="10" customFormat="false" ht="15" hidden="false" customHeight="false" outlineLevel="0" collapsed="false">
      <c r="A10" s="119" t="n">
        <f aca="false">'MODELO PARA BI'!N1</f>
        <v>45809</v>
      </c>
      <c r="B10" s="120"/>
      <c r="C10" s="117" t="n">
        <f aca="false">C9+B10</f>
        <v>0</v>
      </c>
      <c r="D10" s="56" t="n">
        <f aca="false">IF(A10&lt;='VALOR POR PL'!$P$5,'MODELO PARA BI'!N63,0)</f>
        <v>158.520836442244</v>
      </c>
      <c r="E10" s="56" t="n">
        <f aca="false">IF(A10&gt;'VALOR POR PL'!$P$5,'MODELO PARA BI'!N63,0)</f>
        <v>0</v>
      </c>
      <c r="F10" s="117" t="n">
        <f aca="false">IF('MODELO PARA BI'!$E$63=0,0,(D10+E10)/'MODELO PARA BI'!$E$63)</f>
        <v>0.00127377205684872</v>
      </c>
      <c r="G10" s="117" t="n">
        <f aca="false">G9+F10</f>
        <v>0.0167291683181925</v>
      </c>
      <c r="I10" s="45" t="n">
        <f aca="false">B10*'VALOR POR PL'!$G$50</f>
        <v>0</v>
      </c>
      <c r="J10" s="50" t="n">
        <f aca="false">I10*IF(A10&lt;='VALOR POR PL'!$P$5,IFERROR(INDEX('"INCC-FGV"'!$B$2:$B$800,MATCH(A10,'"INCC-FGV"'!$A$2:$A$800,0)),'VALOR POR PL'!$P$7),'VALOR POR PL'!$P$7)</f>
        <v>0</v>
      </c>
      <c r="K10" s="65" t="n">
        <f aca="false">'MODELO PARA BI'!N65</f>
        <v>190147.17</v>
      </c>
      <c r="L10" s="65" t="n">
        <f aca="false">'MODELO PARA BI'!N66</f>
        <v>2410003.61</v>
      </c>
      <c r="M10" s="50" t="n">
        <f aca="false">M9+J10</f>
        <v>0</v>
      </c>
    </row>
    <row r="11" customFormat="false" ht="15" hidden="false" customHeight="false" outlineLevel="0" collapsed="false">
      <c r="A11" s="119" t="n">
        <f aca="false">'MODELO PARA BI'!O1</f>
        <v>45839</v>
      </c>
      <c r="B11" s="120"/>
      <c r="C11" s="117" t="n">
        <f aca="false">C10+B11</f>
        <v>0</v>
      </c>
      <c r="D11" s="56" t="n">
        <f aca="false">IF(A11&lt;='VALOR POR PL'!$P$5,'MODELO PARA BI'!O63,0)</f>
        <v>183.394496852878</v>
      </c>
      <c r="E11" s="56" t="n">
        <f aca="false">IF(A11&gt;'VALOR POR PL'!$P$5,'MODELO PARA BI'!O63,0)</f>
        <v>0</v>
      </c>
      <c r="F11" s="117" t="n">
        <f aca="false">IF('MODELO PARA BI'!$E$63=0,0,(D11+E11)/'MODELO PARA BI'!$E$63)</f>
        <v>0.00147364088351967</v>
      </c>
      <c r="G11" s="117" t="n">
        <f aca="false">G10+F11</f>
        <v>0.0182028092017122</v>
      </c>
      <c r="I11" s="45" t="n">
        <f aca="false">B11*'VALOR POR PL'!$G$50</f>
        <v>0</v>
      </c>
      <c r="J11" s="50" t="n">
        <f aca="false">I11*IF(A11&lt;='VALOR POR PL'!$P$5,IFERROR(INDEX('"INCC-FGV"'!$B$2:$B$800,MATCH(A11,'"INCC-FGV"'!$A$2:$A$800,0)),'VALOR POR PL'!$P$7),'VALOR POR PL'!$P$7)</f>
        <v>0</v>
      </c>
      <c r="K11" s="65" t="n">
        <f aca="false">'MODELO PARA BI'!O65</f>
        <v>221993.72</v>
      </c>
      <c r="L11" s="65" t="n">
        <f aca="false">'MODELO PARA BI'!O66</f>
        <v>2631997.33</v>
      </c>
      <c r="M11" s="50" t="n">
        <f aca="false">M10+J11</f>
        <v>0</v>
      </c>
    </row>
    <row r="12" customFormat="false" ht="15" hidden="false" customHeight="false" outlineLevel="0" collapsed="false">
      <c r="A12" s="119" t="n">
        <f aca="false">'MODELO PARA BI'!P1</f>
        <v>45870</v>
      </c>
      <c r="B12" s="120"/>
      <c r="C12" s="117" t="n">
        <f aca="false">C11+B12</f>
        <v>0</v>
      </c>
      <c r="D12" s="56" t="n">
        <f aca="false">IF(A12&lt;='VALOR POR PL'!$P$5,'MODELO PARA BI'!P63,0)</f>
        <v>325.139474943002</v>
      </c>
      <c r="E12" s="56" t="n">
        <f aca="false">IF(A12&gt;'VALOR POR PL'!$P$5,'MODELO PARA BI'!P63,0)</f>
        <v>0</v>
      </c>
      <c r="F12" s="117" t="n">
        <f aca="false">IF('MODELO PARA BI'!$E$63=0,0,(D12+E12)/'MODELO PARA BI'!$E$63)</f>
        <v>0.0026126128719473</v>
      </c>
      <c r="G12" s="117" t="n">
        <f aca="false">G11+F12</f>
        <v>0.0208154220736595</v>
      </c>
      <c r="I12" s="45" t="n">
        <f aca="false">B12*'VALOR POR PL'!$G$50</f>
        <v>0</v>
      </c>
      <c r="J12" s="50" t="n">
        <f aca="false">I12*IF(A12&lt;='VALOR POR PL'!$P$5,IFERROR(INDEX('"INCC-FGV"'!$B$2:$B$800,MATCH(A12,'"INCC-FGV"'!$A$2:$A$800,0)),'VALOR POR PL'!$P$7),'VALOR POR PL'!$P$7)</f>
        <v>0</v>
      </c>
      <c r="K12" s="65" t="n">
        <f aca="false">'MODELO PARA BI'!P65</f>
        <v>395599.15</v>
      </c>
      <c r="L12" s="65" t="n">
        <f aca="false">'MODELO PARA BI'!P66</f>
        <v>3027596.48</v>
      </c>
      <c r="M12" s="50" t="n">
        <f aca="false">M11+J12</f>
        <v>0</v>
      </c>
    </row>
    <row r="13" customFormat="false" ht="15" hidden="false" customHeight="false" outlineLevel="0" collapsed="false">
      <c r="A13" s="119" t="n">
        <f aca="false">'MODELO PARA BI'!Q1</f>
        <v>45901</v>
      </c>
      <c r="B13" s="120"/>
      <c r="C13" s="117" t="n">
        <f aca="false">C12+B13</f>
        <v>0</v>
      </c>
      <c r="D13" s="56" t="n">
        <f aca="false">IF(A13&lt;='VALOR POR PL'!$P$5,'MODELO PARA BI'!Q63,0)</f>
        <v>581.099653988892</v>
      </c>
      <c r="E13" s="56" t="n">
        <f aca="false">IF(A13&gt;'VALOR POR PL'!$P$5,'MODELO PARA BI'!Q63,0)</f>
        <v>0</v>
      </c>
      <c r="F13" s="117" t="n">
        <f aca="false">IF('MODELO PARA BI'!$E$63=0,0,(D13+E13)/'MODELO PARA BI'!$E$63)</f>
        <v>0.00466934516690613</v>
      </c>
      <c r="G13" s="117" t="n">
        <f aca="false">G12+F13</f>
        <v>0.0254847672405656</v>
      </c>
      <c r="I13" s="45" t="n">
        <f aca="false">B13*'VALOR POR PL'!$G$50</f>
        <v>0</v>
      </c>
      <c r="J13" s="50" t="n">
        <f aca="false">I13*IF(A13&lt;='VALOR POR PL'!$P$5,IFERROR(INDEX('"INCC-FGV"'!$B$2:$B$800,MATCH(A13,'"INCC-FGV"'!$A$2:$A$800,0)),'VALOR POR PL'!$P$7),'VALOR POR PL'!$P$7)</f>
        <v>0</v>
      </c>
      <c r="K13" s="65" t="n">
        <f aca="false">'MODELO PARA BI'!Q65</f>
        <v>708213.46</v>
      </c>
      <c r="L13" s="65" t="n">
        <f aca="false">'MODELO PARA BI'!Q66</f>
        <v>3735809.94</v>
      </c>
      <c r="M13" s="50" t="n">
        <f aca="false">M12+J13</f>
        <v>0</v>
      </c>
    </row>
    <row r="14" customFormat="false" ht="15" hidden="false" customHeight="false" outlineLevel="0" collapsed="false">
      <c r="A14" s="119" t="n">
        <f aca="false">'MODELO PARA BI'!R1</f>
        <v>45931</v>
      </c>
      <c r="B14" s="120"/>
      <c r="C14" s="117" t="n">
        <f aca="false">C13+B14</f>
        <v>0</v>
      </c>
      <c r="D14" s="56" t="n">
        <f aca="false">IF(A14&lt;='VALOR POR PL'!$P$5,'MODELO PARA BI'!R63,0)</f>
        <v>1024.95723831682</v>
      </c>
      <c r="E14" s="56" t="n">
        <f aca="false">IF(A14&gt;'VALOR POR PL'!$P$5,'MODELO PARA BI'!R63,0)</f>
        <v>0</v>
      </c>
      <c r="F14" s="117" t="n">
        <f aca="false">IF('MODELO PARA BI'!$E$63=0,0,(D14+E14)/'MODELO PARA BI'!$E$63)</f>
        <v>0.00823590083760677</v>
      </c>
      <c r="G14" s="117" t="n">
        <f aca="false">G13+F14</f>
        <v>0.0337206680781724</v>
      </c>
      <c r="I14" s="45" t="n">
        <f aca="false">B14*'VALOR POR PL'!$G$50</f>
        <v>0</v>
      </c>
      <c r="J14" s="50" t="n">
        <f aca="false">I14*IF(A14&lt;='VALOR POR PL'!$P$5,IFERROR(INDEX('"INCC-FGV"'!$B$2:$B$800,MATCH(A14,'"INCC-FGV"'!$A$2:$A$800,0)),'VALOR POR PL'!$P$7),'VALOR POR PL'!$P$7)</f>
        <v>0</v>
      </c>
      <c r="K14" s="65" t="n">
        <f aca="false">'MODELO PARA BI'!R65</f>
        <v>1252862.63</v>
      </c>
      <c r="L14" s="65" t="n">
        <f aca="false">'MODELO PARA BI'!R66</f>
        <v>4988672.57</v>
      </c>
      <c r="M14" s="50" t="n">
        <f aca="false">M13+J14</f>
        <v>0</v>
      </c>
    </row>
    <row r="15" customFormat="false" ht="15" hidden="false" customHeight="false" outlineLevel="0" collapsed="false">
      <c r="A15" s="119" t="n">
        <f aca="false">'MODELO PARA BI'!S1</f>
        <v>45962</v>
      </c>
      <c r="B15" s="120"/>
      <c r="C15" s="117" t="n">
        <f aca="false">C14+B15</f>
        <v>0</v>
      </c>
      <c r="D15" s="56" t="n">
        <f aca="false">IF(A15&lt;='VALOR POR PL'!$P$5,'MODELO PARA BI'!S63,0)</f>
        <v>1777.51978773417</v>
      </c>
      <c r="E15" s="56" t="n">
        <f aca="false">IF(A15&gt;'VALOR POR PL'!$P$5,'MODELO PARA BI'!S63,0)</f>
        <v>0</v>
      </c>
      <c r="F15" s="117" t="n">
        <f aca="false">IF('MODELO PARA BI'!$E$63=0,0,(D15+E15)/'MODELO PARA BI'!$E$63)</f>
        <v>0.0142830121700524</v>
      </c>
      <c r="G15" s="117" t="n">
        <f aca="false">G14+F15</f>
        <v>0.0480036802482248</v>
      </c>
      <c r="I15" s="45" t="n">
        <f aca="false">B15*'VALOR POR PL'!$G$50</f>
        <v>0</v>
      </c>
      <c r="J15" s="50" t="n">
        <f aca="false">I15*IF(A15&lt;='VALOR POR PL'!$P$5,IFERROR(INDEX('"INCC-FGV"'!$B$2:$B$800,MATCH(A15,'"INCC-FGV"'!$A$2:$A$800,0)),'VALOR POR PL'!$P$7),'VALOR POR PL'!$P$7)</f>
        <v>0</v>
      </c>
      <c r="K15" s="65" t="n">
        <f aca="false">'MODELO PARA BI'!S65</f>
        <v>2178586.91</v>
      </c>
      <c r="L15" s="65" t="n">
        <f aca="false">'MODELO PARA BI'!S66</f>
        <v>7167259.48</v>
      </c>
      <c r="M15" s="50" t="n">
        <f aca="false">M14+J15</f>
        <v>0</v>
      </c>
    </row>
    <row r="16" customFormat="false" ht="15" hidden="false" customHeight="false" outlineLevel="0" collapsed="false">
      <c r="A16" s="119" t="n">
        <f aca="false">'MODELO PARA BI'!T1</f>
        <v>45992</v>
      </c>
      <c r="B16" s="120"/>
      <c r="C16" s="117" t="n">
        <f aca="false">C15+B16</f>
        <v>0</v>
      </c>
      <c r="D16" s="56" t="n">
        <f aca="false">IF(A16&lt;='VALOR POR PL'!$P$5,'MODELO PARA BI'!T63,0)</f>
        <v>1276.79204925087</v>
      </c>
      <c r="E16" s="56" t="n">
        <f aca="false">IF(A16&gt;'VALOR POR PL'!$P$5,'MODELO PARA BI'!T63,0)</f>
        <v>0</v>
      </c>
      <c r="F16" s="117" t="n">
        <f aca="false">IF('MODELO PARA BI'!$E$63=0,0,(D16+E16)/'MODELO PARA BI'!$E$63)</f>
        <v>0.0102594843128709</v>
      </c>
      <c r="G16" s="117" t="n">
        <f aca="false">G15+F16</f>
        <v>0.0582631645610957</v>
      </c>
      <c r="I16" s="45" t="n">
        <f aca="false">B16*'VALOR POR PL'!$G$50</f>
        <v>0</v>
      </c>
      <c r="J16" s="50" t="n">
        <f aca="false">I16*IF(A16&lt;='VALOR POR PL'!$P$5,IFERROR(INDEX('"INCC-FGV"'!$B$2:$B$800,MATCH(A16,'"INCC-FGV"'!$A$2:$A$800,0)),'VALOR POR PL'!$P$7),'VALOR POR PL'!$P$7)</f>
        <v>0</v>
      </c>
      <c r="K16" s="65" t="n">
        <f aca="false">'MODELO PARA BI'!T65</f>
        <v>1568106.2</v>
      </c>
      <c r="L16" s="65" t="n">
        <f aca="false">'MODELO PARA BI'!T66</f>
        <v>8735365.68</v>
      </c>
      <c r="M16" s="50" t="n">
        <f aca="false">M15+J16</f>
        <v>0</v>
      </c>
    </row>
    <row r="17" customFormat="false" ht="15" hidden="false" customHeight="false" outlineLevel="0" collapsed="false">
      <c r="A17" s="119" t="n">
        <f aca="false">'MODELO PARA BI'!U1</f>
        <v>46023</v>
      </c>
      <c r="B17" s="120"/>
      <c r="C17" s="117" t="n">
        <f aca="false">C16+B17</f>
        <v>0</v>
      </c>
      <c r="D17" s="56" t="n">
        <f aca="false">IF(A17&lt;='VALOR POR PL'!$P$5,'MODELO PARA BI'!U63,0)</f>
        <v>1594.9270191005</v>
      </c>
      <c r="E17" s="56" t="n">
        <f aca="false">IF(A17&gt;'VALOR POR PL'!$P$5,'MODELO PARA BI'!U63,0)</f>
        <v>0</v>
      </c>
      <c r="F17" s="117" t="n">
        <f aca="false">IF('MODELO PARA BI'!$E$63=0,0,(D17+E17)/'MODELO PARA BI'!$E$63)</f>
        <v>0.0128158134617428</v>
      </c>
      <c r="G17" s="117" t="n">
        <f aca="false">G16+F17</f>
        <v>0.0710789780228384</v>
      </c>
      <c r="I17" s="45" t="n">
        <f aca="false">B17*'VALOR POR PL'!$G$50</f>
        <v>0</v>
      </c>
      <c r="J17" s="50" t="n">
        <f aca="false">I17*IF(A17&lt;='VALOR POR PL'!$P$5,IFERROR(INDEX('"INCC-FGV"'!$B$2:$B$800,MATCH(A17,'"INCC-FGV"'!$A$2:$A$800,0)),'VALOR POR PL'!$P$7),'VALOR POR PL'!$P$7)</f>
        <v>0</v>
      </c>
      <c r="K17" s="65" t="n">
        <f aca="false">'MODELO PARA BI'!U65</f>
        <v>1972982.14</v>
      </c>
      <c r="L17" s="65" t="n">
        <f aca="false">'MODELO PARA BI'!U66</f>
        <v>10708347.82</v>
      </c>
      <c r="M17" s="50" t="n">
        <f aca="false">M16+J17</f>
        <v>0</v>
      </c>
    </row>
    <row r="18" customFormat="false" ht="15" hidden="false" customHeight="false" outlineLevel="0" collapsed="false">
      <c r="A18" s="119" t="n">
        <f aca="false">'MODELO PARA BI'!V1</f>
        <v>46054</v>
      </c>
      <c r="B18" s="120"/>
      <c r="C18" s="117" t="n">
        <f aca="false">C17+B18</f>
        <v>0</v>
      </c>
      <c r="D18" s="56" t="n">
        <f aca="false">IF(A18&lt;='VALOR POR PL'!$P$5,'MODELO PARA BI'!V63,0)</f>
        <v>891.207999155167</v>
      </c>
      <c r="E18" s="56" t="n">
        <f aca="false">IF(A18&gt;'VALOR POR PL'!$P$5,'MODELO PARA BI'!V63,0)</f>
        <v>0</v>
      </c>
      <c r="F18" s="117" t="n">
        <f aca="false">IF('MODELO PARA BI'!$E$63=0,0,(D18+E18)/'MODELO PARA BI'!$E$63)</f>
        <v>0.00716117749339222</v>
      </c>
      <c r="G18" s="117" t="n">
        <f aca="false">G17+F18</f>
        <v>0.0782401555162306</v>
      </c>
      <c r="I18" s="45" t="n">
        <f aca="false">B18*'VALOR POR PL'!$G$50</f>
        <v>0</v>
      </c>
      <c r="J18" s="50" t="n">
        <f aca="false">I18*IF(A18&lt;='VALOR POR PL'!$P$5,IFERROR(INDEX('"INCC-FGV"'!$B$2:$B$800,MATCH(A18,'"INCC-FGV"'!$A$2:$A$800,0)),'VALOR POR PL'!$P$7),'VALOR POR PL'!$P$7)</f>
        <v>0</v>
      </c>
      <c r="K18" s="65" t="n">
        <f aca="false">'MODELO PARA BI'!V65</f>
        <v>1105526.59</v>
      </c>
      <c r="L18" s="65" t="n">
        <f aca="false">'MODELO PARA BI'!V66</f>
        <v>11813874.41</v>
      </c>
      <c r="M18" s="50" t="n">
        <f aca="false">M17+J18</f>
        <v>0</v>
      </c>
    </row>
    <row r="19" customFormat="false" ht="15" hidden="false" customHeight="false" outlineLevel="0" collapsed="false">
      <c r="A19" s="119" t="n">
        <f aca="false">'MODELO PARA BI'!W1</f>
        <v>46082</v>
      </c>
      <c r="B19" s="120"/>
      <c r="C19" s="117" t="n">
        <f aca="false">C18+B19</f>
        <v>0</v>
      </c>
      <c r="D19" s="56" t="n">
        <f aca="false">IF(A19&lt;='VALOR POR PL'!$P$5,'MODELO PARA BI'!W63,0)</f>
        <v>1312.3747154583</v>
      </c>
      <c r="E19" s="56" t="n">
        <f aca="false">IF(A19&gt;'VALOR POR PL'!$P$5,'MODELO PARA BI'!W63,0)</f>
        <v>0</v>
      </c>
      <c r="F19" s="117" t="n">
        <f aca="false">IF('MODELO PARA BI'!$E$63=0,0,(D19+E19)/'MODELO PARA BI'!$E$63)</f>
        <v>0.0105454038609911</v>
      </c>
      <c r="G19" s="117" t="n">
        <f aca="false">G18+F19</f>
        <v>0.0887855593772217</v>
      </c>
      <c r="I19" s="45" t="n">
        <f aca="false">B19*'VALOR POR PL'!$G$50</f>
        <v>0</v>
      </c>
      <c r="J19" s="50" t="n">
        <f aca="false">I19*IF(A19&lt;='VALOR POR PL'!$P$5,IFERROR(INDEX('"INCC-FGV"'!$B$2:$B$800,MATCH(A19,'"INCC-FGV"'!$A$2:$A$800,0)),'VALOR POR PL'!$P$7),'VALOR POR PL'!$P$7)</f>
        <v>0</v>
      </c>
      <c r="K19" s="65" t="n">
        <f aca="false">'MODELO PARA BI'!W65</f>
        <v>1636768.81</v>
      </c>
      <c r="L19" s="65" t="n">
        <f aca="false">'MODELO PARA BI'!W66</f>
        <v>13450643.22</v>
      </c>
      <c r="M19" s="50" t="n">
        <f aca="false">M18+J19</f>
        <v>0</v>
      </c>
    </row>
    <row r="20" customFormat="false" ht="15" hidden="false" customHeight="false" outlineLevel="0" collapsed="false">
      <c r="A20" s="119" t="n">
        <f aca="false">'MODELO PARA BI'!X1</f>
        <v>46113</v>
      </c>
      <c r="B20" s="120"/>
      <c r="C20" s="117" t="n">
        <f aca="false">C19+B20</f>
        <v>0</v>
      </c>
      <c r="D20" s="56" t="n">
        <f aca="false">IF(A20&lt;='VALOR POR PL'!$P$5,'MODELO PARA BI'!X63,0)</f>
        <v>1146.88803733095</v>
      </c>
      <c r="E20" s="56" t="n">
        <f aca="false">IF(A20&gt;'VALOR POR PL'!$P$5,'MODELO PARA BI'!X63,0)</f>
        <v>0</v>
      </c>
      <c r="F20" s="117" t="n">
        <f aca="false">IF('MODELO PARA BI'!$E$63=0,0,(D20+E20)/'MODELO PARA BI'!$E$63)</f>
        <v>0.00921565875548788</v>
      </c>
      <c r="G20" s="117" t="n">
        <f aca="false">G19+F20</f>
        <v>0.0980012181327096</v>
      </c>
      <c r="I20" s="45" t="n">
        <f aca="false">B20*'VALOR POR PL'!$G$50</f>
        <v>0</v>
      </c>
      <c r="J20" s="50" t="n">
        <f aca="false">I20*IF(A20&lt;='VALOR POR PL'!$P$5,IFERROR(INDEX('"INCC-FGV"'!$B$2:$B$800,MATCH(A20,'"INCC-FGV"'!$A$2:$A$800,0)),'VALOR POR PL'!$P$7),'VALOR POR PL'!$P$7)</f>
        <v>0</v>
      </c>
      <c r="K20" s="65" t="n">
        <f aca="false">'MODELO PARA BI'!X65</f>
        <v>1444679.81</v>
      </c>
      <c r="L20" s="65" t="n">
        <f aca="false">'MODELO PARA BI'!X66</f>
        <v>14895323.03</v>
      </c>
      <c r="M20" s="50" t="n">
        <f aca="false">M19+J20</f>
        <v>0</v>
      </c>
    </row>
    <row r="21" customFormat="false" ht="15" hidden="false" customHeight="false" outlineLevel="0" collapsed="false">
      <c r="A21" s="119" t="n">
        <f aca="false">'MODELO PARA BI'!Y1</f>
        <v>46143</v>
      </c>
      <c r="B21" s="120"/>
      <c r="C21" s="117" t="n">
        <f aca="false">C20+B21</f>
        <v>0</v>
      </c>
      <c r="D21" s="56" t="n">
        <f aca="false">IF(A21&lt;='VALOR POR PL'!$P$5,'MODELO PARA BI'!Y63,0)</f>
        <v>752.900192414387</v>
      </c>
      <c r="E21" s="56" t="n">
        <f aca="false">IF(A21&gt;'VALOR POR PL'!$P$5,'MODELO PARA BI'!Y63,0)</f>
        <v>0</v>
      </c>
      <c r="F21" s="117" t="n">
        <f aca="false">IF('MODELO PARA BI'!$E$63=0,0,(D21+E21)/'MODELO PARA BI'!$E$63)</f>
        <v>0.00604982441562428</v>
      </c>
      <c r="G21" s="117" t="n">
        <f aca="false">G20+F21</f>
        <v>0.104051042548334</v>
      </c>
      <c r="I21" s="45" t="n">
        <f aca="false">B21*'VALOR POR PL'!$G$50</f>
        <v>0</v>
      </c>
      <c r="J21" s="50" t="n">
        <f aca="false">I21*IF(A21&lt;='VALOR POR PL'!$P$5,IFERROR(INDEX('"INCC-FGV"'!$B$2:$B$800,MATCH(A21,'"INCC-FGV"'!$A$2:$A$800,0)),'VALOR POR PL'!$P$7),'VALOR POR PL'!$P$7)</f>
        <v>0</v>
      </c>
      <c r="K21" s="65" t="n">
        <f aca="false">'MODELO PARA BI'!Y65</f>
        <v>956706.51</v>
      </c>
      <c r="L21" s="65" t="n">
        <f aca="false">'MODELO PARA BI'!Y66</f>
        <v>15852029.54</v>
      </c>
      <c r="M21" s="50" t="n">
        <f aca="false">M20+J21</f>
        <v>0</v>
      </c>
    </row>
    <row r="22" customFormat="false" ht="15" hidden="false" customHeight="false" outlineLevel="0" collapsed="false">
      <c r="A22" s="119" t="n">
        <f aca="false">'MODELO PARA BI'!Z1</f>
        <v>46174</v>
      </c>
      <c r="B22" s="120"/>
      <c r="C22" s="117" t="n">
        <f aca="false">C21+B22</f>
        <v>0</v>
      </c>
      <c r="D22" s="56" t="n">
        <f aca="false">IF(A22&lt;='VALOR POR PL'!$P$5,'MODELO PARA BI'!Z63,0)</f>
        <v>1046.89080702554</v>
      </c>
      <c r="E22" s="56" t="n">
        <f aca="false">IF(A22&gt;'VALOR POR PL'!$P$5,'MODELO PARA BI'!Z63,0)</f>
        <v>0</v>
      </c>
      <c r="F22" s="117" t="n">
        <f aca="false">IF('MODELO PARA BI'!$E$63=0,0,(D22+E22)/'MODELO PARA BI'!$E$63)</f>
        <v>0.00841214496774873</v>
      </c>
      <c r="G22" s="117" t="n">
        <f aca="false">G21+F22</f>
        <v>0.112463187516083</v>
      </c>
      <c r="I22" s="45" t="n">
        <f aca="false">B22*'VALOR POR PL'!$G$50</f>
        <v>0</v>
      </c>
      <c r="J22" s="50" t="n">
        <f aca="false">I22*IF(A22&lt;='VALOR POR PL'!$P$5,IFERROR(INDEX('"INCC-FGV"'!$B$2:$B$800,MATCH(A22,'"INCC-FGV"'!$A$2:$A$800,0)),'VALOR POR PL'!$P$7),'VALOR POR PL'!$P$7)</f>
        <v>0</v>
      </c>
      <c r="K22" s="65" t="n">
        <f aca="false">'MODELO PARA BI'!Z65</f>
        <v>1340691.29</v>
      </c>
      <c r="L22" s="65" t="n">
        <f aca="false">'MODELO PARA BI'!Z66</f>
        <v>17192720.83</v>
      </c>
      <c r="M22" s="50" t="n">
        <f aca="false">M21+J22</f>
        <v>0</v>
      </c>
    </row>
    <row r="23" customFormat="false" ht="15" hidden="false" customHeight="false" outlineLevel="0" collapsed="false">
      <c r="A23" s="119" t="n">
        <f aca="false">'MODELO PARA BI'!AA1</f>
        <v>46204</v>
      </c>
      <c r="B23" s="120"/>
      <c r="C23" s="117" t="n">
        <f aca="false">C22+B23</f>
        <v>0</v>
      </c>
      <c r="D23" s="56" t="n">
        <f aca="false">IF(A23&lt;='VALOR POR PL'!$P$5,'MODELO PARA BI'!AA63,0)</f>
        <v>1809.7248203435</v>
      </c>
      <c r="E23" s="56" t="n">
        <f aca="false">IF(A23&gt;'VALOR POR PL'!$P$5,'MODELO PARA BI'!AA63,0)</f>
        <v>0</v>
      </c>
      <c r="F23" s="117" t="n">
        <f aca="false">IF('MODELO PARA BI'!$E$63=0,0,(D23+E23)/'MODELO PARA BI'!$E$63)</f>
        <v>0.0145417912148035</v>
      </c>
      <c r="G23" s="117" t="n">
        <f aca="false">G22+F23</f>
        <v>0.127004978730886</v>
      </c>
      <c r="I23" s="45" t="n">
        <f aca="false">B23*'VALOR POR PL'!$G$50</f>
        <v>0</v>
      </c>
      <c r="J23" s="50" t="n">
        <f aca="false">I23*IF(A23&lt;='VALOR POR PL'!$P$5,IFERROR(INDEX('"INCC-FGV"'!$B$2:$B$800,MATCH(A23,'"INCC-FGV"'!$A$2:$A$800,0)),'VALOR POR PL'!$P$7),'VALOR POR PL'!$P$7)</f>
        <v>0</v>
      </c>
      <c r="K23" s="65" t="n">
        <f aca="false">'MODELO PARA BI'!AA65</f>
        <v>2331705.56</v>
      </c>
      <c r="L23" s="65" t="n">
        <f aca="false">'MODELO PARA BI'!AA66</f>
        <v>19524426.39</v>
      </c>
      <c r="M23" s="50" t="n">
        <f aca="false">M22+J23</f>
        <v>0</v>
      </c>
    </row>
    <row r="24" customFormat="false" ht="15" hidden="false" customHeight="false" outlineLevel="0" collapsed="false">
      <c r="A24" s="119" t="n">
        <f aca="false">'MODELO PARA BI'!AB1</f>
        <v>46235</v>
      </c>
      <c r="B24" s="120"/>
      <c r="C24" s="117" t="n">
        <f aca="false">C23+B24</f>
        <v>0</v>
      </c>
      <c r="D24" s="56" t="n">
        <f aca="false">IF(A24&lt;='VALOR POR PL'!$P$5,'MODELO PARA BI'!AB63,0)</f>
        <v>1359.2399721361</v>
      </c>
      <c r="E24" s="56" t="n">
        <f aca="false">IF(A24&gt;'VALOR POR PL'!$P$5,'MODELO PARA BI'!AB63,0)</f>
        <v>0</v>
      </c>
      <c r="F24" s="117" t="n">
        <f aca="false">IF('MODELO PARA BI'!$E$63=0,0,(D24+E24)/'MODELO PARA BI'!$E$63)</f>
        <v>0.0109219830901511</v>
      </c>
      <c r="G24" s="117" t="n">
        <f aca="false">G23+F24</f>
        <v>0.137926961821037</v>
      </c>
      <c r="I24" s="45" t="n">
        <f aca="false">B24*'VALOR POR PL'!$G$50</f>
        <v>0</v>
      </c>
      <c r="J24" s="50" t="n">
        <f aca="false">I24*IF(A24&lt;='VALOR POR PL'!$P$5,IFERROR(INDEX('"INCC-FGV"'!$B$2:$B$800,MATCH(A24,'"INCC-FGV"'!$A$2:$A$800,0)),'VALOR POR PL'!$P$7),'VALOR POR PL'!$P$7)</f>
        <v>0</v>
      </c>
      <c r="K24" s="65" t="n">
        <f aca="false">'MODELO PARA BI'!AB65</f>
        <v>1759914.42001301</v>
      </c>
      <c r="L24" s="65" t="n">
        <f aca="false">'MODELO PARA BI'!AB66</f>
        <v>21284340.810013</v>
      </c>
      <c r="M24" s="50" t="n">
        <f aca="false">M23+J24</f>
        <v>0</v>
      </c>
    </row>
    <row r="25" customFormat="false" ht="15" hidden="false" customHeight="false" outlineLevel="0" collapsed="false">
      <c r="A25" s="119" t="n">
        <f aca="false">'MODELO PARA BI'!AC1</f>
        <v>46266</v>
      </c>
      <c r="B25" s="120"/>
      <c r="C25" s="117" t="n">
        <f aca="false">C24+B25</f>
        <v>0</v>
      </c>
      <c r="D25" s="56" t="n">
        <f aca="false">IF(A25&lt;='VALOR POR PL'!$P$5,'MODELO PARA BI'!AC63,0)</f>
        <v>0</v>
      </c>
      <c r="E25" s="56" t="n">
        <f aca="false">IF(A25&gt;'VALOR POR PL'!$P$5,'MODELO PARA BI'!AC63,0)</f>
        <v>3141.5167042767</v>
      </c>
      <c r="F25" s="117" t="n">
        <f aca="false">IF('MODELO PARA BI'!$E$63=0,0,(D25+E25)/'MODELO PARA BI'!$E$63)</f>
        <v>0.0252432190230657</v>
      </c>
      <c r="G25" s="117" t="n">
        <f aca="false">G24+F25</f>
        <v>0.163170180844103</v>
      </c>
      <c r="I25" s="45" t="n">
        <f aca="false">B25*'VALOR POR PL'!$G$50</f>
        <v>0</v>
      </c>
      <c r="J25" s="50" t="n">
        <f aca="false">I25*IF(A25&lt;='VALOR POR PL'!$P$5,IFERROR(INDEX('"INCC-FGV"'!$B$2:$B$800,MATCH(A25,'"INCC-FGV"'!$A$2:$A$800,0)),'VALOR POR PL'!$P$7),'VALOR POR PL'!$P$7)</f>
        <v>0</v>
      </c>
      <c r="K25" s="65" t="n">
        <f aca="false">'MODELO PARA BI'!AC65</f>
        <v>4074198.4570927</v>
      </c>
      <c r="L25" s="65" t="n">
        <f aca="false">'MODELO PARA BI'!AC66</f>
        <v>25358539.2671057</v>
      </c>
      <c r="M25" s="50" t="n">
        <f aca="false">M24+J25</f>
        <v>0</v>
      </c>
    </row>
    <row r="26" customFormat="false" ht="15" hidden="false" customHeight="false" outlineLevel="0" collapsed="false">
      <c r="A26" s="119" t="n">
        <f aca="false">'MODELO PARA BI'!AD1</f>
        <v>46296</v>
      </c>
      <c r="B26" s="120"/>
      <c r="C26" s="117" t="n">
        <f aca="false">C25+B26</f>
        <v>0</v>
      </c>
      <c r="D26" s="56" t="n">
        <f aca="false">IF(A26&lt;='VALOR POR PL'!$P$5,'MODELO PARA BI'!AD63,0)</f>
        <v>0</v>
      </c>
      <c r="E26" s="56" t="n">
        <f aca="false">IF(A26&gt;'VALOR POR PL'!$P$5,'MODELO PARA BI'!AD63,0)</f>
        <v>3073.78508206943</v>
      </c>
      <c r="F26" s="117" t="n">
        <f aca="false">IF('MODELO PARA BI'!$E$63=0,0,(D26+E26)/'MODELO PARA BI'!$E$63)</f>
        <v>0.0246989710259635</v>
      </c>
      <c r="G26" s="117" t="n">
        <f aca="false">G25+F26</f>
        <v>0.187869151870066</v>
      </c>
      <c r="I26" s="45" t="n">
        <f aca="false">B26*'VALOR POR PL'!$G$50</f>
        <v>0</v>
      </c>
      <c r="J26" s="50" t="n">
        <f aca="false">I26*IF(A26&lt;='VALOR POR PL'!$P$5,IFERROR(INDEX('"INCC-FGV"'!$B$2:$B$800,MATCH(A26,'"INCC-FGV"'!$A$2:$A$800,0)),'VALOR POR PL'!$P$7),'VALOR POR PL'!$P$7)</f>
        <v>0</v>
      </c>
      <c r="K26" s="65" t="n">
        <f aca="false">'MODELO PARA BI'!AD65</f>
        <v>3986358.06129994</v>
      </c>
      <c r="L26" s="65" t="n">
        <f aca="false">'MODELO PARA BI'!AD66</f>
        <v>29344897.3284057</v>
      </c>
      <c r="M26" s="50" t="n">
        <f aca="false">M25+J26</f>
        <v>0</v>
      </c>
    </row>
    <row r="27" customFormat="false" ht="15" hidden="false" customHeight="false" outlineLevel="0" collapsed="false">
      <c r="A27" s="119" t="n">
        <f aca="false">'MODELO PARA BI'!AE1</f>
        <v>46327</v>
      </c>
      <c r="B27" s="120"/>
      <c r="C27" s="117" t="n">
        <f aca="false">C26+B27</f>
        <v>0</v>
      </c>
      <c r="D27" s="56" t="n">
        <f aca="false">IF(A27&lt;='VALOR POR PL'!$P$5,'MODELO PARA BI'!AE63,0)</f>
        <v>0</v>
      </c>
      <c r="E27" s="56" t="n">
        <f aca="false">IF(A27&gt;'VALOR POR PL'!$P$5,'MODELO PARA BI'!AE63,0)</f>
        <v>2196.9650486385</v>
      </c>
      <c r="F27" s="117" t="n">
        <f aca="false">IF('MODELO PARA BI'!$E$63=0,0,(D27+E27)/'MODELO PARA BI'!$E$63)</f>
        <v>0.0176534060230536</v>
      </c>
      <c r="G27" s="117" t="n">
        <f aca="false">G26+F27</f>
        <v>0.20552255789312</v>
      </c>
      <c r="I27" s="45" t="n">
        <f aca="false">B27*'VALOR POR PL'!$G$50</f>
        <v>0</v>
      </c>
      <c r="J27" s="50" t="n">
        <f aca="false">I27*IF(A27&lt;='VALOR POR PL'!$P$5,IFERROR(INDEX('"INCC-FGV"'!$B$2:$B$800,MATCH(A27,'"INCC-FGV"'!$A$2:$A$800,0)),'VALOR POR PL'!$P$7),'VALOR POR PL'!$P$7)</f>
        <v>0</v>
      </c>
      <c r="K27" s="65" t="n">
        <f aca="false">'MODELO PARA BI'!AE65</f>
        <v>2849219.80496373</v>
      </c>
      <c r="L27" s="65" t="n">
        <f aca="false">'MODELO PARA BI'!AE66</f>
        <v>32194117.1333694</v>
      </c>
      <c r="M27" s="50" t="n">
        <f aca="false">M26+J27</f>
        <v>0</v>
      </c>
    </row>
    <row r="28" customFormat="false" ht="15" hidden="false" customHeight="false" outlineLevel="0" collapsed="false">
      <c r="A28" s="119" t="n">
        <f aca="false">'MODELO PARA BI'!AF1</f>
        <v>46357</v>
      </c>
      <c r="B28" s="120"/>
      <c r="C28" s="117" t="n">
        <f aca="false">C27+B28</f>
        <v>0</v>
      </c>
      <c r="D28" s="56" t="n">
        <f aca="false">IF(A28&lt;='VALOR POR PL'!$P$5,'MODELO PARA BI'!AF63,0)</f>
        <v>0</v>
      </c>
      <c r="E28" s="56" t="n">
        <f aca="false">IF(A28&gt;'VALOR POR PL'!$P$5,'MODELO PARA BI'!AF63,0)</f>
        <v>1626.05200725206</v>
      </c>
      <c r="F28" s="117" t="n">
        <f aca="false">IF('MODELO PARA BI'!$E$63=0,0,(D28+E28)/'MODELO PARA BI'!$E$63)</f>
        <v>0.0130659139599928</v>
      </c>
      <c r="G28" s="117" t="n">
        <f aca="false">G27+F28</f>
        <v>0.218588471853113</v>
      </c>
      <c r="I28" s="45" t="n">
        <f aca="false">B28*'VALOR POR PL'!$G$50</f>
        <v>0</v>
      </c>
      <c r="J28" s="50" t="n">
        <f aca="false">I28*IF(A28&lt;='VALOR POR PL'!$P$5,IFERROR(INDEX('"INCC-FGV"'!$B$2:$B$800,MATCH(A28,'"INCC-FGV"'!$A$2:$A$800,0)),'VALOR POR PL'!$P$7),'VALOR POR PL'!$P$7)</f>
        <v>0</v>
      </c>
      <c r="K28" s="65" t="n">
        <f aca="false">'MODELO PARA BI'!AF65</f>
        <v>2108808.96163312</v>
      </c>
      <c r="L28" s="65" t="n">
        <f aca="false">'MODELO PARA BI'!AF66</f>
        <v>34302926.0950025</v>
      </c>
      <c r="M28" s="50" t="n">
        <f aca="false">M27+J28</f>
        <v>0</v>
      </c>
    </row>
    <row r="29" customFormat="false" ht="15" hidden="false" customHeight="false" outlineLevel="0" collapsed="false">
      <c r="A29" s="119" t="n">
        <f aca="false">'MODELO PARA BI'!AG1</f>
        <v>46388</v>
      </c>
      <c r="B29" s="120"/>
      <c r="C29" s="117" t="n">
        <f aca="false">C28+B29</f>
        <v>0</v>
      </c>
      <c r="D29" s="56" t="n">
        <f aca="false">IF(A29&lt;='VALOR POR PL'!$P$5,'MODELO PARA BI'!AG63,0)</f>
        <v>0</v>
      </c>
      <c r="E29" s="56" t="n">
        <f aca="false">IF(A29&gt;'VALOR POR PL'!$P$5,'MODELO PARA BI'!AG63,0)</f>
        <v>2669.06111089861</v>
      </c>
      <c r="F29" s="117" t="n">
        <f aca="false">IF('MODELO PARA BI'!$E$63=0,0,(D29+E29)/'MODELO PARA BI'!$E$63)</f>
        <v>0.0214468680419999</v>
      </c>
      <c r="G29" s="117" t="n">
        <f aca="false">G28+F29</f>
        <v>0.240035339895113</v>
      </c>
      <c r="I29" s="45" t="n">
        <f aca="false">B29*'VALOR POR PL'!$G$50</f>
        <v>0</v>
      </c>
      <c r="J29" s="50" t="n">
        <f aca="false">I29*IF(A29&lt;='VALOR POR PL'!$P$5,IFERROR(INDEX('"INCC-FGV"'!$B$2:$B$800,MATCH(A29,'"INCC-FGV"'!$A$2:$A$800,0)),'VALOR POR PL'!$P$7),'VALOR POR PL'!$P$7)</f>
        <v>0</v>
      </c>
      <c r="K29" s="65" t="n">
        <f aca="false">'MODELO PARA BI'!AG65</f>
        <v>3461475.99505219</v>
      </c>
      <c r="L29" s="65" t="n">
        <f aca="false">'MODELO PARA BI'!AG66</f>
        <v>37764402.0900547</v>
      </c>
      <c r="M29" s="50" t="n">
        <f aca="false">M28+J29</f>
        <v>0</v>
      </c>
    </row>
    <row r="30" customFormat="false" ht="15" hidden="false" customHeight="false" outlineLevel="0" collapsed="false">
      <c r="A30" s="119" t="n">
        <f aca="false">'MODELO PARA BI'!AH1</f>
        <v>46419</v>
      </c>
      <c r="B30" s="120"/>
      <c r="C30" s="117" t="n">
        <f aca="false">C29+B30</f>
        <v>0</v>
      </c>
      <c r="D30" s="56" t="n">
        <f aca="false">IF(A30&lt;='VALOR POR PL'!$P$5,'MODELO PARA BI'!AH63,0)</f>
        <v>0</v>
      </c>
      <c r="E30" s="56" t="n">
        <f aca="false">IF(A30&gt;'VALOR POR PL'!$P$5,'MODELO PARA BI'!AH63,0)</f>
        <v>1705.42981388003</v>
      </c>
      <c r="F30" s="117" t="n">
        <f aca="false">IF('MODELO PARA BI'!$E$63=0,0,(D30+E30)/'MODELO PARA BI'!$E$63)</f>
        <v>0.0137037432465767</v>
      </c>
      <c r="G30" s="117" t="n">
        <f aca="false">G29+F30</f>
        <v>0.253739083141689</v>
      </c>
      <c r="I30" s="45" t="n">
        <f aca="false">B30*'VALOR POR PL'!$G$50</f>
        <v>0</v>
      </c>
      <c r="J30" s="50" t="n">
        <f aca="false">I30*IF(A30&lt;='VALOR POR PL'!$P$5,IFERROR(INDEX('"INCC-FGV"'!$B$2:$B$800,MATCH(A30,'"INCC-FGV"'!$A$2:$A$800,0)),'VALOR POR PL'!$P$7),'VALOR POR PL'!$P$7)</f>
        <v>0</v>
      </c>
      <c r="K30" s="65" t="n">
        <f aca="false">'MODELO PARA BI'!AH65</f>
        <v>2211753.16589305</v>
      </c>
      <c r="L30" s="65" t="n">
        <f aca="false">'MODELO PARA BI'!AH66</f>
        <v>39976155.2559478</v>
      </c>
      <c r="M30" s="50" t="n">
        <f aca="false">M29+J30</f>
        <v>0</v>
      </c>
    </row>
    <row r="31" customFormat="false" ht="15" hidden="false" customHeight="false" outlineLevel="0" collapsed="false">
      <c r="A31" s="119" t="n">
        <f aca="false">'MODELO PARA BI'!AI1</f>
        <v>46447</v>
      </c>
      <c r="B31" s="120"/>
      <c r="C31" s="117" t="n">
        <f aca="false">C30+B31</f>
        <v>0</v>
      </c>
      <c r="D31" s="56" t="n">
        <f aca="false">IF(A31&lt;='VALOR POR PL'!$P$5,'MODELO PARA BI'!AI63,0)</f>
        <v>0</v>
      </c>
      <c r="E31" s="56" t="n">
        <f aca="false">IF(A31&gt;'VALOR POR PL'!$P$5,'MODELO PARA BI'!AI63,0)</f>
        <v>1831.10390886509</v>
      </c>
      <c r="F31" s="117" t="n">
        <f aca="false">IF('MODELO PARA BI'!$E$63=0,0,(D31+E31)/'MODELO PARA BI'!$E$63)</f>
        <v>0.0147135798967892</v>
      </c>
      <c r="G31" s="117" t="n">
        <f aca="false">G30+F31</f>
        <v>0.268452663038479</v>
      </c>
      <c r="I31" s="45" t="n">
        <f aca="false">B31*'VALOR POR PL'!$G$50</f>
        <v>0</v>
      </c>
      <c r="J31" s="50" t="n">
        <f aca="false">I31*IF(A31&lt;='VALOR POR PL'!$P$5,IFERROR(INDEX('"INCC-FGV"'!$B$2:$B$800,MATCH(A31,'"INCC-FGV"'!$A$2:$A$800,0)),'VALOR POR PL'!$P$7),'VALOR POR PL'!$P$7)</f>
        <v>0</v>
      </c>
      <c r="K31" s="65" t="n">
        <f aca="false">'MODELO PARA BI'!AI65</f>
        <v>2374738.51726414</v>
      </c>
      <c r="L31" s="65" t="n">
        <f aca="false">'MODELO PARA BI'!AI66</f>
        <v>42350893.7732119</v>
      </c>
      <c r="M31" s="50" t="n">
        <f aca="false">M30+J31</f>
        <v>0</v>
      </c>
    </row>
    <row r="32" customFormat="false" ht="15" hidden="false" customHeight="false" outlineLevel="0" collapsed="false">
      <c r="A32" s="119" t="n">
        <f aca="false">'MODELO PARA BI'!AJ1</f>
        <v>46478</v>
      </c>
      <c r="B32" s="120"/>
      <c r="C32" s="117" t="n">
        <f aca="false">C31+B32</f>
        <v>0</v>
      </c>
      <c r="D32" s="56" t="n">
        <f aca="false">IF(A32&lt;='VALOR POR PL'!$P$5,'MODELO PARA BI'!AJ63,0)</f>
        <v>0</v>
      </c>
      <c r="E32" s="56" t="n">
        <f aca="false">IF(A32&gt;'VALOR POR PL'!$P$5,'MODELO PARA BI'!AJ63,0)</f>
        <v>2167.97459724445</v>
      </c>
      <c r="F32" s="117" t="n">
        <f aca="false">IF('MODELO PARA BI'!$E$63=0,0,(D32+E32)/'MODELO PARA BI'!$E$63)</f>
        <v>0.0174204572970063</v>
      </c>
      <c r="G32" s="117" t="n">
        <f aca="false">G31+F32</f>
        <v>0.285873120335485</v>
      </c>
      <c r="I32" s="45" t="n">
        <f aca="false">B32*'VALOR POR PL'!$G$50</f>
        <v>0</v>
      </c>
      <c r="J32" s="50" t="n">
        <f aca="false">I32*IF(A32&lt;='VALOR POR PL'!$P$5,IFERROR(INDEX('"INCC-FGV"'!$B$2:$B$800,MATCH(A32,'"INCC-FGV"'!$A$2:$A$800,0)),'VALOR POR PL'!$P$7),'VALOR POR PL'!$P$7)</f>
        <v>0</v>
      </c>
      <c r="K32" s="65" t="n">
        <f aca="false">'MODELO PARA BI'!AJ65</f>
        <v>2811622.40744576</v>
      </c>
      <c r="L32" s="65" t="n">
        <f aca="false">'MODELO PARA BI'!AJ66</f>
        <v>45162516.1806577</v>
      </c>
      <c r="M32" s="50" t="n">
        <f aca="false">M31+J32</f>
        <v>0</v>
      </c>
    </row>
    <row r="33" customFormat="false" ht="15" hidden="false" customHeight="false" outlineLevel="0" collapsed="false">
      <c r="A33" s="119" t="n">
        <f aca="false">'MODELO PARA BI'!AK1</f>
        <v>46508</v>
      </c>
      <c r="B33" s="120"/>
      <c r="C33" s="117" t="n">
        <f aca="false">C32+B33</f>
        <v>0</v>
      </c>
      <c r="D33" s="56" t="n">
        <f aca="false">IF(A33&lt;='VALOR POR PL'!$P$5,'MODELO PARA BI'!AK63,0)</f>
        <v>0</v>
      </c>
      <c r="E33" s="56" t="n">
        <f aca="false">IF(A33&gt;'VALOR POR PL'!$P$5,'MODELO PARA BI'!AK63,0)</f>
        <v>2226.59097363587</v>
      </c>
      <c r="F33" s="117" t="n">
        <f aca="false">IF('MODELO PARA BI'!$E$63=0,0,(D33+E33)/'MODELO PARA BI'!$E$63)</f>
        <v>0.0178914610085489</v>
      </c>
      <c r="G33" s="117" t="n">
        <f aca="false">G32+F33</f>
        <v>0.303764581344034</v>
      </c>
      <c r="I33" s="45" t="n">
        <f aca="false">B33*'VALOR POR PL'!$G$50</f>
        <v>0</v>
      </c>
      <c r="J33" s="50" t="n">
        <f aca="false">I33*IF(A33&lt;='VALOR POR PL'!$P$5,IFERROR(INDEX('"INCC-FGV"'!$B$2:$B$800,MATCH(A33,'"INCC-FGV"'!$A$2:$A$800,0)),'VALOR POR PL'!$P$7),'VALOR POR PL'!$P$7)</f>
        <v>0</v>
      </c>
      <c r="K33" s="65" t="n">
        <f aca="false">'MODELO PARA BI'!AK65</f>
        <v>2887641.34120766</v>
      </c>
      <c r="L33" s="65" t="n">
        <f aca="false">'MODELO PARA BI'!AK66</f>
        <v>48050157.5218653</v>
      </c>
      <c r="M33" s="50" t="n">
        <f aca="false">M32+J33</f>
        <v>0</v>
      </c>
    </row>
    <row r="34" customFormat="false" ht="15" hidden="false" customHeight="false" outlineLevel="0" collapsed="false">
      <c r="A34" s="119" t="n">
        <f aca="false">'MODELO PARA BI'!AL1</f>
        <v>46539</v>
      </c>
      <c r="B34" s="120"/>
      <c r="C34" s="117" t="n">
        <f aca="false">C33+B34</f>
        <v>0</v>
      </c>
      <c r="D34" s="56" t="n">
        <f aca="false">IF(A34&lt;='VALOR POR PL'!$P$5,'MODELO PARA BI'!AL63,0)</f>
        <v>0</v>
      </c>
      <c r="E34" s="56" t="n">
        <f aca="false">IF(A34&gt;'VALOR POR PL'!$P$5,'MODELO PARA BI'!AL63,0)</f>
        <v>2717.68326539659</v>
      </c>
      <c r="F34" s="117" t="n">
        <f aca="false">IF('MODELO PARA BI'!$E$63=0,0,(D34+E34)/'MODELO PARA BI'!$E$63)</f>
        <v>0.0218375645783878</v>
      </c>
      <c r="G34" s="117" t="n">
        <f aca="false">G33+F34</f>
        <v>0.325602145922421</v>
      </c>
      <c r="I34" s="45" t="n">
        <f aca="false">B34*'VALOR POR PL'!$G$50</f>
        <v>0</v>
      </c>
      <c r="J34" s="50" t="n">
        <f aca="false">I34*IF(A34&lt;='VALOR POR PL'!$P$5,IFERROR(INDEX('"INCC-FGV"'!$B$2:$B$800,MATCH(A34,'"INCC-FGV"'!$A$2:$A$800,0)),'VALOR POR PL'!$P$7),'VALOR POR PL'!$P$7)</f>
        <v>0</v>
      </c>
      <c r="K34" s="65" t="n">
        <f aca="false">'MODELO PARA BI'!AL65</f>
        <v>3524533.53237692</v>
      </c>
      <c r="L34" s="65" t="n">
        <f aca="false">'MODELO PARA BI'!AL66</f>
        <v>51574691.0542422</v>
      </c>
      <c r="M34" s="50" t="n">
        <f aca="false">M33+J34</f>
        <v>0</v>
      </c>
    </row>
    <row r="35" customFormat="false" ht="15" hidden="false" customHeight="false" outlineLevel="0" collapsed="false">
      <c r="A35" s="119" t="n">
        <f aca="false">'MODELO PARA BI'!AM1</f>
        <v>46569</v>
      </c>
      <c r="B35" s="120"/>
      <c r="C35" s="117" t="n">
        <f aca="false">C34+B35</f>
        <v>0</v>
      </c>
      <c r="D35" s="56" t="n">
        <f aca="false">IF(A35&lt;='VALOR POR PL'!$P$5,'MODELO PARA BI'!AM63,0)</f>
        <v>0</v>
      </c>
      <c r="E35" s="56" t="n">
        <f aca="false">IF(A35&gt;'VALOR POR PL'!$P$5,'MODELO PARA BI'!AM63,0)</f>
        <v>3242.16706603989</v>
      </c>
      <c r="F35" s="117" t="n">
        <f aca="false">IF('MODELO PARA BI'!$E$63=0,0,(D35+E35)/'MODELO PARA BI'!$E$63)</f>
        <v>0.0260519809574779</v>
      </c>
      <c r="G35" s="117" t="n">
        <f aca="false">G34+F35</f>
        <v>0.351654126879899</v>
      </c>
      <c r="I35" s="45" t="n">
        <f aca="false">B35*'VALOR POR PL'!$G$50</f>
        <v>0</v>
      </c>
      <c r="J35" s="50" t="n">
        <f aca="false">I35*IF(A35&lt;='VALOR POR PL'!$P$5,IFERROR(INDEX('"INCC-FGV"'!$B$2:$B$800,MATCH(A35,'"INCC-FGV"'!$A$2:$A$800,0)),'VALOR POR PL'!$P$7),'VALOR POR PL'!$P$7)</f>
        <v>0</v>
      </c>
      <c r="K35" s="65" t="n">
        <f aca="false">'MODELO PARA BI'!AM65</f>
        <v>4204730.8041094</v>
      </c>
      <c r="L35" s="65" t="n">
        <f aca="false">'MODELO PARA BI'!AM66</f>
        <v>55779421.8583516</v>
      </c>
      <c r="M35" s="50" t="n">
        <f aca="false">M34+J35</f>
        <v>0</v>
      </c>
    </row>
    <row r="36" customFormat="false" ht="15" hidden="false" customHeight="false" outlineLevel="0" collapsed="false">
      <c r="A36" s="119" t="n">
        <f aca="false">'MODELO PARA BI'!AN1</f>
        <v>46600</v>
      </c>
      <c r="B36" s="120"/>
      <c r="C36" s="117" t="n">
        <f aca="false">C35+B36</f>
        <v>0</v>
      </c>
      <c r="D36" s="56" t="n">
        <f aca="false">IF(A36&lt;='VALOR POR PL'!$P$5,'MODELO PARA BI'!AN63,0)</f>
        <v>0</v>
      </c>
      <c r="E36" s="56" t="n">
        <f aca="false">IF(A36&gt;'VALOR POR PL'!$P$5,'MODELO PARA BI'!AN63,0)</f>
        <v>3552.09912034897</v>
      </c>
      <c r="F36" s="117" t="n">
        <f aca="false">IF('MODELO PARA BI'!$E$63=0,0,(D36+E36)/'MODELO PARA BI'!$E$63)</f>
        <v>0.0285423967233855</v>
      </c>
      <c r="G36" s="117" t="n">
        <f aca="false">G35+F36</f>
        <v>0.380196523603285</v>
      </c>
      <c r="I36" s="45" t="n">
        <f aca="false">B36*'VALOR POR PL'!$G$50</f>
        <v>0</v>
      </c>
      <c r="J36" s="50" t="n">
        <f aca="false">I36*IF(A36&lt;='VALOR POR PL'!$P$5,IFERROR(INDEX('"INCC-FGV"'!$B$2:$B$800,MATCH(A36,'"INCC-FGV"'!$A$2:$A$800,0)),'VALOR POR PL'!$P$7),'VALOR POR PL'!$P$7)</f>
        <v>0</v>
      </c>
      <c r="K36" s="65" t="n">
        <f aca="false">'MODELO PARA BI'!AN65</f>
        <v>4606678.27609025</v>
      </c>
      <c r="L36" s="65" t="n">
        <f aca="false">'MODELO PARA BI'!AN66</f>
        <v>60386100.1344419</v>
      </c>
      <c r="M36" s="50" t="n">
        <f aca="false">M35+J36</f>
        <v>0</v>
      </c>
    </row>
    <row r="37" customFormat="false" ht="15" hidden="false" customHeight="false" outlineLevel="0" collapsed="false">
      <c r="A37" s="119" t="n">
        <f aca="false">'MODELO PARA BI'!AO1</f>
        <v>46631</v>
      </c>
      <c r="B37" s="120"/>
      <c r="C37" s="117" t="n">
        <f aca="false">C36+B37</f>
        <v>0</v>
      </c>
      <c r="D37" s="56" t="n">
        <f aca="false">IF(A37&lt;='VALOR POR PL'!$P$5,'MODELO PARA BI'!AO63,0)</f>
        <v>0</v>
      </c>
      <c r="E37" s="56" t="n">
        <f aca="false">IF(A37&gt;'VALOR POR PL'!$P$5,'MODELO PARA BI'!AO63,0)</f>
        <v>3326.90973969095</v>
      </c>
      <c r="F37" s="117" t="n">
        <f aca="false">IF('MODELO PARA BI'!$E$63=0,0,(D37+E37)/'MODELO PARA BI'!$E$63)</f>
        <v>0.0267329188842639</v>
      </c>
      <c r="G37" s="117" t="n">
        <f aca="false">G36+F37</f>
        <v>0.406929442487549</v>
      </c>
      <c r="I37" s="45" t="n">
        <f aca="false">B37*'VALOR POR PL'!$G$50</f>
        <v>0</v>
      </c>
      <c r="J37" s="50" t="n">
        <f aca="false">I37*IF(A37&lt;='VALOR POR PL'!$P$5,IFERROR(INDEX('"INCC-FGV"'!$B$2:$B$800,MATCH(A37,'"INCC-FGV"'!$A$2:$A$800,0)),'VALOR POR PL'!$P$7),'VALOR POR PL'!$P$7)</f>
        <v>0</v>
      </c>
      <c r="K37" s="65" t="n">
        <f aca="false">'MODELO PARA BI'!AO65</f>
        <v>4314632.64539805</v>
      </c>
      <c r="L37" s="65" t="n">
        <f aca="false">'MODELO PARA BI'!AO66</f>
        <v>64700732.7798399</v>
      </c>
      <c r="M37" s="50" t="n">
        <f aca="false">M36+J37</f>
        <v>0</v>
      </c>
    </row>
    <row r="38" customFormat="false" ht="15" hidden="false" customHeight="false" outlineLevel="0" collapsed="false">
      <c r="A38" s="119" t="n">
        <f aca="false">'MODELO PARA BI'!AP1</f>
        <v>46661</v>
      </c>
      <c r="B38" s="120"/>
      <c r="C38" s="117" t="n">
        <f aca="false">C37+B38</f>
        <v>0</v>
      </c>
      <c r="D38" s="56" t="n">
        <f aca="false">IF(A38&lt;='VALOR POR PL'!$P$5,'MODELO PARA BI'!AP63,0)</f>
        <v>0</v>
      </c>
      <c r="E38" s="56" t="n">
        <f aca="false">IF(A38&gt;'VALOR POR PL'!$P$5,'MODELO PARA BI'!AP63,0)</f>
        <v>4005.50894275324</v>
      </c>
      <c r="F38" s="117" t="n">
        <f aca="false">IF('MODELO PARA BI'!$E$63=0,0,(D38+E38)/'MODELO PARA BI'!$E$63)</f>
        <v>0.032185708069965</v>
      </c>
      <c r="G38" s="117" t="n">
        <f aca="false">G37+F38</f>
        <v>0.439115150557514</v>
      </c>
      <c r="I38" s="45" t="n">
        <f aca="false">B38*'VALOR POR PL'!$G$50</f>
        <v>0</v>
      </c>
      <c r="J38" s="50" t="n">
        <f aca="false">I38*IF(A38&lt;='VALOR POR PL'!$P$5,IFERROR(INDEX('"INCC-FGV"'!$B$2:$B$800,MATCH(A38,'"INCC-FGV"'!$A$2:$A$800,0)),'VALOR POR PL'!$P$7),'VALOR POR PL'!$P$7)</f>
        <v>0</v>
      </c>
      <c r="K38" s="65" t="n">
        <f aca="false">'MODELO PARA BI'!AP65</f>
        <v>5194700.48725831</v>
      </c>
      <c r="L38" s="65" t="n">
        <f aca="false">'MODELO PARA BI'!AP66</f>
        <v>69895433.2670982</v>
      </c>
      <c r="M38" s="50" t="n">
        <f aca="false">M37+J38</f>
        <v>0</v>
      </c>
    </row>
    <row r="39" customFormat="false" ht="15" hidden="false" customHeight="false" outlineLevel="0" collapsed="false">
      <c r="A39" s="119" t="n">
        <f aca="false">'MODELO PARA BI'!AQ1</f>
        <v>46692</v>
      </c>
      <c r="B39" s="120"/>
      <c r="C39" s="117" t="n">
        <f aca="false">C38+B39</f>
        <v>0</v>
      </c>
      <c r="D39" s="56" t="n">
        <f aca="false">IF(A39&lt;='VALOR POR PL'!$P$5,'MODELO PARA BI'!AQ63,0)</f>
        <v>0</v>
      </c>
      <c r="E39" s="56" t="n">
        <f aca="false">IF(A39&gt;'VALOR POR PL'!$P$5,'MODELO PARA BI'!AQ63,0)</f>
        <v>4595.78545295772</v>
      </c>
      <c r="F39" s="117" t="n">
        <f aca="false">IF('MODELO PARA BI'!$E$63=0,0,(D39+E39)/'MODELO PARA BI'!$E$63)</f>
        <v>0.0369287925841991</v>
      </c>
      <c r="G39" s="117" t="n">
        <f aca="false">G38+F39</f>
        <v>0.476043943141713</v>
      </c>
      <c r="I39" s="45" t="n">
        <f aca="false">B39*'VALOR POR PL'!$G$50</f>
        <v>0</v>
      </c>
      <c r="J39" s="50" t="n">
        <f aca="false">I39*IF(A39&lt;='VALOR POR PL'!$P$5,IFERROR(INDEX('"INCC-FGV"'!$B$2:$B$800,MATCH(A39,'"INCC-FGV"'!$A$2:$A$800,0)),'VALOR POR PL'!$P$7),'VALOR POR PL'!$P$7)</f>
        <v>0</v>
      </c>
      <c r="K39" s="65" t="n">
        <f aca="false">'MODELO PARA BI'!AQ65</f>
        <v>5960223.60030089</v>
      </c>
      <c r="L39" s="65" t="n">
        <f aca="false">'MODELO PARA BI'!AQ66</f>
        <v>75855656.8673991</v>
      </c>
      <c r="M39" s="50" t="n">
        <f aca="false">M38+J39</f>
        <v>0</v>
      </c>
    </row>
    <row r="40" customFormat="false" ht="15" hidden="false" customHeight="false" outlineLevel="0" collapsed="false">
      <c r="A40" s="119" t="n">
        <f aca="false">'MODELO PARA BI'!AR1</f>
        <v>46722</v>
      </c>
      <c r="B40" s="120"/>
      <c r="C40" s="117" t="n">
        <f aca="false">C39+B40</f>
        <v>0</v>
      </c>
      <c r="D40" s="56" t="n">
        <f aca="false">IF(A40&lt;='VALOR POR PL'!$P$5,'MODELO PARA BI'!AR63,0)</f>
        <v>0</v>
      </c>
      <c r="E40" s="56" t="n">
        <f aca="false">IF(A40&gt;'VALOR POR PL'!$P$5,'MODELO PARA BI'!AR63,0)</f>
        <v>4666.33540867503</v>
      </c>
      <c r="F40" s="117" t="n">
        <f aca="false">IF('MODELO PARA BI'!$E$63=0,0,(D40+E40)/'MODELO PARA BI'!$E$63)</f>
        <v>0.037495686906873</v>
      </c>
      <c r="G40" s="117" t="n">
        <f aca="false">G39+F40</f>
        <v>0.513539630048586</v>
      </c>
      <c r="I40" s="45" t="n">
        <f aca="false">B40*'VALOR POR PL'!$G$50</f>
        <v>0</v>
      </c>
      <c r="J40" s="50" t="n">
        <f aca="false">I40*IF(A40&lt;='VALOR POR PL'!$P$5,IFERROR(INDEX('"INCC-FGV"'!$B$2:$B$800,MATCH(A40,'"INCC-FGV"'!$A$2:$A$800,0)),'VALOR POR PL'!$P$7),'VALOR POR PL'!$P$7)</f>
        <v>0</v>
      </c>
      <c r="K40" s="65" t="n">
        <f aca="false">'MODELO PARA BI'!AR65</f>
        <v>6051719.06182115</v>
      </c>
      <c r="L40" s="65" t="n">
        <f aca="false">'MODELO PARA BI'!AR66</f>
        <v>81907375.9292203</v>
      </c>
      <c r="M40" s="50" t="n">
        <f aca="false">M39+J40</f>
        <v>0</v>
      </c>
    </row>
    <row r="41" customFormat="false" ht="15" hidden="false" customHeight="false" outlineLevel="0" collapsed="false">
      <c r="A41" s="119" t="n">
        <f aca="false">'MODELO PARA BI'!AS1</f>
        <v>46753</v>
      </c>
      <c r="B41" s="120"/>
      <c r="C41" s="117" t="n">
        <f aca="false">C40+B41</f>
        <v>0</v>
      </c>
      <c r="D41" s="56" t="n">
        <f aca="false">IF(A41&lt;='VALOR POR PL'!$P$5,'MODELO PARA BI'!AS63,0)</f>
        <v>0</v>
      </c>
      <c r="E41" s="56" t="n">
        <f aca="false">IF(A41&gt;'VALOR POR PL'!$P$5,'MODELO PARA BI'!AS63,0)</f>
        <v>4998.60032027662</v>
      </c>
      <c r="F41" s="117" t="n">
        <f aca="false">IF('MODELO PARA BI'!$E$63=0,0,(D41+E41)/'MODELO PARA BI'!$E$63)</f>
        <v>0.0401655552306098</v>
      </c>
      <c r="G41" s="117" t="n">
        <f aca="false">G40+F41</f>
        <v>0.553705185279195</v>
      </c>
      <c r="I41" s="45" t="n">
        <f aca="false">B41*'VALOR POR PL'!$G$50</f>
        <v>0</v>
      </c>
      <c r="J41" s="50" t="n">
        <f aca="false">I41*IF(A41&lt;='VALOR POR PL'!$P$5,IFERROR(INDEX('"INCC-FGV"'!$B$2:$B$800,MATCH(A41,'"INCC-FGV"'!$A$2:$A$800,0)),'VALOR POR PL'!$P$7),'VALOR POR PL'!$P$7)</f>
        <v>0</v>
      </c>
      <c r="K41" s="65" t="n">
        <f aca="false">'MODELO PARA BI'!AS65</f>
        <v>6482629.77076323</v>
      </c>
      <c r="L41" s="65" t="n">
        <f aca="false">'MODELO PARA BI'!AS66</f>
        <v>88390005.6999835</v>
      </c>
      <c r="M41" s="50" t="n">
        <f aca="false">M40+J41</f>
        <v>0</v>
      </c>
    </row>
    <row r="42" customFormat="false" ht="15" hidden="false" customHeight="false" outlineLevel="0" collapsed="false">
      <c r="A42" s="119" t="n">
        <f aca="false">'MODELO PARA BI'!AT1</f>
        <v>46784</v>
      </c>
      <c r="B42" s="120"/>
      <c r="C42" s="117" t="n">
        <f aca="false">C41+B42</f>
        <v>0</v>
      </c>
      <c r="D42" s="56" t="n">
        <f aca="false">IF(A42&lt;='VALOR POR PL'!$P$5,'MODELO PARA BI'!AT63,0)</f>
        <v>0</v>
      </c>
      <c r="E42" s="56" t="n">
        <f aca="false">IF(A42&gt;'VALOR POR PL'!$P$5,'MODELO PARA BI'!AT63,0)</f>
        <v>5432.49576265532</v>
      </c>
      <c r="F42" s="117" t="n">
        <f aca="false">IF('MODELO PARA BI'!$E$63=0,0,(D42+E42)/'MODELO PARA BI'!$E$63)</f>
        <v>0.0436520615000702</v>
      </c>
      <c r="G42" s="117" t="n">
        <f aca="false">G41+F42</f>
        <v>0.597357246779266</v>
      </c>
      <c r="I42" s="45" t="n">
        <f aca="false">B42*'VALOR POR PL'!$G$50</f>
        <v>0</v>
      </c>
      <c r="J42" s="50" t="n">
        <f aca="false">I42*IF(A42&lt;='VALOR POR PL'!$P$5,IFERROR(INDEX('"INCC-FGV"'!$B$2:$B$800,MATCH(A42,'"INCC-FGV"'!$A$2:$A$800,0)),'VALOR POR PL'!$P$7),'VALOR POR PL'!$P$7)</f>
        <v>0</v>
      </c>
      <c r="K42" s="65" t="n">
        <f aca="false">'MODELO PARA BI'!AT65</f>
        <v>7045343.99713429</v>
      </c>
      <c r="L42" s="65" t="n">
        <f aca="false">'MODELO PARA BI'!AT66</f>
        <v>95435349.6971178</v>
      </c>
      <c r="M42" s="50" t="n">
        <f aca="false">M41+J42</f>
        <v>0</v>
      </c>
    </row>
    <row r="43" customFormat="false" ht="15" hidden="false" customHeight="false" outlineLevel="0" collapsed="false">
      <c r="A43" s="119" t="n">
        <f aca="false">'MODELO PARA BI'!AU1</f>
        <v>46813</v>
      </c>
      <c r="B43" s="120"/>
      <c r="C43" s="117" t="n">
        <f aca="false">C42+B43</f>
        <v>0</v>
      </c>
      <c r="D43" s="56" t="n">
        <f aca="false">IF(A43&lt;='VALOR POR PL'!$P$5,'MODELO PARA BI'!AU63,0)</f>
        <v>0</v>
      </c>
      <c r="E43" s="56" t="n">
        <f aca="false">IF(A43&gt;'VALOR POR PL'!$P$5,'MODELO PARA BI'!AU63,0)</f>
        <v>6267.65217488465</v>
      </c>
      <c r="F43" s="117" t="n">
        <f aca="false">IF('MODELO PARA BI'!$E$63=0,0,(D43+E43)/'MODELO PARA BI'!$E$63)</f>
        <v>0.050362844289709</v>
      </c>
      <c r="G43" s="117" t="n">
        <f aca="false">G42+F43</f>
        <v>0.647720091068975</v>
      </c>
      <c r="I43" s="45" t="n">
        <f aca="false">B43*'VALOR POR PL'!$G$50</f>
        <v>0</v>
      </c>
      <c r="J43" s="50" t="n">
        <f aca="false">I43*IF(A43&lt;='VALOR POR PL'!$P$5,IFERROR(INDEX('"INCC-FGV"'!$B$2:$B$800,MATCH(A43,'"INCC-FGV"'!$A$2:$A$800,0)),'VALOR POR PL'!$P$7),'VALOR POR PL'!$P$7)</f>
        <v>0</v>
      </c>
      <c r="K43" s="65" t="n">
        <f aca="false">'MODELO PARA BI'!AU65</f>
        <v>8128449.16143397</v>
      </c>
      <c r="L43" s="65" t="n">
        <f aca="false">'MODELO PARA BI'!AU66</f>
        <v>103563798.858552</v>
      </c>
      <c r="M43" s="50" t="n">
        <f aca="false">M42+J43</f>
        <v>0</v>
      </c>
    </row>
    <row r="44" customFormat="false" ht="15" hidden="false" customHeight="false" outlineLevel="0" collapsed="false">
      <c r="A44" s="119" t="n">
        <f aca="false">'MODELO PARA BI'!AV1</f>
        <v>46844</v>
      </c>
      <c r="B44" s="120"/>
      <c r="C44" s="117" t="n">
        <f aca="false">C43+B44</f>
        <v>0</v>
      </c>
      <c r="D44" s="56" t="n">
        <f aca="false">IF(A44&lt;='VALOR POR PL'!$P$5,'MODELO PARA BI'!AV63,0)</f>
        <v>0</v>
      </c>
      <c r="E44" s="56" t="n">
        <f aca="false">IF(A44&gt;'VALOR POR PL'!$P$5,'MODELO PARA BI'!AV63,0)</f>
        <v>6020.22449095363</v>
      </c>
      <c r="F44" s="117" t="n">
        <f aca="false">IF('MODELO PARA BI'!$E$63=0,0,(D44+E44)/'MODELO PARA BI'!$E$63)</f>
        <v>0.0483746736683853</v>
      </c>
      <c r="G44" s="117" t="n">
        <f aca="false">G43+F44</f>
        <v>0.69609476473736</v>
      </c>
      <c r="I44" s="45" t="n">
        <f aca="false">B44*'VALOR POR PL'!$G$50</f>
        <v>0</v>
      </c>
      <c r="J44" s="50" t="n">
        <f aca="false">I44*IF(A44&lt;='VALOR POR PL'!$P$5,IFERROR(INDEX('"INCC-FGV"'!$B$2:$B$800,MATCH(A44,'"INCC-FGV"'!$A$2:$A$800,0)),'VALOR POR PL'!$P$7),'VALOR POR PL'!$P$7)</f>
        <v>0</v>
      </c>
      <c r="K44" s="65" t="n">
        <f aca="false">'MODELO PARA BI'!AV65</f>
        <v>7807562.91984836</v>
      </c>
      <c r="L44" s="65" t="n">
        <f aca="false">'MODELO PARA BI'!AV66</f>
        <v>111371361.7784</v>
      </c>
      <c r="M44" s="50" t="n">
        <f aca="false">M43+J44</f>
        <v>0</v>
      </c>
    </row>
    <row r="45" customFormat="false" ht="15" hidden="false" customHeight="false" outlineLevel="0" collapsed="false">
      <c r="A45" s="119" t="n">
        <f aca="false">'MODELO PARA BI'!AW1</f>
        <v>46874</v>
      </c>
      <c r="B45" s="120"/>
      <c r="C45" s="117" t="n">
        <f aca="false">C44+B45</f>
        <v>0</v>
      </c>
      <c r="D45" s="56" t="n">
        <f aca="false">IF(A45&lt;='VALOR POR PL'!$P$5,'MODELO PARA BI'!AW63,0)</f>
        <v>0</v>
      </c>
      <c r="E45" s="56" t="n">
        <f aca="false">IF(A45&gt;'VALOR POR PL'!$P$5,'MODELO PARA BI'!AW63,0)</f>
        <v>4091.93330491091</v>
      </c>
      <c r="F45" s="117" t="n">
        <f aca="false">IF('MODELO PARA BI'!$E$63=0,0,(D45+E45)/'MODELO PARA BI'!$E$63)</f>
        <v>0.0328801589700366</v>
      </c>
      <c r="G45" s="117" t="n">
        <f aca="false">G44+F45</f>
        <v>0.728974923707397</v>
      </c>
      <c r="I45" s="45" t="n">
        <f aca="false">B45*'VALOR POR PL'!$G$50</f>
        <v>0</v>
      </c>
      <c r="J45" s="50" t="n">
        <f aca="false">I45*IF(A45&lt;='VALOR POR PL'!$P$5,IFERROR(INDEX('"INCC-FGV"'!$B$2:$B$800,MATCH(A45,'"INCC-FGV"'!$A$2:$A$800,0)),'VALOR POR PL'!$P$7),'VALOR POR PL'!$P$7)</f>
        <v>0</v>
      </c>
      <c r="K45" s="65" t="n">
        <f aca="false">'MODELO PARA BI'!AW65</f>
        <v>5306783.29187261</v>
      </c>
      <c r="L45" s="65" t="n">
        <f aca="false">'MODELO PARA BI'!AW66</f>
        <v>116678145.070273</v>
      </c>
      <c r="M45" s="50" t="n">
        <f aca="false">M44+J45</f>
        <v>0</v>
      </c>
    </row>
    <row r="46" customFormat="false" ht="15" hidden="false" customHeight="false" outlineLevel="0" collapsed="false">
      <c r="A46" s="119" t="n">
        <f aca="false">'MODELO PARA BI'!AX1</f>
        <v>46905</v>
      </c>
      <c r="B46" s="120"/>
      <c r="C46" s="117" t="n">
        <f aca="false">C45+B46</f>
        <v>0</v>
      </c>
      <c r="D46" s="56" t="n">
        <f aca="false">IF(A46&lt;='VALOR POR PL'!$P$5,'MODELO PARA BI'!AX63,0)</f>
        <v>0</v>
      </c>
      <c r="E46" s="56" t="n">
        <f aca="false">IF(A46&gt;'VALOR POR PL'!$P$5,'MODELO PARA BI'!AX63,0)</f>
        <v>4488.64880694524</v>
      </c>
      <c r="F46" s="117" t="n">
        <f aca="false">IF('MODELO PARA BI'!$E$63=0,0,(D46+E46)/'MODELO PARA BI'!$E$63)</f>
        <v>0.0360679110179773</v>
      </c>
      <c r="G46" s="117" t="n">
        <f aca="false">G45+F46</f>
        <v>0.765042834725374</v>
      </c>
      <c r="I46" s="45" t="n">
        <f aca="false">B46*'VALOR POR PL'!$G$50</f>
        <v>0</v>
      </c>
      <c r="J46" s="50" t="n">
        <f aca="false">I46*IF(A46&lt;='VALOR POR PL'!$P$5,IFERROR(INDEX('"INCC-FGV"'!$B$2:$B$800,MATCH(A46,'"INCC-FGV"'!$A$2:$A$800,0)),'VALOR POR PL'!$P$7),'VALOR POR PL'!$P$7)</f>
        <v>0</v>
      </c>
      <c r="K46" s="65" t="n">
        <f aca="false">'MODELO PARA BI'!AX65</f>
        <v>5821279.26259041</v>
      </c>
      <c r="L46" s="65" t="n">
        <f aca="false">'MODELO PARA BI'!AX66</f>
        <v>122499424.332863</v>
      </c>
      <c r="M46" s="50" t="n">
        <f aca="false">M45+J46</f>
        <v>0</v>
      </c>
    </row>
    <row r="47" customFormat="false" ht="15" hidden="false" customHeight="false" outlineLevel="0" collapsed="false">
      <c r="A47" s="119" t="n">
        <f aca="false">'MODELO PARA BI'!AY1</f>
        <v>46935</v>
      </c>
      <c r="B47" s="120"/>
      <c r="C47" s="117" t="n">
        <f aca="false">C46+B47</f>
        <v>0</v>
      </c>
      <c r="D47" s="56" t="n">
        <f aca="false">IF(A47&lt;='VALOR POR PL'!$P$5,'MODELO PARA BI'!AY63,0)</f>
        <v>0</v>
      </c>
      <c r="E47" s="56" t="n">
        <f aca="false">IF(A47&gt;'VALOR POR PL'!$P$5,'MODELO PARA BI'!AY63,0)</f>
        <v>4553.44586318609</v>
      </c>
      <c r="F47" s="117" t="n">
        <f aca="false">IF('MODELO PARA BI'!$E$63=0,0,(D47+E47)/'MODELO PARA BI'!$E$63)</f>
        <v>0.0365885787198268</v>
      </c>
      <c r="G47" s="117" t="n">
        <f aca="false">G46+F47</f>
        <v>0.801631413445201</v>
      </c>
      <c r="I47" s="45" t="n">
        <f aca="false">B47*'VALOR POR PL'!$G$50</f>
        <v>0</v>
      </c>
      <c r="J47" s="50" t="n">
        <f aca="false">I47*IF(A47&lt;='VALOR POR PL'!$P$5,IFERROR(INDEX('"INCC-FGV"'!$B$2:$B$800,MATCH(A47,'"INCC-FGV"'!$A$2:$A$800,0)),'VALOR POR PL'!$P$7),'VALOR POR PL'!$P$7)</f>
        <v>0</v>
      </c>
      <c r="K47" s="65" t="n">
        <f aca="false">'MODELO PARA BI'!AY65</f>
        <v>5905313.85206154</v>
      </c>
      <c r="L47" s="65" t="n">
        <f aca="false">'MODELO PARA BI'!AY66</f>
        <v>128404738.184925</v>
      </c>
      <c r="M47" s="50" t="n">
        <f aca="false">M46+J47</f>
        <v>0</v>
      </c>
    </row>
    <row r="48" customFormat="false" ht="15" hidden="false" customHeight="false" outlineLevel="0" collapsed="false">
      <c r="A48" s="119" t="n">
        <f aca="false">'MODELO PARA BI'!AZ1</f>
        <v>46966</v>
      </c>
      <c r="B48" s="120"/>
      <c r="C48" s="117" t="n">
        <f aca="false">C47+B48</f>
        <v>0</v>
      </c>
      <c r="D48" s="56" t="n">
        <f aca="false">IF(A48&lt;='VALOR POR PL'!$P$5,'MODELO PARA BI'!AZ63,0)</f>
        <v>0</v>
      </c>
      <c r="E48" s="56" t="n">
        <f aca="false">IF(A48&gt;'VALOR POR PL'!$P$5,'MODELO PARA BI'!AZ63,0)</f>
        <v>3905.99011918322</v>
      </c>
      <c r="F48" s="117" t="n">
        <f aca="false">IF('MODELO PARA BI'!$E$63=0,0,(D48+E48)/'MODELO PARA BI'!$E$63)</f>
        <v>0.0313860384527779</v>
      </c>
      <c r="G48" s="117" t="n">
        <f aca="false">G47+F48</f>
        <v>0.833017451897979</v>
      </c>
      <c r="I48" s="45" t="n">
        <f aca="false">B48*'VALOR POR PL'!$G$50</f>
        <v>0</v>
      </c>
      <c r="J48" s="50" t="n">
        <f aca="false">I48*IF(A48&lt;='VALOR POR PL'!$P$5,IFERROR(INDEX('"INCC-FGV"'!$B$2:$B$800,MATCH(A48,'"INCC-FGV"'!$A$2:$A$800,0)),'VALOR POR PL'!$P$7),'VALOR POR PL'!$P$7)</f>
        <v>0</v>
      </c>
      <c r="K48" s="65" t="n">
        <f aca="false">'MODELO PARA BI'!AZ65</f>
        <v>5065635.61967741</v>
      </c>
      <c r="L48" s="65" t="n">
        <f aca="false">'MODELO PARA BI'!AZ66</f>
        <v>133470373.804602</v>
      </c>
      <c r="M48" s="50" t="n">
        <f aca="false">M47+J48</f>
        <v>0</v>
      </c>
    </row>
    <row r="49" customFormat="false" ht="15" hidden="false" customHeight="false" outlineLevel="0" collapsed="false">
      <c r="A49" s="119" t="n">
        <f aca="false">'MODELO PARA BI'!BA1</f>
        <v>46997</v>
      </c>
      <c r="B49" s="120"/>
      <c r="C49" s="117" t="n">
        <f aca="false">C48+B49</f>
        <v>0</v>
      </c>
      <c r="D49" s="56" t="n">
        <f aca="false">IF(A49&lt;='VALOR POR PL'!$P$5,'MODELO PARA BI'!BA63,0)</f>
        <v>0</v>
      </c>
      <c r="E49" s="56" t="n">
        <f aca="false">IF(A49&gt;'VALOR POR PL'!$P$5,'MODELO PARA BI'!BA63,0)</f>
        <v>3986.01749532554</v>
      </c>
      <c r="F49" s="117" t="n">
        <f aca="false">IF('MODELO PARA BI'!$E$63=0,0,(D49+E49)/'MODELO PARA BI'!$E$63)</f>
        <v>0.0320290872645355</v>
      </c>
      <c r="G49" s="117" t="n">
        <f aca="false">G48+F49</f>
        <v>0.865046539162514</v>
      </c>
      <c r="I49" s="45" t="n">
        <f aca="false">B49*'VALOR POR PL'!$G$50</f>
        <v>0</v>
      </c>
      <c r="J49" s="50" t="n">
        <f aca="false">I49*IF(A49&lt;='VALOR POR PL'!$P$5,IFERROR(INDEX('"INCC-FGV"'!$B$2:$B$800,MATCH(A49,'"INCC-FGV"'!$A$2:$A$800,0)),'VALOR POR PL'!$P$7),'VALOR POR PL'!$P$7)</f>
        <v>0</v>
      </c>
      <c r="K49" s="65" t="n">
        <f aca="false">'MODELO PARA BI'!BA65</f>
        <v>5169422.24349525</v>
      </c>
      <c r="L49" s="65" t="n">
        <f aca="false">'MODELO PARA BI'!BA66</f>
        <v>138639796.048097</v>
      </c>
      <c r="M49" s="50" t="n">
        <f aca="false">M48+J49</f>
        <v>0</v>
      </c>
    </row>
    <row r="50" customFormat="false" ht="15" hidden="false" customHeight="false" outlineLevel="0" collapsed="false">
      <c r="A50" s="119" t="n">
        <f aca="false">'MODELO PARA BI'!BB1</f>
        <v>47027</v>
      </c>
      <c r="B50" s="120"/>
      <c r="C50" s="117" t="n">
        <f aca="false">C49+B50</f>
        <v>0</v>
      </c>
      <c r="D50" s="56" t="n">
        <f aca="false">IF(A50&lt;='VALOR POR PL'!$P$5,'MODELO PARA BI'!BB63,0)</f>
        <v>0</v>
      </c>
      <c r="E50" s="56" t="n">
        <f aca="false">IF(A50&gt;'VALOR POR PL'!$P$5,'MODELO PARA BI'!BB63,0)</f>
        <v>2816.20510425614</v>
      </c>
      <c r="F50" s="117" t="n">
        <f aca="false">IF('MODELO PARA BI'!$E$63=0,0,(D50+E50)/'MODELO PARA BI'!$E$63)</f>
        <v>0.0226292230640808</v>
      </c>
      <c r="G50" s="117" t="n">
        <f aca="false">G49+F50</f>
        <v>0.887675762226595</v>
      </c>
      <c r="I50" s="45" t="n">
        <f aca="false">B50*'VALOR POR PL'!$G$50</f>
        <v>0</v>
      </c>
      <c r="J50" s="50" t="n">
        <f aca="false">I50*IF(A50&lt;='VALOR POR PL'!$P$5,IFERROR(INDEX('"INCC-FGV"'!$B$2:$B$800,MATCH(A50,'"INCC-FGV"'!$A$2:$A$800,0)),'VALOR POR PL'!$P$7),'VALOR POR PL'!$P$7)</f>
        <v>0</v>
      </c>
      <c r="K50" s="65" t="n">
        <f aca="false">'MODELO PARA BI'!BB65</f>
        <v>3652305.42145364</v>
      </c>
      <c r="L50" s="65" t="n">
        <f aca="false">'MODELO PARA BI'!BB66</f>
        <v>142292101.469551</v>
      </c>
      <c r="M50" s="50" t="n">
        <f aca="false">M49+J50</f>
        <v>0</v>
      </c>
    </row>
    <row r="51" customFormat="false" ht="15" hidden="false" customHeight="false" outlineLevel="0" collapsed="false">
      <c r="A51" s="119" t="n">
        <f aca="false">'MODELO PARA BI'!BC1</f>
        <v>47058</v>
      </c>
      <c r="B51" s="120"/>
      <c r="C51" s="117" t="n">
        <f aca="false">C50+B51</f>
        <v>0</v>
      </c>
      <c r="D51" s="56" t="n">
        <f aca="false">IF(A51&lt;='VALOR POR PL'!$P$5,'MODELO PARA BI'!BC63,0)</f>
        <v>0</v>
      </c>
      <c r="E51" s="56" t="n">
        <f aca="false">IF(A51&gt;'VALOR POR PL'!$P$5,'MODELO PARA BI'!BC63,0)</f>
        <v>2490.78711679059</v>
      </c>
      <c r="F51" s="117" t="n">
        <f aca="false">IF('MODELO PARA BI'!$E$63=0,0,(D51+E51)/'MODELO PARA BI'!$E$63)</f>
        <v>0.0200143722436299</v>
      </c>
      <c r="G51" s="117" t="n">
        <f aca="false">G50+F51</f>
        <v>0.907690134470225</v>
      </c>
      <c r="I51" s="45" t="n">
        <f aca="false">B51*'VALOR POR PL'!$G$50</f>
        <v>0</v>
      </c>
      <c r="J51" s="50" t="n">
        <f aca="false">I51*IF(A51&lt;='VALOR POR PL'!$P$5,IFERROR(INDEX('"INCC-FGV"'!$B$2:$B$800,MATCH(A51,'"INCC-FGV"'!$A$2:$A$800,0)),'VALOR POR PL'!$P$7),'VALOR POR PL'!$P$7)</f>
        <v>0</v>
      </c>
      <c r="K51" s="65" t="n">
        <f aca="false">'MODELO PARA BI'!BC65</f>
        <v>3230274.41310743</v>
      </c>
      <c r="L51" s="65" t="n">
        <f aca="false">'MODELO PARA BI'!BC66</f>
        <v>145522375.882658</v>
      </c>
      <c r="M51" s="50" t="n">
        <f aca="false">M50+J51</f>
        <v>0</v>
      </c>
    </row>
    <row r="52" customFormat="false" ht="15" hidden="false" customHeight="false" outlineLevel="0" collapsed="false">
      <c r="A52" s="119" t="n">
        <f aca="false">'MODELO PARA BI'!BD1</f>
        <v>47088</v>
      </c>
      <c r="B52" s="120"/>
      <c r="C52" s="117" t="n">
        <f aca="false">C51+B52</f>
        <v>0</v>
      </c>
      <c r="D52" s="56" t="n">
        <f aca="false">IF(A52&lt;='VALOR POR PL'!$P$5,'MODELO PARA BI'!BD63,0)</f>
        <v>0</v>
      </c>
      <c r="E52" s="56" t="n">
        <f aca="false">IF(A52&gt;'VALOR POR PL'!$P$5,'MODELO PARA BI'!BD63,0)</f>
        <v>2380.15285169529</v>
      </c>
      <c r="F52" s="117" t="n">
        <f aca="false">IF('MODELO PARA BI'!$E$63=0,0,(D52+E52)/'MODELO PARA BI'!$E$63)</f>
        <v>0.0191253860474226</v>
      </c>
      <c r="G52" s="117" t="n">
        <f aca="false">G51+F52</f>
        <v>0.926815520517647</v>
      </c>
      <c r="I52" s="45" t="n">
        <f aca="false">B52*'VALOR POR PL'!$G$50</f>
        <v>0</v>
      </c>
      <c r="J52" s="50" t="n">
        <f aca="false">I52*IF(A52&lt;='VALOR POR PL'!$P$5,IFERROR(INDEX('"INCC-FGV"'!$B$2:$B$800,MATCH(A52,'"INCC-FGV"'!$A$2:$A$800,0)),'VALOR POR PL'!$P$7),'VALOR POR PL'!$P$7)</f>
        <v>0</v>
      </c>
      <c r="K52" s="65" t="n">
        <f aca="false">'MODELO PARA BI'!BD65</f>
        <v>3086794.05168226</v>
      </c>
      <c r="L52" s="65" t="n">
        <f aca="false">'MODELO PARA BI'!BD66</f>
        <v>148609169.934341</v>
      </c>
      <c r="M52" s="50" t="n">
        <f aca="false">M51+J52</f>
        <v>0</v>
      </c>
    </row>
    <row r="53" customFormat="false" ht="15" hidden="false" customHeight="false" outlineLevel="0" collapsed="false">
      <c r="A53" s="119" t="n">
        <f aca="false">'MODELO PARA BI'!BE1</f>
        <v>47119</v>
      </c>
      <c r="B53" s="120"/>
      <c r="C53" s="117" t="n">
        <f aca="false">C52+B53</f>
        <v>0</v>
      </c>
      <c r="D53" s="56" t="n">
        <f aca="false">IF(A53&lt;='VALOR POR PL'!$P$5,'MODELO PARA BI'!BE63,0)</f>
        <v>0</v>
      </c>
      <c r="E53" s="56" t="n">
        <f aca="false">IF(A53&gt;'VALOR POR PL'!$P$5,'MODELO PARA BI'!BE63,0)</f>
        <v>2029.15419248458</v>
      </c>
      <c r="F53" s="117" t="n">
        <f aca="false">IF('MODELO PARA BI'!$E$63=0,0,(D53+E53)/'MODELO PARA BI'!$E$63)</f>
        <v>0.016304985309398</v>
      </c>
      <c r="G53" s="117" t="n">
        <f aca="false">G52+F53</f>
        <v>0.943120505827045</v>
      </c>
      <c r="I53" s="45" t="n">
        <f aca="false">B53*'VALOR POR PL'!$G$50</f>
        <v>0</v>
      </c>
      <c r="J53" s="50" t="n">
        <f aca="false">I53*IF(A53&lt;='VALOR POR PL'!$P$5,IFERROR(INDEX('"INCC-FGV"'!$B$2:$B$800,MATCH(A53,'"INCC-FGV"'!$A$2:$A$800,0)),'VALOR POR PL'!$P$7),'VALOR POR PL'!$P$7)</f>
        <v>0</v>
      </c>
      <c r="K53" s="65" t="n">
        <f aca="false">'MODELO PARA BI'!BE65</f>
        <v>2631587.75153713</v>
      </c>
      <c r="L53" s="65" t="n">
        <f aca="false">'MODELO PARA BI'!BE66</f>
        <v>151240757.685878</v>
      </c>
      <c r="M53" s="50" t="n">
        <f aca="false">M52+J53</f>
        <v>0</v>
      </c>
    </row>
    <row r="54" customFormat="false" ht="15" hidden="false" customHeight="false" outlineLevel="0" collapsed="false">
      <c r="A54" s="119" t="n">
        <f aca="false">'MODELO PARA BI'!BF1</f>
        <v>47150</v>
      </c>
      <c r="B54" s="120"/>
      <c r="C54" s="117" t="n">
        <f aca="false">C53+B54</f>
        <v>0</v>
      </c>
      <c r="D54" s="56" t="n">
        <f aca="false">IF(A54&lt;='VALOR POR PL'!$P$5,'MODELO PARA BI'!BF63,0)</f>
        <v>0</v>
      </c>
      <c r="E54" s="56" t="n">
        <f aca="false">IF(A54&gt;'VALOR POR PL'!$P$5,'MODELO PARA BI'!BF63,0)</f>
        <v>1645.0440210448</v>
      </c>
      <c r="F54" s="117" t="n">
        <f aca="false">IF('MODELO PARA BI'!$E$63=0,0,(D54+E54)/'MODELO PARA BI'!$E$63)</f>
        <v>0.0132185216361533</v>
      </c>
      <c r="G54" s="117" t="n">
        <f aca="false">G53+F54</f>
        <v>0.956339027463199</v>
      </c>
      <c r="I54" s="45" t="n">
        <f aca="false">B54*'VALOR POR PL'!$G$50</f>
        <v>0</v>
      </c>
      <c r="J54" s="50" t="n">
        <f aca="false">I54*IF(A54&lt;='VALOR POR PL'!$P$5,IFERROR(INDEX('"INCC-FGV"'!$B$2:$B$800,MATCH(A54,'"INCC-FGV"'!$A$2:$A$800,0)),'VALOR POR PL'!$P$7),'VALOR POR PL'!$P$7)</f>
        <v>0</v>
      </c>
      <c r="K54" s="65" t="n">
        <f aca="false">'MODELO PARA BI'!BF65</f>
        <v>2133439.49540877</v>
      </c>
      <c r="L54" s="65" t="n">
        <f aca="false">'MODELO PARA BI'!BF66</f>
        <v>153374197.181287</v>
      </c>
      <c r="M54" s="50" t="n">
        <f aca="false">M53+J54</f>
        <v>0</v>
      </c>
    </row>
    <row r="55" customFormat="false" ht="15" hidden="false" customHeight="false" outlineLevel="0" collapsed="false">
      <c r="A55" s="119" t="n">
        <f aca="false">'MODELO PARA BI'!BG1</f>
        <v>47178</v>
      </c>
      <c r="B55" s="120"/>
      <c r="C55" s="117" t="n">
        <f aca="false">C54+B55</f>
        <v>0</v>
      </c>
      <c r="D55" s="56" t="n">
        <f aca="false">IF(A55&lt;='VALOR POR PL'!$P$5,'MODELO PARA BI'!BG63,0)</f>
        <v>0</v>
      </c>
      <c r="E55" s="56" t="n">
        <f aca="false">IF(A55&gt;'VALOR POR PL'!$P$5,'MODELO PARA BI'!BG63,0)</f>
        <v>1605.54324124451</v>
      </c>
      <c r="F55" s="117" t="n">
        <f aca="false">IF('MODELO PARA BI'!$E$63=0,0,(D55+E55)/'MODELO PARA BI'!$E$63)</f>
        <v>0.0129011186330996</v>
      </c>
      <c r="G55" s="117" t="n">
        <f aca="false">G54+F55</f>
        <v>0.969240146096298</v>
      </c>
      <c r="I55" s="45" t="n">
        <f aca="false">B55*'VALOR POR PL'!$G$50</f>
        <v>0</v>
      </c>
      <c r="J55" s="50" t="n">
        <f aca="false">I55*IF(A55&lt;='VALOR POR PL'!$P$5,IFERROR(INDEX('"INCC-FGV"'!$B$2:$B$800,MATCH(A55,'"INCC-FGV"'!$A$2:$A$800,0)),'VALOR POR PL'!$P$7),'VALOR POR PL'!$P$7)</f>
        <v>0</v>
      </c>
      <c r="K55" s="65" t="n">
        <f aca="false">'MODELO PARA BI'!BG65</f>
        <v>2082211.36859435</v>
      </c>
      <c r="L55" s="65" t="n">
        <f aca="false">'MODELO PARA BI'!BG66</f>
        <v>155456408.549881</v>
      </c>
      <c r="M55" s="50" t="n">
        <f aca="false">M54+J55</f>
        <v>0</v>
      </c>
    </row>
    <row r="56" customFormat="false" ht="15" hidden="false" customHeight="false" outlineLevel="0" collapsed="false">
      <c r="A56" s="119" t="n">
        <f aca="false">'MODELO PARA BI'!BH1</f>
        <v>47209</v>
      </c>
      <c r="B56" s="120"/>
      <c r="C56" s="117" t="n">
        <f aca="false">C55+B56</f>
        <v>0</v>
      </c>
      <c r="D56" s="56" t="n">
        <f aca="false">IF(A56&lt;='VALOR POR PL'!$P$5,'MODELO PARA BI'!BH63,0)</f>
        <v>0</v>
      </c>
      <c r="E56" s="56" t="n">
        <f aca="false">IF(A56&gt;'VALOR POR PL'!$P$5,'MODELO PARA BI'!BH63,0)</f>
        <v>827.075949065458</v>
      </c>
      <c r="F56" s="117" t="n">
        <f aca="false">IF('MODELO PARA BI'!$E$63=0,0,(D56+E56)/'MODELO PARA BI'!$E$63)</f>
        <v>0.00664585335565683</v>
      </c>
      <c r="G56" s="117" t="n">
        <f aca="false">G55+F56</f>
        <v>0.975885999451955</v>
      </c>
      <c r="I56" s="45" t="n">
        <f aca="false">B56*'VALOR POR PL'!$G$50</f>
        <v>0</v>
      </c>
      <c r="J56" s="50" t="n">
        <f aca="false">I56*IF(A56&lt;='VALOR POR PL'!$P$5,IFERROR(INDEX('"INCC-FGV"'!$B$2:$B$800,MATCH(A56,'"INCC-FGV"'!$A$2:$A$800,0)),'VALOR POR PL'!$P$7),'VALOR POR PL'!$P$7)</f>
        <v>0</v>
      </c>
      <c r="K56" s="65" t="n">
        <f aca="false">'MODELO PARA BI'!BH65</f>
        <v>1072625.70050755</v>
      </c>
      <c r="L56" s="65" t="n">
        <f aca="false">'MODELO PARA BI'!BH66</f>
        <v>156529034.250388</v>
      </c>
      <c r="M56" s="50" t="n">
        <f aca="false">M55+J56</f>
        <v>0</v>
      </c>
    </row>
    <row r="57" customFormat="false" ht="15" hidden="false" customHeight="false" outlineLevel="0" collapsed="false">
      <c r="A57" s="119" t="n">
        <f aca="false">'MODELO PARA BI'!BI1</f>
        <v>47239</v>
      </c>
      <c r="B57" s="120"/>
      <c r="C57" s="117" t="n">
        <f aca="false">C56+B57</f>
        <v>0</v>
      </c>
      <c r="D57" s="56" t="n">
        <f aca="false">IF(A57&lt;='VALOR POR PL'!$P$5,'MODELO PARA BI'!BI63,0)</f>
        <v>0</v>
      </c>
      <c r="E57" s="56" t="n">
        <f aca="false">IF(A57&gt;'VALOR POR PL'!$P$5,'MODELO PARA BI'!BI63,0)</f>
        <v>392.032268672549</v>
      </c>
      <c r="F57" s="117" t="n">
        <f aca="false">IF('MODELO PARA BI'!$E$63=0,0,(D57+E57)/'MODELO PARA BI'!$E$63)</f>
        <v>0.00315012057989008</v>
      </c>
      <c r="G57" s="117" t="n">
        <f aca="false">G56+F57</f>
        <v>0.979036120031845</v>
      </c>
      <c r="I57" s="45" t="n">
        <f aca="false">B57*'VALOR POR PL'!$G$50</f>
        <v>0</v>
      </c>
      <c r="J57" s="50" t="n">
        <f aca="false">I57*IF(A57&lt;='VALOR POR PL'!$P$5,IFERROR(INDEX('"INCC-FGV"'!$B$2:$B$800,MATCH(A57,'"INCC-FGV"'!$A$2:$A$800,0)),'VALOR POR PL'!$P$7),'VALOR POR PL'!$P$7)</f>
        <v>0</v>
      </c>
      <c r="K57" s="65" t="n">
        <f aca="false">'MODELO PARA BI'!BI65</f>
        <v>508422.336886473</v>
      </c>
      <c r="L57" s="65" t="n">
        <f aca="false">'MODELO PARA BI'!BI66</f>
        <v>157037456.587275</v>
      </c>
      <c r="M57" s="50" t="n">
        <f aca="false">M56+J57</f>
        <v>0</v>
      </c>
    </row>
    <row r="58" customFormat="false" ht="15" hidden="false" customHeight="false" outlineLevel="0" collapsed="false">
      <c r="A58" s="119" t="n">
        <f aca="false">'MODELO PARA BI'!BJ1</f>
        <v>47270</v>
      </c>
      <c r="B58" s="120"/>
      <c r="C58" s="117" t="n">
        <f aca="false">C57+B58</f>
        <v>0</v>
      </c>
      <c r="D58" s="56" t="n">
        <f aca="false">IF(A58&lt;='VALOR POR PL'!$P$5,'MODELO PARA BI'!BJ63,0)</f>
        <v>0</v>
      </c>
      <c r="E58" s="56" t="n">
        <f aca="false">IF(A58&gt;'VALOR POR PL'!$P$5,'MODELO PARA BI'!BJ63,0)</f>
        <v>525.414231148877</v>
      </c>
      <c r="F58" s="117" t="n">
        <f aca="false">IF('MODELO PARA BI'!$E$63=0,0,(D58+E58)/'MODELO PARA BI'!$E$63)</f>
        <v>0.00422189272355961</v>
      </c>
      <c r="G58" s="117" t="n">
        <f aca="false">G57+F58</f>
        <v>0.983258012755405</v>
      </c>
      <c r="I58" s="45" t="n">
        <f aca="false">B58*'VALOR POR PL'!$G$50</f>
        <v>0</v>
      </c>
      <c r="J58" s="50" t="n">
        <f aca="false">I58*IF(A58&lt;='VALOR POR PL'!$P$5,IFERROR(INDEX('"INCC-FGV"'!$B$2:$B$800,MATCH(A58,'"INCC-FGV"'!$A$2:$A$800,0)),'VALOR POR PL'!$P$7),'VALOR POR PL'!$P$7)</f>
        <v>0</v>
      </c>
      <c r="K58" s="65" t="n">
        <f aca="false">'MODELO PARA BI'!BJ65</f>
        <v>681403.936820435</v>
      </c>
      <c r="L58" s="65" t="n">
        <f aca="false">'MODELO PARA BI'!BJ66</f>
        <v>157718860.524095</v>
      </c>
      <c r="M58" s="50" t="n">
        <f aca="false">M57+J58</f>
        <v>0</v>
      </c>
    </row>
    <row r="59" customFormat="false" ht="15" hidden="false" customHeight="false" outlineLevel="0" collapsed="false">
      <c r="A59" s="119" t="n">
        <f aca="false">'MODELO PARA BI'!BK1</f>
        <v>47300</v>
      </c>
      <c r="B59" s="120"/>
      <c r="C59" s="117" t="n">
        <f aca="false">C58+B59</f>
        <v>0</v>
      </c>
      <c r="D59" s="56" t="n">
        <f aca="false">IF(A59&lt;='VALOR POR PL'!$P$5,'MODELO PARA BI'!BK63,0)</f>
        <v>0</v>
      </c>
      <c r="E59" s="56" t="n">
        <f aca="false">IF(A59&gt;'VALOR POR PL'!$P$5,'MODELO PARA BI'!BK63,0)</f>
        <v>49.9691691397517</v>
      </c>
      <c r="F59" s="117" t="n">
        <f aca="false">IF('MODELO PARA BI'!$E$63=0,0,(D59+E59)/'MODELO PARA BI'!$E$63)</f>
        <v>0.000401520284542236</v>
      </c>
      <c r="G59" s="117" t="n">
        <f aca="false">G58+F59</f>
        <v>0.983659533039947</v>
      </c>
      <c r="I59" s="45" t="n">
        <f aca="false">B59*'VALOR POR PL'!$G$50</f>
        <v>0</v>
      </c>
      <c r="J59" s="50" t="n">
        <f aca="false">I59*IF(A59&lt;='VALOR POR PL'!$P$5,IFERROR(INDEX('"INCC-FGV"'!$B$2:$B$800,MATCH(A59,'"INCC-FGV"'!$A$2:$A$800,0)),'VALOR POR PL'!$P$7),'VALOR POR PL'!$P$7)</f>
        <v>0</v>
      </c>
      <c r="K59" s="65" t="n">
        <f aca="false">'MODELO PARA BI'!BK65</f>
        <v>64804.4657964834</v>
      </c>
      <c r="L59" s="65" t="n">
        <f aca="false">'MODELO PARA BI'!BK66</f>
        <v>157783664.989892</v>
      </c>
      <c r="M59" s="50" t="n">
        <f aca="false">M58+J59</f>
        <v>0</v>
      </c>
    </row>
    <row r="60" customFormat="false" ht="15" hidden="false" customHeight="false" outlineLevel="0" collapsed="false">
      <c r="A60" s="119" t="n">
        <f aca="false">'MODELO PARA BI'!BL1</f>
        <v>47331</v>
      </c>
      <c r="B60" s="120"/>
      <c r="C60" s="117" t="n">
        <f aca="false">C59+B60</f>
        <v>0</v>
      </c>
      <c r="D60" s="56" t="n">
        <f aca="false">IF(A60&lt;='VALOR POR PL'!$P$5,'MODELO PARA BI'!BL63,0)</f>
        <v>0</v>
      </c>
      <c r="E60" s="56" t="n">
        <f aca="false">IF(A60&gt;'VALOR POR PL'!$P$5,'MODELO PARA BI'!BL63,0)</f>
        <v>89.2929689477648</v>
      </c>
      <c r="F60" s="117" t="n">
        <f aca="false">IF('MODELO PARA BI'!$E$63=0,0,(D60+E60)/'MODELO PARA BI'!$E$63)</f>
        <v>0.000717501189568623</v>
      </c>
      <c r="G60" s="117" t="n">
        <f aca="false">G59+F60</f>
        <v>0.984377034229516</v>
      </c>
      <c r="I60" s="45" t="n">
        <f aca="false">B60*'VALOR POR PL'!$G$50</f>
        <v>0</v>
      </c>
      <c r="J60" s="50" t="n">
        <f aca="false">I60*IF(A60&lt;='VALOR POR PL'!$P$5,IFERROR(INDEX('"INCC-FGV"'!$B$2:$B$800,MATCH(A60,'"INCC-FGV"'!$A$2:$A$800,0)),'VALOR POR PL'!$P$7),'VALOR POR PL'!$P$7)</f>
        <v>0</v>
      </c>
      <c r="K60" s="65" t="n">
        <f aca="false">'MODELO PARA BI'!BL65</f>
        <v>115803.069205698</v>
      </c>
      <c r="L60" s="65" t="n">
        <f aca="false">'MODELO PARA BI'!BL66</f>
        <v>157899468.059098</v>
      </c>
      <c r="M60" s="50" t="n">
        <f aca="false">M59+J60</f>
        <v>0</v>
      </c>
    </row>
    <row r="61" customFormat="false" ht="15" hidden="false" customHeight="false" outlineLevel="0" collapsed="false">
      <c r="A61" s="119" t="n">
        <f aca="false">'MODELO PARA BI'!BM1</f>
        <v>47362</v>
      </c>
      <c r="B61" s="120"/>
      <c r="C61" s="117" t="n">
        <f aca="false">C60+B61</f>
        <v>0</v>
      </c>
      <c r="D61" s="56" t="n">
        <f aca="false">IF(A61&lt;='VALOR POR PL'!$P$5,'MODELO PARA BI'!BM63,0)</f>
        <v>0</v>
      </c>
      <c r="E61" s="56" t="n">
        <f aca="false">IF(A61&gt;'VALOR POR PL'!$P$5,'MODELO PARA BI'!BM63,0)</f>
        <v>0</v>
      </c>
      <c r="F61" s="117" t="n">
        <f aca="false">IF('MODELO PARA BI'!$E$63=0,0,(D61+E61)/'MODELO PARA BI'!$E$63)</f>
        <v>0</v>
      </c>
      <c r="G61" s="117" t="n">
        <f aca="false">G60+F61</f>
        <v>0.984377034229516</v>
      </c>
      <c r="I61" s="45" t="n">
        <f aca="false">B61*'VALOR POR PL'!$G$50</f>
        <v>0</v>
      </c>
      <c r="J61" s="50" t="n">
        <f aca="false">I61*IF(A61&lt;='VALOR POR PL'!$P$5,IFERROR(INDEX('"INCC-FGV"'!$B$2:$B$800,MATCH(A61,'"INCC-FGV"'!$A$2:$A$800,0)),'VALOR POR PL'!$P$7),'VALOR POR PL'!$P$7)</f>
        <v>0</v>
      </c>
      <c r="K61" s="65" t="n">
        <f aca="false">'MODELO PARA BI'!BM65</f>
        <v>0</v>
      </c>
      <c r="L61" s="65" t="n">
        <f aca="false">'MODELO PARA BI'!BM66</f>
        <v>157899468.059098</v>
      </c>
      <c r="M61" s="50" t="n">
        <f aca="false">M60+J61</f>
        <v>0</v>
      </c>
    </row>
    <row r="62" customFormat="false" ht="15" hidden="false" customHeight="false" outlineLevel="0" collapsed="false">
      <c r="A62" s="119" t="n">
        <f aca="false">'MODELO PARA BI'!BN1</f>
        <v>47392</v>
      </c>
      <c r="B62" s="120"/>
      <c r="C62" s="117" t="n">
        <f aca="false">C61+B62</f>
        <v>0</v>
      </c>
      <c r="D62" s="56" t="n">
        <f aca="false">IF(A62&lt;='VALOR POR PL'!$P$5,'MODELO PARA BI'!BN63,0)</f>
        <v>0</v>
      </c>
      <c r="E62" s="56" t="n">
        <f aca="false">IF(A62&gt;'VALOR POR PL'!$P$5,'MODELO PARA BI'!BN63,0)</f>
        <v>1944.27691228576</v>
      </c>
      <c r="F62" s="117" t="n">
        <f aca="false">IF('MODELO PARA BI'!$E$63=0,0,(D62+E62)/'MODELO PARA BI'!$E$63)</f>
        <v>0.0156229657704842</v>
      </c>
      <c r="G62" s="117" t="n">
        <f aca="false">G61+F62</f>
        <v>1</v>
      </c>
      <c r="I62" s="45" t="n">
        <f aca="false">B62*'VALOR POR PL'!$G$50</f>
        <v>0</v>
      </c>
      <c r="J62" s="50" t="n">
        <f aca="false">I62*IF(A62&lt;='VALOR POR PL'!$P$5,IFERROR(INDEX('"INCC-FGV"'!$B$2:$B$800,MATCH(A62,'"INCC-FGV"'!$A$2:$A$800,0)),'VALOR POR PL'!$P$7),'VALOR POR PL'!$P$7)</f>
        <v>0</v>
      </c>
      <c r="K62" s="65" t="n">
        <f aca="false">'MODELO PARA BI'!BN65</f>
        <v>2521511.34049737</v>
      </c>
      <c r="L62" s="65" t="n">
        <f aca="false">'MODELO PARA BI'!BN66</f>
        <v>160420979.399595</v>
      </c>
      <c r="M62" s="50" t="n">
        <f aca="false">M61+J62</f>
        <v>0</v>
      </c>
    </row>
    <row r="63" customFormat="false" ht="15" hidden="false" customHeight="false" outlineLevel="0" collapsed="false">
      <c r="A63" s="119" t="n">
        <f aca="false">'MODELO PARA BI'!BO1</f>
        <v>47423</v>
      </c>
      <c r="B63" s="120"/>
      <c r="C63" s="117" t="n">
        <f aca="false">C62+B63</f>
        <v>0</v>
      </c>
      <c r="D63" s="56" t="n">
        <f aca="false">IF(A63&lt;='VALOR POR PL'!$P$5,'MODELO PARA BI'!BO63,0)</f>
        <v>0</v>
      </c>
      <c r="E63" s="56" t="n">
        <f aca="false">IF(A63&gt;'VALOR POR PL'!$P$5,'MODELO PARA BI'!BO63,0)</f>
        <v>0</v>
      </c>
      <c r="F63" s="117" t="n">
        <f aca="false">IF('MODELO PARA BI'!$E$63=0,0,(D63+E63)/'MODELO PARA BI'!$E$63)</f>
        <v>0</v>
      </c>
      <c r="G63" s="117" t="n">
        <f aca="false">G62+F63</f>
        <v>1</v>
      </c>
      <c r="I63" s="45" t="n">
        <f aca="false">B63*'VALOR POR PL'!$G$50</f>
        <v>0</v>
      </c>
      <c r="J63" s="50" t="n">
        <f aca="false">I63*IF(A63&lt;='VALOR POR PL'!$P$5,IFERROR(INDEX('"INCC-FGV"'!$B$2:$B$800,MATCH(A63,'"INCC-FGV"'!$A$2:$A$800,0)),'VALOR POR PL'!$P$7),'VALOR POR PL'!$P$7)</f>
        <v>0</v>
      </c>
      <c r="K63" s="65" t="n">
        <f aca="false">'MODELO PARA BI'!BO65</f>
        <v>0</v>
      </c>
      <c r="L63" s="65" t="n">
        <f aca="false">'MODELO PARA BI'!BO66</f>
        <v>160420979.399595</v>
      </c>
      <c r="M63" s="50" t="n">
        <f aca="false">M62+J63</f>
        <v>0</v>
      </c>
    </row>
    <row r="64" customFormat="false" ht="15" hidden="false" customHeight="false" outlineLevel="0" collapsed="false">
      <c r="A64" s="119" t="n">
        <f aca="false">'MODELO PARA BI'!BP1</f>
        <v>47453</v>
      </c>
      <c r="B64" s="120"/>
      <c r="C64" s="117" t="n">
        <f aca="false">C63+B64</f>
        <v>0</v>
      </c>
      <c r="D64" s="56" t="n">
        <f aca="false">IF(A64&lt;='VALOR POR PL'!$P$5,'MODELO PARA BI'!BP63,0)</f>
        <v>0</v>
      </c>
      <c r="E64" s="56" t="n">
        <f aca="false">IF(A64&gt;'VALOR POR PL'!$P$5,'MODELO PARA BI'!BP63,0)</f>
        <v>0</v>
      </c>
      <c r="F64" s="117" t="n">
        <f aca="false">IF('MODELO PARA BI'!$E$63=0,0,(D64+E64)/'MODELO PARA BI'!$E$63)</f>
        <v>0</v>
      </c>
      <c r="G64" s="117" t="n">
        <f aca="false">G63+F64</f>
        <v>1</v>
      </c>
      <c r="I64" s="45" t="n">
        <f aca="false">B64*'VALOR POR PL'!$G$50</f>
        <v>0</v>
      </c>
      <c r="J64" s="50" t="n">
        <f aca="false">I64*IF(A64&lt;='VALOR POR PL'!$P$5,IFERROR(INDEX('"INCC-FGV"'!$B$2:$B$800,MATCH(A64,'"INCC-FGV"'!$A$2:$A$800,0)),'VALOR POR PL'!$P$7),'VALOR POR PL'!$P$7)</f>
        <v>0</v>
      </c>
      <c r="K64" s="65" t="n">
        <f aca="false">'MODELO PARA BI'!BP65</f>
        <v>0</v>
      </c>
      <c r="L64" s="65" t="n">
        <f aca="false">'MODELO PARA BI'!BP66</f>
        <v>160420979.399595</v>
      </c>
      <c r="M64" s="50" t="n">
        <f aca="false">M63+J64</f>
        <v>0</v>
      </c>
    </row>
    <row r="65" customFormat="false" ht="15" hidden="false" customHeight="false" outlineLevel="0" collapsed="false">
      <c r="A65" s="119" t="n">
        <f aca="false">'MODELO PARA BI'!BQ1</f>
        <v>47484</v>
      </c>
      <c r="B65" s="120"/>
      <c r="C65" s="117" t="n">
        <f aca="false">C64+B65</f>
        <v>0</v>
      </c>
      <c r="D65" s="56" t="n">
        <f aca="false">IF(A65&lt;='VALOR POR PL'!$P$5,'MODELO PARA BI'!BQ63,0)</f>
        <v>0</v>
      </c>
      <c r="E65" s="56" t="n">
        <f aca="false">IF(A65&gt;'VALOR POR PL'!$P$5,'MODELO PARA BI'!BQ63,0)</f>
        <v>0</v>
      </c>
      <c r="F65" s="117" t="n">
        <f aca="false">IF('MODELO PARA BI'!$E$63=0,0,(D65+E65)/'MODELO PARA BI'!$E$63)</f>
        <v>0</v>
      </c>
      <c r="G65" s="117" t="n">
        <f aca="false">G64+F65</f>
        <v>1</v>
      </c>
      <c r="I65" s="45" t="n">
        <f aca="false">B65*'VALOR POR PL'!$G$50</f>
        <v>0</v>
      </c>
      <c r="J65" s="50" t="n">
        <f aca="false">I65*IF(A65&lt;='VALOR POR PL'!$P$5,IFERROR(INDEX('"INCC-FGV"'!$B$2:$B$800,MATCH(A65,'"INCC-FGV"'!$A$2:$A$800,0)),'VALOR POR PL'!$P$7),'VALOR POR PL'!$P$7)</f>
        <v>0</v>
      </c>
      <c r="K65" s="65" t="n">
        <f aca="false">'MODELO PARA BI'!BQ65</f>
        <v>0</v>
      </c>
      <c r="L65" s="65" t="n">
        <f aca="false">'MODELO PARA BI'!BQ66</f>
        <v>160420979.399595</v>
      </c>
      <c r="M65" s="50" t="n">
        <f aca="false">M64+J65</f>
        <v>0</v>
      </c>
    </row>
    <row r="66" customFormat="false" ht="15" hidden="false" customHeight="false" outlineLevel="0" collapsed="false">
      <c r="A66" s="119" t="n">
        <f aca="false">'MODELO PARA BI'!BR1</f>
        <v>47515</v>
      </c>
      <c r="B66" s="120"/>
      <c r="C66" s="117" t="n">
        <f aca="false">C65+B66</f>
        <v>0</v>
      </c>
      <c r="D66" s="56" t="n">
        <f aca="false">IF(A66&lt;='VALOR POR PL'!$P$5,'MODELO PARA BI'!BR63,0)</f>
        <v>0</v>
      </c>
      <c r="E66" s="56" t="n">
        <f aca="false">IF(A66&gt;'VALOR POR PL'!$P$5,'MODELO PARA BI'!BR63,0)</f>
        <v>0</v>
      </c>
      <c r="F66" s="117" t="n">
        <f aca="false">IF('MODELO PARA BI'!$E$63=0,0,(D66+E66)/'MODELO PARA BI'!$E$63)</f>
        <v>0</v>
      </c>
      <c r="G66" s="117" t="n">
        <f aca="false">G65+F66</f>
        <v>1</v>
      </c>
      <c r="I66" s="45" t="n">
        <f aca="false">B66*'VALOR POR PL'!$G$50</f>
        <v>0</v>
      </c>
      <c r="J66" s="50" t="n">
        <f aca="false">I66*IF(A66&lt;='VALOR POR PL'!$P$5,IFERROR(INDEX('"INCC-FGV"'!$B$2:$B$800,MATCH(A66,'"INCC-FGV"'!$A$2:$A$800,0)),'VALOR POR PL'!$P$7),'VALOR POR PL'!$P$7)</f>
        <v>0</v>
      </c>
      <c r="K66" s="65" t="n">
        <f aca="false">'MODELO PARA BI'!BR65</f>
        <v>0</v>
      </c>
      <c r="L66" s="65" t="n">
        <f aca="false">'MODELO PARA BI'!BR66</f>
        <v>160420979.399595</v>
      </c>
      <c r="M66" s="50" t="n">
        <f aca="false">M65+J66</f>
        <v>0</v>
      </c>
    </row>
    <row r="67" customFormat="false" ht="15" hidden="false" customHeight="false" outlineLevel="0" collapsed="false">
      <c r="A67" s="119" t="n">
        <f aca="false">'MODELO PARA BI'!BS1</f>
        <v>47543</v>
      </c>
      <c r="B67" s="120"/>
      <c r="C67" s="117" t="n">
        <f aca="false">C66+B67</f>
        <v>0</v>
      </c>
      <c r="D67" s="56" t="n">
        <f aca="false">IF(A67&lt;='VALOR POR PL'!$P$5,'MODELO PARA BI'!BS63,0)</f>
        <v>0</v>
      </c>
      <c r="E67" s="56" t="n">
        <f aca="false">IF(A67&gt;'VALOR POR PL'!$P$5,'MODELO PARA BI'!BS63,0)</f>
        <v>0</v>
      </c>
      <c r="F67" s="117" t="n">
        <f aca="false">IF('MODELO PARA BI'!$E$63=0,0,(D67+E67)/'MODELO PARA BI'!$E$63)</f>
        <v>0</v>
      </c>
      <c r="G67" s="117" t="n">
        <f aca="false">G66+F67</f>
        <v>1</v>
      </c>
      <c r="I67" s="45" t="n">
        <f aca="false">B67*'VALOR POR PL'!$G$50</f>
        <v>0</v>
      </c>
      <c r="J67" s="50" t="n">
        <f aca="false">I67*IF(A67&lt;='VALOR POR PL'!$P$5,IFERROR(INDEX('"INCC-FGV"'!$B$2:$B$800,MATCH(A67,'"INCC-FGV"'!$A$2:$A$800,0)),'VALOR POR PL'!$P$7),'VALOR POR PL'!$P$7)</f>
        <v>0</v>
      </c>
      <c r="K67" s="65" t="n">
        <f aca="false">'MODELO PARA BI'!BS65</f>
        <v>0</v>
      </c>
      <c r="L67" s="65" t="n">
        <f aca="false">'MODELO PARA BI'!BS66</f>
        <v>160420979.399595</v>
      </c>
      <c r="M67" s="50" t="n">
        <f aca="false">M66+J67</f>
        <v>0</v>
      </c>
    </row>
    <row r="68" customFormat="false" ht="15" hidden="false" customHeight="false" outlineLevel="0" collapsed="false">
      <c r="A68" s="119" t="n">
        <f aca="false">'MODELO PARA BI'!BT1</f>
        <v>47574</v>
      </c>
      <c r="B68" s="120"/>
      <c r="C68" s="117" t="n">
        <f aca="false">C67+B68</f>
        <v>0</v>
      </c>
      <c r="D68" s="56" t="n">
        <f aca="false">IF(A68&lt;='VALOR POR PL'!$P$5,'MODELO PARA BI'!BT63,0)</f>
        <v>0</v>
      </c>
      <c r="E68" s="56" t="n">
        <f aca="false">IF(A68&gt;'VALOR POR PL'!$P$5,'MODELO PARA BI'!BT63,0)</f>
        <v>0</v>
      </c>
      <c r="F68" s="117" t="n">
        <f aca="false">IF('MODELO PARA BI'!$E$63=0,0,(D68+E68)/'MODELO PARA BI'!$E$63)</f>
        <v>0</v>
      </c>
      <c r="G68" s="117" t="n">
        <f aca="false">G67+F68</f>
        <v>1</v>
      </c>
      <c r="I68" s="45" t="n">
        <f aca="false">B68*'VALOR POR PL'!$G$50</f>
        <v>0</v>
      </c>
      <c r="J68" s="50" t="n">
        <f aca="false">I68*IF(A68&lt;='VALOR POR PL'!$P$5,IFERROR(INDEX('"INCC-FGV"'!$B$2:$B$800,MATCH(A68,'"INCC-FGV"'!$A$2:$A$800,0)),'VALOR POR PL'!$P$7),'VALOR POR PL'!$P$7)</f>
        <v>0</v>
      </c>
      <c r="K68" s="65" t="n">
        <f aca="false">'MODELO PARA BI'!BT65</f>
        <v>0</v>
      </c>
      <c r="L68" s="65" t="n">
        <f aca="false">'MODELO PARA BI'!BT66</f>
        <v>160420979.399595</v>
      </c>
      <c r="M68" s="50" t="n">
        <f aca="false">M67+J68</f>
        <v>0</v>
      </c>
    </row>
    <row r="69" customFormat="false" ht="15" hidden="false" customHeight="false" outlineLevel="0" collapsed="false">
      <c r="A69" s="119" t="n">
        <f aca="false">'MODELO PARA BI'!BU1</f>
        <v>47604</v>
      </c>
      <c r="B69" s="120"/>
      <c r="C69" s="117" t="n">
        <f aca="false">C68+B69</f>
        <v>0</v>
      </c>
      <c r="D69" s="56" t="n">
        <f aca="false">IF(A69&lt;='VALOR POR PL'!$P$5,'MODELO PARA BI'!BU63,0)</f>
        <v>0</v>
      </c>
      <c r="E69" s="56" t="n">
        <f aca="false">IF(A69&gt;'VALOR POR PL'!$P$5,'MODELO PARA BI'!BU63,0)</f>
        <v>0</v>
      </c>
      <c r="F69" s="117" t="n">
        <f aca="false">IF('MODELO PARA BI'!$E$63=0,0,(D69+E69)/'MODELO PARA BI'!$E$63)</f>
        <v>0</v>
      </c>
      <c r="G69" s="117" t="n">
        <f aca="false">G68+F69</f>
        <v>1</v>
      </c>
      <c r="I69" s="45" t="n">
        <f aca="false">B69*'VALOR POR PL'!$G$50</f>
        <v>0</v>
      </c>
      <c r="J69" s="50" t="n">
        <f aca="false">I69*IF(A69&lt;='VALOR POR PL'!$P$5,IFERROR(INDEX('"INCC-FGV"'!$B$2:$B$800,MATCH(A69,'"INCC-FGV"'!$A$2:$A$800,0)),'VALOR POR PL'!$P$7),'VALOR POR PL'!$P$7)</f>
        <v>0</v>
      </c>
      <c r="K69" s="65" t="n">
        <f aca="false">'MODELO PARA BI'!BU65</f>
        <v>0</v>
      </c>
      <c r="L69" s="65" t="n">
        <f aca="false">'MODELO PARA BI'!BU66</f>
        <v>160420979.399595</v>
      </c>
      <c r="M69" s="50" t="n">
        <f aca="false">M68+J69</f>
        <v>0</v>
      </c>
    </row>
    <row r="70" customFormat="false" ht="15" hidden="false" customHeight="false" outlineLevel="0" collapsed="false">
      <c r="A70" s="119" t="n">
        <f aca="false">'MODELO PARA BI'!BV1</f>
        <v>47635</v>
      </c>
      <c r="B70" s="120"/>
      <c r="C70" s="117" t="n">
        <f aca="false">C69+B70</f>
        <v>0</v>
      </c>
      <c r="D70" s="56" t="n">
        <f aca="false">IF(A70&lt;='VALOR POR PL'!$P$5,'MODELO PARA BI'!BV63,0)</f>
        <v>0</v>
      </c>
      <c r="E70" s="56" t="n">
        <f aca="false">IF(A70&gt;'VALOR POR PL'!$P$5,'MODELO PARA BI'!BV63,0)</f>
        <v>0</v>
      </c>
      <c r="F70" s="117" t="n">
        <f aca="false">IF('MODELO PARA BI'!$E$63=0,0,(D70+E70)/'MODELO PARA BI'!$E$63)</f>
        <v>0</v>
      </c>
      <c r="G70" s="117" t="n">
        <f aca="false">G69+F70</f>
        <v>1</v>
      </c>
      <c r="I70" s="45" t="n">
        <f aca="false">B70*'VALOR POR PL'!$G$50</f>
        <v>0</v>
      </c>
      <c r="J70" s="50" t="n">
        <f aca="false">I70*IF(A70&lt;='VALOR POR PL'!$P$5,IFERROR(INDEX('"INCC-FGV"'!$B$2:$B$800,MATCH(A70,'"INCC-FGV"'!$A$2:$A$800,0)),'VALOR POR PL'!$P$7),'VALOR POR PL'!$P$7)</f>
        <v>0</v>
      </c>
      <c r="K70" s="65" t="n">
        <f aca="false">'MODELO PARA BI'!BV65</f>
        <v>0</v>
      </c>
      <c r="L70" s="65" t="n">
        <f aca="false">'MODELO PARA BI'!BV66</f>
        <v>160420979.399595</v>
      </c>
      <c r="M70" s="50" t="n">
        <f aca="false">M69+J70</f>
        <v>0</v>
      </c>
    </row>
    <row r="71" customFormat="false" ht="15" hidden="false" customHeight="false" outlineLevel="0" collapsed="false">
      <c r="A71" s="119" t="n">
        <f aca="false">'MODELO PARA BI'!BW1</f>
        <v>47665</v>
      </c>
      <c r="B71" s="120"/>
      <c r="C71" s="117" t="n">
        <f aca="false">C70+B71</f>
        <v>0</v>
      </c>
      <c r="D71" s="56" t="n">
        <f aca="false">IF(A71&lt;='VALOR POR PL'!$P$5,'MODELO PARA BI'!BW63,0)</f>
        <v>0</v>
      </c>
      <c r="E71" s="56" t="n">
        <f aca="false">IF(A71&gt;'VALOR POR PL'!$P$5,'MODELO PARA BI'!BW63,0)</f>
        <v>0</v>
      </c>
      <c r="F71" s="117" t="n">
        <f aca="false">IF('MODELO PARA BI'!$E$63=0,0,(D71+E71)/'MODELO PARA BI'!$E$63)</f>
        <v>0</v>
      </c>
      <c r="G71" s="117" t="n">
        <f aca="false">G70+F71</f>
        <v>1</v>
      </c>
      <c r="I71" s="45" t="n">
        <f aca="false">B71*'VALOR POR PL'!$G$50</f>
        <v>0</v>
      </c>
      <c r="J71" s="50" t="n">
        <f aca="false">I71*IF(A71&lt;='VALOR POR PL'!$P$5,IFERROR(INDEX('"INCC-FGV"'!$B$2:$B$800,MATCH(A71,'"INCC-FGV"'!$A$2:$A$800,0)),'VALOR POR PL'!$P$7),'VALOR POR PL'!$P$7)</f>
        <v>0</v>
      </c>
      <c r="K71" s="65" t="n">
        <f aca="false">'MODELO PARA BI'!BW65</f>
        <v>0</v>
      </c>
      <c r="L71" s="65" t="n">
        <f aca="false">'MODELO PARA BI'!BW66</f>
        <v>160420979.399595</v>
      </c>
      <c r="M71" s="50" t="n">
        <f aca="false">M70+J71</f>
        <v>0</v>
      </c>
    </row>
    <row r="72" customFormat="false" ht="15" hidden="false" customHeight="false" outlineLevel="0" collapsed="false">
      <c r="A72" s="119" t="n">
        <f aca="false">'MODELO PARA BI'!BX1</f>
        <v>47696</v>
      </c>
      <c r="B72" s="120"/>
      <c r="C72" s="117" t="n">
        <f aca="false">C71+B72</f>
        <v>0</v>
      </c>
      <c r="D72" s="56" t="n">
        <f aca="false">IF(A72&lt;='VALOR POR PL'!$P$5,'MODELO PARA BI'!BX63,0)</f>
        <v>0</v>
      </c>
      <c r="E72" s="56" t="n">
        <f aca="false">IF(A72&gt;'VALOR POR PL'!$P$5,'MODELO PARA BI'!BX63,0)</f>
        <v>0</v>
      </c>
      <c r="F72" s="117" t="n">
        <f aca="false">IF('MODELO PARA BI'!$E$63=0,0,(D72+E72)/'MODELO PARA BI'!$E$63)</f>
        <v>0</v>
      </c>
      <c r="G72" s="117" t="n">
        <f aca="false">G71+F72</f>
        <v>1</v>
      </c>
      <c r="I72" s="45" t="n">
        <f aca="false">B72*'VALOR POR PL'!$G$50</f>
        <v>0</v>
      </c>
      <c r="J72" s="50" t="n">
        <f aca="false">I72*IF(A72&lt;='VALOR POR PL'!$P$5,IFERROR(INDEX('"INCC-FGV"'!$B$2:$B$800,MATCH(A72,'"INCC-FGV"'!$A$2:$A$800,0)),'VALOR POR PL'!$P$7),'VALOR POR PL'!$P$7)</f>
        <v>0</v>
      </c>
      <c r="K72" s="65" t="n">
        <f aca="false">'MODELO PARA BI'!BX65</f>
        <v>0</v>
      </c>
      <c r="L72" s="65" t="n">
        <f aca="false">'MODELO PARA BI'!BX66</f>
        <v>160420979.399595</v>
      </c>
      <c r="M72" s="50" t="n">
        <f aca="false">M71+J72</f>
        <v>0</v>
      </c>
    </row>
    <row r="73" customFormat="false" ht="15" hidden="false" customHeight="false" outlineLevel="0" collapsed="false">
      <c r="A73" s="119" t="n">
        <f aca="false">'MODELO PARA BI'!BY1</f>
        <v>47727</v>
      </c>
      <c r="B73" s="120"/>
      <c r="C73" s="117" t="n">
        <f aca="false">C72+B73</f>
        <v>0</v>
      </c>
      <c r="D73" s="56" t="n">
        <f aca="false">IF(A73&lt;='VALOR POR PL'!$P$5,'MODELO PARA BI'!BY63,0)</f>
        <v>0</v>
      </c>
      <c r="E73" s="56" t="n">
        <f aca="false">IF(A73&gt;'VALOR POR PL'!$P$5,'MODELO PARA BI'!BY63,0)</f>
        <v>0</v>
      </c>
      <c r="F73" s="117" t="n">
        <f aca="false">IF('MODELO PARA BI'!$E$63=0,0,(D73+E73)/'MODELO PARA BI'!$E$63)</f>
        <v>0</v>
      </c>
      <c r="G73" s="117" t="n">
        <f aca="false">G72+F73</f>
        <v>1</v>
      </c>
      <c r="I73" s="45" t="n">
        <f aca="false">B73*'VALOR POR PL'!$G$50</f>
        <v>0</v>
      </c>
      <c r="J73" s="50" t="n">
        <f aca="false">I73*IF(A73&lt;='VALOR POR PL'!$P$5,IFERROR(INDEX('"INCC-FGV"'!$B$2:$B$800,MATCH(A73,'"INCC-FGV"'!$A$2:$A$800,0)),'VALOR POR PL'!$P$7),'VALOR POR PL'!$P$7)</f>
        <v>0</v>
      </c>
      <c r="K73" s="65" t="n">
        <f aca="false">'MODELO PARA BI'!BY65</f>
        <v>0</v>
      </c>
      <c r="L73" s="65" t="n">
        <f aca="false">'MODELO PARA BI'!BY66</f>
        <v>160420979.399595</v>
      </c>
      <c r="M73" s="50" t="n">
        <f aca="false">M72+J73</f>
        <v>0</v>
      </c>
    </row>
    <row r="74" customFormat="false" ht="15" hidden="false" customHeight="false" outlineLevel="0" collapsed="false">
      <c r="A74" s="119" t="n">
        <f aca="false">'MODELO PARA BI'!BZ1</f>
        <v>47757</v>
      </c>
      <c r="B74" s="120"/>
      <c r="C74" s="117" t="n">
        <f aca="false">C73+B74</f>
        <v>0</v>
      </c>
      <c r="D74" s="56" t="n">
        <f aca="false">IF(A74&lt;='VALOR POR PL'!$P$5,'MODELO PARA BI'!BZ63,0)</f>
        <v>0</v>
      </c>
      <c r="E74" s="56" t="n">
        <f aca="false">IF(A74&gt;'VALOR POR PL'!$P$5,'MODELO PARA BI'!BZ63,0)</f>
        <v>0</v>
      </c>
      <c r="F74" s="117" t="n">
        <f aca="false">IF('MODELO PARA BI'!$E$63=0,0,(D74+E74)/'MODELO PARA BI'!$E$63)</f>
        <v>0</v>
      </c>
      <c r="G74" s="117" t="n">
        <f aca="false">G73+F74</f>
        <v>1</v>
      </c>
      <c r="I74" s="45" t="n">
        <f aca="false">B74*'VALOR POR PL'!$G$50</f>
        <v>0</v>
      </c>
      <c r="J74" s="50" t="n">
        <f aca="false">I74*IF(A74&lt;='VALOR POR PL'!$P$5,IFERROR(INDEX('"INCC-FGV"'!$B$2:$B$800,MATCH(A74,'"INCC-FGV"'!$A$2:$A$800,0)),'VALOR POR PL'!$P$7),'VALOR POR PL'!$P$7)</f>
        <v>0</v>
      </c>
      <c r="K74" s="65" t="n">
        <f aca="false">'MODELO PARA BI'!BZ65</f>
        <v>0</v>
      </c>
      <c r="L74" s="65" t="n">
        <f aca="false">'MODELO PARA BI'!BZ66</f>
        <v>160420979.399595</v>
      </c>
      <c r="M74" s="50" t="n">
        <f aca="false">M73+J74</f>
        <v>0</v>
      </c>
    </row>
    <row r="75" customFormat="false" ht="15" hidden="false" customHeight="false" outlineLevel="0" collapsed="false">
      <c r="A75" s="119" t="n">
        <f aca="false">'MODELO PARA BI'!CA1</f>
        <v>47788</v>
      </c>
      <c r="B75" s="120"/>
      <c r="C75" s="117" t="n">
        <f aca="false">C74+B75</f>
        <v>0</v>
      </c>
      <c r="D75" s="56" t="n">
        <f aca="false">IF(A75&lt;='VALOR POR PL'!$P$5,'MODELO PARA BI'!CA63,0)</f>
        <v>0</v>
      </c>
      <c r="E75" s="56" t="n">
        <f aca="false">IF(A75&gt;'VALOR POR PL'!$P$5,'MODELO PARA BI'!CA63,0)</f>
        <v>0</v>
      </c>
      <c r="F75" s="117" t="n">
        <f aca="false">IF('MODELO PARA BI'!$E$63=0,0,(D75+E75)/'MODELO PARA BI'!$E$63)</f>
        <v>0</v>
      </c>
      <c r="G75" s="117" t="n">
        <f aca="false">G74+F75</f>
        <v>1</v>
      </c>
      <c r="I75" s="45" t="n">
        <f aca="false">B75*'VALOR POR PL'!$G$50</f>
        <v>0</v>
      </c>
      <c r="J75" s="50" t="n">
        <f aca="false">I75*IF(A75&lt;='VALOR POR PL'!$P$5,IFERROR(INDEX('"INCC-FGV"'!$B$2:$B$800,MATCH(A75,'"INCC-FGV"'!$A$2:$A$800,0)),'VALOR POR PL'!$P$7),'VALOR POR PL'!$P$7)</f>
        <v>0</v>
      </c>
      <c r="K75" s="65" t="n">
        <f aca="false">'MODELO PARA BI'!CA65</f>
        <v>0</v>
      </c>
      <c r="L75" s="65" t="n">
        <f aca="false">'MODELO PARA BI'!CA66</f>
        <v>160420979.399595</v>
      </c>
      <c r="M75" s="50" t="n">
        <f aca="false">M74+J75</f>
        <v>0</v>
      </c>
    </row>
  </sheetData>
  <conditionalFormatting sqref="A4:M75">
    <cfRule type="expression" priority="2" aboveAverage="0" equalAverage="0" bottom="0" percent="0" rank="0" text="" dxfId="8">
      <formula>$A4&lt;='VALOR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G8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2"/>
  </cols>
  <sheetData>
    <row r="1" customFormat="false" ht="28.35" hidden="false" customHeight="false" outlineLevel="0" collapsed="false">
      <c r="A1" s="54" t="s">
        <v>382</v>
      </c>
      <c r="B1" s="54" t="s">
        <v>399</v>
      </c>
      <c r="C1" s="54" t="s">
        <v>400</v>
      </c>
      <c r="D1" s="54" t="s">
        <v>401</v>
      </c>
      <c r="E1" s="54" t="s">
        <v>402</v>
      </c>
    </row>
    <row r="2" customFormat="false" ht="15" hidden="false" customHeight="false" outlineLevel="0" collapsed="false">
      <c r="A2" s="121" t="n">
        <v>34547</v>
      </c>
      <c r="B2" s="43" t="n">
        <v>100</v>
      </c>
      <c r="D2" s="122" t="str">
        <f aca="false">IF(B2="","",IFERROR(B2/INDEX($B$2:$B$800,MATCH(DATE(YEAR(A2)-1,12,1),$A$2:$A$800,0))-1,""))</f>
        <v/>
      </c>
      <c r="E2" s="122" t="str">
        <f aca="false">IF(B2="","",IFERROR(B2/INDEX($B$2:$B$800,MATCH(DATE(YEAR(A2)-1,MONTH(A2),1),$A$2:$A$800,0))-1,""))</f>
        <v/>
      </c>
      <c r="G2" s="123" t="s">
        <v>403</v>
      </c>
    </row>
    <row r="3" customFormat="false" ht="15" hidden="false" customHeight="false" outlineLevel="0" collapsed="false">
      <c r="A3" s="121" t="n">
        <v>34578</v>
      </c>
      <c r="B3" s="43" t="n">
        <v>100.381</v>
      </c>
      <c r="C3" s="122" t="n">
        <f aca="false">IF(OR(B3="",B2=""),"",B3/B2-1)</f>
        <v>0.00381000000000009</v>
      </c>
      <c r="D3" s="122" t="str">
        <f aca="false">IF(B3="","",IFERROR(B3/INDEX($B$2:$B$800,MATCH(DATE(YEAR(A3)-1,12,1),$A$2:$A$800,0))-1,""))</f>
        <v/>
      </c>
      <c r="E3" s="122" t="str">
        <f aca="false">IF(B3="","",IFERROR(B3/INDEX($B$2:$B$800,MATCH(DATE(YEAR(A3)-1,MONTH(A3),1),$A$2:$A$800,0))-1,""))</f>
        <v/>
      </c>
    </row>
    <row r="4" customFormat="false" ht="15" hidden="false" customHeight="false" outlineLevel="0" collapsed="false">
      <c r="A4" s="121" t="n">
        <v>34608</v>
      </c>
      <c r="B4" s="43" t="n">
        <v>101.71</v>
      </c>
      <c r="C4" s="122" t="n">
        <f aca="false">IF(OR(B4="",B3=""),"",B4/B3-1)</f>
        <v>0.0132395572867374</v>
      </c>
      <c r="D4" s="122" t="str">
        <f aca="false">IF(B4="","",IFERROR(B4/INDEX($B$2:$B$800,MATCH(DATE(YEAR(A4)-1,12,1),$A$2:$A$800,0))-1,""))</f>
        <v/>
      </c>
      <c r="E4" s="122" t="str">
        <f aca="false">IF(B4="","",IFERROR(B4/INDEX($B$2:$B$800,MATCH(DATE(YEAR(A4)-1,MONTH(A4),1),$A$2:$A$800,0))-1,""))</f>
        <v/>
      </c>
    </row>
    <row r="5" customFormat="false" ht="15" hidden="false" customHeight="false" outlineLevel="0" collapsed="false">
      <c r="A5" s="121" t="n">
        <v>34639</v>
      </c>
      <c r="B5" s="43" t="n">
        <v>104.11</v>
      </c>
      <c r="C5" s="122" t="n">
        <f aca="false">IF(OR(B5="",B4=""),"",B5/B4-1)</f>
        <v>0.023596499852522</v>
      </c>
      <c r="D5" s="122" t="str">
        <f aca="false">IF(B5="","",IFERROR(B5/INDEX($B$2:$B$800,MATCH(DATE(YEAR(A5)-1,12,1),$A$2:$A$800,0))-1,""))</f>
        <v/>
      </c>
      <c r="E5" s="122" t="str">
        <f aca="false">IF(B5="","",IFERROR(B5/INDEX($B$2:$B$800,MATCH(DATE(YEAR(A5)-1,MONTH(A5),1),$A$2:$A$800,0))-1,""))</f>
        <v/>
      </c>
    </row>
    <row r="6" customFormat="false" ht="15" hidden="false" customHeight="false" outlineLevel="0" collapsed="false">
      <c r="A6" s="121" t="n">
        <v>34669</v>
      </c>
      <c r="B6" s="43" t="n">
        <v>105.487</v>
      </c>
      <c r="C6" s="122" t="n">
        <f aca="false">IF(OR(B6="",B5=""),"",B6/B5-1)</f>
        <v>0.0132263951589664</v>
      </c>
      <c r="D6" s="122" t="str">
        <f aca="false">IF(B6="","",IFERROR(B6/INDEX($B$2:$B$800,MATCH(DATE(YEAR(A6)-1,12,1),$A$2:$A$800,0))-1,""))</f>
        <v/>
      </c>
      <c r="E6" s="122" t="str">
        <f aca="false">IF(B6="","",IFERROR(B6/INDEX($B$2:$B$800,MATCH(DATE(YEAR(A6)-1,MONTH(A6),1),$A$2:$A$800,0))-1,""))</f>
        <v/>
      </c>
    </row>
    <row r="7" customFormat="false" ht="15" hidden="false" customHeight="false" outlineLevel="0" collapsed="false">
      <c r="A7" s="121" t="n">
        <v>34700</v>
      </c>
      <c r="B7" s="43" t="n">
        <v>109.176</v>
      </c>
      <c r="C7" s="122" t="n">
        <f aca="false">IF(OR(B7="",B6=""),"",B7/B6-1)</f>
        <v>0.0349711338837961</v>
      </c>
      <c r="D7" s="122" t="n">
        <f aca="false">IF(B7="","",IFERROR(B7/INDEX($B$2:$B$800,MATCH(DATE(YEAR(A7)-1,12,1),$A$2:$A$800,0))-1,""))</f>
        <v>0.0349711338837961</v>
      </c>
      <c r="E7" s="122" t="str">
        <f aca="false">IF(B7="","",IFERROR(B7/INDEX($B$2:$B$800,MATCH(DATE(YEAR(A7)-1,MONTH(A7),1),$A$2:$A$800,0))-1,""))</f>
        <v/>
      </c>
    </row>
    <row r="8" customFormat="false" ht="15" hidden="false" customHeight="false" outlineLevel="0" collapsed="false">
      <c r="A8" s="121" t="n">
        <v>34731</v>
      </c>
      <c r="B8" s="43" t="n">
        <v>111.453</v>
      </c>
      <c r="C8" s="122" t="n">
        <f aca="false">IF(OR(B8="",B7=""),"",B8/B7-1)</f>
        <v>0.0208562321389316</v>
      </c>
      <c r="D8" s="122" t="n">
        <f aca="false">IF(B8="","",IFERROR(B8/INDEX($B$2:$B$800,MATCH(DATE(YEAR(A8)-1,12,1),$A$2:$A$800,0))-1,""))</f>
        <v>0.05655673210917</v>
      </c>
      <c r="E8" s="122" t="str">
        <f aca="false">IF(B8="","",IFERROR(B8/INDEX($B$2:$B$800,MATCH(DATE(YEAR(A8)-1,MONTH(A8),1),$A$2:$A$800,0))-1,""))</f>
        <v/>
      </c>
    </row>
    <row r="9" customFormat="false" ht="15" hidden="false" customHeight="false" outlineLevel="0" collapsed="false">
      <c r="A9" s="121" t="n">
        <v>34759</v>
      </c>
      <c r="B9" s="43" t="n">
        <v>115.129</v>
      </c>
      <c r="C9" s="122" t="n">
        <f aca="false">IF(OR(B9="",B8=""),"",B9/B8-1)</f>
        <v>0.0329825128080896</v>
      </c>
      <c r="D9" s="122" t="n">
        <f aca="false">IF(B9="","",IFERROR(B9/INDEX($B$2:$B$800,MATCH(DATE(YEAR(A9)-1,12,1),$A$2:$A$800,0))-1,""))</f>
        <v>0.0914046280584338</v>
      </c>
      <c r="E9" s="122" t="str">
        <f aca="false">IF(B9="","",IFERROR(B9/INDEX($B$2:$B$800,MATCH(DATE(YEAR(A9)-1,MONTH(A9),1),$A$2:$A$800,0))-1,""))</f>
        <v/>
      </c>
    </row>
    <row r="10" customFormat="false" ht="15" hidden="false" customHeight="false" outlineLevel="0" collapsed="false">
      <c r="A10" s="121" t="n">
        <v>34790</v>
      </c>
      <c r="B10" s="43" t="n">
        <v>117.774</v>
      </c>
      <c r="C10" s="122" t="n">
        <f aca="false">IF(OR(B10="",B9=""),"",B10/B9-1)</f>
        <v>0.0229742289084418</v>
      </c>
      <c r="D10" s="122" t="n">
        <f aca="false">IF(B10="","",IFERROR(B10/INDEX($B$2:$B$800,MATCH(DATE(YEAR(A10)-1,12,1),$A$2:$A$800,0))-1,""))</f>
        <v>0.116478807815181</v>
      </c>
      <c r="E10" s="122" t="str">
        <f aca="false">IF(B10="","",IFERROR(B10/INDEX($B$2:$B$800,MATCH(DATE(YEAR(A10)-1,MONTH(A10),1),$A$2:$A$800,0))-1,""))</f>
        <v/>
      </c>
    </row>
    <row r="11" customFormat="false" ht="15" hidden="false" customHeight="false" outlineLevel="0" collapsed="false">
      <c r="A11" s="121" t="n">
        <v>34820</v>
      </c>
      <c r="B11" s="43" t="n">
        <v>128.098</v>
      </c>
      <c r="C11" s="122" t="n">
        <f aca="false">IF(OR(B11="",B10=""),"",B11/B10-1)</f>
        <v>0.0876594154906856</v>
      </c>
      <c r="D11" s="122" t="n">
        <f aca="false">IF(B11="","",IFERROR(B11/INDEX($B$2:$B$800,MATCH(DATE(YEAR(A11)-1,12,1),$A$2:$A$800,0))-1,""))</f>
        <v>0.214348687515997</v>
      </c>
      <c r="E11" s="122" t="str">
        <f aca="false">IF(B11="","",IFERROR(B11/INDEX($B$2:$B$800,MATCH(DATE(YEAR(A11)-1,MONTH(A11),1),$A$2:$A$800,0))-1,""))</f>
        <v/>
      </c>
    </row>
    <row r="12" customFormat="false" ht="15" hidden="false" customHeight="false" outlineLevel="0" collapsed="false">
      <c r="A12" s="121" t="n">
        <v>34851</v>
      </c>
      <c r="B12" s="43" t="n">
        <v>132.09</v>
      </c>
      <c r="C12" s="122" t="n">
        <f aca="false">IF(OR(B12="",B11=""),"",B12/B11-1)</f>
        <v>0.0311636403378663</v>
      </c>
      <c r="D12" s="122" t="n">
        <f aca="false">IF(B12="","",IFERROR(B12/INDEX($B$2:$B$800,MATCH(DATE(YEAR(A12)-1,12,1),$A$2:$A$800,0))-1,""))</f>
        <v>0.252192213258506</v>
      </c>
      <c r="E12" s="122" t="str">
        <f aca="false">IF(B12="","",IFERROR(B12/INDEX($B$2:$B$800,MATCH(DATE(YEAR(A12)-1,MONTH(A12),1),$A$2:$A$800,0))-1,""))</f>
        <v/>
      </c>
    </row>
    <row r="13" customFormat="false" ht="15" hidden="false" customHeight="false" outlineLevel="0" collapsed="false">
      <c r="A13" s="121" t="n">
        <v>34881</v>
      </c>
      <c r="B13" s="43" t="n">
        <v>133.524</v>
      </c>
      <c r="C13" s="122" t="n">
        <f aca="false">IF(OR(B13="",B12=""),"",B13/B12-1)</f>
        <v>0.0108562343856462</v>
      </c>
      <c r="D13" s="122" t="n">
        <f aca="false">IF(B13="","",IFERROR(B13/INDEX($B$2:$B$800,MATCH(DATE(YEAR(A13)-1,12,1),$A$2:$A$800,0))-1,""))</f>
        <v>0.265786305421521</v>
      </c>
      <c r="E13" s="122" t="str">
        <f aca="false">IF(B13="","",IFERROR(B13/INDEX($B$2:$B$800,MATCH(DATE(YEAR(A13)-1,MONTH(A13),1),$A$2:$A$800,0))-1,""))</f>
        <v/>
      </c>
    </row>
    <row r="14" customFormat="false" ht="15" hidden="false" customHeight="false" outlineLevel="0" collapsed="false">
      <c r="A14" s="121" t="n">
        <v>34912</v>
      </c>
      <c r="B14" s="43" t="n">
        <v>134.353</v>
      </c>
      <c r="C14" s="122" t="n">
        <f aca="false">IF(OR(B14="",B13=""),"",B14/B13-1)</f>
        <v>0.00620862167101044</v>
      </c>
      <c r="D14" s="122" t="n">
        <f aca="false">IF(B14="","",IFERROR(B14/INDEX($B$2:$B$800,MATCH(DATE(YEAR(A14)-1,12,1),$A$2:$A$800,0))-1,""))</f>
        <v>0.27364509370823</v>
      </c>
      <c r="E14" s="122" t="n">
        <f aca="false">IF(B14="","",IFERROR(B14/INDEX($B$2:$B$800,MATCH(DATE(YEAR(A14)-1,MONTH(A14),1),$A$2:$A$800,0))-1,""))</f>
        <v>0.34353</v>
      </c>
    </row>
    <row r="15" customFormat="false" ht="15" hidden="false" customHeight="false" outlineLevel="0" collapsed="false">
      <c r="A15" s="121" t="n">
        <v>34943</v>
      </c>
      <c r="B15" s="43" t="n">
        <v>135.318</v>
      </c>
      <c r="C15" s="122" t="n">
        <f aca="false">IF(OR(B15="",B14=""),"",B15/B14-1)</f>
        <v>0.00718257128608957</v>
      </c>
      <c r="D15" s="122" t="n">
        <f aca="false">IF(B15="","",IFERROR(B15/INDEX($B$2:$B$800,MATCH(DATE(YEAR(A15)-1,12,1),$A$2:$A$800,0))-1,""))</f>
        <v>0.282793140386967</v>
      </c>
      <c r="E15" s="122" t="n">
        <f aca="false">IF(B15="","",IFERROR(B15/INDEX($B$2:$B$800,MATCH(DATE(YEAR(A15)-1,MONTH(A15),1),$A$2:$A$800,0))-1,""))</f>
        <v>0.34804395254082</v>
      </c>
    </row>
    <row r="16" customFormat="false" ht="15" hidden="false" customHeight="false" outlineLevel="0" collapsed="false">
      <c r="A16" s="121" t="n">
        <v>34973</v>
      </c>
      <c r="B16" s="43" t="n">
        <v>136.484</v>
      </c>
      <c r="C16" s="122" t="n">
        <f aca="false">IF(OR(B16="",B15=""),"",B16/B15-1)</f>
        <v>0.00861673982766509</v>
      </c>
      <c r="D16" s="122" t="n">
        <f aca="false">IF(B16="","",IFERROR(B16/INDEX($B$2:$B$800,MATCH(DATE(YEAR(A16)-1,12,1),$A$2:$A$800,0))-1,""))</f>
        <v>0.293846635130395</v>
      </c>
      <c r="E16" s="122" t="n">
        <f aca="false">IF(B16="","",IFERROR(B16/INDEX($B$2:$B$800,MATCH(DATE(YEAR(A16)-1,MONTH(A16),1),$A$2:$A$800,0))-1,""))</f>
        <v>0.341893619113165</v>
      </c>
    </row>
    <row r="17" customFormat="false" ht="15" hidden="false" customHeight="false" outlineLevel="0" collapsed="false">
      <c r="A17" s="121" t="n">
        <v>35004</v>
      </c>
      <c r="B17" s="43" t="n">
        <v>137.478</v>
      </c>
      <c r="C17" s="122" t="n">
        <f aca="false">IF(OR(B17="",B16=""),"",B17/B16-1)</f>
        <v>0.00728290495589223</v>
      </c>
      <c r="D17" s="122" t="n">
        <f aca="false">IF(B17="","",IFERROR(B17/INDEX($B$2:$B$800,MATCH(DATE(YEAR(A17)-1,12,1),$A$2:$A$800,0))-1,""))</f>
        <v>0.303269597201551</v>
      </c>
      <c r="E17" s="122" t="n">
        <f aca="false">IF(B17="","",IFERROR(B17/INDEX($B$2:$B$800,MATCH(DATE(YEAR(A17)-1,MONTH(A17),1),$A$2:$A$800,0))-1,""))</f>
        <v>0.320507155892806</v>
      </c>
    </row>
    <row r="18" customFormat="false" ht="15" hidden="false" customHeight="false" outlineLevel="0" collapsed="false">
      <c r="A18" s="121" t="n">
        <v>35034</v>
      </c>
      <c r="B18" s="43" t="n">
        <v>138.664</v>
      </c>
      <c r="C18" s="122" t="n">
        <f aca="false">IF(OR(B18="",B17=""),"",B18/B17-1)</f>
        <v>0.0086268348390286</v>
      </c>
      <c r="D18" s="122" t="n">
        <f aca="false">IF(B18="","",IFERROR(B18/INDEX($B$2:$B$800,MATCH(DATE(YEAR(A18)-1,12,1),$A$2:$A$800,0))-1,""))</f>
        <v>0.314512688767336</v>
      </c>
      <c r="E18" s="122" t="n">
        <f aca="false">IF(B18="","",IFERROR(B18/INDEX($B$2:$B$800,MATCH(DATE(YEAR(A18)-1,MONTH(A18),1),$A$2:$A$800,0))-1,""))</f>
        <v>0.314512688767336</v>
      </c>
    </row>
    <row r="19" customFormat="false" ht="15" hidden="false" customHeight="false" outlineLevel="0" collapsed="false">
      <c r="A19" s="121" t="n">
        <v>35065</v>
      </c>
      <c r="B19" s="43" t="n">
        <v>140.766</v>
      </c>
      <c r="C19" s="122" t="n">
        <f aca="false">IF(OR(B19="",B18=""),"",B19/B18-1)</f>
        <v>0.0151589453643339</v>
      </c>
      <c r="D19" s="122" t="n">
        <f aca="false">IF(B19="","",IFERROR(B19/INDEX($B$2:$B$800,MATCH(DATE(YEAR(A19)-1,12,1),$A$2:$A$800,0))-1,""))</f>
        <v>0.0151589453643339</v>
      </c>
      <c r="E19" s="122" t="n">
        <f aca="false">IF(B19="","",IFERROR(B19/INDEX($B$2:$B$800,MATCH(DATE(YEAR(A19)-1,MONTH(A19),1),$A$2:$A$800,0))-1,""))</f>
        <v>0.289349307540119</v>
      </c>
    </row>
    <row r="20" customFormat="false" ht="15" hidden="false" customHeight="false" outlineLevel="0" collapsed="false">
      <c r="A20" s="121" t="n">
        <v>35096</v>
      </c>
      <c r="B20" s="43" t="n">
        <v>140.929</v>
      </c>
      <c r="C20" s="122" t="n">
        <f aca="false">IF(OR(B20="",B19=""),"",B20/B19-1)</f>
        <v>0.0011579500731711</v>
      </c>
      <c r="D20" s="122" t="n">
        <f aca="false">IF(B20="","",IFERROR(B20/INDEX($B$2:$B$800,MATCH(DATE(YEAR(A20)-1,12,1),$A$2:$A$800,0))-1,""))</f>
        <v>0.016334448739399</v>
      </c>
      <c r="E20" s="122" t="n">
        <f aca="false">IF(B20="","",IFERROR(B20/INDEX($B$2:$B$800,MATCH(DATE(YEAR(A20)-1,MONTH(A20),1),$A$2:$A$800,0))-1,""))</f>
        <v>0.264470225117314</v>
      </c>
    </row>
    <row r="21" customFormat="false" ht="15" hidden="false" customHeight="false" outlineLevel="0" collapsed="false">
      <c r="A21" s="121" t="n">
        <v>35125</v>
      </c>
      <c r="B21" s="43" t="n">
        <v>142.313</v>
      </c>
      <c r="C21" s="122" t="n">
        <f aca="false">IF(OR(B21="",B20=""),"",B21/B20-1)</f>
        <v>0.00982054793548515</v>
      </c>
      <c r="D21" s="122" t="n">
        <f aca="false">IF(B21="","",IFERROR(B21/INDEX($B$2:$B$800,MATCH(DATE(YEAR(A21)-1,12,1),$A$2:$A$800,0))-1,""))</f>
        <v>0.0263154099117291</v>
      </c>
      <c r="E21" s="122" t="n">
        <f aca="false">IF(B21="","",IFERROR(B21/INDEX($B$2:$B$800,MATCH(DATE(YEAR(A21)-1,MONTH(A21),1),$A$2:$A$800,0))-1,""))</f>
        <v>0.236117746180371</v>
      </c>
    </row>
    <row r="22" customFormat="false" ht="15" hidden="false" customHeight="false" outlineLevel="0" collapsed="false">
      <c r="A22" s="121" t="n">
        <v>35156</v>
      </c>
      <c r="B22" s="43" t="n">
        <v>142.663</v>
      </c>
      <c r="C22" s="122" t="n">
        <f aca="false">IF(OR(B22="",B21=""),"",B22/B21-1)</f>
        <v>0.0024593677316902</v>
      </c>
      <c r="D22" s="122" t="n">
        <f aca="false">IF(B22="","",IFERROR(B22/INDEX($B$2:$B$800,MATCH(DATE(YEAR(A22)-1,12,1),$A$2:$A$800,0))-1,""))</f>
        <v>0.0288394969134023</v>
      </c>
      <c r="E22" s="122" t="n">
        <f aca="false">IF(B22="","",IFERROR(B22/INDEX($B$2:$B$800,MATCH(DATE(YEAR(A22)-1,MONTH(A22),1),$A$2:$A$800,0))-1,""))</f>
        <v>0.211328476573777</v>
      </c>
    </row>
    <row r="23" customFormat="false" ht="15" hidden="false" customHeight="false" outlineLevel="0" collapsed="false">
      <c r="A23" s="121" t="n">
        <v>35186</v>
      </c>
      <c r="B23" s="43" t="n">
        <v>145.742</v>
      </c>
      <c r="C23" s="122" t="n">
        <f aca="false">IF(OR(B23="",B22=""),"",B23/B22-1)</f>
        <v>0.0215823303869958</v>
      </c>
      <c r="D23" s="122" t="n">
        <f aca="false">IF(B23="","",IFERROR(B23/INDEX($B$2:$B$800,MATCH(DATE(YEAR(A23)-1,12,1),$A$2:$A$800,0))-1,""))</f>
        <v>0.0510442508509779</v>
      </c>
      <c r="E23" s="122" t="n">
        <f aca="false">IF(B23="","",IFERROR(B23/INDEX($B$2:$B$800,MATCH(DATE(YEAR(A23)-1,MONTH(A23),1),$A$2:$A$800,0))-1,""))</f>
        <v>0.137738294118565</v>
      </c>
    </row>
    <row r="24" customFormat="false" ht="15" hidden="false" customHeight="false" outlineLevel="0" collapsed="false">
      <c r="A24" s="121" t="n">
        <v>35217</v>
      </c>
      <c r="B24" s="43" t="n">
        <v>147.984</v>
      </c>
      <c r="C24" s="122" t="n">
        <f aca="false">IF(OR(B24="",B23=""),"",B24/B23-1)</f>
        <v>0.0153833486572164</v>
      </c>
      <c r="D24" s="122" t="n">
        <f aca="false">IF(B24="","",IFERROR(B24/INDEX($B$2:$B$800,MATCH(DATE(YEAR(A24)-1,12,1),$A$2:$A$800,0))-1,""))</f>
        <v>0.0672128310159812</v>
      </c>
      <c r="E24" s="122" t="n">
        <f aca="false">IF(B24="","",IFERROR(B24/INDEX($B$2:$B$800,MATCH(DATE(YEAR(A24)-1,MONTH(A24),1),$A$2:$A$800,0))-1,""))</f>
        <v>0.120327049738814</v>
      </c>
    </row>
    <row r="25" customFormat="false" ht="15" hidden="false" customHeight="false" outlineLevel="0" collapsed="false">
      <c r="A25" s="121" t="n">
        <v>35247</v>
      </c>
      <c r="B25" s="43" t="n">
        <v>149.095</v>
      </c>
      <c r="C25" s="122" t="n">
        <f aca="false">IF(OR(B25="",B24=""),"",B25/B24-1)</f>
        <v>0.00750756838577127</v>
      </c>
      <c r="D25" s="122" t="n">
        <f aca="false">IF(B25="","",IFERROR(B25/INDEX($B$2:$B$800,MATCH(DATE(YEAR(A25)-1,12,1),$A$2:$A$800,0))-1,""))</f>
        <v>0.0752250043270064</v>
      </c>
      <c r="E25" s="122" t="n">
        <f aca="false">IF(B25="","",IFERROR(B25/INDEX($B$2:$B$800,MATCH(DATE(YEAR(A25)-1,MONTH(A25),1),$A$2:$A$800,0))-1,""))</f>
        <v>0.116615739492526</v>
      </c>
    </row>
    <row r="26" customFormat="false" ht="15" hidden="false" customHeight="false" outlineLevel="0" collapsed="false">
      <c r="A26" s="121" t="n">
        <v>35278</v>
      </c>
      <c r="B26" s="43" t="n">
        <v>149.445</v>
      </c>
      <c r="C26" s="122" t="n">
        <f aca="false">IF(OR(B26="",B25=""),"",B26/B25-1)</f>
        <v>0.00234749656259425</v>
      </c>
      <c r="D26" s="122" t="n">
        <f aca="false">IF(B26="","",IFERROR(B26/INDEX($B$2:$B$800,MATCH(DATE(YEAR(A26)-1,12,1),$A$2:$A$800,0))-1,""))</f>
        <v>0.0777490913286794</v>
      </c>
      <c r="E26" s="122" t="n">
        <f aca="false">IF(B26="","",IFERROR(B26/INDEX($B$2:$B$800,MATCH(DATE(YEAR(A26)-1,MONTH(A26),1),$A$2:$A$800,0))-1,""))</f>
        <v>0.11233094906701</v>
      </c>
    </row>
    <row r="27" customFormat="false" ht="15" hidden="false" customHeight="false" outlineLevel="0" collapsed="false">
      <c r="A27" s="121" t="n">
        <v>35309</v>
      </c>
      <c r="B27" s="43" t="n">
        <v>149.772</v>
      </c>
      <c r="C27" s="122" t="n">
        <f aca="false">IF(OR(B27="",B26=""),"",B27/B26-1)</f>
        <v>0.00218809595503355</v>
      </c>
      <c r="D27" s="122" t="n">
        <f aca="false">IF(B27="","",IFERROR(B27/INDEX($B$2:$B$800,MATCH(DATE(YEAR(A27)-1,12,1),$A$2:$A$800,0))-1,""))</f>
        <v>0.0801073097559568</v>
      </c>
      <c r="E27" s="122" t="n">
        <f aca="false">IF(B27="","",IFERROR(B27/INDEX($B$2:$B$800,MATCH(DATE(YEAR(A27)-1,MONTH(A27),1),$A$2:$A$800,0))-1,""))</f>
        <v>0.106815057863699</v>
      </c>
    </row>
    <row r="28" customFormat="false" ht="15" hidden="false" customHeight="false" outlineLevel="0" collapsed="false">
      <c r="A28" s="121" t="n">
        <v>35339</v>
      </c>
      <c r="B28" s="43" t="n">
        <v>150.157</v>
      </c>
      <c r="C28" s="122" t="n">
        <f aca="false">IF(OR(B28="",B27=""),"",B28/B27-1)</f>
        <v>0.00257057393905424</v>
      </c>
      <c r="D28" s="122" t="n">
        <f aca="false">IF(B28="","",IFERROR(B28/INDEX($B$2:$B$800,MATCH(DATE(YEAR(A28)-1,12,1),$A$2:$A$800,0))-1,""))</f>
        <v>0.0828838054577974</v>
      </c>
      <c r="E28" s="122" t="n">
        <f aca="false">IF(B28="","",IFERROR(B28/INDEX($B$2:$B$800,MATCH(DATE(YEAR(A28)-1,MONTH(A28),1),$A$2:$A$800,0))-1,""))</f>
        <v>0.100180240907359</v>
      </c>
    </row>
    <row r="29" customFormat="false" ht="15" hidden="false" customHeight="false" outlineLevel="0" collapsed="false">
      <c r="A29" s="121" t="n">
        <v>35370</v>
      </c>
      <c r="B29" s="43" t="n">
        <v>151.035</v>
      </c>
      <c r="C29" s="122" t="n">
        <f aca="false">IF(OR(B29="",B28=""),"",B29/B28-1)</f>
        <v>0.00584721325013149</v>
      </c>
      <c r="D29" s="122" t="n">
        <f aca="false">IF(B29="","",IFERROR(B29/INDEX($B$2:$B$800,MATCH(DATE(YEAR(A29)-1,12,1),$A$2:$A$800,0))-1,""))</f>
        <v>0.0892156579934231</v>
      </c>
      <c r="E29" s="122" t="n">
        <f aca="false">IF(B29="","",IFERROR(B29/INDEX($B$2:$B$800,MATCH(DATE(YEAR(A29)-1,MONTH(A29),1),$A$2:$A$800,0))-1,""))</f>
        <v>0.0986121415790162</v>
      </c>
    </row>
    <row r="30" customFormat="false" ht="15" hidden="false" customHeight="false" outlineLevel="0" collapsed="false">
      <c r="A30" s="121" t="n">
        <v>35400</v>
      </c>
      <c r="B30" s="43" t="n">
        <v>151.922</v>
      </c>
      <c r="C30" s="122" t="n">
        <f aca="false">IF(OR(B30="",B29=""),"",B30/B29-1)</f>
        <v>0.00587281093786207</v>
      </c>
      <c r="D30" s="122" t="n">
        <f aca="false">IF(B30="","",IFERROR(B30/INDEX($B$2:$B$800,MATCH(DATE(YEAR(A30)-1,12,1),$A$2:$A$800,0))-1,""))</f>
        <v>0.0956124156233775</v>
      </c>
      <c r="E30" s="122" t="n">
        <f aca="false">IF(B30="","",IFERROR(B30/INDEX($B$2:$B$800,MATCH(DATE(YEAR(A30)-1,MONTH(A30),1),$A$2:$A$800,0))-1,""))</f>
        <v>0.0956124156233775</v>
      </c>
    </row>
    <row r="31" customFormat="false" ht="15" hidden="false" customHeight="false" outlineLevel="0" collapsed="false">
      <c r="A31" s="121" t="n">
        <v>35431</v>
      </c>
      <c r="B31" s="43" t="n">
        <v>152.408</v>
      </c>
      <c r="C31" s="122" t="n">
        <f aca="false">IF(OR(B31="",B30=""),"",B31/B30-1)</f>
        <v>0.00319901001829881</v>
      </c>
      <c r="D31" s="122" t="n">
        <f aca="false">IF(B31="","",IFERROR(B31/INDEX($B$2:$B$800,MATCH(DATE(YEAR(A31)-1,12,1),$A$2:$A$800,0))-1,""))</f>
        <v>0.00319901001829881</v>
      </c>
      <c r="E31" s="122" t="n">
        <f aca="false">IF(B31="","",IFERROR(B31/INDEX($B$2:$B$800,MATCH(DATE(YEAR(A31)-1,MONTH(A31),1),$A$2:$A$800,0))-1,""))</f>
        <v>0.0827046303794949</v>
      </c>
    </row>
    <row r="32" customFormat="false" ht="15" hidden="false" customHeight="false" outlineLevel="0" collapsed="false">
      <c r="A32" s="121" t="n">
        <v>35462</v>
      </c>
      <c r="B32" s="43" t="n">
        <v>153.147</v>
      </c>
      <c r="C32" s="122" t="n">
        <f aca="false">IF(OR(B32="",B31=""),"",B32/B31-1)</f>
        <v>0.00484882683323717</v>
      </c>
      <c r="D32" s="122" t="n">
        <f aca="false">IF(B32="","",IFERROR(B32/INDEX($B$2:$B$800,MATCH(DATE(YEAR(A32)-1,12,1),$A$2:$A$800,0))-1,""))</f>
        <v>0.00806334829715238</v>
      </c>
      <c r="E32" s="122" t="n">
        <f aca="false">IF(B32="","",IFERROR(B32/INDEX($B$2:$B$800,MATCH(DATE(YEAR(A32)-1,MONTH(A32),1),$A$2:$A$800,0))-1,""))</f>
        <v>0.0866961377715019</v>
      </c>
    </row>
    <row r="33" customFormat="false" ht="15" hidden="false" customHeight="false" outlineLevel="0" collapsed="false">
      <c r="A33" s="121" t="n">
        <v>35490</v>
      </c>
      <c r="B33" s="43" t="n">
        <v>154.26</v>
      </c>
      <c r="C33" s="122" t="n">
        <f aca="false">IF(OR(B33="",B32=""),"",B33/B32-1)</f>
        <v>0.00726752727771363</v>
      </c>
      <c r="D33" s="122" t="n">
        <f aca="false">IF(B33="","",IFERROR(B33/INDEX($B$2:$B$800,MATCH(DATE(YEAR(A33)-1,12,1),$A$2:$A$800,0))-1,""))</f>
        <v>0.0153894761785653</v>
      </c>
      <c r="E33" s="122" t="n">
        <f aca="false">IF(B33="","",IFERROR(B33/INDEX($B$2:$B$800,MATCH(DATE(YEAR(A33)-1,MONTH(A33),1),$A$2:$A$800,0))-1,""))</f>
        <v>0.0839487608300016</v>
      </c>
    </row>
    <row r="34" customFormat="false" ht="15" hidden="false" customHeight="false" outlineLevel="0" collapsed="false">
      <c r="A34" s="121" t="n">
        <v>35521</v>
      </c>
      <c r="B34" s="43" t="n">
        <v>154.616</v>
      </c>
      <c r="C34" s="122" t="n">
        <f aca="false">IF(OR(B34="",B33=""),"",B34/B33-1)</f>
        <v>0.00230779203941411</v>
      </c>
      <c r="D34" s="122" t="n">
        <f aca="false">IF(B34="","",IFERROR(B34/INDEX($B$2:$B$800,MATCH(DATE(YEAR(A34)-1,12,1),$A$2:$A$800,0))-1,""))</f>
        <v>0.017732783928595</v>
      </c>
      <c r="E34" s="122" t="n">
        <f aca="false">IF(B34="","",IFERROR(B34/INDEX($B$2:$B$800,MATCH(DATE(YEAR(A34)-1,MONTH(A34),1),$A$2:$A$800,0))-1,""))</f>
        <v>0.0837848636296728</v>
      </c>
    </row>
    <row r="35" customFormat="false" ht="15" hidden="false" customHeight="false" outlineLevel="0" collapsed="false">
      <c r="A35" s="121" t="n">
        <v>35551</v>
      </c>
      <c r="B35" s="43" t="n">
        <v>155.953</v>
      </c>
      <c r="C35" s="122" t="n">
        <f aca="false">IF(OR(B35="",B34=""),"",B35/B34-1)</f>
        <v>0.00864722926475903</v>
      </c>
      <c r="D35" s="122" t="n">
        <f aca="false">IF(B35="","",IFERROR(B35/INDEX($B$2:$B$800,MATCH(DATE(YEAR(A35)-1,12,1),$A$2:$A$800,0))-1,""))</f>
        <v>0.026533352641487</v>
      </c>
      <c r="E35" s="122" t="n">
        <f aca="false">IF(B35="","",IFERROR(B35/INDEX($B$2:$B$800,MATCH(DATE(YEAR(A35)-1,MONTH(A35),1),$A$2:$A$800,0))-1,""))</f>
        <v>0.0700621646471162</v>
      </c>
    </row>
    <row r="36" customFormat="false" ht="15" hidden="false" customHeight="false" outlineLevel="0" collapsed="false">
      <c r="A36" s="121" t="n">
        <v>35582</v>
      </c>
      <c r="B36" s="43" t="n">
        <v>157.687</v>
      </c>
      <c r="C36" s="122" t="n">
        <f aca="false">IF(OR(B36="",B35=""),"",B36/B35-1)</f>
        <v>0.0111187344905197</v>
      </c>
      <c r="D36" s="122" t="n">
        <f aca="false">IF(B36="","",IFERROR(B36/INDEX($B$2:$B$800,MATCH(DATE(YEAR(A36)-1,12,1),$A$2:$A$800,0))-1,""))</f>
        <v>0.0379471044351707</v>
      </c>
      <c r="E36" s="122" t="n">
        <f aca="false">IF(B36="","",IFERROR(B36/INDEX($B$2:$B$800,MATCH(DATE(YEAR(A36)-1,MONTH(A36),1),$A$2:$A$800,0))-1,""))</f>
        <v>0.0655678992323494</v>
      </c>
    </row>
    <row r="37" customFormat="false" ht="15" hidden="false" customHeight="false" outlineLevel="0" collapsed="false">
      <c r="A37" s="121" t="n">
        <v>35612</v>
      </c>
      <c r="B37" s="43" t="n">
        <v>158.485</v>
      </c>
      <c r="C37" s="122" t="n">
        <f aca="false">IF(OR(B37="",B36=""),"",B37/B36-1)</f>
        <v>0.00506065813922518</v>
      </c>
      <c r="D37" s="122" t="n">
        <f aca="false">IF(B37="","",IFERROR(B37/INDEX($B$2:$B$800,MATCH(DATE(YEAR(A37)-1,12,1),$A$2:$A$800,0))-1,""))</f>
        <v>0.0431997998973159</v>
      </c>
      <c r="E37" s="122" t="n">
        <f aca="false">IF(B37="","",IFERROR(B37/INDEX($B$2:$B$800,MATCH(DATE(YEAR(A37)-1,MONTH(A37),1),$A$2:$A$800,0))-1,""))</f>
        <v>0.0629799792078878</v>
      </c>
    </row>
    <row r="38" customFormat="false" ht="15" hidden="false" customHeight="false" outlineLevel="0" collapsed="false">
      <c r="A38" s="121" t="n">
        <v>35643</v>
      </c>
      <c r="B38" s="43" t="n">
        <v>160.352</v>
      </c>
      <c r="C38" s="122" t="n">
        <f aca="false">IF(OR(B38="",B37=""),"",B38/B37-1)</f>
        <v>0.0117802946651102</v>
      </c>
      <c r="D38" s="122" t="n">
        <f aca="false">IF(B38="","",IFERROR(B38/INDEX($B$2:$B$800,MATCH(DATE(YEAR(A38)-1,12,1),$A$2:$A$800,0))-1,""))</f>
        <v>0.0554890009346902</v>
      </c>
      <c r="E38" s="122" t="n">
        <f aca="false">IF(B38="","",IFERROR(B38/INDEX($B$2:$B$800,MATCH(DATE(YEAR(A38)-1,MONTH(A38),1),$A$2:$A$800,0))-1,""))</f>
        <v>0.0729833718090267</v>
      </c>
    </row>
    <row r="39" customFormat="false" ht="15" hidden="false" customHeight="false" outlineLevel="0" collapsed="false">
      <c r="A39" s="121" t="n">
        <v>35674</v>
      </c>
      <c r="B39" s="43" t="n">
        <v>160.78</v>
      </c>
      <c r="C39" s="122" t="n">
        <f aca="false">IF(OR(B39="",B38=""),"",B39/B38-1)</f>
        <v>0.0026691279185791</v>
      </c>
      <c r="D39" s="122" t="n">
        <f aca="false">IF(B39="","",IFERROR(B39/INDEX($B$2:$B$800,MATCH(DATE(YEAR(A39)-1,12,1),$A$2:$A$800,0))-1,""))</f>
        <v>0.0583062360948381</v>
      </c>
      <c r="E39" s="122" t="n">
        <f aca="false">IF(B39="","",IFERROR(B39/INDEX($B$2:$B$800,MATCH(DATE(YEAR(A39)-1,MONTH(A39),1),$A$2:$A$800,0))-1,""))</f>
        <v>0.0734983842106669</v>
      </c>
    </row>
    <row r="40" customFormat="false" ht="15" hidden="false" customHeight="false" outlineLevel="0" collapsed="false">
      <c r="A40" s="121" t="n">
        <v>35704</v>
      </c>
      <c r="B40" s="43" t="n">
        <v>161.024</v>
      </c>
      <c r="C40" s="122" t="n">
        <f aca="false">IF(OR(B40="",B39=""),"",B40/B39-1)</f>
        <v>0.00151760169175263</v>
      </c>
      <c r="D40" s="122" t="n">
        <f aca="false">IF(B40="","",IFERROR(B40/INDEX($B$2:$B$800,MATCH(DATE(YEAR(A40)-1,12,1),$A$2:$A$800,0))-1,""))</f>
        <v>0.0599123234291281</v>
      </c>
      <c r="E40" s="122" t="n">
        <f aca="false">IF(B40="","",IFERROR(B40/INDEX($B$2:$B$800,MATCH(DATE(YEAR(A40)-1,MONTH(A40),1),$A$2:$A$800,0))-1,""))</f>
        <v>0.0723709184387007</v>
      </c>
    </row>
    <row r="41" customFormat="false" ht="15" hidden="false" customHeight="false" outlineLevel="0" collapsed="false">
      <c r="A41" s="121" t="n">
        <v>35735</v>
      </c>
      <c r="B41" s="43" t="n">
        <v>161.897</v>
      </c>
      <c r="C41" s="122" t="n">
        <f aca="false">IF(OR(B41="",B40=""),"",B41/B40-1)</f>
        <v>0.00542155206677264</v>
      </c>
      <c r="D41" s="122" t="n">
        <f aca="false">IF(B41="","",IFERROR(B41/INDEX($B$2:$B$800,MATCH(DATE(YEAR(A41)-1,12,1),$A$2:$A$800,0))-1,""))</f>
        <v>0.0656586932768131</v>
      </c>
      <c r="E41" s="122" t="n">
        <f aca="false">IF(B41="","",IFERROR(B41/INDEX($B$2:$B$800,MATCH(DATE(YEAR(A41)-1,MONTH(A41),1),$A$2:$A$800,0))-1,""))</f>
        <v>0.0719171053067169</v>
      </c>
    </row>
    <row r="42" customFormat="false" ht="15" hidden="false" customHeight="false" outlineLevel="0" collapsed="false">
      <c r="A42" s="121" t="n">
        <v>35765</v>
      </c>
      <c r="B42" s="43" t="n">
        <v>162.271</v>
      </c>
      <c r="C42" s="122" t="n">
        <f aca="false">IF(OR(B42="",B41=""),"",B42/B41-1)</f>
        <v>0.002310110749427</v>
      </c>
      <c r="D42" s="122" t="n">
        <f aca="false">IF(B42="","",IFERROR(B42/INDEX($B$2:$B$800,MATCH(DATE(YEAR(A42)-1,12,1),$A$2:$A$800,0))-1,""))</f>
        <v>0.0681204828793722</v>
      </c>
      <c r="E42" s="122" t="n">
        <f aca="false">IF(B42="","",IFERROR(B42/INDEX($B$2:$B$800,MATCH(DATE(YEAR(A42)-1,MONTH(A42),1),$A$2:$A$800,0))-1,""))</f>
        <v>0.0681204828793722</v>
      </c>
    </row>
    <row r="43" customFormat="false" ht="15" hidden="false" customHeight="false" outlineLevel="0" collapsed="false">
      <c r="A43" s="121" t="n">
        <v>35796</v>
      </c>
      <c r="B43" s="43" t="n">
        <v>162.805</v>
      </c>
      <c r="C43" s="122" t="n">
        <f aca="false">IF(OR(B43="",B42=""),"",B43/B42-1)</f>
        <v>0.00329079133055221</v>
      </c>
      <c r="D43" s="122" t="n">
        <f aca="false">IF(B43="","",IFERROR(B43/INDEX($B$2:$B$800,MATCH(DATE(YEAR(A43)-1,12,1),$A$2:$A$800,0))-1,""))</f>
        <v>0.00329079133055221</v>
      </c>
      <c r="E43" s="122" t="n">
        <f aca="false">IF(B43="","",IFERROR(B43/INDEX($B$2:$B$800,MATCH(DATE(YEAR(A43)-1,MONTH(A43),1),$A$2:$A$800,0))-1,""))</f>
        <v>0.0682182037688313</v>
      </c>
    </row>
    <row r="44" customFormat="false" ht="15" hidden="false" customHeight="false" outlineLevel="0" collapsed="false">
      <c r="A44" s="121" t="n">
        <v>35827</v>
      </c>
      <c r="B44" s="43" t="n">
        <v>163.593</v>
      </c>
      <c r="C44" s="122" t="n">
        <f aca="false">IF(OR(B44="",B43=""),"",B44/B43-1)</f>
        <v>0.00484014618715634</v>
      </c>
      <c r="D44" s="122" t="n">
        <f aca="false">IF(B44="","",IFERROR(B44/INDEX($B$2:$B$800,MATCH(DATE(YEAR(A44)-1,12,1),$A$2:$A$800,0))-1,""))</f>
        <v>0.00814686542881971</v>
      </c>
      <c r="E44" s="122" t="n">
        <f aca="false">IF(B44="","",IFERROR(B44/INDEX($B$2:$B$800,MATCH(DATE(YEAR(A44)-1,MONTH(A44),1),$A$2:$A$800,0))-1,""))</f>
        <v>0.0682089756900233</v>
      </c>
    </row>
    <row r="45" customFormat="false" ht="15" hidden="false" customHeight="false" outlineLevel="0" collapsed="false">
      <c r="A45" s="121" t="n">
        <v>35855</v>
      </c>
      <c r="B45" s="43" t="n">
        <v>164.361</v>
      </c>
      <c r="C45" s="122" t="n">
        <f aca="false">IF(OR(B45="",B44=""),"",B45/B44-1)</f>
        <v>0.00469457739634338</v>
      </c>
      <c r="D45" s="122" t="n">
        <f aca="false">IF(B45="","",IFERROR(B45/INDEX($B$2:$B$800,MATCH(DATE(YEAR(A45)-1,12,1),$A$2:$A$800,0))-1,""))</f>
        <v>0.0128796889154563</v>
      </c>
      <c r="E45" s="122" t="n">
        <f aca="false">IF(B45="","",IFERROR(B45/INDEX($B$2:$B$800,MATCH(DATE(YEAR(A45)-1,MONTH(A45),1),$A$2:$A$800,0))-1,""))</f>
        <v>0.0654803578374172</v>
      </c>
    </row>
    <row r="46" customFormat="false" ht="15" hidden="false" customHeight="false" outlineLevel="0" collapsed="false">
      <c r="A46" s="121" t="n">
        <v>35886</v>
      </c>
      <c r="B46" s="43" t="n">
        <v>163.535</v>
      </c>
      <c r="C46" s="122" t="n">
        <f aca="false">IF(OR(B46="",B45=""),"",B46/B45-1)</f>
        <v>-0.00502552308637694</v>
      </c>
      <c r="D46" s="122" t="n">
        <f aca="false">IF(B46="","",IFERROR(B46/INDEX($B$2:$B$800,MATCH(DATE(YEAR(A46)-1,12,1),$A$2:$A$800,0))-1,""))</f>
        <v>0.00778943865508941</v>
      </c>
      <c r="E46" s="122" t="n">
        <f aca="false">IF(B46="","",IFERROR(B46/INDEX($B$2:$B$800,MATCH(DATE(YEAR(A46)-1,MONTH(A46),1),$A$2:$A$800,0))-1,""))</f>
        <v>0.0576848450354426</v>
      </c>
    </row>
    <row r="47" customFormat="false" ht="15" hidden="false" customHeight="false" outlineLevel="0" collapsed="false">
      <c r="A47" s="121" t="n">
        <v>35916</v>
      </c>
      <c r="B47" s="43" t="n">
        <v>165.133</v>
      </c>
      <c r="C47" s="122" t="n">
        <f aca="false">IF(OR(B47="",B46=""),"",B47/B46-1)</f>
        <v>0.00977160852416925</v>
      </c>
      <c r="D47" s="122" t="n">
        <f aca="false">IF(B47="","",IFERROR(B47/INDEX($B$2:$B$800,MATCH(DATE(YEAR(A47)-1,12,1),$A$2:$A$800,0))-1,""))</f>
        <v>0.0176371625244192</v>
      </c>
      <c r="E47" s="122" t="n">
        <f aca="false">IF(B47="","",IFERROR(B47/INDEX($B$2:$B$800,MATCH(DATE(YEAR(A47)-1,MONTH(A47),1),$A$2:$A$800,0))-1,""))</f>
        <v>0.0588638884792214</v>
      </c>
    </row>
    <row r="48" customFormat="false" ht="15" hidden="false" customHeight="false" outlineLevel="0" collapsed="false">
      <c r="A48" s="121" t="n">
        <v>35947</v>
      </c>
      <c r="B48" s="43" t="n">
        <v>165.781</v>
      </c>
      <c r="C48" s="122" t="n">
        <f aca="false">IF(OR(B48="",B47=""),"",B48/B47-1)</f>
        <v>0.00392410965706436</v>
      </c>
      <c r="D48" s="122" t="n">
        <f aca="false">IF(B48="","",IFERROR(B48/INDEX($B$2:$B$800,MATCH(DATE(YEAR(A48)-1,12,1),$A$2:$A$800,0))-1,""))</f>
        <v>0.0216304823412687</v>
      </c>
      <c r="E48" s="122" t="n">
        <f aca="false">IF(B48="","",IFERROR(B48/INDEX($B$2:$B$800,MATCH(DATE(YEAR(A48)-1,MONTH(A48),1),$A$2:$A$800,0))-1,""))</f>
        <v>0.0513295325549981</v>
      </c>
    </row>
    <row r="49" customFormat="false" ht="15" hidden="false" customHeight="false" outlineLevel="0" collapsed="false">
      <c r="A49" s="121" t="n">
        <v>35977</v>
      </c>
      <c r="B49" s="43" t="n">
        <v>166.345</v>
      </c>
      <c r="C49" s="122" t="n">
        <f aca="false">IF(OR(B49="",B48=""),"",B49/B48-1)</f>
        <v>0.00340207864592434</v>
      </c>
      <c r="D49" s="122" t="n">
        <f aca="false">IF(B49="","",IFERROR(B49/INDEX($B$2:$B$800,MATCH(DATE(YEAR(A49)-1,12,1),$A$2:$A$800,0))-1,""))</f>
        <v>0.0251061495892675</v>
      </c>
      <c r="E49" s="122" t="n">
        <f aca="false">IF(B49="","",IFERROR(B49/INDEX($B$2:$B$800,MATCH(DATE(YEAR(A49)-1,MONTH(A49),1),$A$2:$A$800,0))-1,""))</f>
        <v>0.049594598857936</v>
      </c>
    </row>
    <row r="50" customFormat="false" ht="15" hidden="false" customHeight="false" outlineLevel="0" collapsed="false">
      <c r="A50" s="121" t="n">
        <v>36008</v>
      </c>
      <c r="B50" s="43" t="n">
        <v>166.705</v>
      </c>
      <c r="C50" s="122" t="n">
        <f aca="false">IF(OR(B50="",B49=""),"",B50/B49-1)</f>
        <v>0.00216417686134252</v>
      </c>
      <c r="D50" s="122" t="n">
        <f aca="false">IF(B50="","",IFERROR(B50/INDEX($B$2:$B$800,MATCH(DATE(YEAR(A50)-1,12,1),$A$2:$A$800,0))-1,""))</f>
        <v>0.0273246605986284</v>
      </c>
      <c r="E50" s="122" t="n">
        <f aca="false">IF(B50="","",IFERROR(B50/INDEX($B$2:$B$800,MATCH(DATE(YEAR(A50)-1,MONTH(A50),1),$A$2:$A$800,0))-1,""))</f>
        <v>0.039619088006386</v>
      </c>
    </row>
    <row r="51" customFormat="false" ht="15" hidden="false" customHeight="false" outlineLevel="0" collapsed="false">
      <c r="A51" s="121" t="n">
        <v>36039</v>
      </c>
      <c r="B51" s="43" t="n">
        <v>166.729</v>
      </c>
      <c r="C51" s="122" t="n">
        <f aca="false">IF(OR(B51="",B50=""),"",B51/B50-1)</f>
        <v>0.000143966887615754</v>
      </c>
      <c r="D51" s="122" t="n">
        <f aca="false">IF(B51="","",IFERROR(B51/INDEX($B$2:$B$800,MATCH(DATE(YEAR(A51)-1,12,1),$A$2:$A$800,0))-1,""))</f>
        <v>0.0274725613325857</v>
      </c>
      <c r="E51" s="122" t="n">
        <f aca="false">IF(B51="","",IFERROR(B51/INDEX($B$2:$B$800,MATCH(DATE(YEAR(A51)-1,MONTH(A51),1),$A$2:$A$800,0))-1,""))</f>
        <v>0.0370008707550691</v>
      </c>
    </row>
    <row r="52" customFormat="false" ht="15" hidden="false" customHeight="false" outlineLevel="0" collapsed="false">
      <c r="A52" s="121" t="n">
        <v>36069</v>
      </c>
      <c r="B52" s="43" t="n">
        <v>166.738</v>
      </c>
      <c r="C52" s="122" t="n">
        <f aca="false">IF(OR(B52="",B51=""),"",B52/B51-1)</f>
        <v>5.39798115504198E-005</v>
      </c>
      <c r="D52" s="122" t="n">
        <f aca="false">IF(B52="","",IFERROR(B52/INDEX($B$2:$B$800,MATCH(DATE(YEAR(A52)-1,12,1),$A$2:$A$800,0))-1,""))</f>
        <v>0.0275280241078197</v>
      </c>
      <c r="E52" s="122" t="n">
        <f aca="false">IF(B52="","",IFERROR(B52/INDEX($B$2:$B$800,MATCH(DATE(YEAR(A52)-1,MONTH(A52),1),$A$2:$A$800,0))-1,""))</f>
        <v>0.035485393481717</v>
      </c>
    </row>
    <row r="53" customFormat="false" ht="15" hidden="false" customHeight="false" outlineLevel="0" collapsed="false">
      <c r="A53" s="121" t="n">
        <v>36100</v>
      </c>
      <c r="B53" s="43" t="n">
        <v>166.657</v>
      </c>
      <c r="C53" s="122" t="n">
        <f aca="false">IF(OR(B53="",B52=""),"",B53/B52-1)</f>
        <v>-0.000485792080989311</v>
      </c>
      <c r="D53" s="122" t="n">
        <f aca="false">IF(B53="","",IFERROR(B53/INDEX($B$2:$B$800,MATCH(DATE(YEAR(A53)-1,12,1),$A$2:$A$800,0))-1,""))</f>
        <v>0.0270288591307135</v>
      </c>
      <c r="E53" s="122" t="n">
        <f aca="false">IF(B53="","",IFERROR(B53/INDEX($B$2:$B$800,MATCH(DATE(YEAR(A53)-1,MONTH(A53),1),$A$2:$A$800,0))-1,""))</f>
        <v>0.0294014095381632</v>
      </c>
    </row>
    <row r="54" customFormat="false" ht="15" hidden="false" customHeight="false" outlineLevel="0" collapsed="false">
      <c r="A54" s="121" t="n">
        <v>36130</v>
      </c>
      <c r="B54" s="43" t="n">
        <v>166.733</v>
      </c>
      <c r="C54" s="122" t="n">
        <f aca="false">IF(OR(B54="",B53=""),"",B54/B53-1)</f>
        <v>0.00045602644953413</v>
      </c>
      <c r="D54" s="122" t="n">
        <f aca="false">IF(B54="","",IFERROR(B54/INDEX($B$2:$B$800,MATCH(DATE(YEAR(A54)-1,12,1),$A$2:$A$800,0))-1,""))</f>
        <v>0.0274972114549119</v>
      </c>
      <c r="E54" s="122" t="n">
        <f aca="false">IF(B54="","",IFERROR(B54/INDEX($B$2:$B$800,MATCH(DATE(YEAR(A54)-1,MONTH(A54),1),$A$2:$A$800,0))-1,""))</f>
        <v>0.0274972114549119</v>
      </c>
    </row>
    <row r="55" customFormat="false" ht="15" hidden="false" customHeight="false" outlineLevel="0" collapsed="false">
      <c r="A55" s="121" t="n">
        <v>36161</v>
      </c>
      <c r="B55" s="43" t="n">
        <v>167.648</v>
      </c>
      <c r="C55" s="122" t="n">
        <f aca="false">IF(OR(B55="",B54=""),"",B55/B54-1)</f>
        <v>0.00548781584929192</v>
      </c>
      <c r="D55" s="122" t="n">
        <f aca="false">IF(B55="","",IFERROR(B55/INDEX($B$2:$B$800,MATCH(DATE(YEAR(A55)-1,12,1),$A$2:$A$800,0))-1,""))</f>
        <v>0.00548781584929192</v>
      </c>
      <c r="E55" s="122" t="n">
        <f aca="false">IF(B55="","",IFERROR(B55/INDEX($B$2:$B$800,MATCH(DATE(YEAR(A55)-1,MONTH(A55),1),$A$2:$A$800,0))-1,""))</f>
        <v>0.0297472436350235</v>
      </c>
    </row>
    <row r="56" customFormat="false" ht="15" hidden="false" customHeight="false" outlineLevel="0" collapsed="false">
      <c r="A56" s="121" t="n">
        <v>36192</v>
      </c>
      <c r="B56" s="43" t="n">
        <v>169.288</v>
      </c>
      <c r="C56" s="122" t="n">
        <f aca="false">IF(OR(B56="",B55=""),"",B56/B55-1)</f>
        <v>0.00978240122160723</v>
      </c>
      <c r="D56" s="122" t="n">
        <f aca="false">IF(B56="","",IFERROR(B56/INDEX($B$2:$B$800,MATCH(DATE(YEAR(A56)-1,12,1),$A$2:$A$800,0))-1,""))</f>
        <v>0.0153239010873674</v>
      </c>
      <c r="E56" s="122" t="n">
        <f aca="false">IF(B56="","",IFERROR(B56/INDEX($B$2:$B$800,MATCH(DATE(YEAR(A56)-1,MONTH(A56),1),$A$2:$A$800,0))-1,""))</f>
        <v>0.0348120029585619</v>
      </c>
    </row>
    <row r="57" customFormat="false" ht="15" hidden="false" customHeight="false" outlineLevel="0" collapsed="false">
      <c r="A57" s="121" t="n">
        <v>36220</v>
      </c>
      <c r="B57" s="43" t="n">
        <v>170.221</v>
      </c>
      <c r="C57" s="122" t="n">
        <f aca="false">IF(OR(B57="",B56=""),"",B57/B56-1)</f>
        <v>0.00551131799064319</v>
      </c>
      <c r="D57" s="122" t="n">
        <f aca="false">IF(B57="","",IFERROR(B57/INDEX($B$2:$B$800,MATCH(DATE(YEAR(A57)-1,12,1),$A$2:$A$800,0))-1,""))</f>
        <v>0.0209196739697601</v>
      </c>
      <c r="E57" s="122" t="n">
        <f aca="false">IF(B57="","",IFERROR(B57/INDEX($B$2:$B$800,MATCH(DATE(YEAR(A57)-1,MONTH(A57),1),$A$2:$A$800,0))-1,""))</f>
        <v>0.0356532267387033</v>
      </c>
    </row>
    <row r="58" customFormat="false" ht="15" hidden="false" customHeight="false" outlineLevel="0" collapsed="false">
      <c r="A58" s="121" t="n">
        <v>36251</v>
      </c>
      <c r="B58" s="43" t="n">
        <v>171.1</v>
      </c>
      <c r="C58" s="122" t="n">
        <f aca="false">IF(OR(B58="",B57=""),"",B58/B57-1)</f>
        <v>0.00516387519753736</v>
      </c>
      <c r="D58" s="122" t="n">
        <f aca="false">IF(B58="","",IFERROR(B58/INDEX($B$2:$B$800,MATCH(DATE(YEAR(A58)-1,12,1),$A$2:$A$800,0))-1,""))</f>
        <v>0.0261915757528504</v>
      </c>
      <c r="E58" s="122" t="n">
        <f aca="false">IF(B58="","",IFERROR(B58/INDEX($B$2:$B$800,MATCH(DATE(YEAR(A58)-1,MONTH(A58),1),$A$2:$A$800,0))-1,""))</f>
        <v>0.0462592105665454</v>
      </c>
    </row>
    <row r="59" customFormat="false" ht="15" hidden="false" customHeight="false" outlineLevel="0" collapsed="false">
      <c r="A59" s="121" t="n">
        <v>36281</v>
      </c>
      <c r="B59" s="43" t="n">
        <v>172.578</v>
      </c>
      <c r="C59" s="122" t="n">
        <f aca="false">IF(OR(B59="",B58=""),"",B59/B58-1)</f>
        <v>0.00863822326125074</v>
      </c>
      <c r="D59" s="122" t="n">
        <f aca="false">IF(B59="","",IFERROR(B59/INDEX($B$2:$B$800,MATCH(DATE(YEAR(A59)-1,12,1),$A$2:$A$800,0))-1,""))</f>
        <v>0.0350560476930182</v>
      </c>
      <c r="E59" s="122" t="n">
        <f aca="false">IF(B59="","",IFERROR(B59/INDEX($B$2:$B$800,MATCH(DATE(YEAR(A59)-1,MONTH(A59),1),$A$2:$A$800,0))-1,""))</f>
        <v>0.0450848709827836</v>
      </c>
    </row>
    <row r="60" customFormat="false" ht="15" hidden="false" customHeight="false" outlineLevel="0" collapsed="false">
      <c r="A60" s="121" t="n">
        <v>36312</v>
      </c>
      <c r="B60" s="43" t="n">
        <v>173.279</v>
      </c>
      <c r="C60" s="122" t="n">
        <f aca="false">IF(OR(B60="",B59=""),"",B60/B59-1)</f>
        <v>0.00406193141651889</v>
      </c>
      <c r="D60" s="122" t="n">
        <f aca="false">IF(B60="","",IFERROR(B60/INDEX($B$2:$B$800,MATCH(DATE(YEAR(A60)-1,12,1),$A$2:$A$800,0))-1,""))</f>
        <v>0.0392603743710003</v>
      </c>
      <c r="E60" s="122" t="n">
        <f aca="false">IF(B60="","",IFERROR(B60/INDEX($B$2:$B$800,MATCH(DATE(YEAR(A60)-1,MONTH(A60),1),$A$2:$A$800,0))-1,""))</f>
        <v>0.0452283434169174</v>
      </c>
    </row>
    <row r="61" customFormat="false" ht="15" hidden="false" customHeight="false" outlineLevel="0" collapsed="false">
      <c r="A61" s="121" t="n">
        <v>36342</v>
      </c>
      <c r="B61" s="43" t="n">
        <v>174.074</v>
      </c>
      <c r="C61" s="122" t="n">
        <f aca="false">IF(OR(B61="",B60=""),"",B61/B60-1)</f>
        <v>0.00458797661574706</v>
      </c>
      <c r="D61" s="122" t="n">
        <f aca="false">IF(B61="","",IFERROR(B61/INDEX($B$2:$B$800,MATCH(DATE(YEAR(A61)-1,12,1),$A$2:$A$800,0))-1,""))</f>
        <v>0.0440284766662868</v>
      </c>
      <c r="E61" s="122" t="n">
        <f aca="false">IF(B61="","",IFERROR(B61/INDEX($B$2:$B$800,MATCH(DATE(YEAR(A61)-1,MONTH(A61),1),$A$2:$A$800,0))-1,""))</f>
        <v>0.0464636748925427</v>
      </c>
    </row>
    <row r="62" customFormat="false" ht="15" hidden="false" customHeight="false" outlineLevel="0" collapsed="false">
      <c r="A62" s="121" t="n">
        <v>36373</v>
      </c>
      <c r="B62" s="43" t="n">
        <v>175.28</v>
      </c>
      <c r="C62" s="122" t="n">
        <f aca="false">IF(OR(B62="",B61=""),"",B62/B61-1)</f>
        <v>0.00692808805450551</v>
      </c>
      <c r="D62" s="122" t="n">
        <f aca="false">IF(B62="","",IFERROR(B62/INDEX($B$2:$B$800,MATCH(DATE(YEAR(A62)-1,12,1),$A$2:$A$800,0))-1,""))</f>
        <v>0.0512615978840421</v>
      </c>
      <c r="E62" s="122" t="n">
        <f aca="false">IF(B62="","",IFERROR(B62/INDEX($B$2:$B$800,MATCH(DATE(YEAR(A62)-1,MONTH(A62),1),$A$2:$A$800,0))-1,""))</f>
        <v>0.051438169221079</v>
      </c>
    </row>
    <row r="63" customFormat="false" ht="15" hidden="false" customHeight="false" outlineLevel="0" collapsed="false">
      <c r="A63" s="121" t="n">
        <v>36404</v>
      </c>
      <c r="B63" s="43" t="n">
        <v>176.785</v>
      </c>
      <c r="C63" s="122" t="n">
        <f aca="false">IF(OR(B63="",B62=""),"",B63/B62-1)</f>
        <v>0.00858626198083057</v>
      </c>
      <c r="D63" s="122" t="n">
        <f aca="false">IF(B63="","",IFERROR(B63/INDEX($B$2:$B$800,MATCH(DATE(YEAR(A63)-1,12,1),$A$2:$A$800,0))-1,""))</f>
        <v>0.0602880053738613</v>
      </c>
      <c r="E63" s="122" t="n">
        <f aca="false">IF(B63="","",IFERROR(B63/INDEX($B$2:$B$800,MATCH(DATE(YEAR(A63)-1,MONTH(A63),1),$A$2:$A$800,0))-1,""))</f>
        <v>0.060313442772403</v>
      </c>
    </row>
    <row r="64" customFormat="false" ht="15" hidden="false" customHeight="false" outlineLevel="0" collapsed="false">
      <c r="A64" s="121" t="n">
        <v>36434</v>
      </c>
      <c r="B64" s="43" t="n">
        <v>178.574</v>
      </c>
      <c r="C64" s="122" t="n">
        <f aca="false">IF(OR(B64="",B63=""),"",B64/B63-1)</f>
        <v>0.0101196368470176</v>
      </c>
      <c r="D64" s="122" t="n">
        <f aca="false">IF(B64="","",IFERROR(B64/INDEX($B$2:$B$800,MATCH(DATE(YEAR(A64)-1,12,1),$A$2:$A$800,0))-1,""))</f>
        <v>0.0710177349414933</v>
      </c>
      <c r="E64" s="122" t="n">
        <f aca="false">IF(B64="","",IFERROR(B64/INDEX($B$2:$B$800,MATCH(DATE(YEAR(A64)-1,MONTH(A64),1),$A$2:$A$800,0))-1,""))</f>
        <v>0.0709856181554296</v>
      </c>
    </row>
    <row r="65" customFormat="false" ht="15" hidden="false" customHeight="false" outlineLevel="0" collapsed="false">
      <c r="A65" s="121" t="n">
        <v>36465</v>
      </c>
      <c r="B65" s="43" t="n">
        <v>180.207</v>
      </c>
      <c r="C65" s="122" t="n">
        <f aca="false">IF(OR(B65="",B64=""),"",B65/B64-1)</f>
        <v>0.00914466831677618</v>
      </c>
      <c r="D65" s="122" t="n">
        <f aca="false">IF(B65="","",IFERROR(B65/INDEX($B$2:$B$800,MATCH(DATE(YEAR(A65)-1,12,1),$A$2:$A$800,0))-1,""))</f>
        <v>0.0808118368889181</v>
      </c>
      <c r="E65" s="122" t="n">
        <f aca="false">IF(B65="","",IFERROR(B65/INDEX($B$2:$B$800,MATCH(DATE(YEAR(A65)-1,MONTH(A65),1),$A$2:$A$800,0))-1,""))</f>
        <v>0.0813047156735089</v>
      </c>
    </row>
    <row r="66" customFormat="false" ht="15" hidden="false" customHeight="false" outlineLevel="0" collapsed="false">
      <c r="A66" s="121" t="n">
        <v>36495</v>
      </c>
      <c r="B66" s="43" t="n">
        <v>182.084</v>
      </c>
      <c r="C66" s="122" t="n">
        <f aca="false">IF(OR(B66="",B65=""),"",B66/B65-1)</f>
        <v>0.0104157996082284</v>
      </c>
      <c r="D66" s="122" t="n">
        <f aca="false">IF(B66="","",IFERROR(B66/INDEX($B$2:$B$800,MATCH(DATE(YEAR(A66)-1,12,1),$A$2:$A$800,0))-1,""))</f>
        <v>0.0920693563961543</v>
      </c>
      <c r="E66" s="122" t="n">
        <f aca="false">IF(B66="","",IFERROR(B66/INDEX($B$2:$B$800,MATCH(DATE(YEAR(A66)-1,MONTH(A66),1),$A$2:$A$800,0))-1,""))</f>
        <v>0.0920693563961543</v>
      </c>
    </row>
    <row r="67" customFormat="false" ht="15" hidden="false" customHeight="false" outlineLevel="0" collapsed="false">
      <c r="A67" s="121" t="n">
        <v>36526</v>
      </c>
      <c r="B67" s="43" t="n">
        <v>184.039</v>
      </c>
      <c r="C67" s="122" t="n">
        <f aca="false">IF(OR(B67="",B66=""),"",B67/B66-1)</f>
        <v>0.0107368027943147</v>
      </c>
      <c r="D67" s="122" t="n">
        <f aca="false">IF(B67="","",IFERROR(B67/INDEX($B$2:$B$800,MATCH(DATE(YEAR(A67)-1,12,1),$A$2:$A$800,0))-1,""))</f>
        <v>0.0107368027943147</v>
      </c>
      <c r="E67" s="122" t="n">
        <f aca="false">IF(B67="","",IFERROR(B67/INDEX($B$2:$B$800,MATCH(DATE(YEAR(A67)-1,MONTH(A67),1),$A$2:$A$800,0))-1,""))</f>
        <v>0.0977703283069287</v>
      </c>
    </row>
    <row r="68" customFormat="false" ht="15" hidden="false" customHeight="false" outlineLevel="0" collapsed="false">
      <c r="A68" s="121" t="n">
        <v>36557</v>
      </c>
      <c r="B68" s="43" t="n">
        <v>185.461</v>
      </c>
      <c r="C68" s="122" t="n">
        <f aca="false">IF(OR(B68="",B67=""),"",B68/B67-1)</f>
        <v>0.00772662316139527</v>
      </c>
      <c r="D68" s="122" t="n">
        <f aca="false">IF(B68="","",IFERROR(B68/INDEX($B$2:$B$800,MATCH(DATE(YEAR(A68)-1,12,1),$A$2:$A$800,0))-1,""))</f>
        <v>0.0185463851848597</v>
      </c>
      <c r="E68" s="122" t="n">
        <f aca="false">IF(B68="","",IFERROR(B68/INDEX($B$2:$B$800,MATCH(DATE(YEAR(A68)-1,MONTH(A68),1),$A$2:$A$800,0))-1,""))</f>
        <v>0.0955354189310524</v>
      </c>
    </row>
    <row r="69" customFormat="false" ht="15" hidden="false" customHeight="false" outlineLevel="0" collapsed="false">
      <c r="A69" s="121" t="n">
        <v>36586</v>
      </c>
      <c r="B69" s="43" t="n">
        <v>186.492</v>
      </c>
      <c r="C69" s="122" t="n">
        <f aca="false">IF(OR(B69="",B68=""),"",B69/B68-1)</f>
        <v>0.00555912024630501</v>
      </c>
      <c r="D69" s="122" t="n">
        <f aca="false">IF(B69="","",IFERROR(B69/INDEX($B$2:$B$800,MATCH(DATE(YEAR(A69)-1,12,1),$A$2:$A$800,0))-1,""))</f>
        <v>0.0242086070165417</v>
      </c>
      <c r="E69" s="122" t="n">
        <f aca="false">IF(B69="","",IFERROR(B69/INDEX($B$2:$B$800,MATCH(DATE(YEAR(A69)-1,MONTH(A69),1),$A$2:$A$800,0))-1,""))</f>
        <v>0.0955875009546412</v>
      </c>
    </row>
    <row r="70" customFormat="false" ht="15" hidden="false" customHeight="false" outlineLevel="0" collapsed="false">
      <c r="A70" s="121" t="n">
        <v>36617</v>
      </c>
      <c r="B70" s="43" t="n">
        <v>187.604</v>
      </c>
      <c r="C70" s="122" t="n">
        <f aca="false">IF(OR(B70="",B69=""),"",B70/B69-1)</f>
        <v>0.00596272226154482</v>
      </c>
      <c r="D70" s="122" t="n">
        <f aca="false">IF(B70="","",IFERROR(B70/INDEX($B$2:$B$800,MATCH(DATE(YEAR(A70)-1,12,1),$A$2:$A$800,0))-1,""))</f>
        <v>0.0303156784780652</v>
      </c>
      <c r="E70" s="122" t="n">
        <f aca="false">IF(B70="","",IFERROR(B70/INDEX($B$2:$B$800,MATCH(DATE(YEAR(A70)-1,MONTH(A70),1),$A$2:$A$800,0))-1,""))</f>
        <v>0.0964582115721802</v>
      </c>
    </row>
    <row r="71" customFormat="false" ht="15" hidden="false" customHeight="false" outlineLevel="0" collapsed="false">
      <c r="A71" s="121" t="n">
        <v>36647</v>
      </c>
      <c r="B71" s="43" t="n">
        <v>190.136</v>
      </c>
      <c r="C71" s="122" t="n">
        <f aca="false">IF(OR(B71="",B70=""),"",B71/B70-1)</f>
        <v>0.0134965139336047</v>
      </c>
      <c r="D71" s="122" t="n">
        <f aca="false">IF(B71="","",IFERROR(B71/INDEX($B$2:$B$800,MATCH(DATE(YEAR(A71)-1,12,1),$A$2:$A$800,0))-1,""))</f>
        <v>0.0442213483886558</v>
      </c>
      <c r="E71" s="122" t="n">
        <f aca="false">IF(B71="","",IFERROR(B71/INDEX($B$2:$B$800,MATCH(DATE(YEAR(A71)-1,MONTH(A71),1),$A$2:$A$800,0))-1,""))</f>
        <v>0.10173950329706</v>
      </c>
    </row>
    <row r="72" customFormat="false" ht="15" hidden="false" customHeight="false" outlineLevel="0" collapsed="false">
      <c r="A72" s="121" t="n">
        <v>36678</v>
      </c>
      <c r="B72" s="43" t="n">
        <v>191.527</v>
      </c>
      <c r="C72" s="122" t="n">
        <f aca="false">IF(OR(B72="",B71=""),"",B72/B71-1)</f>
        <v>0.00731581604746068</v>
      </c>
      <c r="D72" s="122" t="n">
        <f aca="false">IF(B72="","",IFERROR(B72/INDEX($B$2:$B$800,MATCH(DATE(YEAR(A72)-1,12,1),$A$2:$A$800,0))-1,""))</f>
        <v>0.0518606796862986</v>
      </c>
      <c r="E72" s="122" t="n">
        <f aca="false">IF(B72="","",IFERROR(B72/INDEX($B$2:$B$800,MATCH(DATE(YEAR(A72)-1,MONTH(A72),1),$A$2:$A$800,0))-1,""))</f>
        <v>0.105309933690753</v>
      </c>
    </row>
    <row r="73" customFormat="false" ht="15" hidden="false" customHeight="false" outlineLevel="0" collapsed="false">
      <c r="A73" s="121" t="n">
        <v>36708</v>
      </c>
      <c r="B73" s="43" t="n">
        <v>192.104</v>
      </c>
      <c r="C73" s="122" t="n">
        <f aca="false">IF(OR(B73="",B72=""),"",B73/B72-1)</f>
        <v>0.00301263007304464</v>
      </c>
      <c r="D73" s="122" t="n">
        <f aca="false">IF(B73="","",IFERROR(B73/INDEX($B$2:$B$800,MATCH(DATE(YEAR(A73)-1,12,1),$A$2:$A$800,0))-1,""))</f>
        <v>0.0550295468025748</v>
      </c>
      <c r="E73" s="122" t="n">
        <f aca="false">IF(B73="","",IFERROR(B73/INDEX($B$2:$B$800,MATCH(DATE(YEAR(A73)-1,MONTH(A73),1),$A$2:$A$800,0))-1,""))</f>
        <v>0.103576639819847</v>
      </c>
    </row>
    <row r="74" customFormat="false" ht="15" hidden="false" customHeight="false" outlineLevel="0" collapsed="false">
      <c r="A74" s="121" t="n">
        <v>36739</v>
      </c>
      <c r="B74" s="43" t="n">
        <v>192.846</v>
      </c>
      <c r="C74" s="122" t="n">
        <f aca="false">IF(OR(B74="",B73=""),"",B74/B73-1)</f>
        <v>0.00386249115062665</v>
      </c>
      <c r="D74" s="122" t="n">
        <f aca="false">IF(B74="","",IFERROR(B74/INDEX($B$2:$B$800,MATCH(DATE(YEAR(A74)-1,12,1),$A$2:$A$800,0))-1,""))</f>
        <v>0.0591045890907493</v>
      </c>
      <c r="E74" s="122" t="n">
        <f aca="false">IF(B74="","",IFERROR(B74/INDEX($B$2:$B$800,MATCH(DATE(YEAR(A74)-1,MONTH(A74),1),$A$2:$A$800,0))-1,""))</f>
        <v>0.100216795983569</v>
      </c>
    </row>
    <row r="75" customFormat="false" ht="15" hidden="false" customHeight="false" outlineLevel="0" collapsed="false">
      <c r="A75" s="121" t="n">
        <v>36770</v>
      </c>
      <c r="B75" s="43" t="n">
        <v>193.342</v>
      </c>
      <c r="C75" s="122" t="n">
        <f aca="false">IF(OR(B75="",B74=""),"",B75/B74-1)</f>
        <v>0.00257200045632278</v>
      </c>
      <c r="D75" s="122" t="n">
        <f aca="false">IF(B75="","",IFERROR(B75/INDEX($B$2:$B$800,MATCH(DATE(YEAR(A75)-1,12,1),$A$2:$A$800,0))-1,""))</f>
        <v>0.0618286065771843</v>
      </c>
      <c r="E75" s="122" t="n">
        <f aca="false">IF(B75="","",IFERROR(B75/INDEX($B$2:$B$800,MATCH(DATE(YEAR(A75)-1,MONTH(A75),1),$A$2:$A$800,0))-1,""))</f>
        <v>0.0936561359843879</v>
      </c>
    </row>
    <row r="76" customFormat="false" ht="15" hidden="false" customHeight="false" outlineLevel="0" collapsed="false">
      <c r="A76" s="121" t="n">
        <v>36800</v>
      </c>
      <c r="B76" s="43" t="n">
        <v>193.984</v>
      </c>
      <c r="C76" s="122" t="n">
        <f aca="false">IF(OR(B76="",B75=""),"",B76/B75-1)</f>
        <v>0.00332054080334321</v>
      </c>
      <c r="D76" s="122" t="n">
        <f aca="false">IF(B76="","",IFERROR(B76/INDEX($B$2:$B$800,MATCH(DATE(YEAR(A76)-1,12,1),$A$2:$A$800,0))-1,""))</f>
        <v>0.0653544517914808</v>
      </c>
      <c r="E76" s="122" t="n">
        <f aca="false">IF(B76="","",IFERROR(B76/INDEX($B$2:$B$800,MATCH(DATE(YEAR(A76)-1,MONTH(A76),1),$A$2:$A$800,0))-1,""))</f>
        <v>0.086294757355494</v>
      </c>
    </row>
    <row r="77" customFormat="false" ht="15" hidden="false" customHeight="false" outlineLevel="0" collapsed="false">
      <c r="A77" s="121" t="n">
        <v>36831</v>
      </c>
      <c r="B77" s="43" t="n">
        <v>194.789</v>
      </c>
      <c r="C77" s="122" t="n">
        <f aca="false">IF(OR(B77="",B76=""),"",B77/B76-1)</f>
        <v>0.00414982678983833</v>
      </c>
      <c r="D77" s="122" t="n">
        <f aca="false">IF(B77="","",IFERROR(B77/INDEX($B$2:$B$800,MATCH(DATE(YEAR(A77)-1,12,1),$A$2:$A$800,0))-1,""))</f>
        <v>0.0697754882361985</v>
      </c>
      <c r="E77" s="122" t="n">
        <f aca="false">IF(B77="","",IFERROR(B77/INDEX($B$2:$B$800,MATCH(DATE(YEAR(A77)-1,MONTH(A77),1),$A$2:$A$800,0))-1,""))</f>
        <v>0.0809180553474616</v>
      </c>
    </row>
    <row r="78" customFormat="false" ht="15" hidden="false" customHeight="false" outlineLevel="0" collapsed="false">
      <c r="A78" s="121" t="n">
        <v>36861</v>
      </c>
      <c r="B78" s="43" t="n">
        <v>196.037</v>
      </c>
      <c r="C78" s="122" t="n">
        <f aca="false">IF(OR(B78="",B77=""),"",B78/B77-1)</f>
        <v>0.00640693262966607</v>
      </c>
      <c r="D78" s="122" t="n">
        <f aca="false">IF(B78="","",IFERROR(B78/INDEX($B$2:$B$800,MATCH(DATE(YEAR(A78)-1,12,1),$A$2:$A$800,0))-1,""))</f>
        <v>0.076629467718196</v>
      </c>
      <c r="E78" s="122" t="n">
        <f aca="false">IF(B78="","",IFERROR(B78/INDEX($B$2:$B$800,MATCH(DATE(YEAR(A78)-1,MONTH(A78),1),$A$2:$A$800,0))-1,""))</f>
        <v>0.076629467718196</v>
      </c>
    </row>
    <row r="79" customFormat="false" ht="15" hidden="false" customHeight="false" outlineLevel="0" collapsed="false">
      <c r="A79" s="121" t="n">
        <v>36892</v>
      </c>
      <c r="B79" s="43" t="n">
        <v>197.174</v>
      </c>
      <c r="C79" s="122" t="n">
        <f aca="false">IF(OR(B79="",B78=""),"",B79/B78-1)</f>
        <v>0.00579992552426334</v>
      </c>
      <c r="D79" s="122" t="n">
        <f aca="false">IF(B79="","",IFERROR(B79/INDEX($B$2:$B$800,MATCH(DATE(YEAR(A79)-1,12,1),$A$2:$A$800,0))-1,""))</f>
        <v>0.00579992552426334</v>
      </c>
      <c r="E79" s="122" t="n">
        <f aca="false">IF(B79="","",IFERROR(B79/INDEX($B$2:$B$800,MATCH(DATE(YEAR(A79)-1,MONTH(A79),1),$A$2:$A$800,0))-1,""))</f>
        <v>0.0713707420709742</v>
      </c>
    </row>
    <row r="80" customFormat="false" ht="15" hidden="false" customHeight="false" outlineLevel="0" collapsed="false">
      <c r="A80" s="121" t="n">
        <v>36923</v>
      </c>
      <c r="B80" s="43" t="n">
        <v>197.849</v>
      </c>
      <c r="C80" s="122" t="n">
        <f aca="false">IF(OR(B80="",B79=""),"",B80/B79-1)</f>
        <v>0.00342337224989087</v>
      </c>
      <c r="D80" s="122" t="n">
        <f aca="false">IF(B80="","",IFERROR(B80/INDEX($B$2:$B$800,MATCH(DATE(YEAR(A80)-1,12,1),$A$2:$A$800,0))-1,""))</f>
        <v>0.0092431530782453</v>
      </c>
      <c r="E80" s="122" t="n">
        <f aca="false">IF(B80="","",IFERROR(B80/INDEX($B$2:$B$800,MATCH(DATE(YEAR(A80)-1,MONTH(A80),1),$A$2:$A$800,0))-1,""))</f>
        <v>0.0667957144628788</v>
      </c>
    </row>
    <row r="81" customFormat="false" ht="15" hidden="false" customHeight="false" outlineLevel="0" collapsed="false">
      <c r="A81" s="121" t="n">
        <v>36951</v>
      </c>
      <c r="B81" s="43" t="n">
        <v>198.388</v>
      </c>
      <c r="C81" s="122" t="n">
        <f aca="false">IF(OR(B81="",B80=""),"",B81/B80-1)</f>
        <v>0.00272429984483114</v>
      </c>
      <c r="D81" s="122" t="n">
        <f aca="false">IF(B81="","",IFERROR(B81/INDEX($B$2:$B$800,MATCH(DATE(YEAR(A81)-1,12,1),$A$2:$A$800,0))-1,""))</f>
        <v>0.0119926340435734</v>
      </c>
      <c r="E81" s="122" t="n">
        <f aca="false">IF(B81="","",IFERROR(B81/INDEX($B$2:$B$800,MATCH(DATE(YEAR(A81)-1,MONTH(A81),1),$A$2:$A$800,0))-1,""))</f>
        <v>0.0637882590137915</v>
      </c>
    </row>
    <row r="82" customFormat="false" ht="15" hidden="false" customHeight="false" outlineLevel="0" collapsed="false">
      <c r="A82" s="121" t="n">
        <v>36982</v>
      </c>
      <c r="B82" s="43" t="n">
        <v>199.112</v>
      </c>
      <c r="C82" s="122" t="n">
        <f aca="false">IF(OR(B82="",B81=""),"",B82/B81-1)</f>
        <v>0.00364941427908949</v>
      </c>
      <c r="D82" s="122" t="n">
        <f aca="false">IF(B82="","",IFERROR(B82/INDEX($B$2:$B$800,MATCH(DATE(YEAR(A82)-1,12,1),$A$2:$A$800,0))-1,""))</f>
        <v>0.0156858144125853</v>
      </c>
      <c r="E82" s="122" t="n">
        <f aca="false">IF(B82="","",IFERROR(B82/INDEX($B$2:$B$800,MATCH(DATE(YEAR(A82)-1,MONTH(A82),1),$A$2:$A$800,0))-1,""))</f>
        <v>0.0613419756508389</v>
      </c>
    </row>
    <row r="83" customFormat="false" ht="15" hidden="false" customHeight="false" outlineLevel="0" collapsed="false">
      <c r="A83" s="121" t="n">
        <v>37012</v>
      </c>
      <c r="B83" s="43" t="n">
        <v>203.321</v>
      </c>
      <c r="C83" s="122" t="n">
        <f aca="false">IF(OR(B83="",B82=""),"",B83/B82-1)</f>
        <v>0.021138856522962</v>
      </c>
      <c r="D83" s="122" t="n">
        <f aca="false">IF(B83="","",IFERROR(B83/INDEX($B$2:$B$800,MATCH(DATE(YEAR(A83)-1,12,1),$A$2:$A$800,0))-1,""))</f>
        <v>0.0371562511158607</v>
      </c>
      <c r="E83" s="122" t="n">
        <f aca="false">IF(B83="","",IFERROR(B83/INDEX($B$2:$B$800,MATCH(DATE(YEAR(A83)-1,MONTH(A83),1),$A$2:$A$800,0))-1,""))</f>
        <v>0.0693451003492238</v>
      </c>
    </row>
    <row r="84" customFormat="false" ht="15" hidden="false" customHeight="false" outlineLevel="0" collapsed="false">
      <c r="A84" s="121" t="n">
        <v>37043</v>
      </c>
      <c r="B84" s="43" t="n">
        <v>205.682</v>
      </c>
      <c r="C84" s="122" t="n">
        <f aca="false">IF(OR(B84="",B83=""),"",B84/B83-1)</f>
        <v>0.0116121797551654</v>
      </c>
      <c r="D84" s="122" t="n">
        <f aca="false">IF(B84="","",IFERROR(B84/INDEX($B$2:$B$800,MATCH(DATE(YEAR(A84)-1,12,1),$A$2:$A$800,0))-1,""))</f>
        <v>0.0491998959380116</v>
      </c>
      <c r="E84" s="122" t="n">
        <f aca="false">IF(B84="","",IFERROR(B84/INDEX($B$2:$B$800,MATCH(DATE(YEAR(A84)-1,MONTH(A84),1),$A$2:$A$800,0))-1,""))</f>
        <v>0.0739060289149833</v>
      </c>
    </row>
    <row r="85" customFormat="false" ht="15" hidden="false" customHeight="false" outlineLevel="0" collapsed="false">
      <c r="A85" s="121" t="n">
        <v>37073</v>
      </c>
      <c r="B85" s="43" t="n">
        <v>206.742</v>
      </c>
      <c r="C85" s="122" t="n">
        <f aca="false">IF(OR(B85="",B84=""),"",B85/B84-1)</f>
        <v>0.00515358660456444</v>
      </c>
      <c r="D85" s="122" t="n">
        <f aca="false">IF(B85="","",IFERROR(B85/INDEX($B$2:$B$800,MATCH(DATE(YEAR(A85)-1,12,1),$A$2:$A$800,0))-1,""))</f>
        <v>0.0546070384672281</v>
      </c>
      <c r="E85" s="122" t="n">
        <f aca="false">IF(B85="","",IFERROR(B85/INDEX($B$2:$B$800,MATCH(DATE(YEAR(A85)-1,MONTH(A85),1),$A$2:$A$800,0))-1,""))</f>
        <v>0.0761983092491565</v>
      </c>
    </row>
    <row r="86" customFormat="false" ht="15" hidden="false" customHeight="false" outlineLevel="0" collapsed="false">
      <c r="A86" s="121" t="n">
        <v>37104</v>
      </c>
      <c r="B86" s="43" t="n">
        <v>208.026</v>
      </c>
      <c r="C86" s="122" t="n">
        <f aca="false">IF(OR(B86="",B85=""),"",B86/B85-1)</f>
        <v>0.0062106393475927</v>
      </c>
      <c r="D86" s="122" t="n">
        <f aca="false">IF(B86="","",IFERROR(B86/INDEX($B$2:$B$800,MATCH(DATE(YEAR(A86)-1,12,1),$A$2:$A$800,0))-1,""))</f>
        <v>0.0611568224365808</v>
      </c>
      <c r="E86" s="122" t="n">
        <f aca="false">IF(B86="","",IFERROR(B86/INDEX($B$2:$B$800,MATCH(DATE(YEAR(A86)-1,MONTH(A86),1),$A$2:$A$800,0))-1,""))</f>
        <v>0.0787156591269718</v>
      </c>
    </row>
    <row r="87" customFormat="false" ht="15" hidden="false" customHeight="false" outlineLevel="0" collapsed="false">
      <c r="A87" s="121" t="n">
        <v>37135</v>
      </c>
      <c r="B87" s="43" t="n">
        <v>209.174</v>
      </c>
      <c r="C87" s="122" t="n">
        <f aca="false">IF(OR(B87="",B86=""),"",B87/B86-1)</f>
        <v>0.00551854095161186</v>
      </c>
      <c r="D87" s="122" t="n">
        <f aca="false">IF(B87="","",IFERROR(B87/INDEX($B$2:$B$800,MATCH(DATE(YEAR(A87)-1,12,1),$A$2:$A$800,0))-1,""))</f>
        <v>0.0670128598172795</v>
      </c>
      <c r="E87" s="122" t="n">
        <f aca="false">IF(B87="","",IFERROR(B87/INDEX($B$2:$B$800,MATCH(DATE(YEAR(A87)-1,MONTH(A87),1),$A$2:$A$800,0))-1,""))</f>
        <v>0.081885984421388</v>
      </c>
    </row>
    <row r="88" customFormat="false" ht="15" hidden="false" customHeight="false" outlineLevel="0" collapsed="false">
      <c r="A88" s="121" t="n">
        <v>37165</v>
      </c>
      <c r="B88" s="43" t="n">
        <v>211.122</v>
      </c>
      <c r="C88" s="122" t="n">
        <f aca="false">IF(OR(B88="",B87=""),"",B88/B87-1)</f>
        <v>0.0093128209050839</v>
      </c>
      <c r="D88" s="122" t="n">
        <f aca="false">IF(B88="","",IFERROR(B88/INDEX($B$2:$B$800,MATCH(DATE(YEAR(A88)-1,12,1),$A$2:$A$800,0))-1,""))</f>
        <v>0.076949759484179</v>
      </c>
      <c r="E88" s="122" t="n">
        <f aca="false">IF(B88="","",IFERROR(B88/INDEX($B$2:$B$800,MATCH(DATE(YEAR(A88)-1,MONTH(A88),1),$A$2:$A$800,0))-1,""))</f>
        <v>0.0883474925767074</v>
      </c>
    </row>
    <row r="89" customFormat="false" ht="15" hidden="false" customHeight="false" outlineLevel="0" collapsed="false">
      <c r="A89" s="121" t="n">
        <v>37196</v>
      </c>
      <c r="B89" s="43" t="n">
        <v>212.676</v>
      </c>
      <c r="C89" s="122" t="n">
        <f aca="false">IF(OR(B89="",B88=""),"",B89/B88-1)</f>
        <v>0.00736067297581489</v>
      </c>
      <c r="D89" s="122" t="n">
        <f aca="false">IF(B89="","",IFERROR(B89/INDEX($B$2:$B$800,MATCH(DATE(YEAR(A89)-1,12,1),$A$2:$A$800,0))-1,""))</f>
        <v>0.0848768344751245</v>
      </c>
      <c r="E89" s="122" t="n">
        <f aca="false">IF(B89="","",IFERROR(B89/INDEX($B$2:$B$800,MATCH(DATE(YEAR(A89)-1,MONTH(A89),1),$A$2:$A$800,0))-1,""))</f>
        <v>0.0918275672650919</v>
      </c>
    </row>
    <row r="90" customFormat="false" ht="15" hidden="false" customHeight="false" outlineLevel="0" collapsed="false">
      <c r="A90" s="121" t="n">
        <v>37226</v>
      </c>
      <c r="B90" s="43" t="n">
        <v>213.393</v>
      </c>
      <c r="C90" s="122" t="n">
        <f aca="false">IF(OR(B90="",B89=""),"",B90/B89-1)</f>
        <v>0.00337132539637763</v>
      </c>
      <c r="D90" s="122" t="n">
        <f aca="false">IF(B90="","",IFERROR(B90/INDEX($B$2:$B$800,MATCH(DATE(YEAR(A90)-1,12,1),$A$2:$A$800,0))-1,""))</f>
        <v>0.0885343072991323</v>
      </c>
      <c r="E90" s="122" t="n">
        <f aca="false">IF(B90="","",IFERROR(B90/INDEX($B$2:$B$800,MATCH(DATE(YEAR(A90)-1,MONTH(A90),1),$A$2:$A$800,0))-1,""))</f>
        <v>0.0885343072991323</v>
      </c>
    </row>
    <row r="91" customFormat="false" ht="15" hidden="false" customHeight="false" outlineLevel="0" collapsed="false">
      <c r="A91" s="121" t="n">
        <v>37257</v>
      </c>
      <c r="B91" s="43" t="n">
        <v>214.162</v>
      </c>
      <c r="C91" s="122" t="n">
        <f aca="false">IF(OR(B91="",B90=""),"",B91/B90-1)</f>
        <v>0.00360367959586316</v>
      </c>
      <c r="D91" s="122" t="n">
        <f aca="false">IF(B91="","",IFERROR(B91/INDEX($B$2:$B$800,MATCH(DATE(YEAR(A91)-1,12,1),$A$2:$A$800,0))-1,""))</f>
        <v>0.00360367959586316</v>
      </c>
      <c r="E91" s="122" t="n">
        <f aca="false">IF(B91="","",IFERROR(B91/INDEX($B$2:$B$800,MATCH(DATE(YEAR(A91)-1,MONTH(A91),1),$A$2:$A$800,0))-1,""))</f>
        <v>0.0861574041202187</v>
      </c>
    </row>
    <row r="92" customFormat="false" ht="15" hidden="false" customHeight="false" outlineLevel="0" collapsed="false">
      <c r="A92" s="121" t="n">
        <v>37288</v>
      </c>
      <c r="B92" s="43" t="n">
        <v>215.399</v>
      </c>
      <c r="C92" s="122" t="n">
        <f aca="false">IF(OR(B92="",B91=""),"",B92/B91-1)</f>
        <v>0.00577600134477629</v>
      </c>
      <c r="D92" s="122" t="n">
        <f aca="false">IF(B92="","",IFERROR(B92/INDEX($B$2:$B$800,MATCH(DATE(YEAR(A92)-1,12,1),$A$2:$A$800,0))-1,""))</f>
        <v>0.00940049579883118</v>
      </c>
      <c r="E92" s="122" t="n">
        <f aca="false">IF(B92="","",IFERROR(B92/INDEX($B$2:$B$800,MATCH(DATE(YEAR(A92)-1,MONTH(A92),1),$A$2:$A$800,0))-1,""))</f>
        <v>0.0887040116452447</v>
      </c>
    </row>
    <row r="93" customFormat="false" ht="15" hidden="false" customHeight="false" outlineLevel="0" collapsed="false">
      <c r="A93" s="121" t="n">
        <v>37316</v>
      </c>
      <c r="B93" s="43" t="n">
        <v>216.577</v>
      </c>
      <c r="C93" s="122" t="n">
        <f aca="false">IF(OR(B93="",B92=""),"",B93/B92-1)</f>
        <v>0.00546892046852587</v>
      </c>
      <c r="D93" s="122" t="n">
        <f aca="false">IF(B93="","",IFERROR(B93/INDEX($B$2:$B$800,MATCH(DATE(YEAR(A93)-1,12,1),$A$2:$A$800,0))-1,""))</f>
        <v>0.0149208268312455</v>
      </c>
      <c r="E93" s="122" t="n">
        <f aca="false">IF(B93="","",IFERROR(B93/INDEX($B$2:$B$800,MATCH(DATE(YEAR(A93)-1,MONTH(A93),1),$A$2:$A$800,0))-1,""))</f>
        <v>0.0916839728209367</v>
      </c>
    </row>
    <row r="94" customFormat="false" ht="15" hidden="false" customHeight="false" outlineLevel="0" collapsed="false">
      <c r="A94" s="121" t="n">
        <v>37347</v>
      </c>
      <c r="B94" s="43" t="n">
        <v>217.288</v>
      </c>
      <c r="C94" s="122" t="n">
        <f aca="false">IF(OR(B94="",B93=""),"",B94/B93-1)</f>
        <v>0.00328289707586693</v>
      </c>
      <c r="D94" s="122" t="n">
        <f aca="false">IF(B94="","",IFERROR(B94/INDEX($B$2:$B$800,MATCH(DATE(YEAR(A94)-1,12,1),$A$2:$A$800,0))-1,""))</f>
        <v>0.0182527074458863</v>
      </c>
      <c r="E94" s="122" t="n">
        <f aca="false">IF(B94="","",IFERROR(B94/INDEX($B$2:$B$800,MATCH(DATE(YEAR(A94)-1,MONTH(A94),1),$A$2:$A$800,0))-1,""))</f>
        <v>0.0912853067620234</v>
      </c>
    </row>
    <row r="95" customFormat="false" ht="15" hidden="false" customHeight="false" outlineLevel="0" collapsed="false">
      <c r="A95" s="121" t="n">
        <v>37377</v>
      </c>
      <c r="B95" s="43" t="n">
        <v>222.793</v>
      </c>
      <c r="C95" s="122" t="n">
        <f aca="false">IF(OR(B95="",B94=""),"",B95/B94-1)</f>
        <v>0.0253350392106328</v>
      </c>
      <c r="D95" s="122" t="n">
        <f aca="false">IF(B95="","",IFERROR(B95/INDEX($B$2:$B$800,MATCH(DATE(YEAR(A95)-1,12,1),$A$2:$A$800,0))-1,""))</f>
        <v>0.044050179715361</v>
      </c>
      <c r="E95" s="122" t="n">
        <f aca="false">IF(B95="","",IFERROR(B95/INDEX($B$2:$B$800,MATCH(DATE(YEAR(A95)-1,MONTH(A95),1),$A$2:$A$800,0))-1,""))</f>
        <v>0.0957697434106659</v>
      </c>
    </row>
    <row r="96" customFormat="false" ht="15" hidden="false" customHeight="false" outlineLevel="0" collapsed="false">
      <c r="A96" s="121" t="n">
        <v>37408</v>
      </c>
      <c r="B96" s="43" t="n">
        <v>224.054</v>
      </c>
      <c r="C96" s="122" t="n">
        <f aca="false">IF(OR(B96="",B95=""),"",B96/B95-1)</f>
        <v>0.00565996238661004</v>
      </c>
      <c r="D96" s="122" t="n">
        <f aca="false">IF(B96="","",IFERROR(B96/INDEX($B$2:$B$800,MATCH(DATE(YEAR(A96)-1,12,1),$A$2:$A$800,0))-1,""))</f>
        <v>0.0499594644622832</v>
      </c>
      <c r="E96" s="122" t="n">
        <f aca="false">IF(B96="","",IFERROR(B96/INDEX($B$2:$B$800,MATCH(DATE(YEAR(A96)-1,MONTH(A96),1),$A$2:$A$800,0))-1,""))</f>
        <v>0.0893223519802415</v>
      </c>
    </row>
    <row r="97" customFormat="false" ht="15" hidden="false" customHeight="false" outlineLevel="0" collapsed="false">
      <c r="A97" s="121" t="n">
        <v>37438</v>
      </c>
      <c r="B97" s="43" t="n">
        <v>224.712</v>
      </c>
      <c r="C97" s="122" t="n">
        <f aca="false">IF(OR(B97="",B96=""),"",B97/B96-1)</f>
        <v>0.0029367920233514</v>
      </c>
      <c r="D97" s="122" t="n">
        <f aca="false">IF(B97="","",IFERROR(B97/INDEX($B$2:$B$800,MATCH(DATE(YEAR(A97)-1,12,1),$A$2:$A$800,0))-1,""))</f>
        <v>0.0530429770423584</v>
      </c>
      <c r="E97" s="122" t="n">
        <f aca="false">IF(B97="","",IFERROR(B97/INDEX($B$2:$B$800,MATCH(DATE(YEAR(A97)-1,MONTH(A97),1),$A$2:$A$800,0))-1,""))</f>
        <v>0.0869199291871028</v>
      </c>
    </row>
    <row r="98" customFormat="false" ht="15" hidden="false" customHeight="false" outlineLevel="0" collapsed="false">
      <c r="A98" s="121" t="n">
        <v>37469</v>
      </c>
      <c r="B98" s="43" t="n">
        <v>226.968</v>
      </c>
      <c r="C98" s="122" t="n">
        <f aca="false">IF(OR(B98="",B97=""),"",B98/B97-1)</f>
        <v>0.0100395172487451</v>
      </c>
      <c r="D98" s="122" t="n">
        <f aca="false">IF(B98="","",IFERROR(B98/INDEX($B$2:$B$800,MATCH(DATE(YEAR(A98)-1,12,1),$A$2:$A$800,0))-1,""))</f>
        <v>0.0636150201740451</v>
      </c>
      <c r="E98" s="122" t="n">
        <f aca="false">IF(B98="","",IFERROR(B98/INDEX($B$2:$B$800,MATCH(DATE(YEAR(A98)-1,MONTH(A98),1),$A$2:$A$800,0))-1,""))</f>
        <v>0.0910559257015948</v>
      </c>
    </row>
    <row r="99" customFormat="false" ht="15" hidden="false" customHeight="false" outlineLevel="0" collapsed="false">
      <c r="A99" s="121" t="n">
        <v>37500</v>
      </c>
      <c r="B99" s="43" t="n">
        <v>228.576</v>
      </c>
      <c r="C99" s="122" t="n">
        <f aca="false">IF(OR(B99="",B98=""),"",B99/B98-1)</f>
        <v>0.00708469916464005</v>
      </c>
      <c r="D99" s="122" t="n">
        <f aca="false">IF(B99="","",IFERROR(B99/INDEX($B$2:$B$800,MATCH(DATE(YEAR(A99)-1,12,1),$A$2:$A$800,0))-1,""))</f>
        <v>0.0711504126189706</v>
      </c>
      <c r="E99" s="122" t="n">
        <f aca="false">IF(B99="","",IFERROR(B99/INDEX($B$2:$B$800,MATCH(DATE(YEAR(A99)-1,MONTH(A99),1),$A$2:$A$800,0))-1,""))</f>
        <v>0.092755313757924</v>
      </c>
    </row>
    <row r="100" customFormat="false" ht="15" hidden="false" customHeight="false" outlineLevel="0" collapsed="false">
      <c r="A100" s="121" t="n">
        <v>37530</v>
      </c>
      <c r="B100" s="43" t="n">
        <v>231.167</v>
      </c>
      <c r="C100" s="122" t="n">
        <f aca="false">IF(OR(B100="",B99=""),"",B100/B99-1)</f>
        <v>0.0113353982920341</v>
      </c>
      <c r="D100" s="122" t="n">
        <f aca="false">IF(B100="","",IFERROR(B100/INDEX($B$2:$B$800,MATCH(DATE(YEAR(A100)-1,12,1),$A$2:$A$800,0))-1,""))</f>
        <v>0.0832923291766834</v>
      </c>
      <c r="E100" s="122" t="n">
        <f aca="false">IF(B100="","",IFERROR(B100/INDEX($B$2:$B$800,MATCH(DATE(YEAR(A100)-1,MONTH(A100),1),$A$2:$A$800,0))-1,""))</f>
        <v>0.094945102831538</v>
      </c>
    </row>
    <row r="101" customFormat="false" ht="15" hidden="false" customHeight="false" outlineLevel="0" collapsed="false">
      <c r="A101" s="121" t="n">
        <v>37561</v>
      </c>
      <c r="B101" s="43" t="n">
        <v>236.83</v>
      </c>
      <c r="C101" s="122" t="n">
        <f aca="false">IF(OR(B101="",B100=""),"",B101/B100-1)</f>
        <v>0.0244974412437762</v>
      </c>
      <c r="D101" s="122" t="n">
        <f aca="false">IF(B101="","",IFERROR(B101/INDEX($B$2:$B$800,MATCH(DATE(YEAR(A101)-1,12,1),$A$2:$A$800,0))-1,""))</f>
        <v>0.109830219360523</v>
      </c>
      <c r="E101" s="122" t="n">
        <f aca="false">IF(B101="","",IFERROR(B101/INDEX($B$2:$B$800,MATCH(DATE(YEAR(A101)-1,MONTH(A101),1),$A$2:$A$800,0))-1,""))</f>
        <v>0.11357181816472</v>
      </c>
    </row>
    <row r="102" customFormat="false" ht="15" hidden="false" customHeight="false" outlineLevel="0" collapsed="false">
      <c r="A102" s="121" t="n">
        <v>37591</v>
      </c>
      <c r="B102" s="43" t="n">
        <v>240.861</v>
      </c>
      <c r="C102" s="122" t="n">
        <f aca="false">IF(OR(B102="",B101=""),"",B102/B101-1)</f>
        <v>0.0170206477219945</v>
      </c>
      <c r="D102" s="122" t="n">
        <f aca="false">IF(B102="","",IFERROR(B102/INDEX($B$2:$B$800,MATCH(DATE(YEAR(A102)-1,12,1),$A$2:$A$800,0))-1,""))</f>
        <v>0.128720248555482</v>
      </c>
      <c r="E102" s="122" t="n">
        <f aca="false">IF(B102="","",IFERROR(B102/INDEX($B$2:$B$800,MATCH(DATE(YEAR(A102)-1,MONTH(A102),1),$A$2:$A$800,0))-1,""))</f>
        <v>0.128720248555482</v>
      </c>
    </row>
    <row r="103" customFormat="false" ht="15" hidden="false" customHeight="false" outlineLevel="0" collapsed="false">
      <c r="A103" s="121" t="n">
        <v>37622</v>
      </c>
      <c r="B103" s="43" t="n">
        <v>244.489</v>
      </c>
      <c r="C103" s="122" t="n">
        <f aca="false">IF(OR(B103="",B102=""),"",B103/B102-1)</f>
        <v>0.0150626294833951</v>
      </c>
      <c r="D103" s="122" t="n">
        <f aca="false">IF(B103="","",IFERROR(B103/INDEX($B$2:$B$800,MATCH(DATE(YEAR(A103)-1,12,1),$A$2:$A$800,0))-1,""))</f>
        <v>0.0150626294833951</v>
      </c>
      <c r="E103" s="122" t="n">
        <f aca="false">IF(B103="","",IFERROR(B103/INDEX($B$2:$B$800,MATCH(DATE(YEAR(A103)-1,MONTH(A103),1),$A$2:$A$800,0))-1,""))</f>
        <v>0.141607754877149</v>
      </c>
    </row>
    <row r="104" customFormat="false" ht="15" hidden="false" customHeight="false" outlineLevel="0" collapsed="false">
      <c r="A104" s="121" t="n">
        <v>37653</v>
      </c>
      <c r="B104" s="43" t="n">
        <v>247.898</v>
      </c>
      <c r="C104" s="122" t="n">
        <f aca="false">IF(OR(B104="",B103=""),"",B104/B103-1)</f>
        <v>0.01394336759527</v>
      </c>
      <c r="D104" s="122" t="n">
        <f aca="false">IF(B104="","",IFERROR(B104/INDEX($B$2:$B$800,MATCH(DATE(YEAR(A104)-1,12,1),$A$2:$A$800,0))-1,""))</f>
        <v>0.0292160208585035</v>
      </c>
      <c r="E104" s="122" t="n">
        <f aca="false">IF(B104="","",IFERROR(B104/INDEX($B$2:$B$800,MATCH(DATE(YEAR(A104)-1,MONTH(A104),1),$A$2:$A$800,0))-1,""))</f>
        <v>0.150878137781513</v>
      </c>
    </row>
    <row r="105" customFormat="false" ht="15" hidden="false" customHeight="false" outlineLevel="0" collapsed="false">
      <c r="A105" s="121" t="n">
        <v>37681</v>
      </c>
      <c r="B105" s="43" t="n">
        <v>251.318</v>
      </c>
      <c r="C105" s="122" t="n">
        <f aca="false">IF(OR(B105="",B104=""),"",B105/B104-1)</f>
        <v>0.013795996740595</v>
      </c>
      <c r="D105" s="122" t="n">
        <f aca="false">IF(B105="","",IFERROR(B105/INDEX($B$2:$B$800,MATCH(DATE(YEAR(A105)-1,12,1),$A$2:$A$800,0))-1,""))</f>
        <v>0.0434150817276355</v>
      </c>
      <c r="E105" s="122" t="n">
        <f aca="false">IF(B105="","",IFERROR(B105/INDEX($B$2:$B$800,MATCH(DATE(YEAR(A105)-1,MONTH(A105),1),$A$2:$A$800,0))-1,""))</f>
        <v>0.160409461761868</v>
      </c>
    </row>
    <row r="106" customFormat="false" ht="15" hidden="false" customHeight="false" outlineLevel="0" collapsed="false">
      <c r="A106" s="121" t="n">
        <v>37712</v>
      </c>
      <c r="B106" s="43" t="n">
        <v>253.585</v>
      </c>
      <c r="C106" s="122" t="n">
        <f aca="false">IF(OR(B106="",B105=""),"",B106/B105-1)</f>
        <v>0.00902044421808235</v>
      </c>
      <c r="D106" s="122" t="n">
        <f aca="false">IF(B106="","",IFERROR(B106/INDEX($B$2:$B$800,MATCH(DATE(YEAR(A106)-1,12,1),$A$2:$A$800,0))-1,""))</f>
        <v>0.0528271492686654</v>
      </c>
      <c r="E106" s="122" t="n">
        <f aca="false">IF(B106="","",IFERROR(B106/INDEX($B$2:$B$800,MATCH(DATE(YEAR(A106)-1,MONTH(A106),1),$A$2:$A$800,0))-1,""))</f>
        <v>0.167045580059644</v>
      </c>
    </row>
    <row r="107" customFormat="false" ht="15" hidden="false" customHeight="false" outlineLevel="0" collapsed="false">
      <c r="A107" s="121" t="n">
        <v>37742</v>
      </c>
      <c r="B107" s="43" t="n">
        <v>260.778</v>
      </c>
      <c r="C107" s="122" t="n">
        <f aca="false">IF(OR(B107="",B106=""),"",B107/B106-1)</f>
        <v>0.0283652424236449</v>
      </c>
      <c r="D107" s="122" t="n">
        <f aca="false">IF(B107="","",IFERROR(B107/INDEX($B$2:$B$800,MATCH(DATE(YEAR(A107)-1,12,1),$A$2:$A$800,0))-1,""))</f>
        <v>0.0826908465878662</v>
      </c>
      <c r="E107" s="122" t="n">
        <f aca="false">IF(B107="","",IFERROR(B107/INDEX($B$2:$B$800,MATCH(DATE(YEAR(A107)-1,MONTH(A107),1),$A$2:$A$800,0))-1,""))</f>
        <v>0.170494584659303</v>
      </c>
    </row>
    <row r="108" customFormat="false" ht="15" hidden="false" customHeight="false" outlineLevel="0" collapsed="false">
      <c r="A108" s="121" t="n">
        <v>37773</v>
      </c>
      <c r="B108" s="43" t="n">
        <v>263.516</v>
      </c>
      <c r="C108" s="122" t="n">
        <f aca="false">IF(OR(B108="",B107=""),"",B108/B107-1)</f>
        <v>0.0104993519391974</v>
      </c>
      <c r="D108" s="122" t="n">
        <f aca="false">IF(B108="","",IFERROR(B108/INDEX($B$2:$B$800,MATCH(DATE(YEAR(A108)-1,12,1),$A$2:$A$800,0))-1,""))</f>
        <v>0.0940583988275396</v>
      </c>
      <c r="E108" s="122" t="n">
        <f aca="false">IF(B108="","",IFERROR(B108/INDEX($B$2:$B$800,MATCH(DATE(YEAR(A108)-1,MONTH(A108),1),$A$2:$A$800,0))-1,""))</f>
        <v>0.176127183625376</v>
      </c>
    </row>
    <row r="109" customFormat="false" ht="15" hidden="false" customHeight="false" outlineLevel="0" collapsed="false">
      <c r="A109" s="121" t="n">
        <v>37803</v>
      </c>
      <c r="B109" s="43" t="n">
        <v>266.132</v>
      </c>
      <c r="C109" s="122" t="n">
        <f aca="false">IF(OR(B109="",B108=""),"",B109/B108-1)</f>
        <v>0.00992729094248546</v>
      </c>
      <c r="D109" s="122" t="n">
        <f aca="false">IF(B109="","",IFERROR(B109/INDEX($B$2:$B$800,MATCH(DATE(YEAR(A109)-1,12,1),$A$2:$A$800,0))-1,""))</f>
        <v>0.10491943486077</v>
      </c>
      <c r="E109" s="122" t="n">
        <f aca="false">IF(B109="","",IFERROR(B109/INDEX($B$2:$B$800,MATCH(DATE(YEAR(A109)-1,MONTH(A109),1),$A$2:$A$800,0))-1,""))</f>
        <v>0.18432482466446</v>
      </c>
    </row>
    <row r="110" customFormat="false" ht="15" hidden="false" customHeight="false" outlineLevel="0" collapsed="false">
      <c r="A110" s="121" t="n">
        <v>37834</v>
      </c>
      <c r="B110" s="43" t="n">
        <v>269.967</v>
      </c>
      <c r="C110" s="122" t="n">
        <f aca="false">IF(OR(B110="",B109=""),"",B110/B109-1)</f>
        <v>0.0144101423353824</v>
      </c>
      <c r="D110" s="122" t="n">
        <f aca="false">IF(B110="","",IFERROR(B110/INDEX($B$2:$B$800,MATCH(DATE(YEAR(A110)-1,12,1),$A$2:$A$800,0))-1,""))</f>
        <v>0.120841481186244</v>
      </c>
      <c r="E110" s="122" t="n">
        <f aca="false">IF(B110="","",IFERROR(B110/INDEX($B$2:$B$800,MATCH(DATE(YEAR(A110)-1,MONTH(A110),1),$A$2:$A$800,0))-1,""))</f>
        <v>0.189449614042508</v>
      </c>
    </row>
    <row r="111" customFormat="false" ht="15" hidden="false" customHeight="false" outlineLevel="0" collapsed="false">
      <c r="A111" s="121" t="n">
        <v>37865</v>
      </c>
      <c r="B111" s="43" t="n">
        <v>270.555</v>
      </c>
      <c r="C111" s="122" t="n">
        <f aca="false">IF(OR(B111="",B110=""),"",B111/B110-1)</f>
        <v>0.00217804398315358</v>
      </c>
      <c r="D111" s="122" t="n">
        <f aca="false">IF(B111="","",IFERROR(B111/INDEX($B$2:$B$800,MATCH(DATE(YEAR(A111)-1,12,1),$A$2:$A$800,0))-1,""))</f>
        <v>0.123282723230411</v>
      </c>
      <c r="E111" s="122" t="n">
        <f aca="false">IF(B111="","",IFERROR(B111/INDEX($B$2:$B$800,MATCH(DATE(YEAR(A111)-1,MONTH(A111),1),$A$2:$A$800,0))-1,""))</f>
        <v>0.183654451910962</v>
      </c>
    </row>
    <row r="112" customFormat="false" ht="15" hidden="false" customHeight="false" outlineLevel="0" collapsed="false">
      <c r="A112" s="121" t="n">
        <v>37895</v>
      </c>
      <c r="B112" s="43" t="n">
        <v>272.325</v>
      </c>
      <c r="C112" s="122" t="n">
        <f aca="false">IF(OR(B112="",B111=""),"",B112/B111-1)</f>
        <v>0.00654210788933862</v>
      </c>
      <c r="D112" s="122" t="n">
        <f aca="false">IF(B112="","",IFERROR(B112/INDEX($B$2:$B$800,MATCH(DATE(YEAR(A112)-1,12,1),$A$2:$A$800,0))-1,""))</f>
        <v>0.130631359996014</v>
      </c>
      <c r="E112" s="122" t="n">
        <f aca="false">IF(B112="","",IFERROR(B112/INDEX($B$2:$B$800,MATCH(DATE(YEAR(A112)-1,MONTH(A112),1),$A$2:$A$800,0))-1,""))</f>
        <v>0.178044444059922</v>
      </c>
    </row>
    <row r="113" customFormat="false" ht="15" hidden="false" customHeight="false" outlineLevel="0" collapsed="false">
      <c r="A113" s="121" t="n">
        <v>37926</v>
      </c>
      <c r="B113" s="43" t="n">
        <v>275.152</v>
      </c>
      <c r="C113" s="122" t="n">
        <f aca="false">IF(OR(B113="",B112=""),"",B113/B112-1)</f>
        <v>0.0103809786101166</v>
      </c>
      <c r="D113" s="122" t="n">
        <f aca="false">IF(B113="","",IFERROR(B113/INDEX($B$2:$B$800,MATCH(DATE(YEAR(A113)-1,12,1),$A$2:$A$800,0))-1,""))</f>
        <v>0.14236841996006</v>
      </c>
      <c r="E113" s="122" t="n">
        <f aca="false">IF(B113="","",IFERROR(B113/INDEX($B$2:$B$800,MATCH(DATE(YEAR(A113)-1,MONTH(A113),1),$A$2:$A$800,0))-1,""))</f>
        <v>0.161812270404932</v>
      </c>
    </row>
    <row r="114" customFormat="false" ht="15" hidden="false" customHeight="false" outlineLevel="0" collapsed="false">
      <c r="A114" s="121" t="n">
        <v>37956</v>
      </c>
      <c r="B114" s="43" t="n">
        <v>275.594</v>
      </c>
      <c r="C114" s="122" t="n">
        <f aca="false">IF(OR(B114="",B113=""),"",B114/B113-1)</f>
        <v>0.00160638483456421</v>
      </c>
      <c r="D114" s="122" t="n">
        <f aca="false">IF(B114="","",IFERROR(B114/INDEX($B$2:$B$800,MATCH(DATE(YEAR(A114)-1,12,1),$A$2:$A$800,0))-1,""))</f>
        <v>0.144203503265369</v>
      </c>
      <c r="E114" s="122" t="n">
        <f aca="false">IF(B114="","",IFERROR(B114/INDEX($B$2:$B$800,MATCH(DATE(YEAR(A114)-1,MONTH(A114),1),$A$2:$A$800,0))-1,""))</f>
        <v>0.144203503265369</v>
      </c>
    </row>
    <row r="115" customFormat="false" ht="15" hidden="false" customHeight="false" outlineLevel="0" collapsed="false">
      <c r="A115" s="121" t="n">
        <v>37987</v>
      </c>
      <c r="B115" s="43" t="n">
        <v>276.49</v>
      </c>
      <c r="C115" s="122" t="n">
        <f aca="false">IF(OR(B115="",B114=""),"",B115/B114-1)</f>
        <v>0.00325115931406339</v>
      </c>
      <c r="D115" s="122" t="n">
        <f aca="false">IF(B115="","",IFERROR(B115/INDEX($B$2:$B$800,MATCH(DATE(YEAR(A115)-1,12,1),$A$2:$A$800,0))-1,""))</f>
        <v>0.00325115931406339</v>
      </c>
      <c r="E115" s="122" t="n">
        <f aca="false">IF(B115="","",IFERROR(B115/INDEX($B$2:$B$800,MATCH(DATE(YEAR(A115)-1,MONTH(A115),1),$A$2:$A$800,0))-1,""))</f>
        <v>0.130889324264077</v>
      </c>
    </row>
    <row r="116" customFormat="false" ht="15" hidden="false" customHeight="false" outlineLevel="0" collapsed="false">
      <c r="A116" s="121" t="n">
        <v>38018</v>
      </c>
      <c r="B116" s="43" t="n">
        <v>279.243</v>
      </c>
      <c r="C116" s="122" t="n">
        <f aca="false">IF(OR(B116="",B115=""),"",B116/B115-1)</f>
        <v>0.00995696046873307</v>
      </c>
      <c r="D116" s="122" t="n">
        <f aca="false">IF(B116="","",IFERROR(B116/INDEX($B$2:$B$800,MATCH(DATE(YEAR(A116)-1,12,1),$A$2:$A$800,0))-1,""))</f>
        <v>0.0132404914475641</v>
      </c>
      <c r="E116" s="122" t="n">
        <f aca="false">IF(B116="","",IFERROR(B116/INDEX($B$2:$B$800,MATCH(DATE(YEAR(A116)-1,MONTH(A116),1),$A$2:$A$800,0))-1,""))</f>
        <v>0.126443133869575</v>
      </c>
    </row>
    <row r="117" customFormat="false" ht="15" hidden="false" customHeight="false" outlineLevel="0" collapsed="false">
      <c r="A117" s="121" t="n">
        <v>38047</v>
      </c>
      <c r="B117" s="43" t="n">
        <v>282.47</v>
      </c>
      <c r="C117" s="122" t="n">
        <f aca="false">IF(OR(B117="",B116=""),"",B117/B116-1)</f>
        <v>0.0115562431287446</v>
      </c>
      <c r="D117" s="122" t="n">
        <f aca="false">IF(B117="","",IFERROR(B117/INDEX($B$2:$B$800,MATCH(DATE(YEAR(A117)-1,12,1),$A$2:$A$800,0))-1,""))</f>
        <v>0.024949744914621</v>
      </c>
      <c r="E117" s="122" t="n">
        <f aca="false">IF(B117="","",IFERROR(B117/INDEX($B$2:$B$800,MATCH(DATE(YEAR(A117)-1,MONTH(A117),1),$A$2:$A$800,0))-1,""))</f>
        <v>0.123954511813718</v>
      </c>
    </row>
    <row r="118" customFormat="false" ht="15" hidden="false" customHeight="false" outlineLevel="0" collapsed="false">
      <c r="A118" s="121" t="n">
        <v>38078</v>
      </c>
      <c r="B118" s="43" t="n">
        <v>284.128</v>
      </c>
      <c r="C118" s="122" t="n">
        <f aca="false">IF(OR(B118="",B117=""),"",B118/B117-1)</f>
        <v>0.0058696498743227</v>
      </c>
      <c r="D118" s="122" t="n">
        <f aca="false">IF(B118="","",IFERROR(B118/INDEX($B$2:$B$800,MATCH(DATE(YEAR(A118)-1,12,1),$A$2:$A$800,0))-1,""))</f>
        <v>0.0309658410560463</v>
      </c>
      <c r="E118" s="122" t="n">
        <f aca="false">IF(B118="","",IFERROR(B118/INDEX($B$2:$B$800,MATCH(DATE(YEAR(A118)-1,MONTH(A118),1),$A$2:$A$800,0))-1,""))</f>
        <v>0.120444821263087</v>
      </c>
    </row>
    <row r="119" customFormat="false" ht="15" hidden="false" customHeight="false" outlineLevel="0" collapsed="false">
      <c r="A119" s="121" t="n">
        <v>38108</v>
      </c>
      <c r="B119" s="43" t="n">
        <v>289.317</v>
      </c>
      <c r="C119" s="122" t="n">
        <f aca="false">IF(OR(B119="",B118=""),"",B119/B118-1)</f>
        <v>0.0182628955963511</v>
      </c>
      <c r="D119" s="122" t="n">
        <f aca="false">IF(B119="","",IFERROR(B119/INDEX($B$2:$B$800,MATCH(DATE(YEAR(A119)-1,12,1),$A$2:$A$800,0))-1,""))</f>
        <v>0.049794262574657</v>
      </c>
      <c r="E119" s="122" t="n">
        <f aca="false">IF(B119="","",IFERROR(B119/INDEX($B$2:$B$800,MATCH(DATE(YEAR(A119)-1,MONTH(A119),1),$A$2:$A$800,0))-1,""))</f>
        <v>0.10943791270736</v>
      </c>
    </row>
    <row r="120" customFormat="false" ht="15" hidden="false" customHeight="false" outlineLevel="0" collapsed="false">
      <c r="A120" s="121" t="n">
        <v>38139</v>
      </c>
      <c r="B120" s="43" t="n">
        <v>291.348</v>
      </c>
      <c r="C120" s="122" t="n">
        <f aca="false">IF(OR(B120="",B119=""),"",B120/B119-1)</f>
        <v>0.00701998154273698</v>
      </c>
      <c r="D120" s="122" t="n">
        <f aca="false">IF(B120="","",IFERROR(B120/INDEX($B$2:$B$800,MATCH(DATE(YEAR(A120)-1,12,1),$A$2:$A$800,0))-1,""))</f>
        <v>0.0571637989216021</v>
      </c>
      <c r="E120" s="122" t="n">
        <f aca="false">IF(B120="","",IFERROR(B120/INDEX($B$2:$B$800,MATCH(DATE(YEAR(A120)-1,MONTH(A120),1),$A$2:$A$800,0))-1,""))</f>
        <v>0.105617875195434</v>
      </c>
    </row>
    <row r="121" customFormat="false" ht="15" hidden="false" customHeight="false" outlineLevel="0" collapsed="false">
      <c r="A121" s="121" t="n">
        <v>38169</v>
      </c>
      <c r="B121" s="43" t="n">
        <v>294.625</v>
      </c>
      <c r="C121" s="122" t="n">
        <f aca="false">IF(OR(B121="",B120=""),"",B121/B120-1)</f>
        <v>0.0112477175062125</v>
      </c>
      <c r="D121" s="122" t="n">
        <f aca="false">IF(B121="","",IFERROR(B121/INDEX($B$2:$B$800,MATCH(DATE(YEAR(A121)-1,12,1),$A$2:$A$800,0))-1,""))</f>
        <v>0.0690544786896667</v>
      </c>
      <c r="E121" s="122" t="n">
        <f aca="false">IF(B121="","",IFERROR(B121/INDEX($B$2:$B$800,MATCH(DATE(YEAR(A121)-1,MONTH(A121),1),$A$2:$A$800,0))-1,""))</f>
        <v>0.107063412141343</v>
      </c>
    </row>
    <row r="122" customFormat="false" ht="15" hidden="false" customHeight="false" outlineLevel="0" collapsed="false">
      <c r="A122" s="121" t="n">
        <v>38200</v>
      </c>
      <c r="B122" s="43" t="n">
        <v>297.003</v>
      </c>
      <c r="C122" s="122" t="n">
        <f aca="false">IF(OR(B122="",B121=""),"",B122/B121-1)</f>
        <v>0.00807127704709365</v>
      </c>
      <c r="D122" s="122" t="n">
        <f aca="false">IF(B122="","",IFERROR(B122/INDEX($B$2:$B$800,MATCH(DATE(YEAR(A122)-1,12,1),$A$2:$A$800,0))-1,""))</f>
        <v>0.0776831135656073</v>
      </c>
      <c r="E122" s="122" t="n">
        <f aca="false">IF(B122="","",IFERROR(B122/INDEX($B$2:$B$800,MATCH(DATE(YEAR(A122)-1,MONTH(A122),1),$A$2:$A$800,0))-1,""))</f>
        <v>0.100145573347854</v>
      </c>
    </row>
    <row r="123" customFormat="false" ht="15" hidden="false" customHeight="false" outlineLevel="0" collapsed="false">
      <c r="A123" s="121" t="n">
        <v>38231</v>
      </c>
      <c r="B123" s="43" t="n">
        <v>298.722</v>
      </c>
      <c r="C123" s="122" t="n">
        <f aca="false">IF(OR(B123="",B122=""),"",B123/B122-1)</f>
        <v>0.00578782032504721</v>
      </c>
      <c r="D123" s="122" t="n">
        <f aca="false">IF(B123="","",IFERROR(B123/INDEX($B$2:$B$800,MATCH(DATE(YEAR(A123)-1,12,1),$A$2:$A$800,0))-1,""))</f>
        <v>0.0839205497942626</v>
      </c>
      <c r="E123" s="122" t="n">
        <f aca="false">IF(B123="","",IFERROR(B123/INDEX($B$2:$B$800,MATCH(DATE(YEAR(A123)-1,MONTH(A123),1),$A$2:$A$800,0))-1,""))</f>
        <v>0.104108221988135</v>
      </c>
    </row>
    <row r="124" customFormat="false" ht="15" hidden="false" customHeight="false" outlineLevel="0" collapsed="false">
      <c r="A124" s="121" t="n">
        <v>38261</v>
      </c>
      <c r="B124" s="43" t="n">
        <v>302.275</v>
      </c>
      <c r="C124" s="122" t="n">
        <f aca="false">IF(OR(B124="",B123=""),"",B124/B123-1)</f>
        <v>0.0118940017809202</v>
      </c>
      <c r="D124" s="122" t="n">
        <f aca="false">IF(B124="","",IFERROR(B124/INDEX($B$2:$B$800,MATCH(DATE(YEAR(A124)-1,12,1),$A$2:$A$800,0))-1,""))</f>
        <v>0.0968127027438914</v>
      </c>
      <c r="E124" s="122" t="n">
        <f aca="false">IF(B124="","",IFERROR(B124/INDEX($B$2:$B$800,MATCH(DATE(YEAR(A124)-1,MONTH(A124),1),$A$2:$A$800,0))-1,""))</f>
        <v>0.109978885522813</v>
      </c>
    </row>
    <row r="125" customFormat="false" ht="15" hidden="false" customHeight="false" outlineLevel="0" collapsed="false">
      <c r="A125" s="121" t="n">
        <v>38292</v>
      </c>
      <c r="B125" s="43" t="n">
        <v>304.429</v>
      </c>
      <c r="C125" s="122" t="n">
        <f aca="false">IF(OR(B125="",B124=""),"",B125/B124-1)</f>
        <v>0.00712596145893629</v>
      </c>
      <c r="D125" s="122" t="n">
        <f aca="false">IF(B125="","",IFERROR(B125/INDEX($B$2:$B$800,MATCH(DATE(YEAR(A125)-1,12,1),$A$2:$A$800,0))-1,""))</f>
        <v>0.104628547791316</v>
      </c>
      <c r="E125" s="122" t="n">
        <f aca="false">IF(B125="","",IFERROR(B125/INDEX($B$2:$B$800,MATCH(DATE(YEAR(A125)-1,MONTH(A125),1),$A$2:$A$800,0))-1,""))</f>
        <v>0.106403006338315</v>
      </c>
    </row>
    <row r="126" customFormat="false" ht="15" hidden="false" customHeight="false" outlineLevel="0" collapsed="false">
      <c r="A126" s="121" t="n">
        <v>38322</v>
      </c>
      <c r="B126" s="43" t="n">
        <v>305.974</v>
      </c>
      <c r="C126" s="122" t="n">
        <f aca="false">IF(OR(B126="",B125=""),"",B126/B125-1)</f>
        <v>0.00507507497643145</v>
      </c>
      <c r="D126" s="122" t="n">
        <f aca="false">IF(B126="","",IFERROR(B126/INDEX($B$2:$B$800,MATCH(DATE(YEAR(A126)-1,12,1),$A$2:$A$800,0))-1,""))</f>
        <v>0.110234620492464</v>
      </c>
      <c r="E126" s="122" t="n">
        <f aca="false">IF(B126="","",IFERROR(B126/INDEX($B$2:$B$800,MATCH(DATE(YEAR(A126)-1,MONTH(A126),1),$A$2:$A$800,0))-1,""))</f>
        <v>0.110234620492464</v>
      </c>
    </row>
    <row r="127" customFormat="false" ht="15" hidden="false" customHeight="false" outlineLevel="0" collapsed="false">
      <c r="A127" s="121" t="n">
        <v>38353</v>
      </c>
      <c r="B127" s="43" t="n">
        <v>308.284</v>
      </c>
      <c r="C127" s="122" t="n">
        <f aca="false">IF(OR(B127="",B126=""),"",B127/B126-1)</f>
        <v>0.00754966108231425</v>
      </c>
      <c r="D127" s="122" t="n">
        <f aca="false">IF(B127="","",IFERROR(B127/INDEX($B$2:$B$800,MATCH(DATE(YEAR(A127)-1,12,1),$A$2:$A$800,0))-1,""))</f>
        <v>0.00754966108231425</v>
      </c>
      <c r="E127" s="122" t="n">
        <f aca="false">IF(B127="","",IFERROR(B127/INDEX($B$2:$B$800,MATCH(DATE(YEAR(A127)-1,MONTH(A127),1),$A$2:$A$800,0))-1,""))</f>
        <v>0.114991500596767</v>
      </c>
    </row>
    <row r="128" customFormat="false" ht="15" hidden="false" customHeight="false" outlineLevel="0" collapsed="false">
      <c r="A128" s="121" t="n">
        <v>38384</v>
      </c>
      <c r="B128" s="43" t="n">
        <v>309.646</v>
      </c>
      <c r="C128" s="122" t="n">
        <f aca="false">IF(OR(B128="",B127=""),"",B128/B127-1)</f>
        <v>0.00441800417796578</v>
      </c>
      <c r="D128" s="122" t="n">
        <f aca="false">IF(B128="","",IFERROR(B128/INDEX($B$2:$B$800,MATCH(DATE(YEAR(A128)-1,12,1),$A$2:$A$800,0))-1,""))</f>
        <v>0.012001019694484</v>
      </c>
      <c r="E128" s="122" t="n">
        <f aca="false">IF(B128="","",IFERROR(B128/INDEX($B$2:$B$800,MATCH(DATE(YEAR(A128)-1,MONTH(A128),1),$A$2:$A$800,0))-1,""))</f>
        <v>0.108876498247046</v>
      </c>
    </row>
    <row r="129" customFormat="false" ht="15" hidden="false" customHeight="false" outlineLevel="0" collapsed="false">
      <c r="A129" s="121" t="n">
        <v>38412</v>
      </c>
      <c r="B129" s="43" t="n">
        <v>311.733</v>
      </c>
      <c r="C129" s="122" t="n">
        <f aca="false">IF(OR(B129="",B128=""),"",B129/B128-1)</f>
        <v>0.00673995465789967</v>
      </c>
      <c r="D129" s="122" t="n">
        <f aca="false">IF(B129="","",IFERROR(B129/INDEX($B$2:$B$800,MATCH(DATE(YEAR(A129)-1,12,1),$A$2:$A$800,0))-1,""))</f>
        <v>0.0188218606809729</v>
      </c>
      <c r="E129" s="122" t="n">
        <f aca="false">IF(B129="","",IFERROR(B129/INDEX($B$2:$B$800,MATCH(DATE(YEAR(A129)-1,MONTH(A129),1),$A$2:$A$800,0))-1,""))</f>
        <v>0.103596842142528</v>
      </c>
    </row>
    <row r="130" customFormat="false" ht="15" hidden="false" customHeight="false" outlineLevel="0" collapsed="false">
      <c r="A130" s="121" t="n">
        <v>38443</v>
      </c>
      <c r="B130" s="43" t="n">
        <v>313.977</v>
      </c>
      <c r="C130" s="122" t="n">
        <f aca="false">IF(OR(B130="",B129=""),"",B130/B129-1)</f>
        <v>0.00719846791966194</v>
      </c>
      <c r="D130" s="122" t="n">
        <f aca="false">IF(B130="","",IFERROR(B130/INDEX($B$2:$B$800,MATCH(DATE(YEAR(A130)-1,12,1),$A$2:$A$800,0))-1,""))</f>
        <v>0.0261558171609353</v>
      </c>
      <c r="E130" s="122" t="n">
        <f aca="false">IF(B130="","",IFERROR(B130/INDEX($B$2:$B$800,MATCH(DATE(YEAR(A130)-1,MONTH(A130),1),$A$2:$A$800,0))-1,""))</f>
        <v>0.105054764050006</v>
      </c>
    </row>
    <row r="131" customFormat="false" ht="15" hidden="false" customHeight="false" outlineLevel="0" collapsed="false">
      <c r="A131" s="121" t="n">
        <v>38473</v>
      </c>
      <c r="B131" s="43" t="n">
        <v>320.524</v>
      </c>
      <c r="C131" s="122" t="n">
        <f aca="false">IF(OR(B131="",B130=""),"",B131/B130-1)</f>
        <v>0.0208518458358415</v>
      </c>
      <c r="D131" s="122" t="n">
        <f aca="false">IF(B131="","",IFERROR(B131/INDEX($B$2:$B$800,MATCH(DATE(YEAR(A131)-1,12,1),$A$2:$A$800,0))-1,""))</f>
        <v>0.0475530600639271</v>
      </c>
      <c r="E131" s="122" t="n">
        <f aca="false">IF(B131="","",IFERROR(B131/INDEX($B$2:$B$800,MATCH(DATE(YEAR(A131)-1,MONTH(A131),1),$A$2:$A$800,0))-1,""))</f>
        <v>0.10786438404933</v>
      </c>
    </row>
    <row r="132" customFormat="false" ht="15" hidden="false" customHeight="false" outlineLevel="0" collapsed="false">
      <c r="A132" s="121" t="n">
        <v>38504</v>
      </c>
      <c r="B132" s="43" t="n">
        <v>322.974</v>
      </c>
      <c r="C132" s="122" t="n">
        <f aca="false">IF(OR(B132="",B131=""),"",B132/B131-1)</f>
        <v>0.00764373338657953</v>
      </c>
      <c r="D132" s="122" t="n">
        <f aca="false">IF(B132="","",IFERROR(B132/INDEX($B$2:$B$800,MATCH(DATE(YEAR(A132)-1,12,1),$A$2:$A$800,0))-1,""))</f>
        <v>0.0555602763633511</v>
      </c>
      <c r="E132" s="122" t="n">
        <f aca="false">IF(B132="","",IFERROR(B132/INDEX($B$2:$B$800,MATCH(DATE(YEAR(A132)-1,MONTH(A132),1),$A$2:$A$800,0))-1,""))</f>
        <v>0.108550599283331</v>
      </c>
    </row>
    <row r="133" customFormat="false" ht="15" hidden="false" customHeight="false" outlineLevel="0" collapsed="false">
      <c r="A133" s="121" t="n">
        <v>38534</v>
      </c>
      <c r="B133" s="43" t="n">
        <v>323.332</v>
      </c>
      <c r="C133" s="122" t="n">
        <f aca="false">IF(OR(B133="",B132=""),"",B133/B132-1)</f>
        <v>0.00110844835807211</v>
      </c>
      <c r="D133" s="122" t="n">
        <f aca="false">IF(B133="","",IFERROR(B133/INDEX($B$2:$B$800,MATCH(DATE(YEAR(A133)-1,12,1),$A$2:$A$800,0))-1,""))</f>
        <v>0.0567303104185324</v>
      </c>
      <c r="E133" s="122" t="n">
        <f aca="false">IF(B133="","",IFERROR(B133/INDEX($B$2:$B$800,MATCH(DATE(YEAR(A133)-1,MONTH(A133),1),$A$2:$A$800,0))-1,""))</f>
        <v>0.0974357233771743</v>
      </c>
    </row>
    <row r="134" customFormat="false" ht="15" hidden="false" customHeight="false" outlineLevel="0" collapsed="false">
      <c r="A134" s="121" t="n">
        <v>38565</v>
      </c>
      <c r="B134" s="43" t="n">
        <v>323.382</v>
      </c>
      <c r="C134" s="122" t="n">
        <f aca="false">IF(OR(B134="",B133=""),"",B134/B133-1)</f>
        <v>0.000154639812947721</v>
      </c>
      <c r="D134" s="122" t="n">
        <f aca="false">IF(B134="","",IFERROR(B134/INDEX($B$2:$B$800,MATCH(DATE(YEAR(A134)-1,12,1),$A$2:$A$800,0))-1,""))</f>
        <v>0.0568937229960715</v>
      </c>
      <c r="E134" s="122" t="n">
        <f aca="false">IF(B134="","",IFERROR(B134/INDEX($B$2:$B$800,MATCH(DATE(YEAR(A134)-1,MONTH(A134),1),$A$2:$A$800,0))-1,""))</f>
        <v>0.0888172846738922</v>
      </c>
    </row>
    <row r="135" customFormat="false" ht="15" hidden="false" customHeight="false" outlineLevel="0" collapsed="false">
      <c r="A135" s="121" t="n">
        <v>38596</v>
      </c>
      <c r="B135" s="43" t="n">
        <v>324.164</v>
      </c>
      <c r="C135" s="122" t="n">
        <f aca="false">IF(OR(B135="",B134=""),"",B135/B134-1)</f>
        <v>0.00241819272563104</v>
      </c>
      <c r="D135" s="122" t="n">
        <f aca="false">IF(B135="","",IFERROR(B135/INDEX($B$2:$B$800,MATCH(DATE(YEAR(A135)-1,12,1),$A$2:$A$800,0))-1,""))</f>
        <v>0.0594494957087857</v>
      </c>
      <c r="E135" s="122" t="n">
        <f aca="false">IF(B135="","",IFERROR(B135/INDEX($B$2:$B$800,MATCH(DATE(YEAR(A135)-1,MONTH(A135),1),$A$2:$A$800,0))-1,""))</f>
        <v>0.0851694886884795</v>
      </c>
    </row>
    <row r="136" customFormat="false" ht="15" hidden="false" customHeight="false" outlineLevel="0" collapsed="false">
      <c r="A136" s="121" t="n">
        <v>38626</v>
      </c>
      <c r="B136" s="43" t="n">
        <v>324.782</v>
      </c>
      <c r="C136" s="122" t="n">
        <f aca="false">IF(OR(B136="",B135=""),"",B136/B135-1)</f>
        <v>0.00190644241803528</v>
      </c>
      <c r="D136" s="122" t="n">
        <f aca="false">IF(B136="","",IFERROR(B136/INDEX($B$2:$B$800,MATCH(DATE(YEAR(A136)-1,12,1),$A$2:$A$800,0))-1,""))</f>
        <v>0.061469275167171</v>
      </c>
      <c r="E136" s="122" t="n">
        <f aca="false">IF(B136="","",IFERROR(B136/INDEX($B$2:$B$800,MATCH(DATE(YEAR(A136)-1,MONTH(A136),1),$A$2:$A$800,0))-1,""))</f>
        <v>0.0744586882805394</v>
      </c>
    </row>
    <row r="137" customFormat="false" ht="15" hidden="false" customHeight="false" outlineLevel="0" collapsed="false">
      <c r="A137" s="121" t="n">
        <v>38657</v>
      </c>
      <c r="B137" s="43" t="n">
        <v>325.703</v>
      </c>
      <c r="C137" s="122" t="n">
        <f aca="false">IF(OR(B137="",B136=""),"",B137/B136-1)</f>
        <v>0.00283574828654287</v>
      </c>
      <c r="D137" s="122" t="n">
        <f aca="false">IF(B137="","",IFERROR(B137/INDEX($B$2:$B$800,MATCH(DATE(YEAR(A137)-1,12,1),$A$2:$A$800,0))-1,""))</f>
        <v>0.0644793348454444</v>
      </c>
      <c r="E137" s="122" t="n">
        <f aca="false">IF(B137="","",IFERROR(B137/INDEX($B$2:$B$800,MATCH(DATE(YEAR(A137)-1,MONTH(A137),1),$A$2:$A$800,0))-1,""))</f>
        <v>0.0698816472806467</v>
      </c>
    </row>
    <row r="138" customFormat="false" ht="15" hidden="false" customHeight="false" outlineLevel="0" collapsed="false">
      <c r="A138" s="121" t="n">
        <v>38687</v>
      </c>
      <c r="B138" s="43" t="n">
        <v>326.915</v>
      </c>
      <c r="C138" s="122" t="n">
        <f aca="false">IF(OR(B138="",B137=""),"",B138/B137-1)</f>
        <v>0.0037211815672562</v>
      </c>
      <c r="D138" s="122" t="n">
        <f aca="false">IF(B138="","",IFERROR(B138/INDEX($B$2:$B$800,MATCH(DATE(YEAR(A138)-1,12,1),$A$2:$A$800,0))-1,""))</f>
        <v>0.0684404557249962</v>
      </c>
      <c r="E138" s="122" t="n">
        <f aca="false">IF(B138="","",IFERROR(B138/INDEX($B$2:$B$800,MATCH(DATE(YEAR(A138)-1,MONTH(A138),1),$A$2:$A$800,0))-1,""))</f>
        <v>0.0684404557249962</v>
      </c>
    </row>
    <row r="139" customFormat="false" ht="15" hidden="false" customHeight="false" outlineLevel="0" collapsed="false">
      <c r="A139" s="121" t="n">
        <v>38718</v>
      </c>
      <c r="B139" s="43" t="n">
        <v>328.042</v>
      </c>
      <c r="C139" s="122" t="n">
        <f aca="false">IF(OR(B139="",B138=""),"",B139/B138-1)</f>
        <v>0.00344737928819394</v>
      </c>
      <c r="D139" s="122" t="n">
        <f aca="false">IF(B139="","",IFERROR(B139/INDEX($B$2:$B$800,MATCH(DATE(YEAR(A139)-1,12,1),$A$2:$A$800,0))-1,""))</f>
        <v>0.00344737928819394</v>
      </c>
      <c r="E139" s="122" t="n">
        <f aca="false">IF(B139="","",IFERROR(B139/INDEX($B$2:$B$800,MATCH(DATE(YEAR(A139)-1,MONTH(A139),1),$A$2:$A$800,0))-1,""))</f>
        <v>0.0640902544407105</v>
      </c>
    </row>
    <row r="140" customFormat="false" ht="15" hidden="false" customHeight="false" outlineLevel="0" collapsed="false">
      <c r="A140" s="121" t="n">
        <v>38749</v>
      </c>
      <c r="B140" s="43" t="n">
        <v>328.651</v>
      </c>
      <c r="C140" s="122" t="n">
        <f aca="false">IF(OR(B140="",B139=""),"",B140/B139-1)</f>
        <v>0.00185646959840513</v>
      </c>
      <c r="D140" s="122" t="n">
        <f aca="false">IF(B140="","",IFERROR(B140/INDEX($B$2:$B$800,MATCH(DATE(YEAR(A140)-1,12,1),$A$2:$A$800,0))-1,""))</f>
        <v>0.00531024884144204</v>
      </c>
      <c r="E140" s="122" t="n">
        <f aca="false">IF(B140="","",IFERROR(B140/INDEX($B$2:$B$800,MATCH(DATE(YEAR(A140)-1,MONTH(A140),1),$A$2:$A$800,0))-1,""))</f>
        <v>0.0613765396614199</v>
      </c>
    </row>
    <row r="141" customFormat="false" ht="15" hidden="false" customHeight="false" outlineLevel="0" collapsed="false">
      <c r="A141" s="121" t="n">
        <v>38777</v>
      </c>
      <c r="B141" s="43" t="n">
        <v>329.32</v>
      </c>
      <c r="C141" s="122" t="n">
        <f aca="false">IF(OR(B141="",B140=""),"",B141/B140-1)</f>
        <v>0.00203559398875997</v>
      </c>
      <c r="D141" s="122" t="n">
        <f aca="false">IF(B141="","",IFERROR(B141/INDEX($B$2:$B$800,MATCH(DATE(YEAR(A141)-1,12,1),$A$2:$A$800,0))-1,""))</f>
        <v>0.00735665234082239</v>
      </c>
      <c r="E141" s="122" t="n">
        <f aca="false">IF(B141="","",IFERROR(B141/INDEX($B$2:$B$800,MATCH(DATE(YEAR(A141)-1,MONTH(A141),1),$A$2:$A$800,0))-1,""))</f>
        <v>0.0564168695646594</v>
      </c>
    </row>
    <row r="142" customFormat="false" ht="15" hidden="false" customHeight="false" outlineLevel="0" collapsed="false">
      <c r="A142" s="121" t="n">
        <v>38808</v>
      </c>
      <c r="B142" s="43" t="n">
        <v>330.501</v>
      </c>
      <c r="C142" s="122" t="n">
        <f aca="false">IF(OR(B142="",B141=""),"",B142/B141-1)</f>
        <v>0.00358617757803947</v>
      </c>
      <c r="D142" s="122" t="n">
        <f aca="false">IF(B142="","",IFERROR(B142/INDEX($B$2:$B$800,MATCH(DATE(YEAR(A142)-1,12,1),$A$2:$A$800,0))-1,""))</f>
        <v>0.010969212180536</v>
      </c>
      <c r="E142" s="122" t="n">
        <f aca="false">IF(B142="","",IFERROR(B142/INDEX($B$2:$B$800,MATCH(DATE(YEAR(A142)-1,MONTH(A142),1),$A$2:$A$800,0))-1,""))</f>
        <v>0.0526280587431565</v>
      </c>
    </row>
    <row r="143" customFormat="false" ht="15" hidden="false" customHeight="false" outlineLevel="0" collapsed="false">
      <c r="A143" s="121" t="n">
        <v>38838</v>
      </c>
      <c r="B143" s="43" t="n">
        <v>334.867</v>
      </c>
      <c r="C143" s="122" t="n">
        <f aca="false">IF(OR(B143="",B142=""),"",B143/B142-1)</f>
        <v>0.0132102474727762</v>
      </c>
      <c r="D143" s="122" t="n">
        <f aca="false">IF(B143="","",IFERROR(B143/INDEX($B$2:$B$800,MATCH(DATE(YEAR(A143)-1,12,1),$A$2:$A$800,0))-1,""))</f>
        <v>0.0243243656607988</v>
      </c>
      <c r="E143" s="122" t="n">
        <f aca="false">IF(B143="","",IFERROR(B143/INDEX($B$2:$B$800,MATCH(DATE(YEAR(A143)-1,MONTH(A143),1),$A$2:$A$800,0))-1,""))</f>
        <v>0.044748599168861</v>
      </c>
    </row>
    <row r="144" customFormat="false" ht="15" hidden="false" customHeight="false" outlineLevel="0" collapsed="false">
      <c r="A144" s="121" t="n">
        <v>38869</v>
      </c>
      <c r="B144" s="43" t="n">
        <v>337.892</v>
      </c>
      <c r="C144" s="122" t="n">
        <f aca="false">IF(OR(B144="",B143=""),"",B144/B143-1)</f>
        <v>0.00903343715564686</v>
      </c>
      <c r="D144" s="122" t="n">
        <f aca="false">IF(B144="","",IFERROR(B144/INDEX($B$2:$B$800,MATCH(DATE(YEAR(A144)-1,12,1),$A$2:$A$800,0))-1,""))</f>
        <v>0.0335775354449932</v>
      </c>
      <c r="E144" s="122" t="n">
        <f aca="false">IF(B144="","",IFERROR(B144/INDEX($B$2:$B$800,MATCH(DATE(YEAR(A144)-1,MONTH(A144),1),$A$2:$A$800,0))-1,""))</f>
        <v>0.0461894765522921</v>
      </c>
    </row>
    <row r="145" customFormat="false" ht="15" hidden="false" customHeight="false" outlineLevel="0" collapsed="false">
      <c r="A145" s="121" t="n">
        <v>38899</v>
      </c>
      <c r="B145" s="43" t="n">
        <v>339.484</v>
      </c>
      <c r="C145" s="122" t="n">
        <f aca="false">IF(OR(B145="",B144=""),"",B145/B144-1)</f>
        <v>0.00471156464195666</v>
      </c>
      <c r="D145" s="122" t="n">
        <f aca="false">IF(B145="","",IFERROR(B145/INDEX($B$2:$B$800,MATCH(DATE(YEAR(A145)-1,12,1),$A$2:$A$800,0))-1,""))</f>
        <v>0.0384473028157164</v>
      </c>
      <c r="E145" s="122" t="n">
        <f aca="false">IF(B145="","",IFERROR(B145/INDEX($B$2:$B$800,MATCH(DATE(YEAR(A145)-1,MONTH(A145),1),$A$2:$A$800,0))-1,""))</f>
        <v>0.0499548451746192</v>
      </c>
    </row>
    <row r="146" customFormat="false" ht="15" hidden="false" customHeight="false" outlineLevel="0" collapsed="false">
      <c r="A146" s="121" t="n">
        <v>38930</v>
      </c>
      <c r="B146" s="43" t="n">
        <v>340.283</v>
      </c>
      <c r="C146" s="122" t="n">
        <f aca="false">IF(OR(B146="",B145=""),"",B146/B145-1)</f>
        <v>0.00235357189145891</v>
      </c>
      <c r="D146" s="122" t="n">
        <f aca="false">IF(B146="","",IFERROR(B146/INDEX($B$2:$B$800,MATCH(DATE(YEAR(A146)-1,12,1),$A$2:$A$800,0))-1,""))</f>
        <v>0.0408913631983849</v>
      </c>
      <c r="E146" s="122" t="n">
        <f aca="false">IF(B146="","",IFERROR(B146/INDEX($B$2:$B$800,MATCH(DATE(YEAR(A146)-1,MONTH(A146),1),$A$2:$A$800,0))-1,""))</f>
        <v>0.0522632675906514</v>
      </c>
    </row>
    <row r="147" customFormat="false" ht="15" hidden="false" customHeight="false" outlineLevel="0" collapsed="false">
      <c r="A147" s="121" t="n">
        <v>38961</v>
      </c>
      <c r="B147" s="43" t="n">
        <v>340.67</v>
      </c>
      <c r="C147" s="122" t="n">
        <f aca="false">IF(OR(B147="",B146=""),"",B147/B146-1)</f>
        <v>0.00113728866854945</v>
      </c>
      <c r="D147" s="122" t="n">
        <f aca="false">IF(B147="","",IFERROR(B147/INDEX($B$2:$B$800,MATCH(DATE(YEAR(A147)-1,12,1),$A$2:$A$800,0))-1,""))</f>
        <v>0.0420751571509415</v>
      </c>
      <c r="E147" s="122" t="n">
        <f aca="false">IF(B147="","",IFERROR(B147/INDEX($B$2:$B$800,MATCH(DATE(YEAR(A147)-1,MONTH(A147),1),$A$2:$A$800,0))-1,""))</f>
        <v>0.0509186707962637</v>
      </c>
    </row>
    <row r="148" customFormat="false" ht="15" hidden="false" customHeight="false" outlineLevel="0" collapsed="false">
      <c r="A148" s="121" t="n">
        <v>38991</v>
      </c>
      <c r="B148" s="43" t="n">
        <v>341.369</v>
      </c>
      <c r="C148" s="122" t="n">
        <f aca="false">IF(OR(B148="",B147=""),"",B148/B147-1)</f>
        <v>0.00205183902310147</v>
      </c>
      <c r="D148" s="122" t="n">
        <f aca="false">IF(B148="","",IFERROR(B148/INDEX($B$2:$B$800,MATCH(DATE(YEAR(A148)-1,12,1),$A$2:$A$800,0))-1,""))</f>
        <v>0.0442133276233883</v>
      </c>
      <c r="E148" s="122" t="n">
        <f aca="false">IF(B148="","",IFERROR(B148/INDEX($B$2:$B$800,MATCH(DATE(YEAR(A148)-1,MONTH(A148),1),$A$2:$A$800,0))-1,""))</f>
        <v>0.0510711800530819</v>
      </c>
    </row>
    <row r="149" customFormat="false" ht="15" hidden="false" customHeight="false" outlineLevel="0" collapsed="false">
      <c r="A149" s="121" t="n">
        <v>39022</v>
      </c>
      <c r="B149" s="43" t="n">
        <v>342.159</v>
      </c>
      <c r="C149" s="122" t="n">
        <f aca="false">IF(OR(B149="",B148=""),"",B149/B148-1)</f>
        <v>0.00231421130799792</v>
      </c>
      <c r="D149" s="122" t="n">
        <f aca="false">IF(B149="","",IFERROR(B149/INDEX($B$2:$B$800,MATCH(DATE(YEAR(A149)-1,12,1),$A$2:$A$800,0))-1,""))</f>
        <v>0.0466298579141367</v>
      </c>
      <c r="E149" s="122" t="n">
        <f aca="false">IF(B149="","",IFERROR(B149/INDEX($B$2:$B$800,MATCH(DATE(YEAR(A149)-1,MONTH(A149),1),$A$2:$A$800,0))-1,""))</f>
        <v>0.0505245576491467</v>
      </c>
    </row>
    <row r="150" customFormat="false" ht="15" hidden="false" customHeight="false" outlineLevel="0" collapsed="false">
      <c r="A150" s="121" t="n">
        <v>39052</v>
      </c>
      <c r="B150" s="43" t="n">
        <v>343.401</v>
      </c>
      <c r="C150" s="122" t="n">
        <f aca="false">IF(OR(B150="",B149=""),"",B150/B149-1)</f>
        <v>0.00362989136629466</v>
      </c>
      <c r="D150" s="122" t="n">
        <f aca="false">IF(B150="","",IFERROR(B150/INDEX($B$2:$B$800,MATCH(DATE(YEAR(A150)-1,12,1),$A$2:$A$800,0))-1,""))</f>
        <v>0.0504290105990854</v>
      </c>
      <c r="E150" s="122" t="n">
        <f aca="false">IF(B150="","",IFERROR(B150/INDEX($B$2:$B$800,MATCH(DATE(YEAR(A150)-1,MONTH(A150),1),$A$2:$A$800,0))-1,""))</f>
        <v>0.0504290105990854</v>
      </c>
    </row>
    <row r="151" customFormat="false" ht="15" hidden="false" customHeight="false" outlineLevel="0" collapsed="false">
      <c r="A151" s="121" t="n">
        <v>39083</v>
      </c>
      <c r="B151" s="43" t="n">
        <v>344.943</v>
      </c>
      <c r="C151" s="122" t="n">
        <f aca="false">IF(OR(B151="",B150=""),"",B151/B150-1)</f>
        <v>0.00449037713926281</v>
      </c>
      <c r="D151" s="122" t="n">
        <f aca="false">IF(B151="","",IFERROR(B151/INDEX($B$2:$B$800,MATCH(DATE(YEAR(A151)-1,12,1),$A$2:$A$800,0))-1,""))</f>
        <v>0.00449037713926281</v>
      </c>
      <c r="E151" s="122" t="n">
        <f aca="false">IF(B151="","",IFERROR(B151/INDEX($B$2:$B$800,MATCH(DATE(YEAR(A151)-1,MONTH(A151),1),$A$2:$A$800,0))-1,""))</f>
        <v>0.0515208418434225</v>
      </c>
    </row>
    <row r="152" customFormat="false" ht="15" hidden="false" customHeight="false" outlineLevel="0" collapsed="false">
      <c r="A152" s="121" t="n">
        <v>39114</v>
      </c>
      <c r="B152" s="43" t="n">
        <v>345.682</v>
      </c>
      <c r="C152" s="122" t="n">
        <f aca="false">IF(OR(B152="",B151=""),"",B152/B151-1)</f>
        <v>0.0021423829444287</v>
      </c>
      <c r="D152" s="122" t="n">
        <f aca="false">IF(B152="","",IFERROR(B152/INDEX($B$2:$B$800,MATCH(DATE(YEAR(A152)-1,12,1),$A$2:$A$800,0))-1,""))</f>
        <v>0.00664238019108865</v>
      </c>
      <c r="E152" s="122" t="n">
        <f aca="false">IF(B152="","",IFERROR(B152/INDEX($B$2:$B$800,MATCH(DATE(YEAR(A152)-1,MONTH(A152),1),$A$2:$A$800,0))-1,""))</f>
        <v>0.0518209285838169</v>
      </c>
    </row>
    <row r="153" customFormat="false" ht="15" hidden="false" customHeight="false" outlineLevel="0" collapsed="false">
      <c r="A153" s="121" t="n">
        <v>39142</v>
      </c>
      <c r="B153" s="43" t="n">
        <v>346.617</v>
      </c>
      <c r="C153" s="122" t="n">
        <f aca="false">IF(OR(B153="",B152=""),"",B153/B152-1)</f>
        <v>0.00270479805138835</v>
      </c>
      <c r="D153" s="122" t="n">
        <f aca="false">IF(B153="","",IFERROR(B153/INDEX($B$2:$B$800,MATCH(DATE(YEAR(A153)-1,12,1),$A$2:$A$800,0))-1,""))</f>
        <v>0.00936514453947424</v>
      </c>
      <c r="E153" s="122" t="n">
        <f aca="false">IF(B153="","",IFERROR(B153/INDEX($B$2:$B$800,MATCH(DATE(YEAR(A153)-1,MONTH(A153),1),$A$2:$A$800,0))-1,""))</f>
        <v>0.0525233815134216</v>
      </c>
    </row>
    <row r="154" customFormat="false" ht="15" hidden="false" customHeight="false" outlineLevel="0" collapsed="false">
      <c r="A154" s="121" t="n">
        <v>39173</v>
      </c>
      <c r="B154" s="43" t="n">
        <v>348.194</v>
      </c>
      <c r="C154" s="122" t="n">
        <f aca="false">IF(OR(B154="",B153=""),"",B154/B153-1)</f>
        <v>0.0045496902921669</v>
      </c>
      <c r="D154" s="122" t="n">
        <f aca="false">IF(B154="","",IFERROR(B154/INDEX($B$2:$B$800,MATCH(DATE(YEAR(A154)-1,12,1),$A$2:$A$800,0))-1,""))</f>
        <v>0.0139574433388372</v>
      </c>
      <c r="E154" s="122" t="n">
        <f aca="false">IF(B154="","",IFERROR(B154/INDEX($B$2:$B$800,MATCH(DATE(YEAR(A154)-1,MONTH(A154),1),$A$2:$A$800,0))-1,""))</f>
        <v>0.0535338773558931</v>
      </c>
    </row>
    <row r="155" customFormat="false" ht="15" hidden="false" customHeight="false" outlineLevel="0" collapsed="false">
      <c r="A155" s="121" t="n">
        <v>39203</v>
      </c>
      <c r="B155" s="43" t="n">
        <v>352.204</v>
      </c>
      <c r="C155" s="122" t="n">
        <f aca="false">IF(OR(B155="",B154=""),"",B155/B154-1)</f>
        <v>0.011516568349828</v>
      </c>
      <c r="D155" s="122" t="n">
        <f aca="false">IF(B155="","",IFERROR(B155/INDEX($B$2:$B$800,MATCH(DATE(YEAR(A155)-1,12,1),$A$2:$A$800,0))-1,""))</f>
        <v>0.0256347535388657</v>
      </c>
      <c r="E155" s="122" t="n">
        <f aca="false">IF(B155="","",IFERROR(B155/INDEX($B$2:$B$800,MATCH(DATE(YEAR(A155)-1,MONTH(A155),1),$A$2:$A$800,0))-1,""))</f>
        <v>0.0517727933776693</v>
      </c>
    </row>
    <row r="156" customFormat="false" ht="15" hidden="false" customHeight="false" outlineLevel="0" collapsed="false">
      <c r="A156" s="121" t="n">
        <v>39234</v>
      </c>
      <c r="B156" s="43" t="n">
        <v>355.456</v>
      </c>
      <c r="C156" s="122" t="n">
        <f aca="false">IF(OR(B156="",B155=""),"",B156/B155-1)</f>
        <v>0.00923328525513623</v>
      </c>
      <c r="D156" s="122" t="n">
        <f aca="false">IF(B156="","",IFERROR(B156/INDEX($B$2:$B$800,MATCH(DATE(YEAR(A156)-1,12,1),$A$2:$A$800,0))-1,""))</f>
        <v>0.0351047317858713</v>
      </c>
      <c r="E156" s="122" t="n">
        <f aca="false">IF(B156="","",IFERROR(B156/INDEX($B$2:$B$800,MATCH(DATE(YEAR(A156)-1,MONTH(A156),1),$A$2:$A$800,0))-1,""))</f>
        <v>0.0519811063890239</v>
      </c>
    </row>
    <row r="157" customFormat="false" ht="15" hidden="false" customHeight="false" outlineLevel="0" collapsed="false">
      <c r="A157" s="121" t="n">
        <v>39264</v>
      </c>
      <c r="B157" s="43" t="n">
        <v>356.545</v>
      </c>
      <c r="C157" s="122" t="n">
        <f aca="false">IF(OR(B157="",B156=""),"",B157/B156-1)</f>
        <v>0.00306367032769184</v>
      </c>
      <c r="D157" s="122" t="n">
        <f aca="false">IF(B157="","",IFERROR(B157/INDEX($B$2:$B$800,MATCH(DATE(YEAR(A157)-1,12,1),$A$2:$A$800,0))-1,""))</f>
        <v>0.038275951438697</v>
      </c>
      <c r="E157" s="122" t="n">
        <f aca="false">IF(B157="","",IFERROR(B157/INDEX($B$2:$B$800,MATCH(DATE(YEAR(A157)-1,MONTH(A157),1),$A$2:$A$800,0))-1,""))</f>
        <v>0.0502556821529145</v>
      </c>
    </row>
    <row r="158" customFormat="false" ht="15" hidden="false" customHeight="false" outlineLevel="0" collapsed="false">
      <c r="A158" s="121" t="n">
        <v>39295</v>
      </c>
      <c r="B158" s="43" t="n">
        <v>357.467</v>
      </c>
      <c r="C158" s="122" t="n">
        <f aca="false">IF(OR(B158="",B157=""),"",B158/B157-1)</f>
        <v>0.00258592884488618</v>
      </c>
      <c r="D158" s="122" t="n">
        <f aca="false">IF(B158="","",IFERROR(B158/INDEX($B$2:$B$800,MATCH(DATE(YEAR(A158)-1,12,1),$A$2:$A$800,0))-1,""))</f>
        <v>0.040960859170474</v>
      </c>
      <c r="E158" s="122" t="n">
        <f aca="false">IF(B158="","",IFERROR(B158/INDEX($B$2:$B$800,MATCH(DATE(YEAR(A158)-1,MONTH(A158),1),$A$2:$A$800,0))-1,""))</f>
        <v>0.0504991433600854</v>
      </c>
    </row>
    <row r="159" customFormat="false" ht="15" hidden="false" customHeight="false" outlineLevel="0" collapsed="false">
      <c r="A159" s="121" t="n">
        <v>39326</v>
      </c>
      <c r="B159" s="43" t="n">
        <v>359.276</v>
      </c>
      <c r="C159" s="122" t="n">
        <f aca="false">IF(OR(B159="",B158=""),"",B159/B158-1)</f>
        <v>0.00506060699309319</v>
      </c>
      <c r="D159" s="122" t="n">
        <f aca="false">IF(B159="","",IFERROR(B159/INDEX($B$2:$B$800,MATCH(DATE(YEAR(A159)-1,12,1),$A$2:$A$800,0))-1,""))</f>
        <v>0.0462287529739285</v>
      </c>
      <c r="E159" s="122" t="n">
        <f aca="false">IF(B159="","",IFERROR(B159/INDEX($B$2:$B$800,MATCH(DATE(YEAR(A159)-1,MONTH(A159),1),$A$2:$A$800,0))-1,""))</f>
        <v>0.0546159039539731</v>
      </c>
    </row>
    <row r="160" customFormat="false" ht="15" hidden="false" customHeight="false" outlineLevel="0" collapsed="false">
      <c r="A160" s="121" t="n">
        <v>39356</v>
      </c>
      <c r="B160" s="43" t="n">
        <v>361.102</v>
      </c>
      <c r="C160" s="122" t="n">
        <f aca="false">IF(OR(B160="",B159=""),"",B160/B159-1)</f>
        <v>0.00508244358097953</v>
      </c>
      <c r="D160" s="122" t="n">
        <f aca="false">IF(B160="","",IFERROR(B160/INDEX($B$2:$B$800,MATCH(DATE(YEAR(A160)-1,12,1),$A$2:$A$800,0))-1,""))</f>
        <v>0.0515461515837168</v>
      </c>
      <c r="E160" s="122" t="n">
        <f aca="false">IF(B160="","",IFERROR(B160/INDEX($B$2:$B$800,MATCH(DATE(YEAR(A160)-1,MONTH(A160),1),$A$2:$A$800,0))-1,""))</f>
        <v>0.057805483216109</v>
      </c>
    </row>
    <row r="161" customFormat="false" ht="15" hidden="false" customHeight="false" outlineLevel="0" collapsed="false">
      <c r="A161" s="121" t="n">
        <v>39387</v>
      </c>
      <c r="B161" s="43" t="n">
        <v>362.403</v>
      </c>
      <c r="C161" s="122" t="n">
        <f aca="false">IF(OR(B161="",B160=""),"",B161/B160-1)</f>
        <v>0.00360286013370192</v>
      </c>
      <c r="D161" s="122" t="n">
        <f aca="false">IF(B161="","",IFERROR(B161/INDEX($B$2:$B$800,MATCH(DATE(YEAR(A161)-1,12,1),$A$2:$A$800,0))-1,""))</f>
        <v>0.0553347252920056</v>
      </c>
      <c r="E161" s="122" t="n">
        <f aca="false">IF(B161="","",IFERROR(B161/INDEX($B$2:$B$800,MATCH(DATE(YEAR(A161)-1,MONTH(A161),1),$A$2:$A$800,0))-1,""))</f>
        <v>0.0591654756998941</v>
      </c>
    </row>
    <row r="162" customFormat="false" ht="15" hidden="false" customHeight="false" outlineLevel="0" collapsed="false">
      <c r="A162" s="121" t="n">
        <v>39417</v>
      </c>
      <c r="B162" s="43" t="n">
        <v>364.525</v>
      </c>
      <c r="C162" s="122" t="n">
        <f aca="false">IF(OR(B162="",B161=""),"",B162/B161-1)</f>
        <v>0.00585535991699837</v>
      </c>
      <c r="D162" s="122" t="n">
        <f aca="false">IF(B162="","",IFERROR(B162/INDEX($B$2:$B$800,MATCH(DATE(YEAR(A162)-1,12,1),$A$2:$A$800,0))-1,""))</f>
        <v>0.0615140899414968</v>
      </c>
      <c r="E162" s="122" t="n">
        <f aca="false">IF(B162="","",IFERROR(B162/INDEX($B$2:$B$800,MATCH(DATE(YEAR(A162)-1,MONTH(A162),1),$A$2:$A$800,0))-1,""))</f>
        <v>0.0615140899414968</v>
      </c>
    </row>
    <row r="163" customFormat="false" ht="15" hidden="false" customHeight="false" outlineLevel="0" collapsed="false">
      <c r="A163" s="121" t="n">
        <v>39448</v>
      </c>
      <c r="B163" s="43" t="n">
        <v>365.906</v>
      </c>
      <c r="C163" s="122" t="n">
        <f aca="false">IF(OR(B163="",B162=""),"",B163/B162-1)</f>
        <v>0.00378849187298558</v>
      </c>
      <c r="D163" s="122" t="n">
        <f aca="false">IF(B163="","",IFERROR(B163/INDEX($B$2:$B$800,MATCH(DATE(YEAR(A163)-1,12,1),$A$2:$A$800,0))-1,""))</f>
        <v>0.00378849187298558</v>
      </c>
      <c r="E163" s="122" t="n">
        <f aca="false">IF(B163="","",IFERROR(B163/INDEX($B$2:$B$800,MATCH(DATE(YEAR(A163)-1,MONTH(A163),1),$A$2:$A$800,0))-1,""))</f>
        <v>0.0607723594912784</v>
      </c>
    </row>
    <row r="164" customFormat="false" ht="15" hidden="false" customHeight="false" outlineLevel="0" collapsed="false">
      <c r="A164" s="121" t="n">
        <v>39479</v>
      </c>
      <c r="B164" s="43" t="n">
        <v>367.382</v>
      </c>
      <c r="C164" s="122" t="n">
        <f aca="false">IF(OR(B164="",B163=""),"",B164/B163-1)</f>
        <v>0.00403382289440457</v>
      </c>
      <c r="D164" s="122" t="n">
        <f aca="false">IF(B164="","",IFERROR(B164/INDEX($B$2:$B$800,MATCH(DATE(YEAR(A164)-1,12,1),$A$2:$A$800,0))-1,""))</f>
        <v>0.00783759687264252</v>
      </c>
      <c r="E164" s="122" t="n">
        <f aca="false">IF(B164="","",IFERROR(B164/INDEX($B$2:$B$800,MATCH(DATE(YEAR(A164)-1,MONTH(A164),1),$A$2:$A$800,0))-1,""))</f>
        <v>0.0627744574493321</v>
      </c>
    </row>
    <row r="165" customFormat="false" ht="15" hidden="false" customHeight="false" outlineLevel="0" collapsed="false">
      <c r="A165" s="121" t="n">
        <v>39508</v>
      </c>
      <c r="B165" s="43" t="n">
        <v>369.812</v>
      </c>
      <c r="C165" s="122" t="n">
        <f aca="false">IF(OR(B165="",B164=""),"",B165/B164-1)</f>
        <v>0.00661436869525445</v>
      </c>
      <c r="D165" s="122" t="n">
        <f aca="false">IF(B165="","",IFERROR(B165/INDEX($B$2:$B$800,MATCH(DATE(YEAR(A165)-1,12,1),$A$2:$A$800,0))-1,""))</f>
        <v>0.0145038063232976</v>
      </c>
      <c r="E165" s="122" t="n">
        <f aca="false">IF(B165="","",IFERROR(B165/INDEX($B$2:$B$800,MATCH(DATE(YEAR(A165)-1,MONTH(A165),1),$A$2:$A$800,0))-1,""))</f>
        <v>0.0669182411710909</v>
      </c>
    </row>
    <row r="166" customFormat="false" ht="15" hidden="false" customHeight="false" outlineLevel="0" collapsed="false">
      <c r="A166" s="121" t="n">
        <v>39539</v>
      </c>
      <c r="B166" s="43" t="n">
        <v>373.031</v>
      </c>
      <c r="C166" s="122" t="n">
        <f aca="false">IF(OR(B166="",B165=""),"",B166/B165-1)</f>
        <v>0.00870442278779482</v>
      </c>
      <c r="D166" s="122" t="n">
        <f aca="false">IF(B166="","",IFERROR(B166/INDEX($B$2:$B$800,MATCH(DATE(YEAR(A166)-1,12,1),$A$2:$A$800,0))-1,""))</f>
        <v>0.0233344763733627</v>
      </c>
      <c r="E166" s="122" t="n">
        <f aca="false">IF(B166="","",IFERROR(B166/INDEX($B$2:$B$800,MATCH(DATE(YEAR(A166)-1,MONTH(A166),1),$A$2:$A$800,0))-1,""))</f>
        <v>0.0713309247143834</v>
      </c>
    </row>
    <row r="167" customFormat="false" ht="15" hidden="false" customHeight="false" outlineLevel="0" collapsed="false">
      <c r="A167" s="121" t="n">
        <v>39569</v>
      </c>
      <c r="B167" s="43" t="n">
        <v>380.582</v>
      </c>
      <c r="C167" s="122" t="n">
        <f aca="false">IF(OR(B167="",B166=""),"",B167/B166-1)</f>
        <v>0.0202422854936988</v>
      </c>
      <c r="D167" s="122" t="n">
        <f aca="false">IF(B167="","",IFERROR(B167/INDEX($B$2:$B$800,MATCH(DATE(YEAR(A167)-1,12,1),$A$2:$A$800,0))-1,""))</f>
        <v>0.0440491049996572</v>
      </c>
      <c r="E167" s="122" t="n">
        <f aca="false">IF(B167="","",IFERROR(B167/INDEX($B$2:$B$800,MATCH(DATE(YEAR(A167)-1,MONTH(A167),1),$A$2:$A$800,0))-1,""))</f>
        <v>0.0805726226845804</v>
      </c>
    </row>
    <row r="168" customFormat="false" ht="15" hidden="false" customHeight="false" outlineLevel="0" collapsed="false">
      <c r="A168" s="121" t="n">
        <v>39600</v>
      </c>
      <c r="B168" s="43" t="n">
        <v>387.906</v>
      </c>
      <c r="C168" s="122" t="n">
        <f aca="false">IF(OR(B168="",B167=""),"",B168/B167-1)</f>
        <v>0.0192442101833508</v>
      </c>
      <c r="D168" s="122" t="n">
        <f aca="false">IF(B168="","",IFERROR(B168/INDEX($B$2:$B$800,MATCH(DATE(YEAR(A168)-1,12,1),$A$2:$A$800,0))-1,""))</f>
        <v>0.0641410054180098</v>
      </c>
      <c r="E168" s="122" t="n">
        <f aca="false">IF(B168="","",IFERROR(B168/INDEX($B$2:$B$800,MATCH(DATE(YEAR(A168)-1,MONTH(A168),1),$A$2:$A$800,0))-1,""))</f>
        <v>0.091291186532229</v>
      </c>
    </row>
    <row r="169" customFormat="false" ht="15" hidden="false" customHeight="false" outlineLevel="0" collapsed="false">
      <c r="A169" s="121" t="n">
        <v>39630</v>
      </c>
      <c r="B169" s="43" t="n">
        <v>393.556</v>
      </c>
      <c r="C169" s="122" t="n">
        <f aca="false">IF(OR(B169="",B168=""),"",B169/B168-1)</f>
        <v>0.0145653843972509</v>
      </c>
      <c r="D169" s="122" t="n">
        <f aca="false">IF(B169="","",IFERROR(B169/INDEX($B$2:$B$800,MATCH(DATE(YEAR(A169)-1,12,1),$A$2:$A$800,0))-1,""))</f>
        <v>0.0796406282148001</v>
      </c>
      <c r="E169" s="122" t="n">
        <f aca="false">IF(B169="","",IFERROR(B169/INDEX($B$2:$B$800,MATCH(DATE(YEAR(A169)-1,MONTH(A169),1),$A$2:$A$800,0))-1,""))</f>
        <v>0.103804568848252</v>
      </c>
    </row>
    <row r="170" customFormat="false" ht="15" hidden="false" customHeight="false" outlineLevel="0" collapsed="false">
      <c r="A170" s="121" t="n">
        <v>39661</v>
      </c>
      <c r="B170" s="43" t="n">
        <v>398.202</v>
      </c>
      <c r="C170" s="122" t="n">
        <f aca="false">IF(OR(B170="",B169=""),"",B170/B169-1)</f>
        <v>0.0118051814735387</v>
      </c>
      <c r="D170" s="122" t="n">
        <f aca="false">IF(B170="","",IFERROR(B170/INDEX($B$2:$B$800,MATCH(DATE(YEAR(A170)-1,12,1),$A$2:$A$800,0))-1,""))</f>
        <v>0.0923859817570811</v>
      </c>
      <c r="E170" s="122" t="n">
        <f aca="false">IF(B170="","",IFERROR(B170/INDEX($B$2:$B$800,MATCH(DATE(YEAR(A170)-1,MONTH(A170),1),$A$2:$A$800,0))-1,""))</f>
        <v>0.113954574827886</v>
      </c>
    </row>
    <row r="171" customFormat="false" ht="15" hidden="false" customHeight="false" outlineLevel="0" collapsed="false">
      <c r="A171" s="121" t="n">
        <v>39692</v>
      </c>
      <c r="B171" s="43" t="n">
        <v>401.975</v>
      </c>
      <c r="C171" s="122" t="n">
        <f aca="false">IF(OR(B171="",B170=""),"",B171/B170-1)</f>
        <v>0.00947509053194118</v>
      </c>
      <c r="D171" s="122" t="n">
        <f aca="false">IF(B171="","",IFERROR(B171/INDEX($B$2:$B$800,MATCH(DATE(YEAR(A171)-1,12,1),$A$2:$A$800,0))-1,""))</f>
        <v>0.102736437830053</v>
      </c>
      <c r="E171" s="122" t="n">
        <f aca="false">IF(B171="","",IFERROR(B171/INDEX($B$2:$B$800,MATCH(DATE(YEAR(A171)-1,MONTH(A171),1),$A$2:$A$800,0))-1,""))</f>
        <v>0.118847348556542</v>
      </c>
    </row>
    <row r="172" customFormat="false" ht="15" hidden="false" customHeight="false" outlineLevel="0" collapsed="false">
      <c r="A172" s="121" t="n">
        <v>39722</v>
      </c>
      <c r="B172" s="43" t="n">
        <v>405.09</v>
      </c>
      <c r="C172" s="122" t="n">
        <f aca="false">IF(OR(B172="",B171=""),"",B172/B171-1)</f>
        <v>0.00774923813669992</v>
      </c>
      <c r="D172" s="122" t="n">
        <f aca="false">IF(B172="","",IFERROR(B172/INDEX($B$2:$B$800,MATCH(DATE(YEAR(A172)-1,12,1),$A$2:$A$800,0))-1,""))</f>
        <v>0.111281805088814</v>
      </c>
      <c r="E172" s="122" t="n">
        <f aca="false">IF(B172="","",IFERROR(B172/INDEX($B$2:$B$800,MATCH(DATE(YEAR(A172)-1,MONTH(A172),1),$A$2:$A$800,0))-1,""))</f>
        <v>0.121815996588222</v>
      </c>
    </row>
    <row r="173" customFormat="false" ht="15" hidden="false" customHeight="false" outlineLevel="0" collapsed="false">
      <c r="A173" s="121" t="n">
        <v>39753</v>
      </c>
      <c r="B173" s="43" t="n">
        <v>407.109</v>
      </c>
      <c r="C173" s="122" t="n">
        <f aca="false">IF(OR(B173="",B172=""),"",B173/B172-1)</f>
        <v>0.0049840776123824</v>
      </c>
      <c r="D173" s="122" t="n">
        <f aca="false">IF(B173="","",IFERROR(B173/INDEX($B$2:$B$800,MATCH(DATE(YEAR(A173)-1,12,1),$A$2:$A$800,0))-1,""))</f>
        <v>0.116820519854605</v>
      </c>
      <c r="E173" s="122" t="n">
        <f aca="false">IF(B173="","",IFERROR(B173/INDEX($B$2:$B$800,MATCH(DATE(YEAR(A173)-1,MONTH(A173),1),$A$2:$A$800,0))-1,""))</f>
        <v>0.123359905961043</v>
      </c>
    </row>
    <row r="174" customFormat="false" ht="15" hidden="false" customHeight="false" outlineLevel="0" collapsed="false">
      <c r="A174" s="121" t="n">
        <v>39783</v>
      </c>
      <c r="B174" s="43" t="n">
        <v>407.807</v>
      </c>
      <c r="C174" s="122" t="n">
        <f aca="false">IF(OR(B174="",B173=""),"",B174/B173-1)</f>
        <v>0.00171452854149634</v>
      </c>
      <c r="D174" s="122" t="n">
        <f aca="false">IF(B174="","",IFERROR(B174/INDEX($B$2:$B$800,MATCH(DATE(YEAR(A174)-1,12,1),$A$2:$A$800,0))-1,""))</f>
        <v>0.118735340511625</v>
      </c>
      <c r="E174" s="122" t="n">
        <f aca="false">IF(B174="","",IFERROR(B174/INDEX($B$2:$B$800,MATCH(DATE(YEAR(A174)-1,MONTH(A174),1),$A$2:$A$800,0))-1,""))</f>
        <v>0.118735340511625</v>
      </c>
    </row>
    <row r="175" customFormat="false" ht="15" hidden="false" customHeight="false" outlineLevel="0" collapsed="false">
      <c r="A175" s="121" t="n">
        <v>39814</v>
      </c>
      <c r="B175" s="43" t="n">
        <v>409.166</v>
      </c>
      <c r="C175" s="122" t="n">
        <f aca="false">IF(OR(B175="",B174=""),"",B175/B174-1)</f>
        <v>0.00333245873660815</v>
      </c>
      <c r="D175" s="122" t="n">
        <f aca="false">IF(B175="","",IFERROR(B175/INDEX($B$2:$B$800,MATCH(DATE(YEAR(A175)-1,12,1),$A$2:$A$800,0))-1,""))</f>
        <v>0.00333245873660815</v>
      </c>
      <c r="E175" s="122" t="n">
        <f aca="false">IF(B175="","",IFERROR(B175/INDEX($B$2:$B$800,MATCH(DATE(YEAR(A175)-1,MONTH(A175),1),$A$2:$A$800,0))-1,""))</f>
        <v>0.118227085644947</v>
      </c>
    </row>
    <row r="176" customFormat="false" ht="15" hidden="false" customHeight="false" outlineLevel="0" collapsed="false">
      <c r="A176" s="121" t="n">
        <v>39845</v>
      </c>
      <c r="B176" s="43" t="n">
        <v>410.262</v>
      </c>
      <c r="C176" s="122" t="n">
        <f aca="false">IF(OR(B176="",B175=""),"",B176/B175-1)</f>
        <v>0.00267861943563252</v>
      </c>
      <c r="D176" s="122" t="n">
        <f aca="false">IF(B176="","",IFERROR(B176/INDEX($B$2:$B$800,MATCH(DATE(YEAR(A176)-1,12,1),$A$2:$A$800,0))-1,""))</f>
        <v>0.00602000456098106</v>
      </c>
      <c r="E176" s="122" t="n">
        <f aca="false">IF(B176="","",IFERROR(B176/INDEX($B$2:$B$800,MATCH(DATE(YEAR(A176)-1,MONTH(A176),1),$A$2:$A$800,0))-1,""))</f>
        <v>0.116717748828195</v>
      </c>
    </row>
    <row r="177" customFormat="false" ht="15" hidden="false" customHeight="false" outlineLevel="0" collapsed="false">
      <c r="A177" s="121" t="n">
        <v>39873</v>
      </c>
      <c r="B177" s="43" t="n">
        <v>409.216</v>
      </c>
      <c r="C177" s="122" t="n">
        <f aca="false">IF(OR(B177="",B176=""),"",B177/B176-1)</f>
        <v>-0.00254959026183266</v>
      </c>
      <c r="D177" s="122" t="n">
        <f aca="false">IF(B177="","",IFERROR(B177/INDEX($B$2:$B$800,MATCH(DATE(YEAR(A177)-1,12,1),$A$2:$A$800,0))-1,""))</f>
        <v>0.00345506575414345</v>
      </c>
      <c r="E177" s="122" t="n">
        <f aca="false">IF(B177="","",IFERROR(B177/INDEX($B$2:$B$800,MATCH(DATE(YEAR(A177)-1,MONTH(A177),1),$A$2:$A$800,0))-1,""))</f>
        <v>0.10655143694634</v>
      </c>
    </row>
    <row r="178" customFormat="false" ht="15" hidden="false" customHeight="false" outlineLevel="0" collapsed="false">
      <c r="A178" s="121" t="n">
        <v>39904</v>
      </c>
      <c r="B178" s="43" t="n">
        <v>409.042</v>
      </c>
      <c r="C178" s="122" t="n">
        <f aca="false">IF(OR(B178="",B177=""),"",B178/B177-1)</f>
        <v>-0.000425203315608469</v>
      </c>
      <c r="D178" s="122" t="n">
        <f aca="false">IF(B178="","",IFERROR(B178/INDEX($B$2:$B$800,MATCH(DATE(YEAR(A178)-1,12,1),$A$2:$A$800,0))-1,""))</f>
        <v>0.00302839333312077</v>
      </c>
      <c r="E178" s="122" t="n">
        <f aca="false">IF(B178="","",IFERROR(B178/INDEX($B$2:$B$800,MATCH(DATE(YEAR(A178)-1,MONTH(A178),1),$A$2:$A$800,0))-1,""))</f>
        <v>0.0965362128080507</v>
      </c>
    </row>
    <row r="179" customFormat="false" ht="15" hidden="false" customHeight="false" outlineLevel="0" collapsed="false">
      <c r="A179" s="121" t="n">
        <v>39934</v>
      </c>
      <c r="B179" s="43" t="n">
        <v>414.742</v>
      </c>
      <c r="C179" s="122" t="n">
        <f aca="false">IF(OR(B179="",B178=""),"",B179/B178-1)</f>
        <v>0.0139349993399212</v>
      </c>
      <c r="D179" s="122" t="n">
        <f aca="false">IF(B179="","",IFERROR(B179/INDEX($B$2:$B$800,MATCH(DATE(YEAR(A179)-1,12,1),$A$2:$A$800,0))-1,""))</f>
        <v>0.01700559333214</v>
      </c>
      <c r="E179" s="122" t="n">
        <f aca="false">IF(B179="","",IFERROR(B179/INDEX($B$2:$B$800,MATCH(DATE(YEAR(A179)-1,MONTH(A179),1),$A$2:$A$800,0))-1,""))</f>
        <v>0.0897572665023569</v>
      </c>
    </row>
    <row r="180" customFormat="false" ht="15" hidden="false" customHeight="false" outlineLevel="0" collapsed="false">
      <c r="A180" s="121" t="n">
        <v>39965</v>
      </c>
      <c r="B180" s="43" t="n">
        <v>417.657</v>
      </c>
      <c r="C180" s="122" t="n">
        <f aca="false">IF(OR(B180="",B179=""),"",B180/B179-1)</f>
        <v>0.00702846588963735</v>
      </c>
      <c r="D180" s="122" t="n">
        <f aca="false">IF(B180="","",IFERROR(B180/INDEX($B$2:$B$800,MATCH(DATE(YEAR(A180)-1,12,1),$A$2:$A$800,0))-1,""))</f>
        <v>0.0241535824544452</v>
      </c>
      <c r="E180" s="122" t="n">
        <f aca="false">IF(B180="","",IFERROR(B180/INDEX($B$2:$B$800,MATCH(DATE(YEAR(A180)-1,MONTH(A180),1),$A$2:$A$800,0))-1,""))</f>
        <v>0.0766964161420549</v>
      </c>
    </row>
    <row r="181" customFormat="false" ht="15" hidden="false" customHeight="false" outlineLevel="0" collapsed="false">
      <c r="A181" s="121" t="n">
        <v>39995</v>
      </c>
      <c r="B181" s="43" t="n">
        <v>418.757</v>
      </c>
      <c r="C181" s="122" t="n">
        <f aca="false">IF(OR(B181="",B180=""),"",B181/B180-1)</f>
        <v>0.00263374012646755</v>
      </c>
      <c r="D181" s="122" t="n">
        <f aca="false">IF(B181="","",IFERROR(B181/INDEX($B$2:$B$800,MATCH(DATE(YEAR(A181)-1,12,1),$A$2:$A$800,0))-1,""))</f>
        <v>0.026850936840221</v>
      </c>
      <c r="E181" s="122" t="n">
        <f aca="false">IF(B181="","",IFERROR(B181/INDEX($B$2:$B$800,MATCH(DATE(YEAR(A181)-1,MONTH(A181),1),$A$2:$A$800,0))-1,""))</f>
        <v>0.0640340891766356</v>
      </c>
    </row>
    <row r="182" customFormat="false" ht="15" hidden="false" customHeight="false" outlineLevel="0" collapsed="false">
      <c r="A182" s="121" t="n">
        <v>40026</v>
      </c>
      <c r="B182" s="43" t="n">
        <v>418.528</v>
      </c>
      <c r="C182" s="122" t="n">
        <f aca="false">IF(OR(B182="",B181=""),"",B182/B181-1)</f>
        <v>-0.000546856530159512</v>
      </c>
      <c r="D182" s="122" t="n">
        <f aca="false">IF(B182="","",IFERROR(B182/INDEX($B$2:$B$800,MATCH(DATE(YEAR(A182)-1,12,1),$A$2:$A$800,0))-1,""))</f>
        <v>0.0262893966999096</v>
      </c>
      <c r="E182" s="122" t="n">
        <f aca="false">IF(B182="","",IFERROR(B182/INDEX($B$2:$B$800,MATCH(DATE(YEAR(A182)-1,MONTH(A182),1),$A$2:$A$800,0))-1,""))</f>
        <v>0.0510444447792828</v>
      </c>
    </row>
    <row r="183" customFormat="false" ht="15" hidden="false" customHeight="false" outlineLevel="0" collapsed="false">
      <c r="A183" s="121" t="n">
        <v>40057</v>
      </c>
      <c r="B183" s="43" t="n">
        <v>419.147</v>
      </c>
      <c r="C183" s="122" t="n">
        <f aca="false">IF(OR(B183="",B182=""),"",B183/B182-1)</f>
        <v>0.00147899304228138</v>
      </c>
      <c r="D183" s="122" t="n">
        <f aca="false">IF(B183="","",IFERROR(B183/INDEX($B$2:$B$800,MATCH(DATE(YEAR(A183)-1,12,1),$A$2:$A$800,0))-1,""))</f>
        <v>0.0278072715769959</v>
      </c>
      <c r="E183" s="122" t="n">
        <f aca="false">IF(B183="","",IFERROR(B183/INDEX($B$2:$B$800,MATCH(DATE(YEAR(A183)-1,MONTH(A183),1),$A$2:$A$800,0))-1,""))</f>
        <v>0.042719074569314</v>
      </c>
    </row>
    <row r="184" customFormat="false" ht="15" hidden="false" customHeight="false" outlineLevel="0" collapsed="false">
      <c r="A184" s="121" t="n">
        <v>40087</v>
      </c>
      <c r="B184" s="43" t="n">
        <v>419.405</v>
      </c>
      <c r="C184" s="122" t="n">
        <f aca="false">IF(OR(B184="",B183=""),"",B184/B183-1)</f>
        <v>0.000615535838262016</v>
      </c>
      <c r="D184" s="122" t="n">
        <f aca="false">IF(B184="","",IFERROR(B184/INDEX($B$2:$B$800,MATCH(DATE(YEAR(A184)-1,12,1),$A$2:$A$800,0))-1,""))</f>
        <v>0.0284399237874777</v>
      </c>
      <c r="E184" s="122" t="n">
        <f aca="false">IF(B184="","",IFERROR(B184/INDEX($B$2:$B$800,MATCH(DATE(YEAR(A184)-1,MONTH(A184),1),$A$2:$A$800,0))-1,""))</f>
        <v>0.0353378261620874</v>
      </c>
    </row>
    <row r="185" customFormat="false" ht="15" hidden="false" customHeight="false" outlineLevel="0" collapsed="false">
      <c r="A185" s="121" t="n">
        <v>40118</v>
      </c>
      <c r="B185" s="43" t="n">
        <v>420.635</v>
      </c>
      <c r="C185" s="122" t="n">
        <f aca="false">IF(OR(B185="",B184=""),"",B185/B184-1)</f>
        <v>0.0029327261239136</v>
      </c>
      <c r="D185" s="122" t="n">
        <f aca="false">IF(B185="","",IFERROR(B185/INDEX($B$2:$B$800,MATCH(DATE(YEAR(A185)-1,12,1),$A$2:$A$800,0))-1,""))</f>
        <v>0.0314560564188451</v>
      </c>
      <c r="E185" s="122" t="n">
        <f aca="false">IF(B185="","",IFERROR(B185/INDEX($B$2:$B$800,MATCH(DATE(YEAR(A185)-1,MONTH(A185),1),$A$2:$A$800,0))-1,""))</f>
        <v>0.0332245172668746</v>
      </c>
    </row>
    <row r="186" customFormat="false" ht="15" hidden="false" customHeight="false" outlineLevel="0" collapsed="false">
      <c r="A186" s="121" t="n">
        <v>40148</v>
      </c>
      <c r="B186" s="43" t="n">
        <v>421.051</v>
      </c>
      <c r="C186" s="122" t="n">
        <f aca="false">IF(OR(B186="",B185=""),"",B186/B185-1)</f>
        <v>0.000988980945475282</v>
      </c>
      <c r="D186" s="122" t="n">
        <f aca="false">IF(B186="","",IFERROR(B186/INDEX($B$2:$B$800,MATCH(DATE(YEAR(A186)-1,12,1),$A$2:$A$800,0))-1,""))</f>
        <v>0.0324761468047385</v>
      </c>
      <c r="E186" s="122" t="n">
        <f aca="false">IF(B186="","",IFERROR(B186/INDEX($B$2:$B$800,MATCH(DATE(YEAR(A186)-1,MONTH(A186),1),$A$2:$A$800,0))-1,""))</f>
        <v>0.0324761468047385</v>
      </c>
    </row>
    <row r="187" customFormat="false" ht="15" hidden="false" customHeight="false" outlineLevel="0" collapsed="false">
      <c r="A187" s="121" t="n">
        <v>40179</v>
      </c>
      <c r="B187" s="43" t="n">
        <v>423.74</v>
      </c>
      <c r="C187" s="122" t="n">
        <f aca="false">IF(OR(B187="",B186=""),"",B187/B186-1)</f>
        <v>0.00638639974729904</v>
      </c>
      <c r="D187" s="122" t="n">
        <f aca="false">IF(B187="","",IFERROR(B187/INDEX($B$2:$B$800,MATCH(DATE(YEAR(A187)-1,12,1),$A$2:$A$800,0))-1,""))</f>
        <v>0.00638639974729904</v>
      </c>
      <c r="E187" s="122" t="n">
        <f aca="false">IF(B187="","",IFERROR(B187/INDEX($B$2:$B$800,MATCH(DATE(YEAR(A187)-1,MONTH(A187),1),$A$2:$A$800,0))-1,""))</f>
        <v>0.0356187953055729</v>
      </c>
    </row>
    <row r="188" customFormat="false" ht="15" hidden="false" customHeight="false" outlineLevel="0" collapsed="false">
      <c r="A188" s="121" t="n">
        <v>40210</v>
      </c>
      <c r="B188" s="43" t="n">
        <v>425.268</v>
      </c>
      <c r="C188" s="122" t="n">
        <f aca="false">IF(OR(B188="",B187=""),"",B188/B187-1)</f>
        <v>0.00360598480200114</v>
      </c>
      <c r="D188" s="122" t="n">
        <f aca="false">IF(B188="","",IFERROR(B188/INDEX($B$2:$B$800,MATCH(DATE(YEAR(A188)-1,12,1),$A$2:$A$800,0))-1,""))</f>
        <v>0.0100154138097284</v>
      </c>
      <c r="E188" s="122" t="n">
        <f aca="false">IF(B188="","",IFERROR(B188/INDEX($B$2:$B$800,MATCH(DATE(YEAR(A188)-1,MONTH(A188),1),$A$2:$A$800,0))-1,""))</f>
        <v>0.036576626643462</v>
      </c>
    </row>
    <row r="189" customFormat="false" ht="15" hidden="false" customHeight="false" outlineLevel="0" collapsed="false">
      <c r="A189" s="121" t="n">
        <v>40238</v>
      </c>
      <c r="B189" s="43" t="n">
        <v>428.476</v>
      </c>
      <c r="C189" s="122" t="n">
        <f aca="false">IF(OR(B189="",B188=""),"",B189/B188-1)</f>
        <v>0.00754347846534431</v>
      </c>
      <c r="D189" s="122" t="n">
        <f aca="false">IF(B189="","",IFERROR(B189/INDEX($B$2:$B$800,MATCH(DATE(YEAR(A189)-1,12,1),$A$2:$A$800,0))-1,""))</f>
        <v>0.0176344433334679</v>
      </c>
      <c r="E189" s="122" t="n">
        <f aca="false">IF(B189="","",IFERROR(B189/INDEX($B$2:$B$800,MATCH(DATE(YEAR(A189)-1,MONTH(A189),1),$A$2:$A$800,0))-1,""))</f>
        <v>0.0470656083828589</v>
      </c>
    </row>
    <row r="190" customFormat="false" ht="15" hidden="false" customHeight="false" outlineLevel="0" collapsed="false">
      <c r="A190" s="121" t="n">
        <v>40269</v>
      </c>
      <c r="B190" s="43" t="n">
        <v>432.079</v>
      </c>
      <c r="C190" s="122" t="n">
        <f aca="false">IF(OR(B190="",B189=""),"",B190/B189-1)</f>
        <v>0.00840887237558241</v>
      </c>
      <c r="D190" s="122" t="n">
        <f aca="false">IF(B190="","",IFERROR(B190/INDEX($B$2:$B$800,MATCH(DATE(YEAR(A190)-1,12,1),$A$2:$A$800,0))-1,""))</f>
        <v>0.0261916014924559</v>
      </c>
      <c r="E190" s="122" t="n">
        <f aca="false">IF(B190="","",IFERROR(B190/INDEX($B$2:$B$800,MATCH(DATE(YEAR(A190)-1,MONTH(A190),1),$A$2:$A$800,0))-1,""))</f>
        <v>0.0563193999638181</v>
      </c>
    </row>
    <row r="191" customFormat="false" ht="15" hidden="false" customHeight="false" outlineLevel="0" collapsed="false">
      <c r="A191" s="121" t="n">
        <v>40299</v>
      </c>
      <c r="B191" s="43" t="n">
        <v>439.914</v>
      </c>
      <c r="C191" s="122" t="n">
        <f aca="false">IF(OR(B191="",B190=""),"",B191/B190-1)</f>
        <v>0.0181332580384606</v>
      </c>
      <c r="D191" s="122" t="n">
        <f aca="false">IF(B191="","",IFERROR(B191/INDEX($B$2:$B$800,MATCH(DATE(YEAR(A191)-1,12,1),$A$2:$A$800,0))-1,""))</f>
        <v>0.0447997985992197</v>
      </c>
      <c r="E191" s="122" t="n">
        <f aca="false">IF(B191="","",IFERROR(B191/INDEX($B$2:$B$800,MATCH(DATE(YEAR(A191)-1,MONTH(A191),1),$A$2:$A$800,0))-1,""))</f>
        <v>0.0606931538161073</v>
      </c>
    </row>
    <row r="192" customFormat="false" ht="15" hidden="false" customHeight="false" outlineLevel="0" collapsed="false">
      <c r="A192" s="121" t="n">
        <v>40330</v>
      </c>
      <c r="B192" s="43" t="n">
        <v>444.718</v>
      </c>
      <c r="C192" s="122" t="n">
        <f aca="false">IF(OR(B192="",B191=""),"",B192/B191-1)</f>
        <v>0.0109203162436295</v>
      </c>
      <c r="D192" s="122" t="n">
        <f aca="false">IF(B192="","",IFERROR(B192/INDEX($B$2:$B$800,MATCH(DATE(YEAR(A192)-1,12,1),$A$2:$A$800,0))-1,""))</f>
        <v>0.0562093428112034</v>
      </c>
      <c r="E192" s="122" t="n">
        <f aca="false">IF(B192="","",IFERROR(B192/INDEX($B$2:$B$800,MATCH(DATE(YEAR(A192)-1,MONTH(A192),1),$A$2:$A$800,0))-1,""))</f>
        <v>0.0647924014203043</v>
      </c>
    </row>
    <row r="193" customFormat="false" ht="15" hidden="false" customHeight="false" outlineLevel="0" collapsed="false">
      <c r="A193" s="121" t="n">
        <v>40360</v>
      </c>
      <c r="B193" s="43" t="n">
        <v>446.688</v>
      </c>
      <c r="C193" s="122" t="n">
        <f aca="false">IF(OR(B193="",B192=""),"",B193/B192-1)</f>
        <v>0.00442977347442652</v>
      </c>
      <c r="D193" s="122" t="n">
        <f aca="false">IF(B193="","",IFERROR(B193/INDEX($B$2:$B$800,MATCH(DATE(YEAR(A193)-1,12,1),$A$2:$A$800,0))-1,""))</f>
        <v>0.0608881109414299</v>
      </c>
      <c r="E193" s="122" t="n">
        <f aca="false">IF(B193="","",IFERROR(B193/INDEX($B$2:$B$800,MATCH(DATE(YEAR(A193)-1,MONTH(A193),1),$A$2:$A$800,0))-1,""))</f>
        <v>0.0666997805409819</v>
      </c>
    </row>
    <row r="194" customFormat="false" ht="15" hidden="false" customHeight="false" outlineLevel="0" collapsed="false">
      <c r="A194" s="121" t="n">
        <v>40391</v>
      </c>
      <c r="B194" s="43" t="n">
        <v>447.296</v>
      </c>
      <c r="C194" s="122" t="n">
        <f aca="false">IF(OR(B194="",B193=""),"",B194/B193-1)</f>
        <v>0.0013611290207034</v>
      </c>
      <c r="D194" s="122" t="n">
        <f aca="false">IF(B194="","",IFERROR(B194/INDEX($B$2:$B$800,MATCH(DATE(YEAR(A194)-1,12,1),$A$2:$A$800,0))-1,""))</f>
        <v>0.0623321165369517</v>
      </c>
      <c r="E194" s="122" t="n">
        <f aca="false">IF(B194="","",IFERROR(B194/INDEX($B$2:$B$800,MATCH(DATE(YEAR(A194)-1,MONTH(A194),1),$A$2:$A$800,0))-1,""))</f>
        <v>0.0687361419068735</v>
      </c>
    </row>
    <row r="195" customFormat="false" ht="15" hidden="false" customHeight="false" outlineLevel="0" collapsed="false">
      <c r="A195" s="121" t="n">
        <v>40422</v>
      </c>
      <c r="B195" s="43" t="n">
        <v>448.222</v>
      </c>
      <c r="C195" s="122" t="n">
        <f aca="false">IF(OR(B195="",B194=""),"",B195/B194-1)</f>
        <v>0.00207021748461855</v>
      </c>
      <c r="D195" s="122" t="n">
        <f aca="false">IF(B195="","",IFERROR(B195/INDEX($B$2:$B$800,MATCH(DATE(YEAR(A195)-1,12,1),$A$2:$A$800,0))-1,""))</f>
        <v>0.0645313750590784</v>
      </c>
      <c r="E195" s="122" t="n">
        <f aca="false">IF(B195="","",IFERROR(B195/INDEX($B$2:$B$800,MATCH(DATE(YEAR(A195)-1,MONTH(A195),1),$A$2:$A$800,0))-1,""))</f>
        <v>0.0693670716956103</v>
      </c>
    </row>
    <row r="196" customFormat="false" ht="15" hidden="false" customHeight="false" outlineLevel="0" collapsed="false">
      <c r="A196" s="121" t="n">
        <v>40452</v>
      </c>
      <c r="B196" s="43" t="n">
        <v>449.103</v>
      </c>
      <c r="C196" s="122" t="n">
        <f aca="false">IF(OR(B196="",B195=""),"",B196/B195-1)</f>
        <v>0.00196554385996239</v>
      </c>
      <c r="D196" s="122" t="n">
        <f aca="false">IF(B196="","",IFERROR(B196/INDEX($B$2:$B$800,MATCH(DATE(YEAR(A196)-1,12,1),$A$2:$A$800,0))-1,""))</f>
        <v>0.066623758167063</v>
      </c>
      <c r="E196" s="122" t="n">
        <f aca="false">IF(B196="","",IFERROR(B196/INDEX($B$2:$B$800,MATCH(DATE(YEAR(A196)-1,MONTH(A196),1),$A$2:$A$800,0))-1,""))</f>
        <v>0.0708098377463311</v>
      </c>
    </row>
    <row r="197" customFormat="false" ht="15" hidden="false" customHeight="false" outlineLevel="0" collapsed="false">
      <c r="A197" s="121" t="n">
        <v>40483</v>
      </c>
      <c r="B197" s="43" t="n">
        <v>450.763</v>
      </c>
      <c r="C197" s="122" t="n">
        <f aca="false">IF(OR(B197="",B196=""),"",B197/B196-1)</f>
        <v>0.0036962567606984</v>
      </c>
      <c r="D197" s="122" t="n">
        <f aca="false">IF(B197="","",IFERROR(B197/INDEX($B$2:$B$800,MATCH(DATE(YEAR(A197)-1,12,1),$A$2:$A$800,0))-1,""))</f>
        <v>0.0705662734443096</v>
      </c>
      <c r="E197" s="122" t="n">
        <f aca="false">IF(B197="","",IFERROR(B197/INDEX($B$2:$B$800,MATCH(DATE(YEAR(A197)-1,MONTH(A197),1),$A$2:$A$800,0))-1,""))</f>
        <v>0.0716250430896144</v>
      </c>
    </row>
    <row r="198" customFormat="false" ht="15" hidden="false" customHeight="false" outlineLevel="0" collapsed="false">
      <c r="A198" s="121" t="n">
        <v>40513</v>
      </c>
      <c r="B198" s="43" t="n">
        <v>453.766</v>
      </c>
      <c r="C198" s="122" t="n">
        <f aca="false">IF(OR(B198="",B197=""),"",B198/B197-1)</f>
        <v>0.00666203747867522</v>
      </c>
      <c r="D198" s="122" t="n">
        <f aca="false">IF(B198="","",IFERROR(B198/INDEX($B$2:$B$800,MATCH(DATE(YEAR(A198)-1,12,1),$A$2:$A$800,0))-1,""))</f>
        <v>0.0776984260814011</v>
      </c>
      <c r="E198" s="122" t="n">
        <f aca="false">IF(B198="","",IFERROR(B198/INDEX($B$2:$B$800,MATCH(DATE(YEAR(A198)-1,MONTH(A198),1),$A$2:$A$800,0))-1,""))</f>
        <v>0.0776984260814011</v>
      </c>
    </row>
    <row r="199" customFormat="false" ht="15" hidden="false" customHeight="false" outlineLevel="0" collapsed="false">
      <c r="A199" s="121" t="n">
        <v>40544</v>
      </c>
      <c r="B199" s="43" t="n">
        <v>455.619</v>
      </c>
      <c r="C199" s="122" t="n">
        <f aca="false">IF(OR(B199="",B198=""),"",B199/B198-1)</f>
        <v>0.00408360256167284</v>
      </c>
      <c r="D199" s="122" t="n">
        <f aca="false">IF(B199="","",IFERROR(B199/INDEX($B$2:$B$800,MATCH(DATE(YEAR(A199)-1,12,1),$A$2:$A$800,0))-1,""))</f>
        <v>0.00408360256167284</v>
      </c>
      <c r="E199" s="122" t="n">
        <f aca="false">IF(B199="","",IFERROR(B199/INDEX($B$2:$B$800,MATCH(DATE(YEAR(A199)-1,MONTH(A199),1),$A$2:$A$800,0))-1,""))</f>
        <v>0.0752324538632181</v>
      </c>
    </row>
    <row r="200" customFormat="false" ht="15" hidden="false" customHeight="false" outlineLevel="0" collapsed="false">
      <c r="A200" s="121" t="n">
        <v>40575</v>
      </c>
      <c r="B200" s="43" t="n">
        <v>456.917</v>
      </c>
      <c r="C200" s="122" t="n">
        <f aca="false">IF(OR(B200="",B199=""),"",B200/B199-1)</f>
        <v>0.00284887153520796</v>
      </c>
      <c r="D200" s="122" t="n">
        <f aca="false">IF(B200="","",IFERROR(B200/INDEX($B$2:$B$800,MATCH(DATE(YEAR(A200)-1,12,1),$A$2:$A$800,0))-1,""))</f>
        <v>0.00694410775597976</v>
      </c>
      <c r="E200" s="122" t="n">
        <f aca="false">IF(B200="","",IFERROR(B200/INDEX($B$2:$B$800,MATCH(DATE(YEAR(A200)-1,MONTH(A200),1),$A$2:$A$800,0))-1,""))</f>
        <v>0.0744213060940395</v>
      </c>
    </row>
    <row r="201" customFormat="false" ht="15" hidden="false" customHeight="false" outlineLevel="0" collapsed="false">
      <c r="A201" s="121" t="n">
        <v>40603</v>
      </c>
      <c r="B201" s="43" t="n">
        <v>458.887</v>
      </c>
      <c r="C201" s="122" t="n">
        <f aca="false">IF(OR(B201="",B200=""),"",B201/B200-1)</f>
        <v>0.00431150515301471</v>
      </c>
      <c r="D201" s="122" t="n">
        <f aca="false">IF(B201="","",IFERROR(B201/INDEX($B$2:$B$800,MATCH(DATE(YEAR(A201)-1,12,1),$A$2:$A$800,0))-1,""))</f>
        <v>0.0112855524653677</v>
      </c>
      <c r="E201" s="122" t="n">
        <f aca="false">IF(B201="","",IFERROR(B201/INDEX($B$2:$B$800,MATCH(DATE(YEAR(A201)-1,MONTH(A201),1),$A$2:$A$800,0))-1,""))</f>
        <v>0.0709748037229623</v>
      </c>
    </row>
    <row r="202" customFormat="false" ht="15" hidden="false" customHeight="false" outlineLevel="0" collapsed="false">
      <c r="A202" s="121" t="n">
        <v>40634</v>
      </c>
      <c r="B202" s="43" t="n">
        <v>463.766</v>
      </c>
      <c r="C202" s="122" t="n">
        <f aca="false">IF(OR(B202="",B201=""),"",B202/B201-1)</f>
        <v>0.0106322471545284</v>
      </c>
      <c r="D202" s="122" t="n">
        <f aca="false">IF(B202="","",IFERROR(B202/INDEX($B$2:$B$800,MATCH(DATE(YEAR(A202)-1,12,1),$A$2:$A$800,0))-1,""))</f>
        <v>0.0220377904029829</v>
      </c>
      <c r="E202" s="122" t="n">
        <f aca="false">IF(B202="","",IFERROR(B202/INDEX($B$2:$B$800,MATCH(DATE(YEAR(A202)-1,MONTH(A202),1),$A$2:$A$800,0))-1,""))</f>
        <v>0.0733361260325081</v>
      </c>
    </row>
    <row r="203" customFormat="false" ht="15" hidden="false" customHeight="false" outlineLevel="0" collapsed="false">
      <c r="A203" s="121" t="n">
        <v>40664</v>
      </c>
      <c r="B203" s="43" t="n">
        <v>477.405</v>
      </c>
      <c r="C203" s="122" t="n">
        <f aca="false">IF(OR(B203="",B202=""),"",B203/B202-1)</f>
        <v>0.0294092279296023</v>
      </c>
      <c r="D203" s="122" t="n">
        <f aca="false">IF(B203="","",IFERROR(B203/INDEX($B$2:$B$800,MATCH(DATE(YEAR(A203)-1,12,1),$A$2:$A$800,0))-1,""))</f>
        <v>0.0520951327336114</v>
      </c>
      <c r="E203" s="122" t="n">
        <f aca="false">IF(B203="","",IFERROR(B203/INDEX($B$2:$B$800,MATCH(DATE(YEAR(A203)-1,MONTH(A203),1),$A$2:$A$800,0))-1,""))</f>
        <v>0.0852234754974837</v>
      </c>
    </row>
    <row r="204" customFormat="false" ht="15" hidden="false" customHeight="false" outlineLevel="0" collapsed="false">
      <c r="A204" s="121" t="n">
        <v>40695</v>
      </c>
      <c r="B204" s="43" t="n">
        <v>479.183</v>
      </c>
      <c r="C204" s="122" t="n">
        <f aca="false">IF(OR(B204="",B203=""),"",B204/B203-1)</f>
        <v>0.00372430116986622</v>
      </c>
      <c r="D204" s="122" t="n">
        <f aca="false">IF(B204="","",IFERROR(B204/INDEX($B$2:$B$800,MATCH(DATE(YEAR(A204)-1,12,1),$A$2:$A$800,0))-1,""))</f>
        <v>0.0560134518672619</v>
      </c>
      <c r="E204" s="122" t="n">
        <f aca="false">IF(B204="","",IFERROR(B204/INDEX($B$2:$B$800,MATCH(DATE(YEAR(A204)-1,MONTH(A204),1),$A$2:$A$800,0))-1,""))</f>
        <v>0.0774985496426948</v>
      </c>
    </row>
    <row r="205" customFormat="false" ht="15" hidden="false" customHeight="false" outlineLevel="0" collapsed="false">
      <c r="A205" s="121" t="n">
        <v>40726</v>
      </c>
      <c r="B205" s="43" t="n">
        <v>481.33</v>
      </c>
      <c r="C205" s="122" t="n">
        <f aca="false">IF(OR(B205="",B204=""),"",B205/B204-1)</f>
        <v>0.00448054292410194</v>
      </c>
      <c r="D205" s="122" t="n">
        <f aca="false">IF(B205="","",IFERROR(B205/INDEX($B$2:$B$800,MATCH(DATE(YEAR(A205)-1,12,1),$A$2:$A$800,0))-1,""))</f>
        <v>0.0607449654667824</v>
      </c>
      <c r="E205" s="122" t="n">
        <f aca="false">IF(B205="","",IFERROR(B205/INDEX($B$2:$B$800,MATCH(DATE(YEAR(A205)-1,MONTH(A205),1),$A$2:$A$800,0))-1,""))</f>
        <v>0.0775530123934378</v>
      </c>
    </row>
    <row r="206" customFormat="false" ht="15" hidden="false" customHeight="false" outlineLevel="0" collapsed="false">
      <c r="A206" s="121" t="n">
        <v>40756</v>
      </c>
      <c r="B206" s="43" t="n">
        <v>481.966</v>
      </c>
      <c r="C206" s="122" t="n">
        <f aca="false">IF(OR(B206="",B205=""),"",B206/B205-1)</f>
        <v>0.00132133879043495</v>
      </c>
      <c r="D206" s="122" t="n">
        <f aca="false">IF(B206="","",IFERROR(B206/INDEX($B$2:$B$800,MATCH(DATE(YEAR(A206)-1,12,1),$A$2:$A$800,0))-1,""))</f>
        <v>0.0621465689364122</v>
      </c>
      <c r="E206" s="122" t="n">
        <f aca="false">IF(B206="","",IFERROR(B206/INDEX($B$2:$B$800,MATCH(DATE(YEAR(A206)-1,MONTH(A206),1),$A$2:$A$800,0))-1,""))</f>
        <v>0.0775101945915009</v>
      </c>
    </row>
    <row r="207" customFormat="false" ht="15" hidden="false" customHeight="false" outlineLevel="0" collapsed="false">
      <c r="A207" s="121" t="n">
        <v>40787</v>
      </c>
      <c r="B207" s="43" t="n">
        <v>482.658</v>
      </c>
      <c r="C207" s="122" t="n">
        <f aca="false">IF(OR(B207="",B206=""),"",B207/B206-1)</f>
        <v>0.00143578592680815</v>
      </c>
      <c r="D207" s="122" t="n">
        <f aca="false">IF(B207="","",IFERROR(B207/INDEX($B$2:$B$800,MATCH(DATE(YEAR(A207)-1,12,1),$A$2:$A$800,0))-1,""))</f>
        <v>0.0636715840322986</v>
      </c>
      <c r="E207" s="122" t="n">
        <f aca="false">IF(B207="","",IFERROR(B207/INDEX($B$2:$B$800,MATCH(DATE(YEAR(A207)-1,MONTH(A207),1),$A$2:$A$800,0))-1,""))</f>
        <v>0.0768280004105109</v>
      </c>
    </row>
    <row r="208" customFormat="false" ht="15" hidden="false" customHeight="false" outlineLevel="0" collapsed="false">
      <c r="A208" s="121" t="n">
        <v>40817</v>
      </c>
      <c r="B208" s="43" t="n">
        <v>483.758</v>
      </c>
      <c r="C208" s="122" t="n">
        <f aca="false">IF(OR(B208="",B207=""),"",B208/B207-1)</f>
        <v>0.00227904644696642</v>
      </c>
      <c r="D208" s="122" t="n">
        <f aca="false">IF(B208="","",IFERROR(B208/INDEX($B$2:$B$800,MATCH(DATE(YEAR(A208)-1,12,1),$A$2:$A$800,0))-1,""))</f>
        <v>0.0660957409766267</v>
      </c>
      <c r="E208" s="122" t="n">
        <f aca="false">IF(B208="","",IFERROR(B208/INDEX($B$2:$B$800,MATCH(DATE(YEAR(A208)-1,MONTH(A208),1),$A$2:$A$800,0))-1,""))</f>
        <v>0.0771649265313301</v>
      </c>
    </row>
    <row r="209" customFormat="false" ht="15" hidden="false" customHeight="false" outlineLevel="0" collapsed="false">
      <c r="A209" s="121" t="n">
        <v>40848</v>
      </c>
      <c r="B209" s="43" t="n">
        <v>487.221</v>
      </c>
      <c r="C209" s="122" t="n">
        <f aca="false">IF(OR(B209="",B208=""),"",B209/B208-1)</f>
        <v>0.00715853794665922</v>
      </c>
      <c r="D209" s="122" t="n">
        <f aca="false">IF(B209="","",IFERROR(B209/INDEX($B$2:$B$800,MATCH(DATE(YEAR(A209)-1,12,1),$A$2:$A$800,0))-1,""))</f>
        <v>0.0737274277931797</v>
      </c>
      <c r="E209" s="122" t="n">
        <f aca="false">IF(B209="","",IFERROR(B209/INDEX($B$2:$B$800,MATCH(DATE(YEAR(A209)-1,MONTH(A209),1),$A$2:$A$800,0))-1,""))</f>
        <v>0.0808806401590194</v>
      </c>
    </row>
    <row r="210" customFormat="false" ht="15" hidden="false" customHeight="false" outlineLevel="0" collapsed="false">
      <c r="A210" s="121" t="n">
        <v>40878</v>
      </c>
      <c r="B210" s="43" t="n">
        <v>487.749</v>
      </c>
      <c r="C210" s="122" t="n">
        <f aca="false">IF(OR(B210="",B209=""),"",B210/B209-1)</f>
        <v>0.00108369713128131</v>
      </c>
      <c r="D210" s="122" t="n">
        <f aca="false">IF(B210="","",IFERROR(B210/INDEX($B$2:$B$800,MATCH(DATE(YEAR(A210)-1,12,1),$A$2:$A$800,0))-1,""))</f>
        <v>0.0748910231264572</v>
      </c>
      <c r="E210" s="122" t="n">
        <f aca="false">IF(B210="","",IFERROR(B210/INDEX($B$2:$B$800,MATCH(DATE(YEAR(A210)-1,MONTH(A210),1),$A$2:$A$800,0))-1,""))</f>
        <v>0.0748910231264572</v>
      </c>
    </row>
    <row r="211" customFormat="false" ht="15" hidden="false" customHeight="false" outlineLevel="0" collapsed="false">
      <c r="A211" s="121" t="n">
        <v>40909</v>
      </c>
      <c r="B211" s="43" t="n">
        <v>492.106</v>
      </c>
      <c r="C211" s="122" t="n">
        <f aca="false">IF(OR(B211="",B210=""),"",B211/B210-1)</f>
        <v>0.00893287326063197</v>
      </c>
      <c r="D211" s="122" t="n">
        <f aca="false">IF(B211="","",IFERROR(B211/INDEX($B$2:$B$800,MATCH(DATE(YEAR(A211)-1,12,1),$A$2:$A$800,0))-1,""))</f>
        <v>0.00893287326063197</v>
      </c>
      <c r="E211" s="122" t="n">
        <f aca="false">IF(B211="","",IFERROR(B211/INDEX($B$2:$B$800,MATCH(DATE(YEAR(A211)-1,MONTH(A211),1),$A$2:$A$800,0))-1,""))</f>
        <v>0.0800822617142831</v>
      </c>
    </row>
    <row r="212" customFormat="false" ht="15" hidden="false" customHeight="false" outlineLevel="0" collapsed="false">
      <c r="A212" s="121" t="n">
        <v>40940</v>
      </c>
      <c r="B212" s="43" t="n">
        <v>493.584</v>
      </c>
      <c r="C212" s="122" t="n">
        <f aca="false">IF(OR(B212="",B211=""),"",B212/B211-1)</f>
        <v>0.00300341796279668</v>
      </c>
      <c r="D212" s="122" t="n">
        <f aca="false">IF(B212="","",IFERROR(B212/INDEX($B$2:$B$800,MATCH(DATE(YEAR(A212)-1,12,1),$A$2:$A$800,0))-1,""))</f>
        <v>0.0119631203754389</v>
      </c>
      <c r="E212" s="122" t="n">
        <f aca="false">IF(B212="","",IFERROR(B212/INDEX($B$2:$B$800,MATCH(DATE(YEAR(A212)-1,MONTH(A212),1),$A$2:$A$800,0))-1,""))</f>
        <v>0.0802487103784715</v>
      </c>
    </row>
    <row r="213" customFormat="false" ht="15" hidden="false" customHeight="false" outlineLevel="0" collapsed="false">
      <c r="A213" s="121" t="n">
        <v>40969</v>
      </c>
      <c r="B213" s="43" t="n">
        <v>496.079</v>
      </c>
      <c r="C213" s="122" t="n">
        <f aca="false">IF(OR(B213="",B212=""),"",B213/B212-1)</f>
        <v>0.00505486401504096</v>
      </c>
      <c r="D213" s="122" t="n">
        <f aca="false">IF(B213="","",IFERROR(B213/INDEX($B$2:$B$800,MATCH(DATE(YEAR(A213)-1,12,1),$A$2:$A$800,0))-1,""))</f>
        <v>0.0170784563371733</v>
      </c>
      <c r="E213" s="122" t="n">
        <f aca="false">IF(B213="","",IFERROR(B213/INDEX($B$2:$B$800,MATCH(DATE(YEAR(A213)-1,MONTH(A213),1),$A$2:$A$800,0))-1,""))</f>
        <v>0.0810482755013762</v>
      </c>
    </row>
    <row r="214" customFormat="false" ht="15" hidden="false" customHeight="false" outlineLevel="0" collapsed="false">
      <c r="A214" s="121" t="n">
        <v>41000</v>
      </c>
      <c r="B214" s="43" t="n">
        <v>499.791</v>
      </c>
      <c r="C214" s="122" t="n">
        <f aca="false">IF(OR(B214="",B213=""),"",B214/B213-1)</f>
        <v>0.00748267917005152</v>
      </c>
      <c r="D214" s="122" t="n">
        <f aca="false">IF(B214="","",IFERROR(B214/INDEX($B$2:$B$800,MATCH(DATE(YEAR(A214)-1,12,1),$A$2:$A$800,0))-1,""))</f>
        <v>0.0246889281167157</v>
      </c>
      <c r="E214" s="122" t="n">
        <f aca="false">IF(B214="","",IFERROR(B214/INDEX($B$2:$B$800,MATCH(DATE(YEAR(A214)-1,MONTH(A214),1),$A$2:$A$800,0))-1,""))</f>
        <v>0.0776792606616268</v>
      </c>
    </row>
    <row r="215" customFormat="false" ht="15" hidden="false" customHeight="false" outlineLevel="0" collapsed="false">
      <c r="A215" s="121" t="n">
        <v>41030</v>
      </c>
      <c r="B215" s="43" t="n">
        <v>509.184</v>
      </c>
      <c r="C215" s="122" t="n">
        <f aca="false">IF(OR(B215="",B214=""),"",B215/B214-1)</f>
        <v>0.0187938558317378</v>
      </c>
      <c r="D215" s="122" t="n">
        <f aca="false">IF(B215="","",IFERROR(B215/INDEX($B$2:$B$800,MATCH(DATE(YEAR(A215)-1,12,1),$A$2:$A$800,0))-1,""))</f>
        <v>0.0439467841041192</v>
      </c>
      <c r="E215" s="122" t="n">
        <f aca="false">IF(B215="","",IFERROR(B215/INDEX($B$2:$B$800,MATCH(DATE(YEAR(A215)-1,MONTH(A215),1),$A$2:$A$800,0))-1,""))</f>
        <v>0.0665661231030259</v>
      </c>
    </row>
    <row r="216" customFormat="false" ht="15" hidden="false" customHeight="false" outlineLevel="0" collapsed="false">
      <c r="A216" s="121" t="n">
        <v>41061</v>
      </c>
      <c r="B216" s="43" t="n">
        <v>512.903</v>
      </c>
      <c r="C216" s="122" t="n">
        <f aca="false">IF(OR(B216="",B215=""),"",B216/B215-1)</f>
        <v>0.0073038430115635</v>
      </c>
      <c r="D216" s="122" t="n">
        <f aca="false">IF(B216="","",IFERROR(B216/INDEX($B$2:$B$800,MATCH(DATE(YEAR(A216)-1,12,1),$A$2:$A$800,0))-1,""))</f>
        <v>0.0515716075276422</v>
      </c>
      <c r="E216" s="122" t="n">
        <f aca="false">IF(B216="","",IFERROR(B216/INDEX($B$2:$B$800,MATCH(DATE(YEAR(A216)-1,MONTH(A216),1),$A$2:$A$800,0))-1,""))</f>
        <v>0.0703697752215751</v>
      </c>
    </row>
    <row r="217" customFormat="false" ht="15" hidden="false" customHeight="false" outlineLevel="0" collapsed="false">
      <c r="A217" s="121" t="n">
        <v>41091</v>
      </c>
      <c r="B217" s="43" t="n">
        <v>516.318</v>
      </c>
      <c r="C217" s="122" t="n">
        <f aca="false">IF(OR(B217="",B216=""),"",B217/B216-1)</f>
        <v>0.00665817903190269</v>
      </c>
      <c r="D217" s="122" t="n">
        <f aca="false">IF(B217="","",IFERROR(B217/INDEX($B$2:$B$800,MATCH(DATE(YEAR(A217)-1,12,1),$A$2:$A$800,0))-1,""))</f>
        <v>0.0585731595554271</v>
      </c>
      <c r="E217" s="122" t="str">
        <f aca="false">IF(B217="","",IFERROR(B217/INDEX($B$2:$B$800,MATCH(DATE(YEAR(A217)-1,MONTH(A217),1),$A$2:$A$800,0))-1,""))</f>
        <v/>
      </c>
    </row>
    <row r="218" customFormat="false" ht="15" hidden="false" customHeight="false" outlineLevel="0" collapsed="false">
      <c r="A218" s="121" t="n">
        <v>41122</v>
      </c>
      <c r="B218" s="43" t="n">
        <v>517.657</v>
      </c>
      <c r="C218" s="122" t="n">
        <f aca="false">IF(OR(B218="",B217=""),"",B218/B217-1)</f>
        <v>0.00259336300496993</v>
      </c>
      <c r="D218" s="122" t="n">
        <f aca="false">IF(B218="","",IFERROR(B218/INDEX($B$2:$B$800,MATCH(DATE(YEAR(A218)-1,12,1),$A$2:$A$800,0))-1,""))</f>
        <v>0.0613184240254721</v>
      </c>
      <c r="E218" s="122" t="n">
        <f aca="false">IF(B218="","",IFERROR(B218/INDEX($B$2:$B$800,MATCH(DATE(YEAR(A218)-1,MONTH(A218),1),$A$2:$A$800,0))-1,""))</f>
        <v>0.0740529414937985</v>
      </c>
    </row>
    <row r="219" customFormat="false" ht="15" hidden="false" customHeight="false" outlineLevel="0" collapsed="false">
      <c r="A219" s="121" t="n">
        <v>41153</v>
      </c>
      <c r="B219" s="43" t="n">
        <v>518.816</v>
      </c>
      <c r="C219" s="122" t="n">
        <f aca="false">IF(OR(B219="",B218=""),"",B219/B218-1)</f>
        <v>0.00223893427501221</v>
      </c>
      <c r="D219" s="122" t="n">
        <f aca="false">IF(B219="","",IFERROR(B219/INDEX($B$2:$B$800,MATCH(DATE(YEAR(A219)-1,12,1),$A$2:$A$800,0))-1,""))</f>
        <v>0.0636946462217247</v>
      </c>
      <c r="E219" s="122" t="n">
        <f aca="false">IF(B219="","",IFERROR(B219/INDEX($B$2:$B$800,MATCH(DATE(YEAR(A219)-1,MONTH(A219),1),$A$2:$A$800,0))-1,""))</f>
        <v>0.074914328572198</v>
      </c>
    </row>
    <row r="220" customFormat="false" ht="15" hidden="false" customHeight="false" outlineLevel="0" collapsed="false">
      <c r="A220" s="121" t="n">
        <v>41183</v>
      </c>
      <c r="B220" s="43" t="n">
        <v>519.907</v>
      </c>
      <c r="C220" s="122" t="n">
        <f aca="false">IF(OR(B220="",B219=""),"",B220/B219-1)</f>
        <v>0.00210286498488865</v>
      </c>
      <c r="D220" s="122" t="n">
        <f aca="false">IF(B220="","",IFERROR(B220/INDEX($B$2:$B$800,MATCH(DATE(YEAR(A220)-1,12,1),$A$2:$A$800,0))-1,""))</f>
        <v>0.065931452447878</v>
      </c>
      <c r="E220" s="122" t="n">
        <f aca="false">IF(B220="","",IFERROR(B220/INDEX($B$2:$B$800,MATCH(DATE(YEAR(A220)-1,MONTH(A220),1),$A$2:$A$800,0))-1,""))</f>
        <v>0.074725379218535</v>
      </c>
    </row>
    <row r="221" customFormat="false" ht="15" hidden="false" customHeight="false" outlineLevel="0" collapsed="false">
      <c r="A221" s="121" t="n">
        <v>41214</v>
      </c>
      <c r="B221" s="43" t="n">
        <v>521.638</v>
      </c>
      <c r="C221" s="122" t="n">
        <f aca="false">IF(OR(B221="",B220=""),"",B221/B220-1)</f>
        <v>0.00332944161167292</v>
      </c>
      <c r="D221" s="122" t="n">
        <f aca="false">IF(B221="","",IFERROR(B221/INDEX($B$2:$B$800,MATCH(DATE(YEAR(A221)-1,12,1),$A$2:$A$800,0))-1,""))</f>
        <v>0.0694804089808487</v>
      </c>
      <c r="E221" s="122" t="n">
        <f aca="false">IF(B221="","",IFERROR(B221/INDEX($B$2:$B$800,MATCH(DATE(YEAR(A221)-1,MONTH(A221),1),$A$2:$A$800,0))-1,""))</f>
        <v>0.0706394018320229</v>
      </c>
    </row>
    <row r="222" customFormat="false" ht="15" hidden="false" customHeight="false" outlineLevel="0" collapsed="false">
      <c r="A222" s="121" t="n">
        <v>41244</v>
      </c>
      <c r="B222" s="43" t="n">
        <v>522.474</v>
      </c>
      <c r="C222" s="122" t="n">
        <f aca="false">IF(OR(B222="",B221=""),"",B222/B221-1)</f>
        <v>0.00160264397915788</v>
      </c>
      <c r="D222" s="122" t="n">
        <f aca="false">IF(B222="","",IFERROR(B222/INDEX($B$2:$B$800,MATCH(DATE(YEAR(A222)-1,12,1),$A$2:$A$800,0))-1,""))</f>
        <v>0.0711944053191294</v>
      </c>
      <c r="E222" s="122" t="n">
        <f aca="false">IF(B222="","",IFERROR(B222/INDEX($B$2:$B$800,MATCH(DATE(YEAR(A222)-1,MONTH(A222),1),$A$2:$A$800,0))-1,""))</f>
        <v>0.0711944053191294</v>
      </c>
    </row>
    <row r="223" customFormat="false" ht="15" hidden="false" customHeight="false" outlineLevel="0" collapsed="false">
      <c r="A223" s="121" t="n">
        <v>41275</v>
      </c>
      <c r="B223" s="43" t="n">
        <v>525.85</v>
      </c>
      <c r="C223" s="122" t="n">
        <f aca="false">IF(OR(B223="",B222=""),"",B223/B222-1)</f>
        <v>0.00646156555158717</v>
      </c>
      <c r="D223" s="122" t="n">
        <f aca="false">IF(B223="","",IFERROR(B223/INDEX($B$2:$B$800,MATCH(DATE(YEAR(A223)-1,12,1),$A$2:$A$800,0))-1,""))</f>
        <v>0.00646156555158717</v>
      </c>
      <c r="E223" s="122" t="n">
        <f aca="false">IF(B223="","",IFERROR(B223/INDEX($B$2:$B$800,MATCH(DATE(YEAR(A223)-1,MONTH(A223),1),$A$2:$A$800,0))-1,""))</f>
        <v>0.0685705925146209</v>
      </c>
    </row>
    <row r="224" customFormat="false" ht="15" hidden="false" customHeight="false" outlineLevel="0" collapsed="false">
      <c r="A224" s="121" t="n">
        <v>41306</v>
      </c>
      <c r="B224" s="43" t="n">
        <v>529.029</v>
      </c>
      <c r="C224" s="122" t="n">
        <f aca="false">IF(OR(B224="",B223=""),"",B224/B223-1)</f>
        <v>0.00604545022344771</v>
      </c>
      <c r="D224" s="122" t="n">
        <f aca="false">IF(B224="","",IFERROR(B224/INDEX($B$2:$B$800,MATCH(DATE(YEAR(A224)-1,12,1),$A$2:$A$800,0))-1,""))</f>
        <v>0.0125460788479426</v>
      </c>
      <c r="E224" s="122" t="n">
        <f aca="false">IF(B224="","",IFERROR(B224/INDEX($B$2:$B$800,MATCH(DATE(YEAR(A224)-1,MONTH(A224),1),$A$2:$A$800,0))-1,""))</f>
        <v>0.0718114849752018</v>
      </c>
    </row>
    <row r="225" customFormat="false" ht="15" hidden="false" customHeight="false" outlineLevel="0" collapsed="false">
      <c r="A225" s="121" t="n">
        <v>41334</v>
      </c>
      <c r="B225" s="43" t="n">
        <v>531.691</v>
      </c>
      <c r="C225" s="122" t="n">
        <f aca="false">IF(OR(B225="",B224=""),"",B225/B224-1)</f>
        <v>0.00503186025718816</v>
      </c>
      <c r="D225" s="122" t="n">
        <f aca="false">IF(B225="","",IFERROR(B225/INDEX($B$2:$B$800,MATCH(DATE(YEAR(A225)-1,12,1),$A$2:$A$800,0))-1,""))</f>
        <v>0.0176410692206692</v>
      </c>
      <c r="E225" s="122" t="n">
        <f aca="false">IF(B225="","",IFERROR(B225/INDEX($B$2:$B$800,MATCH(DATE(YEAR(A225)-1,MONTH(A225),1),$A$2:$A$800,0))-1,""))</f>
        <v>0.071786953287682</v>
      </c>
    </row>
    <row r="226" customFormat="false" ht="15" hidden="false" customHeight="false" outlineLevel="0" collapsed="false">
      <c r="A226" s="121" t="n">
        <v>41365</v>
      </c>
      <c r="B226" s="43" t="n">
        <v>535.601</v>
      </c>
      <c r="C226" s="122" t="n">
        <f aca="false">IF(OR(B226="",B225=""),"",B226/B225-1)</f>
        <v>0.00735389540165232</v>
      </c>
      <c r="D226" s="122" t="n">
        <f aca="false">IF(B226="","",IFERROR(B226/INDEX($B$2:$B$800,MATCH(DATE(YEAR(A226)-1,12,1),$A$2:$A$800,0))-1,""))</f>
        <v>0.0251246952001438</v>
      </c>
      <c r="E226" s="122" t="n">
        <f aca="false">IF(B226="","",IFERROR(B226/INDEX($B$2:$B$800,MATCH(DATE(YEAR(A226)-1,MONTH(A226),1),$A$2:$A$800,0))-1,""))</f>
        <v>0.0716499496789658</v>
      </c>
    </row>
    <row r="227" customFormat="false" ht="15" hidden="false" customHeight="false" outlineLevel="0" collapsed="false">
      <c r="A227" s="121" t="n">
        <v>41395</v>
      </c>
      <c r="B227" s="43" t="n">
        <v>547.655</v>
      </c>
      <c r="C227" s="122" t="n">
        <f aca="false">IF(OR(B227="",B226=""),"",B227/B226-1)</f>
        <v>0.0225055591755803</v>
      </c>
      <c r="D227" s="122" t="n">
        <f aca="false">IF(B227="","",IFERROR(B227/INDEX($B$2:$B$800,MATCH(DATE(YEAR(A227)-1,12,1),$A$2:$A$800,0))-1,""))</f>
        <v>0.0481956996903195</v>
      </c>
      <c r="E227" s="122" t="n">
        <f aca="false">IF(B227="","",IFERROR(B227/INDEX($B$2:$B$800,MATCH(DATE(YEAR(A227)-1,MONTH(A227),1),$A$2:$A$800,0))-1,""))</f>
        <v>0.07555422008547</v>
      </c>
    </row>
    <row r="228" customFormat="false" ht="15" hidden="false" customHeight="false" outlineLevel="0" collapsed="false">
      <c r="A228" s="121" t="n">
        <v>41426</v>
      </c>
      <c r="B228" s="43" t="n">
        <v>553.948</v>
      </c>
      <c r="C228" s="122" t="n">
        <f aca="false">IF(OR(B228="",B227=""),"",B228/B227-1)</f>
        <v>0.0114908108206808</v>
      </c>
      <c r="D228" s="122" t="n">
        <f aca="false">IF(B228="","",IFERROR(B228/INDEX($B$2:$B$800,MATCH(DATE(YEAR(A228)-1,12,1),$A$2:$A$800,0))-1,""))</f>
        <v>0.0602403181785121</v>
      </c>
      <c r="E228" s="122" t="n">
        <f aca="false">IF(B228="","",IFERROR(B228/INDEX($B$2:$B$800,MATCH(DATE(YEAR(A228)-1,MONTH(A228),1),$A$2:$A$800,0))-1,""))</f>
        <v>0.0800248779983739</v>
      </c>
    </row>
    <row r="229" customFormat="false" ht="15" hidden="false" customHeight="false" outlineLevel="0" collapsed="false">
      <c r="A229" s="121" t="n">
        <v>41456</v>
      </c>
      <c r="B229" s="43" t="n">
        <v>556.6</v>
      </c>
      <c r="C229" s="122" t="n">
        <f aca="false">IF(OR(B229="",B228=""),"",B229/B228-1)</f>
        <v>0.00478745297392536</v>
      </c>
      <c r="D229" s="122" t="n">
        <f aca="false">IF(B229="","",IFERROR(B229/INDEX($B$2:$B$800,MATCH(DATE(YEAR(A229)-1,12,1),$A$2:$A$800,0))-1,""))</f>
        <v>0.0653161688428514</v>
      </c>
      <c r="E229" s="122" t="n">
        <f aca="false">IF(B229="","",IFERROR(B229/INDEX($B$2:$B$800,MATCH(DATE(YEAR(A229)-1,MONTH(A229),1),$A$2:$A$800,0))-1,""))</f>
        <v>0.078017810729047</v>
      </c>
    </row>
    <row r="230" customFormat="false" ht="15" hidden="false" customHeight="false" outlineLevel="0" collapsed="false">
      <c r="A230" s="121" t="n">
        <v>41487</v>
      </c>
      <c r="B230" s="43" t="n">
        <v>558.34</v>
      </c>
      <c r="C230" s="122" t="n">
        <f aca="false">IF(OR(B230="",B229=""),"",B230/B229-1)</f>
        <v>0.00312612288896874</v>
      </c>
      <c r="D230" s="122" t="n">
        <f aca="false">IF(B230="","",IFERROR(B230/INDEX($B$2:$B$800,MATCH(DATE(YEAR(A230)-1,12,1),$A$2:$A$800,0))-1,""))</f>
        <v>0.0686464781022595</v>
      </c>
      <c r="E230" s="122" t="n">
        <f aca="false">IF(B230="","",IFERROR(B230/INDEX($B$2:$B$800,MATCH(DATE(YEAR(A230)-1,MONTH(A230),1),$A$2:$A$800,0))-1,""))</f>
        <v>0.0785906497932027</v>
      </c>
    </row>
    <row r="231" customFormat="false" ht="15" hidden="false" customHeight="false" outlineLevel="0" collapsed="false">
      <c r="A231" s="121" t="n">
        <v>41518</v>
      </c>
      <c r="B231" s="43" t="n">
        <v>560.767</v>
      </c>
      <c r="C231" s="122" t="n">
        <f aca="false">IF(OR(B231="",B230=""),"",B231/B230-1)</f>
        <v>0.00434681376938784</v>
      </c>
      <c r="D231" s="122" t="n">
        <f aca="false">IF(B231="","",IFERROR(B231/INDEX($B$2:$B$800,MATCH(DATE(YEAR(A231)-1,12,1),$A$2:$A$800,0))-1,""))</f>
        <v>0.0732916853278824</v>
      </c>
      <c r="E231" s="122" t="n">
        <f aca="false">IF(B231="","",IFERROR(B231/INDEX($B$2:$B$800,MATCH(DATE(YEAR(A231)-1,MONTH(A231),1),$A$2:$A$800,0))-1,""))</f>
        <v>0.0808591099734781</v>
      </c>
    </row>
    <row r="232" customFormat="false" ht="15" hidden="false" customHeight="false" outlineLevel="0" collapsed="false">
      <c r="A232" s="121" t="n">
        <v>41548</v>
      </c>
      <c r="B232" s="43" t="n">
        <v>562.241</v>
      </c>
      <c r="C232" s="122" t="n">
        <f aca="false">IF(OR(B232="",B231=""),"",B232/B231-1)</f>
        <v>0.0026285426924193</v>
      </c>
      <c r="D232" s="122" t="n">
        <f aca="false">IF(B232="","",IFERROR(B232/INDEX($B$2:$B$800,MATCH(DATE(YEAR(A232)-1,12,1),$A$2:$A$800,0))-1,""))</f>
        <v>0.0761128783441853</v>
      </c>
      <c r="E232" s="122" t="n">
        <f aca="false">IF(B232="","",IFERROR(B232/INDEX($B$2:$B$800,MATCH(DATE(YEAR(A232)-1,MONTH(A232),1),$A$2:$A$800,0))-1,""))</f>
        <v>0.0814261012065618</v>
      </c>
    </row>
    <row r="233" customFormat="false" ht="15" hidden="false" customHeight="false" outlineLevel="0" collapsed="false">
      <c r="A233" s="121" t="n">
        <v>41579</v>
      </c>
      <c r="B233" s="43" t="n">
        <v>564.201</v>
      </c>
      <c r="C233" s="122" t="n">
        <f aca="false">IF(OR(B233="",B232=""),"",B233/B232-1)</f>
        <v>0.00348604957660514</v>
      </c>
      <c r="D233" s="122" t="n">
        <f aca="false">IF(B233="","",IFERROR(B233/INDEX($B$2:$B$800,MATCH(DATE(YEAR(A233)-1,12,1),$A$2:$A$800,0))-1,""))</f>
        <v>0.0798642611881164</v>
      </c>
      <c r="E233" s="122" t="n">
        <f aca="false">IF(B233="","",IFERROR(B233/INDEX($B$2:$B$800,MATCH(DATE(YEAR(A233)-1,MONTH(A233),1),$A$2:$A$800,0))-1,""))</f>
        <v>0.0815948991446176</v>
      </c>
    </row>
    <row r="234" customFormat="false" ht="15" hidden="false" customHeight="false" outlineLevel="0" collapsed="false">
      <c r="A234" s="121" t="n">
        <v>41609</v>
      </c>
      <c r="B234" s="43" t="n">
        <v>564.765</v>
      </c>
      <c r="C234" s="122" t="n">
        <f aca="false">IF(OR(B234="",B233=""),"",B234/B233-1)</f>
        <v>0.000999643743984757</v>
      </c>
      <c r="D234" s="122" t="n">
        <f aca="false">IF(B234="","",IFERROR(B234/INDEX($B$2:$B$800,MATCH(DATE(YEAR(A234)-1,12,1),$A$2:$A$800,0))-1,""))</f>
        <v>0.080943740741166</v>
      </c>
      <c r="E234" s="122" t="n">
        <f aca="false">IF(B234="","",IFERROR(B234/INDEX($B$2:$B$800,MATCH(DATE(YEAR(A234)-1,MONTH(A234),1),$A$2:$A$800,0))-1,""))</f>
        <v>0.080943740741166</v>
      </c>
    </row>
    <row r="235" customFormat="false" ht="15" hidden="false" customHeight="false" outlineLevel="0" collapsed="false">
      <c r="A235" s="121" t="n">
        <v>41640</v>
      </c>
      <c r="B235" s="43" t="n">
        <v>569.72</v>
      </c>
      <c r="C235" s="122" t="n">
        <f aca="false">IF(OR(B235="",B234=""),"",B235/B234-1)</f>
        <v>0.0087735606845325</v>
      </c>
      <c r="D235" s="122" t="n">
        <f aca="false">IF(B235="","",IFERROR(B235/INDEX($B$2:$B$800,MATCH(DATE(YEAR(A235)-1,12,1),$A$2:$A$800,0))-1,""))</f>
        <v>0.0087735606845325</v>
      </c>
      <c r="E235" s="122" t="n">
        <f aca="false">IF(B235="","",IFERROR(B235/INDEX($B$2:$B$800,MATCH(DATE(YEAR(A235)-1,MONTH(A235),1),$A$2:$A$800,0))-1,""))</f>
        <v>0.0834268327469812</v>
      </c>
    </row>
    <row r="236" customFormat="false" ht="15" hidden="false" customHeight="false" outlineLevel="0" collapsed="false">
      <c r="A236" s="121" t="n">
        <v>41671</v>
      </c>
      <c r="B236" s="43" t="n">
        <v>571.577</v>
      </c>
      <c r="C236" s="122" t="n">
        <f aca="false">IF(OR(B236="",B235=""),"",B236/B235-1)</f>
        <v>0.00325949589271923</v>
      </c>
      <c r="D236" s="122" t="n">
        <f aca="false">IF(B236="","",IFERROR(B236/INDEX($B$2:$B$800,MATCH(DATE(YEAR(A236)-1,12,1),$A$2:$A$800,0))-1,""))</f>
        <v>0.0120616539622675</v>
      </c>
      <c r="E236" s="122" t="n">
        <f aca="false">IF(B236="","",IFERROR(B236/INDEX($B$2:$B$800,MATCH(DATE(YEAR(A236)-1,MONTH(A236),1),$A$2:$A$800,0))-1,""))</f>
        <v>0.0804265928710903</v>
      </c>
    </row>
    <row r="237" customFormat="false" ht="15" hidden="false" customHeight="false" outlineLevel="0" collapsed="false">
      <c r="A237" s="121" t="n">
        <v>41699</v>
      </c>
      <c r="B237" s="43" t="n">
        <v>573.156</v>
      </c>
      <c r="C237" s="122" t="n">
        <f aca="false">IF(OR(B237="",B236=""),"",B237/B236-1)</f>
        <v>0.0027625324322007</v>
      </c>
      <c r="D237" s="122" t="n">
        <f aca="false">IF(B237="","",IFERROR(B237/INDEX($B$2:$B$800,MATCH(DATE(YEAR(A237)-1,12,1),$A$2:$A$800,0))-1,""))</f>
        <v>0.014857507104725</v>
      </c>
      <c r="E237" s="122" t="n">
        <f aca="false">IF(B237="","",IFERROR(B237/INDEX($B$2:$B$800,MATCH(DATE(YEAR(A237)-1,MONTH(A237),1),$A$2:$A$800,0))-1,""))</f>
        <v>0.0779870262991096</v>
      </c>
    </row>
    <row r="238" customFormat="false" ht="15" hidden="false" customHeight="false" outlineLevel="0" collapsed="false">
      <c r="A238" s="121" t="n">
        <v>41730</v>
      </c>
      <c r="B238" s="43" t="n">
        <v>578.224</v>
      </c>
      <c r="C238" s="122" t="n">
        <f aca="false">IF(OR(B238="",B237=""),"",B238/B237-1)</f>
        <v>0.00884226981833924</v>
      </c>
      <c r="D238" s="122" t="n">
        <f aca="false">IF(B238="","",IFERROR(B238/INDEX($B$2:$B$800,MATCH(DATE(YEAR(A238)-1,12,1),$A$2:$A$800,0))-1,""))</f>
        <v>0.023831151009712</v>
      </c>
      <c r="E238" s="122" t="n">
        <f aca="false">IF(B238="","",IFERROR(B238/INDEX($B$2:$B$800,MATCH(DATE(YEAR(A238)-1,MONTH(A238),1),$A$2:$A$800,0))-1,""))</f>
        <v>0.0795797618002954</v>
      </c>
    </row>
    <row r="239" customFormat="false" ht="15" hidden="false" customHeight="false" outlineLevel="0" collapsed="false">
      <c r="A239" s="121" t="n">
        <v>41760</v>
      </c>
      <c r="B239" s="43" t="n">
        <v>590.099</v>
      </c>
      <c r="C239" s="122" t="n">
        <f aca="false">IF(OR(B239="",B238=""),"",B239/B238-1)</f>
        <v>0.0205370237139932</v>
      </c>
      <c r="D239" s="122" t="n">
        <f aca="false">IF(B239="","",IFERROR(B239/INDEX($B$2:$B$800,MATCH(DATE(YEAR(A239)-1,12,1),$A$2:$A$800,0))-1,""))</f>
        <v>0.0448575956371236</v>
      </c>
      <c r="E239" s="122" t="n">
        <f aca="false">IF(B239="","",IFERROR(B239/INDEX($B$2:$B$800,MATCH(DATE(YEAR(A239)-1,MONTH(A239),1),$A$2:$A$800,0))-1,""))</f>
        <v>0.07750134665072</v>
      </c>
    </row>
    <row r="240" customFormat="false" ht="15" hidden="false" customHeight="false" outlineLevel="0" collapsed="false">
      <c r="A240" s="121" t="n">
        <v>41791</v>
      </c>
      <c r="B240" s="43" t="n">
        <v>594.013</v>
      </c>
      <c r="C240" s="122" t="n">
        <f aca="false">IF(OR(B240="",B239=""),"",B240/B239-1)</f>
        <v>0.00663278534618761</v>
      </c>
      <c r="D240" s="122" t="n">
        <f aca="false">IF(B240="","",IFERROR(B240/INDEX($B$2:$B$800,MATCH(DATE(YEAR(A240)-1,12,1),$A$2:$A$800,0))-1,""))</f>
        <v>0.0517879117863183</v>
      </c>
      <c r="E240" s="122" t="n">
        <f aca="false">IF(B240="","",IFERROR(B240/INDEX($B$2:$B$800,MATCH(DATE(YEAR(A240)-1,MONTH(A240),1),$A$2:$A$800,0))-1,""))</f>
        <v>0.0723262833334537</v>
      </c>
    </row>
    <row r="241" customFormat="false" ht="15" hidden="false" customHeight="false" outlineLevel="0" collapsed="false">
      <c r="A241" s="121" t="n">
        <v>41821</v>
      </c>
      <c r="B241" s="43" t="n">
        <v>598.441</v>
      </c>
      <c r="C241" s="122" t="n">
        <f aca="false">IF(OR(B241="",B240=""),"",B241/B240-1)</f>
        <v>0.00745438231149831</v>
      </c>
      <c r="D241" s="122" t="n">
        <f aca="false">IF(B241="","",IFERROR(B241/INDEX($B$2:$B$800,MATCH(DATE(YEAR(A241)-1,12,1),$A$2:$A$800,0))-1,""))</f>
        <v>0.0596283409913858</v>
      </c>
      <c r="E241" s="122" t="n">
        <f aca="false">IF(B241="","",IFERROR(B241/INDEX($B$2:$B$800,MATCH(DATE(YEAR(A241)-1,MONTH(A241),1),$A$2:$A$800,0))-1,""))</f>
        <v>0.0751724757455983</v>
      </c>
    </row>
    <row r="242" customFormat="false" ht="15" hidden="false" customHeight="false" outlineLevel="0" collapsed="false">
      <c r="A242" s="121" t="n">
        <v>41852</v>
      </c>
      <c r="B242" s="43" t="n">
        <v>598.898</v>
      </c>
      <c r="C242" s="122" t="n">
        <f aca="false">IF(OR(B242="",B241=""),"",B242/B241-1)</f>
        <v>0.000763650886219436</v>
      </c>
      <c r="D242" s="122" t="n">
        <f aca="false">IF(B242="","",IFERROR(B242/INDEX($B$2:$B$800,MATCH(DATE(YEAR(A242)-1,12,1),$A$2:$A$800,0))-1,""))</f>
        <v>0.0604375271130471</v>
      </c>
      <c r="E242" s="122" t="n">
        <f aca="false">IF(B242="","",IFERROR(B242/INDEX($B$2:$B$800,MATCH(DATE(YEAR(A242)-1,MONTH(A242),1),$A$2:$A$800,0))-1,""))</f>
        <v>0.0726403266826665</v>
      </c>
    </row>
    <row r="243" customFormat="false" ht="15" hidden="false" customHeight="false" outlineLevel="0" collapsed="false">
      <c r="A243" s="121" t="n">
        <v>41883</v>
      </c>
      <c r="B243" s="43" t="n">
        <v>599.823</v>
      </c>
      <c r="C243" s="122" t="n">
        <f aca="false">IF(OR(B243="",B242=""),"",B243/B242-1)</f>
        <v>0.00154450340458645</v>
      </c>
      <c r="D243" s="122" t="n">
        <f aca="false">IF(B243="","",IFERROR(B243/INDEX($B$2:$B$800,MATCH(DATE(YEAR(A243)-1,12,1),$A$2:$A$800,0))-1,""))</f>
        <v>0.0620753764840243</v>
      </c>
      <c r="E243" s="122" t="n">
        <f aca="false">IF(B243="","",IFERROR(B243/INDEX($B$2:$B$800,MATCH(DATE(YEAR(A243)-1,MONTH(A243),1),$A$2:$A$800,0))-1,""))</f>
        <v>0.0696474649899155</v>
      </c>
    </row>
    <row r="244" customFormat="false" ht="15" hidden="false" customHeight="false" outlineLevel="0" collapsed="false">
      <c r="A244" s="121" t="n">
        <v>41913</v>
      </c>
      <c r="B244" s="43" t="n">
        <v>600.865</v>
      </c>
      <c r="C244" s="122" t="n">
        <f aca="false">IF(OR(B244="",B243=""),"",B244/B243-1)</f>
        <v>0.00173717913451132</v>
      </c>
      <c r="D244" s="122" t="n">
        <f aca="false">IF(B244="","",IFERROR(B244/INDEX($B$2:$B$800,MATCH(DATE(YEAR(A244)-1,12,1),$A$2:$A$800,0))-1,""))</f>
        <v>0.0639203916673308</v>
      </c>
      <c r="E244" s="122" t="n">
        <f aca="false">IF(B244="","",IFERROR(B244/INDEX($B$2:$B$800,MATCH(DATE(YEAR(A244)-1,MONTH(A244),1),$A$2:$A$800,0))-1,""))</f>
        <v>0.0686965198197926</v>
      </c>
    </row>
    <row r="245" customFormat="false" ht="15" hidden="false" customHeight="false" outlineLevel="0" collapsed="false">
      <c r="A245" s="121" t="n">
        <v>41944</v>
      </c>
      <c r="B245" s="43" t="n">
        <v>603.524</v>
      </c>
      <c r="C245" s="122" t="n">
        <f aca="false">IF(OR(B245="",B244=""),"",B245/B244-1)</f>
        <v>0.00442528687808408</v>
      </c>
      <c r="D245" s="122" t="n">
        <f aca="false">IF(B245="","",IFERROR(B245/INDEX($B$2:$B$800,MATCH(DATE(YEAR(A245)-1,12,1),$A$2:$A$800,0))-1,""))</f>
        <v>0.0686285446159023</v>
      </c>
      <c r="E245" s="122" t="n">
        <f aca="false">IF(B245="","",IFERROR(B245/INDEX($B$2:$B$800,MATCH(DATE(YEAR(A245)-1,MONTH(A245),1),$A$2:$A$800,0))-1,""))</f>
        <v>0.069696792455171</v>
      </c>
    </row>
    <row r="246" customFormat="false" ht="15" hidden="false" customHeight="false" outlineLevel="0" collapsed="false">
      <c r="A246" s="121" t="n">
        <v>41974</v>
      </c>
      <c r="B246" s="43" t="n">
        <v>604.026</v>
      </c>
      <c r="C246" s="122" t="n">
        <f aca="false">IF(OR(B246="",B245=""),"",B246/B245-1)</f>
        <v>0.000831781337610416</v>
      </c>
      <c r="D246" s="122" t="n">
        <f aca="false">IF(B246="","",IFERROR(B246/INDEX($B$2:$B$800,MATCH(DATE(YEAR(A246)-1,12,1),$A$2:$A$800,0))-1,""))</f>
        <v>0.0695174098961515</v>
      </c>
      <c r="E246" s="122" t="n">
        <f aca="false">IF(B246="","",IFERROR(B246/INDEX($B$2:$B$800,MATCH(DATE(YEAR(A246)-1,MONTH(A246),1),$A$2:$A$800,0))-1,""))</f>
        <v>0.0695174098961515</v>
      </c>
    </row>
    <row r="247" customFormat="false" ht="15" hidden="false" customHeight="false" outlineLevel="0" collapsed="false">
      <c r="A247" s="121" t="n">
        <v>42005</v>
      </c>
      <c r="B247" s="43" t="n">
        <v>609.568</v>
      </c>
      <c r="C247" s="122" t="n">
        <f aca="false">IF(OR(B247="",B246=""),"",B247/B246-1)</f>
        <v>0.00917510173403136</v>
      </c>
      <c r="D247" s="122" t="n">
        <f aca="false">IF(B247="","",IFERROR(B247/INDEX($B$2:$B$800,MATCH(DATE(YEAR(A247)-1,12,1),$A$2:$A$800,0))-1,""))</f>
        <v>0.00917510173403136</v>
      </c>
      <c r="E247" s="122" t="n">
        <f aca="false">IF(B247="","",IFERROR(B247/INDEX($B$2:$B$800,MATCH(DATE(YEAR(A247)-1,MONTH(A247),1),$A$2:$A$800,0))-1,""))</f>
        <v>0.069943129958576</v>
      </c>
    </row>
    <row r="248" customFormat="false" ht="15" hidden="false" customHeight="false" outlineLevel="0" collapsed="false">
      <c r="A248" s="121" t="n">
        <v>42036</v>
      </c>
      <c r="B248" s="43" t="n">
        <v>611.447</v>
      </c>
      <c r="C248" s="122" t="n">
        <f aca="false">IF(OR(B248="",B247=""),"",B248/B247-1)</f>
        <v>0.00308251089296019</v>
      </c>
      <c r="D248" s="122" t="n">
        <f aca="false">IF(B248="","",IFERROR(B248/INDEX($B$2:$B$800,MATCH(DATE(YEAR(A248)-1,12,1),$A$2:$A$800,0))-1,""))</f>
        <v>0.0122858949780309</v>
      </c>
      <c r="E248" s="122" t="n">
        <f aca="false">IF(B248="","",IFERROR(B248/INDEX($B$2:$B$800,MATCH(DATE(YEAR(A248)-1,MONTH(A248),1),$A$2:$A$800,0))-1,""))</f>
        <v>0.0697543812994574</v>
      </c>
    </row>
    <row r="249" customFormat="false" ht="15" hidden="false" customHeight="false" outlineLevel="0" collapsed="false">
      <c r="A249" s="121" t="n">
        <v>42064</v>
      </c>
      <c r="B249" s="43" t="n">
        <v>615.248</v>
      </c>
      <c r="C249" s="122" t="n">
        <f aca="false">IF(OR(B249="",B248=""),"",B249/B248-1)</f>
        <v>0.006216401421546</v>
      </c>
      <c r="D249" s="122" t="n">
        <f aca="false">IF(B249="","",IFERROR(B249/INDEX($B$2:$B$800,MATCH(DATE(YEAR(A249)-1,12,1),$A$2:$A$800,0))-1,""))</f>
        <v>0.0185786704545832</v>
      </c>
      <c r="E249" s="122" t="n">
        <f aca="false">IF(B249="","",IFERROR(B249/INDEX($B$2:$B$800,MATCH(DATE(YEAR(A249)-1,MONTH(A249),1),$A$2:$A$800,0))-1,""))</f>
        <v>0.0734389939213758</v>
      </c>
    </row>
    <row r="250" customFormat="false" ht="15" hidden="false" customHeight="false" outlineLevel="0" collapsed="false">
      <c r="A250" s="121" t="n">
        <v>42095</v>
      </c>
      <c r="B250" s="43" t="n">
        <v>618.06</v>
      </c>
      <c r="C250" s="122" t="n">
        <f aca="false">IF(OR(B250="",B249=""),"",B250/B249-1)</f>
        <v>0.00457051465425318</v>
      </c>
      <c r="D250" s="122" t="n">
        <f aca="false">IF(B250="","",IFERROR(B250/INDEX($B$2:$B$800,MATCH(DATE(YEAR(A250)-1,12,1),$A$2:$A$800,0))-1,""))</f>
        <v>0.0232340991944056</v>
      </c>
      <c r="E250" s="122" t="n">
        <f aca="false">IF(B250="","",IFERROR(B250/INDEX($B$2:$B$800,MATCH(DATE(YEAR(A250)-1,MONTH(A250),1),$A$2:$A$800,0))-1,""))</f>
        <v>0.0688937159301584</v>
      </c>
    </row>
    <row r="251" customFormat="false" ht="15" hidden="false" customHeight="false" outlineLevel="0" collapsed="false">
      <c r="A251" s="121" t="n">
        <v>42125</v>
      </c>
      <c r="B251" s="43" t="n">
        <v>623.951</v>
      </c>
      <c r="C251" s="122" t="n">
        <f aca="false">IF(OR(B251="",B250=""),"",B251/B250-1)</f>
        <v>0.00953143707730653</v>
      </c>
      <c r="D251" s="122" t="n">
        <f aca="false">IF(B251="","",IFERROR(B251/INDEX($B$2:$B$800,MATCH(DATE(YEAR(A251)-1,12,1),$A$2:$A$800,0))-1,""))</f>
        <v>0.0329869906262315</v>
      </c>
      <c r="E251" s="122" t="n">
        <f aca="false">IF(B251="","",IFERROR(B251/INDEX($B$2:$B$800,MATCH(DATE(YEAR(A251)-1,MONTH(A251),1),$A$2:$A$800,0))-1,""))</f>
        <v>0.0573666452578296</v>
      </c>
    </row>
    <row r="252" customFormat="false" ht="15" hidden="false" customHeight="false" outlineLevel="0" collapsed="false">
      <c r="A252" s="121" t="n">
        <v>42156</v>
      </c>
      <c r="B252" s="43" t="n">
        <v>635.403</v>
      </c>
      <c r="C252" s="122" t="n">
        <f aca="false">IF(OR(B252="",B251=""),"",B252/B251-1)</f>
        <v>0.0183540053626006</v>
      </c>
      <c r="D252" s="122" t="n">
        <f aca="false">IF(B252="","",IFERROR(B252/INDEX($B$2:$B$800,MATCH(DATE(YEAR(A252)-1,12,1),$A$2:$A$800,0))-1,""))</f>
        <v>0.051946439391682</v>
      </c>
      <c r="E252" s="122" t="n">
        <f aca="false">IF(B252="","",IFERROR(B252/INDEX($B$2:$B$800,MATCH(DATE(YEAR(A252)-1,MONTH(A252),1),$A$2:$A$800,0))-1,""))</f>
        <v>0.0696786097273965</v>
      </c>
    </row>
    <row r="253" customFormat="false" ht="15" hidden="false" customHeight="false" outlineLevel="0" collapsed="false">
      <c r="A253" s="121" t="n">
        <v>42186</v>
      </c>
      <c r="B253" s="43" t="n">
        <v>638.88</v>
      </c>
      <c r="C253" s="122" t="n">
        <f aca="false">IF(OR(B253="",B252=""),"",B253/B252-1)</f>
        <v>0.00547211769538381</v>
      </c>
      <c r="D253" s="122" t="n">
        <f aca="false">IF(B253="","",IFERROR(B253/INDEX($B$2:$B$800,MATCH(DATE(YEAR(A253)-1,12,1),$A$2:$A$800,0))-1,""))</f>
        <v>0.0577028141172731</v>
      </c>
      <c r="E253" s="122" t="n">
        <f aca="false">IF(B253="","",IFERROR(B253/INDEX($B$2:$B$800,MATCH(DATE(YEAR(A253)-1,MONTH(A253),1),$A$2:$A$800,0))-1,""))</f>
        <v>0.0675739128836426</v>
      </c>
    </row>
    <row r="254" customFormat="false" ht="15" hidden="false" customHeight="false" outlineLevel="0" collapsed="false">
      <c r="A254" s="121" t="n">
        <v>42217</v>
      </c>
      <c r="B254" s="43" t="n">
        <v>642.644</v>
      </c>
      <c r="C254" s="122" t="n">
        <f aca="false">IF(OR(B254="",B253=""),"",B254/B253-1)</f>
        <v>0.00589156023040327</v>
      </c>
      <c r="D254" s="122" t="n">
        <f aca="false">IF(B254="","",IFERROR(B254/INDEX($B$2:$B$800,MATCH(DATE(YEAR(A254)-1,12,1),$A$2:$A$800,0))-1,""))</f>
        <v>0.063934333952512</v>
      </c>
      <c r="E254" s="122" t="n">
        <f aca="false">IF(B254="","",IFERROR(B254/INDEX($B$2:$B$800,MATCH(DATE(YEAR(A254)-1,MONTH(A254),1),$A$2:$A$800,0))-1,""))</f>
        <v>0.0730441577697705</v>
      </c>
    </row>
    <row r="255" customFormat="false" ht="15" hidden="false" customHeight="false" outlineLevel="0" collapsed="false">
      <c r="A255" s="121" t="n">
        <v>42248</v>
      </c>
      <c r="B255" s="43" t="n">
        <v>644.046</v>
      </c>
      <c r="C255" s="122" t="n">
        <f aca="false">IF(OR(B255="",B254=""),"",B255/B254-1)</f>
        <v>0.00218161221453883</v>
      </c>
      <c r="D255" s="122" t="n">
        <f aca="false">IF(B255="","",IFERROR(B255/INDEX($B$2:$B$800,MATCH(DATE(YEAR(A255)-1,12,1),$A$2:$A$800,0))-1,""))</f>
        <v>0.0662554260909301</v>
      </c>
      <c r="E255" s="122" t="n">
        <f aca="false">IF(B255="","",IFERROR(B255/INDEX($B$2:$B$800,MATCH(DATE(YEAR(A255)-1,MONTH(A255),1),$A$2:$A$800,0))-1,""))</f>
        <v>0.0737267493910705</v>
      </c>
    </row>
    <row r="256" customFormat="false" ht="15" hidden="false" customHeight="false" outlineLevel="0" collapsed="false">
      <c r="A256" s="121" t="n">
        <v>42278</v>
      </c>
      <c r="B256" s="43" t="n">
        <v>646.355</v>
      </c>
      <c r="C256" s="122" t="n">
        <f aca="false">IF(OR(B256="",B255=""),"",B256/B255-1)</f>
        <v>0.0035851476447335</v>
      </c>
      <c r="D256" s="122" t="n">
        <f aca="false">IF(B256="","",IFERROR(B256/INDEX($B$2:$B$800,MATCH(DATE(YEAR(A256)-1,12,1),$A$2:$A$800,0))-1,""))</f>
        <v>0.0700781092204641</v>
      </c>
      <c r="E256" s="122" t="n">
        <f aca="false">IF(B256="","",IFERROR(B256/INDEX($B$2:$B$800,MATCH(DATE(YEAR(A256)-1,MONTH(A256),1),$A$2:$A$800,0))-1,""))</f>
        <v>0.0757075216562788</v>
      </c>
    </row>
    <row r="257" customFormat="false" ht="15" hidden="false" customHeight="false" outlineLevel="0" collapsed="false">
      <c r="A257" s="121" t="n">
        <v>42309</v>
      </c>
      <c r="B257" s="43" t="n">
        <v>648.542</v>
      </c>
      <c r="C257" s="122" t="n">
        <f aca="false">IF(OR(B257="",B256=""),"",B257/B256-1)</f>
        <v>0.00338358951350259</v>
      </c>
      <c r="D257" s="122" t="n">
        <f aca="false">IF(B257="","",IFERROR(B257/INDEX($B$2:$B$800,MATCH(DATE(YEAR(A257)-1,12,1),$A$2:$A$800,0))-1,""))</f>
        <v>0.0736988142894512</v>
      </c>
      <c r="E257" s="122" t="n">
        <f aca="false">IF(B257="","",IFERROR(B257/INDEX($B$2:$B$800,MATCH(DATE(YEAR(A257)-1,MONTH(A257),1),$A$2:$A$800,0))-1,""))</f>
        <v>0.0745918969253916</v>
      </c>
    </row>
    <row r="258" customFormat="false" ht="15" hidden="false" customHeight="false" outlineLevel="0" collapsed="false">
      <c r="A258" s="121" t="n">
        <v>42339</v>
      </c>
      <c r="B258" s="43" t="n">
        <v>649.216</v>
      </c>
      <c r="C258" s="122" t="n">
        <f aca="false">IF(OR(B258="",B257=""),"",B258/B257-1)</f>
        <v>0.00103925420404538</v>
      </c>
      <c r="D258" s="122" t="n">
        <f aca="false">IF(B258="","",IFERROR(B258/INDEX($B$2:$B$800,MATCH(DATE(YEAR(A258)-1,12,1),$A$2:$A$800,0))-1,""))</f>
        <v>0.07481466029608</v>
      </c>
      <c r="E258" s="122" t="n">
        <f aca="false">IF(B258="","",IFERROR(B258/INDEX($B$2:$B$800,MATCH(DATE(YEAR(A258)-1,MONTH(A258),1),$A$2:$A$800,0))-1,""))</f>
        <v>0.07481466029608</v>
      </c>
    </row>
    <row r="259" customFormat="false" ht="15" hidden="false" customHeight="false" outlineLevel="0" collapsed="false">
      <c r="A259" s="121" t="n">
        <v>42370</v>
      </c>
      <c r="B259" s="43" t="n">
        <v>651.759</v>
      </c>
      <c r="C259" s="122" t="n">
        <f aca="false">IF(OR(B259="",B258=""),"",B259/B258-1)</f>
        <v>0.00391703223580442</v>
      </c>
      <c r="D259" s="122" t="n">
        <f aca="false">IF(B259="","",IFERROR(B259/INDEX($B$2:$B$800,MATCH(DATE(YEAR(A259)-1,12,1),$A$2:$A$800,0))-1,""))</f>
        <v>0.00391703223580442</v>
      </c>
      <c r="E259" s="122" t="n">
        <f aca="false">IF(B259="","",IFERROR(B259/INDEX($B$2:$B$800,MATCH(DATE(YEAR(A259)-1,MONTH(A259),1),$A$2:$A$800,0))-1,""))</f>
        <v>0.0692145913171296</v>
      </c>
    </row>
    <row r="260" customFormat="false" ht="15" hidden="false" customHeight="false" outlineLevel="0" collapsed="false">
      <c r="A260" s="121" t="n">
        <v>42401</v>
      </c>
      <c r="B260" s="43" t="n">
        <v>655.263</v>
      </c>
      <c r="C260" s="122" t="n">
        <f aca="false">IF(OR(B260="",B259=""),"",B260/B259-1)</f>
        <v>0.00537622035138763</v>
      </c>
      <c r="D260" s="122" t="n">
        <f aca="false">IF(B260="","",IFERROR(B260/INDEX($B$2:$B$800,MATCH(DATE(YEAR(A260)-1,12,1),$A$2:$A$800,0))-1,""))</f>
        <v>0.00931431141561512</v>
      </c>
      <c r="E260" s="122" t="n">
        <f aca="false">IF(B260="","",IFERROR(B260/INDEX($B$2:$B$800,MATCH(DATE(YEAR(A260)-1,MONTH(A260),1),$A$2:$A$800,0))-1,""))</f>
        <v>0.071659522411591</v>
      </c>
    </row>
    <row r="261" customFormat="false" ht="15" hidden="false" customHeight="false" outlineLevel="0" collapsed="false">
      <c r="A261" s="121" t="n">
        <v>42430</v>
      </c>
      <c r="B261" s="43" t="n">
        <v>659.446</v>
      </c>
      <c r="C261" s="122" t="n">
        <f aca="false">IF(OR(B261="",B260=""),"",B261/B260-1)</f>
        <v>0.00638369631735647</v>
      </c>
      <c r="D261" s="122" t="n">
        <f aca="false">IF(B261="","",IFERROR(B261/INDEX($B$2:$B$800,MATCH(DATE(YEAR(A261)-1,12,1),$A$2:$A$800,0))-1,""))</f>
        <v>0.0157574674684542</v>
      </c>
      <c r="E261" s="122" t="n">
        <f aca="false">IF(B261="","",IFERROR(B261/INDEX($B$2:$B$800,MATCH(DATE(YEAR(A261)-1,MONTH(A261),1),$A$2:$A$800,0))-1,""))</f>
        <v>0.071837697968949</v>
      </c>
    </row>
    <row r="262" customFormat="false" ht="15" hidden="false" customHeight="false" outlineLevel="0" collapsed="false">
      <c r="A262" s="121" t="n">
        <v>42461</v>
      </c>
      <c r="B262" s="43" t="n">
        <v>663.057</v>
      </c>
      <c r="C262" s="122" t="n">
        <f aca="false">IF(OR(B262="",B261=""),"",B262/B261-1)</f>
        <v>0.00547580848166485</v>
      </c>
      <c r="D262" s="122" t="n">
        <f aca="false">IF(B262="","",IFERROR(B262/INDEX($B$2:$B$800,MATCH(DATE(YEAR(A262)-1,12,1),$A$2:$A$800,0))-1,""))</f>
        <v>0.0213195608241326</v>
      </c>
      <c r="E262" s="122" t="n">
        <f aca="false">IF(B262="","",IFERROR(B262/INDEX($B$2:$B$800,MATCH(DATE(YEAR(A262)-1,MONTH(A262),1),$A$2:$A$800,0))-1,""))</f>
        <v>0.072803611299874</v>
      </c>
    </row>
    <row r="263" customFormat="false" ht="15" hidden="false" customHeight="false" outlineLevel="0" collapsed="false">
      <c r="A263" s="121" t="n">
        <v>42491</v>
      </c>
      <c r="B263" s="43" t="n">
        <v>663.61</v>
      </c>
      <c r="C263" s="122" t="n">
        <f aca="false">IF(OR(B263="",B262=""),"",B263/B262-1)</f>
        <v>0.00083401577843234</v>
      </c>
      <c r="D263" s="122" t="n">
        <f aca="false">IF(B263="","",IFERROR(B263/INDEX($B$2:$B$800,MATCH(DATE(YEAR(A263)-1,12,1),$A$2:$A$800,0))-1,""))</f>
        <v>0.0221713574526814</v>
      </c>
      <c r="E263" s="122" t="n">
        <f aca="false">IF(B263="","",IFERROR(B263/INDEX($B$2:$B$800,MATCH(DATE(YEAR(A263)-1,MONTH(A263),1),$A$2:$A$800,0))-1,""))</f>
        <v>0.0635610809182132</v>
      </c>
    </row>
    <row r="264" customFormat="false" ht="15" hidden="false" customHeight="false" outlineLevel="0" collapsed="false">
      <c r="A264" s="121" t="n">
        <v>42522</v>
      </c>
      <c r="B264" s="43" t="n">
        <v>676.42</v>
      </c>
      <c r="C264" s="122" t="n">
        <f aca="false">IF(OR(B264="",B263=""),"",B264/B263-1)</f>
        <v>0.0193035065776586</v>
      </c>
      <c r="D264" s="122" t="n">
        <f aca="false">IF(B264="","",IFERROR(B264/INDEX($B$2:$B$800,MATCH(DATE(YEAR(A264)-1,12,1),$A$2:$A$800,0))-1,""))</f>
        <v>0.0419028489747633</v>
      </c>
      <c r="E264" s="122" t="n">
        <f aca="false">IF(B264="","",IFERROR(B264/INDEX($B$2:$B$800,MATCH(DATE(YEAR(A264)-1,MONTH(A264),1),$A$2:$A$800,0))-1,""))</f>
        <v>0.0645527326751683</v>
      </c>
    </row>
    <row r="265" customFormat="false" ht="15" hidden="false" customHeight="false" outlineLevel="0" collapsed="false">
      <c r="A265" s="121" t="n">
        <v>42552</v>
      </c>
      <c r="B265" s="43" t="n">
        <v>679.751</v>
      </c>
      <c r="C265" s="122" t="n">
        <f aca="false">IF(OR(B265="",B264=""),"",B265/B264-1)</f>
        <v>0.00492445522012952</v>
      </c>
      <c r="D265" s="122" t="n">
        <f aca="false">IF(B265="","",IFERROR(B265/INDEX($B$2:$B$800,MATCH(DATE(YEAR(A265)-1,12,1),$A$2:$A$800,0))-1,""))</f>
        <v>0.0470336528982649</v>
      </c>
      <c r="E265" s="122" t="n">
        <f aca="false">IF(B265="","",IFERROR(B265/INDEX($B$2:$B$800,MATCH(DATE(YEAR(A265)-1,MONTH(A265),1),$A$2:$A$800,0))-1,""))</f>
        <v>0.0639728900576009</v>
      </c>
    </row>
    <row r="266" customFormat="false" ht="15" hidden="false" customHeight="false" outlineLevel="0" collapsed="false">
      <c r="A266" s="121" t="n">
        <v>42583</v>
      </c>
      <c r="B266" s="43" t="n">
        <v>681.756</v>
      </c>
      <c r="C266" s="122" t="n">
        <f aca="false">IF(OR(B266="",B265=""),"",B266/B265-1)</f>
        <v>0.00294960948935707</v>
      </c>
      <c r="D266" s="122" t="n">
        <f aca="false">IF(B266="","",IFERROR(B266/INDEX($B$2:$B$800,MATCH(DATE(YEAR(A266)-1,12,1),$A$2:$A$800,0))-1,""))</f>
        <v>0.05012199329653</v>
      </c>
      <c r="E266" s="122" t="n">
        <f aca="false">IF(B266="","",IFERROR(B266/INDEX($B$2:$B$800,MATCH(DATE(YEAR(A266)-1,MONTH(A266),1),$A$2:$A$800,0))-1,""))</f>
        <v>0.0608610677140065</v>
      </c>
    </row>
    <row r="267" customFormat="false" ht="15" hidden="false" customHeight="false" outlineLevel="0" collapsed="false">
      <c r="A267" s="121" t="n">
        <v>42614</v>
      </c>
      <c r="B267" s="43" t="n">
        <v>684.025</v>
      </c>
      <c r="C267" s="122" t="n">
        <f aca="false">IF(OR(B267="",B266=""),"",B267/B266-1)</f>
        <v>0.00332817019578857</v>
      </c>
      <c r="D267" s="122" t="n">
        <f aca="false">IF(B267="","",IFERROR(B267/INDEX($B$2:$B$800,MATCH(DATE(YEAR(A267)-1,12,1),$A$2:$A$800,0))-1,""))</f>
        <v>0.0536169780165614</v>
      </c>
      <c r="E267" s="122" t="n">
        <f aca="false">IF(B267="","",IFERROR(B267/INDEX($B$2:$B$800,MATCH(DATE(YEAR(A267)-1,MONTH(A267),1),$A$2:$A$800,0))-1,""))</f>
        <v>0.0620747586352526</v>
      </c>
    </row>
    <row r="268" customFormat="false" ht="15" hidden="false" customHeight="false" outlineLevel="0" collapsed="false">
      <c r="A268" s="121" t="n">
        <v>42644</v>
      </c>
      <c r="B268" s="43" t="n">
        <v>685.489</v>
      </c>
      <c r="C268" s="122" t="n">
        <f aca="false">IF(OR(B268="",B267=""),"",B268/B267-1)</f>
        <v>0.00214027265085348</v>
      </c>
      <c r="D268" s="122" t="n">
        <f aca="false">IF(B268="","",IFERROR(B268/INDEX($B$2:$B$800,MATCH(DATE(YEAR(A268)-1,12,1),$A$2:$A$800,0))-1,""))</f>
        <v>0.0558720056190851</v>
      </c>
      <c r="E268" s="122" t="n">
        <f aca="false">IF(B268="","",IFERROR(B268/INDEX($B$2:$B$800,MATCH(DATE(YEAR(A268)-1,MONTH(A268),1),$A$2:$A$800,0))-1,""))</f>
        <v>0.0605456753641576</v>
      </c>
    </row>
    <row r="269" customFormat="false" ht="15" hidden="false" customHeight="false" outlineLevel="0" collapsed="false">
      <c r="A269" s="121" t="n">
        <v>42675</v>
      </c>
      <c r="B269" s="43" t="n">
        <v>686.607</v>
      </c>
      <c r="C269" s="122" t="n">
        <f aca="false">IF(OR(B269="",B268=""),"",B269/B268-1)</f>
        <v>0.00163095250251999</v>
      </c>
      <c r="D269" s="122" t="n">
        <f aca="false">IF(B269="","",IFERROR(B269/INDEX($B$2:$B$800,MATCH(DATE(YEAR(A269)-1,12,1),$A$2:$A$800,0))-1,""))</f>
        <v>0.0575940827089905</v>
      </c>
      <c r="E269" s="122" t="n">
        <f aca="false">IF(B269="","",IFERROR(B269/INDEX($B$2:$B$800,MATCH(DATE(YEAR(A269)-1,MONTH(A269),1),$A$2:$A$800,0))-1,""))</f>
        <v>0.0586931918056193</v>
      </c>
    </row>
    <row r="270" customFormat="false" ht="15" hidden="false" customHeight="false" outlineLevel="0" collapsed="false">
      <c r="A270" s="121" t="n">
        <v>42705</v>
      </c>
      <c r="B270" s="43" t="n">
        <v>688.985</v>
      </c>
      <c r="C270" s="122" t="n">
        <f aca="false">IF(OR(B270="",B269=""),"",B270/B269-1)</f>
        <v>0.00346340774271159</v>
      </c>
      <c r="D270" s="122" t="n">
        <f aca="false">IF(B270="","",IFERROR(B270/INDEX($B$2:$B$800,MATCH(DATE(YEAR(A270)-1,12,1),$A$2:$A$800,0))-1,""))</f>
        <v>0.0612569622436909</v>
      </c>
      <c r="E270" s="122" t="n">
        <f aca="false">IF(B270="","",IFERROR(B270/INDEX($B$2:$B$800,MATCH(DATE(YEAR(A270)-1,MONTH(A270),1),$A$2:$A$800,0))-1,""))</f>
        <v>0.0612569622436909</v>
      </c>
    </row>
    <row r="271" customFormat="false" ht="15" hidden="false" customHeight="false" outlineLevel="0" collapsed="false">
      <c r="A271" s="121" t="n">
        <v>42736</v>
      </c>
      <c r="B271" s="43" t="n">
        <v>691.792</v>
      </c>
      <c r="C271" s="122" t="n">
        <f aca="false">IF(OR(B271="",B270=""),"",B271/B270-1)</f>
        <v>0.0040741090154357</v>
      </c>
      <c r="D271" s="122" t="n">
        <f aca="false">IF(B271="","",IFERROR(B271/INDEX($B$2:$B$800,MATCH(DATE(YEAR(A271)-1,12,1),$A$2:$A$800,0))-1,""))</f>
        <v>0.0040741090154357</v>
      </c>
      <c r="E271" s="122" t="n">
        <f aca="false">IF(B271="","",IFERROR(B271/INDEX($B$2:$B$800,MATCH(DATE(YEAR(A271)-1,MONTH(A271),1),$A$2:$A$800,0))-1,""))</f>
        <v>0.0614230106527107</v>
      </c>
    </row>
    <row r="272" customFormat="false" ht="15" hidden="false" customHeight="false" outlineLevel="0" collapsed="false">
      <c r="A272" s="121" t="n">
        <v>42767</v>
      </c>
      <c r="B272" s="43" t="n">
        <v>696.314</v>
      </c>
      <c r="C272" s="122" t="n">
        <f aca="false">IF(OR(B272="",B271=""),"",B272/B271-1)</f>
        <v>0.00653664685338939</v>
      </c>
      <c r="D272" s="122" t="n">
        <f aca="false">IF(B272="","",IFERROR(B272/INDEX($B$2:$B$800,MATCH(DATE(YEAR(A272)-1,12,1),$A$2:$A$800,0))-1,""))</f>
        <v>0.0106373868807013</v>
      </c>
      <c r="E272" s="122" t="n">
        <f aca="false">IF(B272="","",IFERROR(B272/INDEX($B$2:$B$800,MATCH(DATE(YEAR(A272)-1,MONTH(A272),1),$A$2:$A$800,0))-1,""))</f>
        <v>0.0626481275457334</v>
      </c>
    </row>
    <row r="273" customFormat="false" ht="15" hidden="false" customHeight="false" outlineLevel="0" collapsed="false">
      <c r="A273" s="121" t="n">
        <v>42795</v>
      </c>
      <c r="B273" s="43" t="n">
        <v>697.41</v>
      </c>
      <c r="C273" s="122" t="n">
        <f aca="false">IF(OR(B273="",B272=""),"",B273/B272-1)</f>
        <v>0.00157400253333995</v>
      </c>
      <c r="D273" s="122" t="n">
        <f aca="false">IF(B273="","",IFERROR(B273/INDEX($B$2:$B$800,MATCH(DATE(YEAR(A273)-1,12,1),$A$2:$A$800,0))-1,""))</f>
        <v>0.0122281326879394</v>
      </c>
      <c r="E273" s="122" t="n">
        <f aca="false">IF(B273="","",IFERROR(B273/INDEX($B$2:$B$800,MATCH(DATE(YEAR(A273)-1,MONTH(A273),1),$A$2:$A$800,0))-1,""))</f>
        <v>0.0575695356405224</v>
      </c>
    </row>
    <row r="274" customFormat="false" ht="15" hidden="false" customHeight="false" outlineLevel="0" collapsed="false">
      <c r="A274" s="121" t="n">
        <v>42826</v>
      </c>
      <c r="B274" s="43" t="n">
        <v>697.244</v>
      </c>
      <c r="C274" s="122" t="n">
        <f aca="false">IF(OR(B274="",B273=""),"",B274/B273-1)</f>
        <v>-0.000238023544256505</v>
      </c>
      <c r="D274" s="122" t="n">
        <f aca="false">IF(B274="","",IFERROR(B274/INDEX($B$2:$B$800,MATCH(DATE(YEAR(A274)-1,12,1),$A$2:$A$800,0))-1,""))</f>
        <v>0.0119871985602009</v>
      </c>
      <c r="E274" s="122" t="n">
        <f aca="false">IF(B274="","",IFERROR(B274/INDEX($B$2:$B$800,MATCH(DATE(YEAR(A274)-1,MONTH(A274),1),$A$2:$A$800,0))-1,""))</f>
        <v>0.0515596698323071</v>
      </c>
    </row>
    <row r="275" customFormat="false" ht="15" hidden="false" customHeight="false" outlineLevel="0" collapsed="false">
      <c r="A275" s="121" t="n">
        <v>42856</v>
      </c>
      <c r="B275" s="43" t="n">
        <v>701.664</v>
      </c>
      <c r="C275" s="122" t="n">
        <f aca="false">IF(OR(B275="",B274=""),"",B275/B274-1)</f>
        <v>0.00633924422440346</v>
      </c>
      <c r="D275" s="122" t="n">
        <f aca="false">IF(B275="","",IFERROR(B275/INDEX($B$2:$B$800,MATCH(DATE(YEAR(A275)-1,12,1),$A$2:$A$800,0))-1,""))</f>
        <v>0.0184024325638439</v>
      </c>
      <c r="E275" s="122" t="n">
        <f aca="false">IF(B275="","",IFERROR(B275/INDEX($B$2:$B$800,MATCH(DATE(YEAR(A275)-1,MONTH(A275),1),$A$2:$A$800,0))-1,""))</f>
        <v>0.0573439218818281</v>
      </c>
    </row>
    <row r="276" customFormat="false" ht="15" hidden="false" customHeight="false" outlineLevel="0" collapsed="false">
      <c r="A276" s="121" t="n">
        <v>42887</v>
      </c>
      <c r="B276" s="43" t="n">
        <v>708.197</v>
      </c>
      <c r="C276" s="122" t="n">
        <f aca="false">IF(OR(B276="",B275=""),"",B276/B275-1)</f>
        <v>0.00931072422127977</v>
      </c>
      <c r="D276" s="122" t="n">
        <f aca="false">IF(B276="","",IFERROR(B276/INDEX($B$2:$B$800,MATCH(DATE(YEAR(A276)-1,12,1),$A$2:$A$800,0))-1,""))</f>
        <v>0.0278844967597263</v>
      </c>
      <c r="E276" s="122" t="n">
        <f aca="false">IF(B276="","",IFERROR(B276/INDEX($B$2:$B$800,MATCH(DATE(YEAR(A276)-1,MONTH(A276),1),$A$2:$A$800,0))-1,""))</f>
        <v>0.0469782088051802</v>
      </c>
    </row>
    <row r="277" customFormat="false" ht="15" hidden="false" customHeight="false" outlineLevel="0" collapsed="false">
      <c r="A277" s="121" t="n">
        <v>42917</v>
      </c>
      <c r="B277" s="43" t="n">
        <v>710.355</v>
      </c>
      <c r="C277" s="122" t="n">
        <f aca="false">IF(OR(B277="",B276=""),"",B277/B276-1)</f>
        <v>0.00304717472680616</v>
      </c>
      <c r="D277" s="122" t="n">
        <f aca="false">IF(B277="","",IFERROR(B277/INDEX($B$2:$B$800,MATCH(DATE(YEAR(A277)-1,12,1),$A$2:$A$800,0))-1,""))</f>
        <v>0.0310166404203285</v>
      </c>
      <c r="E277" s="122" t="n">
        <f aca="false">IF(B277="","",IFERROR(B277/INDEX($B$2:$B$800,MATCH(DATE(YEAR(A277)-1,MONTH(A277),1),$A$2:$A$800,0))-1,""))</f>
        <v>0.0450223684849305</v>
      </c>
    </row>
    <row r="278" customFormat="false" ht="15" hidden="false" customHeight="false" outlineLevel="0" collapsed="false">
      <c r="A278" s="121" t="n">
        <v>42948</v>
      </c>
      <c r="B278" s="43" t="n">
        <v>712.884</v>
      </c>
      <c r="C278" s="122" t="n">
        <f aca="false">IF(OR(B278="",B277=""),"",B278/B277-1)</f>
        <v>0.00356019173511846</v>
      </c>
      <c r="D278" s="122" t="n">
        <f aca="false">IF(B278="","",IFERROR(B278/INDEX($B$2:$B$800,MATCH(DATE(YEAR(A278)-1,12,1),$A$2:$A$800,0))-1,""))</f>
        <v>0.0346872573423225</v>
      </c>
      <c r="E278" s="122" t="n">
        <f aca="false">IF(B278="","",IFERROR(B278/INDEX($B$2:$B$800,MATCH(DATE(YEAR(A278)-1,MONTH(A278),1),$A$2:$A$800,0))-1,""))</f>
        <v>0.0456585640610425</v>
      </c>
    </row>
    <row r="279" customFormat="false" ht="15" hidden="false" customHeight="false" outlineLevel="0" collapsed="false">
      <c r="A279" s="121" t="n">
        <v>42979</v>
      </c>
      <c r="B279" s="43" t="n">
        <v>713.33</v>
      </c>
      <c r="C279" s="122" t="n">
        <f aca="false">IF(OR(B279="",B278=""),"",B279/B278-1)</f>
        <v>0.000625627731861034</v>
      </c>
      <c r="D279" s="122" t="n">
        <f aca="false">IF(B279="","",IFERROR(B279/INDEX($B$2:$B$800,MATCH(DATE(YEAR(A279)-1,12,1),$A$2:$A$800,0))-1,""))</f>
        <v>0.0353345863843191</v>
      </c>
      <c r="E279" s="122" t="n">
        <f aca="false">IF(B279="","",IFERROR(B279/INDEX($B$2:$B$800,MATCH(DATE(YEAR(A279)-1,MONTH(A279),1),$A$2:$A$800,0))-1,""))</f>
        <v>0.0428420013888382</v>
      </c>
    </row>
    <row r="280" customFormat="false" ht="15" hidden="false" customHeight="false" outlineLevel="0" collapsed="false">
      <c r="A280" s="121" t="n">
        <v>43009</v>
      </c>
      <c r="B280" s="43" t="n">
        <v>715.527</v>
      </c>
      <c r="C280" s="122" t="n">
        <f aca="false">IF(OR(B280="",B279=""),"",B280/B279-1)</f>
        <v>0.00307992093421006</v>
      </c>
      <c r="D280" s="122" t="n">
        <f aca="false">IF(B280="","",IFERROR(B280/INDEX($B$2:$B$800,MATCH(DATE(YEAR(A280)-1,12,1),$A$2:$A$800,0))-1,""))</f>
        <v>0.0385233350508356</v>
      </c>
      <c r="E280" s="122" t="n">
        <f aca="false">IF(B280="","",IFERROR(B280/INDEX($B$2:$B$800,MATCH(DATE(YEAR(A280)-1,MONTH(A280),1),$A$2:$A$800,0))-1,""))</f>
        <v>0.0438198133011616</v>
      </c>
    </row>
    <row r="281" customFormat="false" ht="15" hidden="false" customHeight="false" outlineLevel="0" collapsed="false">
      <c r="A281" s="121" t="n">
        <v>43040</v>
      </c>
      <c r="B281" s="43" t="n">
        <v>717.751</v>
      </c>
      <c r="C281" s="122" t="n">
        <f aca="false">IF(OR(B281="",B280=""),"",B281/B280-1)</f>
        <v>0.00310819857252054</v>
      </c>
      <c r="D281" s="122" t="n">
        <f aca="false">IF(B281="","",IFERROR(B281/INDEX($B$2:$B$800,MATCH(DATE(YEAR(A281)-1,12,1),$A$2:$A$800,0))-1,""))</f>
        <v>0.0417512717983699</v>
      </c>
      <c r="E281" s="122" t="n">
        <f aca="false">IF(B281="","",IFERROR(B281/INDEX($B$2:$B$800,MATCH(DATE(YEAR(A281)-1,MONTH(A281),1),$A$2:$A$800,0))-1,""))</f>
        <v>0.0453592812190962</v>
      </c>
    </row>
    <row r="282" customFormat="false" ht="15" hidden="false" customHeight="false" outlineLevel="0" collapsed="false">
      <c r="A282" s="121" t="n">
        <v>43070</v>
      </c>
      <c r="B282" s="43" t="n">
        <v>718.276</v>
      </c>
      <c r="C282" s="122" t="n">
        <f aca="false">IF(OR(B282="",B281=""),"",B282/B281-1)</f>
        <v>0.000731451436500885</v>
      </c>
      <c r="D282" s="122" t="n">
        <f aca="false">IF(B282="","",IFERROR(B282/INDEX($B$2:$B$800,MATCH(DATE(YEAR(A282)-1,12,1),$A$2:$A$800,0))-1,""))</f>
        <v>0.0425132622626037</v>
      </c>
      <c r="E282" s="122" t="n">
        <f aca="false">IF(B282="","",IFERROR(B282/INDEX($B$2:$B$800,MATCH(DATE(YEAR(A282)-1,MONTH(A282),1),$A$2:$A$800,0))-1,""))</f>
        <v>0.0425132622626037</v>
      </c>
    </row>
    <row r="283" customFormat="false" ht="15" hidden="false" customHeight="false" outlineLevel="0" collapsed="false">
      <c r="A283" s="121" t="n">
        <v>43101</v>
      </c>
      <c r="B283" s="43" t="n">
        <v>720.495</v>
      </c>
      <c r="C283" s="122" t="n">
        <f aca="false">IF(OR(B283="",B282=""),"",B283/B282-1)</f>
        <v>0.00308934170151876</v>
      </c>
      <c r="D283" s="122" t="n">
        <f aca="false">IF(B283="","",IFERROR(B283/INDEX($B$2:$B$800,MATCH(DATE(YEAR(A283)-1,12,1),$A$2:$A$800,0))-1,""))</f>
        <v>0.00308934170151876</v>
      </c>
      <c r="E283" s="122" t="n">
        <f aca="false">IF(B283="","",IFERROR(B283/INDEX($B$2:$B$800,MATCH(DATE(YEAR(A283)-1,MONTH(A283),1),$A$2:$A$800,0))-1,""))</f>
        <v>0.0414907949210166</v>
      </c>
    </row>
    <row r="284" customFormat="false" ht="15" hidden="false" customHeight="false" outlineLevel="0" collapsed="false">
      <c r="A284" s="121" t="n">
        <v>43132</v>
      </c>
      <c r="B284" s="43" t="n">
        <v>721.414</v>
      </c>
      <c r="C284" s="122" t="n">
        <f aca="false">IF(OR(B284="",B283=""),"",B284/B283-1)</f>
        <v>0.00127551197440656</v>
      </c>
      <c r="D284" s="122" t="n">
        <f aca="false">IF(B284="","",IFERROR(B284/INDEX($B$2:$B$800,MATCH(DATE(YEAR(A284)-1,12,1),$A$2:$A$800,0))-1,""))</f>
        <v>0.00436879416825842</v>
      </c>
      <c r="E284" s="122" t="n">
        <f aca="false">IF(B284="","",IFERROR(B284/INDEX($B$2:$B$800,MATCH(DATE(YEAR(A284)-1,MONTH(A284),1),$A$2:$A$800,0))-1,""))</f>
        <v>0.0360469558273997</v>
      </c>
    </row>
    <row r="285" customFormat="false" ht="15" hidden="false" customHeight="false" outlineLevel="0" collapsed="false">
      <c r="A285" s="121" t="n">
        <v>43160</v>
      </c>
      <c r="B285" s="43" t="n">
        <v>723.163</v>
      </c>
      <c r="C285" s="122" t="n">
        <f aca="false">IF(OR(B285="",B284=""),"",B285/B284-1)</f>
        <v>0.00242440540383204</v>
      </c>
      <c r="D285" s="122" t="n">
        <f aca="false">IF(B285="","",IFERROR(B285/INDEX($B$2:$B$800,MATCH(DATE(YEAR(A285)-1,12,1),$A$2:$A$800,0))-1,""))</f>
        <v>0.0068037913002803</v>
      </c>
      <c r="E285" s="122" t="n">
        <f aca="false">IF(B285="","",IFERROR(B285/INDEX($B$2:$B$800,MATCH(DATE(YEAR(A285)-1,MONTH(A285),1),$A$2:$A$800,0))-1,""))</f>
        <v>0.0369266285255445</v>
      </c>
    </row>
    <row r="286" customFormat="false" ht="15" hidden="false" customHeight="false" outlineLevel="0" collapsed="false">
      <c r="A286" s="121" t="n">
        <v>43191</v>
      </c>
      <c r="B286" s="43" t="n">
        <v>725.245</v>
      </c>
      <c r="C286" s="122" t="n">
        <f aca="false">IF(OR(B286="",B285=""),"",B286/B285-1)</f>
        <v>0.00287901897635812</v>
      </c>
      <c r="D286" s="122" t="n">
        <f aca="false">IF(B286="","",IFERROR(B286/INDEX($B$2:$B$800,MATCH(DATE(YEAR(A286)-1,12,1),$A$2:$A$800,0))-1,""))</f>
        <v>0.00970239852090282</v>
      </c>
      <c r="E286" s="122" t="n">
        <f aca="false">IF(B286="","",IFERROR(B286/INDEX($B$2:$B$800,MATCH(DATE(YEAR(A286)-1,MONTH(A286),1),$A$2:$A$800,0))-1,""))</f>
        <v>0.0401595424270413</v>
      </c>
    </row>
    <row r="287" customFormat="false" ht="15" hidden="false" customHeight="false" outlineLevel="0" collapsed="false">
      <c r="A287" s="121" t="n">
        <v>43221</v>
      </c>
      <c r="B287" s="43" t="n">
        <v>726.923</v>
      </c>
      <c r="C287" s="122" t="n">
        <f aca="false">IF(OR(B287="",B286=""),"",B287/B286-1)</f>
        <v>0.00231370088728644</v>
      </c>
      <c r="D287" s="122" t="n">
        <f aca="false">IF(B287="","",IFERROR(B287/INDEX($B$2:$B$800,MATCH(DATE(YEAR(A287)-1,12,1),$A$2:$A$800,0))-1,""))</f>
        <v>0.0120385478562559</v>
      </c>
      <c r="E287" s="122" t="n">
        <f aca="false">IF(B287="","",IFERROR(B287/INDEX($B$2:$B$800,MATCH(DATE(YEAR(A287)-1,MONTH(A287),1),$A$2:$A$800,0))-1,""))</f>
        <v>0.0359987116340585</v>
      </c>
    </row>
    <row r="288" customFormat="false" ht="15" hidden="false" customHeight="false" outlineLevel="0" collapsed="false">
      <c r="A288" s="121" t="n">
        <v>43252</v>
      </c>
      <c r="B288" s="43" t="n">
        <v>733.984</v>
      </c>
      <c r="C288" s="122" t="n">
        <f aca="false">IF(OR(B288="",B287=""),"",B288/B287-1)</f>
        <v>0.00971354600143348</v>
      </c>
      <c r="D288" s="122" t="n">
        <f aca="false">IF(B288="","",IFERROR(B288/INDEX($B$2:$B$800,MATCH(DATE(YEAR(A288)-1,12,1),$A$2:$A$800,0))-1,""))</f>
        <v>0.0218690308460816</v>
      </c>
      <c r="E288" s="122" t="n">
        <f aca="false">IF(B288="","",IFERROR(B288/INDEX($B$2:$B$800,MATCH(DATE(YEAR(A288)-1,MONTH(A288),1),$A$2:$A$800,0))-1,""))</f>
        <v>0.036412184745205</v>
      </c>
    </row>
    <row r="289" customFormat="false" ht="15" hidden="false" customHeight="false" outlineLevel="0" collapsed="false">
      <c r="A289" s="121" t="n">
        <v>43282</v>
      </c>
      <c r="B289" s="43" t="n">
        <v>738.487</v>
      </c>
      <c r="C289" s="122" t="n">
        <f aca="false">IF(OR(B289="",B288=""),"",B289/B288-1)</f>
        <v>0.00613501111740855</v>
      </c>
      <c r="D289" s="122" t="n">
        <f aca="false">IF(B289="","",IFERROR(B289/INDEX($B$2:$B$800,MATCH(DATE(YEAR(A289)-1,12,1),$A$2:$A$800,0))-1,""))</f>
        <v>0.0281382087108577</v>
      </c>
      <c r="E289" s="122" t="n">
        <f aca="false">IF(B289="","",IFERROR(B289/INDEX($B$2:$B$800,MATCH(DATE(YEAR(A289)-1,MONTH(A289),1),$A$2:$A$800,0))-1,""))</f>
        <v>0.0396027338443454</v>
      </c>
    </row>
    <row r="290" customFormat="false" ht="15" hidden="false" customHeight="false" outlineLevel="0" collapsed="false">
      <c r="A290" s="121" t="n">
        <v>43313</v>
      </c>
      <c r="B290" s="43" t="n">
        <v>739.583</v>
      </c>
      <c r="C290" s="122" t="n">
        <f aca="false">IF(OR(B290="",B289=""),"",B290/B289-1)</f>
        <v>0.00148411549560112</v>
      </c>
      <c r="D290" s="122" t="n">
        <f aca="false">IF(B290="","",IFERROR(B290/INDEX($B$2:$B$800,MATCH(DATE(YEAR(A290)-1,12,1),$A$2:$A$800,0))-1,""))</f>
        <v>0.0296640845580252</v>
      </c>
      <c r="E290" s="122" t="n">
        <f aca="false">IF(B290="","",IFERROR(B290/INDEX($B$2:$B$800,MATCH(DATE(YEAR(A290)-1,MONTH(A290),1),$A$2:$A$800,0))-1,""))</f>
        <v>0.037452095993177</v>
      </c>
    </row>
    <row r="291" customFormat="false" ht="15" hidden="false" customHeight="false" outlineLevel="0" collapsed="false">
      <c r="A291" s="121" t="n">
        <v>43344</v>
      </c>
      <c r="B291" s="43" t="n">
        <v>741.305</v>
      </c>
      <c r="C291" s="122" t="n">
        <f aca="false">IF(OR(B291="",B290=""),"",B291/B290-1)</f>
        <v>0.00232833907756125</v>
      </c>
      <c r="D291" s="122" t="n">
        <f aca="false">IF(B291="","",IFERROR(B291/INDEX($B$2:$B$800,MATCH(DATE(YEAR(A291)-1,12,1),$A$2:$A$800,0))-1,""))</f>
        <v>0.0320614916828628</v>
      </c>
      <c r="E291" s="122" t="n">
        <f aca="false">IF(B291="","",IFERROR(B291/INDEX($B$2:$B$800,MATCH(DATE(YEAR(A291)-1,MONTH(A291),1),$A$2:$A$800,0))-1,""))</f>
        <v>0.0392174729788455</v>
      </c>
    </row>
    <row r="292" customFormat="false" ht="15" hidden="false" customHeight="false" outlineLevel="0" collapsed="false">
      <c r="A292" s="121" t="n">
        <v>43374</v>
      </c>
      <c r="B292" s="43" t="n">
        <v>743.866</v>
      </c>
      <c r="C292" s="122" t="n">
        <f aca="false">IF(OR(B292="",B291=""),"",B292/B291-1)</f>
        <v>0.00345471836828293</v>
      </c>
      <c r="D292" s="122" t="n">
        <f aca="false">IF(B292="","",IFERROR(B292/INDEX($B$2:$B$800,MATCH(DATE(YEAR(A292)-1,12,1),$A$2:$A$800,0))-1,""))</f>
        <v>0.0356269734753771</v>
      </c>
      <c r="E292" s="122" t="n">
        <f aca="false">IF(B292="","",IFERROR(B292/INDEX($B$2:$B$800,MATCH(DATE(YEAR(A292)-1,MONTH(A292),1),$A$2:$A$800,0))-1,""))</f>
        <v>0.0396057730875283</v>
      </c>
    </row>
    <row r="293" customFormat="false" ht="15" hidden="false" customHeight="false" outlineLevel="0" collapsed="false">
      <c r="A293" s="121" t="n">
        <v>43405</v>
      </c>
      <c r="B293" s="43" t="n">
        <v>744.865</v>
      </c>
      <c r="C293" s="122" t="n">
        <f aca="false">IF(OR(B293="",B292=""),"",B293/B292-1)</f>
        <v>0.00134298381697784</v>
      </c>
      <c r="D293" s="122" t="n">
        <f aca="false">IF(B293="","",IFERROR(B293/INDEX($B$2:$B$800,MATCH(DATE(YEAR(A293)-1,12,1),$A$2:$A$800,0))-1,""))</f>
        <v>0.0370178037411804</v>
      </c>
      <c r="E293" s="122" t="n">
        <f aca="false">IF(B293="","",IFERROR(B293/INDEX($B$2:$B$800,MATCH(DATE(YEAR(A293)-1,MONTH(A293),1),$A$2:$A$800,0))-1,""))</f>
        <v>0.0377763319034039</v>
      </c>
    </row>
    <row r="294" customFormat="false" ht="15" hidden="false" customHeight="false" outlineLevel="0" collapsed="false">
      <c r="A294" s="121" t="n">
        <v>43435</v>
      </c>
      <c r="B294" s="43" t="n">
        <v>745.856</v>
      </c>
      <c r="C294" s="122" t="n">
        <f aca="false">IF(OR(B294="",B293=""),"",B294/B293-1)</f>
        <v>0.00133044242916491</v>
      </c>
      <c r="D294" s="122" t="n">
        <f aca="false">IF(B294="","",IFERROR(B294/INDEX($B$2:$B$800,MATCH(DATE(YEAR(A294)-1,12,1),$A$2:$A$800,0))-1,""))</f>
        <v>0.0383974962270772</v>
      </c>
      <c r="E294" s="122" t="n">
        <f aca="false">IF(B294="","",IFERROR(B294/INDEX($B$2:$B$800,MATCH(DATE(YEAR(A294)-1,MONTH(A294),1),$A$2:$A$800,0))-1,""))</f>
        <v>0.0383974962270772</v>
      </c>
    </row>
    <row r="295" customFormat="false" ht="15" hidden="false" customHeight="false" outlineLevel="0" collapsed="false">
      <c r="A295" s="121" t="n">
        <v>43466</v>
      </c>
      <c r="B295" s="43" t="n">
        <v>749.517</v>
      </c>
      <c r="C295" s="122" t="n">
        <f aca="false">IF(OR(B295="",B294=""),"",B295/B294-1)</f>
        <v>0.00490845417882291</v>
      </c>
      <c r="D295" s="122" t="n">
        <f aca="false">IF(B295="","",IFERROR(B295/INDEX($B$2:$B$800,MATCH(DATE(YEAR(A295)-1,12,1),$A$2:$A$800,0))-1,""))</f>
        <v>0.00490845417882291</v>
      </c>
      <c r="E295" s="122" t="n">
        <f aca="false">IF(B295="","",IFERROR(B295/INDEX($B$2:$B$800,MATCH(DATE(YEAR(A295)-1,MONTH(A295),1),$A$2:$A$800,0))-1,""))</f>
        <v>0.0402806403930631</v>
      </c>
    </row>
    <row r="296" customFormat="false" ht="15" hidden="false" customHeight="false" outlineLevel="0" collapsed="false">
      <c r="A296" s="121" t="n">
        <v>43497</v>
      </c>
      <c r="B296" s="43" t="n">
        <v>750.18</v>
      </c>
      <c r="C296" s="122" t="n">
        <f aca="false">IF(OR(B296="",B295=""),"",B296/B295-1)</f>
        <v>0.000884569662862766</v>
      </c>
      <c r="D296" s="122" t="n">
        <f aca="false">IF(B296="","",IFERROR(B296/INDEX($B$2:$B$800,MATCH(DATE(YEAR(A296)-1,12,1),$A$2:$A$800,0))-1,""))</f>
        <v>0.00579736571134371</v>
      </c>
      <c r="E296" s="122" t="n">
        <f aca="false">IF(B296="","",IFERROR(B296/INDEX($B$2:$B$800,MATCH(DATE(YEAR(A296)-1,MONTH(A296),1),$A$2:$A$800,0))-1,""))</f>
        <v>0.0398744687516461</v>
      </c>
    </row>
    <row r="297" customFormat="false" ht="15" hidden="false" customHeight="false" outlineLevel="0" collapsed="false">
      <c r="A297" s="121" t="n">
        <v>43525</v>
      </c>
      <c r="B297" s="43" t="n">
        <v>752.524</v>
      </c>
      <c r="C297" s="122" t="n">
        <f aca="false">IF(OR(B297="",B296=""),"",B297/B296-1)</f>
        <v>0.00312458343330935</v>
      </c>
      <c r="D297" s="122" t="n">
        <f aca="false">IF(B297="","",IFERROR(B297/INDEX($B$2:$B$800,MATCH(DATE(YEAR(A297)-1,12,1),$A$2:$A$800,0))-1,""))</f>
        <v>0.00894006349751164</v>
      </c>
      <c r="E297" s="122" t="n">
        <f aca="false">IF(B297="","",IFERROR(B297/INDEX($B$2:$B$800,MATCH(DATE(YEAR(A297)-1,MONTH(A297),1),$A$2:$A$800,0))-1,""))</f>
        <v>0.0406008050743747</v>
      </c>
    </row>
    <row r="298" customFormat="false" ht="15" hidden="false" customHeight="false" outlineLevel="0" collapsed="false">
      <c r="A298" s="121" t="n">
        <v>43556</v>
      </c>
      <c r="B298" s="43" t="n">
        <v>755.373</v>
      </c>
      <c r="C298" s="122" t="n">
        <f aca="false">IF(OR(B298="",B297=""),"",B298/B297-1)</f>
        <v>0.00378592576449388</v>
      </c>
      <c r="D298" s="122" t="n">
        <f aca="false">IF(B298="","",IFERROR(B298/INDEX($B$2:$B$800,MATCH(DATE(YEAR(A298)-1,12,1),$A$2:$A$800,0))-1,""))</f>
        <v>0.0127598356787371</v>
      </c>
      <c r="E298" s="122" t="n">
        <f aca="false">IF(B298="","",IFERROR(B298/INDEX($B$2:$B$800,MATCH(DATE(YEAR(A298)-1,MONTH(A298),1),$A$2:$A$800,0))-1,""))</f>
        <v>0.0415418237974754</v>
      </c>
    </row>
    <row r="299" customFormat="false" ht="15" hidden="false" customHeight="false" outlineLevel="0" collapsed="false">
      <c r="A299" s="121" t="n">
        <v>43586</v>
      </c>
      <c r="B299" s="43" t="n">
        <v>755.625</v>
      </c>
      <c r="C299" s="122" t="n">
        <f aca="false">IF(OR(B299="",B298=""),"",B299/B298-1)</f>
        <v>0.000333610017832164</v>
      </c>
      <c r="D299" s="122" t="n">
        <f aca="false">IF(B299="","",IFERROR(B299/INDEX($B$2:$B$800,MATCH(DATE(YEAR(A299)-1,12,1),$A$2:$A$800,0))-1,""))</f>
        <v>0.0130977025055774</v>
      </c>
      <c r="E299" s="122" t="n">
        <f aca="false">IF(B299="","",IFERROR(B299/INDEX($B$2:$B$800,MATCH(DATE(YEAR(A299)-1,MONTH(A299),1),$A$2:$A$800,0))-1,""))</f>
        <v>0.0394842369824588</v>
      </c>
    </row>
    <row r="300" customFormat="false" ht="15" hidden="false" customHeight="false" outlineLevel="0" collapsed="false">
      <c r="A300" s="121" t="n">
        <v>43617</v>
      </c>
      <c r="B300" s="43" t="n">
        <v>762.304</v>
      </c>
      <c r="C300" s="122" t="n">
        <f aca="false">IF(OR(B300="",B299=""),"",B300/B299-1)</f>
        <v>0.00883904052936302</v>
      </c>
      <c r="D300" s="122" t="n">
        <f aca="false">IF(B300="","",IFERROR(B300/INDEX($B$2:$B$800,MATCH(DATE(YEAR(A300)-1,12,1),$A$2:$A$800,0))-1,""))</f>
        <v>0.0220525141582288</v>
      </c>
      <c r="E300" s="122" t="n">
        <f aca="false">IF(B300="","",IFERROR(B300/INDEX($B$2:$B$800,MATCH(DATE(YEAR(A300)-1,MONTH(A300),1),$A$2:$A$800,0))-1,""))</f>
        <v>0.0385839473340017</v>
      </c>
    </row>
    <row r="301" customFormat="false" ht="15" hidden="false" customHeight="false" outlineLevel="0" collapsed="false">
      <c r="A301" s="121" t="n">
        <v>43647</v>
      </c>
      <c r="B301" s="43" t="n">
        <v>766.699</v>
      </c>
      <c r="C301" s="122" t="n">
        <f aca="false">IF(OR(B301="",B300=""),"",B301/B300-1)</f>
        <v>0.00576541642179507</v>
      </c>
      <c r="D301" s="122" t="n">
        <f aca="false">IF(B301="","",IFERROR(B301/INDEX($B$2:$B$800,MATCH(DATE(YEAR(A301)-1,12,1),$A$2:$A$800,0))-1,""))</f>
        <v>0.0279450725072936</v>
      </c>
      <c r="E301" s="122" t="n">
        <f aca="false">IF(B301="","",IFERROR(B301/INDEX($B$2:$B$800,MATCH(DATE(YEAR(A301)-1,MONTH(A301),1),$A$2:$A$800,0))-1,""))</f>
        <v>0.0382024328119519</v>
      </c>
    </row>
    <row r="302" customFormat="false" ht="15" hidden="false" customHeight="false" outlineLevel="0" collapsed="false">
      <c r="A302" s="121" t="n">
        <v>43678</v>
      </c>
      <c r="B302" s="43" t="n">
        <v>769.951</v>
      </c>
      <c r="C302" s="122" t="n">
        <f aca="false">IF(OR(B302="",B301=""),"",B302/B301-1)</f>
        <v>0.00424156024724187</v>
      </c>
      <c r="D302" s="122" t="n">
        <f aca="false">IF(B302="","",IFERROR(B302/INDEX($B$2:$B$800,MATCH(DATE(YEAR(A302)-1,12,1),$A$2:$A$800,0))-1,""))</f>
        <v>0.0323051634631886</v>
      </c>
      <c r="E302" s="122" t="n">
        <f aca="false">IF(B302="","",IFERROR(B302/INDEX($B$2:$B$800,MATCH(DATE(YEAR(A302)-1,MONTH(A302),1),$A$2:$A$800,0))-1,""))</f>
        <v>0.0410609762528345</v>
      </c>
    </row>
    <row r="303" customFormat="false" ht="15" hidden="false" customHeight="false" outlineLevel="0" collapsed="false">
      <c r="A303" s="121" t="n">
        <v>43709</v>
      </c>
      <c r="B303" s="43" t="n">
        <v>773.52</v>
      </c>
      <c r="C303" s="122" t="n">
        <f aca="false">IF(OR(B303="",B302=""),"",B303/B302-1)</f>
        <v>0.00463535991251396</v>
      </c>
      <c r="D303" s="122" t="n">
        <f aca="false">IF(B303="","",IFERROR(B303/INDEX($B$2:$B$800,MATCH(DATE(YEAR(A303)-1,12,1),$A$2:$A$800,0))-1,""))</f>
        <v>0.037090269435387</v>
      </c>
      <c r="E303" s="122" t="n">
        <f aca="false">IF(B303="","",IFERROR(B303/INDEX($B$2:$B$800,MATCH(DATE(YEAR(A303)-1,MONTH(A303),1),$A$2:$A$800,0))-1,""))</f>
        <v>0.0434571465186395</v>
      </c>
    </row>
    <row r="304" customFormat="false" ht="15" hidden="false" customHeight="false" outlineLevel="0" collapsed="false">
      <c r="A304" s="121" t="n">
        <v>43739</v>
      </c>
      <c r="B304" s="43" t="n">
        <v>774.939</v>
      </c>
      <c r="C304" s="122" t="n">
        <f aca="false">IF(OR(B304="",B303=""),"",B304/B303-1)</f>
        <v>0.00183447098976108</v>
      </c>
      <c r="D304" s="122" t="n">
        <f aca="false">IF(B304="","",IFERROR(B304/INDEX($B$2:$B$800,MATCH(DATE(YEAR(A304)-1,12,1),$A$2:$A$800,0))-1,""))</f>
        <v>0.0389927814484297</v>
      </c>
      <c r="E304" s="122" t="n">
        <f aca="false">IF(B304="","",IFERROR(B304/INDEX($B$2:$B$800,MATCH(DATE(YEAR(A304)-1,MONTH(A304),1),$A$2:$A$800,0))-1,""))</f>
        <v>0.0417723084534043</v>
      </c>
    </row>
    <row r="305" customFormat="false" ht="15" hidden="false" customHeight="false" outlineLevel="0" collapsed="false">
      <c r="A305" s="121" t="n">
        <v>43770</v>
      </c>
      <c r="B305" s="43" t="n">
        <v>775.225</v>
      </c>
      <c r="C305" s="122" t="n">
        <f aca="false">IF(OR(B305="",B304=""),"",B305/B304-1)</f>
        <v>0.000369061306761065</v>
      </c>
      <c r="D305" s="122" t="n">
        <f aca="false">IF(B305="","",IFERROR(B305/INDEX($B$2:$B$800,MATCH(DATE(YEAR(A305)-1,12,1),$A$2:$A$800,0))-1,""))</f>
        <v>0.0393762334820662</v>
      </c>
      <c r="E305" s="122" t="n">
        <f aca="false">IF(B305="","",IFERROR(B305/INDEX($B$2:$B$800,MATCH(DATE(YEAR(A305)-1,MONTH(A305),1),$A$2:$A$800,0))-1,""))</f>
        <v>0.0407590637229565</v>
      </c>
    </row>
    <row r="306" customFormat="false" ht="15" hidden="false" customHeight="false" outlineLevel="0" collapsed="false">
      <c r="A306" s="121" t="n">
        <v>43800</v>
      </c>
      <c r="B306" s="43" t="n">
        <v>776.839</v>
      </c>
      <c r="C306" s="122" t="n">
        <f aca="false">IF(OR(B306="",B305=""),"",B306/B305-1)</f>
        <v>0.00208197620045802</v>
      </c>
      <c r="D306" s="122" t="n">
        <f aca="false">IF(B306="","",IFERROR(B306/INDEX($B$2:$B$800,MATCH(DATE(YEAR(A306)-1,12,1),$A$2:$A$800,0))-1,""))</f>
        <v>0.0415401900634975</v>
      </c>
      <c r="E306" s="122" t="n">
        <f aca="false">IF(B306="","",IFERROR(B306/INDEX($B$2:$B$800,MATCH(DATE(YEAR(A306)-1,MONTH(A306),1),$A$2:$A$800,0))-1,""))</f>
        <v>0.0415401900634975</v>
      </c>
    </row>
    <row r="307" customFormat="false" ht="15" hidden="false" customHeight="false" outlineLevel="0" collapsed="false">
      <c r="A307" s="121" t="n">
        <v>43831</v>
      </c>
      <c r="B307" s="43" t="n">
        <v>779.766</v>
      </c>
      <c r="C307" s="122" t="n">
        <f aca="false">IF(OR(B307="",B306=""),"",B307/B306-1)</f>
        <v>0.0037678334893072</v>
      </c>
      <c r="D307" s="122" t="n">
        <f aca="false">IF(B307="","",IFERROR(B307/INDEX($B$2:$B$800,MATCH(DATE(YEAR(A307)-1,12,1),$A$2:$A$800,0))-1,""))</f>
        <v>0.0037678334893072</v>
      </c>
      <c r="E307" s="122" t="n">
        <f aca="false">IF(B307="","",IFERROR(B307/INDEX($B$2:$B$800,MATCH(DATE(YEAR(A307)-1,MONTH(A307),1),$A$2:$A$800,0))-1,""))</f>
        <v>0.0403579905459115</v>
      </c>
    </row>
    <row r="308" customFormat="false" ht="15" hidden="false" customHeight="false" outlineLevel="0" collapsed="false">
      <c r="A308" s="121" t="n">
        <v>43862</v>
      </c>
      <c r="B308" s="43" t="n">
        <v>782.336</v>
      </c>
      <c r="C308" s="122" t="n">
        <f aca="false">IF(OR(B308="",B307=""),"",B308/B307-1)</f>
        <v>0.00329586055303777</v>
      </c>
      <c r="D308" s="122" t="n">
        <f aca="false">IF(B308="","",IFERROR(B308/INDEX($B$2:$B$800,MATCH(DATE(YEAR(A308)-1,12,1),$A$2:$A$800,0))-1,""))</f>
        <v>0.00707611229611271</v>
      </c>
      <c r="E308" s="122" t="n">
        <f aca="false">IF(B308="","",IFERROR(B308/INDEX($B$2:$B$800,MATCH(DATE(YEAR(A308)-1,MONTH(A308),1),$A$2:$A$800,0))-1,""))</f>
        <v>0.0428643792156549</v>
      </c>
    </row>
    <row r="309" customFormat="false" ht="15" hidden="false" customHeight="false" outlineLevel="0" collapsed="false">
      <c r="A309" s="121" t="n">
        <v>43891</v>
      </c>
      <c r="B309" s="43" t="n">
        <v>784.338</v>
      </c>
      <c r="C309" s="122" t="n">
        <f aca="false">IF(OR(B309="",B308=""),"",B309/B308-1)</f>
        <v>0.00255900278141352</v>
      </c>
      <c r="D309" s="122" t="n">
        <f aca="false">IF(B309="","",IFERROR(B309/INDEX($B$2:$B$800,MATCH(DATE(YEAR(A309)-1,12,1),$A$2:$A$800,0))-1,""))</f>
        <v>0.00965322286857373</v>
      </c>
      <c r="E309" s="122" t="n">
        <f aca="false">IF(B309="","",IFERROR(B309/INDEX($B$2:$B$800,MATCH(DATE(YEAR(A309)-1,MONTH(A309),1),$A$2:$A$800,0))-1,""))</f>
        <v>0.0422763925137271</v>
      </c>
    </row>
    <row r="310" customFormat="false" ht="15" hidden="false" customHeight="false" outlineLevel="0" collapsed="false">
      <c r="A310" s="121" t="n">
        <v>43922</v>
      </c>
      <c r="B310" s="43" t="n">
        <v>786.07</v>
      </c>
      <c r="C310" s="122" t="n">
        <f aca="false">IF(OR(B310="",B309=""),"",B310/B309-1)</f>
        <v>0.00220823165523032</v>
      </c>
      <c r="D310" s="122" t="n">
        <f aca="false">IF(B310="","",IFERROR(B310/INDEX($B$2:$B$800,MATCH(DATE(YEAR(A310)-1,12,1),$A$2:$A$800,0))-1,""))</f>
        <v>0.0118827710761173</v>
      </c>
      <c r="E310" s="122" t="n">
        <f aca="false">IF(B310="","",IFERROR(B310/INDEX($B$2:$B$800,MATCH(DATE(YEAR(A310)-1,MONTH(A310),1),$A$2:$A$800,0))-1,""))</f>
        <v>0.0406382012595101</v>
      </c>
    </row>
    <row r="311" customFormat="false" ht="15" hidden="false" customHeight="false" outlineLevel="0" collapsed="false">
      <c r="A311" s="121" t="n">
        <v>43952</v>
      </c>
      <c r="B311" s="43" t="n">
        <v>787.666</v>
      </c>
      <c r="C311" s="122" t="n">
        <f aca="false">IF(OR(B311="",B310=""),"",B311/B310-1)</f>
        <v>0.00203035353085612</v>
      </c>
      <c r="D311" s="122" t="n">
        <f aca="false">IF(B311="","",IFERROR(B311/INDEX($B$2:$B$800,MATCH(DATE(YEAR(A311)-1,12,1),$A$2:$A$800,0))-1,""))</f>
        <v>0.0139372508331843</v>
      </c>
      <c r="E311" s="122" t="n">
        <f aca="false">IF(B311="","",IFERROR(B311/INDEX($B$2:$B$800,MATCH(DATE(YEAR(A311)-1,MONTH(A311),1),$A$2:$A$800,0))-1,""))</f>
        <v>0.0424033085194375</v>
      </c>
    </row>
    <row r="312" customFormat="false" ht="15" hidden="false" customHeight="false" outlineLevel="0" collapsed="false">
      <c r="A312" s="121" t="n">
        <v>43983</v>
      </c>
      <c r="B312" s="43" t="n">
        <v>790.331</v>
      </c>
      <c r="C312" s="122" t="n">
        <f aca="false">IF(OR(B312="",B311=""),"",B312/B311-1)</f>
        <v>0.0033834137819837</v>
      </c>
      <c r="D312" s="122" t="n">
        <f aca="false">IF(B312="","",IFERROR(B312/INDEX($B$2:$B$800,MATCH(DATE(YEAR(A312)-1,12,1),$A$2:$A$800,0))-1,""))</f>
        <v>0.0173678201017198</v>
      </c>
      <c r="E312" s="122" t="n">
        <f aca="false">IF(B312="","",IFERROR(B312/INDEX($B$2:$B$800,MATCH(DATE(YEAR(A312)-1,MONTH(A312),1),$A$2:$A$800,0))-1,""))</f>
        <v>0.0367661720258585</v>
      </c>
    </row>
    <row r="313" customFormat="false" ht="15" hidden="false" customHeight="false" outlineLevel="0" collapsed="false">
      <c r="A313" s="121" t="n">
        <v>44013</v>
      </c>
      <c r="B313" s="43" t="n">
        <v>799.589</v>
      </c>
      <c r="C313" s="122" t="n">
        <f aca="false">IF(OR(B313="",B312=""),"",B313/B312-1)</f>
        <v>0.0117140792908288</v>
      </c>
      <c r="D313" s="122" t="n">
        <f aca="false">IF(B313="","",IFERROR(B313/INDEX($B$2:$B$800,MATCH(DATE(YEAR(A313)-1,12,1),$A$2:$A$800,0))-1,""))</f>
        <v>0.0292853474143291</v>
      </c>
      <c r="E313" s="122" t="n">
        <f aca="false">IF(B313="","",IFERROR(B313/INDEX($B$2:$B$800,MATCH(DATE(YEAR(A313)-1,MONTH(A313),1),$A$2:$A$800,0))-1,""))</f>
        <v>0.0428981908154309</v>
      </c>
    </row>
    <row r="314" customFormat="false" ht="15" hidden="false" customHeight="false" outlineLevel="0" collapsed="false">
      <c r="A314" s="121" t="n">
        <v>44044</v>
      </c>
      <c r="B314" s="43" t="n">
        <v>805.356</v>
      </c>
      <c r="C314" s="122" t="n">
        <f aca="false">IF(OR(B314="",B313=""),"",B314/B313-1)</f>
        <v>0.0072124553989612</v>
      </c>
      <c r="D314" s="122" t="n">
        <f aca="false">IF(B314="","",IFERROR(B314/INDEX($B$2:$B$800,MATCH(DATE(YEAR(A314)-1,12,1),$A$2:$A$800,0))-1,""))</f>
        <v>0.0367090220753592</v>
      </c>
      <c r="E314" s="122" t="n">
        <f aca="false">IF(B314="","",IFERROR(B314/INDEX($B$2:$B$800,MATCH(DATE(YEAR(A314)-1,MONTH(A314),1),$A$2:$A$800,0))-1,""))</f>
        <v>0.0459834456997912</v>
      </c>
    </row>
    <row r="315" customFormat="false" ht="15" hidden="false" customHeight="false" outlineLevel="0" collapsed="false">
      <c r="A315" s="121" t="n">
        <v>44075</v>
      </c>
      <c r="B315" s="43" t="n">
        <v>814.701</v>
      </c>
      <c r="C315" s="122" t="n">
        <f aca="false">IF(OR(B315="",B314=""),"",B315/B314-1)</f>
        <v>0.0116035641380954</v>
      </c>
      <c r="D315" s="122" t="n">
        <f aca="false">IF(B315="","",IFERROR(B315/INDEX($B$2:$B$800,MATCH(DATE(YEAR(A315)-1,12,1),$A$2:$A$800,0))-1,""))</f>
        <v>0.0487385417055528</v>
      </c>
      <c r="E315" s="122" t="n">
        <f aca="false">IF(B315="","",IFERROR(B315/INDEX($B$2:$B$800,MATCH(DATE(YEAR(A315)-1,MONTH(A315),1),$A$2:$A$800,0))-1,""))</f>
        <v>0.053238442444927</v>
      </c>
    </row>
    <row r="316" customFormat="false" ht="15" hidden="false" customHeight="false" outlineLevel="0" collapsed="false">
      <c r="A316" s="121" t="n">
        <v>44105</v>
      </c>
      <c r="B316" s="43" t="n">
        <v>828.778</v>
      </c>
      <c r="C316" s="122" t="n">
        <f aca="false">IF(OR(B316="",B315=""),"",B316/B315-1)</f>
        <v>0.0172787317064789</v>
      </c>
      <c r="D316" s="122" t="n">
        <f aca="false">IF(B316="","",IFERROR(B316/INDEX($B$2:$B$800,MATCH(DATE(YEAR(A316)-1,12,1),$A$2:$A$800,0))-1,""))</f>
        <v>0.066859413597927</v>
      </c>
      <c r="E316" s="122" t="n">
        <f aca="false">IF(B316="","",IFERROR(B316/INDEX($B$2:$B$800,MATCH(DATE(YEAR(A316)-1,MONTH(A316),1),$A$2:$A$800,0))-1,""))</f>
        <v>0.0694751457856684</v>
      </c>
    </row>
    <row r="317" customFormat="false" ht="15" hidden="false" customHeight="false" outlineLevel="0" collapsed="false">
      <c r="A317" s="121" t="n">
        <v>44136</v>
      </c>
      <c r="B317" s="43" t="n">
        <v>839.382</v>
      </c>
      <c r="C317" s="122" t="n">
        <f aca="false">IF(OR(B317="",B316=""),"",B317/B316-1)</f>
        <v>0.0127947411731488</v>
      </c>
      <c r="D317" s="122" t="n">
        <f aca="false">IF(B317="","",IFERROR(B317/INDEX($B$2:$B$800,MATCH(DATE(YEAR(A317)-1,12,1),$A$2:$A$800,0))-1,""))</f>
        <v>0.0805096036630497</v>
      </c>
      <c r="E317" s="122" t="n">
        <f aca="false">IF(B317="","",IFERROR(B317/INDEX($B$2:$B$800,MATCH(DATE(YEAR(A317)-1,MONTH(A317),1),$A$2:$A$800,0))-1,""))</f>
        <v>0.0827591989422425</v>
      </c>
    </row>
    <row r="318" customFormat="false" ht="15" hidden="false" customHeight="false" outlineLevel="0" collapsed="false">
      <c r="A318" s="121" t="n">
        <v>44166</v>
      </c>
      <c r="B318" s="43" t="n">
        <v>845.268</v>
      </c>
      <c r="C318" s="122" t="n">
        <f aca="false">IF(OR(B318="",B317=""),"",B318/B317-1)</f>
        <v>0.00701230190783231</v>
      </c>
      <c r="D318" s="122" t="n">
        <f aca="false">IF(B318="","",IFERROR(B318/INDEX($B$2:$B$800,MATCH(DATE(YEAR(A318)-1,12,1),$A$2:$A$800,0))-1,""))</f>
        <v>0.0880864632182472</v>
      </c>
      <c r="E318" s="122" t="n">
        <f aca="false">IF(B318="","",IFERROR(B318/INDEX($B$2:$B$800,MATCH(DATE(YEAR(A318)-1,MONTH(A318),1),$A$2:$A$800,0))-1,""))</f>
        <v>0.0880864632182472</v>
      </c>
    </row>
    <row r="319" customFormat="false" ht="15" hidden="false" customHeight="false" outlineLevel="0" collapsed="false">
      <c r="A319" s="121" t="n">
        <v>44197</v>
      </c>
      <c r="B319" s="43" t="n">
        <v>852.809</v>
      </c>
      <c r="C319" s="122" t="n">
        <f aca="false">IF(OR(B319="",B318=""),"",B319/B318-1)</f>
        <v>0.00892143083613717</v>
      </c>
      <c r="D319" s="122" t="n">
        <f aca="false">IF(B319="","",IFERROR(B319/INDEX($B$2:$B$800,MATCH(DATE(YEAR(A319)-1,12,1),$A$2:$A$800,0))-1,""))</f>
        <v>0.00892143083613717</v>
      </c>
      <c r="E319" s="122" t="n">
        <f aca="false">IF(B319="","",IFERROR(B319/INDEX($B$2:$B$800,MATCH(DATE(YEAR(A319)-1,MONTH(A319),1),$A$2:$A$800,0))-1,""))</f>
        <v>0.0936729736869779</v>
      </c>
    </row>
    <row r="320" customFormat="false" ht="15" hidden="false" customHeight="false" outlineLevel="0" collapsed="false">
      <c r="A320" s="121" t="n">
        <v>44228</v>
      </c>
      <c r="B320" s="43" t="n">
        <v>868.929</v>
      </c>
      <c r="C320" s="122" t="n">
        <f aca="false">IF(OR(B320="",B319=""),"",B320/B319-1)</f>
        <v>0.018902239540155</v>
      </c>
      <c r="D320" s="122" t="n">
        <f aca="false">IF(B320="","",IFERROR(B320/INDEX($B$2:$B$800,MATCH(DATE(YEAR(A320)-1,12,1),$A$2:$A$800,0))-1,""))</f>
        <v>0.0279923053989977</v>
      </c>
      <c r="E320" s="122" t="n">
        <f aca="false">IF(B320="","",IFERROR(B320/INDEX($B$2:$B$800,MATCH(DATE(YEAR(A320)-1,MONTH(A320),1),$A$2:$A$800,0))-1,""))</f>
        <v>0.110685178746728</v>
      </c>
    </row>
    <row r="321" customFormat="false" ht="15" hidden="false" customHeight="false" outlineLevel="0" collapsed="false">
      <c r="A321" s="121" t="n">
        <v>44256</v>
      </c>
      <c r="B321" s="43" t="n">
        <v>880.265</v>
      </c>
      <c r="C321" s="122" t="n">
        <f aca="false">IF(OR(B321="",B320=""),"",B321/B320-1)</f>
        <v>0.0130459450657074</v>
      </c>
      <c r="D321" s="122" t="n">
        <f aca="false">IF(B321="","",IFERROR(B321/INDEX($B$2:$B$800,MATCH(DATE(YEAR(A321)-1,12,1),$A$2:$A$800,0))-1,""))</f>
        <v>0.0414034365432028</v>
      </c>
      <c r="E321" s="122" t="n">
        <f aca="false">IF(B321="","",IFERROR(B321/INDEX($B$2:$B$800,MATCH(DATE(YEAR(A321)-1,MONTH(A321),1),$A$2:$A$800,0))-1,""))</f>
        <v>0.122303139717826</v>
      </c>
    </row>
    <row r="322" customFormat="false" ht="15" hidden="false" customHeight="false" outlineLevel="0" collapsed="false">
      <c r="A322" s="121" t="n">
        <v>44287</v>
      </c>
      <c r="B322" s="43" t="n">
        <v>888.191</v>
      </c>
      <c r="C322" s="122" t="n">
        <f aca="false">IF(OR(B322="",B321=""),"",B322/B321-1)</f>
        <v>0.00900410671786345</v>
      </c>
      <c r="D322" s="122" t="n">
        <f aca="false">IF(B322="","",IFERROR(B322/INDEX($B$2:$B$800,MATCH(DATE(YEAR(A322)-1,12,1),$A$2:$A$800,0))-1,""))</f>
        <v>0.0507803442221875</v>
      </c>
      <c r="E322" s="122" t="n">
        <f aca="false">IF(B322="","",IFERROR(B322/INDEX($B$2:$B$800,MATCH(DATE(YEAR(A322)-1,MONTH(A322),1),$A$2:$A$800,0))-1,""))</f>
        <v>0.129913366494078</v>
      </c>
    </row>
    <row r="323" customFormat="false" ht="15" hidden="false" customHeight="false" outlineLevel="0" collapsed="false">
      <c r="A323" s="121" t="n">
        <v>44317</v>
      </c>
      <c r="B323" s="43" t="n">
        <v>907.899</v>
      </c>
      <c r="C323" s="122" t="n">
        <f aca="false">IF(OR(B323="",B322=""),"",B323/B322-1)</f>
        <v>0.0221889210766604</v>
      </c>
      <c r="D323" s="122" t="n">
        <f aca="false">IF(B323="","",IFERROR(B323/INDEX($B$2:$B$800,MATCH(DATE(YEAR(A323)-1,12,1),$A$2:$A$800,0))-1,""))</f>
        <v>0.0740960263490396</v>
      </c>
      <c r="E323" s="122" t="n">
        <f aca="false">IF(B323="","",IFERROR(B323/INDEX($B$2:$B$800,MATCH(DATE(YEAR(A323)-1,MONTH(A323),1),$A$2:$A$800,0))-1,""))</f>
        <v>0.152644648874015</v>
      </c>
    </row>
    <row r="324" customFormat="false" ht="15" hidden="false" customHeight="false" outlineLevel="0" collapsed="false">
      <c r="A324" s="121" t="n">
        <v>44348</v>
      </c>
      <c r="B324" s="43" t="n">
        <v>927.512</v>
      </c>
      <c r="C324" s="122" t="n">
        <f aca="false">IF(OR(B324="",B323=""),"",B324/B323-1)</f>
        <v>0.0216026231992765</v>
      </c>
      <c r="D324" s="122" t="n">
        <f aca="false">IF(B324="","",IFERROR(B324/INDEX($B$2:$B$800,MATCH(DATE(YEAR(A324)-1,12,1),$A$2:$A$800,0))-1,""))</f>
        <v>0.0972993180860979</v>
      </c>
      <c r="E324" s="122" t="n">
        <f aca="false">IF(B324="","",IFERROR(B324/INDEX($B$2:$B$800,MATCH(DATE(YEAR(A324)-1,MONTH(A324),1),$A$2:$A$800,0))-1,""))</f>
        <v>0.173574110088052</v>
      </c>
    </row>
    <row r="325" customFormat="false" ht="15" hidden="false" customHeight="false" outlineLevel="0" collapsed="false">
      <c r="A325" s="121" t="n">
        <v>44378</v>
      </c>
      <c r="B325" s="43" t="n">
        <v>935.359</v>
      </c>
      <c r="C325" s="122" t="n">
        <f aca="false">IF(OR(B325="",B324=""),"",B325/B324-1)</f>
        <v>0.00846026789949894</v>
      </c>
      <c r="D325" s="122" t="n">
        <f aca="false">IF(B325="","",IFERROR(B325/INDEX($B$2:$B$800,MATCH(DATE(YEAR(A325)-1,12,1),$A$2:$A$800,0))-1,""))</f>
        <v>0.106582764283044</v>
      </c>
      <c r="E325" s="122" t="n">
        <f aca="false">IF(B325="","",IFERROR(B325/INDEX($B$2:$B$800,MATCH(DATE(YEAR(A325)-1,MONTH(A325),1),$A$2:$A$800,0))-1,""))</f>
        <v>0.169799734613658</v>
      </c>
    </row>
    <row r="326" customFormat="false" ht="15" hidden="false" customHeight="false" outlineLevel="0" collapsed="false">
      <c r="A326" s="121" t="n">
        <v>44409</v>
      </c>
      <c r="B326" s="43" t="n">
        <v>939.699</v>
      </c>
      <c r="C326" s="122" t="n">
        <f aca="false">IF(OR(B326="",B325=""),"",B326/B325-1)</f>
        <v>0.00463992969544314</v>
      </c>
      <c r="D326" s="122" t="n">
        <f aca="false">IF(B326="","",IFERROR(B326/INDEX($B$2:$B$800,MATCH(DATE(YEAR(A326)-1,12,1),$A$2:$A$800,0))-1,""))</f>
        <v>0.111717230511506</v>
      </c>
      <c r="E326" s="122" t="n">
        <f aca="false">IF(B326="","",IFERROR(B326/INDEX($B$2:$B$800,MATCH(DATE(YEAR(A326)-1,MONTH(A326),1),$A$2:$A$800,0))-1,""))</f>
        <v>0.166811944034688</v>
      </c>
    </row>
    <row r="327" customFormat="false" ht="15" hidden="false" customHeight="false" outlineLevel="0" collapsed="false">
      <c r="A327" s="121" t="n">
        <v>44440</v>
      </c>
      <c r="B327" s="43" t="n">
        <v>944.52</v>
      </c>
      <c r="C327" s="122" t="n">
        <f aca="false">IF(OR(B327="",B326=""),"",B327/B326-1)</f>
        <v>0.00513036621301088</v>
      </c>
      <c r="D327" s="122" t="n">
        <f aca="false">IF(B327="","",IFERROR(B327/INDEX($B$2:$B$800,MATCH(DATE(YEAR(A327)-1,12,1),$A$2:$A$800,0))-1,""))</f>
        <v>0.117420747029344</v>
      </c>
      <c r="E327" s="122" t="n">
        <f aca="false">IF(B327="","",IFERROR(B327/INDEX($B$2:$B$800,MATCH(DATE(YEAR(A327)-1,MONTH(A327),1),$A$2:$A$800,0))-1,""))</f>
        <v>0.159345575861574</v>
      </c>
    </row>
    <row r="328" customFormat="false" ht="15" hidden="false" customHeight="false" outlineLevel="0" collapsed="false">
      <c r="A328" s="121" t="n">
        <v>44470</v>
      </c>
      <c r="B328" s="43" t="n">
        <v>952.596</v>
      </c>
      <c r="C328" s="122" t="n">
        <f aca="false">IF(OR(B328="",B327=""),"",B328/B327-1)</f>
        <v>0.00855037479354603</v>
      </c>
      <c r="D328" s="122" t="n">
        <f aca="false">IF(B328="","",IFERROR(B328/INDEX($B$2:$B$800,MATCH(DATE(YEAR(A328)-1,12,1),$A$2:$A$800,0))-1,""))</f>
        <v>0.12697511321853</v>
      </c>
      <c r="E328" s="122" t="n">
        <f aca="false">IF(B328="","",IFERROR(B328/INDEX($B$2:$B$800,MATCH(DATE(YEAR(A328)-1,MONTH(A328),1),$A$2:$A$800,0))-1,""))</f>
        <v>0.149398270706993</v>
      </c>
    </row>
    <row r="329" customFormat="false" ht="15" hidden="false" customHeight="false" outlineLevel="0" collapsed="false">
      <c r="A329" s="121" t="n">
        <v>44501</v>
      </c>
      <c r="B329" s="43" t="n">
        <v>959.001</v>
      </c>
      <c r="C329" s="122" t="n">
        <f aca="false">IF(OR(B329="",B328=""),"",B329/B328-1)</f>
        <v>0.00672373178136376</v>
      </c>
      <c r="D329" s="122" t="n">
        <f aca="false">IF(B329="","",IFERROR(B329/INDEX($B$2:$B$800,MATCH(DATE(YEAR(A329)-1,12,1),$A$2:$A$800,0))-1,""))</f>
        <v>0.134552591604083</v>
      </c>
      <c r="E329" s="122" t="n">
        <f aca="false">IF(B329="","",IFERROR(B329/INDEX($B$2:$B$800,MATCH(DATE(YEAR(A329)-1,MONTH(A329),1),$A$2:$A$800,0))-1,""))</f>
        <v>0.142508416906724</v>
      </c>
    </row>
    <row r="330" customFormat="false" ht="15" hidden="false" customHeight="false" outlineLevel="0" collapsed="false">
      <c r="A330" s="121" t="n">
        <v>44531</v>
      </c>
      <c r="B330" s="43" t="n">
        <v>962.321</v>
      </c>
      <c r="C330" s="122" t="n">
        <f aca="false">IF(OR(B330="",B329=""),"",B330/B329-1)</f>
        <v>0.00346193591039023</v>
      </c>
      <c r="D330" s="122" t="n">
        <f aca="false">IF(B330="","",IFERROR(B330/INDEX($B$2:$B$800,MATCH(DATE(YEAR(A330)-1,12,1),$A$2:$A$800,0))-1,""))</f>
        <v>0.138480339963183</v>
      </c>
      <c r="E330" s="122" t="n">
        <f aca="false">IF(B330="","",IFERROR(B330/INDEX($B$2:$B$800,MATCH(DATE(YEAR(A330)-1,MONTH(A330),1),$A$2:$A$800,0))-1,""))</f>
        <v>0.138480339963183</v>
      </c>
    </row>
    <row r="331" customFormat="false" ht="15" hidden="false" customHeight="false" outlineLevel="0" collapsed="false">
      <c r="A331" s="121" t="n">
        <v>44562</v>
      </c>
      <c r="B331" s="43" t="n">
        <v>969.184</v>
      </c>
      <c r="C331" s="122" t="n">
        <f aca="false">IF(OR(B331="",B330=""),"",B331/B330-1)</f>
        <v>0.00713171592431205</v>
      </c>
      <c r="D331" s="122" t="n">
        <f aca="false">IF(B331="","",IFERROR(B331/INDEX($B$2:$B$800,MATCH(DATE(YEAR(A331)-1,12,1),$A$2:$A$800,0))-1,""))</f>
        <v>0.00713171592431205</v>
      </c>
      <c r="E331" s="122" t="n">
        <f aca="false">IF(B331="","",IFERROR(B331/INDEX($B$2:$B$800,MATCH(DATE(YEAR(A331)-1,MONTH(A331),1),$A$2:$A$800,0))-1,""))</f>
        <v>0.136460801891162</v>
      </c>
    </row>
    <row r="332" customFormat="false" ht="15" hidden="false" customHeight="false" outlineLevel="0" collapsed="false">
      <c r="A332" s="121" t="n">
        <v>44593</v>
      </c>
      <c r="B332" s="43" t="n">
        <v>972.904</v>
      </c>
      <c r="C332" s="122" t="n">
        <f aca="false">IF(OR(B332="",B331=""),"",B332/B331-1)</f>
        <v>0.00383828045035828</v>
      </c>
      <c r="D332" s="122" t="n">
        <f aca="false">IF(B332="","",IFERROR(B332/INDEX($B$2:$B$800,MATCH(DATE(YEAR(A332)-1,12,1),$A$2:$A$800,0))-1,""))</f>
        <v>0.0109973699004802</v>
      </c>
      <c r="E332" s="122" t="n">
        <f aca="false">IF(B332="","",IFERROR(B332/INDEX($B$2:$B$800,MATCH(DATE(YEAR(A332)-1,MONTH(A332),1),$A$2:$A$800,0))-1,""))</f>
        <v>0.11965879835982</v>
      </c>
    </row>
    <row r="333" customFormat="false" ht="15" hidden="false" customHeight="false" outlineLevel="0" collapsed="false">
      <c r="A333" s="121" t="n">
        <v>44621</v>
      </c>
      <c r="B333" s="43" t="n">
        <v>981.244</v>
      </c>
      <c r="C333" s="122" t="n">
        <f aca="false">IF(OR(B333="",B332=""),"",B333/B332-1)</f>
        <v>0.00857227434567021</v>
      </c>
      <c r="D333" s="122" t="n">
        <f aca="false">IF(B333="","",IFERROR(B333/INDEX($B$2:$B$800,MATCH(DATE(YEAR(A333)-1,12,1),$A$2:$A$800,0))-1,""))</f>
        <v>0.0196639167180182</v>
      </c>
      <c r="E333" s="122" t="n">
        <f aca="false">IF(B333="","",IFERROR(B333/INDEX($B$2:$B$800,MATCH(DATE(YEAR(A333)-1,MONTH(A333),1),$A$2:$A$800,0))-1,""))</f>
        <v>0.114714318983488</v>
      </c>
    </row>
    <row r="334" customFormat="false" ht="15" hidden="false" customHeight="false" outlineLevel="0" collapsed="false">
      <c r="A334" s="121" t="n">
        <v>44652</v>
      </c>
      <c r="B334" s="43" t="n">
        <v>990.543</v>
      </c>
      <c r="C334" s="122" t="n">
        <f aca="false">IF(OR(B334="",B333=""),"",B334/B333-1)</f>
        <v>0.00947674584507019</v>
      </c>
      <c r="D334" s="122" t="n">
        <f aca="false">IF(B334="","",IFERROR(B334/INDEX($B$2:$B$800,MATCH(DATE(YEAR(A334)-1,12,1),$A$2:$A$800,0))-1,""))</f>
        <v>0.0293270125041436</v>
      </c>
      <c r="E334" s="122" t="n">
        <f aca="false">IF(B334="","",IFERROR(B334/INDEX($B$2:$B$800,MATCH(DATE(YEAR(A334)-1,MONTH(A334),1),$A$2:$A$800,0))-1,""))</f>
        <v>0.115236475037464</v>
      </c>
    </row>
    <row r="335" customFormat="false" ht="15" hidden="false" customHeight="false" outlineLevel="0" collapsed="false">
      <c r="A335" s="121" t="n">
        <v>44682</v>
      </c>
      <c r="B335" s="43" t="n">
        <v>1013.164</v>
      </c>
      <c r="C335" s="122" t="n">
        <f aca="false">IF(OR(B335="",B334=""),"",B335/B334-1)</f>
        <v>0.0228369692178936</v>
      </c>
      <c r="D335" s="122" t="n">
        <f aca="false">IF(B335="","",IFERROR(B335/INDEX($B$2:$B$800,MATCH(DATE(YEAR(A335)-1,12,1),$A$2:$A$800,0))-1,""))</f>
        <v>0.052833721803847</v>
      </c>
      <c r="E335" s="122" t="n">
        <f aca="false">IF(B335="","",IFERROR(B335/INDEX($B$2:$B$800,MATCH(DATE(YEAR(A335)-1,MONTH(A335),1),$A$2:$A$800,0))-1,""))</f>
        <v>0.115943513540603</v>
      </c>
    </row>
    <row r="336" customFormat="false" ht="15" hidden="false" customHeight="false" outlineLevel="0" collapsed="false">
      <c r="A336" s="121" t="n">
        <v>44713</v>
      </c>
      <c r="B336" s="43" t="n">
        <v>1034.824</v>
      </c>
      <c r="C336" s="122" t="n">
        <f aca="false">IF(OR(B336="",B335=""),"",B336/B335-1)</f>
        <v>0.0213785724719791</v>
      </c>
      <c r="D336" s="122" t="n">
        <f aca="false">IF(B336="","",IFERROR(B336/INDEX($B$2:$B$800,MATCH(DATE(YEAR(A336)-1,12,1),$A$2:$A$800,0))-1,""))</f>
        <v>0.075341803826374</v>
      </c>
      <c r="E336" s="122" t="n">
        <f aca="false">IF(B336="","",IFERROR(B336/INDEX($B$2:$B$800,MATCH(DATE(YEAR(A336)-1,MONTH(A336),1),$A$2:$A$800,0))-1,""))</f>
        <v>0.115698772630435</v>
      </c>
    </row>
    <row r="337" customFormat="false" ht="15" hidden="false" customHeight="false" outlineLevel="0" collapsed="false">
      <c r="A337" s="121" t="n">
        <v>44743</v>
      </c>
      <c r="B337" s="43" t="n">
        <v>1043.76</v>
      </c>
      <c r="C337" s="122" t="n">
        <f aca="false">IF(OR(B337="",B336=""),"",B337/B336-1)</f>
        <v>0.00863528484070719</v>
      </c>
      <c r="D337" s="122" t="n">
        <f aca="false">IF(B337="","",IFERROR(B337/INDEX($B$2:$B$800,MATCH(DATE(YEAR(A337)-1,12,1),$A$2:$A$800,0))-1,""))</f>
        <v>0.0846276866035345</v>
      </c>
      <c r="E337" s="122" t="n">
        <f aca="false">IF(B337="","",IFERROR(B337/INDEX($B$2:$B$800,MATCH(DATE(YEAR(A337)-1,MONTH(A337),1),$A$2:$A$800,0))-1,""))</f>
        <v>0.115892400671828</v>
      </c>
    </row>
    <row r="338" customFormat="false" ht="15" hidden="false" customHeight="false" outlineLevel="0" collapsed="false">
      <c r="A338" s="121" t="n">
        <v>44774</v>
      </c>
      <c r="B338" s="43" t="n">
        <v>1044.679</v>
      </c>
      <c r="C338" s="122" t="n">
        <f aca="false">IF(OR(B338="",B337=""),"",B338/B337-1)</f>
        <v>0.000880470606269723</v>
      </c>
      <c r="D338" s="122" t="n">
        <f aca="false">IF(B338="","",IFERROR(B338/INDEX($B$2:$B$800,MATCH(DATE(YEAR(A338)-1,12,1),$A$2:$A$800,0))-1,""))</f>
        <v>0.0855826694003352</v>
      </c>
      <c r="E338" s="122" t="n">
        <f aca="false">IF(B338="","",IFERROR(B338/INDEX($B$2:$B$800,MATCH(DATE(YEAR(A338)-1,MONTH(A338),1),$A$2:$A$800,0))-1,""))</f>
        <v>0.111716624153053</v>
      </c>
    </row>
    <row r="339" customFormat="false" ht="15" hidden="false" customHeight="false" outlineLevel="0" collapsed="false">
      <c r="A339" s="121" t="n">
        <v>44805</v>
      </c>
      <c r="B339" s="43" t="n">
        <v>1045.616</v>
      </c>
      <c r="C339" s="122" t="n">
        <f aca="false">IF(OR(B339="",B338=""),"",B339/B338-1)</f>
        <v>0.000896926232842654</v>
      </c>
      <c r="D339" s="122" t="n">
        <f aca="false">IF(B339="","",IFERROR(B339/INDEX($B$2:$B$800,MATCH(DATE(YEAR(A339)-1,12,1),$A$2:$A$800,0))-1,""))</f>
        <v>0.0865563569744399</v>
      </c>
      <c r="E339" s="122" t="n">
        <f aca="false">IF(B339="","",IFERROR(B339/INDEX($B$2:$B$800,MATCH(DATE(YEAR(A339)-1,MONTH(A339),1),$A$2:$A$800,0))-1,""))</f>
        <v>0.107034260788549</v>
      </c>
    </row>
    <row r="340" customFormat="false" ht="15" hidden="false" customHeight="false" outlineLevel="0" collapsed="false">
      <c r="A340" s="121" t="n">
        <v>44835</v>
      </c>
      <c r="B340" s="43" t="n">
        <v>1046.896</v>
      </c>
      <c r="C340" s="122" t="n">
        <f aca="false">IF(OR(B340="",B339=""),"",B340/B339-1)</f>
        <v>0.00122415877339299</v>
      </c>
      <c r="D340" s="122" t="n">
        <f aca="false">IF(B340="","",IFERROR(B340/INDEX($B$2:$B$800,MATCH(DATE(YEAR(A340)-1,12,1),$A$2:$A$800,0))-1,""))</f>
        <v>0.0878864744716159</v>
      </c>
      <c r="E340" s="122" t="n">
        <f aca="false">IF(B340="","",IFERROR(B340/INDEX($B$2:$B$800,MATCH(DATE(YEAR(A340)-1,MONTH(A340),1),$A$2:$A$800,0))-1,""))</f>
        <v>0.0989926474602034</v>
      </c>
    </row>
    <row r="341" customFormat="false" ht="15" hidden="false" customHeight="false" outlineLevel="0" collapsed="false">
      <c r="A341" s="121" t="n">
        <v>44866</v>
      </c>
      <c r="B341" s="43" t="n">
        <v>1050.701</v>
      </c>
      <c r="C341" s="122" t="n">
        <f aca="false">IF(OR(B341="",B340=""),"",B341/B340-1)</f>
        <v>0.00363455395760415</v>
      </c>
      <c r="D341" s="122" t="n">
        <f aca="false">IF(B341="","",IFERROR(B341/INDEX($B$2:$B$800,MATCH(DATE(YEAR(A341)-1,12,1),$A$2:$A$800,0))-1,""))</f>
        <v>0.0918404565628308</v>
      </c>
      <c r="E341" s="122" t="n">
        <f aca="false">IF(B341="","",IFERROR(B341/INDEX($B$2:$B$800,MATCH(DATE(YEAR(A341)-1,MONTH(A341),1),$A$2:$A$800,0))-1,""))</f>
        <v>0.0956203382478225</v>
      </c>
    </row>
    <row r="342" customFormat="false" ht="15" hidden="false" customHeight="false" outlineLevel="0" collapsed="false">
      <c r="A342" s="121" t="n">
        <v>44896</v>
      </c>
      <c r="B342" s="43" t="n">
        <v>1051.632</v>
      </c>
      <c r="C342" s="122" t="n">
        <f aca="false">IF(OR(B342="",B341=""),"",B342/B341-1)</f>
        <v>0.000886075106048212</v>
      </c>
      <c r="D342" s="122" t="n">
        <f aca="false">IF(B342="","",IFERROR(B342/INDEX($B$2:$B$800,MATCH(DATE(YEAR(A342)-1,12,1),$A$2:$A$800,0))-1,""))</f>
        <v>0.0928079092111676</v>
      </c>
      <c r="E342" s="122" t="n">
        <f aca="false">IF(B342="","",IFERROR(B342/INDEX($B$2:$B$800,MATCH(DATE(YEAR(A342)-1,MONTH(A342),1),$A$2:$A$800,0))-1,""))</f>
        <v>0.0928079092111676</v>
      </c>
    </row>
    <row r="343" customFormat="false" ht="15" hidden="false" customHeight="false" outlineLevel="0" collapsed="false">
      <c r="A343" s="121" t="n">
        <v>44927</v>
      </c>
      <c r="B343" s="43" t="n">
        <v>1056.418</v>
      </c>
      <c r="C343" s="122" t="n">
        <f aca="false">IF(OR(B343="",B342=""),"",B343/B342-1)</f>
        <v>0.00455102165015875</v>
      </c>
      <c r="D343" s="122" t="n">
        <f aca="false">IF(B343="","",IFERROR(B343/INDEX($B$2:$B$800,MATCH(DATE(YEAR(A343)-1,12,1),$A$2:$A$800,0))-1,""))</f>
        <v>0.00455102165015875</v>
      </c>
      <c r="E343" s="122" t="n">
        <f aca="false">IF(B343="","",IFERROR(B343/INDEX($B$2:$B$800,MATCH(DATE(YEAR(A343)-1,MONTH(A343),1),$A$2:$A$800,0))-1,""))</f>
        <v>0.0900076765609006</v>
      </c>
    </row>
    <row r="344" customFormat="false" ht="15" hidden="false" customHeight="false" outlineLevel="0" collapsed="false">
      <c r="A344" s="121" t="n">
        <v>44958</v>
      </c>
      <c r="B344" s="43" t="n">
        <v>1056.896</v>
      </c>
      <c r="C344" s="122" t="n">
        <f aca="false">IF(OR(B344="",B343=""),"",B344/B343-1)</f>
        <v>0.000452472411488714</v>
      </c>
      <c r="D344" s="122" t="n">
        <f aca="false">IF(B344="","",IFERROR(B344/INDEX($B$2:$B$800,MATCH(DATE(YEAR(A344)-1,12,1),$A$2:$A$800,0))-1,""))</f>
        <v>0.00500555327338836</v>
      </c>
      <c r="E344" s="122" t="n">
        <f aca="false">IF(B344="","",IFERROR(B344/INDEX($B$2:$B$800,MATCH(DATE(YEAR(A344)-1,MONTH(A344),1),$A$2:$A$800,0))-1,""))</f>
        <v>0.0863312310361557</v>
      </c>
    </row>
    <row r="345" customFormat="false" ht="15" hidden="false" customHeight="false" outlineLevel="0" collapsed="false">
      <c r="A345" s="121" t="n">
        <v>44986</v>
      </c>
      <c r="B345" s="43" t="n">
        <v>1060.116</v>
      </c>
      <c r="C345" s="122" t="n">
        <f aca="false">IF(OR(B345="",B344=""),"",B345/B344-1)</f>
        <v>0.00304665738161569</v>
      </c>
      <c r="D345" s="122" t="n">
        <f aca="false">IF(B345="","",IFERROR(B345/INDEX($B$2:$B$800,MATCH(DATE(YEAR(A345)-1,12,1),$A$2:$A$800,0))-1,""))</f>
        <v>0.00806746086083332</v>
      </c>
      <c r="E345" s="122" t="n">
        <f aca="false">IF(B345="","",IFERROR(B345/INDEX($B$2:$B$800,MATCH(DATE(YEAR(A345)-1,MONTH(A345),1),$A$2:$A$800,0))-1,""))</f>
        <v>0.080379599773349</v>
      </c>
    </row>
    <row r="346" customFormat="false" ht="15" hidden="false" customHeight="false" outlineLevel="0" collapsed="false">
      <c r="A346" s="121" t="n">
        <v>45017</v>
      </c>
      <c r="B346" s="43" t="n">
        <v>1061.635</v>
      </c>
      <c r="C346" s="122" t="n">
        <f aca="false">IF(OR(B346="",B345=""),"",B346/B345-1)</f>
        <v>0.0014328620641515</v>
      </c>
      <c r="D346" s="122" t="n">
        <f aca="false">IF(B346="","",IFERROR(B346/INDEX($B$2:$B$800,MATCH(DATE(YEAR(A346)-1,12,1),$A$2:$A$800,0))-1,""))</f>
        <v>0.00951188248360646</v>
      </c>
      <c r="E346" s="122" t="n">
        <f aca="false">IF(B346="","",IFERROR(B346/INDEX($B$2:$B$800,MATCH(DATE(YEAR(A346)-1,MONTH(A346),1),$A$2:$A$800,0))-1,""))</f>
        <v>0.0717707358489232</v>
      </c>
    </row>
    <row r="347" customFormat="false" ht="15" hidden="false" customHeight="false" outlineLevel="0" collapsed="false">
      <c r="A347" s="121" t="n">
        <v>45047</v>
      </c>
      <c r="B347" s="43" t="n">
        <v>1067.919</v>
      </c>
      <c r="C347" s="122" t="n">
        <f aca="false">IF(OR(B347="",B346=""),"",B347/B346-1)</f>
        <v>0.00591917184343038</v>
      </c>
      <c r="D347" s="122" t="n">
        <f aca="false">IF(B347="","",IFERROR(B347/INDEX($B$2:$B$800,MATCH(DATE(YEAR(A347)-1,12,1),$A$2:$A$800,0))-1,""))</f>
        <v>0.0154873567940117</v>
      </c>
      <c r="E347" s="122" t="n">
        <f aca="false">IF(B347="","",IFERROR(B347/INDEX($B$2:$B$800,MATCH(DATE(YEAR(A347)-1,MONTH(A347),1),$A$2:$A$800,0))-1,""))</f>
        <v>0.0540435704387445</v>
      </c>
    </row>
    <row r="348" customFormat="false" ht="15" hidden="false" customHeight="false" outlineLevel="0" collapsed="false">
      <c r="A348" s="121" t="n">
        <v>45078</v>
      </c>
      <c r="B348" s="43" t="n">
        <v>1075.54</v>
      </c>
      <c r="C348" s="122" t="n">
        <f aca="false">IF(OR(B348="",B347=""),"",B348/B347-1)</f>
        <v>0.00713630902718254</v>
      </c>
      <c r="D348" s="122" t="n">
        <f aca="false">IF(B348="","",IFERROR(B348/INDEX($B$2:$B$800,MATCH(DATE(YEAR(A348)-1,12,1),$A$2:$A$800,0))-1,""))</f>
        <v>0.0227341883852905</v>
      </c>
      <c r="E348" s="122" t="n">
        <f aca="false">IF(B348="","",IFERROR(B348/INDEX($B$2:$B$800,MATCH(DATE(YEAR(A348)-1,MONTH(A348),1),$A$2:$A$800,0))-1,""))</f>
        <v>0.0393458211251381</v>
      </c>
    </row>
    <row r="349" customFormat="false" ht="15" hidden="false" customHeight="false" outlineLevel="0" collapsed="false">
      <c r="A349" s="121" t="n">
        <v>45108</v>
      </c>
      <c r="B349" s="43" t="n">
        <v>1076.626</v>
      </c>
      <c r="C349" s="122" t="n">
        <f aca="false">IF(OR(B349="",B348=""),"",B349/B348-1)</f>
        <v>0.0010097253472674</v>
      </c>
      <c r="D349" s="122" t="n">
        <f aca="false">IF(B349="","",IFERROR(B349/INDEX($B$2:$B$800,MATCH(DATE(YEAR(A349)-1,12,1),$A$2:$A$800,0))-1,""))</f>
        <v>0.0237668690188202</v>
      </c>
      <c r="E349" s="122" t="n">
        <f aca="false">IF(B349="","",IFERROR(B349/INDEX($B$2:$B$800,MATCH(DATE(YEAR(A349)-1,MONTH(A349),1),$A$2:$A$800,0))-1,""))</f>
        <v>0.0314880815513146</v>
      </c>
    </row>
    <row r="350" customFormat="false" ht="15" hidden="false" customHeight="false" outlineLevel="0" collapsed="false">
      <c r="A350" s="121" t="n">
        <v>45139</v>
      </c>
      <c r="B350" s="43" t="n">
        <v>1078.412</v>
      </c>
      <c r="C350" s="122" t="n">
        <f aca="false">IF(OR(B350="",B349=""),"",B350/B349-1)</f>
        <v>0.00165888618703258</v>
      </c>
      <c r="D350" s="122" t="n">
        <f aca="false">IF(B350="","",IFERROR(B350/INDEX($B$2:$B$800,MATCH(DATE(YEAR(A350)-1,12,1),$A$2:$A$800,0))-1,""))</f>
        <v>0.025465181736577</v>
      </c>
      <c r="E350" s="122" t="n">
        <f aca="false">IF(B350="","",IFERROR(B350/INDEX($B$2:$B$800,MATCH(DATE(YEAR(A350)-1,MONTH(A350),1),$A$2:$A$800,0))-1,""))</f>
        <v>0.03229030161418</v>
      </c>
    </row>
    <row r="351" customFormat="false" ht="15" hidden="false" customHeight="false" outlineLevel="0" collapsed="false">
      <c r="A351" s="121" t="n">
        <v>45170</v>
      </c>
      <c r="B351" s="43" t="n">
        <v>1082.104</v>
      </c>
      <c r="C351" s="122" t="n">
        <f aca="false">IF(OR(B351="",B350=""),"",B351/B350-1)</f>
        <v>0.00342355240854153</v>
      </c>
      <c r="D351" s="122" t="n">
        <f aca="false">IF(B351="","",IFERROR(B351/INDEX($B$2:$B$800,MATCH(DATE(YEAR(A351)-1,12,1),$A$2:$A$800,0))-1,""))</f>
        <v>0.0289759155293867</v>
      </c>
      <c r="E351" s="122" t="n">
        <f aca="false">IF(B351="","",IFERROR(B351/INDEX($B$2:$B$800,MATCH(DATE(YEAR(A351)-1,MONTH(A351),1),$A$2:$A$800,0))-1,""))</f>
        <v>0.0348961760340316</v>
      </c>
    </row>
    <row r="352" customFormat="false" ht="15" hidden="false" customHeight="false" outlineLevel="0" collapsed="false">
      <c r="A352" s="121" t="n">
        <v>45200</v>
      </c>
      <c r="B352" s="43" t="n">
        <v>1084.242</v>
      </c>
      <c r="C352" s="122" t="n">
        <f aca="false">IF(OR(B352="",B351=""),"",B352/B351-1)</f>
        <v>0.00197578051647529</v>
      </c>
      <c r="D352" s="122" t="n">
        <f aca="false">IF(B352="","",IFERROR(B352/INDEX($B$2:$B$800,MATCH(DATE(YEAR(A352)-1,12,1),$A$2:$A$800,0))-1,""))</f>
        <v>0.0310089460952119</v>
      </c>
      <c r="E352" s="122" t="n">
        <f aca="false">IF(B352="","",IFERROR(B352/INDEX($B$2:$B$800,MATCH(DATE(YEAR(A352)-1,MONTH(A352),1),$A$2:$A$800,0))-1,""))</f>
        <v>0.0356730754535313</v>
      </c>
    </row>
    <row r="353" customFormat="false" ht="15" hidden="false" customHeight="false" outlineLevel="0" collapsed="false">
      <c r="A353" s="121" t="n">
        <v>45231</v>
      </c>
      <c r="B353" s="43" t="n">
        <v>1084.986</v>
      </c>
      <c r="C353" s="122" t="n">
        <f aca="false">IF(OR(B353="",B352=""),"",B353/B352-1)</f>
        <v>0.000686193672630342</v>
      </c>
      <c r="D353" s="122" t="n">
        <f aca="false">IF(B353="","",IFERROR(B353/INDEX($B$2:$B$800,MATCH(DATE(YEAR(A353)-1,12,1),$A$2:$A$800,0))-1,""))</f>
        <v>0.0317164179104479</v>
      </c>
      <c r="E353" s="122" t="n">
        <f aca="false">IF(B353="","",IFERROR(B353/INDEX($B$2:$B$800,MATCH(DATE(YEAR(A353)-1,MONTH(A353),1),$A$2:$A$800,0))-1,""))</f>
        <v>0.0326305961448596</v>
      </c>
    </row>
    <row r="354" customFormat="false" ht="15" hidden="false" customHeight="false" outlineLevel="0" collapsed="false">
      <c r="A354" s="121" t="n">
        <v>45261</v>
      </c>
      <c r="B354" s="43" t="n">
        <v>1088.312</v>
      </c>
      <c r="C354" s="122" t="n">
        <f aca="false">IF(OR(B354="",B353=""),"",B354/B353-1)</f>
        <v>0.00306547734256468</v>
      </c>
      <c r="D354" s="122" t="n">
        <f aca="false">IF(B354="","",IFERROR(B354/INDEX($B$2:$B$800,MATCH(DATE(YEAR(A354)-1,12,1),$A$2:$A$800,0))-1,""))</f>
        <v>0.0348791212135042</v>
      </c>
      <c r="E354" s="122" t="n">
        <f aca="false">IF(B354="","",IFERROR(B354/INDEX($B$2:$B$800,MATCH(DATE(YEAR(A354)-1,MONTH(A354),1),$A$2:$A$800,0))-1,""))</f>
        <v>0.0348791212135042</v>
      </c>
    </row>
    <row r="355" customFormat="false" ht="15" hidden="false" customHeight="false" outlineLevel="0" collapsed="false">
      <c r="A355" s="121" t="n">
        <v>45292</v>
      </c>
      <c r="B355" s="43" t="n">
        <v>1091.25</v>
      </c>
      <c r="C355" s="122" t="n">
        <f aca="false">IF(OR(B355="",B354=""),"",B355/B354-1)</f>
        <v>0.00269959349892313</v>
      </c>
      <c r="D355" s="122" t="n">
        <f aca="false">IF(B355="","",IFERROR(B355/INDEX($B$2:$B$800,MATCH(DATE(YEAR(A355)-1,12,1),$A$2:$A$800,0))-1,""))</f>
        <v>0.00269959349892313</v>
      </c>
      <c r="E355" s="122" t="n">
        <f aca="false">IF(B355="","",IFERROR(B355/INDEX($B$2:$B$800,MATCH(DATE(YEAR(A355)-1,MONTH(A355),1),$A$2:$A$800,0))-1,""))</f>
        <v>0.0329717971484773</v>
      </c>
    </row>
    <row r="356" customFormat="false" ht="15" hidden="false" customHeight="false" outlineLevel="0" collapsed="false">
      <c r="A356" s="121" t="n">
        <v>45323</v>
      </c>
      <c r="B356" s="43" t="n">
        <v>1092.685</v>
      </c>
      <c r="C356" s="122" t="n">
        <f aca="false">IF(OR(B356="",B355=""),"",B356/B355-1)</f>
        <v>0.00131500572737675</v>
      </c>
      <c r="D356" s="122" t="n">
        <f aca="false">IF(B356="","",IFERROR(B356/INDEX($B$2:$B$800,MATCH(DATE(YEAR(A356)-1,12,1),$A$2:$A$800,0))-1,""))</f>
        <v>0.00401814920721266</v>
      </c>
      <c r="E356" s="122" t="n">
        <f aca="false">IF(B356="","",IFERROR(B356/INDEX($B$2:$B$800,MATCH(DATE(YEAR(A356)-1,MONTH(A356),1),$A$2:$A$800,0))-1,""))</f>
        <v>0.033862366779702</v>
      </c>
    </row>
    <row r="357" customFormat="false" ht="15" hidden="false" customHeight="false" outlineLevel="0" collapsed="false">
      <c r="A357" s="121" t="n">
        <v>45352</v>
      </c>
      <c r="B357" s="43" t="n">
        <v>1095.738</v>
      </c>
      <c r="C357" s="122" t="n">
        <f aca="false">IF(OR(B357="",B356=""),"",B357/B356-1)</f>
        <v>0.00279403487738938</v>
      </c>
      <c r="D357" s="122" t="n">
        <f aca="false">IF(B357="","",IFERROR(B357/INDEX($B$2:$B$800,MATCH(DATE(YEAR(A357)-1,12,1),$A$2:$A$800,0))-1,""))</f>
        <v>0.00682341093362937</v>
      </c>
      <c r="E357" s="122" t="n">
        <f aca="false">IF(B357="","",IFERROR(B357/INDEX($B$2:$B$800,MATCH(DATE(YEAR(A357)-1,MONTH(A357),1),$A$2:$A$800,0))-1,""))</f>
        <v>0.0336019831791994</v>
      </c>
    </row>
    <row r="358" customFormat="false" ht="15" hidden="false" customHeight="false" outlineLevel="0" collapsed="false">
      <c r="A358" s="121" t="n">
        <v>45383</v>
      </c>
      <c r="B358" s="43" t="n">
        <v>1101.389</v>
      </c>
      <c r="C358" s="122" t="n">
        <f aca="false">IF(OR(B358="",B357=""),"",B358/B357-1)</f>
        <v>0.00515725474520345</v>
      </c>
      <c r="D358" s="122" t="n">
        <f aca="false">IF(B358="","",IFERROR(B358/INDEX($B$2:$B$800,MATCH(DATE(YEAR(A358)-1,12,1),$A$2:$A$800,0))-1,""))</f>
        <v>0.0120158557472489</v>
      </c>
      <c r="E358" s="122" t="n">
        <f aca="false">IF(B358="","",IFERROR(B358/INDEX($B$2:$B$800,MATCH(DATE(YEAR(A358)-1,MONTH(A358),1),$A$2:$A$800,0))-1,""))</f>
        <v>0.0374460148732849</v>
      </c>
    </row>
    <row r="359" customFormat="false" ht="15" hidden="false" customHeight="false" outlineLevel="0" collapsed="false">
      <c r="A359" s="121" t="n">
        <v>45413</v>
      </c>
      <c r="B359" s="43" t="n">
        <v>1110.887</v>
      </c>
      <c r="C359" s="122" t="n">
        <f aca="false">IF(OR(B359="",B358=""),"",B359/B358-1)</f>
        <v>0.00862365612876115</v>
      </c>
      <c r="D359" s="122" t="n">
        <f aca="false">IF(B359="","",IFERROR(B359/INDEX($B$2:$B$800,MATCH(DATE(YEAR(A359)-1,12,1),$A$2:$A$800,0))-1,""))</f>
        <v>0.020743132484067</v>
      </c>
      <c r="E359" s="122" t="n">
        <f aca="false">IF(B359="","",IFERROR(B359/INDEX($B$2:$B$800,MATCH(DATE(YEAR(A359)-1,MONTH(A359),1),$A$2:$A$800,0))-1,""))</f>
        <v>0.0402352612885433</v>
      </c>
    </row>
    <row r="360" customFormat="false" ht="15" hidden="false" customHeight="false" outlineLevel="0" collapsed="false">
      <c r="A360" s="121" t="n">
        <v>45444</v>
      </c>
      <c r="B360" s="43" t="n">
        <v>1118.827</v>
      </c>
      <c r="C360" s="122" t="n">
        <f aca="false">IF(OR(B360="",B359=""),"",B360/B359-1)</f>
        <v>0.00714744163897874</v>
      </c>
      <c r="D360" s="122" t="n">
        <f aca="false">IF(B360="","",IFERROR(B360/INDEX($B$2:$B$800,MATCH(DATE(YEAR(A360)-1,12,1),$A$2:$A$800,0))-1,""))</f>
        <v>0.0280388344518852</v>
      </c>
      <c r="E360" s="122" t="n">
        <f aca="false">IF(B360="","",IFERROR(B360/INDEX($B$2:$B$800,MATCH(DATE(YEAR(A360)-1,MONTH(A360),1),$A$2:$A$800,0))-1,""))</f>
        <v>0.0402467597671867</v>
      </c>
    </row>
    <row r="361" customFormat="false" ht="15" hidden="false" customHeight="false" outlineLevel="0" collapsed="false">
      <c r="A361" s="121" t="n">
        <v>45474</v>
      </c>
      <c r="B361" s="43" t="n">
        <v>1126.916</v>
      </c>
      <c r="C361" s="122" t="n">
        <f aca="false">IF(OR(B361="",B360=""),"",B361/B360-1)</f>
        <v>0.00722989345090874</v>
      </c>
      <c r="D361" s="122" t="n">
        <f aca="false">IF(B361="","",IFERROR(B361/INDEX($B$2:$B$800,MATCH(DATE(YEAR(A361)-1,12,1),$A$2:$A$800,0))-1,""))</f>
        <v>0.0354714456883689</v>
      </c>
      <c r="E361" s="122" t="n">
        <f aca="false">IF(B361="","",IFERROR(B361/INDEX($B$2:$B$800,MATCH(DATE(YEAR(A361)-1,MONTH(A361),1),$A$2:$A$800,0))-1,""))</f>
        <v>0.0467107426348612</v>
      </c>
    </row>
    <row r="362" customFormat="false" ht="15" hidden="false" customHeight="false" outlineLevel="0" collapsed="false">
      <c r="A362" s="121" t="n">
        <v>45505</v>
      </c>
      <c r="B362" s="43" t="n">
        <v>1134.775</v>
      </c>
      <c r="C362" s="122" t="n">
        <f aca="false">IF(OR(B362="",B361=""),"",B362/B361-1)</f>
        <v>0.006973900450433</v>
      </c>
      <c r="D362" s="122" t="n">
        <f aca="false">IF(B362="","",IFERROR(B362/INDEX($B$2:$B$800,MATCH(DATE(YEAR(A362)-1,12,1),$A$2:$A$800,0))-1,""))</f>
        <v>0.0426927204698655</v>
      </c>
      <c r="E362" s="122" t="n">
        <f aca="false">IF(B362="","",IFERROR(B362/INDEX($B$2:$B$800,MATCH(DATE(YEAR(A362)-1,MONTH(A362),1),$A$2:$A$800,0))-1,""))</f>
        <v>0.0522648115933428</v>
      </c>
    </row>
    <row r="363" customFormat="false" ht="15" hidden="false" customHeight="false" outlineLevel="0" collapsed="false">
      <c r="A363" s="121" t="n">
        <v>45536</v>
      </c>
      <c r="B363" s="43" t="n">
        <v>1141.398</v>
      </c>
      <c r="C363" s="122" t="n">
        <f aca="false">IF(OR(B363="",B362=""),"",B363/B362-1)</f>
        <v>0.00583639928620205</v>
      </c>
      <c r="D363" s="122" t="n">
        <f aca="false">IF(B363="","",IFERROR(B363/INDEX($B$2:$B$800,MATCH(DATE(YEAR(A363)-1,12,1),$A$2:$A$800,0))-1,""))</f>
        <v>0.0487782915193438</v>
      </c>
      <c r="E363" s="122" t="n">
        <f aca="false">IF(B363="","",IFERROR(B363/INDEX($B$2:$B$800,MATCH(DATE(YEAR(A363)-1,MONTH(A363),1),$A$2:$A$800,0))-1,""))</f>
        <v>0.0547951028736609</v>
      </c>
    </row>
    <row r="364" customFormat="false" ht="15" hidden="false" customHeight="false" outlineLevel="0" collapsed="false">
      <c r="A364" s="121" t="n">
        <v>45566</v>
      </c>
      <c r="B364" s="43" t="n">
        <v>1149.17</v>
      </c>
      <c r="C364" s="122" t="n">
        <f aca="false">IF(OR(B364="",B363=""),"",B364/B363-1)</f>
        <v>0.0068091936379775</v>
      </c>
      <c r="D364" s="122" t="n">
        <f aca="false">IF(B364="","",IFERROR(B364/INDEX($B$2:$B$800,MATCH(DATE(YEAR(A364)-1,12,1),$A$2:$A$800,0))-1,""))</f>
        <v>0.055919625989606</v>
      </c>
      <c r="E364" s="122" t="n">
        <f aca="false">IF(B364="","",IFERROR(B364/INDEX($B$2:$B$800,MATCH(DATE(YEAR(A364)-1,MONTH(A364),1),$A$2:$A$800,0))-1,""))</f>
        <v>0.0598833101835201</v>
      </c>
    </row>
    <row r="365" customFormat="false" ht="15" hidden="false" customHeight="false" outlineLevel="0" collapsed="false">
      <c r="A365" s="121" t="n">
        <v>45597</v>
      </c>
      <c r="B365" s="43" t="n">
        <v>1153.725</v>
      </c>
      <c r="C365" s="122" t="n">
        <f aca="false">IF(OR(B365="",B364=""),"",B365/B364-1)</f>
        <v>0.00396373034450948</v>
      </c>
      <c r="D365" s="122" t="n">
        <f aca="false">IF(B365="","",IFERROR(B365/INDEX($B$2:$B$800,MATCH(DATE(YEAR(A365)-1,12,1),$A$2:$A$800,0))-1,""))</f>
        <v>0.0601050066525042</v>
      </c>
      <c r="E365" s="122" t="n">
        <f aca="false">IF(B365="","",IFERROR(B365/INDEX($B$2:$B$800,MATCH(DATE(YEAR(A365)-1,MONTH(A365),1),$A$2:$A$800,0))-1,""))</f>
        <v>0.0633547345311367</v>
      </c>
    </row>
    <row r="366" customFormat="false" ht="15" hidden="false" customHeight="false" outlineLevel="0" collapsed="false">
      <c r="A366" s="121" t="n">
        <v>45627</v>
      </c>
      <c r="B366" s="43" t="n">
        <v>1159.536</v>
      </c>
      <c r="C366" s="122" t="n">
        <f aca="false">IF(OR(B366="",B365=""),"",B366/B365-1)</f>
        <v>0.00503672885653006</v>
      </c>
      <c r="D366" s="122" t="n">
        <f aca="false">IF(B366="","",IFERROR(B366/INDEX($B$2:$B$800,MATCH(DATE(YEAR(A366)-1,12,1),$A$2:$A$800,0))-1,""))</f>
        <v>0.0654444681304627</v>
      </c>
      <c r="E366" s="122" t="n">
        <f aca="false">IF(B366="","",IFERROR(B366/INDEX($B$2:$B$800,MATCH(DATE(YEAR(A366)-1,MONTH(A366),1),$A$2:$A$800,0))-1,""))</f>
        <v>0.0654444681304627</v>
      </c>
    </row>
    <row r="367" customFormat="false" ht="15" hidden="false" customHeight="false" outlineLevel="0" collapsed="false">
      <c r="A367" s="121" t="n">
        <v>45658</v>
      </c>
      <c r="B367" s="43" t="n">
        <v>1169.116</v>
      </c>
      <c r="C367" s="122" t="n">
        <f aca="false">IF(OR(B367="",B366=""),"",B367/B366-1)</f>
        <v>0.00826192545983906</v>
      </c>
      <c r="D367" s="122" t="n">
        <f aca="false">IF(B367="","",IFERROR(B367/INDEX($B$2:$B$800,MATCH(DATE(YEAR(A367)-1,12,1),$A$2:$A$800,0))-1,""))</f>
        <v>0.00826192545983906</v>
      </c>
      <c r="E367" s="122" t="n">
        <f aca="false">IF(B367="","",IFERROR(B367/INDEX($B$2:$B$800,MATCH(DATE(YEAR(A367)-1,MONTH(A367),1),$A$2:$A$800,0))-1,""))</f>
        <v>0.0713548682703322</v>
      </c>
    </row>
    <row r="368" customFormat="false" ht="15" hidden="false" customHeight="false" outlineLevel="0" collapsed="false">
      <c r="A368" s="121" t="n">
        <v>45689</v>
      </c>
      <c r="B368" s="43" t="n">
        <v>1173.775</v>
      </c>
      <c r="C368" s="122" t="n">
        <f aca="false">IF(OR(B368="",B367=""),"",B368/B367-1)</f>
        <v>0.00398506221794936</v>
      </c>
      <c r="D368" s="122" t="n">
        <f aca="false">IF(B368="","",IFERROR(B368/INDEX($B$2:$B$800,MATCH(DATE(YEAR(A368)-1,12,1),$A$2:$A$800,0))-1,""))</f>
        <v>0.0122799119647858</v>
      </c>
      <c r="E368" s="122" t="n">
        <f aca="false">IF(B368="","",IFERROR(B368/INDEX($B$2:$B$800,MATCH(DATE(YEAR(A368)-1,MONTH(A368),1),$A$2:$A$800,0))-1,""))</f>
        <v>0.0742116895537142</v>
      </c>
    </row>
    <row r="369" customFormat="false" ht="15" hidden="false" customHeight="false" outlineLevel="0" collapsed="false">
      <c r="A369" s="121" t="n">
        <v>45717</v>
      </c>
      <c r="B369" s="43" t="n">
        <v>1178.386</v>
      </c>
      <c r="C369" s="122" t="n">
        <f aca="false">IF(OR(B369="",B368=""),"",B369/B368-1)</f>
        <v>0.0039283508338479</v>
      </c>
      <c r="D369" s="122" t="n">
        <f aca="false">IF(B369="","",IFERROR(B369/INDEX($B$2:$B$800,MATCH(DATE(YEAR(A369)-1,12,1),$A$2:$A$800,0))-1,""))</f>
        <v>0.0162565026010404</v>
      </c>
      <c r="E369" s="122" t="n">
        <f aca="false">IF(B369="","",IFERROR(B369/INDEX($B$2:$B$800,MATCH(DATE(YEAR(A369)-1,MONTH(A369),1),$A$2:$A$800,0))-1,""))</f>
        <v>0.0754267899808165</v>
      </c>
    </row>
    <row r="370" customFormat="false" ht="15" hidden="false" customHeight="false" outlineLevel="0" collapsed="false">
      <c r="A370" s="121" t="n">
        <v>45748</v>
      </c>
      <c r="B370" s="43" t="n">
        <v>1184.462</v>
      </c>
      <c r="C370" s="122" t="n">
        <f aca="false">IF(OR(B370="",B369=""),"",B370/B369-1)</f>
        <v>0.00515620518234261</v>
      </c>
      <c r="D370" s="122" t="n">
        <f aca="false">IF(B370="","",IFERROR(B370/INDEX($B$2:$B$800,MATCH(DATE(YEAR(A370)-1,12,1),$A$2:$A$800,0))-1,""))</f>
        <v>0.0214965296463412</v>
      </c>
      <c r="E370" s="122" t="n">
        <f aca="false">IF(B370="","",IFERROR(B370/INDEX($B$2:$B$800,MATCH(DATE(YEAR(A370)-1,MONTH(A370),1),$A$2:$A$800,0))-1,""))</f>
        <v>0.0754256670440689</v>
      </c>
    </row>
    <row r="371" customFormat="false" ht="15" hidden="false" customHeight="false" outlineLevel="0" collapsed="false">
      <c r="A371" s="121" t="n">
        <v>45778</v>
      </c>
      <c r="B371" s="43" t="n">
        <v>1191.327</v>
      </c>
      <c r="C371" s="122" t="n">
        <f aca="false">IF(OR(B371="",B370=""),"",B371/B370-1)</f>
        <v>0.00579588032372502</v>
      </c>
      <c r="D371" s="122" t="n">
        <f aca="false">IF(B371="","",IFERROR(B371/INDEX($B$2:$B$800,MATCH(DATE(YEAR(A371)-1,12,1),$A$2:$A$800,0))-1,""))</f>
        <v>0.027417001283272</v>
      </c>
      <c r="E371" s="122" t="n">
        <f aca="false">IF(B371="","",IFERROR(B371/INDEX($B$2:$B$800,MATCH(DATE(YEAR(A371)-1,MONTH(A371),1),$A$2:$A$800,0))-1,""))</f>
        <v>0.0724106052190727</v>
      </c>
    </row>
    <row r="372" customFormat="false" ht="15" hidden="false" customHeight="false" outlineLevel="0" collapsed="false">
      <c r="A372" s="121" t="n">
        <v>45809</v>
      </c>
      <c r="B372" s="43" t="n">
        <v>1199.509</v>
      </c>
      <c r="C372" s="122" t="n">
        <f aca="false">IF(OR(B372="",B371=""),"",B372/B371-1)</f>
        <v>0.00686797159805841</v>
      </c>
      <c r="D372" s="122" t="n">
        <f aca="false">IF(B372="","",IFERROR(B372/INDEX($B$2:$B$800,MATCH(DATE(YEAR(A372)-1,12,1),$A$2:$A$800,0))-1,""))</f>
        <v>0.0344732720674477</v>
      </c>
      <c r="E372" s="122" t="n">
        <f aca="false">IF(B372="","",IFERROR(B372/INDEX($B$2:$B$800,MATCH(DATE(YEAR(A372)-1,MONTH(A372),1),$A$2:$A$800,0))-1,""))</f>
        <v>0.0721130255169029</v>
      </c>
    </row>
    <row r="373" customFormat="false" ht="15" hidden="false" customHeight="false" outlineLevel="0" collapsed="false">
      <c r="A373" s="121" t="n">
        <v>45839</v>
      </c>
      <c r="B373" s="43" t="n">
        <v>1210.471</v>
      </c>
      <c r="C373" s="122" t="n">
        <f aca="false">IF(OR(B373="",B372=""),"",B373/B372-1)</f>
        <v>0.00913873926748354</v>
      </c>
      <c r="D373" s="122" t="n">
        <f aca="false">IF(B373="","",IFERROR(B373/INDEX($B$2:$B$800,MATCH(DATE(YEAR(A373)-1,12,1),$A$2:$A$800,0))-1,""))</f>
        <v>0.0439270535800527</v>
      </c>
      <c r="E373" s="122" t="n">
        <f aca="false">IF(B373="","",IFERROR(B373/INDEX($B$2:$B$800,MATCH(DATE(YEAR(A373)-1,MONTH(A373),1),$A$2:$A$800,0))-1,""))</f>
        <v>0.0741448342201194</v>
      </c>
    </row>
    <row r="374" customFormat="false" ht="15" hidden="false" customHeight="false" outlineLevel="0" collapsed="false">
      <c r="A374" s="121" t="n">
        <v>45870</v>
      </c>
      <c r="B374" s="43" t="n">
        <v>1216.706</v>
      </c>
      <c r="C374" s="122" t="n">
        <f aca="false">IF(OR(B374="",B373=""),"",B374/B373-1)</f>
        <v>0.00515088754707871</v>
      </c>
      <c r="D374" s="122" t="n">
        <f aca="false">IF(B374="","",IFERROR(B374/INDEX($B$2:$B$800,MATCH(DATE(YEAR(A374)-1,12,1),$A$2:$A$800,0))-1,""))</f>
        <v>0.0493042044403966</v>
      </c>
      <c r="E374" s="122" t="n">
        <f aca="false">IF(B374="","",IFERROR(B374/INDEX($B$2:$B$800,MATCH(DATE(YEAR(A374)-1,MONTH(A374),1),$A$2:$A$800,0))-1,""))</f>
        <v>0.0722002159018307</v>
      </c>
    </row>
    <row r="375" customFormat="false" ht="15" hidden="false" customHeight="false" outlineLevel="0" collapsed="false">
      <c r="A375" s="121" t="n">
        <v>45901</v>
      </c>
      <c r="B375" s="43" t="n">
        <v>1218.747</v>
      </c>
      <c r="C375" s="122" t="n">
        <f aca="false">IF(OR(B375="",B374=""),"",B375/B374-1)</f>
        <v>0.00167748001571466</v>
      </c>
      <c r="D375" s="122" t="n">
        <f aca="false">IF(B375="","",IFERROR(B375/INDEX($B$2:$B$800,MATCH(DATE(YEAR(A375)-1,12,1),$A$2:$A$800,0))-1,""))</f>
        <v>0.051064391273751</v>
      </c>
      <c r="E375" s="122" t="n">
        <f aca="false">IF(B375="","",IFERROR(B375/INDEX($B$2:$B$800,MATCH(DATE(YEAR(A375)-1,MONTH(A375),1),$A$2:$A$800,0))-1,""))</f>
        <v>0.0677668963849596</v>
      </c>
    </row>
    <row r="376" customFormat="false" ht="15" hidden="false" customHeight="false" outlineLevel="0" collapsed="false">
      <c r="A376" s="121" t="n">
        <v>45931</v>
      </c>
      <c r="B376" s="43" t="n">
        <v>1222.356</v>
      </c>
      <c r="C376" s="122" t="n">
        <f aca="false">IF(OR(B376="",B375=""),"",B376/B375-1)</f>
        <v>0.00296123805843207</v>
      </c>
      <c r="D376" s="122" t="n">
        <f aca="false">IF(B376="","",IFERROR(B376/INDEX($B$2:$B$800,MATCH(DATE(YEAR(A376)-1,12,1),$A$2:$A$800,0))-1,""))</f>
        <v>0.0541768431510534</v>
      </c>
      <c r="E376" s="122" t="n">
        <f aca="false">IF(B376="","",IFERROR(B376/INDEX($B$2:$B$800,MATCH(DATE(YEAR(A376)-1,MONTH(A376),1),$A$2:$A$800,0))-1,""))</f>
        <v>0.0636859646527492</v>
      </c>
    </row>
    <row r="377" customFormat="false" ht="15" hidden="false" customHeight="false" outlineLevel="0" collapsed="false">
      <c r="A377" s="121" t="n">
        <v>45962</v>
      </c>
      <c r="B377" s="43" t="n">
        <v>1225.633</v>
      </c>
      <c r="C377" s="122" t="n">
        <f aca="false">IF(OR(B377="",B376=""),"",B377/B376-1)</f>
        <v>0.00268088838276248</v>
      </c>
      <c r="D377" s="122" t="n">
        <f aca="false">IF(B377="","",IFERROR(B377/INDEX($B$2:$B$800,MATCH(DATE(YEAR(A377)-1,12,1),$A$2:$A$800,0))-1,""))</f>
        <v>0.0570029736032345</v>
      </c>
      <c r="E377" s="122" t="n">
        <f aca="false">IF(B377="","",IFERROR(B377/INDEX($B$2:$B$800,MATCH(DATE(YEAR(A377)-1,MONTH(A377),1),$A$2:$A$800,0))-1,""))</f>
        <v>0.0623268109818198</v>
      </c>
    </row>
    <row r="378" customFormat="false" ht="15" hidden="false" customHeight="false" outlineLevel="0" collapsed="false">
      <c r="A378" s="121" t="n">
        <v>45992</v>
      </c>
      <c r="B378" s="43" t="n">
        <v>1228.161</v>
      </c>
      <c r="C378" s="122" t="n">
        <f aca="false">IF(OR(B378="",B377=""),"",B378/B377-1)</f>
        <v>0.00206260764845601</v>
      </c>
      <c r="D378" s="122" t="n">
        <f aca="false">IF(B378="","",IFERROR(B378/INDEX($B$2:$B$800,MATCH(DATE(YEAR(A378)-1,12,1),$A$2:$A$800,0))-1,""))</f>
        <v>0.0591831560210292</v>
      </c>
      <c r="E378" s="122" t="n">
        <f aca="false">IF(B378="","",IFERROR(B378/INDEX($B$2:$B$800,MATCH(DATE(YEAR(A378)-1,MONTH(A378),1),$A$2:$A$800,0))-1,""))</f>
        <v>0.0591831560210292</v>
      </c>
    </row>
    <row r="379" customFormat="false" ht="15" hidden="false" customHeight="false" outlineLevel="0" collapsed="false">
      <c r="A379" s="121" t="n">
        <v>46023</v>
      </c>
      <c r="B379" s="43" t="n">
        <v>1237.036</v>
      </c>
      <c r="C379" s="122" t="n">
        <f aca="false">IF(OR(B379="",B378=""),"",B379/B378-1)</f>
        <v>0.00722625128138743</v>
      </c>
      <c r="D379" s="122" t="n">
        <f aca="false">IF(B379="","",IFERROR(B379/INDEX($B$2:$B$800,MATCH(DATE(YEAR(A379)-1,12,1),$A$2:$A$800,0))-1,""))</f>
        <v>0.00722625128138743</v>
      </c>
      <c r="E379" s="122" t="n">
        <f aca="false">IF(B379="","",IFERROR(B379/INDEX($B$2:$B$800,MATCH(DATE(YEAR(A379)-1,MONTH(A379),1),$A$2:$A$800,0))-1,""))</f>
        <v>0.0580951761843993</v>
      </c>
    </row>
    <row r="380" customFormat="false" ht="15" hidden="false" customHeight="false" outlineLevel="0" collapsed="false">
      <c r="A380" s="121" t="n">
        <v>46054</v>
      </c>
      <c r="B380" s="43" t="n">
        <v>1240.481</v>
      </c>
      <c r="C380" s="122" t="n">
        <f aca="false">IF(OR(B380="",B379=""),"",B380/B379-1)</f>
        <v>0.00278488257415299</v>
      </c>
      <c r="D380" s="122" t="n">
        <f aca="false">IF(B380="","",IFERROR(B380/INDEX($B$2:$B$800,MATCH(DATE(YEAR(A380)-1,12,1),$A$2:$A$800,0))-1,""))</f>
        <v>0.0100312581168103</v>
      </c>
      <c r="E380" s="122" t="n">
        <f aca="false">IF(B380="","",IFERROR(B380/INDEX($B$2:$B$800,MATCH(DATE(YEAR(A380)-1,MONTH(A380),1),$A$2:$A$800,0))-1,""))</f>
        <v>0.0568303124534089</v>
      </c>
    </row>
    <row r="381" customFormat="false" ht="15" hidden="false" customHeight="false" outlineLevel="0" collapsed="false">
      <c r="A381" s="121" t="n">
        <v>46082</v>
      </c>
      <c r="B381" s="43" t="n">
        <v>1247.181</v>
      </c>
      <c r="C381" s="122" t="n">
        <f aca="false">IF(OR(B381="",B380=""),"",B381/B380-1)</f>
        <v>0.0054011306904338</v>
      </c>
      <c r="D381" s="122" t="n">
        <f aca="false">IF(B381="","",IFERROR(B381/INDEX($B$2:$B$800,MATCH(DATE(YEAR(A381)-1,12,1),$A$2:$A$800,0))-1,""))</f>
        <v>0.0154865689433226</v>
      </c>
      <c r="E381" s="122" t="n">
        <f aca="false">IF(B381="","",IFERROR(B381/INDEX($B$2:$B$800,MATCH(DATE(YEAR(A381)-1,MONTH(A381),1),$A$2:$A$800,0))-1,""))</f>
        <v>0.0583807003817085</v>
      </c>
    </row>
    <row r="382" customFormat="false" ht="15" hidden="false" customHeight="false" outlineLevel="0" collapsed="false">
      <c r="A382" s="121" t="n">
        <v>46113</v>
      </c>
      <c r="B382" s="43" t="n">
        <v>1259.652</v>
      </c>
      <c r="C382" s="122" t="n">
        <f aca="false">IF(OR(B382="",B381=""),"",B382/B381-1)</f>
        <v>0.0099993505353273</v>
      </c>
      <c r="D382" s="122" t="n">
        <f aca="false">IF(B382="","",IFERROR(B382/INDEX($B$2:$B$800,MATCH(DATE(YEAR(A382)-1,12,1),$A$2:$A$800,0))-1,""))</f>
        <v>0.0256407751101035</v>
      </c>
      <c r="E382" s="122" t="n">
        <f aca="false">IF(B382="","",IFERROR(B382/INDEX($B$2:$B$800,MATCH(DATE(YEAR(A382)-1,MONTH(A382),1),$A$2:$A$800,0))-1,""))</f>
        <v>0.0634802973839601</v>
      </c>
    </row>
    <row r="383" customFormat="false" ht="15" hidden="false" customHeight="false" outlineLevel="0" collapsed="false">
      <c r="A383" s="121" t="n">
        <v>46143</v>
      </c>
      <c r="B383" s="43" t="n">
        <v>1270.695</v>
      </c>
      <c r="C383" s="122" t="n">
        <f aca="false">IF(OR(B383="",B382=""),"",B383/B382-1)</f>
        <v>0.00876670699526527</v>
      </c>
      <c r="D383" s="122" t="n">
        <f aca="false">IF(B383="","",IFERROR(B383/INDEX($B$2:$B$800,MATCH(DATE(YEAR(A383)-1,12,1),$A$2:$A$800,0))-1,""))</f>
        <v>0.0346322672678907</v>
      </c>
      <c r="E383" s="122" t="n">
        <f aca="false">IF(B383="","",IFERROR(B383/INDEX($B$2:$B$800,MATCH(DATE(YEAR(A383)-1,MONTH(A383),1),$A$2:$A$800,0))-1,""))</f>
        <v>0.0666215069414191</v>
      </c>
    </row>
    <row r="384" customFormat="false" ht="15" hidden="false" customHeight="false" outlineLevel="0" collapsed="false">
      <c r="A384" s="121" t="n">
        <v>46174</v>
      </c>
      <c r="B384" s="43" t="n">
        <v>1280.641</v>
      </c>
      <c r="C384" s="122" t="n">
        <f aca="false">IF(OR(B384="",B383=""),"",B384/B383-1)</f>
        <v>0.00782721266708397</v>
      </c>
      <c r="D384" s="122" t="n">
        <f aca="false">IF(B384="","",IFERROR(B384/INDEX($B$2:$B$800,MATCH(DATE(YEAR(A384)-1,12,1),$A$2:$A$800,0))-1,""))</f>
        <v>0.0427305540560237</v>
      </c>
      <c r="E384" s="122" t="n">
        <f aca="false">IF(B384="","",IFERROR(B384/INDEX($B$2:$B$800,MATCH(DATE(YEAR(A384)-1,MONTH(A384),1),$A$2:$A$800,0))-1,""))</f>
        <v>0.0676376750820544</v>
      </c>
    </row>
    <row r="385" customFormat="false" ht="15" hidden="false" customHeight="false" outlineLevel="0" collapsed="false">
      <c r="A385" s="121" t="n">
        <v>46204</v>
      </c>
      <c r="B385" s="43" t="n">
        <v>1288.431</v>
      </c>
      <c r="C385" s="122" t="n">
        <f aca="false">IF(OR(B385="",B384=""),"",B385/B384-1)</f>
        <v>0.00608289130209005</v>
      </c>
      <c r="D385" s="122" t="n">
        <f aca="false">IF(B385="","",IFERROR(B385/INDEX($B$2:$B$800,MATCH(DATE(YEAR(A385)-1,12,1),$A$2:$A$800,0))-1,""))</f>
        <v>0.0490733706737145</v>
      </c>
      <c r="E385" s="122" t="n">
        <f aca="false">IF(B385="","",IFERROR(B385/INDEX($B$2:$B$800,MATCH(DATE(YEAR(A385)-1,MONTH(A385),1),$A$2:$A$800,0))-1,""))</f>
        <v>0.0644046821443884</v>
      </c>
    </row>
    <row r="386" customFormat="false" ht="15" hidden="false" customHeight="false" outlineLevel="0" collapsed="false">
      <c r="A386" s="121" t="n">
        <v>46235</v>
      </c>
      <c r="B386" s="43" t="n">
        <v>1296.889</v>
      </c>
      <c r="C386" s="122" t="n">
        <f aca="false">IF(OR(B386="",B385=""),"",B386/B385-1)</f>
        <v>0.00656457350063744</v>
      </c>
      <c r="D386" s="122" t="n">
        <f aca="false">IF(B386="","",IFERROR(B386/INDEX($B$2:$B$800,MATCH(DATE(YEAR(A386)-1,12,1),$A$2:$A$800,0))-1,""))</f>
        <v>0.0559600899230637</v>
      </c>
      <c r="E386" s="122" t="n">
        <f aca="false">IF(B386="","",IFERROR(B386/INDEX($B$2:$B$800,MATCH(DATE(YEAR(A386)-1,MONTH(A386),1),$A$2:$A$800,0))-1,""))</f>
        <v>0.0659017050955613</v>
      </c>
    </row>
    <row r="387" customFormat="false" ht="15" hidden="false" customHeight="false" outlineLevel="0" collapsed="false">
      <c r="A387" s="121" t="n">
        <v>46266</v>
      </c>
      <c r="B387" s="43" t="n">
        <v>1299.742</v>
      </c>
      <c r="C387" s="122" t="n">
        <f aca="false">IF(OR(B387="",B386=""),"",B387/B386-1)</f>
        <v>0.00219987986635717</v>
      </c>
      <c r="D387" s="122" t="n">
        <f aca="false">IF(B387="","",IFERROR(B387/INDEX($B$2:$B$800,MATCH(DATE(YEAR(A387)-1,12,1),$A$2:$A$800,0))-1,""))</f>
        <v>0.0582830752645622</v>
      </c>
      <c r="E387" s="122" t="n">
        <f aca="false">IF(B387="","",IFERROR(B387/INDEX($B$2:$B$800,MATCH(DATE(YEAR(A387)-1,MONTH(A387),1),$A$2:$A$800,0))-1,""))</f>
        <v>0.0664575994853731</v>
      </c>
    </row>
    <row r="388" customFormat="false" ht="15" hidden="false" customHeight="false" outlineLevel="0" collapsed="false">
      <c r="A388" s="124"/>
      <c r="B388" s="125"/>
      <c r="C388" s="122" t="str">
        <f aca="false">IF(OR(B388="",B387=""),"",B388/B387-1)</f>
        <v/>
      </c>
      <c r="D388" s="122" t="str">
        <f aca="false">IF(B388="","",IFERROR(B388/INDEX($B$2:$B$800,MATCH(DATE(YEAR(A388)-1,12,1),$A$2:$A$800,0))-1,""))</f>
        <v/>
      </c>
      <c r="E388" s="122" t="str">
        <f aca="false">IF(B388="","",IFERROR(B388/INDEX($B$2:$B$800,MATCH(DATE(YEAR(A388)-1,MONTH(A388),1),$A$2:$A$800,0))-1,""))</f>
        <v/>
      </c>
    </row>
    <row r="389" customFormat="false" ht="15" hidden="false" customHeight="false" outlineLevel="0" collapsed="false">
      <c r="A389" s="124"/>
      <c r="B389" s="125"/>
      <c r="C389" s="122" t="str">
        <f aca="false">IF(OR(B389="",B388=""),"",B389/B388-1)</f>
        <v/>
      </c>
      <c r="D389" s="122" t="str">
        <f aca="false">IF(B389="","",IFERROR(B389/INDEX($B$2:$B$800,MATCH(DATE(YEAR(A389)-1,12,1),$A$2:$A$800,0))-1,""))</f>
        <v/>
      </c>
      <c r="E389" s="122" t="str">
        <f aca="false">IF(B389="","",IFERROR(B389/INDEX($B$2:$B$800,MATCH(DATE(YEAR(A389)-1,MONTH(A389),1),$A$2:$A$800,0))-1,""))</f>
        <v/>
      </c>
    </row>
    <row r="390" customFormat="false" ht="15" hidden="false" customHeight="false" outlineLevel="0" collapsed="false">
      <c r="A390" s="124"/>
      <c r="B390" s="125"/>
      <c r="C390" s="122" t="str">
        <f aca="false">IF(OR(B390="",B389=""),"",B390/B389-1)</f>
        <v/>
      </c>
      <c r="D390" s="122" t="str">
        <f aca="false">IF(B390="","",IFERROR(B390/INDEX($B$2:$B$800,MATCH(DATE(YEAR(A390)-1,12,1),$A$2:$A$800,0))-1,""))</f>
        <v/>
      </c>
      <c r="E390" s="122" t="str">
        <f aca="false">IF(B390="","",IFERROR(B390/INDEX($B$2:$B$800,MATCH(DATE(YEAR(A390)-1,MONTH(A390),1),$A$2:$A$800,0))-1,""))</f>
        <v/>
      </c>
    </row>
    <row r="391" customFormat="false" ht="15" hidden="false" customHeight="false" outlineLevel="0" collapsed="false">
      <c r="A391" s="124"/>
      <c r="B391" s="125"/>
      <c r="C391" s="122" t="str">
        <f aca="false">IF(OR(B391="",B390=""),"",B391/B390-1)</f>
        <v/>
      </c>
      <c r="D391" s="122" t="str">
        <f aca="false">IF(B391="","",IFERROR(B391/INDEX($B$2:$B$800,MATCH(DATE(YEAR(A391)-1,12,1),$A$2:$A$800,0))-1,""))</f>
        <v/>
      </c>
      <c r="E391" s="122" t="str">
        <f aca="false">IF(B391="","",IFERROR(B391/INDEX($B$2:$B$800,MATCH(DATE(YEAR(A391)-1,MONTH(A391),1),$A$2:$A$800,0))-1,""))</f>
        <v/>
      </c>
    </row>
    <row r="392" customFormat="false" ht="15" hidden="false" customHeight="false" outlineLevel="0" collapsed="false">
      <c r="A392" s="124"/>
      <c r="B392" s="125"/>
      <c r="C392" s="122" t="str">
        <f aca="false">IF(OR(B392="",B391=""),"",B392/B391-1)</f>
        <v/>
      </c>
      <c r="D392" s="122" t="str">
        <f aca="false">IF(B392="","",IFERROR(B392/INDEX($B$2:$B$800,MATCH(DATE(YEAR(A392)-1,12,1),$A$2:$A$800,0))-1,""))</f>
        <v/>
      </c>
      <c r="E392" s="122" t="str">
        <f aca="false">IF(B392="","",IFERROR(B392/INDEX($B$2:$B$800,MATCH(DATE(YEAR(A392)-1,MONTH(A392),1),$A$2:$A$800,0))-1,""))</f>
        <v/>
      </c>
    </row>
    <row r="393" customFormat="false" ht="15" hidden="false" customHeight="false" outlineLevel="0" collapsed="false">
      <c r="A393" s="124"/>
      <c r="B393" s="125"/>
      <c r="C393" s="122" t="str">
        <f aca="false">IF(OR(B393="",B392=""),"",B393/B392-1)</f>
        <v/>
      </c>
      <c r="D393" s="122" t="str">
        <f aca="false">IF(B393="","",IFERROR(B393/INDEX($B$2:$B$800,MATCH(DATE(YEAR(A393)-1,12,1),$A$2:$A$800,0))-1,""))</f>
        <v/>
      </c>
      <c r="E393" s="122" t="str">
        <f aca="false">IF(B393="","",IFERROR(B393/INDEX($B$2:$B$800,MATCH(DATE(YEAR(A393)-1,MONTH(A393),1),$A$2:$A$800,0))-1,""))</f>
        <v/>
      </c>
    </row>
    <row r="394" customFormat="false" ht="15" hidden="false" customHeight="false" outlineLevel="0" collapsed="false">
      <c r="A394" s="124"/>
      <c r="B394" s="125"/>
      <c r="C394" s="122" t="str">
        <f aca="false">IF(OR(B394="",B393=""),"",B394/B393-1)</f>
        <v/>
      </c>
      <c r="D394" s="122" t="str">
        <f aca="false">IF(B394="","",IFERROR(B394/INDEX($B$2:$B$800,MATCH(DATE(YEAR(A394)-1,12,1),$A$2:$A$800,0))-1,""))</f>
        <v/>
      </c>
      <c r="E394" s="122" t="str">
        <f aca="false">IF(B394="","",IFERROR(B394/INDEX($B$2:$B$800,MATCH(DATE(YEAR(A394)-1,MONTH(A394),1),$A$2:$A$800,0))-1,""))</f>
        <v/>
      </c>
    </row>
    <row r="395" customFormat="false" ht="15" hidden="false" customHeight="false" outlineLevel="0" collapsed="false">
      <c r="A395" s="124"/>
      <c r="B395" s="125"/>
      <c r="C395" s="122" t="str">
        <f aca="false">IF(OR(B395="",B394=""),"",B395/B394-1)</f>
        <v/>
      </c>
      <c r="D395" s="122" t="str">
        <f aca="false">IF(B395="","",IFERROR(B395/INDEX($B$2:$B$800,MATCH(DATE(YEAR(A395)-1,12,1),$A$2:$A$800,0))-1,""))</f>
        <v/>
      </c>
      <c r="E395" s="122" t="str">
        <f aca="false">IF(B395="","",IFERROR(B395/INDEX($B$2:$B$800,MATCH(DATE(YEAR(A395)-1,MONTH(A395),1),$A$2:$A$800,0))-1,""))</f>
        <v/>
      </c>
    </row>
    <row r="396" customFormat="false" ht="15" hidden="false" customHeight="false" outlineLevel="0" collapsed="false">
      <c r="A396" s="124"/>
      <c r="B396" s="125"/>
      <c r="C396" s="122" t="str">
        <f aca="false">IF(OR(B396="",B395=""),"",B396/B395-1)</f>
        <v/>
      </c>
      <c r="D396" s="122" t="str">
        <f aca="false">IF(B396="","",IFERROR(B396/INDEX($B$2:$B$800,MATCH(DATE(YEAR(A396)-1,12,1),$A$2:$A$800,0))-1,""))</f>
        <v/>
      </c>
      <c r="E396" s="122" t="str">
        <f aca="false">IF(B396="","",IFERROR(B396/INDEX($B$2:$B$800,MATCH(DATE(YEAR(A396)-1,MONTH(A396),1),$A$2:$A$800,0))-1,""))</f>
        <v/>
      </c>
    </row>
    <row r="397" customFormat="false" ht="15" hidden="false" customHeight="false" outlineLevel="0" collapsed="false">
      <c r="A397" s="124"/>
      <c r="B397" s="125"/>
      <c r="C397" s="122" t="str">
        <f aca="false">IF(OR(B397="",B396=""),"",B397/B396-1)</f>
        <v/>
      </c>
      <c r="D397" s="122" t="str">
        <f aca="false">IF(B397="","",IFERROR(B397/INDEX($B$2:$B$800,MATCH(DATE(YEAR(A397)-1,12,1),$A$2:$A$800,0))-1,""))</f>
        <v/>
      </c>
      <c r="E397" s="122" t="str">
        <f aca="false">IF(B397="","",IFERROR(B397/INDEX($B$2:$B$800,MATCH(DATE(YEAR(A397)-1,MONTH(A397),1),$A$2:$A$800,0))-1,""))</f>
        <v/>
      </c>
    </row>
    <row r="398" customFormat="false" ht="15" hidden="false" customHeight="false" outlineLevel="0" collapsed="false">
      <c r="A398" s="124"/>
      <c r="B398" s="125"/>
      <c r="C398" s="122" t="str">
        <f aca="false">IF(OR(B398="",B397=""),"",B398/B397-1)</f>
        <v/>
      </c>
      <c r="D398" s="122" t="str">
        <f aca="false">IF(B398="","",IFERROR(B398/INDEX($B$2:$B$800,MATCH(DATE(YEAR(A398)-1,12,1),$A$2:$A$800,0))-1,""))</f>
        <v/>
      </c>
      <c r="E398" s="122" t="str">
        <f aca="false">IF(B398="","",IFERROR(B398/INDEX($B$2:$B$800,MATCH(DATE(YEAR(A398)-1,MONTH(A398),1),$A$2:$A$800,0))-1,""))</f>
        <v/>
      </c>
    </row>
    <row r="399" customFormat="false" ht="15" hidden="false" customHeight="false" outlineLevel="0" collapsed="false">
      <c r="A399" s="124"/>
      <c r="B399" s="125"/>
      <c r="C399" s="122" t="str">
        <f aca="false">IF(OR(B399="",B398=""),"",B399/B398-1)</f>
        <v/>
      </c>
      <c r="D399" s="122" t="str">
        <f aca="false">IF(B399="","",IFERROR(B399/INDEX($B$2:$B$800,MATCH(DATE(YEAR(A399)-1,12,1),$A$2:$A$800,0))-1,""))</f>
        <v/>
      </c>
      <c r="E399" s="122" t="str">
        <f aca="false">IF(B399="","",IFERROR(B399/INDEX($B$2:$B$800,MATCH(DATE(YEAR(A399)-1,MONTH(A399),1),$A$2:$A$800,0))-1,""))</f>
        <v/>
      </c>
    </row>
    <row r="400" customFormat="false" ht="15" hidden="false" customHeight="false" outlineLevel="0" collapsed="false">
      <c r="A400" s="124"/>
      <c r="B400" s="125"/>
      <c r="C400" s="122" t="str">
        <f aca="false">IF(OR(B400="",B399=""),"",B400/B399-1)</f>
        <v/>
      </c>
      <c r="D400" s="122" t="str">
        <f aca="false">IF(B400="","",IFERROR(B400/INDEX($B$2:$B$800,MATCH(DATE(YEAR(A400)-1,12,1),$A$2:$A$800,0))-1,""))</f>
        <v/>
      </c>
      <c r="E400" s="122" t="str">
        <f aca="false">IF(B400="","",IFERROR(B400/INDEX($B$2:$B$800,MATCH(DATE(YEAR(A400)-1,MONTH(A400),1),$A$2:$A$800,0))-1,""))</f>
        <v/>
      </c>
    </row>
    <row r="401" customFormat="false" ht="15" hidden="false" customHeight="false" outlineLevel="0" collapsed="false">
      <c r="A401" s="124"/>
      <c r="B401" s="125"/>
      <c r="C401" s="122" t="str">
        <f aca="false">IF(OR(B401="",B400=""),"",B401/B400-1)</f>
        <v/>
      </c>
      <c r="D401" s="122" t="str">
        <f aca="false">IF(B401="","",IFERROR(B401/INDEX($B$2:$B$800,MATCH(DATE(YEAR(A401)-1,12,1),$A$2:$A$800,0))-1,""))</f>
        <v/>
      </c>
      <c r="E401" s="122" t="str">
        <f aca="false">IF(B401="","",IFERROR(B401/INDEX($B$2:$B$800,MATCH(DATE(YEAR(A401)-1,MONTH(A401),1),$A$2:$A$800,0))-1,""))</f>
        <v/>
      </c>
    </row>
    <row r="402" customFormat="false" ht="15" hidden="false" customHeight="false" outlineLevel="0" collapsed="false">
      <c r="A402" s="124"/>
      <c r="B402" s="125"/>
      <c r="C402" s="122" t="str">
        <f aca="false">IF(OR(B402="",B401=""),"",B402/B401-1)</f>
        <v/>
      </c>
      <c r="D402" s="122" t="str">
        <f aca="false">IF(B402="","",IFERROR(B402/INDEX($B$2:$B$800,MATCH(DATE(YEAR(A402)-1,12,1),$A$2:$A$800,0))-1,""))</f>
        <v/>
      </c>
      <c r="E402" s="122" t="str">
        <f aca="false">IF(B402="","",IFERROR(B402/INDEX($B$2:$B$800,MATCH(DATE(YEAR(A402)-1,MONTH(A402),1),$A$2:$A$800,0))-1,""))</f>
        <v/>
      </c>
    </row>
    <row r="403" customFormat="false" ht="15" hidden="false" customHeight="false" outlineLevel="0" collapsed="false">
      <c r="A403" s="124"/>
      <c r="B403" s="125"/>
      <c r="C403" s="122" t="str">
        <f aca="false">IF(OR(B403="",B402=""),"",B403/B402-1)</f>
        <v/>
      </c>
      <c r="D403" s="122" t="str">
        <f aca="false">IF(B403="","",IFERROR(B403/INDEX($B$2:$B$800,MATCH(DATE(YEAR(A403)-1,12,1),$A$2:$A$800,0))-1,""))</f>
        <v/>
      </c>
      <c r="E403" s="122" t="str">
        <f aca="false">IF(B403="","",IFERROR(B403/INDEX($B$2:$B$800,MATCH(DATE(YEAR(A403)-1,MONTH(A403),1),$A$2:$A$800,0))-1,""))</f>
        <v/>
      </c>
    </row>
    <row r="404" customFormat="false" ht="15" hidden="false" customHeight="false" outlineLevel="0" collapsed="false">
      <c r="A404" s="124"/>
      <c r="B404" s="125"/>
      <c r="C404" s="122" t="str">
        <f aca="false">IF(OR(B404="",B403=""),"",B404/B403-1)</f>
        <v/>
      </c>
      <c r="D404" s="122" t="str">
        <f aca="false">IF(B404="","",IFERROR(B404/INDEX($B$2:$B$800,MATCH(DATE(YEAR(A404)-1,12,1),$A$2:$A$800,0))-1,""))</f>
        <v/>
      </c>
      <c r="E404" s="122" t="str">
        <f aca="false">IF(B404="","",IFERROR(B404/INDEX($B$2:$B$800,MATCH(DATE(YEAR(A404)-1,MONTH(A404),1),$A$2:$A$800,0))-1,""))</f>
        <v/>
      </c>
    </row>
    <row r="405" customFormat="false" ht="15" hidden="false" customHeight="false" outlineLevel="0" collapsed="false">
      <c r="A405" s="124"/>
      <c r="B405" s="125"/>
      <c r="C405" s="122" t="str">
        <f aca="false">IF(OR(B405="",B404=""),"",B405/B404-1)</f>
        <v/>
      </c>
      <c r="D405" s="122" t="str">
        <f aca="false">IF(B405="","",IFERROR(B405/INDEX($B$2:$B$800,MATCH(DATE(YEAR(A405)-1,12,1),$A$2:$A$800,0))-1,""))</f>
        <v/>
      </c>
      <c r="E405" s="122" t="str">
        <f aca="false">IF(B405="","",IFERROR(B405/INDEX($B$2:$B$800,MATCH(DATE(YEAR(A405)-1,MONTH(A405),1),$A$2:$A$800,0))-1,""))</f>
        <v/>
      </c>
    </row>
    <row r="406" customFormat="false" ht="15" hidden="false" customHeight="false" outlineLevel="0" collapsed="false">
      <c r="A406" s="124"/>
      <c r="B406" s="125"/>
      <c r="C406" s="122" t="str">
        <f aca="false">IF(OR(B406="",B405=""),"",B406/B405-1)</f>
        <v/>
      </c>
      <c r="D406" s="122" t="str">
        <f aca="false">IF(B406="","",IFERROR(B406/INDEX($B$2:$B$800,MATCH(DATE(YEAR(A406)-1,12,1),$A$2:$A$800,0))-1,""))</f>
        <v/>
      </c>
      <c r="E406" s="122" t="str">
        <f aca="false">IF(B406="","",IFERROR(B406/INDEX($B$2:$B$800,MATCH(DATE(YEAR(A406)-1,MONTH(A406),1),$A$2:$A$800,0))-1,""))</f>
        <v/>
      </c>
    </row>
    <row r="407" customFormat="false" ht="15" hidden="false" customHeight="false" outlineLevel="0" collapsed="false">
      <c r="A407" s="124"/>
      <c r="B407" s="125"/>
      <c r="C407" s="122" t="str">
        <f aca="false">IF(OR(B407="",B406=""),"",B407/B406-1)</f>
        <v/>
      </c>
      <c r="D407" s="122" t="str">
        <f aca="false">IF(B407="","",IFERROR(B407/INDEX($B$2:$B$800,MATCH(DATE(YEAR(A407)-1,12,1),$A$2:$A$800,0))-1,""))</f>
        <v/>
      </c>
      <c r="E407" s="122" t="str">
        <f aca="false">IF(B407="","",IFERROR(B407/INDEX($B$2:$B$800,MATCH(DATE(YEAR(A407)-1,MONTH(A407),1),$A$2:$A$800,0))-1,""))</f>
        <v/>
      </c>
    </row>
    <row r="408" customFormat="false" ht="15" hidden="false" customHeight="false" outlineLevel="0" collapsed="false">
      <c r="A408" s="124"/>
      <c r="B408" s="125"/>
      <c r="C408" s="122" t="str">
        <f aca="false">IF(OR(B408="",B407=""),"",B408/B407-1)</f>
        <v/>
      </c>
      <c r="D408" s="122" t="str">
        <f aca="false">IF(B408="","",IFERROR(B408/INDEX($B$2:$B$800,MATCH(DATE(YEAR(A408)-1,12,1),$A$2:$A$800,0))-1,""))</f>
        <v/>
      </c>
      <c r="E408" s="122" t="str">
        <f aca="false">IF(B408="","",IFERROR(B408/INDEX($B$2:$B$800,MATCH(DATE(YEAR(A408)-1,MONTH(A408),1),$A$2:$A$800,0))-1,""))</f>
        <v/>
      </c>
    </row>
    <row r="409" customFormat="false" ht="15" hidden="false" customHeight="false" outlineLevel="0" collapsed="false">
      <c r="A409" s="124"/>
      <c r="B409" s="125"/>
      <c r="C409" s="122" t="str">
        <f aca="false">IF(OR(B409="",B408=""),"",B409/B408-1)</f>
        <v/>
      </c>
      <c r="D409" s="122" t="str">
        <f aca="false">IF(B409="","",IFERROR(B409/INDEX($B$2:$B$800,MATCH(DATE(YEAR(A409)-1,12,1),$A$2:$A$800,0))-1,""))</f>
        <v/>
      </c>
      <c r="E409" s="122" t="str">
        <f aca="false">IF(B409="","",IFERROR(B409/INDEX($B$2:$B$800,MATCH(DATE(YEAR(A409)-1,MONTH(A409),1),$A$2:$A$800,0))-1,""))</f>
        <v/>
      </c>
    </row>
    <row r="410" customFormat="false" ht="15" hidden="false" customHeight="false" outlineLevel="0" collapsed="false">
      <c r="A410" s="124"/>
      <c r="B410" s="125"/>
      <c r="C410" s="122" t="str">
        <f aca="false">IF(OR(B410="",B409=""),"",B410/B409-1)</f>
        <v/>
      </c>
      <c r="D410" s="122" t="str">
        <f aca="false">IF(B410="","",IFERROR(B410/INDEX($B$2:$B$800,MATCH(DATE(YEAR(A410)-1,12,1),$A$2:$A$800,0))-1,""))</f>
        <v/>
      </c>
      <c r="E410" s="122" t="str">
        <f aca="false">IF(B410="","",IFERROR(B410/INDEX($B$2:$B$800,MATCH(DATE(YEAR(A410)-1,MONTH(A410),1),$A$2:$A$800,0))-1,""))</f>
        <v/>
      </c>
    </row>
    <row r="411" customFormat="false" ht="15" hidden="false" customHeight="false" outlineLevel="0" collapsed="false">
      <c r="A411" s="124"/>
      <c r="B411" s="125"/>
      <c r="C411" s="122" t="str">
        <f aca="false">IF(OR(B411="",B410=""),"",B411/B410-1)</f>
        <v/>
      </c>
      <c r="D411" s="122" t="str">
        <f aca="false">IF(B411="","",IFERROR(B411/INDEX($B$2:$B$800,MATCH(DATE(YEAR(A411)-1,12,1),$A$2:$A$800,0))-1,""))</f>
        <v/>
      </c>
      <c r="E411" s="122" t="str">
        <f aca="false">IF(B411="","",IFERROR(B411/INDEX($B$2:$B$800,MATCH(DATE(YEAR(A411)-1,MONTH(A411),1),$A$2:$A$800,0))-1,""))</f>
        <v/>
      </c>
    </row>
    <row r="412" customFormat="false" ht="15" hidden="false" customHeight="false" outlineLevel="0" collapsed="false">
      <c r="A412" s="124"/>
      <c r="B412" s="125"/>
      <c r="C412" s="122" t="str">
        <f aca="false">IF(OR(B412="",B411=""),"",B412/B411-1)</f>
        <v/>
      </c>
      <c r="D412" s="122" t="str">
        <f aca="false">IF(B412="","",IFERROR(B412/INDEX($B$2:$B$800,MATCH(DATE(YEAR(A412)-1,12,1),$A$2:$A$800,0))-1,""))</f>
        <v/>
      </c>
      <c r="E412" s="122" t="str">
        <f aca="false">IF(B412="","",IFERROR(B412/INDEX($B$2:$B$800,MATCH(DATE(YEAR(A412)-1,MONTH(A412),1),$A$2:$A$800,0))-1,""))</f>
        <v/>
      </c>
    </row>
    <row r="413" customFormat="false" ht="15" hidden="false" customHeight="false" outlineLevel="0" collapsed="false">
      <c r="A413" s="124"/>
      <c r="B413" s="125"/>
      <c r="C413" s="122" t="str">
        <f aca="false">IF(OR(B413="",B412=""),"",B413/B412-1)</f>
        <v/>
      </c>
      <c r="D413" s="122" t="str">
        <f aca="false">IF(B413="","",IFERROR(B413/INDEX($B$2:$B$800,MATCH(DATE(YEAR(A413)-1,12,1),$A$2:$A$800,0))-1,""))</f>
        <v/>
      </c>
      <c r="E413" s="122" t="str">
        <f aca="false">IF(B413="","",IFERROR(B413/INDEX($B$2:$B$800,MATCH(DATE(YEAR(A413)-1,MONTH(A413),1),$A$2:$A$800,0))-1,""))</f>
        <v/>
      </c>
    </row>
    <row r="414" customFormat="false" ht="15" hidden="false" customHeight="false" outlineLevel="0" collapsed="false">
      <c r="A414" s="124"/>
      <c r="B414" s="125"/>
      <c r="C414" s="122" t="str">
        <f aca="false">IF(OR(B414="",B413=""),"",B414/B413-1)</f>
        <v/>
      </c>
      <c r="D414" s="122" t="str">
        <f aca="false">IF(B414="","",IFERROR(B414/INDEX($B$2:$B$800,MATCH(DATE(YEAR(A414)-1,12,1),$A$2:$A$800,0))-1,""))</f>
        <v/>
      </c>
      <c r="E414" s="122" t="str">
        <f aca="false">IF(B414="","",IFERROR(B414/INDEX($B$2:$B$800,MATCH(DATE(YEAR(A414)-1,MONTH(A414),1),$A$2:$A$800,0))-1,""))</f>
        <v/>
      </c>
    </row>
    <row r="415" customFormat="false" ht="15" hidden="false" customHeight="false" outlineLevel="0" collapsed="false">
      <c r="A415" s="124"/>
      <c r="B415" s="125"/>
      <c r="C415" s="122" t="str">
        <f aca="false">IF(OR(B415="",B414=""),"",B415/B414-1)</f>
        <v/>
      </c>
      <c r="D415" s="122" t="str">
        <f aca="false">IF(B415="","",IFERROR(B415/INDEX($B$2:$B$800,MATCH(DATE(YEAR(A415)-1,12,1),$A$2:$A$800,0))-1,""))</f>
        <v/>
      </c>
      <c r="E415" s="122" t="str">
        <f aca="false">IF(B415="","",IFERROR(B415/INDEX($B$2:$B$800,MATCH(DATE(YEAR(A415)-1,MONTH(A415),1),$A$2:$A$800,0))-1,""))</f>
        <v/>
      </c>
    </row>
    <row r="416" customFormat="false" ht="15" hidden="false" customHeight="false" outlineLevel="0" collapsed="false">
      <c r="A416" s="124"/>
      <c r="B416" s="125"/>
      <c r="C416" s="122" t="str">
        <f aca="false">IF(OR(B416="",B415=""),"",B416/B415-1)</f>
        <v/>
      </c>
      <c r="D416" s="122" t="str">
        <f aca="false">IF(B416="","",IFERROR(B416/INDEX($B$2:$B$800,MATCH(DATE(YEAR(A416)-1,12,1),$A$2:$A$800,0))-1,""))</f>
        <v/>
      </c>
      <c r="E416" s="122" t="str">
        <f aca="false">IF(B416="","",IFERROR(B416/INDEX($B$2:$B$800,MATCH(DATE(YEAR(A416)-1,MONTH(A416),1),$A$2:$A$800,0))-1,""))</f>
        <v/>
      </c>
    </row>
    <row r="417" customFormat="false" ht="15" hidden="false" customHeight="false" outlineLevel="0" collapsed="false">
      <c r="A417" s="124"/>
      <c r="B417" s="125"/>
      <c r="C417" s="122" t="str">
        <f aca="false">IF(OR(B417="",B416=""),"",B417/B416-1)</f>
        <v/>
      </c>
      <c r="D417" s="122" t="str">
        <f aca="false">IF(B417="","",IFERROR(B417/INDEX($B$2:$B$800,MATCH(DATE(YEAR(A417)-1,12,1),$A$2:$A$800,0))-1,""))</f>
        <v/>
      </c>
      <c r="E417" s="122" t="str">
        <f aca="false">IF(B417="","",IFERROR(B417/INDEX($B$2:$B$800,MATCH(DATE(YEAR(A417)-1,MONTH(A417),1),$A$2:$A$800,0))-1,""))</f>
        <v/>
      </c>
    </row>
    <row r="418" customFormat="false" ht="15" hidden="false" customHeight="false" outlineLevel="0" collapsed="false">
      <c r="A418" s="124"/>
      <c r="B418" s="125"/>
      <c r="C418" s="122" t="str">
        <f aca="false">IF(OR(B418="",B417=""),"",B418/B417-1)</f>
        <v/>
      </c>
      <c r="D418" s="122" t="str">
        <f aca="false">IF(B418="","",IFERROR(B418/INDEX($B$2:$B$800,MATCH(DATE(YEAR(A418)-1,12,1),$A$2:$A$800,0))-1,""))</f>
        <v/>
      </c>
      <c r="E418" s="122" t="str">
        <f aca="false">IF(B418="","",IFERROR(B418/INDEX($B$2:$B$800,MATCH(DATE(YEAR(A418)-1,MONTH(A418),1),$A$2:$A$800,0))-1,""))</f>
        <v/>
      </c>
    </row>
    <row r="419" customFormat="false" ht="15" hidden="false" customHeight="false" outlineLevel="0" collapsed="false">
      <c r="A419" s="124"/>
      <c r="B419" s="125"/>
      <c r="C419" s="122" t="str">
        <f aca="false">IF(OR(B419="",B418=""),"",B419/B418-1)</f>
        <v/>
      </c>
      <c r="D419" s="122" t="str">
        <f aca="false">IF(B419="","",IFERROR(B419/INDEX($B$2:$B$800,MATCH(DATE(YEAR(A419)-1,12,1),$A$2:$A$800,0))-1,""))</f>
        <v/>
      </c>
      <c r="E419" s="122" t="str">
        <f aca="false">IF(B419="","",IFERROR(B419/INDEX($B$2:$B$800,MATCH(DATE(YEAR(A419)-1,MONTH(A419),1),$A$2:$A$800,0))-1,""))</f>
        <v/>
      </c>
    </row>
    <row r="420" customFormat="false" ht="15" hidden="false" customHeight="false" outlineLevel="0" collapsed="false">
      <c r="A420" s="124"/>
      <c r="B420" s="125"/>
      <c r="C420" s="122" t="str">
        <f aca="false">IF(OR(B420="",B419=""),"",B420/B419-1)</f>
        <v/>
      </c>
      <c r="D420" s="122" t="str">
        <f aca="false">IF(B420="","",IFERROR(B420/INDEX($B$2:$B$800,MATCH(DATE(YEAR(A420)-1,12,1),$A$2:$A$800,0))-1,""))</f>
        <v/>
      </c>
      <c r="E420" s="122" t="str">
        <f aca="false">IF(B420="","",IFERROR(B420/INDEX($B$2:$B$800,MATCH(DATE(YEAR(A420)-1,MONTH(A420),1),$A$2:$A$800,0))-1,""))</f>
        <v/>
      </c>
    </row>
    <row r="421" customFormat="false" ht="15" hidden="false" customHeight="false" outlineLevel="0" collapsed="false">
      <c r="A421" s="124"/>
      <c r="B421" s="125"/>
      <c r="C421" s="122" t="str">
        <f aca="false">IF(OR(B421="",B420=""),"",B421/B420-1)</f>
        <v/>
      </c>
      <c r="D421" s="122" t="str">
        <f aca="false">IF(B421="","",IFERROR(B421/INDEX($B$2:$B$800,MATCH(DATE(YEAR(A421)-1,12,1),$A$2:$A$800,0))-1,""))</f>
        <v/>
      </c>
      <c r="E421" s="122" t="str">
        <f aca="false">IF(B421="","",IFERROR(B421/INDEX($B$2:$B$800,MATCH(DATE(YEAR(A421)-1,MONTH(A421),1),$A$2:$A$800,0))-1,""))</f>
        <v/>
      </c>
    </row>
    <row r="422" customFormat="false" ht="15" hidden="false" customHeight="false" outlineLevel="0" collapsed="false">
      <c r="A422" s="124"/>
      <c r="B422" s="125"/>
      <c r="C422" s="122" t="str">
        <f aca="false">IF(OR(B422="",B421=""),"",B422/B421-1)</f>
        <v/>
      </c>
      <c r="D422" s="122" t="str">
        <f aca="false">IF(B422="","",IFERROR(B422/INDEX($B$2:$B$800,MATCH(DATE(YEAR(A422)-1,12,1),$A$2:$A$800,0))-1,""))</f>
        <v/>
      </c>
      <c r="E422" s="122" t="str">
        <f aca="false">IF(B422="","",IFERROR(B422/INDEX($B$2:$B$800,MATCH(DATE(YEAR(A422)-1,MONTH(A422),1),$A$2:$A$800,0))-1,""))</f>
        <v/>
      </c>
    </row>
    <row r="423" customFormat="false" ht="15" hidden="false" customHeight="false" outlineLevel="0" collapsed="false">
      <c r="A423" s="124"/>
      <c r="B423" s="125"/>
      <c r="C423" s="122" t="str">
        <f aca="false">IF(OR(B423="",B422=""),"",B423/B422-1)</f>
        <v/>
      </c>
      <c r="D423" s="122" t="str">
        <f aca="false">IF(B423="","",IFERROR(B423/INDEX($B$2:$B$800,MATCH(DATE(YEAR(A423)-1,12,1),$A$2:$A$800,0))-1,""))</f>
        <v/>
      </c>
      <c r="E423" s="122" t="str">
        <f aca="false">IF(B423="","",IFERROR(B423/INDEX($B$2:$B$800,MATCH(DATE(YEAR(A423)-1,MONTH(A423),1),$A$2:$A$800,0))-1,""))</f>
        <v/>
      </c>
    </row>
    <row r="424" customFormat="false" ht="15" hidden="false" customHeight="false" outlineLevel="0" collapsed="false">
      <c r="A424" s="124"/>
      <c r="B424" s="125"/>
      <c r="C424" s="122" t="str">
        <f aca="false">IF(OR(B424="",B423=""),"",B424/B423-1)</f>
        <v/>
      </c>
      <c r="D424" s="122" t="str">
        <f aca="false">IF(B424="","",IFERROR(B424/INDEX($B$2:$B$800,MATCH(DATE(YEAR(A424)-1,12,1),$A$2:$A$800,0))-1,""))</f>
        <v/>
      </c>
      <c r="E424" s="122" t="str">
        <f aca="false">IF(B424="","",IFERROR(B424/INDEX($B$2:$B$800,MATCH(DATE(YEAR(A424)-1,MONTH(A424),1),$A$2:$A$800,0))-1,""))</f>
        <v/>
      </c>
    </row>
    <row r="425" customFormat="false" ht="15" hidden="false" customHeight="false" outlineLevel="0" collapsed="false">
      <c r="A425" s="124"/>
      <c r="B425" s="125"/>
      <c r="C425" s="122" t="str">
        <f aca="false">IF(OR(B425="",B424=""),"",B425/B424-1)</f>
        <v/>
      </c>
      <c r="D425" s="122" t="str">
        <f aca="false">IF(B425="","",IFERROR(B425/INDEX($B$2:$B$800,MATCH(DATE(YEAR(A425)-1,12,1),$A$2:$A$800,0))-1,""))</f>
        <v/>
      </c>
      <c r="E425" s="122" t="str">
        <f aca="false">IF(B425="","",IFERROR(B425/INDEX($B$2:$B$800,MATCH(DATE(YEAR(A425)-1,MONTH(A425),1),$A$2:$A$800,0))-1,""))</f>
        <v/>
      </c>
    </row>
    <row r="426" customFormat="false" ht="15" hidden="false" customHeight="false" outlineLevel="0" collapsed="false">
      <c r="A426" s="124"/>
      <c r="B426" s="125"/>
      <c r="C426" s="122" t="str">
        <f aca="false">IF(OR(B426="",B425=""),"",B426/B425-1)</f>
        <v/>
      </c>
      <c r="D426" s="122" t="str">
        <f aca="false">IF(B426="","",IFERROR(B426/INDEX($B$2:$B$800,MATCH(DATE(YEAR(A426)-1,12,1),$A$2:$A$800,0))-1,""))</f>
        <v/>
      </c>
      <c r="E426" s="122" t="str">
        <f aca="false">IF(B426="","",IFERROR(B426/INDEX($B$2:$B$800,MATCH(DATE(YEAR(A426)-1,MONTH(A426),1),$A$2:$A$800,0))-1,""))</f>
        <v/>
      </c>
    </row>
    <row r="427" customFormat="false" ht="15" hidden="false" customHeight="false" outlineLevel="0" collapsed="false">
      <c r="A427" s="124"/>
      <c r="B427" s="125"/>
      <c r="C427" s="122" t="str">
        <f aca="false">IF(OR(B427="",B426=""),"",B427/B426-1)</f>
        <v/>
      </c>
      <c r="D427" s="122" t="str">
        <f aca="false">IF(B427="","",IFERROR(B427/INDEX($B$2:$B$800,MATCH(DATE(YEAR(A427)-1,12,1),$A$2:$A$800,0))-1,""))</f>
        <v/>
      </c>
      <c r="E427" s="122" t="str">
        <f aca="false">IF(B427="","",IFERROR(B427/INDEX($B$2:$B$800,MATCH(DATE(YEAR(A427)-1,MONTH(A427),1),$A$2:$A$800,0))-1,""))</f>
        <v/>
      </c>
    </row>
    <row r="428" customFormat="false" ht="15" hidden="false" customHeight="false" outlineLevel="0" collapsed="false">
      <c r="A428" s="124"/>
      <c r="B428" s="125"/>
      <c r="C428" s="122" t="str">
        <f aca="false">IF(OR(B428="",B427=""),"",B428/B427-1)</f>
        <v/>
      </c>
      <c r="D428" s="122" t="str">
        <f aca="false">IF(B428="","",IFERROR(B428/INDEX($B$2:$B$800,MATCH(DATE(YEAR(A428)-1,12,1),$A$2:$A$800,0))-1,""))</f>
        <v/>
      </c>
      <c r="E428" s="122" t="str">
        <f aca="false">IF(B428="","",IFERROR(B428/INDEX($B$2:$B$800,MATCH(DATE(YEAR(A428)-1,MONTH(A428),1),$A$2:$A$800,0))-1,""))</f>
        <v/>
      </c>
    </row>
    <row r="429" customFormat="false" ht="15" hidden="false" customHeight="false" outlineLevel="0" collapsed="false">
      <c r="A429" s="124"/>
      <c r="B429" s="125"/>
      <c r="C429" s="122" t="str">
        <f aca="false">IF(OR(B429="",B428=""),"",B429/B428-1)</f>
        <v/>
      </c>
      <c r="D429" s="122" t="str">
        <f aca="false">IF(B429="","",IFERROR(B429/INDEX($B$2:$B$800,MATCH(DATE(YEAR(A429)-1,12,1),$A$2:$A$800,0))-1,""))</f>
        <v/>
      </c>
      <c r="E429" s="122" t="str">
        <f aca="false">IF(B429="","",IFERROR(B429/INDEX($B$2:$B$800,MATCH(DATE(YEAR(A429)-1,MONTH(A429),1),$A$2:$A$800,0))-1,""))</f>
        <v/>
      </c>
    </row>
    <row r="430" customFormat="false" ht="15" hidden="false" customHeight="false" outlineLevel="0" collapsed="false">
      <c r="A430" s="124"/>
      <c r="B430" s="125"/>
      <c r="C430" s="122" t="str">
        <f aca="false">IF(OR(B430="",B429=""),"",B430/B429-1)</f>
        <v/>
      </c>
      <c r="D430" s="122" t="str">
        <f aca="false">IF(B430="","",IFERROR(B430/INDEX($B$2:$B$800,MATCH(DATE(YEAR(A430)-1,12,1),$A$2:$A$800,0))-1,""))</f>
        <v/>
      </c>
      <c r="E430" s="122" t="str">
        <f aca="false">IF(B430="","",IFERROR(B430/INDEX($B$2:$B$800,MATCH(DATE(YEAR(A430)-1,MONTH(A430),1),$A$2:$A$800,0))-1,""))</f>
        <v/>
      </c>
    </row>
    <row r="431" customFormat="false" ht="15" hidden="false" customHeight="false" outlineLevel="0" collapsed="false">
      <c r="A431" s="124"/>
      <c r="B431" s="125"/>
      <c r="C431" s="122" t="str">
        <f aca="false">IF(OR(B431="",B430=""),"",B431/B430-1)</f>
        <v/>
      </c>
      <c r="D431" s="122" t="str">
        <f aca="false">IF(B431="","",IFERROR(B431/INDEX($B$2:$B$800,MATCH(DATE(YEAR(A431)-1,12,1),$A$2:$A$800,0))-1,""))</f>
        <v/>
      </c>
      <c r="E431" s="122" t="str">
        <f aca="false">IF(B431="","",IFERROR(B431/INDEX($B$2:$B$800,MATCH(DATE(YEAR(A431)-1,MONTH(A431),1),$A$2:$A$800,0))-1,""))</f>
        <v/>
      </c>
    </row>
    <row r="432" customFormat="false" ht="15" hidden="false" customHeight="false" outlineLevel="0" collapsed="false">
      <c r="A432" s="124"/>
      <c r="B432" s="125"/>
      <c r="C432" s="122" t="str">
        <f aca="false">IF(OR(B432="",B431=""),"",B432/B431-1)</f>
        <v/>
      </c>
      <c r="D432" s="122" t="str">
        <f aca="false">IF(B432="","",IFERROR(B432/INDEX($B$2:$B$800,MATCH(DATE(YEAR(A432)-1,12,1),$A$2:$A$800,0))-1,""))</f>
        <v/>
      </c>
      <c r="E432" s="122" t="str">
        <f aca="false">IF(B432="","",IFERROR(B432/INDEX($B$2:$B$800,MATCH(DATE(YEAR(A432)-1,MONTH(A432),1),$A$2:$A$800,0))-1,""))</f>
        <v/>
      </c>
    </row>
    <row r="433" customFormat="false" ht="15" hidden="false" customHeight="false" outlineLevel="0" collapsed="false">
      <c r="A433" s="124"/>
      <c r="B433" s="125"/>
      <c r="C433" s="122" t="str">
        <f aca="false">IF(OR(B433="",B432=""),"",B433/B432-1)</f>
        <v/>
      </c>
      <c r="D433" s="122" t="str">
        <f aca="false">IF(B433="","",IFERROR(B433/INDEX($B$2:$B$800,MATCH(DATE(YEAR(A433)-1,12,1),$A$2:$A$800,0))-1,""))</f>
        <v/>
      </c>
      <c r="E433" s="122" t="str">
        <f aca="false">IF(B433="","",IFERROR(B433/INDEX($B$2:$B$800,MATCH(DATE(YEAR(A433)-1,MONTH(A433),1),$A$2:$A$800,0))-1,""))</f>
        <v/>
      </c>
    </row>
    <row r="434" customFormat="false" ht="15" hidden="false" customHeight="false" outlineLevel="0" collapsed="false">
      <c r="A434" s="124"/>
      <c r="B434" s="125"/>
      <c r="C434" s="122" t="str">
        <f aca="false">IF(OR(B434="",B433=""),"",B434/B433-1)</f>
        <v/>
      </c>
      <c r="D434" s="122" t="str">
        <f aca="false">IF(B434="","",IFERROR(B434/INDEX($B$2:$B$800,MATCH(DATE(YEAR(A434)-1,12,1),$A$2:$A$800,0))-1,""))</f>
        <v/>
      </c>
      <c r="E434" s="122" t="str">
        <f aca="false">IF(B434="","",IFERROR(B434/INDEX($B$2:$B$800,MATCH(DATE(YEAR(A434)-1,MONTH(A434),1),$A$2:$A$800,0))-1,""))</f>
        <v/>
      </c>
    </row>
    <row r="435" customFormat="false" ht="15" hidden="false" customHeight="false" outlineLevel="0" collapsed="false">
      <c r="A435" s="124"/>
      <c r="B435" s="125"/>
      <c r="C435" s="122" t="str">
        <f aca="false">IF(OR(B435="",B434=""),"",B435/B434-1)</f>
        <v/>
      </c>
      <c r="D435" s="122" t="str">
        <f aca="false">IF(B435="","",IFERROR(B435/INDEX($B$2:$B$800,MATCH(DATE(YEAR(A435)-1,12,1),$A$2:$A$800,0))-1,""))</f>
        <v/>
      </c>
      <c r="E435" s="122" t="str">
        <f aca="false">IF(B435="","",IFERROR(B435/INDEX($B$2:$B$800,MATCH(DATE(YEAR(A435)-1,MONTH(A435),1),$A$2:$A$800,0))-1,""))</f>
        <v/>
      </c>
    </row>
    <row r="436" customFormat="false" ht="15" hidden="false" customHeight="false" outlineLevel="0" collapsed="false">
      <c r="A436" s="124"/>
      <c r="B436" s="125"/>
      <c r="C436" s="122" t="str">
        <f aca="false">IF(OR(B436="",B435=""),"",B436/B435-1)</f>
        <v/>
      </c>
      <c r="D436" s="122" t="str">
        <f aca="false">IF(B436="","",IFERROR(B436/INDEX($B$2:$B$800,MATCH(DATE(YEAR(A436)-1,12,1),$A$2:$A$800,0))-1,""))</f>
        <v/>
      </c>
      <c r="E436" s="122" t="str">
        <f aca="false">IF(B436="","",IFERROR(B436/INDEX($B$2:$B$800,MATCH(DATE(YEAR(A436)-1,MONTH(A436),1),$A$2:$A$800,0))-1,""))</f>
        <v/>
      </c>
    </row>
    <row r="437" customFormat="false" ht="15" hidden="false" customHeight="false" outlineLevel="0" collapsed="false">
      <c r="A437" s="124"/>
      <c r="B437" s="125"/>
      <c r="C437" s="122" t="str">
        <f aca="false">IF(OR(B437="",B436=""),"",B437/B436-1)</f>
        <v/>
      </c>
      <c r="D437" s="122" t="str">
        <f aca="false">IF(B437="","",IFERROR(B437/INDEX($B$2:$B$800,MATCH(DATE(YEAR(A437)-1,12,1),$A$2:$A$800,0))-1,""))</f>
        <v/>
      </c>
      <c r="E437" s="122" t="str">
        <f aca="false">IF(B437="","",IFERROR(B437/INDEX($B$2:$B$800,MATCH(DATE(YEAR(A437)-1,MONTH(A437),1),$A$2:$A$800,0))-1,""))</f>
        <v/>
      </c>
    </row>
    <row r="438" customFormat="false" ht="15" hidden="false" customHeight="false" outlineLevel="0" collapsed="false">
      <c r="A438" s="124"/>
      <c r="B438" s="125"/>
      <c r="C438" s="122" t="str">
        <f aca="false">IF(OR(B438="",B437=""),"",B438/B437-1)</f>
        <v/>
      </c>
      <c r="D438" s="122" t="str">
        <f aca="false">IF(B438="","",IFERROR(B438/INDEX($B$2:$B$800,MATCH(DATE(YEAR(A438)-1,12,1),$A$2:$A$800,0))-1,""))</f>
        <v/>
      </c>
      <c r="E438" s="122" t="str">
        <f aca="false">IF(B438="","",IFERROR(B438/INDEX($B$2:$B$800,MATCH(DATE(YEAR(A438)-1,MONTH(A438),1),$A$2:$A$800,0))-1,""))</f>
        <v/>
      </c>
    </row>
    <row r="439" customFormat="false" ht="15" hidden="false" customHeight="false" outlineLevel="0" collapsed="false">
      <c r="A439" s="124"/>
      <c r="B439" s="125"/>
      <c r="C439" s="122" t="str">
        <f aca="false">IF(OR(B439="",B438=""),"",B439/B438-1)</f>
        <v/>
      </c>
      <c r="D439" s="122" t="str">
        <f aca="false">IF(B439="","",IFERROR(B439/INDEX($B$2:$B$800,MATCH(DATE(YEAR(A439)-1,12,1),$A$2:$A$800,0))-1,""))</f>
        <v/>
      </c>
      <c r="E439" s="122" t="str">
        <f aca="false">IF(B439="","",IFERROR(B439/INDEX($B$2:$B$800,MATCH(DATE(YEAR(A439)-1,MONTH(A439),1),$A$2:$A$800,0))-1,""))</f>
        <v/>
      </c>
    </row>
    <row r="440" customFormat="false" ht="15" hidden="false" customHeight="false" outlineLevel="0" collapsed="false">
      <c r="A440" s="124"/>
      <c r="B440" s="125"/>
      <c r="C440" s="122" t="str">
        <f aca="false">IF(OR(B440="",B439=""),"",B440/B439-1)</f>
        <v/>
      </c>
      <c r="D440" s="122" t="str">
        <f aca="false">IF(B440="","",IFERROR(B440/INDEX($B$2:$B$800,MATCH(DATE(YEAR(A440)-1,12,1),$A$2:$A$800,0))-1,""))</f>
        <v/>
      </c>
      <c r="E440" s="122" t="str">
        <f aca="false">IF(B440="","",IFERROR(B440/INDEX($B$2:$B$800,MATCH(DATE(YEAR(A440)-1,MONTH(A440),1),$A$2:$A$800,0))-1,""))</f>
        <v/>
      </c>
    </row>
    <row r="441" customFormat="false" ht="15" hidden="false" customHeight="false" outlineLevel="0" collapsed="false">
      <c r="A441" s="124"/>
      <c r="B441" s="125"/>
      <c r="C441" s="122" t="str">
        <f aca="false">IF(OR(B441="",B440=""),"",B441/B440-1)</f>
        <v/>
      </c>
      <c r="D441" s="122" t="str">
        <f aca="false">IF(B441="","",IFERROR(B441/INDEX($B$2:$B$800,MATCH(DATE(YEAR(A441)-1,12,1),$A$2:$A$800,0))-1,""))</f>
        <v/>
      </c>
      <c r="E441" s="122" t="str">
        <f aca="false">IF(B441="","",IFERROR(B441/INDEX($B$2:$B$800,MATCH(DATE(YEAR(A441)-1,MONTH(A441),1),$A$2:$A$800,0))-1,""))</f>
        <v/>
      </c>
    </row>
    <row r="442" customFormat="false" ht="15" hidden="false" customHeight="false" outlineLevel="0" collapsed="false">
      <c r="A442" s="124"/>
      <c r="B442" s="125"/>
      <c r="C442" s="122" t="str">
        <f aca="false">IF(OR(B442="",B441=""),"",B442/B441-1)</f>
        <v/>
      </c>
      <c r="D442" s="122" t="str">
        <f aca="false">IF(B442="","",IFERROR(B442/INDEX($B$2:$B$800,MATCH(DATE(YEAR(A442)-1,12,1),$A$2:$A$800,0))-1,""))</f>
        <v/>
      </c>
      <c r="E442" s="122" t="str">
        <f aca="false">IF(B442="","",IFERROR(B442/INDEX($B$2:$B$800,MATCH(DATE(YEAR(A442)-1,MONTH(A442),1),$A$2:$A$800,0))-1,""))</f>
        <v/>
      </c>
    </row>
    <row r="443" customFormat="false" ht="15" hidden="false" customHeight="false" outlineLevel="0" collapsed="false">
      <c r="A443" s="124"/>
      <c r="B443" s="125"/>
      <c r="C443" s="122" t="str">
        <f aca="false">IF(OR(B443="",B442=""),"",B443/B442-1)</f>
        <v/>
      </c>
      <c r="D443" s="122" t="str">
        <f aca="false">IF(B443="","",IFERROR(B443/INDEX($B$2:$B$800,MATCH(DATE(YEAR(A443)-1,12,1),$A$2:$A$800,0))-1,""))</f>
        <v/>
      </c>
      <c r="E443" s="122" t="str">
        <f aca="false">IF(B443="","",IFERROR(B443/INDEX($B$2:$B$800,MATCH(DATE(YEAR(A443)-1,MONTH(A443),1),$A$2:$A$800,0))-1,""))</f>
        <v/>
      </c>
    </row>
    <row r="444" customFormat="false" ht="15" hidden="false" customHeight="false" outlineLevel="0" collapsed="false">
      <c r="A444" s="124"/>
      <c r="B444" s="125"/>
      <c r="C444" s="122" t="str">
        <f aca="false">IF(OR(B444="",B443=""),"",B444/B443-1)</f>
        <v/>
      </c>
      <c r="D444" s="122" t="str">
        <f aca="false">IF(B444="","",IFERROR(B444/INDEX($B$2:$B$800,MATCH(DATE(YEAR(A444)-1,12,1),$A$2:$A$800,0))-1,""))</f>
        <v/>
      </c>
      <c r="E444" s="122" t="str">
        <f aca="false">IF(B444="","",IFERROR(B444/INDEX($B$2:$B$800,MATCH(DATE(YEAR(A444)-1,MONTH(A444),1),$A$2:$A$800,0))-1,""))</f>
        <v/>
      </c>
    </row>
    <row r="445" customFormat="false" ht="15" hidden="false" customHeight="false" outlineLevel="0" collapsed="false">
      <c r="A445" s="124"/>
      <c r="B445" s="125"/>
      <c r="C445" s="122" t="str">
        <f aca="false">IF(OR(B445="",B444=""),"",B445/B444-1)</f>
        <v/>
      </c>
      <c r="D445" s="122" t="str">
        <f aca="false">IF(B445="","",IFERROR(B445/INDEX($B$2:$B$800,MATCH(DATE(YEAR(A445)-1,12,1),$A$2:$A$800,0))-1,""))</f>
        <v/>
      </c>
      <c r="E445" s="122" t="str">
        <f aca="false">IF(B445="","",IFERROR(B445/INDEX($B$2:$B$800,MATCH(DATE(YEAR(A445)-1,MONTH(A445),1),$A$2:$A$800,0))-1,""))</f>
        <v/>
      </c>
    </row>
    <row r="446" customFormat="false" ht="15" hidden="false" customHeight="false" outlineLevel="0" collapsed="false">
      <c r="A446" s="124"/>
      <c r="B446" s="125"/>
      <c r="C446" s="122" t="str">
        <f aca="false">IF(OR(B446="",B445=""),"",B446/B445-1)</f>
        <v/>
      </c>
      <c r="D446" s="122" t="str">
        <f aca="false">IF(B446="","",IFERROR(B446/INDEX($B$2:$B$800,MATCH(DATE(YEAR(A446)-1,12,1),$A$2:$A$800,0))-1,""))</f>
        <v/>
      </c>
      <c r="E446" s="122" t="str">
        <f aca="false">IF(B446="","",IFERROR(B446/INDEX($B$2:$B$800,MATCH(DATE(YEAR(A446)-1,MONTH(A446),1),$A$2:$A$800,0))-1,""))</f>
        <v/>
      </c>
    </row>
    <row r="447" customFormat="false" ht="15" hidden="false" customHeight="false" outlineLevel="0" collapsed="false">
      <c r="A447" s="124"/>
      <c r="B447" s="125"/>
      <c r="C447" s="122" t="str">
        <f aca="false">IF(OR(B447="",B446=""),"",B447/B446-1)</f>
        <v/>
      </c>
      <c r="D447" s="122" t="str">
        <f aca="false">IF(B447="","",IFERROR(B447/INDEX($B$2:$B$800,MATCH(DATE(YEAR(A447)-1,12,1),$A$2:$A$800,0))-1,""))</f>
        <v/>
      </c>
      <c r="E447" s="122" t="str">
        <f aca="false">IF(B447="","",IFERROR(B447/INDEX($B$2:$B$800,MATCH(DATE(YEAR(A447)-1,MONTH(A447),1),$A$2:$A$800,0))-1,""))</f>
        <v/>
      </c>
    </row>
    <row r="448" customFormat="false" ht="15" hidden="false" customHeight="false" outlineLevel="0" collapsed="false">
      <c r="A448" s="124"/>
      <c r="B448" s="125"/>
      <c r="C448" s="122" t="str">
        <f aca="false">IF(OR(B448="",B447=""),"",B448/B447-1)</f>
        <v/>
      </c>
      <c r="D448" s="122" t="str">
        <f aca="false">IF(B448="","",IFERROR(B448/INDEX($B$2:$B$800,MATCH(DATE(YEAR(A448)-1,12,1),$A$2:$A$800,0))-1,""))</f>
        <v/>
      </c>
      <c r="E448" s="122" t="str">
        <f aca="false">IF(B448="","",IFERROR(B448/INDEX($B$2:$B$800,MATCH(DATE(YEAR(A448)-1,MONTH(A448),1),$A$2:$A$800,0))-1,""))</f>
        <v/>
      </c>
    </row>
    <row r="449" customFormat="false" ht="15" hidden="false" customHeight="false" outlineLevel="0" collapsed="false">
      <c r="A449" s="124"/>
      <c r="B449" s="125"/>
      <c r="C449" s="122" t="str">
        <f aca="false">IF(OR(B449="",B448=""),"",B449/B448-1)</f>
        <v/>
      </c>
      <c r="D449" s="122" t="str">
        <f aca="false">IF(B449="","",IFERROR(B449/INDEX($B$2:$B$800,MATCH(DATE(YEAR(A449)-1,12,1),$A$2:$A$800,0))-1,""))</f>
        <v/>
      </c>
      <c r="E449" s="122" t="str">
        <f aca="false">IF(B449="","",IFERROR(B449/INDEX($B$2:$B$800,MATCH(DATE(YEAR(A449)-1,MONTH(A449),1),$A$2:$A$800,0))-1,""))</f>
        <v/>
      </c>
    </row>
    <row r="450" customFormat="false" ht="15" hidden="false" customHeight="false" outlineLevel="0" collapsed="false">
      <c r="A450" s="124"/>
      <c r="B450" s="125"/>
      <c r="C450" s="122" t="str">
        <f aca="false">IF(OR(B450="",B449=""),"",B450/B449-1)</f>
        <v/>
      </c>
      <c r="D450" s="122" t="str">
        <f aca="false">IF(B450="","",IFERROR(B450/INDEX($B$2:$B$800,MATCH(DATE(YEAR(A450)-1,12,1),$A$2:$A$800,0))-1,""))</f>
        <v/>
      </c>
      <c r="E450" s="122" t="str">
        <f aca="false">IF(B450="","",IFERROR(B450/INDEX($B$2:$B$800,MATCH(DATE(YEAR(A450)-1,MONTH(A450),1),$A$2:$A$800,0))-1,""))</f>
        <v/>
      </c>
    </row>
    <row r="451" customFormat="false" ht="15" hidden="false" customHeight="false" outlineLevel="0" collapsed="false">
      <c r="A451" s="124"/>
      <c r="B451" s="125"/>
      <c r="C451" s="122" t="str">
        <f aca="false">IF(OR(B451="",B450=""),"",B451/B450-1)</f>
        <v/>
      </c>
      <c r="D451" s="122" t="str">
        <f aca="false">IF(B451="","",IFERROR(B451/INDEX($B$2:$B$800,MATCH(DATE(YEAR(A451)-1,12,1),$A$2:$A$800,0))-1,""))</f>
        <v/>
      </c>
      <c r="E451" s="122" t="str">
        <f aca="false">IF(B451="","",IFERROR(B451/INDEX($B$2:$B$800,MATCH(DATE(YEAR(A451)-1,MONTH(A451),1),$A$2:$A$800,0))-1,""))</f>
        <v/>
      </c>
    </row>
    <row r="452" customFormat="false" ht="15" hidden="false" customHeight="false" outlineLevel="0" collapsed="false">
      <c r="A452" s="124"/>
      <c r="B452" s="125"/>
      <c r="C452" s="122" t="str">
        <f aca="false">IF(OR(B452="",B451=""),"",B452/B451-1)</f>
        <v/>
      </c>
      <c r="D452" s="122" t="str">
        <f aca="false">IF(B452="","",IFERROR(B452/INDEX($B$2:$B$800,MATCH(DATE(YEAR(A452)-1,12,1),$A$2:$A$800,0))-1,""))</f>
        <v/>
      </c>
      <c r="E452" s="122" t="str">
        <f aca="false">IF(B452="","",IFERROR(B452/INDEX($B$2:$B$800,MATCH(DATE(YEAR(A452)-1,MONTH(A452),1),$A$2:$A$800,0))-1,""))</f>
        <v/>
      </c>
    </row>
    <row r="453" customFormat="false" ht="15" hidden="false" customHeight="false" outlineLevel="0" collapsed="false">
      <c r="A453" s="124"/>
      <c r="B453" s="125"/>
      <c r="C453" s="122" t="str">
        <f aca="false">IF(OR(B453="",B452=""),"",B453/B452-1)</f>
        <v/>
      </c>
      <c r="D453" s="122" t="str">
        <f aca="false">IF(B453="","",IFERROR(B453/INDEX($B$2:$B$800,MATCH(DATE(YEAR(A453)-1,12,1),$A$2:$A$800,0))-1,""))</f>
        <v/>
      </c>
      <c r="E453" s="122" t="str">
        <f aca="false">IF(B453="","",IFERROR(B453/INDEX($B$2:$B$800,MATCH(DATE(YEAR(A453)-1,MONTH(A453),1),$A$2:$A$800,0))-1,""))</f>
        <v/>
      </c>
    </row>
    <row r="454" customFormat="false" ht="15" hidden="false" customHeight="false" outlineLevel="0" collapsed="false">
      <c r="A454" s="124"/>
      <c r="B454" s="125"/>
      <c r="C454" s="122" t="str">
        <f aca="false">IF(OR(B454="",B453=""),"",B454/B453-1)</f>
        <v/>
      </c>
      <c r="D454" s="122" t="str">
        <f aca="false">IF(B454="","",IFERROR(B454/INDEX($B$2:$B$800,MATCH(DATE(YEAR(A454)-1,12,1),$A$2:$A$800,0))-1,""))</f>
        <v/>
      </c>
      <c r="E454" s="122" t="str">
        <f aca="false">IF(B454="","",IFERROR(B454/INDEX($B$2:$B$800,MATCH(DATE(YEAR(A454)-1,MONTH(A454),1),$A$2:$A$800,0))-1,""))</f>
        <v/>
      </c>
    </row>
    <row r="455" customFormat="false" ht="15" hidden="false" customHeight="false" outlineLevel="0" collapsed="false">
      <c r="A455" s="124"/>
      <c r="B455" s="125"/>
      <c r="C455" s="122" t="str">
        <f aca="false">IF(OR(B455="",B454=""),"",B455/B454-1)</f>
        <v/>
      </c>
      <c r="D455" s="122" t="str">
        <f aca="false">IF(B455="","",IFERROR(B455/INDEX($B$2:$B$800,MATCH(DATE(YEAR(A455)-1,12,1),$A$2:$A$800,0))-1,""))</f>
        <v/>
      </c>
      <c r="E455" s="122" t="str">
        <f aca="false">IF(B455="","",IFERROR(B455/INDEX($B$2:$B$800,MATCH(DATE(YEAR(A455)-1,MONTH(A455),1),$A$2:$A$800,0))-1,""))</f>
        <v/>
      </c>
    </row>
    <row r="456" customFormat="false" ht="15" hidden="false" customHeight="false" outlineLevel="0" collapsed="false">
      <c r="A456" s="124"/>
      <c r="B456" s="125"/>
      <c r="C456" s="122" t="str">
        <f aca="false">IF(OR(B456="",B455=""),"",B456/B455-1)</f>
        <v/>
      </c>
      <c r="D456" s="122" t="str">
        <f aca="false">IF(B456="","",IFERROR(B456/INDEX($B$2:$B$800,MATCH(DATE(YEAR(A456)-1,12,1),$A$2:$A$800,0))-1,""))</f>
        <v/>
      </c>
      <c r="E456" s="122" t="str">
        <f aca="false">IF(B456="","",IFERROR(B456/INDEX($B$2:$B$800,MATCH(DATE(YEAR(A456)-1,MONTH(A456),1),$A$2:$A$800,0))-1,""))</f>
        <v/>
      </c>
    </row>
    <row r="457" customFormat="false" ht="15" hidden="false" customHeight="false" outlineLevel="0" collapsed="false">
      <c r="A457" s="124"/>
      <c r="B457" s="125"/>
      <c r="C457" s="122" t="str">
        <f aca="false">IF(OR(B457="",B456=""),"",B457/B456-1)</f>
        <v/>
      </c>
      <c r="D457" s="122" t="str">
        <f aca="false">IF(B457="","",IFERROR(B457/INDEX($B$2:$B$800,MATCH(DATE(YEAR(A457)-1,12,1),$A$2:$A$800,0))-1,""))</f>
        <v/>
      </c>
      <c r="E457" s="122" t="str">
        <f aca="false">IF(B457="","",IFERROR(B457/INDEX($B$2:$B$800,MATCH(DATE(YEAR(A457)-1,MONTH(A457),1),$A$2:$A$800,0))-1,""))</f>
        <v/>
      </c>
    </row>
    <row r="458" customFormat="false" ht="15" hidden="false" customHeight="false" outlineLevel="0" collapsed="false">
      <c r="A458" s="124"/>
      <c r="B458" s="125"/>
      <c r="C458" s="122" t="str">
        <f aca="false">IF(OR(B458="",B457=""),"",B458/B457-1)</f>
        <v/>
      </c>
      <c r="D458" s="122" t="str">
        <f aca="false">IF(B458="","",IFERROR(B458/INDEX($B$2:$B$800,MATCH(DATE(YEAR(A458)-1,12,1),$A$2:$A$800,0))-1,""))</f>
        <v/>
      </c>
      <c r="E458" s="122" t="str">
        <f aca="false">IF(B458="","",IFERROR(B458/INDEX($B$2:$B$800,MATCH(DATE(YEAR(A458)-1,MONTH(A458),1),$A$2:$A$800,0))-1,""))</f>
        <v/>
      </c>
    </row>
    <row r="459" customFormat="false" ht="15" hidden="false" customHeight="false" outlineLevel="0" collapsed="false">
      <c r="A459" s="124"/>
      <c r="B459" s="125"/>
      <c r="C459" s="122" t="str">
        <f aca="false">IF(OR(B459="",B458=""),"",B459/B458-1)</f>
        <v/>
      </c>
      <c r="D459" s="122" t="str">
        <f aca="false">IF(B459="","",IFERROR(B459/INDEX($B$2:$B$800,MATCH(DATE(YEAR(A459)-1,12,1),$A$2:$A$800,0))-1,""))</f>
        <v/>
      </c>
      <c r="E459" s="122" t="str">
        <f aca="false">IF(B459="","",IFERROR(B459/INDEX($B$2:$B$800,MATCH(DATE(YEAR(A459)-1,MONTH(A459),1),$A$2:$A$800,0))-1,""))</f>
        <v/>
      </c>
    </row>
    <row r="460" customFormat="false" ht="15" hidden="false" customHeight="false" outlineLevel="0" collapsed="false">
      <c r="A460" s="124"/>
      <c r="B460" s="125"/>
      <c r="C460" s="122" t="str">
        <f aca="false">IF(OR(B460="",B459=""),"",B460/B459-1)</f>
        <v/>
      </c>
      <c r="D460" s="122" t="str">
        <f aca="false">IF(B460="","",IFERROR(B460/INDEX($B$2:$B$800,MATCH(DATE(YEAR(A460)-1,12,1),$A$2:$A$800,0))-1,""))</f>
        <v/>
      </c>
      <c r="E460" s="122" t="str">
        <f aca="false">IF(B460="","",IFERROR(B460/INDEX($B$2:$B$800,MATCH(DATE(YEAR(A460)-1,MONTH(A460),1),$A$2:$A$800,0))-1,""))</f>
        <v/>
      </c>
    </row>
    <row r="461" customFormat="false" ht="15" hidden="false" customHeight="false" outlineLevel="0" collapsed="false">
      <c r="A461" s="124"/>
      <c r="B461" s="125"/>
      <c r="C461" s="122" t="str">
        <f aca="false">IF(OR(B461="",B460=""),"",B461/B460-1)</f>
        <v/>
      </c>
      <c r="D461" s="122" t="str">
        <f aca="false">IF(B461="","",IFERROR(B461/INDEX($B$2:$B$800,MATCH(DATE(YEAR(A461)-1,12,1),$A$2:$A$800,0))-1,""))</f>
        <v/>
      </c>
      <c r="E461" s="122" t="str">
        <f aca="false">IF(B461="","",IFERROR(B461/INDEX($B$2:$B$800,MATCH(DATE(YEAR(A461)-1,MONTH(A461),1),$A$2:$A$800,0))-1,""))</f>
        <v/>
      </c>
    </row>
    <row r="462" customFormat="false" ht="15" hidden="false" customHeight="false" outlineLevel="0" collapsed="false">
      <c r="A462" s="124"/>
      <c r="B462" s="125"/>
      <c r="C462" s="122" t="str">
        <f aca="false">IF(OR(B462="",B461=""),"",B462/B461-1)</f>
        <v/>
      </c>
      <c r="D462" s="122" t="str">
        <f aca="false">IF(B462="","",IFERROR(B462/INDEX($B$2:$B$800,MATCH(DATE(YEAR(A462)-1,12,1),$A$2:$A$800,0))-1,""))</f>
        <v/>
      </c>
      <c r="E462" s="122" t="str">
        <f aca="false">IF(B462="","",IFERROR(B462/INDEX($B$2:$B$800,MATCH(DATE(YEAR(A462)-1,MONTH(A462),1),$A$2:$A$800,0))-1,""))</f>
        <v/>
      </c>
    </row>
    <row r="463" customFormat="false" ht="15" hidden="false" customHeight="false" outlineLevel="0" collapsed="false">
      <c r="A463" s="124"/>
      <c r="B463" s="125"/>
      <c r="C463" s="122" t="str">
        <f aca="false">IF(OR(B463="",B462=""),"",B463/B462-1)</f>
        <v/>
      </c>
      <c r="D463" s="122" t="str">
        <f aca="false">IF(B463="","",IFERROR(B463/INDEX($B$2:$B$800,MATCH(DATE(YEAR(A463)-1,12,1),$A$2:$A$800,0))-1,""))</f>
        <v/>
      </c>
      <c r="E463" s="122" t="str">
        <f aca="false">IF(B463="","",IFERROR(B463/INDEX($B$2:$B$800,MATCH(DATE(YEAR(A463)-1,MONTH(A463),1),$A$2:$A$800,0))-1,""))</f>
        <v/>
      </c>
    </row>
    <row r="464" customFormat="false" ht="15" hidden="false" customHeight="false" outlineLevel="0" collapsed="false">
      <c r="A464" s="124"/>
      <c r="B464" s="125"/>
      <c r="C464" s="122" t="str">
        <f aca="false">IF(OR(B464="",B463=""),"",B464/B463-1)</f>
        <v/>
      </c>
      <c r="D464" s="122" t="str">
        <f aca="false">IF(B464="","",IFERROR(B464/INDEX($B$2:$B$800,MATCH(DATE(YEAR(A464)-1,12,1),$A$2:$A$800,0))-1,""))</f>
        <v/>
      </c>
      <c r="E464" s="122" t="str">
        <f aca="false">IF(B464="","",IFERROR(B464/INDEX($B$2:$B$800,MATCH(DATE(YEAR(A464)-1,MONTH(A464),1),$A$2:$A$800,0))-1,""))</f>
        <v/>
      </c>
    </row>
    <row r="465" customFormat="false" ht="15" hidden="false" customHeight="false" outlineLevel="0" collapsed="false">
      <c r="A465" s="124"/>
      <c r="B465" s="125"/>
      <c r="C465" s="122" t="str">
        <f aca="false">IF(OR(B465="",B464=""),"",B465/B464-1)</f>
        <v/>
      </c>
      <c r="D465" s="122" t="str">
        <f aca="false">IF(B465="","",IFERROR(B465/INDEX($B$2:$B$800,MATCH(DATE(YEAR(A465)-1,12,1),$A$2:$A$800,0))-1,""))</f>
        <v/>
      </c>
      <c r="E465" s="122" t="str">
        <f aca="false">IF(B465="","",IFERROR(B465/INDEX($B$2:$B$800,MATCH(DATE(YEAR(A465)-1,MONTH(A465),1),$A$2:$A$800,0))-1,""))</f>
        <v/>
      </c>
    </row>
    <row r="466" customFormat="false" ht="15" hidden="false" customHeight="false" outlineLevel="0" collapsed="false">
      <c r="A466" s="124"/>
      <c r="B466" s="125"/>
      <c r="C466" s="122" t="str">
        <f aca="false">IF(OR(B466="",B465=""),"",B466/B465-1)</f>
        <v/>
      </c>
      <c r="D466" s="122" t="str">
        <f aca="false">IF(B466="","",IFERROR(B466/INDEX($B$2:$B$800,MATCH(DATE(YEAR(A466)-1,12,1),$A$2:$A$800,0))-1,""))</f>
        <v/>
      </c>
      <c r="E466" s="122" t="str">
        <f aca="false">IF(B466="","",IFERROR(B466/INDEX($B$2:$B$800,MATCH(DATE(YEAR(A466)-1,MONTH(A466),1),$A$2:$A$800,0))-1,""))</f>
        <v/>
      </c>
    </row>
    <row r="467" customFormat="false" ht="15" hidden="false" customHeight="false" outlineLevel="0" collapsed="false">
      <c r="A467" s="124"/>
      <c r="B467" s="125"/>
      <c r="C467" s="122" t="str">
        <f aca="false">IF(OR(B467="",B466=""),"",B467/B466-1)</f>
        <v/>
      </c>
      <c r="D467" s="122" t="str">
        <f aca="false">IF(B467="","",IFERROR(B467/INDEX($B$2:$B$800,MATCH(DATE(YEAR(A467)-1,12,1),$A$2:$A$800,0))-1,""))</f>
        <v/>
      </c>
      <c r="E467" s="122" t="str">
        <f aca="false">IF(B467="","",IFERROR(B467/INDEX($B$2:$B$800,MATCH(DATE(YEAR(A467)-1,MONTH(A467),1),$A$2:$A$800,0))-1,""))</f>
        <v/>
      </c>
    </row>
    <row r="468" customFormat="false" ht="15" hidden="false" customHeight="false" outlineLevel="0" collapsed="false">
      <c r="A468" s="124"/>
      <c r="B468" s="125"/>
      <c r="C468" s="122" t="str">
        <f aca="false">IF(OR(B468="",B467=""),"",B468/B467-1)</f>
        <v/>
      </c>
      <c r="D468" s="122" t="str">
        <f aca="false">IF(B468="","",IFERROR(B468/INDEX($B$2:$B$800,MATCH(DATE(YEAR(A468)-1,12,1),$A$2:$A$800,0))-1,""))</f>
        <v/>
      </c>
      <c r="E468" s="122" t="str">
        <f aca="false">IF(B468="","",IFERROR(B468/INDEX($B$2:$B$800,MATCH(DATE(YEAR(A468)-1,MONTH(A468),1),$A$2:$A$800,0))-1,""))</f>
        <v/>
      </c>
    </row>
    <row r="469" customFormat="false" ht="15" hidden="false" customHeight="false" outlineLevel="0" collapsed="false">
      <c r="A469" s="124"/>
      <c r="B469" s="125"/>
      <c r="C469" s="122" t="str">
        <f aca="false">IF(OR(B469="",B468=""),"",B469/B468-1)</f>
        <v/>
      </c>
      <c r="D469" s="122" t="str">
        <f aca="false">IF(B469="","",IFERROR(B469/INDEX($B$2:$B$800,MATCH(DATE(YEAR(A469)-1,12,1),$A$2:$A$800,0))-1,""))</f>
        <v/>
      </c>
      <c r="E469" s="122" t="str">
        <f aca="false">IF(B469="","",IFERROR(B469/INDEX($B$2:$B$800,MATCH(DATE(YEAR(A469)-1,MONTH(A469),1),$A$2:$A$800,0))-1,""))</f>
        <v/>
      </c>
    </row>
    <row r="470" customFormat="false" ht="15" hidden="false" customHeight="false" outlineLevel="0" collapsed="false">
      <c r="A470" s="124"/>
      <c r="B470" s="125"/>
      <c r="C470" s="122" t="str">
        <f aca="false">IF(OR(B470="",B469=""),"",B470/B469-1)</f>
        <v/>
      </c>
      <c r="D470" s="122" t="str">
        <f aca="false">IF(B470="","",IFERROR(B470/INDEX($B$2:$B$800,MATCH(DATE(YEAR(A470)-1,12,1),$A$2:$A$800,0))-1,""))</f>
        <v/>
      </c>
      <c r="E470" s="122" t="str">
        <f aca="false">IF(B470="","",IFERROR(B470/INDEX($B$2:$B$800,MATCH(DATE(YEAR(A470)-1,MONTH(A470),1),$A$2:$A$800,0))-1,""))</f>
        <v/>
      </c>
    </row>
    <row r="471" customFormat="false" ht="15" hidden="false" customHeight="false" outlineLevel="0" collapsed="false">
      <c r="A471" s="124"/>
      <c r="B471" s="125"/>
      <c r="C471" s="122" t="str">
        <f aca="false">IF(OR(B471="",B470=""),"",B471/B470-1)</f>
        <v/>
      </c>
      <c r="D471" s="122" t="str">
        <f aca="false">IF(B471="","",IFERROR(B471/INDEX($B$2:$B$800,MATCH(DATE(YEAR(A471)-1,12,1),$A$2:$A$800,0))-1,""))</f>
        <v/>
      </c>
      <c r="E471" s="122" t="str">
        <f aca="false">IF(B471="","",IFERROR(B471/INDEX($B$2:$B$800,MATCH(DATE(YEAR(A471)-1,MONTH(A471),1),$A$2:$A$800,0))-1,""))</f>
        <v/>
      </c>
    </row>
    <row r="472" customFormat="false" ht="15" hidden="false" customHeight="false" outlineLevel="0" collapsed="false">
      <c r="A472" s="124"/>
      <c r="B472" s="125"/>
      <c r="C472" s="122" t="str">
        <f aca="false">IF(OR(B472="",B471=""),"",B472/B471-1)</f>
        <v/>
      </c>
      <c r="D472" s="122" t="str">
        <f aca="false">IF(B472="","",IFERROR(B472/INDEX($B$2:$B$800,MATCH(DATE(YEAR(A472)-1,12,1),$A$2:$A$800,0))-1,""))</f>
        <v/>
      </c>
      <c r="E472" s="122" t="str">
        <f aca="false">IF(B472="","",IFERROR(B472/INDEX($B$2:$B$800,MATCH(DATE(YEAR(A472)-1,MONTH(A472),1),$A$2:$A$800,0))-1,""))</f>
        <v/>
      </c>
    </row>
    <row r="473" customFormat="false" ht="15" hidden="false" customHeight="false" outlineLevel="0" collapsed="false">
      <c r="A473" s="124"/>
      <c r="B473" s="125"/>
      <c r="C473" s="122" t="str">
        <f aca="false">IF(OR(B473="",B472=""),"",B473/B472-1)</f>
        <v/>
      </c>
      <c r="D473" s="122" t="str">
        <f aca="false">IF(B473="","",IFERROR(B473/INDEX($B$2:$B$800,MATCH(DATE(YEAR(A473)-1,12,1),$A$2:$A$800,0))-1,""))</f>
        <v/>
      </c>
      <c r="E473" s="122" t="str">
        <f aca="false">IF(B473="","",IFERROR(B473/INDEX($B$2:$B$800,MATCH(DATE(YEAR(A473)-1,MONTH(A473),1),$A$2:$A$800,0))-1,""))</f>
        <v/>
      </c>
    </row>
    <row r="474" customFormat="false" ht="15" hidden="false" customHeight="false" outlineLevel="0" collapsed="false">
      <c r="A474" s="124"/>
      <c r="B474" s="125"/>
      <c r="C474" s="122" t="str">
        <f aca="false">IF(OR(B474="",B473=""),"",B474/B473-1)</f>
        <v/>
      </c>
      <c r="D474" s="122" t="str">
        <f aca="false">IF(B474="","",IFERROR(B474/INDEX($B$2:$B$800,MATCH(DATE(YEAR(A474)-1,12,1),$A$2:$A$800,0))-1,""))</f>
        <v/>
      </c>
      <c r="E474" s="122" t="str">
        <f aca="false">IF(B474="","",IFERROR(B474/INDEX($B$2:$B$800,MATCH(DATE(YEAR(A474)-1,MONTH(A474),1),$A$2:$A$800,0))-1,""))</f>
        <v/>
      </c>
    </row>
    <row r="475" customFormat="false" ht="15" hidden="false" customHeight="false" outlineLevel="0" collapsed="false">
      <c r="A475" s="124"/>
      <c r="B475" s="125"/>
      <c r="C475" s="122" t="str">
        <f aca="false">IF(OR(B475="",B474=""),"",B475/B474-1)</f>
        <v/>
      </c>
      <c r="D475" s="122" t="str">
        <f aca="false">IF(B475="","",IFERROR(B475/INDEX($B$2:$B$800,MATCH(DATE(YEAR(A475)-1,12,1),$A$2:$A$800,0))-1,""))</f>
        <v/>
      </c>
      <c r="E475" s="122" t="str">
        <f aca="false">IF(B475="","",IFERROR(B475/INDEX($B$2:$B$800,MATCH(DATE(YEAR(A475)-1,MONTH(A475),1),$A$2:$A$800,0))-1,""))</f>
        <v/>
      </c>
    </row>
    <row r="476" customFormat="false" ht="15" hidden="false" customHeight="false" outlineLevel="0" collapsed="false">
      <c r="A476" s="124"/>
      <c r="B476" s="125"/>
      <c r="C476" s="122" t="str">
        <f aca="false">IF(OR(B476="",B475=""),"",B476/B475-1)</f>
        <v/>
      </c>
      <c r="D476" s="122" t="str">
        <f aca="false">IF(B476="","",IFERROR(B476/INDEX($B$2:$B$800,MATCH(DATE(YEAR(A476)-1,12,1),$A$2:$A$800,0))-1,""))</f>
        <v/>
      </c>
      <c r="E476" s="122" t="str">
        <f aca="false">IF(B476="","",IFERROR(B476/INDEX($B$2:$B$800,MATCH(DATE(YEAR(A476)-1,MONTH(A476),1),$A$2:$A$800,0))-1,""))</f>
        <v/>
      </c>
    </row>
    <row r="477" customFormat="false" ht="15" hidden="false" customHeight="false" outlineLevel="0" collapsed="false">
      <c r="A477" s="124"/>
      <c r="B477" s="125"/>
      <c r="C477" s="122" t="str">
        <f aca="false">IF(OR(B477="",B476=""),"",B477/B476-1)</f>
        <v/>
      </c>
      <c r="D477" s="122" t="str">
        <f aca="false">IF(B477="","",IFERROR(B477/INDEX($B$2:$B$800,MATCH(DATE(YEAR(A477)-1,12,1),$A$2:$A$800,0))-1,""))</f>
        <v/>
      </c>
      <c r="E477" s="122" t="str">
        <f aca="false">IF(B477="","",IFERROR(B477/INDEX($B$2:$B$800,MATCH(DATE(YEAR(A477)-1,MONTH(A477),1),$A$2:$A$800,0))-1,""))</f>
        <v/>
      </c>
    </row>
    <row r="478" customFormat="false" ht="15" hidden="false" customHeight="false" outlineLevel="0" collapsed="false">
      <c r="A478" s="124"/>
      <c r="B478" s="125"/>
      <c r="C478" s="122" t="str">
        <f aca="false">IF(OR(B478="",B477=""),"",B478/B477-1)</f>
        <v/>
      </c>
      <c r="D478" s="122" t="str">
        <f aca="false">IF(B478="","",IFERROR(B478/INDEX($B$2:$B$800,MATCH(DATE(YEAR(A478)-1,12,1),$A$2:$A$800,0))-1,""))</f>
        <v/>
      </c>
      <c r="E478" s="122" t="str">
        <f aca="false">IF(B478="","",IFERROR(B478/INDEX($B$2:$B$800,MATCH(DATE(YEAR(A478)-1,MONTH(A478),1),$A$2:$A$800,0))-1,""))</f>
        <v/>
      </c>
    </row>
    <row r="479" customFormat="false" ht="15" hidden="false" customHeight="false" outlineLevel="0" collapsed="false">
      <c r="A479" s="124"/>
      <c r="B479" s="125"/>
      <c r="C479" s="122" t="str">
        <f aca="false">IF(OR(B479="",B478=""),"",B479/B478-1)</f>
        <v/>
      </c>
      <c r="D479" s="122" t="str">
        <f aca="false">IF(B479="","",IFERROR(B479/INDEX($B$2:$B$800,MATCH(DATE(YEAR(A479)-1,12,1),$A$2:$A$800,0))-1,""))</f>
        <v/>
      </c>
      <c r="E479" s="122" t="str">
        <f aca="false">IF(B479="","",IFERROR(B479/INDEX($B$2:$B$800,MATCH(DATE(YEAR(A479)-1,MONTH(A479),1),$A$2:$A$800,0))-1,""))</f>
        <v/>
      </c>
    </row>
    <row r="480" customFormat="false" ht="15" hidden="false" customHeight="false" outlineLevel="0" collapsed="false">
      <c r="A480" s="124"/>
      <c r="B480" s="125"/>
      <c r="C480" s="122" t="str">
        <f aca="false">IF(OR(B480="",B479=""),"",B480/B479-1)</f>
        <v/>
      </c>
      <c r="D480" s="122" t="str">
        <f aca="false">IF(B480="","",IFERROR(B480/INDEX($B$2:$B$800,MATCH(DATE(YEAR(A480)-1,12,1),$A$2:$A$800,0))-1,""))</f>
        <v/>
      </c>
      <c r="E480" s="122" t="str">
        <f aca="false">IF(B480="","",IFERROR(B480/INDEX($B$2:$B$800,MATCH(DATE(YEAR(A480)-1,MONTH(A480),1),$A$2:$A$800,0))-1,""))</f>
        <v/>
      </c>
    </row>
    <row r="481" customFormat="false" ht="15" hidden="false" customHeight="false" outlineLevel="0" collapsed="false">
      <c r="A481" s="124"/>
      <c r="B481" s="125"/>
      <c r="C481" s="122" t="str">
        <f aca="false">IF(OR(B481="",B480=""),"",B481/B480-1)</f>
        <v/>
      </c>
      <c r="D481" s="122" t="str">
        <f aca="false">IF(B481="","",IFERROR(B481/INDEX($B$2:$B$800,MATCH(DATE(YEAR(A481)-1,12,1),$A$2:$A$800,0))-1,""))</f>
        <v/>
      </c>
      <c r="E481" s="122" t="str">
        <f aca="false">IF(B481="","",IFERROR(B481/INDEX($B$2:$B$800,MATCH(DATE(YEAR(A481)-1,MONTH(A481),1),$A$2:$A$800,0))-1,""))</f>
        <v/>
      </c>
    </row>
    <row r="482" customFormat="false" ht="15" hidden="false" customHeight="false" outlineLevel="0" collapsed="false">
      <c r="A482" s="124"/>
      <c r="B482" s="125"/>
      <c r="C482" s="122" t="str">
        <f aca="false">IF(OR(B482="",B481=""),"",B482/B481-1)</f>
        <v/>
      </c>
      <c r="D482" s="122" t="str">
        <f aca="false">IF(B482="","",IFERROR(B482/INDEX($B$2:$B$800,MATCH(DATE(YEAR(A482)-1,12,1),$A$2:$A$800,0))-1,""))</f>
        <v/>
      </c>
      <c r="E482" s="122" t="str">
        <f aca="false">IF(B482="","",IFERROR(B482/INDEX($B$2:$B$800,MATCH(DATE(YEAR(A482)-1,MONTH(A482),1),$A$2:$A$800,0))-1,""))</f>
        <v/>
      </c>
    </row>
    <row r="483" customFormat="false" ht="15" hidden="false" customHeight="false" outlineLevel="0" collapsed="false">
      <c r="A483" s="124"/>
      <c r="B483" s="125"/>
      <c r="C483" s="122" t="str">
        <f aca="false">IF(OR(B483="",B482=""),"",B483/B482-1)</f>
        <v/>
      </c>
      <c r="D483" s="122" t="str">
        <f aca="false">IF(B483="","",IFERROR(B483/INDEX($B$2:$B$800,MATCH(DATE(YEAR(A483)-1,12,1),$A$2:$A$800,0))-1,""))</f>
        <v/>
      </c>
      <c r="E483" s="122" t="str">
        <f aca="false">IF(B483="","",IFERROR(B483/INDEX($B$2:$B$800,MATCH(DATE(YEAR(A483)-1,MONTH(A483),1),$A$2:$A$800,0))-1,""))</f>
        <v/>
      </c>
    </row>
    <row r="484" customFormat="false" ht="15" hidden="false" customHeight="false" outlineLevel="0" collapsed="false">
      <c r="A484" s="124"/>
      <c r="B484" s="125"/>
      <c r="C484" s="122" t="str">
        <f aca="false">IF(OR(B484="",B483=""),"",B484/B483-1)</f>
        <v/>
      </c>
      <c r="D484" s="122" t="str">
        <f aca="false">IF(B484="","",IFERROR(B484/INDEX($B$2:$B$800,MATCH(DATE(YEAR(A484)-1,12,1),$A$2:$A$800,0))-1,""))</f>
        <v/>
      </c>
      <c r="E484" s="122" t="str">
        <f aca="false">IF(B484="","",IFERROR(B484/INDEX($B$2:$B$800,MATCH(DATE(YEAR(A484)-1,MONTH(A484),1),$A$2:$A$800,0))-1,""))</f>
        <v/>
      </c>
    </row>
    <row r="485" customFormat="false" ht="15" hidden="false" customHeight="false" outlineLevel="0" collapsed="false">
      <c r="A485" s="124"/>
      <c r="B485" s="125"/>
      <c r="C485" s="122" t="str">
        <f aca="false">IF(OR(B485="",B484=""),"",B485/B484-1)</f>
        <v/>
      </c>
      <c r="D485" s="122" t="str">
        <f aca="false">IF(B485="","",IFERROR(B485/INDEX($B$2:$B$800,MATCH(DATE(YEAR(A485)-1,12,1),$A$2:$A$800,0))-1,""))</f>
        <v/>
      </c>
      <c r="E485" s="122" t="str">
        <f aca="false">IF(B485="","",IFERROR(B485/INDEX($B$2:$B$800,MATCH(DATE(YEAR(A485)-1,MONTH(A485),1),$A$2:$A$800,0))-1,""))</f>
        <v/>
      </c>
    </row>
    <row r="486" customFormat="false" ht="15" hidden="false" customHeight="false" outlineLevel="0" collapsed="false">
      <c r="A486" s="124"/>
      <c r="B486" s="125"/>
      <c r="C486" s="122" t="str">
        <f aca="false">IF(OR(B486="",B485=""),"",B486/B485-1)</f>
        <v/>
      </c>
      <c r="D486" s="122" t="str">
        <f aca="false">IF(B486="","",IFERROR(B486/INDEX($B$2:$B$800,MATCH(DATE(YEAR(A486)-1,12,1),$A$2:$A$800,0))-1,""))</f>
        <v/>
      </c>
      <c r="E486" s="122" t="str">
        <f aca="false">IF(B486="","",IFERROR(B486/INDEX($B$2:$B$800,MATCH(DATE(YEAR(A486)-1,MONTH(A486),1),$A$2:$A$800,0))-1,""))</f>
        <v/>
      </c>
    </row>
    <row r="487" customFormat="false" ht="15" hidden="false" customHeight="false" outlineLevel="0" collapsed="false">
      <c r="A487" s="124"/>
      <c r="B487" s="125"/>
      <c r="C487" s="122" t="str">
        <f aca="false">IF(OR(B487="",B486=""),"",B487/B486-1)</f>
        <v/>
      </c>
      <c r="D487" s="122" t="str">
        <f aca="false">IF(B487="","",IFERROR(B487/INDEX($B$2:$B$800,MATCH(DATE(YEAR(A487)-1,12,1),$A$2:$A$800,0))-1,""))</f>
        <v/>
      </c>
      <c r="E487" s="122" t="str">
        <f aca="false">IF(B487="","",IFERROR(B487/INDEX($B$2:$B$800,MATCH(DATE(YEAR(A487)-1,MONTH(A487),1),$A$2:$A$800,0))-1,""))</f>
        <v/>
      </c>
    </row>
    <row r="488" customFormat="false" ht="15" hidden="false" customHeight="false" outlineLevel="0" collapsed="false">
      <c r="A488" s="124"/>
      <c r="B488" s="125"/>
      <c r="C488" s="122" t="str">
        <f aca="false">IF(OR(B488="",B487=""),"",B488/B487-1)</f>
        <v/>
      </c>
      <c r="D488" s="122" t="str">
        <f aca="false">IF(B488="","",IFERROR(B488/INDEX($B$2:$B$800,MATCH(DATE(YEAR(A488)-1,12,1),$A$2:$A$800,0))-1,""))</f>
        <v/>
      </c>
      <c r="E488" s="122" t="str">
        <f aca="false">IF(B488="","",IFERROR(B488/INDEX($B$2:$B$800,MATCH(DATE(YEAR(A488)-1,MONTH(A488),1),$A$2:$A$800,0))-1,""))</f>
        <v/>
      </c>
    </row>
    <row r="489" customFormat="false" ht="15" hidden="false" customHeight="false" outlineLevel="0" collapsed="false">
      <c r="A489" s="124"/>
      <c r="B489" s="125"/>
      <c r="C489" s="122" t="str">
        <f aca="false">IF(OR(B489="",B488=""),"",B489/B488-1)</f>
        <v/>
      </c>
      <c r="D489" s="122" t="str">
        <f aca="false">IF(B489="","",IFERROR(B489/INDEX($B$2:$B$800,MATCH(DATE(YEAR(A489)-1,12,1),$A$2:$A$800,0))-1,""))</f>
        <v/>
      </c>
      <c r="E489" s="122" t="str">
        <f aca="false">IF(B489="","",IFERROR(B489/INDEX($B$2:$B$800,MATCH(DATE(YEAR(A489)-1,MONTH(A489),1),$A$2:$A$800,0))-1,""))</f>
        <v/>
      </c>
    </row>
    <row r="490" customFormat="false" ht="15" hidden="false" customHeight="false" outlineLevel="0" collapsed="false">
      <c r="A490" s="124"/>
      <c r="B490" s="125"/>
      <c r="C490" s="122" t="str">
        <f aca="false">IF(OR(B490="",B489=""),"",B490/B489-1)</f>
        <v/>
      </c>
      <c r="D490" s="122" t="str">
        <f aca="false">IF(B490="","",IFERROR(B490/INDEX($B$2:$B$800,MATCH(DATE(YEAR(A490)-1,12,1),$A$2:$A$800,0))-1,""))</f>
        <v/>
      </c>
      <c r="E490" s="122" t="str">
        <f aca="false">IF(B490="","",IFERROR(B490/INDEX($B$2:$B$800,MATCH(DATE(YEAR(A490)-1,MONTH(A490),1),$A$2:$A$800,0))-1,""))</f>
        <v/>
      </c>
    </row>
    <row r="491" customFormat="false" ht="15" hidden="false" customHeight="false" outlineLevel="0" collapsed="false">
      <c r="A491" s="124"/>
      <c r="B491" s="125"/>
      <c r="C491" s="122" t="str">
        <f aca="false">IF(OR(B491="",B490=""),"",B491/B490-1)</f>
        <v/>
      </c>
      <c r="D491" s="122" t="str">
        <f aca="false">IF(B491="","",IFERROR(B491/INDEX($B$2:$B$800,MATCH(DATE(YEAR(A491)-1,12,1),$A$2:$A$800,0))-1,""))</f>
        <v/>
      </c>
      <c r="E491" s="122" t="str">
        <f aca="false">IF(B491="","",IFERROR(B491/INDEX($B$2:$B$800,MATCH(DATE(YEAR(A491)-1,MONTH(A491),1),$A$2:$A$800,0))-1,""))</f>
        <v/>
      </c>
    </row>
    <row r="492" customFormat="false" ht="15" hidden="false" customHeight="false" outlineLevel="0" collapsed="false">
      <c r="A492" s="124"/>
      <c r="B492" s="125"/>
      <c r="C492" s="122" t="str">
        <f aca="false">IF(OR(B492="",B491=""),"",B492/B491-1)</f>
        <v/>
      </c>
      <c r="D492" s="122" t="str">
        <f aca="false">IF(B492="","",IFERROR(B492/INDEX($B$2:$B$800,MATCH(DATE(YEAR(A492)-1,12,1),$A$2:$A$800,0))-1,""))</f>
        <v/>
      </c>
      <c r="E492" s="122" t="str">
        <f aca="false">IF(B492="","",IFERROR(B492/INDEX($B$2:$B$800,MATCH(DATE(YEAR(A492)-1,MONTH(A492),1),$A$2:$A$800,0))-1,""))</f>
        <v/>
      </c>
    </row>
    <row r="493" customFormat="false" ht="15" hidden="false" customHeight="false" outlineLevel="0" collapsed="false">
      <c r="A493" s="124"/>
      <c r="B493" s="125"/>
      <c r="C493" s="122" t="str">
        <f aca="false">IF(OR(B493="",B492=""),"",B493/B492-1)</f>
        <v/>
      </c>
      <c r="D493" s="122" t="str">
        <f aca="false">IF(B493="","",IFERROR(B493/INDEX($B$2:$B$800,MATCH(DATE(YEAR(A493)-1,12,1),$A$2:$A$800,0))-1,""))</f>
        <v/>
      </c>
      <c r="E493" s="122" t="str">
        <f aca="false">IF(B493="","",IFERROR(B493/INDEX($B$2:$B$800,MATCH(DATE(YEAR(A493)-1,MONTH(A493),1),$A$2:$A$800,0))-1,""))</f>
        <v/>
      </c>
    </row>
    <row r="494" customFormat="false" ht="15" hidden="false" customHeight="false" outlineLevel="0" collapsed="false">
      <c r="A494" s="124"/>
      <c r="B494" s="125"/>
      <c r="C494" s="122" t="str">
        <f aca="false">IF(OR(B494="",B493=""),"",B494/B493-1)</f>
        <v/>
      </c>
      <c r="D494" s="122" t="str">
        <f aca="false">IF(B494="","",IFERROR(B494/INDEX($B$2:$B$800,MATCH(DATE(YEAR(A494)-1,12,1),$A$2:$A$800,0))-1,""))</f>
        <v/>
      </c>
      <c r="E494" s="122" t="str">
        <f aca="false">IF(B494="","",IFERROR(B494/INDEX($B$2:$B$800,MATCH(DATE(YEAR(A494)-1,MONTH(A494),1),$A$2:$A$800,0))-1,""))</f>
        <v/>
      </c>
    </row>
    <row r="495" customFormat="false" ht="15" hidden="false" customHeight="false" outlineLevel="0" collapsed="false">
      <c r="A495" s="124"/>
      <c r="B495" s="125"/>
      <c r="C495" s="122" t="str">
        <f aca="false">IF(OR(B495="",B494=""),"",B495/B494-1)</f>
        <v/>
      </c>
      <c r="D495" s="122" t="str">
        <f aca="false">IF(B495="","",IFERROR(B495/INDEX($B$2:$B$800,MATCH(DATE(YEAR(A495)-1,12,1),$A$2:$A$800,0))-1,""))</f>
        <v/>
      </c>
      <c r="E495" s="122" t="str">
        <f aca="false">IF(B495="","",IFERROR(B495/INDEX($B$2:$B$800,MATCH(DATE(YEAR(A495)-1,MONTH(A495),1),$A$2:$A$800,0))-1,""))</f>
        <v/>
      </c>
    </row>
    <row r="496" customFormat="false" ht="15" hidden="false" customHeight="false" outlineLevel="0" collapsed="false">
      <c r="A496" s="124"/>
      <c r="B496" s="125"/>
      <c r="C496" s="122" t="str">
        <f aca="false">IF(OR(B496="",B495=""),"",B496/B495-1)</f>
        <v/>
      </c>
      <c r="D496" s="122" t="str">
        <f aca="false">IF(B496="","",IFERROR(B496/INDEX($B$2:$B$800,MATCH(DATE(YEAR(A496)-1,12,1),$A$2:$A$800,0))-1,""))</f>
        <v/>
      </c>
      <c r="E496" s="122" t="str">
        <f aca="false">IF(B496="","",IFERROR(B496/INDEX($B$2:$B$800,MATCH(DATE(YEAR(A496)-1,MONTH(A496),1),$A$2:$A$800,0))-1,""))</f>
        <v/>
      </c>
    </row>
    <row r="497" customFormat="false" ht="15" hidden="false" customHeight="false" outlineLevel="0" collapsed="false">
      <c r="A497" s="124"/>
      <c r="B497" s="125"/>
      <c r="C497" s="122" t="str">
        <f aca="false">IF(OR(B497="",B496=""),"",B497/B496-1)</f>
        <v/>
      </c>
      <c r="D497" s="122" t="str">
        <f aca="false">IF(B497="","",IFERROR(B497/INDEX($B$2:$B$800,MATCH(DATE(YEAR(A497)-1,12,1),$A$2:$A$800,0))-1,""))</f>
        <v/>
      </c>
      <c r="E497" s="122" t="str">
        <f aca="false">IF(B497="","",IFERROR(B497/INDEX($B$2:$B$800,MATCH(DATE(YEAR(A497)-1,MONTH(A497),1),$A$2:$A$800,0))-1,""))</f>
        <v/>
      </c>
    </row>
    <row r="498" customFormat="false" ht="15" hidden="false" customHeight="false" outlineLevel="0" collapsed="false">
      <c r="A498" s="124"/>
      <c r="B498" s="125"/>
      <c r="C498" s="122" t="str">
        <f aca="false">IF(OR(B498="",B497=""),"",B498/B497-1)</f>
        <v/>
      </c>
      <c r="D498" s="122" t="str">
        <f aca="false">IF(B498="","",IFERROR(B498/INDEX($B$2:$B$800,MATCH(DATE(YEAR(A498)-1,12,1),$A$2:$A$800,0))-1,""))</f>
        <v/>
      </c>
      <c r="E498" s="122" t="str">
        <f aca="false">IF(B498="","",IFERROR(B498/INDEX($B$2:$B$800,MATCH(DATE(YEAR(A498)-1,MONTH(A498),1),$A$2:$A$800,0))-1,""))</f>
        <v/>
      </c>
    </row>
    <row r="499" customFormat="false" ht="15" hidden="false" customHeight="false" outlineLevel="0" collapsed="false">
      <c r="A499" s="124"/>
      <c r="B499" s="125"/>
      <c r="C499" s="122" t="str">
        <f aca="false">IF(OR(B499="",B498=""),"",B499/B498-1)</f>
        <v/>
      </c>
      <c r="D499" s="122" t="str">
        <f aca="false">IF(B499="","",IFERROR(B499/INDEX($B$2:$B$800,MATCH(DATE(YEAR(A499)-1,12,1),$A$2:$A$800,0))-1,""))</f>
        <v/>
      </c>
      <c r="E499" s="122" t="str">
        <f aca="false">IF(B499="","",IFERROR(B499/INDEX($B$2:$B$800,MATCH(DATE(YEAR(A499)-1,MONTH(A499),1),$A$2:$A$800,0))-1,""))</f>
        <v/>
      </c>
    </row>
    <row r="500" customFormat="false" ht="15" hidden="false" customHeight="false" outlineLevel="0" collapsed="false">
      <c r="A500" s="124"/>
      <c r="B500" s="125"/>
      <c r="C500" s="122" t="str">
        <f aca="false">IF(OR(B500="",B499=""),"",B500/B499-1)</f>
        <v/>
      </c>
      <c r="D500" s="122" t="str">
        <f aca="false">IF(B500="","",IFERROR(B500/INDEX($B$2:$B$800,MATCH(DATE(YEAR(A500)-1,12,1),$A$2:$A$800,0))-1,""))</f>
        <v/>
      </c>
      <c r="E500" s="122" t="str">
        <f aca="false">IF(B500="","",IFERROR(B500/INDEX($B$2:$B$800,MATCH(DATE(YEAR(A500)-1,MONTH(A500),1),$A$2:$A$800,0))-1,""))</f>
        <v/>
      </c>
    </row>
    <row r="501" customFormat="false" ht="15" hidden="false" customHeight="false" outlineLevel="0" collapsed="false">
      <c r="A501" s="124"/>
      <c r="B501" s="125"/>
      <c r="C501" s="122" t="str">
        <f aca="false">IF(OR(B501="",B500=""),"",B501/B500-1)</f>
        <v/>
      </c>
      <c r="D501" s="122" t="str">
        <f aca="false">IF(B501="","",IFERROR(B501/INDEX($B$2:$B$800,MATCH(DATE(YEAR(A501)-1,12,1),$A$2:$A$800,0))-1,""))</f>
        <v/>
      </c>
      <c r="E501" s="122" t="str">
        <f aca="false">IF(B501="","",IFERROR(B501/INDEX($B$2:$B$800,MATCH(DATE(YEAR(A501)-1,MONTH(A501),1),$A$2:$A$800,0))-1,""))</f>
        <v/>
      </c>
    </row>
    <row r="502" customFormat="false" ht="15" hidden="false" customHeight="false" outlineLevel="0" collapsed="false">
      <c r="A502" s="124"/>
      <c r="B502" s="125"/>
      <c r="C502" s="122" t="str">
        <f aca="false">IF(OR(B502="",B501=""),"",B502/B501-1)</f>
        <v/>
      </c>
      <c r="D502" s="122" t="str">
        <f aca="false">IF(B502="","",IFERROR(B502/INDEX($B$2:$B$800,MATCH(DATE(YEAR(A502)-1,12,1),$A$2:$A$800,0))-1,""))</f>
        <v/>
      </c>
      <c r="E502" s="122" t="str">
        <f aca="false">IF(B502="","",IFERROR(B502/INDEX($B$2:$B$800,MATCH(DATE(YEAR(A502)-1,MONTH(A502),1),$A$2:$A$800,0))-1,""))</f>
        <v/>
      </c>
    </row>
    <row r="503" customFormat="false" ht="15" hidden="false" customHeight="false" outlineLevel="0" collapsed="false">
      <c r="A503" s="124"/>
      <c r="B503" s="125"/>
      <c r="C503" s="122" t="str">
        <f aca="false">IF(OR(B503="",B502=""),"",B503/B502-1)</f>
        <v/>
      </c>
      <c r="D503" s="122" t="str">
        <f aca="false">IF(B503="","",IFERROR(B503/INDEX($B$2:$B$800,MATCH(DATE(YEAR(A503)-1,12,1),$A$2:$A$800,0))-1,""))</f>
        <v/>
      </c>
      <c r="E503" s="122" t="str">
        <f aca="false">IF(B503="","",IFERROR(B503/INDEX($B$2:$B$800,MATCH(DATE(YEAR(A503)-1,MONTH(A503),1),$A$2:$A$800,0))-1,""))</f>
        <v/>
      </c>
    </row>
    <row r="504" customFormat="false" ht="15" hidden="false" customHeight="false" outlineLevel="0" collapsed="false">
      <c r="A504" s="124"/>
      <c r="B504" s="125"/>
      <c r="C504" s="122" t="str">
        <f aca="false">IF(OR(B504="",B503=""),"",B504/B503-1)</f>
        <v/>
      </c>
      <c r="D504" s="122" t="str">
        <f aca="false">IF(B504="","",IFERROR(B504/INDEX($B$2:$B$800,MATCH(DATE(YEAR(A504)-1,12,1),$A$2:$A$800,0))-1,""))</f>
        <v/>
      </c>
      <c r="E504" s="122" t="str">
        <f aca="false">IF(B504="","",IFERROR(B504/INDEX($B$2:$B$800,MATCH(DATE(YEAR(A504)-1,MONTH(A504),1),$A$2:$A$800,0))-1,""))</f>
        <v/>
      </c>
    </row>
    <row r="505" customFormat="false" ht="15" hidden="false" customHeight="false" outlineLevel="0" collapsed="false">
      <c r="A505" s="124"/>
      <c r="B505" s="125"/>
      <c r="C505" s="122" t="str">
        <f aca="false">IF(OR(B505="",B504=""),"",B505/B504-1)</f>
        <v/>
      </c>
      <c r="D505" s="122" t="str">
        <f aca="false">IF(B505="","",IFERROR(B505/INDEX($B$2:$B$800,MATCH(DATE(YEAR(A505)-1,12,1),$A$2:$A$800,0))-1,""))</f>
        <v/>
      </c>
      <c r="E505" s="122" t="str">
        <f aca="false">IF(B505="","",IFERROR(B505/INDEX($B$2:$B$800,MATCH(DATE(YEAR(A505)-1,MONTH(A505),1),$A$2:$A$800,0))-1,""))</f>
        <v/>
      </c>
    </row>
    <row r="506" customFormat="false" ht="15" hidden="false" customHeight="false" outlineLevel="0" collapsed="false">
      <c r="A506" s="124"/>
      <c r="B506" s="125"/>
      <c r="C506" s="122" t="str">
        <f aca="false">IF(OR(B506="",B505=""),"",B506/B505-1)</f>
        <v/>
      </c>
      <c r="D506" s="122" t="str">
        <f aca="false">IF(B506="","",IFERROR(B506/INDEX($B$2:$B$800,MATCH(DATE(YEAR(A506)-1,12,1),$A$2:$A$800,0))-1,""))</f>
        <v/>
      </c>
      <c r="E506" s="122" t="str">
        <f aca="false">IF(B506="","",IFERROR(B506/INDEX($B$2:$B$800,MATCH(DATE(YEAR(A506)-1,MONTH(A506),1),$A$2:$A$800,0))-1,""))</f>
        <v/>
      </c>
    </row>
    <row r="507" customFormat="false" ht="15" hidden="false" customHeight="false" outlineLevel="0" collapsed="false">
      <c r="A507" s="124"/>
      <c r="B507" s="125"/>
      <c r="C507" s="122" t="str">
        <f aca="false">IF(OR(B507="",B506=""),"",B507/B506-1)</f>
        <v/>
      </c>
      <c r="D507" s="122" t="str">
        <f aca="false">IF(B507="","",IFERROR(B507/INDEX($B$2:$B$800,MATCH(DATE(YEAR(A507)-1,12,1),$A$2:$A$800,0))-1,""))</f>
        <v/>
      </c>
      <c r="E507" s="122" t="str">
        <f aca="false">IF(B507="","",IFERROR(B507/INDEX($B$2:$B$800,MATCH(DATE(YEAR(A507)-1,MONTH(A507),1),$A$2:$A$800,0))-1,""))</f>
        <v/>
      </c>
    </row>
    <row r="508" customFormat="false" ht="15" hidden="false" customHeight="false" outlineLevel="0" collapsed="false">
      <c r="A508" s="124"/>
      <c r="B508" s="125"/>
      <c r="C508" s="122" t="str">
        <f aca="false">IF(OR(B508="",B507=""),"",B508/B507-1)</f>
        <v/>
      </c>
      <c r="D508" s="122" t="str">
        <f aca="false">IF(B508="","",IFERROR(B508/INDEX($B$2:$B$800,MATCH(DATE(YEAR(A508)-1,12,1),$A$2:$A$800,0))-1,""))</f>
        <v/>
      </c>
      <c r="E508" s="122" t="str">
        <f aca="false">IF(B508="","",IFERROR(B508/INDEX($B$2:$B$800,MATCH(DATE(YEAR(A508)-1,MONTH(A508),1),$A$2:$A$800,0))-1,""))</f>
        <v/>
      </c>
    </row>
    <row r="509" customFormat="false" ht="15" hidden="false" customHeight="false" outlineLevel="0" collapsed="false">
      <c r="A509" s="124"/>
      <c r="B509" s="125"/>
      <c r="C509" s="122" t="str">
        <f aca="false">IF(OR(B509="",B508=""),"",B509/B508-1)</f>
        <v/>
      </c>
      <c r="D509" s="122" t="str">
        <f aca="false">IF(B509="","",IFERROR(B509/INDEX($B$2:$B$800,MATCH(DATE(YEAR(A509)-1,12,1),$A$2:$A$800,0))-1,""))</f>
        <v/>
      </c>
      <c r="E509" s="122" t="str">
        <f aca="false">IF(B509="","",IFERROR(B509/INDEX($B$2:$B$800,MATCH(DATE(YEAR(A509)-1,MONTH(A509),1),$A$2:$A$800,0))-1,""))</f>
        <v/>
      </c>
    </row>
    <row r="510" customFormat="false" ht="15" hidden="false" customHeight="false" outlineLevel="0" collapsed="false">
      <c r="A510" s="124"/>
      <c r="B510" s="125"/>
      <c r="C510" s="122" t="str">
        <f aca="false">IF(OR(B510="",B509=""),"",B510/B509-1)</f>
        <v/>
      </c>
      <c r="D510" s="122" t="str">
        <f aca="false">IF(B510="","",IFERROR(B510/INDEX($B$2:$B$800,MATCH(DATE(YEAR(A510)-1,12,1),$A$2:$A$800,0))-1,""))</f>
        <v/>
      </c>
      <c r="E510" s="122" t="str">
        <f aca="false">IF(B510="","",IFERROR(B510/INDEX($B$2:$B$800,MATCH(DATE(YEAR(A510)-1,MONTH(A510),1),$A$2:$A$800,0))-1,""))</f>
        <v/>
      </c>
    </row>
    <row r="511" customFormat="false" ht="15" hidden="false" customHeight="false" outlineLevel="0" collapsed="false">
      <c r="A511" s="124"/>
      <c r="B511" s="125"/>
      <c r="C511" s="122" t="str">
        <f aca="false">IF(OR(B511="",B510=""),"",B511/B510-1)</f>
        <v/>
      </c>
      <c r="D511" s="122" t="str">
        <f aca="false">IF(B511="","",IFERROR(B511/INDEX($B$2:$B$800,MATCH(DATE(YEAR(A511)-1,12,1),$A$2:$A$800,0))-1,""))</f>
        <v/>
      </c>
      <c r="E511" s="122" t="str">
        <f aca="false">IF(B511="","",IFERROR(B511/INDEX($B$2:$B$800,MATCH(DATE(YEAR(A511)-1,MONTH(A511),1),$A$2:$A$800,0))-1,""))</f>
        <v/>
      </c>
    </row>
    <row r="512" customFormat="false" ht="15" hidden="false" customHeight="false" outlineLevel="0" collapsed="false">
      <c r="A512" s="124"/>
      <c r="B512" s="125"/>
      <c r="C512" s="122" t="str">
        <f aca="false">IF(OR(B512="",B511=""),"",B512/B511-1)</f>
        <v/>
      </c>
      <c r="D512" s="122" t="str">
        <f aca="false">IF(B512="","",IFERROR(B512/INDEX($B$2:$B$800,MATCH(DATE(YEAR(A512)-1,12,1),$A$2:$A$800,0))-1,""))</f>
        <v/>
      </c>
      <c r="E512" s="122" t="str">
        <f aca="false">IF(B512="","",IFERROR(B512/INDEX($B$2:$B$800,MATCH(DATE(YEAR(A512)-1,MONTH(A512),1),$A$2:$A$800,0))-1,""))</f>
        <v/>
      </c>
    </row>
    <row r="513" customFormat="false" ht="15" hidden="false" customHeight="false" outlineLevel="0" collapsed="false">
      <c r="A513" s="124"/>
      <c r="B513" s="125"/>
      <c r="C513" s="122" t="str">
        <f aca="false">IF(OR(B513="",B512=""),"",B513/B512-1)</f>
        <v/>
      </c>
      <c r="D513" s="122" t="str">
        <f aca="false">IF(B513="","",IFERROR(B513/INDEX($B$2:$B$800,MATCH(DATE(YEAR(A513)-1,12,1),$A$2:$A$800,0))-1,""))</f>
        <v/>
      </c>
      <c r="E513" s="122" t="str">
        <f aca="false">IF(B513="","",IFERROR(B513/INDEX($B$2:$B$800,MATCH(DATE(YEAR(A513)-1,MONTH(A513),1),$A$2:$A$800,0))-1,""))</f>
        <v/>
      </c>
    </row>
    <row r="514" customFormat="false" ht="15" hidden="false" customHeight="false" outlineLevel="0" collapsed="false">
      <c r="A514" s="124"/>
      <c r="B514" s="125"/>
      <c r="C514" s="122" t="str">
        <f aca="false">IF(OR(B514="",B513=""),"",B514/B513-1)</f>
        <v/>
      </c>
      <c r="D514" s="122" t="str">
        <f aca="false">IF(B514="","",IFERROR(B514/INDEX($B$2:$B$800,MATCH(DATE(YEAR(A514)-1,12,1),$A$2:$A$800,0))-1,""))</f>
        <v/>
      </c>
      <c r="E514" s="122" t="str">
        <f aca="false">IF(B514="","",IFERROR(B514/INDEX($B$2:$B$800,MATCH(DATE(YEAR(A514)-1,MONTH(A514),1),$A$2:$A$800,0))-1,""))</f>
        <v/>
      </c>
    </row>
    <row r="515" customFormat="false" ht="15" hidden="false" customHeight="false" outlineLevel="0" collapsed="false">
      <c r="A515" s="124"/>
      <c r="B515" s="125"/>
      <c r="C515" s="122" t="str">
        <f aca="false">IF(OR(B515="",B514=""),"",B515/B514-1)</f>
        <v/>
      </c>
      <c r="D515" s="122" t="str">
        <f aca="false">IF(B515="","",IFERROR(B515/INDEX($B$2:$B$800,MATCH(DATE(YEAR(A515)-1,12,1),$A$2:$A$800,0))-1,""))</f>
        <v/>
      </c>
      <c r="E515" s="122" t="str">
        <f aca="false">IF(B515="","",IFERROR(B515/INDEX($B$2:$B$800,MATCH(DATE(YEAR(A515)-1,MONTH(A515),1),$A$2:$A$800,0))-1,""))</f>
        <v/>
      </c>
    </row>
    <row r="516" customFormat="false" ht="15" hidden="false" customHeight="false" outlineLevel="0" collapsed="false">
      <c r="A516" s="124"/>
      <c r="B516" s="125"/>
      <c r="C516" s="122" t="str">
        <f aca="false">IF(OR(B516="",B515=""),"",B516/B515-1)</f>
        <v/>
      </c>
      <c r="D516" s="122" t="str">
        <f aca="false">IF(B516="","",IFERROR(B516/INDEX($B$2:$B$800,MATCH(DATE(YEAR(A516)-1,12,1),$A$2:$A$800,0))-1,""))</f>
        <v/>
      </c>
      <c r="E516" s="122" t="str">
        <f aca="false">IF(B516="","",IFERROR(B516/INDEX($B$2:$B$800,MATCH(DATE(YEAR(A516)-1,MONTH(A516),1),$A$2:$A$800,0))-1,""))</f>
        <v/>
      </c>
    </row>
    <row r="517" customFormat="false" ht="15" hidden="false" customHeight="false" outlineLevel="0" collapsed="false">
      <c r="A517" s="124"/>
      <c r="B517" s="125"/>
      <c r="C517" s="122" t="str">
        <f aca="false">IF(OR(B517="",B516=""),"",B517/B516-1)</f>
        <v/>
      </c>
      <c r="D517" s="122" t="str">
        <f aca="false">IF(B517="","",IFERROR(B517/INDEX($B$2:$B$800,MATCH(DATE(YEAR(A517)-1,12,1),$A$2:$A$800,0))-1,""))</f>
        <v/>
      </c>
      <c r="E517" s="122" t="str">
        <f aca="false">IF(B517="","",IFERROR(B517/INDEX($B$2:$B$800,MATCH(DATE(YEAR(A517)-1,MONTH(A517),1),$A$2:$A$800,0))-1,""))</f>
        <v/>
      </c>
    </row>
    <row r="518" customFormat="false" ht="15" hidden="false" customHeight="false" outlineLevel="0" collapsed="false">
      <c r="A518" s="124"/>
      <c r="B518" s="125"/>
      <c r="C518" s="122" t="str">
        <f aca="false">IF(OR(B518="",B517=""),"",B518/B517-1)</f>
        <v/>
      </c>
      <c r="D518" s="122" t="str">
        <f aca="false">IF(B518="","",IFERROR(B518/INDEX($B$2:$B$800,MATCH(DATE(YEAR(A518)-1,12,1),$A$2:$A$800,0))-1,""))</f>
        <v/>
      </c>
      <c r="E518" s="122" t="str">
        <f aca="false">IF(B518="","",IFERROR(B518/INDEX($B$2:$B$800,MATCH(DATE(YEAR(A518)-1,MONTH(A518),1),$A$2:$A$800,0))-1,""))</f>
        <v/>
      </c>
    </row>
    <row r="519" customFormat="false" ht="15" hidden="false" customHeight="false" outlineLevel="0" collapsed="false">
      <c r="A519" s="124"/>
      <c r="B519" s="125"/>
      <c r="C519" s="122" t="str">
        <f aca="false">IF(OR(B519="",B518=""),"",B519/B518-1)</f>
        <v/>
      </c>
      <c r="D519" s="122" t="str">
        <f aca="false">IF(B519="","",IFERROR(B519/INDEX($B$2:$B$800,MATCH(DATE(YEAR(A519)-1,12,1),$A$2:$A$800,0))-1,""))</f>
        <v/>
      </c>
      <c r="E519" s="122" t="str">
        <f aca="false">IF(B519="","",IFERROR(B519/INDEX($B$2:$B$800,MATCH(DATE(YEAR(A519)-1,MONTH(A519),1),$A$2:$A$800,0))-1,""))</f>
        <v/>
      </c>
    </row>
    <row r="520" customFormat="false" ht="15" hidden="false" customHeight="false" outlineLevel="0" collapsed="false">
      <c r="A520" s="124"/>
      <c r="B520" s="125"/>
      <c r="C520" s="122" t="str">
        <f aca="false">IF(OR(B520="",B519=""),"",B520/B519-1)</f>
        <v/>
      </c>
      <c r="D520" s="122" t="str">
        <f aca="false">IF(B520="","",IFERROR(B520/INDEX($B$2:$B$800,MATCH(DATE(YEAR(A520)-1,12,1),$A$2:$A$800,0))-1,""))</f>
        <v/>
      </c>
      <c r="E520" s="122" t="str">
        <f aca="false">IF(B520="","",IFERROR(B520/INDEX($B$2:$B$800,MATCH(DATE(YEAR(A520)-1,MONTH(A520),1),$A$2:$A$800,0))-1,""))</f>
        <v/>
      </c>
    </row>
    <row r="521" customFormat="false" ht="15" hidden="false" customHeight="false" outlineLevel="0" collapsed="false">
      <c r="A521" s="124"/>
      <c r="B521" s="125"/>
      <c r="C521" s="122" t="str">
        <f aca="false">IF(OR(B521="",B520=""),"",B521/B520-1)</f>
        <v/>
      </c>
      <c r="D521" s="122" t="str">
        <f aca="false">IF(B521="","",IFERROR(B521/INDEX($B$2:$B$800,MATCH(DATE(YEAR(A521)-1,12,1),$A$2:$A$800,0))-1,""))</f>
        <v/>
      </c>
      <c r="E521" s="122" t="str">
        <f aca="false">IF(B521="","",IFERROR(B521/INDEX($B$2:$B$800,MATCH(DATE(YEAR(A521)-1,MONTH(A521),1),$A$2:$A$800,0))-1,""))</f>
        <v/>
      </c>
    </row>
    <row r="522" customFormat="false" ht="15" hidden="false" customHeight="false" outlineLevel="0" collapsed="false">
      <c r="A522" s="124"/>
      <c r="B522" s="125"/>
      <c r="C522" s="122" t="str">
        <f aca="false">IF(OR(B522="",B521=""),"",B522/B521-1)</f>
        <v/>
      </c>
      <c r="D522" s="122" t="str">
        <f aca="false">IF(B522="","",IFERROR(B522/INDEX($B$2:$B$800,MATCH(DATE(YEAR(A522)-1,12,1),$A$2:$A$800,0))-1,""))</f>
        <v/>
      </c>
      <c r="E522" s="122" t="str">
        <f aca="false">IF(B522="","",IFERROR(B522/INDEX($B$2:$B$800,MATCH(DATE(YEAR(A522)-1,MONTH(A522),1),$A$2:$A$800,0))-1,""))</f>
        <v/>
      </c>
    </row>
    <row r="523" customFormat="false" ht="15" hidden="false" customHeight="false" outlineLevel="0" collapsed="false">
      <c r="A523" s="124"/>
      <c r="B523" s="125"/>
      <c r="C523" s="122" t="str">
        <f aca="false">IF(OR(B523="",B522=""),"",B523/B522-1)</f>
        <v/>
      </c>
      <c r="D523" s="122" t="str">
        <f aca="false">IF(B523="","",IFERROR(B523/INDEX($B$2:$B$800,MATCH(DATE(YEAR(A523)-1,12,1),$A$2:$A$800,0))-1,""))</f>
        <v/>
      </c>
      <c r="E523" s="122" t="str">
        <f aca="false">IF(B523="","",IFERROR(B523/INDEX($B$2:$B$800,MATCH(DATE(YEAR(A523)-1,MONTH(A523),1),$A$2:$A$800,0))-1,""))</f>
        <v/>
      </c>
    </row>
    <row r="524" customFormat="false" ht="15" hidden="false" customHeight="false" outlineLevel="0" collapsed="false">
      <c r="A524" s="124"/>
      <c r="B524" s="125"/>
      <c r="C524" s="122" t="str">
        <f aca="false">IF(OR(B524="",B523=""),"",B524/B523-1)</f>
        <v/>
      </c>
      <c r="D524" s="122" t="str">
        <f aca="false">IF(B524="","",IFERROR(B524/INDEX($B$2:$B$800,MATCH(DATE(YEAR(A524)-1,12,1),$A$2:$A$800,0))-1,""))</f>
        <v/>
      </c>
      <c r="E524" s="122" t="str">
        <f aca="false">IF(B524="","",IFERROR(B524/INDEX($B$2:$B$800,MATCH(DATE(YEAR(A524)-1,MONTH(A524),1),$A$2:$A$800,0))-1,""))</f>
        <v/>
      </c>
    </row>
    <row r="525" customFormat="false" ht="15" hidden="false" customHeight="false" outlineLevel="0" collapsed="false">
      <c r="A525" s="124"/>
      <c r="B525" s="125"/>
      <c r="C525" s="122" t="str">
        <f aca="false">IF(OR(B525="",B524=""),"",B525/B524-1)</f>
        <v/>
      </c>
      <c r="D525" s="122" t="str">
        <f aca="false">IF(B525="","",IFERROR(B525/INDEX($B$2:$B$800,MATCH(DATE(YEAR(A525)-1,12,1),$A$2:$A$800,0))-1,""))</f>
        <v/>
      </c>
      <c r="E525" s="122" t="str">
        <f aca="false">IF(B525="","",IFERROR(B525/INDEX($B$2:$B$800,MATCH(DATE(YEAR(A525)-1,MONTH(A525),1),$A$2:$A$800,0))-1,""))</f>
        <v/>
      </c>
    </row>
    <row r="526" customFormat="false" ht="15" hidden="false" customHeight="false" outlineLevel="0" collapsed="false">
      <c r="A526" s="124"/>
      <c r="B526" s="125"/>
      <c r="C526" s="122" t="str">
        <f aca="false">IF(OR(B526="",B525=""),"",B526/B525-1)</f>
        <v/>
      </c>
      <c r="D526" s="122" t="str">
        <f aca="false">IF(B526="","",IFERROR(B526/INDEX($B$2:$B$800,MATCH(DATE(YEAR(A526)-1,12,1),$A$2:$A$800,0))-1,""))</f>
        <v/>
      </c>
      <c r="E526" s="122" t="str">
        <f aca="false">IF(B526="","",IFERROR(B526/INDEX($B$2:$B$800,MATCH(DATE(YEAR(A526)-1,MONTH(A526),1),$A$2:$A$800,0))-1,""))</f>
        <v/>
      </c>
    </row>
    <row r="527" customFormat="false" ht="15" hidden="false" customHeight="false" outlineLevel="0" collapsed="false">
      <c r="A527" s="124"/>
      <c r="B527" s="125"/>
      <c r="C527" s="122" t="str">
        <f aca="false">IF(OR(B527="",B526=""),"",B527/B526-1)</f>
        <v/>
      </c>
      <c r="D527" s="122" t="str">
        <f aca="false">IF(B527="","",IFERROR(B527/INDEX($B$2:$B$800,MATCH(DATE(YEAR(A527)-1,12,1),$A$2:$A$800,0))-1,""))</f>
        <v/>
      </c>
      <c r="E527" s="122" t="str">
        <f aca="false">IF(B527="","",IFERROR(B527/INDEX($B$2:$B$800,MATCH(DATE(YEAR(A527)-1,MONTH(A527),1),$A$2:$A$800,0))-1,""))</f>
        <v/>
      </c>
    </row>
    <row r="528" customFormat="false" ht="15" hidden="false" customHeight="false" outlineLevel="0" collapsed="false">
      <c r="A528" s="124"/>
      <c r="B528" s="125"/>
      <c r="C528" s="122" t="str">
        <f aca="false">IF(OR(B528="",B527=""),"",B528/B527-1)</f>
        <v/>
      </c>
      <c r="D528" s="122" t="str">
        <f aca="false">IF(B528="","",IFERROR(B528/INDEX($B$2:$B$800,MATCH(DATE(YEAR(A528)-1,12,1),$A$2:$A$800,0))-1,""))</f>
        <v/>
      </c>
      <c r="E528" s="122" t="str">
        <f aca="false">IF(B528="","",IFERROR(B528/INDEX($B$2:$B$800,MATCH(DATE(YEAR(A528)-1,MONTH(A528),1),$A$2:$A$800,0))-1,""))</f>
        <v/>
      </c>
    </row>
    <row r="529" customFormat="false" ht="15" hidden="false" customHeight="false" outlineLevel="0" collapsed="false">
      <c r="A529" s="124"/>
      <c r="B529" s="125"/>
      <c r="C529" s="122" t="str">
        <f aca="false">IF(OR(B529="",B528=""),"",B529/B528-1)</f>
        <v/>
      </c>
      <c r="D529" s="122" t="str">
        <f aca="false">IF(B529="","",IFERROR(B529/INDEX($B$2:$B$800,MATCH(DATE(YEAR(A529)-1,12,1),$A$2:$A$800,0))-1,""))</f>
        <v/>
      </c>
      <c r="E529" s="122" t="str">
        <f aca="false">IF(B529="","",IFERROR(B529/INDEX($B$2:$B$800,MATCH(DATE(YEAR(A529)-1,MONTH(A529),1),$A$2:$A$800,0))-1,""))</f>
        <v/>
      </c>
    </row>
    <row r="530" customFormat="false" ht="15" hidden="false" customHeight="false" outlineLevel="0" collapsed="false">
      <c r="A530" s="124"/>
      <c r="B530" s="125"/>
      <c r="C530" s="122" t="str">
        <f aca="false">IF(OR(B530="",B529=""),"",B530/B529-1)</f>
        <v/>
      </c>
      <c r="D530" s="122" t="str">
        <f aca="false">IF(B530="","",IFERROR(B530/INDEX($B$2:$B$800,MATCH(DATE(YEAR(A530)-1,12,1),$A$2:$A$800,0))-1,""))</f>
        <v/>
      </c>
      <c r="E530" s="122" t="str">
        <f aca="false">IF(B530="","",IFERROR(B530/INDEX($B$2:$B$800,MATCH(DATE(YEAR(A530)-1,MONTH(A530),1),$A$2:$A$800,0))-1,""))</f>
        <v/>
      </c>
    </row>
    <row r="531" customFormat="false" ht="15" hidden="false" customHeight="false" outlineLevel="0" collapsed="false">
      <c r="A531" s="124"/>
      <c r="B531" s="125"/>
      <c r="C531" s="122" t="str">
        <f aca="false">IF(OR(B531="",B530=""),"",B531/B530-1)</f>
        <v/>
      </c>
      <c r="D531" s="122" t="str">
        <f aca="false">IF(B531="","",IFERROR(B531/INDEX($B$2:$B$800,MATCH(DATE(YEAR(A531)-1,12,1),$A$2:$A$800,0))-1,""))</f>
        <v/>
      </c>
      <c r="E531" s="122" t="str">
        <f aca="false">IF(B531="","",IFERROR(B531/INDEX($B$2:$B$800,MATCH(DATE(YEAR(A531)-1,MONTH(A531),1),$A$2:$A$800,0))-1,""))</f>
        <v/>
      </c>
    </row>
    <row r="532" customFormat="false" ht="15" hidden="false" customHeight="false" outlineLevel="0" collapsed="false">
      <c r="A532" s="124"/>
      <c r="B532" s="125"/>
      <c r="C532" s="122" t="str">
        <f aca="false">IF(OR(B532="",B531=""),"",B532/B531-1)</f>
        <v/>
      </c>
      <c r="D532" s="122" t="str">
        <f aca="false">IF(B532="","",IFERROR(B532/INDEX($B$2:$B$800,MATCH(DATE(YEAR(A532)-1,12,1),$A$2:$A$800,0))-1,""))</f>
        <v/>
      </c>
      <c r="E532" s="122" t="str">
        <f aca="false">IF(B532="","",IFERROR(B532/INDEX($B$2:$B$800,MATCH(DATE(YEAR(A532)-1,MONTH(A532),1),$A$2:$A$800,0))-1,""))</f>
        <v/>
      </c>
    </row>
    <row r="533" customFormat="false" ht="15" hidden="false" customHeight="false" outlineLevel="0" collapsed="false">
      <c r="A533" s="124"/>
      <c r="B533" s="125"/>
      <c r="C533" s="122" t="str">
        <f aca="false">IF(OR(B533="",B532=""),"",B533/B532-1)</f>
        <v/>
      </c>
      <c r="D533" s="122" t="str">
        <f aca="false">IF(B533="","",IFERROR(B533/INDEX($B$2:$B$800,MATCH(DATE(YEAR(A533)-1,12,1),$A$2:$A$800,0))-1,""))</f>
        <v/>
      </c>
      <c r="E533" s="122" t="str">
        <f aca="false">IF(B533="","",IFERROR(B533/INDEX($B$2:$B$800,MATCH(DATE(YEAR(A533)-1,MONTH(A533),1),$A$2:$A$800,0))-1,""))</f>
        <v/>
      </c>
    </row>
    <row r="534" customFormat="false" ht="15" hidden="false" customHeight="false" outlineLevel="0" collapsed="false">
      <c r="A534" s="124"/>
      <c r="B534" s="125"/>
      <c r="C534" s="122" t="str">
        <f aca="false">IF(OR(B534="",B533=""),"",B534/B533-1)</f>
        <v/>
      </c>
      <c r="D534" s="122" t="str">
        <f aca="false">IF(B534="","",IFERROR(B534/INDEX($B$2:$B$800,MATCH(DATE(YEAR(A534)-1,12,1),$A$2:$A$800,0))-1,""))</f>
        <v/>
      </c>
      <c r="E534" s="122" t="str">
        <f aca="false">IF(B534="","",IFERROR(B534/INDEX($B$2:$B$800,MATCH(DATE(YEAR(A534)-1,MONTH(A534),1),$A$2:$A$800,0))-1,""))</f>
        <v/>
      </c>
    </row>
    <row r="535" customFormat="false" ht="15" hidden="false" customHeight="false" outlineLevel="0" collapsed="false">
      <c r="A535" s="124"/>
      <c r="B535" s="125"/>
      <c r="C535" s="122" t="str">
        <f aca="false">IF(OR(B535="",B534=""),"",B535/B534-1)</f>
        <v/>
      </c>
      <c r="D535" s="122" t="str">
        <f aca="false">IF(B535="","",IFERROR(B535/INDEX($B$2:$B$800,MATCH(DATE(YEAR(A535)-1,12,1),$A$2:$A$800,0))-1,""))</f>
        <v/>
      </c>
      <c r="E535" s="122" t="str">
        <f aca="false">IF(B535="","",IFERROR(B535/INDEX($B$2:$B$800,MATCH(DATE(YEAR(A535)-1,MONTH(A535),1),$A$2:$A$800,0))-1,""))</f>
        <v/>
      </c>
    </row>
    <row r="536" customFormat="false" ht="15" hidden="false" customHeight="false" outlineLevel="0" collapsed="false">
      <c r="A536" s="124"/>
      <c r="B536" s="125"/>
      <c r="C536" s="122" t="str">
        <f aca="false">IF(OR(B536="",B535=""),"",B536/B535-1)</f>
        <v/>
      </c>
      <c r="D536" s="122" t="str">
        <f aca="false">IF(B536="","",IFERROR(B536/INDEX($B$2:$B$800,MATCH(DATE(YEAR(A536)-1,12,1),$A$2:$A$800,0))-1,""))</f>
        <v/>
      </c>
      <c r="E536" s="122" t="str">
        <f aca="false">IF(B536="","",IFERROR(B536/INDEX($B$2:$B$800,MATCH(DATE(YEAR(A536)-1,MONTH(A536),1),$A$2:$A$800,0))-1,""))</f>
        <v/>
      </c>
    </row>
    <row r="537" customFormat="false" ht="15" hidden="false" customHeight="false" outlineLevel="0" collapsed="false">
      <c r="A537" s="124"/>
      <c r="B537" s="125"/>
      <c r="C537" s="122" t="str">
        <f aca="false">IF(OR(B537="",B536=""),"",B537/B536-1)</f>
        <v/>
      </c>
      <c r="D537" s="122" t="str">
        <f aca="false">IF(B537="","",IFERROR(B537/INDEX($B$2:$B$800,MATCH(DATE(YEAR(A537)-1,12,1),$A$2:$A$800,0))-1,""))</f>
        <v/>
      </c>
      <c r="E537" s="122" t="str">
        <f aca="false">IF(B537="","",IFERROR(B537/INDEX($B$2:$B$800,MATCH(DATE(YEAR(A537)-1,MONTH(A537),1),$A$2:$A$800,0))-1,""))</f>
        <v/>
      </c>
    </row>
    <row r="538" customFormat="false" ht="15" hidden="false" customHeight="false" outlineLevel="0" collapsed="false">
      <c r="A538" s="124"/>
      <c r="B538" s="125"/>
      <c r="C538" s="122" t="str">
        <f aca="false">IF(OR(B538="",B537=""),"",B538/B537-1)</f>
        <v/>
      </c>
      <c r="D538" s="122" t="str">
        <f aca="false">IF(B538="","",IFERROR(B538/INDEX($B$2:$B$800,MATCH(DATE(YEAR(A538)-1,12,1),$A$2:$A$800,0))-1,""))</f>
        <v/>
      </c>
      <c r="E538" s="122" t="str">
        <f aca="false">IF(B538="","",IFERROR(B538/INDEX($B$2:$B$800,MATCH(DATE(YEAR(A538)-1,MONTH(A538),1),$A$2:$A$800,0))-1,""))</f>
        <v/>
      </c>
    </row>
    <row r="539" customFormat="false" ht="15" hidden="false" customHeight="false" outlineLevel="0" collapsed="false">
      <c r="A539" s="124"/>
      <c r="B539" s="125"/>
      <c r="C539" s="122" t="str">
        <f aca="false">IF(OR(B539="",B538=""),"",B539/B538-1)</f>
        <v/>
      </c>
      <c r="D539" s="122" t="str">
        <f aca="false">IF(B539="","",IFERROR(B539/INDEX($B$2:$B$800,MATCH(DATE(YEAR(A539)-1,12,1),$A$2:$A$800,0))-1,""))</f>
        <v/>
      </c>
      <c r="E539" s="122" t="str">
        <f aca="false">IF(B539="","",IFERROR(B539/INDEX($B$2:$B$800,MATCH(DATE(YEAR(A539)-1,MONTH(A539),1),$A$2:$A$800,0))-1,""))</f>
        <v/>
      </c>
    </row>
    <row r="540" customFormat="false" ht="15" hidden="false" customHeight="false" outlineLevel="0" collapsed="false">
      <c r="A540" s="124"/>
      <c r="B540" s="125"/>
      <c r="C540" s="122" t="str">
        <f aca="false">IF(OR(B540="",B539=""),"",B540/B539-1)</f>
        <v/>
      </c>
      <c r="D540" s="122" t="str">
        <f aca="false">IF(B540="","",IFERROR(B540/INDEX($B$2:$B$800,MATCH(DATE(YEAR(A540)-1,12,1),$A$2:$A$800,0))-1,""))</f>
        <v/>
      </c>
      <c r="E540" s="122" t="str">
        <f aca="false">IF(B540="","",IFERROR(B540/INDEX($B$2:$B$800,MATCH(DATE(YEAR(A540)-1,MONTH(A540),1),$A$2:$A$800,0))-1,""))</f>
        <v/>
      </c>
    </row>
    <row r="541" customFormat="false" ht="15" hidden="false" customHeight="false" outlineLevel="0" collapsed="false">
      <c r="A541" s="124"/>
      <c r="B541" s="125"/>
      <c r="C541" s="122" t="str">
        <f aca="false">IF(OR(B541="",B540=""),"",B541/B540-1)</f>
        <v/>
      </c>
      <c r="D541" s="122" t="str">
        <f aca="false">IF(B541="","",IFERROR(B541/INDEX($B$2:$B$800,MATCH(DATE(YEAR(A541)-1,12,1),$A$2:$A$800,0))-1,""))</f>
        <v/>
      </c>
      <c r="E541" s="122" t="str">
        <f aca="false">IF(B541="","",IFERROR(B541/INDEX($B$2:$B$800,MATCH(DATE(YEAR(A541)-1,MONTH(A541),1),$A$2:$A$800,0))-1,""))</f>
        <v/>
      </c>
    </row>
    <row r="542" customFormat="false" ht="15" hidden="false" customHeight="false" outlineLevel="0" collapsed="false">
      <c r="A542" s="124"/>
      <c r="B542" s="125"/>
      <c r="C542" s="122" t="str">
        <f aca="false">IF(OR(B542="",B541=""),"",B542/B541-1)</f>
        <v/>
      </c>
      <c r="D542" s="122" t="str">
        <f aca="false">IF(B542="","",IFERROR(B542/INDEX($B$2:$B$800,MATCH(DATE(YEAR(A542)-1,12,1),$A$2:$A$800,0))-1,""))</f>
        <v/>
      </c>
      <c r="E542" s="122" t="str">
        <f aca="false">IF(B542="","",IFERROR(B542/INDEX($B$2:$B$800,MATCH(DATE(YEAR(A542)-1,MONTH(A542),1),$A$2:$A$800,0))-1,""))</f>
        <v/>
      </c>
    </row>
    <row r="543" customFormat="false" ht="15" hidden="false" customHeight="false" outlineLevel="0" collapsed="false">
      <c r="A543" s="124"/>
      <c r="B543" s="125"/>
      <c r="C543" s="122" t="str">
        <f aca="false">IF(OR(B543="",B542=""),"",B543/B542-1)</f>
        <v/>
      </c>
      <c r="D543" s="122" t="str">
        <f aca="false">IF(B543="","",IFERROR(B543/INDEX($B$2:$B$800,MATCH(DATE(YEAR(A543)-1,12,1),$A$2:$A$800,0))-1,""))</f>
        <v/>
      </c>
      <c r="E543" s="122" t="str">
        <f aca="false">IF(B543="","",IFERROR(B543/INDEX($B$2:$B$800,MATCH(DATE(YEAR(A543)-1,MONTH(A543),1),$A$2:$A$800,0))-1,""))</f>
        <v/>
      </c>
    </row>
    <row r="544" customFormat="false" ht="15" hidden="false" customHeight="false" outlineLevel="0" collapsed="false">
      <c r="A544" s="124"/>
      <c r="B544" s="125"/>
      <c r="C544" s="122" t="str">
        <f aca="false">IF(OR(B544="",B543=""),"",B544/B543-1)</f>
        <v/>
      </c>
      <c r="D544" s="122" t="str">
        <f aca="false">IF(B544="","",IFERROR(B544/INDEX($B$2:$B$800,MATCH(DATE(YEAR(A544)-1,12,1),$A$2:$A$800,0))-1,""))</f>
        <v/>
      </c>
      <c r="E544" s="122" t="str">
        <f aca="false">IF(B544="","",IFERROR(B544/INDEX($B$2:$B$800,MATCH(DATE(YEAR(A544)-1,MONTH(A544),1),$A$2:$A$800,0))-1,""))</f>
        <v/>
      </c>
    </row>
    <row r="545" customFormat="false" ht="15" hidden="false" customHeight="false" outlineLevel="0" collapsed="false">
      <c r="A545" s="124"/>
      <c r="B545" s="125"/>
      <c r="C545" s="122" t="str">
        <f aca="false">IF(OR(B545="",B544=""),"",B545/B544-1)</f>
        <v/>
      </c>
      <c r="D545" s="122" t="str">
        <f aca="false">IF(B545="","",IFERROR(B545/INDEX($B$2:$B$800,MATCH(DATE(YEAR(A545)-1,12,1),$A$2:$A$800,0))-1,""))</f>
        <v/>
      </c>
      <c r="E545" s="122" t="str">
        <f aca="false">IF(B545="","",IFERROR(B545/INDEX($B$2:$B$800,MATCH(DATE(YEAR(A545)-1,MONTH(A545),1),$A$2:$A$800,0))-1,""))</f>
        <v/>
      </c>
    </row>
    <row r="546" customFormat="false" ht="15" hidden="false" customHeight="false" outlineLevel="0" collapsed="false">
      <c r="A546" s="124"/>
      <c r="B546" s="125"/>
      <c r="C546" s="122" t="str">
        <f aca="false">IF(OR(B546="",B545=""),"",B546/B545-1)</f>
        <v/>
      </c>
      <c r="D546" s="122" t="str">
        <f aca="false">IF(B546="","",IFERROR(B546/INDEX($B$2:$B$800,MATCH(DATE(YEAR(A546)-1,12,1),$A$2:$A$800,0))-1,""))</f>
        <v/>
      </c>
      <c r="E546" s="122" t="str">
        <f aca="false">IF(B546="","",IFERROR(B546/INDEX($B$2:$B$800,MATCH(DATE(YEAR(A546)-1,MONTH(A546),1),$A$2:$A$800,0))-1,""))</f>
        <v/>
      </c>
    </row>
    <row r="547" customFormat="false" ht="15" hidden="false" customHeight="false" outlineLevel="0" collapsed="false">
      <c r="A547" s="124"/>
      <c r="B547" s="125"/>
      <c r="C547" s="122" t="str">
        <f aca="false">IF(OR(B547="",B546=""),"",B547/B546-1)</f>
        <v/>
      </c>
      <c r="D547" s="122" t="str">
        <f aca="false">IF(B547="","",IFERROR(B547/INDEX($B$2:$B$800,MATCH(DATE(YEAR(A547)-1,12,1),$A$2:$A$800,0))-1,""))</f>
        <v/>
      </c>
      <c r="E547" s="122" t="str">
        <f aca="false">IF(B547="","",IFERROR(B547/INDEX($B$2:$B$800,MATCH(DATE(YEAR(A547)-1,MONTH(A547),1),$A$2:$A$800,0))-1,""))</f>
        <v/>
      </c>
    </row>
    <row r="548" customFormat="false" ht="15" hidden="false" customHeight="false" outlineLevel="0" collapsed="false">
      <c r="A548" s="124"/>
      <c r="B548" s="125"/>
      <c r="C548" s="122" t="str">
        <f aca="false">IF(OR(B548="",B547=""),"",B548/B547-1)</f>
        <v/>
      </c>
      <c r="D548" s="122" t="str">
        <f aca="false">IF(B548="","",IFERROR(B548/INDEX($B$2:$B$800,MATCH(DATE(YEAR(A548)-1,12,1),$A$2:$A$800,0))-1,""))</f>
        <v/>
      </c>
      <c r="E548" s="122" t="str">
        <f aca="false">IF(B548="","",IFERROR(B548/INDEX($B$2:$B$800,MATCH(DATE(YEAR(A548)-1,MONTH(A548),1),$A$2:$A$800,0))-1,""))</f>
        <v/>
      </c>
    </row>
    <row r="549" customFormat="false" ht="15" hidden="false" customHeight="false" outlineLevel="0" collapsed="false">
      <c r="A549" s="124"/>
      <c r="B549" s="125"/>
      <c r="C549" s="122" t="str">
        <f aca="false">IF(OR(B549="",B548=""),"",B549/B548-1)</f>
        <v/>
      </c>
      <c r="D549" s="122" t="str">
        <f aca="false">IF(B549="","",IFERROR(B549/INDEX($B$2:$B$800,MATCH(DATE(YEAR(A549)-1,12,1),$A$2:$A$800,0))-1,""))</f>
        <v/>
      </c>
      <c r="E549" s="122" t="str">
        <f aca="false">IF(B549="","",IFERROR(B549/INDEX($B$2:$B$800,MATCH(DATE(YEAR(A549)-1,MONTH(A549),1),$A$2:$A$800,0))-1,""))</f>
        <v/>
      </c>
    </row>
    <row r="550" customFormat="false" ht="15" hidden="false" customHeight="false" outlineLevel="0" collapsed="false">
      <c r="A550" s="124"/>
      <c r="B550" s="125"/>
      <c r="C550" s="122" t="str">
        <f aca="false">IF(OR(B550="",B549=""),"",B550/B549-1)</f>
        <v/>
      </c>
      <c r="D550" s="122" t="str">
        <f aca="false">IF(B550="","",IFERROR(B550/INDEX($B$2:$B$800,MATCH(DATE(YEAR(A550)-1,12,1),$A$2:$A$800,0))-1,""))</f>
        <v/>
      </c>
      <c r="E550" s="122" t="str">
        <f aca="false">IF(B550="","",IFERROR(B550/INDEX($B$2:$B$800,MATCH(DATE(YEAR(A550)-1,MONTH(A550),1),$A$2:$A$800,0))-1,""))</f>
        <v/>
      </c>
    </row>
    <row r="551" customFormat="false" ht="15" hidden="false" customHeight="false" outlineLevel="0" collapsed="false">
      <c r="A551" s="124"/>
      <c r="B551" s="125"/>
      <c r="C551" s="122" t="str">
        <f aca="false">IF(OR(B551="",B550=""),"",B551/B550-1)</f>
        <v/>
      </c>
      <c r="D551" s="122" t="str">
        <f aca="false">IF(B551="","",IFERROR(B551/INDEX($B$2:$B$800,MATCH(DATE(YEAR(A551)-1,12,1),$A$2:$A$800,0))-1,""))</f>
        <v/>
      </c>
      <c r="E551" s="122" t="str">
        <f aca="false">IF(B551="","",IFERROR(B551/INDEX($B$2:$B$800,MATCH(DATE(YEAR(A551)-1,MONTH(A551),1),$A$2:$A$800,0))-1,""))</f>
        <v/>
      </c>
    </row>
    <row r="552" customFormat="false" ht="15" hidden="false" customHeight="false" outlineLevel="0" collapsed="false">
      <c r="A552" s="124"/>
      <c r="B552" s="125"/>
      <c r="C552" s="122" t="str">
        <f aca="false">IF(OR(B552="",B551=""),"",B552/B551-1)</f>
        <v/>
      </c>
      <c r="D552" s="122" t="str">
        <f aca="false">IF(B552="","",IFERROR(B552/INDEX($B$2:$B$800,MATCH(DATE(YEAR(A552)-1,12,1),$A$2:$A$800,0))-1,""))</f>
        <v/>
      </c>
      <c r="E552" s="122" t="str">
        <f aca="false">IF(B552="","",IFERROR(B552/INDEX($B$2:$B$800,MATCH(DATE(YEAR(A552)-1,MONTH(A552),1),$A$2:$A$800,0))-1,""))</f>
        <v/>
      </c>
    </row>
    <row r="553" customFormat="false" ht="15" hidden="false" customHeight="false" outlineLevel="0" collapsed="false">
      <c r="A553" s="124"/>
      <c r="B553" s="125"/>
      <c r="C553" s="122" t="str">
        <f aca="false">IF(OR(B553="",B552=""),"",B553/B552-1)</f>
        <v/>
      </c>
      <c r="D553" s="122" t="str">
        <f aca="false">IF(B553="","",IFERROR(B553/INDEX($B$2:$B$800,MATCH(DATE(YEAR(A553)-1,12,1),$A$2:$A$800,0))-1,""))</f>
        <v/>
      </c>
      <c r="E553" s="122" t="str">
        <f aca="false">IF(B553="","",IFERROR(B553/INDEX($B$2:$B$800,MATCH(DATE(YEAR(A553)-1,MONTH(A553),1),$A$2:$A$800,0))-1,""))</f>
        <v/>
      </c>
    </row>
    <row r="554" customFormat="false" ht="15" hidden="false" customHeight="false" outlineLevel="0" collapsed="false">
      <c r="A554" s="124"/>
      <c r="B554" s="125"/>
      <c r="C554" s="122" t="str">
        <f aca="false">IF(OR(B554="",B553=""),"",B554/B553-1)</f>
        <v/>
      </c>
      <c r="D554" s="122" t="str">
        <f aca="false">IF(B554="","",IFERROR(B554/INDEX($B$2:$B$800,MATCH(DATE(YEAR(A554)-1,12,1),$A$2:$A$800,0))-1,""))</f>
        <v/>
      </c>
      <c r="E554" s="122" t="str">
        <f aca="false">IF(B554="","",IFERROR(B554/INDEX($B$2:$B$800,MATCH(DATE(YEAR(A554)-1,MONTH(A554),1),$A$2:$A$800,0))-1,""))</f>
        <v/>
      </c>
    </row>
    <row r="555" customFormat="false" ht="15" hidden="false" customHeight="false" outlineLevel="0" collapsed="false">
      <c r="A555" s="124"/>
      <c r="B555" s="125"/>
      <c r="C555" s="122" t="str">
        <f aca="false">IF(OR(B555="",B554=""),"",B555/B554-1)</f>
        <v/>
      </c>
      <c r="D555" s="122" t="str">
        <f aca="false">IF(B555="","",IFERROR(B555/INDEX($B$2:$B$800,MATCH(DATE(YEAR(A555)-1,12,1),$A$2:$A$800,0))-1,""))</f>
        <v/>
      </c>
      <c r="E555" s="122" t="str">
        <f aca="false">IF(B555="","",IFERROR(B555/INDEX($B$2:$B$800,MATCH(DATE(YEAR(A555)-1,MONTH(A555),1),$A$2:$A$800,0))-1,""))</f>
        <v/>
      </c>
    </row>
    <row r="556" customFormat="false" ht="15" hidden="false" customHeight="false" outlineLevel="0" collapsed="false">
      <c r="A556" s="124"/>
      <c r="B556" s="125"/>
      <c r="C556" s="122" t="str">
        <f aca="false">IF(OR(B556="",B555=""),"",B556/B555-1)</f>
        <v/>
      </c>
      <c r="D556" s="122" t="str">
        <f aca="false">IF(B556="","",IFERROR(B556/INDEX($B$2:$B$800,MATCH(DATE(YEAR(A556)-1,12,1),$A$2:$A$800,0))-1,""))</f>
        <v/>
      </c>
      <c r="E556" s="122" t="str">
        <f aca="false">IF(B556="","",IFERROR(B556/INDEX($B$2:$B$800,MATCH(DATE(YEAR(A556)-1,MONTH(A556),1),$A$2:$A$800,0))-1,""))</f>
        <v/>
      </c>
    </row>
    <row r="557" customFormat="false" ht="15" hidden="false" customHeight="false" outlineLevel="0" collapsed="false">
      <c r="A557" s="124"/>
      <c r="B557" s="125"/>
      <c r="C557" s="122" t="str">
        <f aca="false">IF(OR(B557="",B556=""),"",B557/B556-1)</f>
        <v/>
      </c>
      <c r="D557" s="122" t="str">
        <f aca="false">IF(B557="","",IFERROR(B557/INDEX($B$2:$B$800,MATCH(DATE(YEAR(A557)-1,12,1),$A$2:$A$800,0))-1,""))</f>
        <v/>
      </c>
      <c r="E557" s="122" t="str">
        <f aca="false">IF(B557="","",IFERROR(B557/INDEX($B$2:$B$800,MATCH(DATE(YEAR(A557)-1,MONTH(A557),1),$A$2:$A$800,0))-1,""))</f>
        <v/>
      </c>
    </row>
    <row r="558" customFormat="false" ht="15" hidden="false" customHeight="false" outlineLevel="0" collapsed="false">
      <c r="A558" s="124"/>
      <c r="B558" s="125"/>
      <c r="C558" s="122" t="str">
        <f aca="false">IF(OR(B558="",B557=""),"",B558/B557-1)</f>
        <v/>
      </c>
      <c r="D558" s="122" t="str">
        <f aca="false">IF(B558="","",IFERROR(B558/INDEX($B$2:$B$800,MATCH(DATE(YEAR(A558)-1,12,1),$A$2:$A$800,0))-1,""))</f>
        <v/>
      </c>
      <c r="E558" s="122" t="str">
        <f aca="false">IF(B558="","",IFERROR(B558/INDEX($B$2:$B$800,MATCH(DATE(YEAR(A558)-1,MONTH(A558),1),$A$2:$A$800,0))-1,""))</f>
        <v/>
      </c>
    </row>
    <row r="559" customFormat="false" ht="15" hidden="false" customHeight="false" outlineLevel="0" collapsed="false">
      <c r="A559" s="124"/>
      <c r="B559" s="125"/>
      <c r="C559" s="122" t="str">
        <f aca="false">IF(OR(B559="",B558=""),"",B559/B558-1)</f>
        <v/>
      </c>
      <c r="D559" s="122" t="str">
        <f aca="false">IF(B559="","",IFERROR(B559/INDEX($B$2:$B$800,MATCH(DATE(YEAR(A559)-1,12,1),$A$2:$A$800,0))-1,""))</f>
        <v/>
      </c>
      <c r="E559" s="122" t="str">
        <f aca="false">IF(B559="","",IFERROR(B559/INDEX($B$2:$B$800,MATCH(DATE(YEAR(A559)-1,MONTH(A559),1),$A$2:$A$800,0))-1,""))</f>
        <v/>
      </c>
    </row>
    <row r="560" customFormat="false" ht="15" hidden="false" customHeight="false" outlineLevel="0" collapsed="false">
      <c r="A560" s="124"/>
      <c r="B560" s="125"/>
      <c r="C560" s="122" t="str">
        <f aca="false">IF(OR(B560="",B559=""),"",B560/B559-1)</f>
        <v/>
      </c>
      <c r="D560" s="122" t="str">
        <f aca="false">IF(B560="","",IFERROR(B560/INDEX($B$2:$B$800,MATCH(DATE(YEAR(A560)-1,12,1),$A$2:$A$800,0))-1,""))</f>
        <v/>
      </c>
      <c r="E560" s="122" t="str">
        <f aca="false">IF(B560="","",IFERROR(B560/INDEX($B$2:$B$800,MATCH(DATE(YEAR(A560)-1,MONTH(A560),1),$A$2:$A$800,0))-1,""))</f>
        <v/>
      </c>
    </row>
    <row r="561" customFormat="false" ht="15" hidden="false" customHeight="false" outlineLevel="0" collapsed="false">
      <c r="A561" s="124"/>
      <c r="B561" s="125"/>
      <c r="C561" s="122" t="str">
        <f aca="false">IF(OR(B561="",B560=""),"",B561/B560-1)</f>
        <v/>
      </c>
      <c r="D561" s="122" t="str">
        <f aca="false">IF(B561="","",IFERROR(B561/INDEX($B$2:$B$800,MATCH(DATE(YEAR(A561)-1,12,1),$A$2:$A$800,0))-1,""))</f>
        <v/>
      </c>
      <c r="E561" s="122" t="str">
        <f aca="false">IF(B561="","",IFERROR(B561/INDEX($B$2:$B$800,MATCH(DATE(YEAR(A561)-1,MONTH(A561),1),$A$2:$A$800,0))-1,""))</f>
        <v/>
      </c>
    </row>
    <row r="562" customFormat="false" ht="15" hidden="false" customHeight="false" outlineLevel="0" collapsed="false">
      <c r="A562" s="124"/>
      <c r="B562" s="125"/>
      <c r="C562" s="122" t="str">
        <f aca="false">IF(OR(B562="",B561=""),"",B562/B561-1)</f>
        <v/>
      </c>
      <c r="D562" s="122" t="str">
        <f aca="false">IF(B562="","",IFERROR(B562/INDEX($B$2:$B$800,MATCH(DATE(YEAR(A562)-1,12,1),$A$2:$A$800,0))-1,""))</f>
        <v/>
      </c>
      <c r="E562" s="122" t="str">
        <f aca="false">IF(B562="","",IFERROR(B562/INDEX($B$2:$B$800,MATCH(DATE(YEAR(A562)-1,MONTH(A562),1),$A$2:$A$800,0))-1,""))</f>
        <v/>
      </c>
    </row>
    <row r="563" customFormat="false" ht="15" hidden="false" customHeight="false" outlineLevel="0" collapsed="false">
      <c r="A563" s="124"/>
      <c r="B563" s="125"/>
      <c r="C563" s="122" t="str">
        <f aca="false">IF(OR(B563="",B562=""),"",B563/B562-1)</f>
        <v/>
      </c>
      <c r="D563" s="122" t="str">
        <f aca="false">IF(B563="","",IFERROR(B563/INDEX($B$2:$B$800,MATCH(DATE(YEAR(A563)-1,12,1),$A$2:$A$800,0))-1,""))</f>
        <v/>
      </c>
      <c r="E563" s="122" t="str">
        <f aca="false">IF(B563="","",IFERROR(B563/INDEX($B$2:$B$800,MATCH(DATE(YEAR(A563)-1,MONTH(A563),1),$A$2:$A$800,0))-1,""))</f>
        <v/>
      </c>
    </row>
    <row r="564" customFormat="false" ht="15" hidden="false" customHeight="false" outlineLevel="0" collapsed="false">
      <c r="A564" s="124"/>
      <c r="B564" s="125"/>
      <c r="C564" s="122" t="str">
        <f aca="false">IF(OR(B564="",B563=""),"",B564/B563-1)</f>
        <v/>
      </c>
      <c r="D564" s="122" t="str">
        <f aca="false">IF(B564="","",IFERROR(B564/INDEX($B$2:$B$800,MATCH(DATE(YEAR(A564)-1,12,1),$A$2:$A$800,0))-1,""))</f>
        <v/>
      </c>
      <c r="E564" s="122" t="str">
        <f aca="false">IF(B564="","",IFERROR(B564/INDEX($B$2:$B$800,MATCH(DATE(YEAR(A564)-1,MONTH(A564),1),$A$2:$A$800,0))-1,""))</f>
        <v/>
      </c>
    </row>
    <row r="565" customFormat="false" ht="15" hidden="false" customHeight="false" outlineLevel="0" collapsed="false">
      <c r="A565" s="124"/>
      <c r="B565" s="125"/>
      <c r="C565" s="122" t="str">
        <f aca="false">IF(OR(B565="",B564=""),"",B565/B564-1)</f>
        <v/>
      </c>
      <c r="D565" s="122" t="str">
        <f aca="false">IF(B565="","",IFERROR(B565/INDEX($B$2:$B$800,MATCH(DATE(YEAR(A565)-1,12,1),$A$2:$A$800,0))-1,""))</f>
        <v/>
      </c>
      <c r="E565" s="122" t="str">
        <f aca="false">IF(B565="","",IFERROR(B565/INDEX($B$2:$B$800,MATCH(DATE(YEAR(A565)-1,MONTH(A565),1),$A$2:$A$800,0))-1,""))</f>
        <v/>
      </c>
    </row>
    <row r="566" customFormat="false" ht="15" hidden="false" customHeight="false" outlineLevel="0" collapsed="false">
      <c r="A566" s="124"/>
      <c r="B566" s="125"/>
      <c r="C566" s="122" t="str">
        <f aca="false">IF(OR(B566="",B565=""),"",B566/B565-1)</f>
        <v/>
      </c>
      <c r="D566" s="122" t="str">
        <f aca="false">IF(B566="","",IFERROR(B566/INDEX($B$2:$B$800,MATCH(DATE(YEAR(A566)-1,12,1),$A$2:$A$800,0))-1,""))</f>
        <v/>
      </c>
      <c r="E566" s="122" t="str">
        <f aca="false">IF(B566="","",IFERROR(B566/INDEX($B$2:$B$800,MATCH(DATE(YEAR(A566)-1,MONTH(A566),1),$A$2:$A$800,0))-1,""))</f>
        <v/>
      </c>
    </row>
    <row r="567" customFormat="false" ht="15" hidden="false" customHeight="false" outlineLevel="0" collapsed="false">
      <c r="A567" s="124"/>
      <c r="B567" s="125"/>
      <c r="C567" s="122" t="str">
        <f aca="false">IF(OR(B567="",B566=""),"",B567/B566-1)</f>
        <v/>
      </c>
      <c r="D567" s="122" t="str">
        <f aca="false">IF(B567="","",IFERROR(B567/INDEX($B$2:$B$800,MATCH(DATE(YEAR(A567)-1,12,1),$A$2:$A$800,0))-1,""))</f>
        <v/>
      </c>
      <c r="E567" s="122" t="str">
        <f aca="false">IF(B567="","",IFERROR(B567/INDEX($B$2:$B$800,MATCH(DATE(YEAR(A567)-1,MONTH(A567),1),$A$2:$A$800,0))-1,""))</f>
        <v/>
      </c>
    </row>
    <row r="568" customFormat="false" ht="15" hidden="false" customHeight="false" outlineLevel="0" collapsed="false">
      <c r="A568" s="124"/>
      <c r="B568" s="125"/>
      <c r="C568" s="122" t="str">
        <f aca="false">IF(OR(B568="",B567=""),"",B568/B567-1)</f>
        <v/>
      </c>
      <c r="D568" s="122" t="str">
        <f aca="false">IF(B568="","",IFERROR(B568/INDEX($B$2:$B$800,MATCH(DATE(YEAR(A568)-1,12,1),$A$2:$A$800,0))-1,""))</f>
        <v/>
      </c>
      <c r="E568" s="122" t="str">
        <f aca="false">IF(B568="","",IFERROR(B568/INDEX($B$2:$B$800,MATCH(DATE(YEAR(A568)-1,MONTH(A568),1),$A$2:$A$800,0))-1,""))</f>
        <v/>
      </c>
    </row>
    <row r="569" customFormat="false" ht="15" hidden="false" customHeight="false" outlineLevel="0" collapsed="false">
      <c r="A569" s="124"/>
      <c r="B569" s="125"/>
      <c r="C569" s="122" t="str">
        <f aca="false">IF(OR(B569="",B568=""),"",B569/B568-1)</f>
        <v/>
      </c>
      <c r="D569" s="122" t="str">
        <f aca="false">IF(B569="","",IFERROR(B569/INDEX($B$2:$B$800,MATCH(DATE(YEAR(A569)-1,12,1),$A$2:$A$800,0))-1,""))</f>
        <v/>
      </c>
      <c r="E569" s="122" t="str">
        <f aca="false">IF(B569="","",IFERROR(B569/INDEX($B$2:$B$800,MATCH(DATE(YEAR(A569)-1,MONTH(A569),1),$A$2:$A$800,0))-1,""))</f>
        <v/>
      </c>
    </row>
    <row r="570" customFormat="false" ht="15" hidden="false" customHeight="false" outlineLevel="0" collapsed="false">
      <c r="A570" s="124"/>
      <c r="B570" s="125"/>
      <c r="C570" s="122" t="str">
        <f aca="false">IF(OR(B570="",B569=""),"",B570/B569-1)</f>
        <v/>
      </c>
      <c r="D570" s="122" t="str">
        <f aca="false">IF(B570="","",IFERROR(B570/INDEX($B$2:$B$800,MATCH(DATE(YEAR(A570)-1,12,1),$A$2:$A$800,0))-1,""))</f>
        <v/>
      </c>
      <c r="E570" s="122" t="str">
        <f aca="false">IF(B570="","",IFERROR(B570/INDEX($B$2:$B$800,MATCH(DATE(YEAR(A570)-1,MONTH(A570),1),$A$2:$A$800,0))-1,""))</f>
        <v/>
      </c>
    </row>
    <row r="571" customFormat="false" ht="15" hidden="false" customHeight="false" outlineLevel="0" collapsed="false">
      <c r="A571" s="124"/>
      <c r="B571" s="125"/>
      <c r="C571" s="122" t="str">
        <f aca="false">IF(OR(B571="",B570=""),"",B571/B570-1)</f>
        <v/>
      </c>
      <c r="D571" s="122" t="str">
        <f aca="false">IF(B571="","",IFERROR(B571/INDEX($B$2:$B$800,MATCH(DATE(YEAR(A571)-1,12,1),$A$2:$A$800,0))-1,""))</f>
        <v/>
      </c>
      <c r="E571" s="122" t="str">
        <f aca="false">IF(B571="","",IFERROR(B571/INDEX($B$2:$B$800,MATCH(DATE(YEAR(A571)-1,MONTH(A571),1),$A$2:$A$800,0))-1,""))</f>
        <v/>
      </c>
    </row>
    <row r="572" customFormat="false" ht="15" hidden="false" customHeight="false" outlineLevel="0" collapsed="false">
      <c r="A572" s="124"/>
      <c r="B572" s="125"/>
      <c r="C572" s="122" t="str">
        <f aca="false">IF(OR(B572="",B571=""),"",B572/B571-1)</f>
        <v/>
      </c>
      <c r="D572" s="122" t="str">
        <f aca="false">IF(B572="","",IFERROR(B572/INDEX($B$2:$B$800,MATCH(DATE(YEAR(A572)-1,12,1),$A$2:$A$800,0))-1,""))</f>
        <v/>
      </c>
      <c r="E572" s="122" t="str">
        <f aca="false">IF(B572="","",IFERROR(B572/INDEX($B$2:$B$800,MATCH(DATE(YEAR(A572)-1,MONTH(A572),1),$A$2:$A$800,0))-1,""))</f>
        <v/>
      </c>
    </row>
    <row r="573" customFormat="false" ht="15" hidden="false" customHeight="false" outlineLevel="0" collapsed="false">
      <c r="A573" s="124"/>
      <c r="B573" s="125"/>
      <c r="C573" s="122" t="str">
        <f aca="false">IF(OR(B573="",B572=""),"",B573/B572-1)</f>
        <v/>
      </c>
      <c r="D573" s="122" t="str">
        <f aca="false">IF(B573="","",IFERROR(B573/INDEX($B$2:$B$800,MATCH(DATE(YEAR(A573)-1,12,1),$A$2:$A$800,0))-1,""))</f>
        <v/>
      </c>
      <c r="E573" s="122" t="str">
        <f aca="false">IF(B573="","",IFERROR(B573/INDEX($B$2:$B$800,MATCH(DATE(YEAR(A573)-1,MONTH(A573),1),$A$2:$A$800,0))-1,""))</f>
        <v/>
      </c>
    </row>
    <row r="574" customFormat="false" ht="15" hidden="false" customHeight="false" outlineLevel="0" collapsed="false">
      <c r="A574" s="124"/>
      <c r="B574" s="125"/>
      <c r="C574" s="122" t="str">
        <f aca="false">IF(OR(B574="",B573=""),"",B574/B573-1)</f>
        <v/>
      </c>
      <c r="D574" s="122" t="str">
        <f aca="false">IF(B574="","",IFERROR(B574/INDEX($B$2:$B$800,MATCH(DATE(YEAR(A574)-1,12,1),$A$2:$A$800,0))-1,""))</f>
        <v/>
      </c>
      <c r="E574" s="122" t="str">
        <f aca="false">IF(B574="","",IFERROR(B574/INDEX($B$2:$B$800,MATCH(DATE(YEAR(A574)-1,MONTH(A574),1),$A$2:$A$800,0))-1,""))</f>
        <v/>
      </c>
    </row>
    <row r="575" customFormat="false" ht="15" hidden="false" customHeight="false" outlineLevel="0" collapsed="false">
      <c r="A575" s="124"/>
      <c r="B575" s="125"/>
      <c r="C575" s="122" t="str">
        <f aca="false">IF(OR(B575="",B574=""),"",B575/B574-1)</f>
        <v/>
      </c>
      <c r="D575" s="122" t="str">
        <f aca="false">IF(B575="","",IFERROR(B575/INDEX($B$2:$B$800,MATCH(DATE(YEAR(A575)-1,12,1),$A$2:$A$800,0))-1,""))</f>
        <v/>
      </c>
      <c r="E575" s="122" t="str">
        <f aca="false">IF(B575="","",IFERROR(B575/INDEX($B$2:$B$800,MATCH(DATE(YEAR(A575)-1,MONTH(A575),1),$A$2:$A$800,0))-1,""))</f>
        <v/>
      </c>
    </row>
    <row r="576" customFormat="false" ht="15" hidden="false" customHeight="false" outlineLevel="0" collapsed="false">
      <c r="A576" s="124"/>
      <c r="B576" s="125"/>
      <c r="C576" s="122" t="str">
        <f aca="false">IF(OR(B576="",B575=""),"",B576/B575-1)</f>
        <v/>
      </c>
      <c r="D576" s="122" t="str">
        <f aca="false">IF(B576="","",IFERROR(B576/INDEX($B$2:$B$800,MATCH(DATE(YEAR(A576)-1,12,1),$A$2:$A$800,0))-1,""))</f>
        <v/>
      </c>
      <c r="E576" s="122" t="str">
        <f aca="false">IF(B576="","",IFERROR(B576/INDEX($B$2:$B$800,MATCH(DATE(YEAR(A576)-1,MONTH(A576),1),$A$2:$A$800,0))-1,""))</f>
        <v/>
      </c>
    </row>
    <row r="577" customFormat="false" ht="15" hidden="false" customHeight="false" outlineLevel="0" collapsed="false">
      <c r="A577" s="124"/>
      <c r="B577" s="125"/>
      <c r="C577" s="122" t="str">
        <f aca="false">IF(OR(B577="",B576=""),"",B577/B576-1)</f>
        <v/>
      </c>
      <c r="D577" s="122" t="str">
        <f aca="false">IF(B577="","",IFERROR(B577/INDEX($B$2:$B$800,MATCH(DATE(YEAR(A577)-1,12,1),$A$2:$A$800,0))-1,""))</f>
        <v/>
      </c>
      <c r="E577" s="122" t="str">
        <f aca="false">IF(B577="","",IFERROR(B577/INDEX($B$2:$B$800,MATCH(DATE(YEAR(A577)-1,MONTH(A577),1),$A$2:$A$800,0))-1,""))</f>
        <v/>
      </c>
    </row>
    <row r="578" customFormat="false" ht="15" hidden="false" customHeight="false" outlineLevel="0" collapsed="false">
      <c r="A578" s="124"/>
      <c r="B578" s="125"/>
      <c r="C578" s="122" t="str">
        <f aca="false">IF(OR(B578="",B577=""),"",B578/B577-1)</f>
        <v/>
      </c>
      <c r="D578" s="122" t="str">
        <f aca="false">IF(B578="","",IFERROR(B578/INDEX($B$2:$B$800,MATCH(DATE(YEAR(A578)-1,12,1),$A$2:$A$800,0))-1,""))</f>
        <v/>
      </c>
      <c r="E578" s="122" t="str">
        <f aca="false">IF(B578="","",IFERROR(B578/INDEX($B$2:$B$800,MATCH(DATE(YEAR(A578)-1,MONTH(A578),1),$A$2:$A$800,0))-1,""))</f>
        <v/>
      </c>
    </row>
    <row r="579" customFormat="false" ht="15" hidden="false" customHeight="false" outlineLevel="0" collapsed="false">
      <c r="A579" s="124"/>
      <c r="B579" s="125"/>
      <c r="C579" s="122" t="str">
        <f aca="false">IF(OR(B579="",B578=""),"",B579/B578-1)</f>
        <v/>
      </c>
      <c r="D579" s="122" t="str">
        <f aca="false">IF(B579="","",IFERROR(B579/INDEX($B$2:$B$800,MATCH(DATE(YEAR(A579)-1,12,1),$A$2:$A$800,0))-1,""))</f>
        <v/>
      </c>
      <c r="E579" s="122" t="str">
        <f aca="false">IF(B579="","",IFERROR(B579/INDEX($B$2:$B$800,MATCH(DATE(YEAR(A579)-1,MONTH(A579),1),$A$2:$A$800,0))-1,""))</f>
        <v/>
      </c>
    </row>
    <row r="580" customFormat="false" ht="15" hidden="false" customHeight="false" outlineLevel="0" collapsed="false">
      <c r="A580" s="124"/>
      <c r="B580" s="125"/>
      <c r="C580" s="122" t="str">
        <f aca="false">IF(OR(B580="",B579=""),"",B580/B579-1)</f>
        <v/>
      </c>
      <c r="D580" s="122" t="str">
        <f aca="false">IF(B580="","",IFERROR(B580/INDEX($B$2:$B$800,MATCH(DATE(YEAR(A580)-1,12,1),$A$2:$A$800,0))-1,""))</f>
        <v/>
      </c>
      <c r="E580" s="122" t="str">
        <f aca="false">IF(B580="","",IFERROR(B580/INDEX($B$2:$B$800,MATCH(DATE(YEAR(A580)-1,MONTH(A580),1),$A$2:$A$800,0))-1,""))</f>
        <v/>
      </c>
    </row>
    <row r="581" customFormat="false" ht="15" hidden="false" customHeight="false" outlineLevel="0" collapsed="false">
      <c r="A581" s="124"/>
      <c r="B581" s="125"/>
      <c r="C581" s="122" t="str">
        <f aca="false">IF(OR(B581="",B580=""),"",B581/B580-1)</f>
        <v/>
      </c>
      <c r="D581" s="122" t="str">
        <f aca="false">IF(B581="","",IFERROR(B581/INDEX($B$2:$B$800,MATCH(DATE(YEAR(A581)-1,12,1),$A$2:$A$800,0))-1,""))</f>
        <v/>
      </c>
      <c r="E581" s="122" t="str">
        <f aca="false">IF(B581="","",IFERROR(B581/INDEX($B$2:$B$800,MATCH(DATE(YEAR(A581)-1,MONTH(A581),1),$A$2:$A$800,0))-1,""))</f>
        <v/>
      </c>
    </row>
    <row r="582" customFormat="false" ht="15" hidden="false" customHeight="false" outlineLevel="0" collapsed="false">
      <c r="A582" s="124"/>
      <c r="B582" s="125"/>
      <c r="C582" s="122" t="str">
        <f aca="false">IF(OR(B582="",B581=""),"",B582/B581-1)</f>
        <v/>
      </c>
      <c r="D582" s="122" t="str">
        <f aca="false">IF(B582="","",IFERROR(B582/INDEX($B$2:$B$800,MATCH(DATE(YEAR(A582)-1,12,1),$A$2:$A$800,0))-1,""))</f>
        <v/>
      </c>
      <c r="E582" s="122" t="str">
        <f aca="false">IF(B582="","",IFERROR(B582/INDEX($B$2:$B$800,MATCH(DATE(YEAR(A582)-1,MONTH(A582),1),$A$2:$A$800,0))-1,""))</f>
        <v/>
      </c>
    </row>
    <row r="583" customFormat="false" ht="15" hidden="false" customHeight="false" outlineLevel="0" collapsed="false">
      <c r="A583" s="124"/>
      <c r="B583" s="125"/>
      <c r="C583" s="122" t="str">
        <f aca="false">IF(OR(B583="",B582=""),"",B583/B582-1)</f>
        <v/>
      </c>
      <c r="D583" s="122" t="str">
        <f aca="false">IF(B583="","",IFERROR(B583/INDEX($B$2:$B$800,MATCH(DATE(YEAR(A583)-1,12,1),$A$2:$A$800,0))-1,""))</f>
        <v/>
      </c>
      <c r="E583" s="122" t="str">
        <f aca="false">IF(B583="","",IFERROR(B583/INDEX($B$2:$B$800,MATCH(DATE(YEAR(A583)-1,MONTH(A583),1),$A$2:$A$800,0))-1,""))</f>
        <v/>
      </c>
    </row>
    <row r="584" customFormat="false" ht="15" hidden="false" customHeight="false" outlineLevel="0" collapsed="false">
      <c r="A584" s="124"/>
      <c r="B584" s="125"/>
      <c r="C584" s="122" t="str">
        <f aca="false">IF(OR(B584="",B583=""),"",B584/B583-1)</f>
        <v/>
      </c>
      <c r="D584" s="122" t="str">
        <f aca="false">IF(B584="","",IFERROR(B584/INDEX($B$2:$B$800,MATCH(DATE(YEAR(A584)-1,12,1),$A$2:$A$800,0))-1,""))</f>
        <v/>
      </c>
      <c r="E584" s="122" t="str">
        <f aca="false">IF(B584="","",IFERROR(B584/INDEX($B$2:$B$800,MATCH(DATE(YEAR(A584)-1,MONTH(A584),1),$A$2:$A$800,0))-1,""))</f>
        <v/>
      </c>
    </row>
    <row r="585" customFormat="false" ht="15" hidden="false" customHeight="false" outlineLevel="0" collapsed="false">
      <c r="A585" s="124"/>
      <c r="B585" s="125"/>
      <c r="C585" s="122" t="str">
        <f aca="false">IF(OR(B585="",B584=""),"",B585/B584-1)</f>
        <v/>
      </c>
      <c r="D585" s="122" t="str">
        <f aca="false">IF(B585="","",IFERROR(B585/INDEX($B$2:$B$800,MATCH(DATE(YEAR(A585)-1,12,1),$A$2:$A$800,0))-1,""))</f>
        <v/>
      </c>
      <c r="E585" s="122" t="str">
        <f aca="false">IF(B585="","",IFERROR(B585/INDEX($B$2:$B$800,MATCH(DATE(YEAR(A585)-1,MONTH(A585),1),$A$2:$A$800,0))-1,""))</f>
        <v/>
      </c>
    </row>
    <row r="586" customFormat="false" ht="15" hidden="false" customHeight="false" outlineLevel="0" collapsed="false">
      <c r="A586" s="124"/>
      <c r="B586" s="125"/>
      <c r="C586" s="122" t="str">
        <f aca="false">IF(OR(B586="",B585=""),"",B586/B585-1)</f>
        <v/>
      </c>
      <c r="D586" s="122" t="str">
        <f aca="false">IF(B586="","",IFERROR(B586/INDEX($B$2:$B$800,MATCH(DATE(YEAR(A586)-1,12,1),$A$2:$A$800,0))-1,""))</f>
        <v/>
      </c>
      <c r="E586" s="122" t="str">
        <f aca="false">IF(B586="","",IFERROR(B586/INDEX($B$2:$B$800,MATCH(DATE(YEAR(A586)-1,MONTH(A586),1),$A$2:$A$800,0))-1,""))</f>
        <v/>
      </c>
    </row>
    <row r="587" customFormat="false" ht="15" hidden="false" customHeight="false" outlineLevel="0" collapsed="false">
      <c r="A587" s="124"/>
      <c r="B587" s="125"/>
      <c r="C587" s="122" t="str">
        <f aca="false">IF(OR(B587="",B586=""),"",B587/B586-1)</f>
        <v/>
      </c>
      <c r="D587" s="122" t="str">
        <f aca="false">IF(B587="","",IFERROR(B587/INDEX($B$2:$B$800,MATCH(DATE(YEAR(A587)-1,12,1),$A$2:$A$800,0))-1,""))</f>
        <v/>
      </c>
      <c r="E587" s="122" t="str">
        <f aca="false">IF(B587="","",IFERROR(B587/INDEX($B$2:$B$800,MATCH(DATE(YEAR(A587)-1,MONTH(A587),1),$A$2:$A$800,0))-1,""))</f>
        <v/>
      </c>
    </row>
    <row r="588" customFormat="false" ht="15" hidden="false" customHeight="false" outlineLevel="0" collapsed="false">
      <c r="A588" s="124"/>
      <c r="B588" s="125"/>
      <c r="C588" s="122" t="str">
        <f aca="false">IF(OR(B588="",B587=""),"",B588/B587-1)</f>
        <v/>
      </c>
      <c r="D588" s="122" t="str">
        <f aca="false">IF(B588="","",IFERROR(B588/INDEX($B$2:$B$800,MATCH(DATE(YEAR(A588)-1,12,1),$A$2:$A$800,0))-1,""))</f>
        <v/>
      </c>
      <c r="E588" s="122" t="str">
        <f aca="false">IF(B588="","",IFERROR(B588/INDEX($B$2:$B$800,MATCH(DATE(YEAR(A588)-1,MONTH(A588),1),$A$2:$A$800,0))-1,""))</f>
        <v/>
      </c>
    </row>
    <row r="589" customFormat="false" ht="15" hidden="false" customHeight="false" outlineLevel="0" collapsed="false">
      <c r="A589" s="124"/>
      <c r="B589" s="125"/>
      <c r="C589" s="122" t="str">
        <f aca="false">IF(OR(B589="",B588=""),"",B589/B588-1)</f>
        <v/>
      </c>
      <c r="D589" s="122" t="str">
        <f aca="false">IF(B589="","",IFERROR(B589/INDEX($B$2:$B$800,MATCH(DATE(YEAR(A589)-1,12,1),$A$2:$A$800,0))-1,""))</f>
        <v/>
      </c>
      <c r="E589" s="122" t="str">
        <f aca="false">IF(B589="","",IFERROR(B589/INDEX($B$2:$B$800,MATCH(DATE(YEAR(A589)-1,MONTH(A589),1),$A$2:$A$800,0))-1,""))</f>
        <v/>
      </c>
    </row>
    <row r="590" customFormat="false" ht="15" hidden="false" customHeight="false" outlineLevel="0" collapsed="false">
      <c r="A590" s="124"/>
      <c r="B590" s="125"/>
      <c r="C590" s="122" t="str">
        <f aca="false">IF(OR(B590="",B589=""),"",B590/B589-1)</f>
        <v/>
      </c>
      <c r="D590" s="122" t="str">
        <f aca="false">IF(B590="","",IFERROR(B590/INDEX($B$2:$B$800,MATCH(DATE(YEAR(A590)-1,12,1),$A$2:$A$800,0))-1,""))</f>
        <v/>
      </c>
      <c r="E590" s="122" t="str">
        <f aca="false">IF(B590="","",IFERROR(B590/INDEX($B$2:$B$800,MATCH(DATE(YEAR(A590)-1,MONTH(A590),1),$A$2:$A$800,0))-1,""))</f>
        <v/>
      </c>
    </row>
    <row r="591" customFormat="false" ht="15" hidden="false" customHeight="false" outlineLevel="0" collapsed="false">
      <c r="A591" s="124"/>
      <c r="B591" s="125"/>
      <c r="C591" s="122" t="str">
        <f aca="false">IF(OR(B591="",B590=""),"",B591/B590-1)</f>
        <v/>
      </c>
      <c r="D591" s="122" t="str">
        <f aca="false">IF(B591="","",IFERROR(B591/INDEX($B$2:$B$800,MATCH(DATE(YEAR(A591)-1,12,1),$A$2:$A$800,0))-1,""))</f>
        <v/>
      </c>
      <c r="E591" s="122" t="str">
        <f aca="false">IF(B591="","",IFERROR(B591/INDEX($B$2:$B$800,MATCH(DATE(YEAR(A591)-1,MONTH(A591),1),$A$2:$A$800,0))-1,""))</f>
        <v/>
      </c>
    </row>
    <row r="592" customFormat="false" ht="15" hidden="false" customHeight="false" outlineLevel="0" collapsed="false">
      <c r="A592" s="124"/>
      <c r="B592" s="125"/>
      <c r="C592" s="122" t="str">
        <f aca="false">IF(OR(B592="",B591=""),"",B592/B591-1)</f>
        <v/>
      </c>
      <c r="D592" s="122" t="str">
        <f aca="false">IF(B592="","",IFERROR(B592/INDEX($B$2:$B$800,MATCH(DATE(YEAR(A592)-1,12,1),$A$2:$A$800,0))-1,""))</f>
        <v/>
      </c>
      <c r="E592" s="122" t="str">
        <f aca="false">IF(B592="","",IFERROR(B592/INDEX($B$2:$B$800,MATCH(DATE(YEAR(A592)-1,MONTH(A592),1),$A$2:$A$800,0))-1,""))</f>
        <v/>
      </c>
    </row>
    <row r="593" customFormat="false" ht="15" hidden="false" customHeight="false" outlineLevel="0" collapsed="false">
      <c r="A593" s="124"/>
      <c r="B593" s="125"/>
      <c r="C593" s="122" t="str">
        <f aca="false">IF(OR(B593="",B592=""),"",B593/B592-1)</f>
        <v/>
      </c>
      <c r="D593" s="122" t="str">
        <f aca="false">IF(B593="","",IFERROR(B593/INDEX($B$2:$B$800,MATCH(DATE(YEAR(A593)-1,12,1),$A$2:$A$800,0))-1,""))</f>
        <v/>
      </c>
      <c r="E593" s="122" t="str">
        <f aca="false">IF(B593="","",IFERROR(B593/INDEX($B$2:$B$800,MATCH(DATE(YEAR(A593)-1,MONTH(A593),1),$A$2:$A$800,0))-1,""))</f>
        <v/>
      </c>
    </row>
    <row r="594" customFormat="false" ht="15" hidden="false" customHeight="false" outlineLevel="0" collapsed="false">
      <c r="A594" s="124"/>
      <c r="B594" s="125"/>
      <c r="C594" s="122" t="str">
        <f aca="false">IF(OR(B594="",B593=""),"",B594/B593-1)</f>
        <v/>
      </c>
      <c r="D594" s="122" t="str">
        <f aca="false">IF(B594="","",IFERROR(B594/INDEX($B$2:$B$800,MATCH(DATE(YEAR(A594)-1,12,1),$A$2:$A$800,0))-1,""))</f>
        <v/>
      </c>
      <c r="E594" s="122" t="str">
        <f aca="false">IF(B594="","",IFERROR(B594/INDEX($B$2:$B$800,MATCH(DATE(YEAR(A594)-1,MONTH(A594),1),$A$2:$A$800,0))-1,""))</f>
        <v/>
      </c>
    </row>
    <row r="595" customFormat="false" ht="15" hidden="false" customHeight="false" outlineLevel="0" collapsed="false">
      <c r="A595" s="124"/>
      <c r="B595" s="125"/>
      <c r="C595" s="122" t="str">
        <f aca="false">IF(OR(B595="",B594=""),"",B595/B594-1)</f>
        <v/>
      </c>
      <c r="D595" s="122" t="str">
        <f aca="false">IF(B595="","",IFERROR(B595/INDEX($B$2:$B$800,MATCH(DATE(YEAR(A595)-1,12,1),$A$2:$A$800,0))-1,""))</f>
        <v/>
      </c>
      <c r="E595" s="122" t="str">
        <f aca="false">IF(B595="","",IFERROR(B595/INDEX($B$2:$B$800,MATCH(DATE(YEAR(A595)-1,MONTH(A595),1),$A$2:$A$800,0))-1,""))</f>
        <v/>
      </c>
    </row>
    <row r="596" customFormat="false" ht="15" hidden="false" customHeight="false" outlineLevel="0" collapsed="false">
      <c r="A596" s="124"/>
      <c r="B596" s="125"/>
      <c r="C596" s="122" t="str">
        <f aca="false">IF(OR(B596="",B595=""),"",B596/B595-1)</f>
        <v/>
      </c>
      <c r="D596" s="122" t="str">
        <f aca="false">IF(B596="","",IFERROR(B596/INDEX($B$2:$B$800,MATCH(DATE(YEAR(A596)-1,12,1),$A$2:$A$800,0))-1,""))</f>
        <v/>
      </c>
      <c r="E596" s="122" t="str">
        <f aca="false">IF(B596="","",IFERROR(B596/INDEX($B$2:$B$800,MATCH(DATE(YEAR(A596)-1,MONTH(A596),1),$A$2:$A$800,0))-1,""))</f>
        <v/>
      </c>
    </row>
    <row r="597" customFormat="false" ht="15" hidden="false" customHeight="false" outlineLevel="0" collapsed="false">
      <c r="A597" s="124"/>
      <c r="B597" s="125"/>
      <c r="C597" s="122" t="str">
        <f aca="false">IF(OR(B597="",B596=""),"",B597/B596-1)</f>
        <v/>
      </c>
      <c r="D597" s="122" t="str">
        <f aca="false">IF(B597="","",IFERROR(B597/INDEX($B$2:$B$800,MATCH(DATE(YEAR(A597)-1,12,1),$A$2:$A$800,0))-1,""))</f>
        <v/>
      </c>
      <c r="E597" s="122" t="str">
        <f aca="false">IF(B597="","",IFERROR(B597/INDEX($B$2:$B$800,MATCH(DATE(YEAR(A597)-1,MONTH(A597),1),$A$2:$A$800,0))-1,""))</f>
        <v/>
      </c>
    </row>
    <row r="598" customFormat="false" ht="15" hidden="false" customHeight="false" outlineLevel="0" collapsed="false">
      <c r="A598" s="124"/>
      <c r="B598" s="125"/>
      <c r="C598" s="122" t="str">
        <f aca="false">IF(OR(B598="",B597=""),"",B598/B597-1)</f>
        <v/>
      </c>
      <c r="D598" s="122" t="str">
        <f aca="false">IF(B598="","",IFERROR(B598/INDEX($B$2:$B$800,MATCH(DATE(YEAR(A598)-1,12,1),$A$2:$A$800,0))-1,""))</f>
        <v/>
      </c>
      <c r="E598" s="122" t="str">
        <f aca="false">IF(B598="","",IFERROR(B598/INDEX($B$2:$B$800,MATCH(DATE(YEAR(A598)-1,MONTH(A598),1),$A$2:$A$800,0))-1,""))</f>
        <v/>
      </c>
    </row>
    <row r="599" customFormat="false" ht="15" hidden="false" customHeight="false" outlineLevel="0" collapsed="false">
      <c r="A599" s="124"/>
      <c r="B599" s="125"/>
      <c r="C599" s="122" t="str">
        <f aca="false">IF(OR(B599="",B598=""),"",B599/B598-1)</f>
        <v/>
      </c>
      <c r="D599" s="122" t="str">
        <f aca="false">IF(B599="","",IFERROR(B599/INDEX($B$2:$B$800,MATCH(DATE(YEAR(A599)-1,12,1),$A$2:$A$800,0))-1,""))</f>
        <v/>
      </c>
      <c r="E599" s="122" t="str">
        <f aca="false">IF(B599="","",IFERROR(B599/INDEX($B$2:$B$800,MATCH(DATE(YEAR(A599)-1,MONTH(A599),1),$A$2:$A$800,0))-1,""))</f>
        <v/>
      </c>
    </row>
    <row r="600" customFormat="false" ht="15" hidden="false" customHeight="false" outlineLevel="0" collapsed="false">
      <c r="A600" s="124"/>
      <c r="B600" s="125"/>
      <c r="C600" s="122" t="str">
        <f aca="false">IF(OR(B600="",B599=""),"",B600/B599-1)</f>
        <v/>
      </c>
      <c r="D600" s="122" t="str">
        <f aca="false">IF(B600="","",IFERROR(B600/INDEX($B$2:$B$800,MATCH(DATE(YEAR(A600)-1,12,1),$A$2:$A$800,0))-1,""))</f>
        <v/>
      </c>
      <c r="E600" s="122" t="str">
        <f aca="false">IF(B600="","",IFERROR(B600/INDEX($B$2:$B$800,MATCH(DATE(YEAR(A600)-1,MONTH(A600),1),$A$2:$A$800,0))-1,""))</f>
        <v/>
      </c>
    </row>
    <row r="601" customFormat="false" ht="15" hidden="false" customHeight="false" outlineLevel="0" collapsed="false">
      <c r="A601" s="124"/>
      <c r="B601" s="125"/>
      <c r="C601" s="122" t="str">
        <f aca="false">IF(OR(B601="",B600=""),"",B601/B600-1)</f>
        <v/>
      </c>
      <c r="D601" s="122" t="str">
        <f aca="false">IF(B601="","",IFERROR(B601/INDEX($B$2:$B$800,MATCH(DATE(YEAR(A601)-1,12,1),$A$2:$A$800,0))-1,""))</f>
        <v/>
      </c>
      <c r="E601" s="122" t="str">
        <f aca="false">IF(B601="","",IFERROR(B601/INDEX($B$2:$B$800,MATCH(DATE(YEAR(A601)-1,MONTH(A601),1),$A$2:$A$800,0))-1,""))</f>
        <v/>
      </c>
    </row>
    <row r="602" customFormat="false" ht="15" hidden="false" customHeight="false" outlineLevel="0" collapsed="false">
      <c r="A602" s="124"/>
      <c r="B602" s="125"/>
      <c r="C602" s="122" t="str">
        <f aca="false">IF(OR(B602="",B601=""),"",B602/B601-1)</f>
        <v/>
      </c>
      <c r="D602" s="122" t="str">
        <f aca="false">IF(B602="","",IFERROR(B602/INDEX($B$2:$B$800,MATCH(DATE(YEAR(A602)-1,12,1),$A$2:$A$800,0))-1,""))</f>
        <v/>
      </c>
      <c r="E602" s="122" t="str">
        <f aca="false">IF(B602="","",IFERROR(B602/INDEX($B$2:$B$800,MATCH(DATE(YEAR(A602)-1,MONTH(A602),1),$A$2:$A$800,0))-1,""))</f>
        <v/>
      </c>
    </row>
    <row r="603" customFormat="false" ht="15" hidden="false" customHeight="false" outlineLevel="0" collapsed="false">
      <c r="A603" s="124"/>
      <c r="B603" s="125"/>
      <c r="C603" s="122" t="str">
        <f aca="false">IF(OR(B603="",B602=""),"",B603/B602-1)</f>
        <v/>
      </c>
      <c r="D603" s="122" t="str">
        <f aca="false">IF(B603="","",IFERROR(B603/INDEX($B$2:$B$800,MATCH(DATE(YEAR(A603)-1,12,1),$A$2:$A$800,0))-1,""))</f>
        <v/>
      </c>
      <c r="E603" s="122" t="str">
        <f aca="false">IF(B603="","",IFERROR(B603/INDEX($B$2:$B$800,MATCH(DATE(YEAR(A603)-1,MONTH(A603),1),$A$2:$A$800,0))-1,""))</f>
        <v/>
      </c>
    </row>
    <row r="604" customFormat="false" ht="15" hidden="false" customHeight="false" outlineLevel="0" collapsed="false">
      <c r="A604" s="124"/>
      <c r="B604" s="125"/>
      <c r="C604" s="122" t="str">
        <f aca="false">IF(OR(B604="",B603=""),"",B604/B603-1)</f>
        <v/>
      </c>
      <c r="D604" s="122" t="str">
        <f aca="false">IF(B604="","",IFERROR(B604/INDEX($B$2:$B$800,MATCH(DATE(YEAR(A604)-1,12,1),$A$2:$A$800,0))-1,""))</f>
        <v/>
      </c>
      <c r="E604" s="122" t="str">
        <f aca="false">IF(B604="","",IFERROR(B604/INDEX($B$2:$B$800,MATCH(DATE(YEAR(A604)-1,MONTH(A604),1),$A$2:$A$800,0))-1,""))</f>
        <v/>
      </c>
    </row>
    <row r="605" customFormat="false" ht="15" hidden="false" customHeight="false" outlineLevel="0" collapsed="false">
      <c r="A605" s="124"/>
      <c r="B605" s="125"/>
      <c r="C605" s="122" t="str">
        <f aca="false">IF(OR(B605="",B604=""),"",B605/B604-1)</f>
        <v/>
      </c>
      <c r="D605" s="122" t="str">
        <f aca="false">IF(B605="","",IFERROR(B605/INDEX($B$2:$B$800,MATCH(DATE(YEAR(A605)-1,12,1),$A$2:$A$800,0))-1,""))</f>
        <v/>
      </c>
      <c r="E605" s="122" t="str">
        <f aca="false">IF(B605="","",IFERROR(B605/INDEX($B$2:$B$800,MATCH(DATE(YEAR(A605)-1,MONTH(A605),1),$A$2:$A$800,0))-1,""))</f>
        <v/>
      </c>
    </row>
    <row r="606" customFormat="false" ht="15" hidden="false" customHeight="false" outlineLevel="0" collapsed="false">
      <c r="A606" s="124"/>
      <c r="B606" s="125"/>
      <c r="C606" s="122" t="str">
        <f aca="false">IF(OR(B606="",B605=""),"",B606/B605-1)</f>
        <v/>
      </c>
      <c r="D606" s="122" t="str">
        <f aca="false">IF(B606="","",IFERROR(B606/INDEX($B$2:$B$800,MATCH(DATE(YEAR(A606)-1,12,1),$A$2:$A$800,0))-1,""))</f>
        <v/>
      </c>
      <c r="E606" s="122" t="str">
        <f aca="false">IF(B606="","",IFERROR(B606/INDEX($B$2:$B$800,MATCH(DATE(YEAR(A606)-1,MONTH(A606),1),$A$2:$A$800,0))-1,""))</f>
        <v/>
      </c>
    </row>
    <row r="607" customFormat="false" ht="15" hidden="false" customHeight="false" outlineLevel="0" collapsed="false">
      <c r="A607" s="124"/>
      <c r="B607" s="125"/>
      <c r="C607" s="122" t="str">
        <f aca="false">IF(OR(B607="",B606=""),"",B607/B606-1)</f>
        <v/>
      </c>
      <c r="D607" s="122" t="str">
        <f aca="false">IF(B607="","",IFERROR(B607/INDEX($B$2:$B$800,MATCH(DATE(YEAR(A607)-1,12,1),$A$2:$A$800,0))-1,""))</f>
        <v/>
      </c>
      <c r="E607" s="122" t="str">
        <f aca="false">IF(B607="","",IFERROR(B607/INDEX($B$2:$B$800,MATCH(DATE(YEAR(A607)-1,MONTH(A607),1),$A$2:$A$800,0))-1,""))</f>
        <v/>
      </c>
    </row>
    <row r="608" customFormat="false" ht="15" hidden="false" customHeight="false" outlineLevel="0" collapsed="false">
      <c r="A608" s="124"/>
      <c r="B608" s="125"/>
      <c r="C608" s="122" t="str">
        <f aca="false">IF(OR(B608="",B607=""),"",B608/B607-1)</f>
        <v/>
      </c>
      <c r="D608" s="122" t="str">
        <f aca="false">IF(B608="","",IFERROR(B608/INDEX($B$2:$B$800,MATCH(DATE(YEAR(A608)-1,12,1),$A$2:$A$800,0))-1,""))</f>
        <v/>
      </c>
      <c r="E608" s="122" t="str">
        <f aca="false">IF(B608="","",IFERROR(B608/INDEX($B$2:$B$800,MATCH(DATE(YEAR(A608)-1,MONTH(A608),1),$A$2:$A$800,0))-1,""))</f>
        <v/>
      </c>
    </row>
    <row r="609" customFormat="false" ht="15" hidden="false" customHeight="false" outlineLevel="0" collapsed="false">
      <c r="A609" s="124"/>
      <c r="B609" s="125"/>
      <c r="C609" s="122" t="str">
        <f aca="false">IF(OR(B609="",B608=""),"",B609/B608-1)</f>
        <v/>
      </c>
      <c r="D609" s="122" t="str">
        <f aca="false">IF(B609="","",IFERROR(B609/INDEX($B$2:$B$800,MATCH(DATE(YEAR(A609)-1,12,1),$A$2:$A$800,0))-1,""))</f>
        <v/>
      </c>
      <c r="E609" s="122" t="str">
        <f aca="false">IF(B609="","",IFERROR(B609/INDEX($B$2:$B$800,MATCH(DATE(YEAR(A609)-1,MONTH(A609),1),$A$2:$A$800,0))-1,""))</f>
        <v/>
      </c>
    </row>
    <row r="610" customFormat="false" ht="15" hidden="false" customHeight="false" outlineLevel="0" collapsed="false">
      <c r="A610" s="124"/>
      <c r="B610" s="125"/>
      <c r="C610" s="122" t="str">
        <f aca="false">IF(OR(B610="",B609=""),"",B610/B609-1)</f>
        <v/>
      </c>
      <c r="D610" s="122" t="str">
        <f aca="false">IF(B610="","",IFERROR(B610/INDEX($B$2:$B$800,MATCH(DATE(YEAR(A610)-1,12,1),$A$2:$A$800,0))-1,""))</f>
        <v/>
      </c>
      <c r="E610" s="122" t="str">
        <f aca="false">IF(B610="","",IFERROR(B610/INDEX($B$2:$B$800,MATCH(DATE(YEAR(A610)-1,MONTH(A610),1),$A$2:$A$800,0))-1,""))</f>
        <v/>
      </c>
    </row>
    <row r="611" customFormat="false" ht="15" hidden="false" customHeight="false" outlineLevel="0" collapsed="false">
      <c r="A611" s="124"/>
      <c r="B611" s="125"/>
      <c r="C611" s="122" t="str">
        <f aca="false">IF(OR(B611="",B610=""),"",B611/B610-1)</f>
        <v/>
      </c>
      <c r="D611" s="122" t="str">
        <f aca="false">IF(B611="","",IFERROR(B611/INDEX($B$2:$B$800,MATCH(DATE(YEAR(A611)-1,12,1),$A$2:$A$800,0))-1,""))</f>
        <v/>
      </c>
      <c r="E611" s="122" t="str">
        <f aca="false">IF(B611="","",IFERROR(B611/INDEX($B$2:$B$800,MATCH(DATE(YEAR(A611)-1,MONTH(A611),1),$A$2:$A$800,0))-1,""))</f>
        <v/>
      </c>
    </row>
    <row r="612" customFormat="false" ht="15" hidden="false" customHeight="false" outlineLevel="0" collapsed="false">
      <c r="A612" s="124"/>
      <c r="B612" s="125"/>
      <c r="C612" s="122" t="str">
        <f aca="false">IF(OR(B612="",B611=""),"",B612/B611-1)</f>
        <v/>
      </c>
      <c r="D612" s="122" t="str">
        <f aca="false">IF(B612="","",IFERROR(B612/INDEX($B$2:$B$800,MATCH(DATE(YEAR(A612)-1,12,1),$A$2:$A$800,0))-1,""))</f>
        <v/>
      </c>
      <c r="E612" s="122" t="str">
        <f aca="false">IF(B612="","",IFERROR(B612/INDEX($B$2:$B$800,MATCH(DATE(YEAR(A612)-1,MONTH(A612),1),$A$2:$A$800,0))-1,""))</f>
        <v/>
      </c>
    </row>
    <row r="613" customFormat="false" ht="15" hidden="false" customHeight="false" outlineLevel="0" collapsed="false">
      <c r="A613" s="124"/>
      <c r="B613" s="125"/>
      <c r="C613" s="122" t="str">
        <f aca="false">IF(OR(B613="",B612=""),"",B613/B612-1)</f>
        <v/>
      </c>
      <c r="D613" s="122" t="str">
        <f aca="false">IF(B613="","",IFERROR(B613/INDEX($B$2:$B$800,MATCH(DATE(YEAR(A613)-1,12,1),$A$2:$A$800,0))-1,""))</f>
        <v/>
      </c>
      <c r="E613" s="122" t="str">
        <f aca="false">IF(B613="","",IFERROR(B613/INDEX($B$2:$B$800,MATCH(DATE(YEAR(A613)-1,MONTH(A613),1),$A$2:$A$800,0))-1,""))</f>
        <v/>
      </c>
    </row>
    <row r="614" customFormat="false" ht="15" hidden="false" customHeight="false" outlineLevel="0" collapsed="false">
      <c r="A614" s="124"/>
      <c r="B614" s="125"/>
      <c r="C614" s="122" t="str">
        <f aca="false">IF(OR(B614="",B613=""),"",B614/B613-1)</f>
        <v/>
      </c>
      <c r="D614" s="122" t="str">
        <f aca="false">IF(B614="","",IFERROR(B614/INDEX($B$2:$B$800,MATCH(DATE(YEAR(A614)-1,12,1),$A$2:$A$800,0))-1,""))</f>
        <v/>
      </c>
      <c r="E614" s="122" t="str">
        <f aca="false">IF(B614="","",IFERROR(B614/INDEX($B$2:$B$800,MATCH(DATE(YEAR(A614)-1,MONTH(A614),1),$A$2:$A$800,0))-1,""))</f>
        <v/>
      </c>
    </row>
    <row r="615" customFormat="false" ht="15" hidden="false" customHeight="false" outlineLevel="0" collapsed="false">
      <c r="A615" s="124"/>
      <c r="B615" s="125"/>
      <c r="C615" s="122" t="str">
        <f aca="false">IF(OR(B615="",B614=""),"",B615/B614-1)</f>
        <v/>
      </c>
      <c r="D615" s="122" t="str">
        <f aca="false">IF(B615="","",IFERROR(B615/INDEX($B$2:$B$800,MATCH(DATE(YEAR(A615)-1,12,1),$A$2:$A$800,0))-1,""))</f>
        <v/>
      </c>
      <c r="E615" s="122" t="str">
        <f aca="false">IF(B615="","",IFERROR(B615/INDEX($B$2:$B$800,MATCH(DATE(YEAR(A615)-1,MONTH(A615),1),$A$2:$A$800,0))-1,""))</f>
        <v/>
      </c>
    </row>
    <row r="616" customFormat="false" ht="15" hidden="false" customHeight="false" outlineLevel="0" collapsed="false">
      <c r="A616" s="124"/>
      <c r="B616" s="125"/>
      <c r="C616" s="122" t="str">
        <f aca="false">IF(OR(B616="",B615=""),"",B616/B615-1)</f>
        <v/>
      </c>
      <c r="D616" s="122" t="str">
        <f aca="false">IF(B616="","",IFERROR(B616/INDEX($B$2:$B$800,MATCH(DATE(YEAR(A616)-1,12,1),$A$2:$A$800,0))-1,""))</f>
        <v/>
      </c>
      <c r="E616" s="122" t="str">
        <f aca="false">IF(B616="","",IFERROR(B616/INDEX($B$2:$B$800,MATCH(DATE(YEAR(A616)-1,MONTH(A616),1),$A$2:$A$800,0))-1,""))</f>
        <v/>
      </c>
    </row>
    <row r="617" customFormat="false" ht="15" hidden="false" customHeight="false" outlineLevel="0" collapsed="false">
      <c r="A617" s="124"/>
      <c r="B617" s="125"/>
      <c r="C617" s="122" t="str">
        <f aca="false">IF(OR(B617="",B616=""),"",B617/B616-1)</f>
        <v/>
      </c>
      <c r="D617" s="122" t="str">
        <f aca="false">IF(B617="","",IFERROR(B617/INDEX($B$2:$B$800,MATCH(DATE(YEAR(A617)-1,12,1),$A$2:$A$800,0))-1,""))</f>
        <v/>
      </c>
      <c r="E617" s="122" t="str">
        <f aca="false">IF(B617="","",IFERROR(B617/INDEX($B$2:$B$800,MATCH(DATE(YEAR(A617)-1,MONTH(A617),1),$A$2:$A$800,0))-1,""))</f>
        <v/>
      </c>
    </row>
    <row r="618" customFormat="false" ht="15" hidden="false" customHeight="false" outlineLevel="0" collapsed="false">
      <c r="A618" s="124"/>
      <c r="B618" s="125"/>
      <c r="C618" s="122" t="str">
        <f aca="false">IF(OR(B618="",B617=""),"",B618/B617-1)</f>
        <v/>
      </c>
      <c r="D618" s="122" t="str">
        <f aca="false">IF(B618="","",IFERROR(B618/INDEX($B$2:$B$800,MATCH(DATE(YEAR(A618)-1,12,1),$A$2:$A$800,0))-1,""))</f>
        <v/>
      </c>
      <c r="E618" s="122" t="str">
        <f aca="false">IF(B618="","",IFERROR(B618/INDEX($B$2:$B$800,MATCH(DATE(YEAR(A618)-1,MONTH(A618),1),$A$2:$A$800,0))-1,""))</f>
        <v/>
      </c>
    </row>
    <row r="619" customFormat="false" ht="15" hidden="false" customHeight="false" outlineLevel="0" collapsed="false">
      <c r="A619" s="124"/>
      <c r="B619" s="125"/>
      <c r="C619" s="122" t="str">
        <f aca="false">IF(OR(B619="",B618=""),"",B619/B618-1)</f>
        <v/>
      </c>
      <c r="D619" s="122" t="str">
        <f aca="false">IF(B619="","",IFERROR(B619/INDEX($B$2:$B$800,MATCH(DATE(YEAR(A619)-1,12,1),$A$2:$A$800,0))-1,""))</f>
        <v/>
      </c>
      <c r="E619" s="122" t="str">
        <f aca="false">IF(B619="","",IFERROR(B619/INDEX($B$2:$B$800,MATCH(DATE(YEAR(A619)-1,MONTH(A619),1),$A$2:$A$800,0))-1,""))</f>
        <v/>
      </c>
    </row>
    <row r="620" customFormat="false" ht="15" hidden="false" customHeight="false" outlineLevel="0" collapsed="false">
      <c r="A620" s="124"/>
      <c r="B620" s="125"/>
      <c r="C620" s="122" t="str">
        <f aca="false">IF(OR(B620="",B619=""),"",B620/B619-1)</f>
        <v/>
      </c>
      <c r="D620" s="122" t="str">
        <f aca="false">IF(B620="","",IFERROR(B620/INDEX($B$2:$B$800,MATCH(DATE(YEAR(A620)-1,12,1),$A$2:$A$800,0))-1,""))</f>
        <v/>
      </c>
      <c r="E620" s="122" t="str">
        <f aca="false">IF(B620="","",IFERROR(B620/INDEX($B$2:$B$800,MATCH(DATE(YEAR(A620)-1,MONTH(A620),1),$A$2:$A$800,0))-1,""))</f>
        <v/>
      </c>
    </row>
    <row r="621" customFormat="false" ht="15" hidden="false" customHeight="false" outlineLevel="0" collapsed="false">
      <c r="A621" s="124"/>
      <c r="B621" s="125"/>
      <c r="C621" s="122" t="str">
        <f aca="false">IF(OR(B621="",B620=""),"",B621/B620-1)</f>
        <v/>
      </c>
      <c r="D621" s="122" t="str">
        <f aca="false">IF(B621="","",IFERROR(B621/INDEX($B$2:$B$800,MATCH(DATE(YEAR(A621)-1,12,1),$A$2:$A$800,0))-1,""))</f>
        <v/>
      </c>
      <c r="E621" s="122" t="str">
        <f aca="false">IF(B621="","",IFERROR(B621/INDEX($B$2:$B$800,MATCH(DATE(YEAR(A621)-1,MONTH(A621),1),$A$2:$A$800,0))-1,""))</f>
        <v/>
      </c>
    </row>
    <row r="622" customFormat="false" ht="15" hidden="false" customHeight="false" outlineLevel="0" collapsed="false">
      <c r="A622" s="124"/>
      <c r="B622" s="125"/>
      <c r="C622" s="122" t="str">
        <f aca="false">IF(OR(B622="",B621=""),"",B622/B621-1)</f>
        <v/>
      </c>
      <c r="D622" s="122" t="str">
        <f aca="false">IF(B622="","",IFERROR(B622/INDEX($B$2:$B$800,MATCH(DATE(YEAR(A622)-1,12,1),$A$2:$A$800,0))-1,""))</f>
        <v/>
      </c>
      <c r="E622" s="122" t="str">
        <f aca="false">IF(B622="","",IFERROR(B622/INDEX($B$2:$B$800,MATCH(DATE(YEAR(A622)-1,MONTH(A622),1),$A$2:$A$800,0))-1,""))</f>
        <v/>
      </c>
    </row>
    <row r="623" customFormat="false" ht="15" hidden="false" customHeight="false" outlineLevel="0" collapsed="false">
      <c r="A623" s="124"/>
      <c r="B623" s="125"/>
      <c r="C623" s="122" t="str">
        <f aca="false">IF(OR(B623="",B622=""),"",B623/B622-1)</f>
        <v/>
      </c>
      <c r="D623" s="122" t="str">
        <f aca="false">IF(B623="","",IFERROR(B623/INDEX($B$2:$B$800,MATCH(DATE(YEAR(A623)-1,12,1),$A$2:$A$800,0))-1,""))</f>
        <v/>
      </c>
      <c r="E623" s="122" t="str">
        <f aca="false">IF(B623="","",IFERROR(B623/INDEX($B$2:$B$800,MATCH(DATE(YEAR(A623)-1,MONTH(A623),1),$A$2:$A$800,0))-1,""))</f>
        <v/>
      </c>
    </row>
    <row r="624" customFormat="false" ht="15" hidden="false" customHeight="false" outlineLevel="0" collapsed="false">
      <c r="A624" s="124"/>
      <c r="B624" s="125"/>
      <c r="C624" s="122" t="str">
        <f aca="false">IF(OR(B624="",B623=""),"",B624/B623-1)</f>
        <v/>
      </c>
      <c r="D624" s="122" t="str">
        <f aca="false">IF(B624="","",IFERROR(B624/INDEX($B$2:$B$800,MATCH(DATE(YEAR(A624)-1,12,1),$A$2:$A$800,0))-1,""))</f>
        <v/>
      </c>
      <c r="E624" s="122" t="str">
        <f aca="false">IF(B624="","",IFERROR(B624/INDEX($B$2:$B$800,MATCH(DATE(YEAR(A624)-1,MONTH(A624),1),$A$2:$A$800,0))-1,""))</f>
        <v/>
      </c>
    </row>
    <row r="625" customFormat="false" ht="15" hidden="false" customHeight="false" outlineLevel="0" collapsed="false">
      <c r="A625" s="124"/>
      <c r="B625" s="125"/>
      <c r="C625" s="122" t="str">
        <f aca="false">IF(OR(B625="",B624=""),"",B625/B624-1)</f>
        <v/>
      </c>
      <c r="D625" s="122" t="str">
        <f aca="false">IF(B625="","",IFERROR(B625/INDEX($B$2:$B$800,MATCH(DATE(YEAR(A625)-1,12,1),$A$2:$A$800,0))-1,""))</f>
        <v/>
      </c>
      <c r="E625" s="122" t="str">
        <f aca="false">IF(B625="","",IFERROR(B625/INDEX($B$2:$B$800,MATCH(DATE(YEAR(A625)-1,MONTH(A625),1),$A$2:$A$800,0))-1,""))</f>
        <v/>
      </c>
    </row>
    <row r="626" customFormat="false" ht="15" hidden="false" customHeight="false" outlineLevel="0" collapsed="false">
      <c r="A626" s="124"/>
      <c r="B626" s="125"/>
      <c r="C626" s="122" t="str">
        <f aca="false">IF(OR(B626="",B625=""),"",B626/B625-1)</f>
        <v/>
      </c>
      <c r="D626" s="122" t="str">
        <f aca="false">IF(B626="","",IFERROR(B626/INDEX($B$2:$B$800,MATCH(DATE(YEAR(A626)-1,12,1),$A$2:$A$800,0))-1,""))</f>
        <v/>
      </c>
      <c r="E626" s="122" t="str">
        <f aca="false">IF(B626="","",IFERROR(B626/INDEX($B$2:$B$800,MATCH(DATE(YEAR(A626)-1,MONTH(A626),1),$A$2:$A$800,0))-1,""))</f>
        <v/>
      </c>
    </row>
    <row r="627" customFormat="false" ht="15" hidden="false" customHeight="false" outlineLevel="0" collapsed="false">
      <c r="A627" s="124"/>
      <c r="B627" s="125"/>
      <c r="C627" s="122" t="str">
        <f aca="false">IF(OR(B627="",B626=""),"",B627/B626-1)</f>
        <v/>
      </c>
      <c r="D627" s="122" t="str">
        <f aca="false">IF(B627="","",IFERROR(B627/INDEX($B$2:$B$800,MATCH(DATE(YEAR(A627)-1,12,1),$A$2:$A$800,0))-1,""))</f>
        <v/>
      </c>
      <c r="E627" s="122" t="str">
        <f aca="false">IF(B627="","",IFERROR(B627/INDEX($B$2:$B$800,MATCH(DATE(YEAR(A627)-1,MONTH(A627),1),$A$2:$A$800,0))-1,""))</f>
        <v/>
      </c>
    </row>
    <row r="628" customFormat="false" ht="15" hidden="false" customHeight="false" outlineLevel="0" collapsed="false">
      <c r="A628" s="124"/>
      <c r="B628" s="125"/>
      <c r="C628" s="122" t="str">
        <f aca="false">IF(OR(B628="",B627=""),"",B628/B627-1)</f>
        <v/>
      </c>
      <c r="D628" s="122" t="str">
        <f aca="false">IF(B628="","",IFERROR(B628/INDEX($B$2:$B$800,MATCH(DATE(YEAR(A628)-1,12,1),$A$2:$A$800,0))-1,""))</f>
        <v/>
      </c>
      <c r="E628" s="122" t="str">
        <f aca="false">IF(B628="","",IFERROR(B628/INDEX($B$2:$B$800,MATCH(DATE(YEAR(A628)-1,MONTH(A628),1),$A$2:$A$800,0))-1,""))</f>
        <v/>
      </c>
    </row>
    <row r="629" customFormat="false" ht="15" hidden="false" customHeight="false" outlineLevel="0" collapsed="false">
      <c r="A629" s="124"/>
      <c r="B629" s="125"/>
      <c r="C629" s="122" t="str">
        <f aca="false">IF(OR(B629="",B628=""),"",B629/B628-1)</f>
        <v/>
      </c>
      <c r="D629" s="122" t="str">
        <f aca="false">IF(B629="","",IFERROR(B629/INDEX($B$2:$B$800,MATCH(DATE(YEAR(A629)-1,12,1),$A$2:$A$800,0))-1,""))</f>
        <v/>
      </c>
      <c r="E629" s="122" t="str">
        <f aca="false">IF(B629="","",IFERROR(B629/INDEX($B$2:$B$800,MATCH(DATE(YEAR(A629)-1,MONTH(A629),1),$A$2:$A$800,0))-1,""))</f>
        <v/>
      </c>
    </row>
    <row r="630" customFormat="false" ht="15" hidden="false" customHeight="false" outlineLevel="0" collapsed="false">
      <c r="A630" s="124"/>
      <c r="B630" s="125"/>
      <c r="C630" s="122" t="str">
        <f aca="false">IF(OR(B630="",B629=""),"",B630/B629-1)</f>
        <v/>
      </c>
      <c r="D630" s="122" t="str">
        <f aca="false">IF(B630="","",IFERROR(B630/INDEX($B$2:$B$800,MATCH(DATE(YEAR(A630)-1,12,1),$A$2:$A$800,0))-1,""))</f>
        <v/>
      </c>
      <c r="E630" s="122" t="str">
        <f aca="false">IF(B630="","",IFERROR(B630/INDEX($B$2:$B$800,MATCH(DATE(YEAR(A630)-1,MONTH(A630),1),$A$2:$A$800,0))-1,""))</f>
        <v/>
      </c>
    </row>
    <row r="631" customFormat="false" ht="15" hidden="false" customHeight="false" outlineLevel="0" collapsed="false">
      <c r="A631" s="124"/>
      <c r="B631" s="125"/>
      <c r="C631" s="122" t="str">
        <f aca="false">IF(OR(B631="",B630=""),"",B631/B630-1)</f>
        <v/>
      </c>
      <c r="D631" s="122" t="str">
        <f aca="false">IF(B631="","",IFERROR(B631/INDEX($B$2:$B$800,MATCH(DATE(YEAR(A631)-1,12,1),$A$2:$A$800,0))-1,""))</f>
        <v/>
      </c>
      <c r="E631" s="122" t="str">
        <f aca="false">IF(B631="","",IFERROR(B631/INDEX($B$2:$B$800,MATCH(DATE(YEAR(A631)-1,MONTH(A631),1),$A$2:$A$800,0))-1,""))</f>
        <v/>
      </c>
    </row>
    <row r="632" customFormat="false" ht="15" hidden="false" customHeight="false" outlineLevel="0" collapsed="false">
      <c r="A632" s="124"/>
      <c r="B632" s="125"/>
      <c r="C632" s="122" t="str">
        <f aca="false">IF(OR(B632="",B631=""),"",B632/B631-1)</f>
        <v/>
      </c>
      <c r="D632" s="122" t="str">
        <f aca="false">IF(B632="","",IFERROR(B632/INDEX($B$2:$B$800,MATCH(DATE(YEAR(A632)-1,12,1),$A$2:$A$800,0))-1,""))</f>
        <v/>
      </c>
      <c r="E632" s="122" t="str">
        <f aca="false">IF(B632="","",IFERROR(B632/INDEX($B$2:$B$800,MATCH(DATE(YEAR(A632)-1,MONTH(A632),1),$A$2:$A$800,0))-1,""))</f>
        <v/>
      </c>
    </row>
    <row r="633" customFormat="false" ht="15" hidden="false" customHeight="false" outlineLevel="0" collapsed="false">
      <c r="A633" s="124"/>
      <c r="B633" s="125"/>
      <c r="C633" s="122" t="str">
        <f aca="false">IF(OR(B633="",B632=""),"",B633/B632-1)</f>
        <v/>
      </c>
      <c r="D633" s="122" t="str">
        <f aca="false">IF(B633="","",IFERROR(B633/INDEX($B$2:$B$800,MATCH(DATE(YEAR(A633)-1,12,1),$A$2:$A$800,0))-1,""))</f>
        <v/>
      </c>
      <c r="E633" s="122" t="str">
        <f aca="false">IF(B633="","",IFERROR(B633/INDEX($B$2:$B$800,MATCH(DATE(YEAR(A633)-1,MONTH(A633),1),$A$2:$A$800,0))-1,""))</f>
        <v/>
      </c>
    </row>
    <row r="634" customFormat="false" ht="15" hidden="false" customHeight="false" outlineLevel="0" collapsed="false">
      <c r="A634" s="124"/>
      <c r="B634" s="125"/>
      <c r="C634" s="122" t="str">
        <f aca="false">IF(OR(B634="",B633=""),"",B634/B633-1)</f>
        <v/>
      </c>
      <c r="D634" s="122" t="str">
        <f aca="false">IF(B634="","",IFERROR(B634/INDEX($B$2:$B$800,MATCH(DATE(YEAR(A634)-1,12,1),$A$2:$A$800,0))-1,""))</f>
        <v/>
      </c>
      <c r="E634" s="122" t="str">
        <f aca="false">IF(B634="","",IFERROR(B634/INDEX($B$2:$B$800,MATCH(DATE(YEAR(A634)-1,MONTH(A634),1),$A$2:$A$800,0))-1,""))</f>
        <v/>
      </c>
    </row>
    <row r="635" customFormat="false" ht="15" hidden="false" customHeight="false" outlineLevel="0" collapsed="false">
      <c r="A635" s="124"/>
      <c r="B635" s="125"/>
      <c r="C635" s="122" t="str">
        <f aca="false">IF(OR(B635="",B634=""),"",B635/B634-1)</f>
        <v/>
      </c>
      <c r="D635" s="122" t="str">
        <f aca="false">IF(B635="","",IFERROR(B635/INDEX($B$2:$B$800,MATCH(DATE(YEAR(A635)-1,12,1),$A$2:$A$800,0))-1,""))</f>
        <v/>
      </c>
      <c r="E635" s="122" t="str">
        <f aca="false">IF(B635="","",IFERROR(B635/INDEX($B$2:$B$800,MATCH(DATE(YEAR(A635)-1,MONTH(A635),1),$A$2:$A$800,0))-1,""))</f>
        <v/>
      </c>
    </row>
    <row r="636" customFormat="false" ht="15" hidden="false" customHeight="false" outlineLevel="0" collapsed="false">
      <c r="A636" s="124"/>
      <c r="B636" s="125"/>
      <c r="C636" s="122" t="str">
        <f aca="false">IF(OR(B636="",B635=""),"",B636/B635-1)</f>
        <v/>
      </c>
      <c r="D636" s="122" t="str">
        <f aca="false">IF(B636="","",IFERROR(B636/INDEX($B$2:$B$800,MATCH(DATE(YEAR(A636)-1,12,1),$A$2:$A$800,0))-1,""))</f>
        <v/>
      </c>
      <c r="E636" s="122" t="str">
        <f aca="false">IF(B636="","",IFERROR(B636/INDEX($B$2:$B$800,MATCH(DATE(YEAR(A636)-1,MONTH(A636),1),$A$2:$A$800,0))-1,""))</f>
        <v/>
      </c>
    </row>
    <row r="637" customFormat="false" ht="15" hidden="false" customHeight="false" outlineLevel="0" collapsed="false">
      <c r="A637" s="124"/>
      <c r="B637" s="125"/>
      <c r="C637" s="122" t="str">
        <f aca="false">IF(OR(B637="",B636=""),"",B637/B636-1)</f>
        <v/>
      </c>
      <c r="D637" s="122" t="str">
        <f aca="false">IF(B637="","",IFERROR(B637/INDEX($B$2:$B$800,MATCH(DATE(YEAR(A637)-1,12,1),$A$2:$A$800,0))-1,""))</f>
        <v/>
      </c>
      <c r="E637" s="122" t="str">
        <f aca="false">IF(B637="","",IFERROR(B637/INDEX($B$2:$B$800,MATCH(DATE(YEAR(A637)-1,MONTH(A637),1),$A$2:$A$800,0))-1,""))</f>
        <v/>
      </c>
    </row>
    <row r="638" customFormat="false" ht="15" hidden="false" customHeight="false" outlineLevel="0" collapsed="false">
      <c r="A638" s="124"/>
      <c r="B638" s="125"/>
      <c r="C638" s="122" t="str">
        <f aca="false">IF(OR(B638="",B637=""),"",B638/B637-1)</f>
        <v/>
      </c>
      <c r="D638" s="122" t="str">
        <f aca="false">IF(B638="","",IFERROR(B638/INDEX($B$2:$B$800,MATCH(DATE(YEAR(A638)-1,12,1),$A$2:$A$800,0))-1,""))</f>
        <v/>
      </c>
      <c r="E638" s="122" t="str">
        <f aca="false">IF(B638="","",IFERROR(B638/INDEX($B$2:$B$800,MATCH(DATE(YEAR(A638)-1,MONTH(A638),1),$A$2:$A$800,0))-1,""))</f>
        <v/>
      </c>
    </row>
    <row r="639" customFormat="false" ht="15" hidden="false" customHeight="false" outlineLevel="0" collapsed="false">
      <c r="A639" s="124"/>
      <c r="B639" s="125"/>
      <c r="C639" s="122" t="str">
        <f aca="false">IF(OR(B639="",B638=""),"",B639/B638-1)</f>
        <v/>
      </c>
      <c r="D639" s="122" t="str">
        <f aca="false">IF(B639="","",IFERROR(B639/INDEX($B$2:$B$800,MATCH(DATE(YEAR(A639)-1,12,1),$A$2:$A$800,0))-1,""))</f>
        <v/>
      </c>
      <c r="E639" s="122" t="str">
        <f aca="false">IF(B639="","",IFERROR(B639/INDEX($B$2:$B$800,MATCH(DATE(YEAR(A639)-1,MONTH(A639),1),$A$2:$A$800,0))-1,""))</f>
        <v/>
      </c>
    </row>
    <row r="640" customFormat="false" ht="15" hidden="false" customHeight="false" outlineLevel="0" collapsed="false">
      <c r="A640" s="124"/>
      <c r="B640" s="125"/>
      <c r="C640" s="122" t="str">
        <f aca="false">IF(OR(B640="",B639=""),"",B640/B639-1)</f>
        <v/>
      </c>
      <c r="D640" s="122" t="str">
        <f aca="false">IF(B640="","",IFERROR(B640/INDEX($B$2:$B$800,MATCH(DATE(YEAR(A640)-1,12,1),$A$2:$A$800,0))-1,""))</f>
        <v/>
      </c>
      <c r="E640" s="122" t="str">
        <f aca="false">IF(B640="","",IFERROR(B640/INDEX($B$2:$B$800,MATCH(DATE(YEAR(A640)-1,MONTH(A640),1),$A$2:$A$800,0))-1,""))</f>
        <v/>
      </c>
    </row>
    <row r="641" customFormat="false" ht="15" hidden="false" customHeight="false" outlineLevel="0" collapsed="false">
      <c r="A641" s="124"/>
      <c r="B641" s="125"/>
      <c r="C641" s="122" t="str">
        <f aca="false">IF(OR(B641="",B640=""),"",B641/B640-1)</f>
        <v/>
      </c>
      <c r="D641" s="122" t="str">
        <f aca="false">IF(B641="","",IFERROR(B641/INDEX($B$2:$B$800,MATCH(DATE(YEAR(A641)-1,12,1),$A$2:$A$800,0))-1,""))</f>
        <v/>
      </c>
      <c r="E641" s="122" t="str">
        <f aca="false">IF(B641="","",IFERROR(B641/INDEX($B$2:$B$800,MATCH(DATE(YEAR(A641)-1,MONTH(A641),1),$A$2:$A$800,0))-1,""))</f>
        <v/>
      </c>
    </row>
    <row r="642" customFormat="false" ht="15" hidden="false" customHeight="false" outlineLevel="0" collapsed="false">
      <c r="A642" s="124"/>
      <c r="B642" s="125"/>
      <c r="C642" s="122" t="str">
        <f aca="false">IF(OR(B642="",B641=""),"",B642/B641-1)</f>
        <v/>
      </c>
      <c r="D642" s="122" t="str">
        <f aca="false">IF(B642="","",IFERROR(B642/INDEX($B$2:$B$800,MATCH(DATE(YEAR(A642)-1,12,1),$A$2:$A$800,0))-1,""))</f>
        <v/>
      </c>
      <c r="E642" s="122" t="str">
        <f aca="false">IF(B642="","",IFERROR(B642/INDEX($B$2:$B$800,MATCH(DATE(YEAR(A642)-1,MONTH(A642),1),$A$2:$A$800,0))-1,""))</f>
        <v/>
      </c>
    </row>
    <row r="643" customFormat="false" ht="15" hidden="false" customHeight="false" outlineLevel="0" collapsed="false">
      <c r="A643" s="124"/>
      <c r="B643" s="125"/>
      <c r="C643" s="122" t="str">
        <f aca="false">IF(OR(B643="",B642=""),"",B643/B642-1)</f>
        <v/>
      </c>
      <c r="D643" s="122" t="str">
        <f aca="false">IF(B643="","",IFERROR(B643/INDEX($B$2:$B$800,MATCH(DATE(YEAR(A643)-1,12,1),$A$2:$A$800,0))-1,""))</f>
        <v/>
      </c>
      <c r="E643" s="122" t="str">
        <f aca="false">IF(B643="","",IFERROR(B643/INDEX($B$2:$B$800,MATCH(DATE(YEAR(A643)-1,MONTH(A643),1),$A$2:$A$800,0))-1,""))</f>
        <v/>
      </c>
    </row>
    <row r="644" customFormat="false" ht="15" hidden="false" customHeight="false" outlineLevel="0" collapsed="false">
      <c r="A644" s="124"/>
      <c r="B644" s="125"/>
      <c r="C644" s="122" t="str">
        <f aca="false">IF(OR(B644="",B643=""),"",B644/B643-1)</f>
        <v/>
      </c>
      <c r="D644" s="122" t="str">
        <f aca="false">IF(B644="","",IFERROR(B644/INDEX($B$2:$B$800,MATCH(DATE(YEAR(A644)-1,12,1),$A$2:$A$800,0))-1,""))</f>
        <v/>
      </c>
      <c r="E644" s="122" t="str">
        <f aca="false">IF(B644="","",IFERROR(B644/INDEX($B$2:$B$800,MATCH(DATE(YEAR(A644)-1,MONTH(A644),1),$A$2:$A$800,0))-1,""))</f>
        <v/>
      </c>
    </row>
    <row r="645" customFormat="false" ht="15" hidden="false" customHeight="false" outlineLevel="0" collapsed="false">
      <c r="A645" s="124"/>
      <c r="B645" s="125"/>
      <c r="C645" s="122" t="str">
        <f aca="false">IF(OR(B645="",B644=""),"",B645/B644-1)</f>
        <v/>
      </c>
      <c r="D645" s="122" t="str">
        <f aca="false">IF(B645="","",IFERROR(B645/INDEX($B$2:$B$800,MATCH(DATE(YEAR(A645)-1,12,1),$A$2:$A$800,0))-1,""))</f>
        <v/>
      </c>
      <c r="E645" s="122" t="str">
        <f aca="false">IF(B645="","",IFERROR(B645/INDEX($B$2:$B$800,MATCH(DATE(YEAR(A645)-1,MONTH(A645),1),$A$2:$A$800,0))-1,""))</f>
        <v/>
      </c>
    </row>
    <row r="646" customFormat="false" ht="15" hidden="false" customHeight="false" outlineLevel="0" collapsed="false">
      <c r="A646" s="124"/>
      <c r="B646" s="125"/>
      <c r="C646" s="122" t="str">
        <f aca="false">IF(OR(B646="",B645=""),"",B646/B645-1)</f>
        <v/>
      </c>
      <c r="D646" s="122" t="str">
        <f aca="false">IF(B646="","",IFERROR(B646/INDEX($B$2:$B$800,MATCH(DATE(YEAR(A646)-1,12,1),$A$2:$A$800,0))-1,""))</f>
        <v/>
      </c>
      <c r="E646" s="122" t="str">
        <f aca="false">IF(B646="","",IFERROR(B646/INDEX($B$2:$B$800,MATCH(DATE(YEAR(A646)-1,MONTH(A646),1),$A$2:$A$800,0))-1,""))</f>
        <v/>
      </c>
    </row>
    <row r="647" customFormat="false" ht="15" hidden="false" customHeight="false" outlineLevel="0" collapsed="false">
      <c r="A647" s="124"/>
      <c r="B647" s="125"/>
      <c r="C647" s="122" t="str">
        <f aca="false">IF(OR(B647="",B646=""),"",B647/B646-1)</f>
        <v/>
      </c>
      <c r="D647" s="122" t="str">
        <f aca="false">IF(B647="","",IFERROR(B647/INDEX($B$2:$B$800,MATCH(DATE(YEAR(A647)-1,12,1),$A$2:$A$800,0))-1,""))</f>
        <v/>
      </c>
      <c r="E647" s="122" t="str">
        <f aca="false">IF(B647="","",IFERROR(B647/INDEX($B$2:$B$800,MATCH(DATE(YEAR(A647)-1,MONTH(A647),1),$A$2:$A$800,0))-1,""))</f>
        <v/>
      </c>
    </row>
    <row r="648" customFormat="false" ht="15" hidden="false" customHeight="false" outlineLevel="0" collapsed="false">
      <c r="A648" s="124"/>
      <c r="B648" s="125"/>
      <c r="C648" s="122" t="str">
        <f aca="false">IF(OR(B648="",B647=""),"",B648/B647-1)</f>
        <v/>
      </c>
      <c r="D648" s="122" t="str">
        <f aca="false">IF(B648="","",IFERROR(B648/INDEX($B$2:$B$800,MATCH(DATE(YEAR(A648)-1,12,1),$A$2:$A$800,0))-1,""))</f>
        <v/>
      </c>
      <c r="E648" s="122" t="str">
        <f aca="false">IF(B648="","",IFERROR(B648/INDEX($B$2:$B$800,MATCH(DATE(YEAR(A648)-1,MONTH(A648),1),$A$2:$A$800,0))-1,""))</f>
        <v/>
      </c>
    </row>
    <row r="649" customFormat="false" ht="15" hidden="false" customHeight="false" outlineLevel="0" collapsed="false">
      <c r="A649" s="124"/>
      <c r="B649" s="125"/>
      <c r="C649" s="122" t="str">
        <f aca="false">IF(OR(B649="",B648=""),"",B649/B648-1)</f>
        <v/>
      </c>
      <c r="D649" s="122" t="str">
        <f aca="false">IF(B649="","",IFERROR(B649/INDEX($B$2:$B$800,MATCH(DATE(YEAR(A649)-1,12,1),$A$2:$A$800,0))-1,""))</f>
        <v/>
      </c>
      <c r="E649" s="122" t="str">
        <f aca="false">IF(B649="","",IFERROR(B649/INDEX($B$2:$B$800,MATCH(DATE(YEAR(A649)-1,MONTH(A649),1),$A$2:$A$800,0))-1,""))</f>
        <v/>
      </c>
    </row>
    <row r="650" customFormat="false" ht="15" hidden="false" customHeight="false" outlineLevel="0" collapsed="false">
      <c r="A650" s="124"/>
      <c r="B650" s="125"/>
      <c r="C650" s="122" t="str">
        <f aca="false">IF(OR(B650="",B649=""),"",B650/B649-1)</f>
        <v/>
      </c>
      <c r="D650" s="122" t="str">
        <f aca="false">IF(B650="","",IFERROR(B650/INDEX($B$2:$B$800,MATCH(DATE(YEAR(A650)-1,12,1),$A$2:$A$800,0))-1,""))</f>
        <v/>
      </c>
      <c r="E650" s="122" t="str">
        <f aca="false">IF(B650="","",IFERROR(B650/INDEX($B$2:$B$800,MATCH(DATE(YEAR(A650)-1,MONTH(A650),1),$A$2:$A$800,0))-1,""))</f>
        <v/>
      </c>
    </row>
    <row r="651" customFormat="false" ht="15" hidden="false" customHeight="false" outlineLevel="0" collapsed="false">
      <c r="A651" s="124"/>
      <c r="B651" s="125"/>
      <c r="C651" s="122" t="str">
        <f aca="false">IF(OR(B651="",B650=""),"",B651/B650-1)</f>
        <v/>
      </c>
      <c r="D651" s="122" t="str">
        <f aca="false">IF(B651="","",IFERROR(B651/INDEX($B$2:$B$800,MATCH(DATE(YEAR(A651)-1,12,1),$A$2:$A$800,0))-1,""))</f>
        <v/>
      </c>
      <c r="E651" s="122" t="str">
        <f aca="false">IF(B651="","",IFERROR(B651/INDEX($B$2:$B$800,MATCH(DATE(YEAR(A651)-1,MONTH(A651),1),$A$2:$A$800,0))-1,""))</f>
        <v/>
      </c>
    </row>
    <row r="652" customFormat="false" ht="15" hidden="false" customHeight="false" outlineLevel="0" collapsed="false">
      <c r="A652" s="124"/>
      <c r="B652" s="125"/>
      <c r="C652" s="122" t="str">
        <f aca="false">IF(OR(B652="",B651=""),"",B652/B651-1)</f>
        <v/>
      </c>
      <c r="D652" s="122" t="str">
        <f aca="false">IF(B652="","",IFERROR(B652/INDEX($B$2:$B$800,MATCH(DATE(YEAR(A652)-1,12,1),$A$2:$A$800,0))-1,""))</f>
        <v/>
      </c>
      <c r="E652" s="122" t="str">
        <f aca="false">IF(B652="","",IFERROR(B652/INDEX($B$2:$B$800,MATCH(DATE(YEAR(A652)-1,MONTH(A652),1),$A$2:$A$800,0))-1,""))</f>
        <v/>
      </c>
    </row>
    <row r="653" customFormat="false" ht="15" hidden="false" customHeight="false" outlineLevel="0" collapsed="false">
      <c r="A653" s="124"/>
      <c r="B653" s="125"/>
      <c r="C653" s="122" t="str">
        <f aca="false">IF(OR(B653="",B652=""),"",B653/B652-1)</f>
        <v/>
      </c>
      <c r="D653" s="122" t="str">
        <f aca="false">IF(B653="","",IFERROR(B653/INDEX($B$2:$B$800,MATCH(DATE(YEAR(A653)-1,12,1),$A$2:$A$800,0))-1,""))</f>
        <v/>
      </c>
      <c r="E653" s="122" t="str">
        <f aca="false">IF(B653="","",IFERROR(B653/INDEX($B$2:$B$800,MATCH(DATE(YEAR(A653)-1,MONTH(A653),1),$A$2:$A$800,0))-1,""))</f>
        <v/>
      </c>
    </row>
    <row r="654" customFormat="false" ht="15" hidden="false" customHeight="false" outlineLevel="0" collapsed="false">
      <c r="A654" s="124"/>
      <c r="B654" s="125"/>
      <c r="C654" s="122" t="str">
        <f aca="false">IF(OR(B654="",B653=""),"",B654/B653-1)</f>
        <v/>
      </c>
      <c r="D654" s="122" t="str">
        <f aca="false">IF(B654="","",IFERROR(B654/INDEX($B$2:$B$800,MATCH(DATE(YEAR(A654)-1,12,1),$A$2:$A$800,0))-1,""))</f>
        <v/>
      </c>
      <c r="E654" s="122" t="str">
        <f aca="false">IF(B654="","",IFERROR(B654/INDEX($B$2:$B$800,MATCH(DATE(YEAR(A654)-1,MONTH(A654),1),$A$2:$A$800,0))-1,""))</f>
        <v/>
      </c>
    </row>
    <row r="655" customFormat="false" ht="15" hidden="false" customHeight="false" outlineLevel="0" collapsed="false">
      <c r="A655" s="124"/>
      <c r="B655" s="125"/>
      <c r="C655" s="122" t="str">
        <f aca="false">IF(OR(B655="",B654=""),"",B655/B654-1)</f>
        <v/>
      </c>
      <c r="D655" s="122" t="str">
        <f aca="false">IF(B655="","",IFERROR(B655/INDEX($B$2:$B$800,MATCH(DATE(YEAR(A655)-1,12,1),$A$2:$A$800,0))-1,""))</f>
        <v/>
      </c>
      <c r="E655" s="122" t="str">
        <f aca="false">IF(B655="","",IFERROR(B655/INDEX($B$2:$B$800,MATCH(DATE(YEAR(A655)-1,MONTH(A655),1),$A$2:$A$800,0))-1,""))</f>
        <v/>
      </c>
    </row>
    <row r="656" customFormat="false" ht="15" hidden="false" customHeight="false" outlineLevel="0" collapsed="false">
      <c r="A656" s="124"/>
      <c r="B656" s="125"/>
      <c r="C656" s="122" t="str">
        <f aca="false">IF(OR(B656="",B655=""),"",B656/B655-1)</f>
        <v/>
      </c>
      <c r="D656" s="122" t="str">
        <f aca="false">IF(B656="","",IFERROR(B656/INDEX($B$2:$B$800,MATCH(DATE(YEAR(A656)-1,12,1),$A$2:$A$800,0))-1,""))</f>
        <v/>
      </c>
      <c r="E656" s="122" t="str">
        <f aca="false">IF(B656="","",IFERROR(B656/INDEX($B$2:$B$800,MATCH(DATE(YEAR(A656)-1,MONTH(A656),1),$A$2:$A$800,0))-1,""))</f>
        <v/>
      </c>
    </row>
    <row r="657" customFormat="false" ht="15" hidden="false" customHeight="false" outlineLevel="0" collapsed="false">
      <c r="A657" s="124"/>
      <c r="B657" s="125"/>
      <c r="C657" s="122" t="str">
        <f aca="false">IF(OR(B657="",B656=""),"",B657/B656-1)</f>
        <v/>
      </c>
      <c r="D657" s="122" t="str">
        <f aca="false">IF(B657="","",IFERROR(B657/INDEX($B$2:$B$800,MATCH(DATE(YEAR(A657)-1,12,1),$A$2:$A$800,0))-1,""))</f>
        <v/>
      </c>
      <c r="E657" s="122" t="str">
        <f aca="false">IF(B657="","",IFERROR(B657/INDEX($B$2:$B$800,MATCH(DATE(YEAR(A657)-1,MONTH(A657),1),$A$2:$A$800,0))-1,""))</f>
        <v/>
      </c>
    </row>
    <row r="658" customFormat="false" ht="15" hidden="false" customHeight="false" outlineLevel="0" collapsed="false">
      <c r="A658" s="124"/>
      <c r="B658" s="125"/>
      <c r="C658" s="122" t="str">
        <f aca="false">IF(OR(B658="",B657=""),"",B658/B657-1)</f>
        <v/>
      </c>
      <c r="D658" s="122" t="str">
        <f aca="false">IF(B658="","",IFERROR(B658/INDEX($B$2:$B$800,MATCH(DATE(YEAR(A658)-1,12,1),$A$2:$A$800,0))-1,""))</f>
        <v/>
      </c>
      <c r="E658" s="122" t="str">
        <f aca="false">IF(B658="","",IFERROR(B658/INDEX($B$2:$B$800,MATCH(DATE(YEAR(A658)-1,MONTH(A658),1),$A$2:$A$800,0))-1,""))</f>
        <v/>
      </c>
    </row>
    <row r="659" customFormat="false" ht="15" hidden="false" customHeight="false" outlineLevel="0" collapsed="false">
      <c r="A659" s="124"/>
      <c r="B659" s="125"/>
      <c r="C659" s="122" t="str">
        <f aca="false">IF(OR(B659="",B658=""),"",B659/B658-1)</f>
        <v/>
      </c>
      <c r="D659" s="122" t="str">
        <f aca="false">IF(B659="","",IFERROR(B659/INDEX($B$2:$B$800,MATCH(DATE(YEAR(A659)-1,12,1),$A$2:$A$800,0))-1,""))</f>
        <v/>
      </c>
      <c r="E659" s="122" t="str">
        <f aca="false">IF(B659="","",IFERROR(B659/INDEX($B$2:$B$800,MATCH(DATE(YEAR(A659)-1,MONTH(A659),1),$A$2:$A$800,0))-1,""))</f>
        <v/>
      </c>
    </row>
    <row r="660" customFormat="false" ht="15" hidden="false" customHeight="false" outlineLevel="0" collapsed="false">
      <c r="A660" s="124"/>
      <c r="B660" s="125"/>
      <c r="C660" s="122" t="str">
        <f aca="false">IF(OR(B660="",B659=""),"",B660/B659-1)</f>
        <v/>
      </c>
      <c r="D660" s="122" t="str">
        <f aca="false">IF(B660="","",IFERROR(B660/INDEX($B$2:$B$800,MATCH(DATE(YEAR(A660)-1,12,1),$A$2:$A$800,0))-1,""))</f>
        <v/>
      </c>
      <c r="E660" s="122" t="str">
        <f aca="false">IF(B660="","",IFERROR(B660/INDEX($B$2:$B$800,MATCH(DATE(YEAR(A660)-1,MONTH(A660),1),$A$2:$A$800,0))-1,""))</f>
        <v/>
      </c>
    </row>
    <row r="661" customFormat="false" ht="15" hidden="false" customHeight="false" outlineLevel="0" collapsed="false">
      <c r="A661" s="124"/>
      <c r="B661" s="125"/>
      <c r="C661" s="122" t="str">
        <f aca="false">IF(OR(B661="",B660=""),"",B661/B660-1)</f>
        <v/>
      </c>
      <c r="D661" s="122" t="str">
        <f aca="false">IF(B661="","",IFERROR(B661/INDEX($B$2:$B$800,MATCH(DATE(YEAR(A661)-1,12,1),$A$2:$A$800,0))-1,""))</f>
        <v/>
      </c>
      <c r="E661" s="122" t="str">
        <f aca="false">IF(B661="","",IFERROR(B661/INDEX($B$2:$B$800,MATCH(DATE(YEAR(A661)-1,MONTH(A661),1),$A$2:$A$800,0))-1,""))</f>
        <v/>
      </c>
    </row>
    <row r="662" customFormat="false" ht="15" hidden="false" customHeight="false" outlineLevel="0" collapsed="false">
      <c r="A662" s="124"/>
      <c r="B662" s="125"/>
      <c r="C662" s="122" t="str">
        <f aca="false">IF(OR(B662="",B661=""),"",B662/B661-1)</f>
        <v/>
      </c>
      <c r="D662" s="122" t="str">
        <f aca="false">IF(B662="","",IFERROR(B662/INDEX($B$2:$B$800,MATCH(DATE(YEAR(A662)-1,12,1),$A$2:$A$800,0))-1,""))</f>
        <v/>
      </c>
      <c r="E662" s="122" t="str">
        <f aca="false">IF(B662="","",IFERROR(B662/INDEX($B$2:$B$800,MATCH(DATE(YEAR(A662)-1,MONTH(A662),1),$A$2:$A$800,0))-1,""))</f>
        <v/>
      </c>
    </row>
    <row r="663" customFormat="false" ht="15" hidden="false" customHeight="false" outlineLevel="0" collapsed="false">
      <c r="A663" s="124"/>
      <c r="B663" s="125"/>
      <c r="C663" s="122" t="str">
        <f aca="false">IF(OR(B663="",B662=""),"",B663/B662-1)</f>
        <v/>
      </c>
      <c r="D663" s="122" t="str">
        <f aca="false">IF(B663="","",IFERROR(B663/INDEX($B$2:$B$800,MATCH(DATE(YEAR(A663)-1,12,1),$A$2:$A$800,0))-1,""))</f>
        <v/>
      </c>
      <c r="E663" s="122" t="str">
        <f aca="false">IF(B663="","",IFERROR(B663/INDEX($B$2:$B$800,MATCH(DATE(YEAR(A663)-1,MONTH(A663),1),$A$2:$A$800,0))-1,""))</f>
        <v/>
      </c>
    </row>
    <row r="664" customFormat="false" ht="15" hidden="false" customHeight="false" outlineLevel="0" collapsed="false">
      <c r="A664" s="124"/>
      <c r="B664" s="125"/>
      <c r="C664" s="122" t="str">
        <f aca="false">IF(OR(B664="",B663=""),"",B664/B663-1)</f>
        <v/>
      </c>
      <c r="D664" s="122" t="str">
        <f aca="false">IF(B664="","",IFERROR(B664/INDEX($B$2:$B$800,MATCH(DATE(YEAR(A664)-1,12,1),$A$2:$A$800,0))-1,""))</f>
        <v/>
      </c>
      <c r="E664" s="122" t="str">
        <f aca="false">IF(B664="","",IFERROR(B664/INDEX($B$2:$B$800,MATCH(DATE(YEAR(A664)-1,MONTH(A664),1),$A$2:$A$800,0))-1,""))</f>
        <v/>
      </c>
    </row>
    <row r="665" customFormat="false" ht="15" hidden="false" customHeight="false" outlineLevel="0" collapsed="false">
      <c r="A665" s="124"/>
      <c r="B665" s="125"/>
      <c r="C665" s="122" t="str">
        <f aca="false">IF(OR(B665="",B664=""),"",B665/B664-1)</f>
        <v/>
      </c>
      <c r="D665" s="122" t="str">
        <f aca="false">IF(B665="","",IFERROR(B665/INDEX($B$2:$B$800,MATCH(DATE(YEAR(A665)-1,12,1),$A$2:$A$800,0))-1,""))</f>
        <v/>
      </c>
      <c r="E665" s="122" t="str">
        <f aca="false">IF(B665="","",IFERROR(B665/INDEX($B$2:$B$800,MATCH(DATE(YEAR(A665)-1,MONTH(A665),1),$A$2:$A$800,0))-1,""))</f>
        <v/>
      </c>
    </row>
    <row r="666" customFormat="false" ht="15" hidden="false" customHeight="false" outlineLevel="0" collapsed="false">
      <c r="A666" s="124"/>
      <c r="B666" s="125"/>
      <c r="C666" s="122" t="str">
        <f aca="false">IF(OR(B666="",B665=""),"",B666/B665-1)</f>
        <v/>
      </c>
      <c r="D666" s="122" t="str">
        <f aca="false">IF(B666="","",IFERROR(B666/INDEX($B$2:$B$800,MATCH(DATE(YEAR(A666)-1,12,1),$A$2:$A$800,0))-1,""))</f>
        <v/>
      </c>
      <c r="E666" s="122" t="str">
        <f aca="false">IF(B666="","",IFERROR(B666/INDEX($B$2:$B$800,MATCH(DATE(YEAR(A666)-1,MONTH(A666),1),$A$2:$A$800,0))-1,""))</f>
        <v/>
      </c>
    </row>
    <row r="667" customFormat="false" ht="15" hidden="false" customHeight="false" outlineLevel="0" collapsed="false">
      <c r="A667" s="124"/>
      <c r="B667" s="125"/>
      <c r="C667" s="122" t="str">
        <f aca="false">IF(OR(B667="",B666=""),"",B667/B666-1)</f>
        <v/>
      </c>
      <c r="D667" s="122" t="str">
        <f aca="false">IF(B667="","",IFERROR(B667/INDEX($B$2:$B$800,MATCH(DATE(YEAR(A667)-1,12,1),$A$2:$A$800,0))-1,""))</f>
        <v/>
      </c>
      <c r="E667" s="122" t="str">
        <f aca="false">IF(B667="","",IFERROR(B667/INDEX($B$2:$B$800,MATCH(DATE(YEAR(A667)-1,MONTH(A667),1),$A$2:$A$800,0))-1,""))</f>
        <v/>
      </c>
    </row>
    <row r="668" customFormat="false" ht="15" hidden="false" customHeight="false" outlineLevel="0" collapsed="false">
      <c r="A668" s="124"/>
      <c r="B668" s="125"/>
      <c r="C668" s="122" t="str">
        <f aca="false">IF(OR(B668="",B667=""),"",B668/B667-1)</f>
        <v/>
      </c>
      <c r="D668" s="122" t="str">
        <f aca="false">IF(B668="","",IFERROR(B668/INDEX($B$2:$B$800,MATCH(DATE(YEAR(A668)-1,12,1),$A$2:$A$800,0))-1,""))</f>
        <v/>
      </c>
      <c r="E668" s="122" t="str">
        <f aca="false">IF(B668="","",IFERROR(B668/INDEX($B$2:$B$800,MATCH(DATE(YEAR(A668)-1,MONTH(A668),1),$A$2:$A$800,0))-1,""))</f>
        <v/>
      </c>
    </row>
    <row r="669" customFormat="false" ht="15" hidden="false" customHeight="false" outlineLevel="0" collapsed="false">
      <c r="A669" s="124"/>
      <c r="B669" s="125"/>
      <c r="C669" s="122" t="str">
        <f aca="false">IF(OR(B669="",B668=""),"",B669/B668-1)</f>
        <v/>
      </c>
      <c r="D669" s="122" t="str">
        <f aca="false">IF(B669="","",IFERROR(B669/INDEX($B$2:$B$800,MATCH(DATE(YEAR(A669)-1,12,1),$A$2:$A$800,0))-1,""))</f>
        <v/>
      </c>
      <c r="E669" s="122" t="str">
        <f aca="false">IF(B669="","",IFERROR(B669/INDEX($B$2:$B$800,MATCH(DATE(YEAR(A669)-1,MONTH(A669),1),$A$2:$A$800,0))-1,""))</f>
        <v/>
      </c>
    </row>
    <row r="670" customFormat="false" ht="15" hidden="false" customHeight="false" outlineLevel="0" collapsed="false">
      <c r="A670" s="124"/>
      <c r="B670" s="125"/>
      <c r="C670" s="122" t="str">
        <f aca="false">IF(OR(B670="",B669=""),"",B670/B669-1)</f>
        <v/>
      </c>
      <c r="D670" s="122" t="str">
        <f aca="false">IF(B670="","",IFERROR(B670/INDEX($B$2:$B$800,MATCH(DATE(YEAR(A670)-1,12,1),$A$2:$A$800,0))-1,""))</f>
        <v/>
      </c>
      <c r="E670" s="122" t="str">
        <f aca="false">IF(B670="","",IFERROR(B670/INDEX($B$2:$B$800,MATCH(DATE(YEAR(A670)-1,MONTH(A670),1),$A$2:$A$800,0))-1,""))</f>
        <v/>
      </c>
    </row>
    <row r="671" customFormat="false" ht="15" hidden="false" customHeight="false" outlineLevel="0" collapsed="false">
      <c r="A671" s="124"/>
      <c r="B671" s="125"/>
      <c r="C671" s="122" t="str">
        <f aca="false">IF(OR(B671="",B670=""),"",B671/B670-1)</f>
        <v/>
      </c>
      <c r="D671" s="122" t="str">
        <f aca="false">IF(B671="","",IFERROR(B671/INDEX($B$2:$B$800,MATCH(DATE(YEAR(A671)-1,12,1),$A$2:$A$800,0))-1,""))</f>
        <v/>
      </c>
      <c r="E671" s="122" t="str">
        <f aca="false">IF(B671="","",IFERROR(B671/INDEX($B$2:$B$800,MATCH(DATE(YEAR(A671)-1,MONTH(A671),1),$A$2:$A$800,0))-1,""))</f>
        <v/>
      </c>
    </row>
    <row r="672" customFormat="false" ht="15" hidden="false" customHeight="false" outlineLevel="0" collapsed="false">
      <c r="A672" s="124"/>
      <c r="B672" s="125"/>
      <c r="C672" s="122" t="str">
        <f aca="false">IF(OR(B672="",B671=""),"",B672/B671-1)</f>
        <v/>
      </c>
      <c r="D672" s="122" t="str">
        <f aca="false">IF(B672="","",IFERROR(B672/INDEX($B$2:$B$800,MATCH(DATE(YEAR(A672)-1,12,1),$A$2:$A$800,0))-1,""))</f>
        <v/>
      </c>
      <c r="E672" s="122" t="str">
        <f aca="false">IF(B672="","",IFERROR(B672/INDEX($B$2:$B$800,MATCH(DATE(YEAR(A672)-1,MONTH(A672),1),$A$2:$A$800,0))-1,""))</f>
        <v/>
      </c>
    </row>
    <row r="673" customFormat="false" ht="15" hidden="false" customHeight="false" outlineLevel="0" collapsed="false">
      <c r="A673" s="124"/>
      <c r="B673" s="125"/>
      <c r="C673" s="122" t="str">
        <f aca="false">IF(OR(B673="",B672=""),"",B673/B672-1)</f>
        <v/>
      </c>
      <c r="D673" s="122" t="str">
        <f aca="false">IF(B673="","",IFERROR(B673/INDEX($B$2:$B$800,MATCH(DATE(YEAR(A673)-1,12,1),$A$2:$A$800,0))-1,""))</f>
        <v/>
      </c>
      <c r="E673" s="122" t="str">
        <f aca="false">IF(B673="","",IFERROR(B673/INDEX($B$2:$B$800,MATCH(DATE(YEAR(A673)-1,MONTH(A673),1),$A$2:$A$800,0))-1,""))</f>
        <v/>
      </c>
    </row>
    <row r="674" customFormat="false" ht="15" hidden="false" customHeight="false" outlineLevel="0" collapsed="false">
      <c r="A674" s="124"/>
      <c r="B674" s="125"/>
      <c r="C674" s="122" t="str">
        <f aca="false">IF(OR(B674="",B673=""),"",B674/B673-1)</f>
        <v/>
      </c>
      <c r="D674" s="122" t="str">
        <f aca="false">IF(B674="","",IFERROR(B674/INDEX($B$2:$B$800,MATCH(DATE(YEAR(A674)-1,12,1),$A$2:$A$800,0))-1,""))</f>
        <v/>
      </c>
      <c r="E674" s="122" t="str">
        <f aca="false">IF(B674="","",IFERROR(B674/INDEX($B$2:$B$800,MATCH(DATE(YEAR(A674)-1,MONTH(A674),1),$A$2:$A$800,0))-1,""))</f>
        <v/>
      </c>
    </row>
    <row r="675" customFormat="false" ht="15" hidden="false" customHeight="false" outlineLevel="0" collapsed="false">
      <c r="A675" s="124"/>
      <c r="B675" s="125"/>
      <c r="C675" s="122" t="str">
        <f aca="false">IF(OR(B675="",B674=""),"",B675/B674-1)</f>
        <v/>
      </c>
      <c r="D675" s="122" t="str">
        <f aca="false">IF(B675="","",IFERROR(B675/INDEX($B$2:$B$800,MATCH(DATE(YEAR(A675)-1,12,1),$A$2:$A$800,0))-1,""))</f>
        <v/>
      </c>
      <c r="E675" s="122" t="str">
        <f aca="false">IF(B675="","",IFERROR(B675/INDEX($B$2:$B$800,MATCH(DATE(YEAR(A675)-1,MONTH(A675),1),$A$2:$A$800,0))-1,""))</f>
        <v/>
      </c>
    </row>
    <row r="676" customFormat="false" ht="15" hidden="false" customHeight="false" outlineLevel="0" collapsed="false">
      <c r="A676" s="124"/>
      <c r="B676" s="125"/>
      <c r="C676" s="122" t="str">
        <f aca="false">IF(OR(B676="",B675=""),"",B676/B675-1)</f>
        <v/>
      </c>
      <c r="D676" s="122" t="str">
        <f aca="false">IF(B676="","",IFERROR(B676/INDEX($B$2:$B$800,MATCH(DATE(YEAR(A676)-1,12,1),$A$2:$A$800,0))-1,""))</f>
        <v/>
      </c>
      <c r="E676" s="122" t="str">
        <f aca="false">IF(B676="","",IFERROR(B676/INDEX($B$2:$B$800,MATCH(DATE(YEAR(A676)-1,MONTH(A676),1),$A$2:$A$800,0))-1,""))</f>
        <v/>
      </c>
    </row>
    <row r="677" customFormat="false" ht="15" hidden="false" customHeight="false" outlineLevel="0" collapsed="false">
      <c r="A677" s="124"/>
      <c r="B677" s="125"/>
      <c r="C677" s="122" t="str">
        <f aca="false">IF(OR(B677="",B676=""),"",B677/B676-1)</f>
        <v/>
      </c>
      <c r="D677" s="122" t="str">
        <f aca="false">IF(B677="","",IFERROR(B677/INDEX($B$2:$B$800,MATCH(DATE(YEAR(A677)-1,12,1),$A$2:$A$800,0))-1,""))</f>
        <v/>
      </c>
      <c r="E677" s="122" t="str">
        <f aca="false">IF(B677="","",IFERROR(B677/INDEX($B$2:$B$800,MATCH(DATE(YEAR(A677)-1,MONTH(A677),1),$A$2:$A$800,0))-1,""))</f>
        <v/>
      </c>
    </row>
    <row r="678" customFormat="false" ht="15" hidden="false" customHeight="false" outlineLevel="0" collapsed="false">
      <c r="A678" s="124"/>
      <c r="B678" s="125"/>
      <c r="C678" s="122" t="str">
        <f aca="false">IF(OR(B678="",B677=""),"",B678/B677-1)</f>
        <v/>
      </c>
      <c r="D678" s="122" t="str">
        <f aca="false">IF(B678="","",IFERROR(B678/INDEX($B$2:$B$800,MATCH(DATE(YEAR(A678)-1,12,1),$A$2:$A$800,0))-1,""))</f>
        <v/>
      </c>
      <c r="E678" s="122" t="str">
        <f aca="false">IF(B678="","",IFERROR(B678/INDEX($B$2:$B$800,MATCH(DATE(YEAR(A678)-1,MONTH(A678),1),$A$2:$A$800,0))-1,""))</f>
        <v/>
      </c>
    </row>
    <row r="679" customFormat="false" ht="15" hidden="false" customHeight="false" outlineLevel="0" collapsed="false">
      <c r="A679" s="124"/>
      <c r="B679" s="125"/>
      <c r="C679" s="122" t="str">
        <f aca="false">IF(OR(B679="",B678=""),"",B679/B678-1)</f>
        <v/>
      </c>
      <c r="D679" s="122" t="str">
        <f aca="false">IF(B679="","",IFERROR(B679/INDEX($B$2:$B$800,MATCH(DATE(YEAR(A679)-1,12,1),$A$2:$A$800,0))-1,""))</f>
        <v/>
      </c>
      <c r="E679" s="122" t="str">
        <f aca="false">IF(B679="","",IFERROR(B679/INDEX($B$2:$B$800,MATCH(DATE(YEAR(A679)-1,MONTH(A679),1),$A$2:$A$800,0))-1,""))</f>
        <v/>
      </c>
    </row>
    <row r="680" customFormat="false" ht="15" hidden="false" customHeight="false" outlineLevel="0" collapsed="false">
      <c r="A680" s="124"/>
      <c r="B680" s="125"/>
      <c r="C680" s="122" t="str">
        <f aca="false">IF(OR(B680="",B679=""),"",B680/B679-1)</f>
        <v/>
      </c>
      <c r="D680" s="122" t="str">
        <f aca="false">IF(B680="","",IFERROR(B680/INDEX($B$2:$B$800,MATCH(DATE(YEAR(A680)-1,12,1),$A$2:$A$800,0))-1,""))</f>
        <v/>
      </c>
      <c r="E680" s="122" t="str">
        <f aca="false">IF(B680="","",IFERROR(B680/INDEX($B$2:$B$800,MATCH(DATE(YEAR(A680)-1,MONTH(A680),1),$A$2:$A$800,0))-1,""))</f>
        <v/>
      </c>
    </row>
    <row r="681" customFormat="false" ht="15" hidden="false" customHeight="false" outlineLevel="0" collapsed="false">
      <c r="A681" s="124"/>
      <c r="B681" s="125"/>
      <c r="C681" s="122" t="str">
        <f aca="false">IF(OR(B681="",B680=""),"",B681/B680-1)</f>
        <v/>
      </c>
      <c r="D681" s="122" t="str">
        <f aca="false">IF(B681="","",IFERROR(B681/INDEX($B$2:$B$800,MATCH(DATE(YEAR(A681)-1,12,1),$A$2:$A$800,0))-1,""))</f>
        <v/>
      </c>
      <c r="E681" s="122" t="str">
        <f aca="false">IF(B681="","",IFERROR(B681/INDEX($B$2:$B$800,MATCH(DATE(YEAR(A681)-1,MONTH(A681),1),$A$2:$A$800,0))-1,""))</f>
        <v/>
      </c>
    </row>
    <row r="682" customFormat="false" ht="15" hidden="false" customHeight="false" outlineLevel="0" collapsed="false">
      <c r="A682" s="124"/>
      <c r="B682" s="125"/>
      <c r="C682" s="122" t="str">
        <f aca="false">IF(OR(B682="",B681=""),"",B682/B681-1)</f>
        <v/>
      </c>
      <c r="D682" s="122" t="str">
        <f aca="false">IF(B682="","",IFERROR(B682/INDEX($B$2:$B$800,MATCH(DATE(YEAR(A682)-1,12,1),$A$2:$A$800,0))-1,""))</f>
        <v/>
      </c>
      <c r="E682" s="122" t="str">
        <f aca="false">IF(B682="","",IFERROR(B682/INDEX($B$2:$B$800,MATCH(DATE(YEAR(A682)-1,MONTH(A682),1),$A$2:$A$800,0))-1,""))</f>
        <v/>
      </c>
    </row>
    <row r="683" customFormat="false" ht="15" hidden="false" customHeight="false" outlineLevel="0" collapsed="false">
      <c r="A683" s="124"/>
      <c r="B683" s="125"/>
      <c r="C683" s="122" t="str">
        <f aca="false">IF(OR(B683="",B682=""),"",B683/B682-1)</f>
        <v/>
      </c>
      <c r="D683" s="122" t="str">
        <f aca="false">IF(B683="","",IFERROR(B683/INDEX($B$2:$B$800,MATCH(DATE(YEAR(A683)-1,12,1),$A$2:$A$800,0))-1,""))</f>
        <v/>
      </c>
      <c r="E683" s="122" t="str">
        <f aca="false">IF(B683="","",IFERROR(B683/INDEX($B$2:$B$800,MATCH(DATE(YEAR(A683)-1,MONTH(A683),1),$A$2:$A$800,0))-1,""))</f>
        <v/>
      </c>
    </row>
    <row r="684" customFormat="false" ht="15" hidden="false" customHeight="false" outlineLevel="0" collapsed="false">
      <c r="A684" s="124"/>
      <c r="B684" s="125"/>
      <c r="C684" s="122" t="str">
        <f aca="false">IF(OR(B684="",B683=""),"",B684/B683-1)</f>
        <v/>
      </c>
      <c r="D684" s="122" t="str">
        <f aca="false">IF(B684="","",IFERROR(B684/INDEX($B$2:$B$800,MATCH(DATE(YEAR(A684)-1,12,1),$A$2:$A$800,0))-1,""))</f>
        <v/>
      </c>
      <c r="E684" s="122" t="str">
        <f aca="false">IF(B684="","",IFERROR(B684/INDEX($B$2:$B$800,MATCH(DATE(YEAR(A684)-1,MONTH(A684),1),$A$2:$A$800,0))-1,""))</f>
        <v/>
      </c>
    </row>
    <row r="685" customFormat="false" ht="15" hidden="false" customHeight="false" outlineLevel="0" collapsed="false">
      <c r="A685" s="124"/>
      <c r="B685" s="125"/>
      <c r="C685" s="122" t="str">
        <f aca="false">IF(OR(B685="",B684=""),"",B685/B684-1)</f>
        <v/>
      </c>
      <c r="D685" s="122" t="str">
        <f aca="false">IF(B685="","",IFERROR(B685/INDEX($B$2:$B$800,MATCH(DATE(YEAR(A685)-1,12,1),$A$2:$A$800,0))-1,""))</f>
        <v/>
      </c>
      <c r="E685" s="122" t="str">
        <f aca="false">IF(B685="","",IFERROR(B685/INDEX($B$2:$B$800,MATCH(DATE(YEAR(A685)-1,MONTH(A685),1),$A$2:$A$800,0))-1,""))</f>
        <v/>
      </c>
    </row>
    <row r="686" customFormat="false" ht="15" hidden="false" customHeight="false" outlineLevel="0" collapsed="false">
      <c r="A686" s="124"/>
      <c r="B686" s="125"/>
      <c r="C686" s="122" t="str">
        <f aca="false">IF(OR(B686="",B685=""),"",B686/B685-1)</f>
        <v/>
      </c>
      <c r="D686" s="122" t="str">
        <f aca="false">IF(B686="","",IFERROR(B686/INDEX($B$2:$B$800,MATCH(DATE(YEAR(A686)-1,12,1),$A$2:$A$800,0))-1,""))</f>
        <v/>
      </c>
      <c r="E686" s="122" t="str">
        <f aca="false">IF(B686="","",IFERROR(B686/INDEX($B$2:$B$800,MATCH(DATE(YEAR(A686)-1,MONTH(A686),1),$A$2:$A$800,0))-1,""))</f>
        <v/>
      </c>
    </row>
    <row r="687" customFormat="false" ht="15" hidden="false" customHeight="false" outlineLevel="0" collapsed="false">
      <c r="A687" s="124"/>
      <c r="B687" s="125"/>
      <c r="C687" s="122" t="str">
        <f aca="false">IF(OR(B687="",B686=""),"",B687/B686-1)</f>
        <v/>
      </c>
      <c r="D687" s="122" t="str">
        <f aca="false">IF(B687="","",IFERROR(B687/INDEX($B$2:$B$800,MATCH(DATE(YEAR(A687)-1,12,1),$A$2:$A$800,0))-1,""))</f>
        <v/>
      </c>
      <c r="E687" s="122" t="str">
        <f aca="false">IF(B687="","",IFERROR(B687/INDEX($B$2:$B$800,MATCH(DATE(YEAR(A687)-1,MONTH(A687),1),$A$2:$A$800,0))-1,""))</f>
        <v/>
      </c>
    </row>
    <row r="688" customFormat="false" ht="15" hidden="false" customHeight="false" outlineLevel="0" collapsed="false">
      <c r="A688" s="124"/>
      <c r="B688" s="125"/>
      <c r="C688" s="122" t="str">
        <f aca="false">IF(OR(B688="",B687=""),"",B688/B687-1)</f>
        <v/>
      </c>
      <c r="D688" s="122" t="str">
        <f aca="false">IF(B688="","",IFERROR(B688/INDEX($B$2:$B$800,MATCH(DATE(YEAR(A688)-1,12,1),$A$2:$A$800,0))-1,""))</f>
        <v/>
      </c>
      <c r="E688" s="122" t="str">
        <f aca="false">IF(B688="","",IFERROR(B688/INDEX($B$2:$B$800,MATCH(DATE(YEAR(A688)-1,MONTH(A688),1),$A$2:$A$800,0))-1,""))</f>
        <v/>
      </c>
    </row>
    <row r="689" customFormat="false" ht="15" hidden="false" customHeight="false" outlineLevel="0" collapsed="false">
      <c r="A689" s="124"/>
      <c r="B689" s="125"/>
      <c r="C689" s="122" t="str">
        <f aca="false">IF(OR(B689="",B688=""),"",B689/B688-1)</f>
        <v/>
      </c>
      <c r="D689" s="122" t="str">
        <f aca="false">IF(B689="","",IFERROR(B689/INDEX($B$2:$B$800,MATCH(DATE(YEAR(A689)-1,12,1),$A$2:$A$800,0))-1,""))</f>
        <v/>
      </c>
      <c r="E689" s="122" t="str">
        <f aca="false">IF(B689="","",IFERROR(B689/INDEX($B$2:$B$800,MATCH(DATE(YEAR(A689)-1,MONTH(A689),1),$A$2:$A$800,0))-1,""))</f>
        <v/>
      </c>
    </row>
    <row r="690" customFormat="false" ht="15" hidden="false" customHeight="false" outlineLevel="0" collapsed="false">
      <c r="A690" s="124"/>
      <c r="B690" s="125"/>
      <c r="C690" s="122" t="str">
        <f aca="false">IF(OR(B690="",B689=""),"",B690/B689-1)</f>
        <v/>
      </c>
      <c r="D690" s="122" t="str">
        <f aca="false">IF(B690="","",IFERROR(B690/INDEX($B$2:$B$800,MATCH(DATE(YEAR(A690)-1,12,1),$A$2:$A$800,0))-1,""))</f>
        <v/>
      </c>
      <c r="E690" s="122" t="str">
        <f aca="false">IF(B690="","",IFERROR(B690/INDEX($B$2:$B$800,MATCH(DATE(YEAR(A690)-1,MONTH(A690),1),$A$2:$A$800,0))-1,""))</f>
        <v/>
      </c>
    </row>
    <row r="691" customFormat="false" ht="15" hidden="false" customHeight="false" outlineLevel="0" collapsed="false">
      <c r="A691" s="124"/>
      <c r="B691" s="125"/>
      <c r="C691" s="122" t="str">
        <f aca="false">IF(OR(B691="",B690=""),"",B691/B690-1)</f>
        <v/>
      </c>
      <c r="D691" s="122" t="str">
        <f aca="false">IF(B691="","",IFERROR(B691/INDEX($B$2:$B$800,MATCH(DATE(YEAR(A691)-1,12,1),$A$2:$A$800,0))-1,""))</f>
        <v/>
      </c>
      <c r="E691" s="122" t="str">
        <f aca="false">IF(B691="","",IFERROR(B691/INDEX($B$2:$B$800,MATCH(DATE(YEAR(A691)-1,MONTH(A691),1),$A$2:$A$800,0))-1,""))</f>
        <v/>
      </c>
    </row>
    <row r="692" customFormat="false" ht="15" hidden="false" customHeight="false" outlineLevel="0" collapsed="false">
      <c r="A692" s="124"/>
      <c r="B692" s="125"/>
      <c r="C692" s="122" t="str">
        <f aca="false">IF(OR(B692="",B691=""),"",B692/B691-1)</f>
        <v/>
      </c>
      <c r="D692" s="122" t="str">
        <f aca="false">IF(B692="","",IFERROR(B692/INDEX($B$2:$B$800,MATCH(DATE(YEAR(A692)-1,12,1),$A$2:$A$800,0))-1,""))</f>
        <v/>
      </c>
      <c r="E692" s="122" t="str">
        <f aca="false">IF(B692="","",IFERROR(B692/INDEX($B$2:$B$800,MATCH(DATE(YEAR(A692)-1,MONTH(A692),1),$A$2:$A$800,0))-1,""))</f>
        <v/>
      </c>
    </row>
    <row r="693" customFormat="false" ht="15" hidden="false" customHeight="false" outlineLevel="0" collapsed="false">
      <c r="A693" s="124"/>
      <c r="B693" s="125"/>
      <c r="C693" s="122" t="str">
        <f aca="false">IF(OR(B693="",B692=""),"",B693/B692-1)</f>
        <v/>
      </c>
      <c r="D693" s="122" t="str">
        <f aca="false">IF(B693="","",IFERROR(B693/INDEX($B$2:$B$800,MATCH(DATE(YEAR(A693)-1,12,1),$A$2:$A$800,0))-1,""))</f>
        <v/>
      </c>
      <c r="E693" s="122" t="str">
        <f aca="false">IF(B693="","",IFERROR(B693/INDEX($B$2:$B$800,MATCH(DATE(YEAR(A693)-1,MONTH(A693),1),$A$2:$A$800,0))-1,""))</f>
        <v/>
      </c>
    </row>
    <row r="694" customFormat="false" ht="15" hidden="false" customHeight="false" outlineLevel="0" collapsed="false">
      <c r="A694" s="124"/>
      <c r="B694" s="125"/>
      <c r="C694" s="122" t="str">
        <f aca="false">IF(OR(B694="",B693=""),"",B694/B693-1)</f>
        <v/>
      </c>
      <c r="D694" s="122" t="str">
        <f aca="false">IF(B694="","",IFERROR(B694/INDEX($B$2:$B$800,MATCH(DATE(YEAR(A694)-1,12,1),$A$2:$A$800,0))-1,""))</f>
        <v/>
      </c>
      <c r="E694" s="122" t="str">
        <f aca="false">IF(B694="","",IFERROR(B694/INDEX($B$2:$B$800,MATCH(DATE(YEAR(A694)-1,MONTH(A694),1),$A$2:$A$800,0))-1,""))</f>
        <v/>
      </c>
    </row>
    <row r="695" customFormat="false" ht="15" hidden="false" customHeight="false" outlineLevel="0" collapsed="false">
      <c r="A695" s="124"/>
      <c r="B695" s="125"/>
      <c r="C695" s="122" t="str">
        <f aca="false">IF(OR(B695="",B694=""),"",B695/B694-1)</f>
        <v/>
      </c>
      <c r="D695" s="122" t="str">
        <f aca="false">IF(B695="","",IFERROR(B695/INDEX($B$2:$B$800,MATCH(DATE(YEAR(A695)-1,12,1),$A$2:$A$800,0))-1,""))</f>
        <v/>
      </c>
      <c r="E695" s="122" t="str">
        <f aca="false">IF(B695="","",IFERROR(B695/INDEX($B$2:$B$800,MATCH(DATE(YEAR(A695)-1,MONTH(A695),1),$A$2:$A$800,0))-1,""))</f>
        <v/>
      </c>
    </row>
    <row r="696" customFormat="false" ht="15" hidden="false" customHeight="false" outlineLevel="0" collapsed="false">
      <c r="A696" s="124"/>
      <c r="B696" s="125"/>
      <c r="C696" s="122" t="str">
        <f aca="false">IF(OR(B696="",B695=""),"",B696/B695-1)</f>
        <v/>
      </c>
      <c r="D696" s="122" t="str">
        <f aca="false">IF(B696="","",IFERROR(B696/INDEX($B$2:$B$800,MATCH(DATE(YEAR(A696)-1,12,1),$A$2:$A$800,0))-1,""))</f>
        <v/>
      </c>
      <c r="E696" s="122" t="str">
        <f aca="false">IF(B696="","",IFERROR(B696/INDEX($B$2:$B$800,MATCH(DATE(YEAR(A696)-1,MONTH(A696),1),$A$2:$A$800,0))-1,""))</f>
        <v/>
      </c>
    </row>
    <row r="697" customFormat="false" ht="15" hidden="false" customHeight="false" outlineLevel="0" collapsed="false">
      <c r="A697" s="124"/>
      <c r="B697" s="125"/>
      <c r="C697" s="122" t="str">
        <f aca="false">IF(OR(B697="",B696=""),"",B697/B696-1)</f>
        <v/>
      </c>
      <c r="D697" s="122" t="str">
        <f aca="false">IF(B697="","",IFERROR(B697/INDEX($B$2:$B$800,MATCH(DATE(YEAR(A697)-1,12,1),$A$2:$A$800,0))-1,""))</f>
        <v/>
      </c>
      <c r="E697" s="122" t="str">
        <f aca="false">IF(B697="","",IFERROR(B697/INDEX($B$2:$B$800,MATCH(DATE(YEAR(A697)-1,MONTH(A697),1),$A$2:$A$800,0))-1,""))</f>
        <v/>
      </c>
    </row>
    <row r="698" customFormat="false" ht="15" hidden="false" customHeight="false" outlineLevel="0" collapsed="false">
      <c r="A698" s="124"/>
      <c r="B698" s="125"/>
      <c r="C698" s="122" t="str">
        <f aca="false">IF(OR(B698="",B697=""),"",B698/B697-1)</f>
        <v/>
      </c>
      <c r="D698" s="122" t="str">
        <f aca="false">IF(B698="","",IFERROR(B698/INDEX($B$2:$B$800,MATCH(DATE(YEAR(A698)-1,12,1),$A$2:$A$800,0))-1,""))</f>
        <v/>
      </c>
      <c r="E698" s="122" t="str">
        <f aca="false">IF(B698="","",IFERROR(B698/INDEX($B$2:$B$800,MATCH(DATE(YEAR(A698)-1,MONTH(A698),1),$A$2:$A$800,0))-1,""))</f>
        <v/>
      </c>
    </row>
    <row r="699" customFormat="false" ht="15" hidden="false" customHeight="false" outlineLevel="0" collapsed="false">
      <c r="A699" s="124"/>
      <c r="B699" s="125"/>
      <c r="C699" s="122" t="str">
        <f aca="false">IF(OR(B699="",B698=""),"",B699/B698-1)</f>
        <v/>
      </c>
      <c r="D699" s="122" t="str">
        <f aca="false">IF(B699="","",IFERROR(B699/INDEX($B$2:$B$800,MATCH(DATE(YEAR(A699)-1,12,1),$A$2:$A$800,0))-1,""))</f>
        <v/>
      </c>
      <c r="E699" s="122" t="str">
        <f aca="false">IF(B699="","",IFERROR(B699/INDEX($B$2:$B$800,MATCH(DATE(YEAR(A699)-1,MONTH(A699),1),$A$2:$A$800,0))-1,""))</f>
        <v/>
      </c>
    </row>
    <row r="700" customFormat="false" ht="15" hidden="false" customHeight="false" outlineLevel="0" collapsed="false">
      <c r="A700" s="124"/>
      <c r="B700" s="125"/>
      <c r="C700" s="122" t="str">
        <f aca="false">IF(OR(B700="",B699=""),"",B700/B699-1)</f>
        <v/>
      </c>
      <c r="D700" s="122" t="str">
        <f aca="false">IF(B700="","",IFERROR(B700/INDEX($B$2:$B$800,MATCH(DATE(YEAR(A700)-1,12,1),$A$2:$A$800,0))-1,""))</f>
        <v/>
      </c>
      <c r="E700" s="122" t="str">
        <f aca="false">IF(B700="","",IFERROR(B700/INDEX($B$2:$B$800,MATCH(DATE(YEAR(A700)-1,MONTH(A700),1),$A$2:$A$800,0))-1,""))</f>
        <v/>
      </c>
    </row>
    <row r="701" customFormat="false" ht="15" hidden="false" customHeight="false" outlineLevel="0" collapsed="false">
      <c r="A701" s="124"/>
      <c r="B701" s="125"/>
      <c r="C701" s="122" t="str">
        <f aca="false">IF(OR(B701="",B700=""),"",B701/B700-1)</f>
        <v/>
      </c>
      <c r="D701" s="122" t="str">
        <f aca="false">IF(B701="","",IFERROR(B701/INDEX($B$2:$B$800,MATCH(DATE(YEAR(A701)-1,12,1),$A$2:$A$800,0))-1,""))</f>
        <v/>
      </c>
      <c r="E701" s="122" t="str">
        <f aca="false">IF(B701="","",IFERROR(B701/INDEX($B$2:$B$800,MATCH(DATE(YEAR(A701)-1,MONTH(A701),1),$A$2:$A$800,0))-1,""))</f>
        <v/>
      </c>
    </row>
    <row r="702" customFormat="false" ht="15" hidden="false" customHeight="false" outlineLevel="0" collapsed="false">
      <c r="A702" s="124"/>
      <c r="B702" s="125"/>
      <c r="C702" s="122" t="str">
        <f aca="false">IF(OR(B702="",B701=""),"",B702/B701-1)</f>
        <v/>
      </c>
      <c r="D702" s="122" t="str">
        <f aca="false">IF(B702="","",IFERROR(B702/INDEX($B$2:$B$800,MATCH(DATE(YEAR(A702)-1,12,1),$A$2:$A$800,0))-1,""))</f>
        <v/>
      </c>
      <c r="E702" s="122" t="str">
        <f aca="false">IF(B702="","",IFERROR(B702/INDEX($B$2:$B$800,MATCH(DATE(YEAR(A702)-1,MONTH(A702),1),$A$2:$A$800,0))-1,""))</f>
        <v/>
      </c>
    </row>
    <row r="703" customFormat="false" ht="15" hidden="false" customHeight="false" outlineLevel="0" collapsed="false">
      <c r="A703" s="124"/>
      <c r="B703" s="125"/>
      <c r="C703" s="122" t="str">
        <f aca="false">IF(OR(B703="",B702=""),"",B703/B702-1)</f>
        <v/>
      </c>
      <c r="D703" s="122" t="str">
        <f aca="false">IF(B703="","",IFERROR(B703/INDEX($B$2:$B$800,MATCH(DATE(YEAR(A703)-1,12,1),$A$2:$A$800,0))-1,""))</f>
        <v/>
      </c>
      <c r="E703" s="122" t="str">
        <f aca="false">IF(B703="","",IFERROR(B703/INDEX($B$2:$B$800,MATCH(DATE(YEAR(A703)-1,MONTH(A703),1),$A$2:$A$800,0))-1,""))</f>
        <v/>
      </c>
    </row>
    <row r="704" customFormat="false" ht="15" hidden="false" customHeight="false" outlineLevel="0" collapsed="false">
      <c r="A704" s="124"/>
      <c r="B704" s="125"/>
      <c r="C704" s="122" t="str">
        <f aca="false">IF(OR(B704="",B703=""),"",B704/B703-1)</f>
        <v/>
      </c>
      <c r="D704" s="122" t="str">
        <f aca="false">IF(B704="","",IFERROR(B704/INDEX($B$2:$B$800,MATCH(DATE(YEAR(A704)-1,12,1),$A$2:$A$800,0))-1,""))</f>
        <v/>
      </c>
      <c r="E704" s="122" t="str">
        <f aca="false">IF(B704="","",IFERROR(B704/INDEX($B$2:$B$800,MATCH(DATE(YEAR(A704)-1,MONTH(A704),1),$A$2:$A$800,0))-1,""))</f>
        <v/>
      </c>
    </row>
    <row r="705" customFormat="false" ht="15" hidden="false" customHeight="false" outlineLevel="0" collapsed="false">
      <c r="A705" s="124"/>
      <c r="B705" s="125"/>
      <c r="C705" s="122" t="str">
        <f aca="false">IF(OR(B705="",B704=""),"",B705/B704-1)</f>
        <v/>
      </c>
      <c r="D705" s="122" t="str">
        <f aca="false">IF(B705="","",IFERROR(B705/INDEX($B$2:$B$800,MATCH(DATE(YEAR(A705)-1,12,1),$A$2:$A$800,0))-1,""))</f>
        <v/>
      </c>
      <c r="E705" s="122" t="str">
        <f aca="false">IF(B705="","",IFERROR(B705/INDEX($B$2:$B$800,MATCH(DATE(YEAR(A705)-1,MONTH(A705),1),$A$2:$A$800,0))-1,""))</f>
        <v/>
      </c>
    </row>
    <row r="706" customFormat="false" ht="15" hidden="false" customHeight="false" outlineLevel="0" collapsed="false">
      <c r="A706" s="124"/>
      <c r="B706" s="125"/>
      <c r="C706" s="122" t="str">
        <f aca="false">IF(OR(B706="",B705=""),"",B706/B705-1)</f>
        <v/>
      </c>
      <c r="D706" s="122" t="str">
        <f aca="false">IF(B706="","",IFERROR(B706/INDEX($B$2:$B$800,MATCH(DATE(YEAR(A706)-1,12,1),$A$2:$A$800,0))-1,""))</f>
        <v/>
      </c>
      <c r="E706" s="122" t="str">
        <f aca="false">IF(B706="","",IFERROR(B706/INDEX($B$2:$B$800,MATCH(DATE(YEAR(A706)-1,MONTH(A706),1),$A$2:$A$800,0))-1,""))</f>
        <v/>
      </c>
    </row>
    <row r="707" customFormat="false" ht="15" hidden="false" customHeight="false" outlineLevel="0" collapsed="false">
      <c r="A707" s="124"/>
      <c r="B707" s="125"/>
      <c r="C707" s="122" t="str">
        <f aca="false">IF(OR(B707="",B706=""),"",B707/B706-1)</f>
        <v/>
      </c>
      <c r="D707" s="122" t="str">
        <f aca="false">IF(B707="","",IFERROR(B707/INDEX($B$2:$B$800,MATCH(DATE(YEAR(A707)-1,12,1),$A$2:$A$800,0))-1,""))</f>
        <v/>
      </c>
      <c r="E707" s="122" t="str">
        <f aca="false">IF(B707="","",IFERROR(B707/INDEX($B$2:$B$800,MATCH(DATE(YEAR(A707)-1,MONTH(A707),1),$A$2:$A$800,0))-1,""))</f>
        <v/>
      </c>
    </row>
    <row r="708" customFormat="false" ht="15" hidden="false" customHeight="false" outlineLevel="0" collapsed="false">
      <c r="A708" s="124"/>
      <c r="B708" s="125"/>
      <c r="C708" s="122" t="str">
        <f aca="false">IF(OR(B708="",B707=""),"",B708/B707-1)</f>
        <v/>
      </c>
      <c r="D708" s="122" t="str">
        <f aca="false">IF(B708="","",IFERROR(B708/INDEX($B$2:$B$800,MATCH(DATE(YEAR(A708)-1,12,1),$A$2:$A$800,0))-1,""))</f>
        <v/>
      </c>
      <c r="E708" s="122" t="str">
        <f aca="false">IF(B708="","",IFERROR(B708/INDEX($B$2:$B$800,MATCH(DATE(YEAR(A708)-1,MONTH(A708),1),$A$2:$A$800,0))-1,""))</f>
        <v/>
      </c>
    </row>
    <row r="709" customFormat="false" ht="15" hidden="false" customHeight="false" outlineLevel="0" collapsed="false">
      <c r="A709" s="124"/>
      <c r="B709" s="125"/>
      <c r="C709" s="122" t="str">
        <f aca="false">IF(OR(B709="",B708=""),"",B709/B708-1)</f>
        <v/>
      </c>
      <c r="D709" s="122" t="str">
        <f aca="false">IF(B709="","",IFERROR(B709/INDEX($B$2:$B$800,MATCH(DATE(YEAR(A709)-1,12,1),$A$2:$A$800,0))-1,""))</f>
        <v/>
      </c>
      <c r="E709" s="122" t="str">
        <f aca="false">IF(B709="","",IFERROR(B709/INDEX($B$2:$B$800,MATCH(DATE(YEAR(A709)-1,MONTH(A709),1),$A$2:$A$800,0))-1,""))</f>
        <v/>
      </c>
    </row>
    <row r="710" customFormat="false" ht="15" hidden="false" customHeight="false" outlineLevel="0" collapsed="false">
      <c r="A710" s="124"/>
      <c r="B710" s="125"/>
      <c r="C710" s="122" t="str">
        <f aca="false">IF(OR(B710="",B709=""),"",B710/B709-1)</f>
        <v/>
      </c>
      <c r="D710" s="122" t="str">
        <f aca="false">IF(B710="","",IFERROR(B710/INDEX($B$2:$B$800,MATCH(DATE(YEAR(A710)-1,12,1),$A$2:$A$800,0))-1,""))</f>
        <v/>
      </c>
      <c r="E710" s="122" t="str">
        <f aca="false">IF(B710="","",IFERROR(B710/INDEX($B$2:$B$800,MATCH(DATE(YEAR(A710)-1,MONTH(A710),1),$A$2:$A$800,0))-1,""))</f>
        <v/>
      </c>
    </row>
    <row r="711" customFormat="false" ht="15" hidden="false" customHeight="false" outlineLevel="0" collapsed="false">
      <c r="A711" s="124"/>
      <c r="B711" s="125"/>
      <c r="C711" s="122" t="str">
        <f aca="false">IF(OR(B711="",B710=""),"",B711/B710-1)</f>
        <v/>
      </c>
      <c r="D711" s="122" t="str">
        <f aca="false">IF(B711="","",IFERROR(B711/INDEX($B$2:$B$800,MATCH(DATE(YEAR(A711)-1,12,1),$A$2:$A$800,0))-1,""))</f>
        <v/>
      </c>
      <c r="E711" s="122" t="str">
        <f aca="false">IF(B711="","",IFERROR(B711/INDEX($B$2:$B$800,MATCH(DATE(YEAR(A711)-1,MONTH(A711),1),$A$2:$A$800,0))-1,""))</f>
        <v/>
      </c>
    </row>
    <row r="712" customFormat="false" ht="15" hidden="false" customHeight="false" outlineLevel="0" collapsed="false">
      <c r="A712" s="124"/>
      <c r="B712" s="125"/>
      <c r="C712" s="122" t="str">
        <f aca="false">IF(OR(B712="",B711=""),"",B712/B711-1)</f>
        <v/>
      </c>
      <c r="D712" s="122" t="str">
        <f aca="false">IF(B712="","",IFERROR(B712/INDEX($B$2:$B$800,MATCH(DATE(YEAR(A712)-1,12,1),$A$2:$A$800,0))-1,""))</f>
        <v/>
      </c>
      <c r="E712" s="122" t="str">
        <f aca="false">IF(B712="","",IFERROR(B712/INDEX($B$2:$B$800,MATCH(DATE(YEAR(A712)-1,MONTH(A712),1),$A$2:$A$800,0))-1,""))</f>
        <v/>
      </c>
    </row>
    <row r="713" customFormat="false" ht="15" hidden="false" customHeight="false" outlineLevel="0" collapsed="false">
      <c r="A713" s="124"/>
      <c r="B713" s="125"/>
      <c r="C713" s="122" t="str">
        <f aca="false">IF(OR(B713="",B712=""),"",B713/B712-1)</f>
        <v/>
      </c>
      <c r="D713" s="122" t="str">
        <f aca="false">IF(B713="","",IFERROR(B713/INDEX($B$2:$B$800,MATCH(DATE(YEAR(A713)-1,12,1),$A$2:$A$800,0))-1,""))</f>
        <v/>
      </c>
      <c r="E713" s="122" t="str">
        <f aca="false">IF(B713="","",IFERROR(B713/INDEX($B$2:$B$800,MATCH(DATE(YEAR(A713)-1,MONTH(A713),1),$A$2:$A$800,0))-1,""))</f>
        <v/>
      </c>
    </row>
    <row r="714" customFormat="false" ht="15" hidden="false" customHeight="false" outlineLevel="0" collapsed="false">
      <c r="A714" s="124"/>
      <c r="B714" s="125"/>
      <c r="C714" s="122" t="str">
        <f aca="false">IF(OR(B714="",B713=""),"",B714/B713-1)</f>
        <v/>
      </c>
      <c r="D714" s="122" t="str">
        <f aca="false">IF(B714="","",IFERROR(B714/INDEX($B$2:$B$800,MATCH(DATE(YEAR(A714)-1,12,1),$A$2:$A$800,0))-1,""))</f>
        <v/>
      </c>
      <c r="E714" s="122" t="str">
        <f aca="false">IF(B714="","",IFERROR(B714/INDEX($B$2:$B$800,MATCH(DATE(YEAR(A714)-1,MONTH(A714),1),$A$2:$A$800,0))-1,""))</f>
        <v/>
      </c>
    </row>
    <row r="715" customFormat="false" ht="15" hidden="false" customHeight="false" outlineLevel="0" collapsed="false">
      <c r="A715" s="124"/>
      <c r="B715" s="125"/>
      <c r="C715" s="122" t="str">
        <f aca="false">IF(OR(B715="",B714=""),"",B715/B714-1)</f>
        <v/>
      </c>
      <c r="D715" s="122" t="str">
        <f aca="false">IF(B715="","",IFERROR(B715/INDEX($B$2:$B$800,MATCH(DATE(YEAR(A715)-1,12,1),$A$2:$A$800,0))-1,""))</f>
        <v/>
      </c>
      <c r="E715" s="122" t="str">
        <f aca="false">IF(B715="","",IFERROR(B715/INDEX($B$2:$B$800,MATCH(DATE(YEAR(A715)-1,MONTH(A715),1),$A$2:$A$800,0))-1,""))</f>
        <v/>
      </c>
    </row>
    <row r="716" customFormat="false" ht="15" hidden="false" customHeight="false" outlineLevel="0" collapsed="false">
      <c r="A716" s="124"/>
      <c r="B716" s="125"/>
      <c r="C716" s="122" t="str">
        <f aca="false">IF(OR(B716="",B715=""),"",B716/B715-1)</f>
        <v/>
      </c>
      <c r="D716" s="122" t="str">
        <f aca="false">IF(B716="","",IFERROR(B716/INDEX($B$2:$B$800,MATCH(DATE(YEAR(A716)-1,12,1),$A$2:$A$800,0))-1,""))</f>
        <v/>
      </c>
      <c r="E716" s="122" t="str">
        <f aca="false">IF(B716="","",IFERROR(B716/INDEX($B$2:$B$800,MATCH(DATE(YEAR(A716)-1,MONTH(A716),1),$A$2:$A$800,0))-1,""))</f>
        <v/>
      </c>
    </row>
    <row r="717" customFormat="false" ht="15" hidden="false" customHeight="false" outlineLevel="0" collapsed="false">
      <c r="A717" s="124"/>
      <c r="B717" s="125"/>
      <c r="C717" s="122" t="str">
        <f aca="false">IF(OR(B717="",B716=""),"",B717/B716-1)</f>
        <v/>
      </c>
      <c r="D717" s="122" t="str">
        <f aca="false">IF(B717="","",IFERROR(B717/INDEX($B$2:$B$800,MATCH(DATE(YEAR(A717)-1,12,1),$A$2:$A$800,0))-1,""))</f>
        <v/>
      </c>
      <c r="E717" s="122" t="str">
        <f aca="false">IF(B717="","",IFERROR(B717/INDEX($B$2:$B$800,MATCH(DATE(YEAR(A717)-1,MONTH(A717),1),$A$2:$A$800,0))-1,""))</f>
        <v/>
      </c>
    </row>
    <row r="718" customFormat="false" ht="15" hidden="false" customHeight="false" outlineLevel="0" collapsed="false">
      <c r="A718" s="124"/>
      <c r="B718" s="125"/>
      <c r="C718" s="122" t="str">
        <f aca="false">IF(OR(B718="",B717=""),"",B718/B717-1)</f>
        <v/>
      </c>
      <c r="D718" s="122" t="str">
        <f aca="false">IF(B718="","",IFERROR(B718/INDEX($B$2:$B$800,MATCH(DATE(YEAR(A718)-1,12,1),$A$2:$A$800,0))-1,""))</f>
        <v/>
      </c>
      <c r="E718" s="122" t="str">
        <f aca="false">IF(B718="","",IFERROR(B718/INDEX($B$2:$B$800,MATCH(DATE(YEAR(A718)-1,MONTH(A718),1),$A$2:$A$800,0))-1,""))</f>
        <v/>
      </c>
    </row>
    <row r="719" customFormat="false" ht="15" hidden="false" customHeight="false" outlineLevel="0" collapsed="false">
      <c r="A719" s="124"/>
      <c r="B719" s="125"/>
      <c r="C719" s="122" t="str">
        <f aca="false">IF(OR(B719="",B718=""),"",B719/B718-1)</f>
        <v/>
      </c>
      <c r="D719" s="122" t="str">
        <f aca="false">IF(B719="","",IFERROR(B719/INDEX($B$2:$B$800,MATCH(DATE(YEAR(A719)-1,12,1),$A$2:$A$800,0))-1,""))</f>
        <v/>
      </c>
      <c r="E719" s="122" t="str">
        <f aca="false">IF(B719="","",IFERROR(B719/INDEX($B$2:$B$800,MATCH(DATE(YEAR(A719)-1,MONTH(A719),1),$A$2:$A$800,0))-1,""))</f>
        <v/>
      </c>
    </row>
    <row r="720" customFormat="false" ht="15" hidden="false" customHeight="false" outlineLevel="0" collapsed="false">
      <c r="A720" s="124"/>
      <c r="B720" s="125"/>
      <c r="C720" s="122" t="str">
        <f aca="false">IF(OR(B720="",B719=""),"",B720/B719-1)</f>
        <v/>
      </c>
      <c r="D720" s="122" t="str">
        <f aca="false">IF(B720="","",IFERROR(B720/INDEX($B$2:$B$800,MATCH(DATE(YEAR(A720)-1,12,1),$A$2:$A$800,0))-1,""))</f>
        <v/>
      </c>
      <c r="E720" s="122" t="str">
        <f aca="false">IF(B720="","",IFERROR(B720/INDEX($B$2:$B$800,MATCH(DATE(YEAR(A720)-1,MONTH(A720),1),$A$2:$A$800,0))-1,""))</f>
        <v/>
      </c>
    </row>
    <row r="721" customFormat="false" ht="15" hidden="false" customHeight="false" outlineLevel="0" collapsed="false">
      <c r="A721" s="124"/>
      <c r="B721" s="125"/>
      <c r="C721" s="122" t="str">
        <f aca="false">IF(OR(B721="",B720=""),"",B721/B720-1)</f>
        <v/>
      </c>
      <c r="D721" s="122" t="str">
        <f aca="false">IF(B721="","",IFERROR(B721/INDEX($B$2:$B$800,MATCH(DATE(YEAR(A721)-1,12,1),$A$2:$A$800,0))-1,""))</f>
        <v/>
      </c>
      <c r="E721" s="122" t="str">
        <f aca="false">IF(B721="","",IFERROR(B721/INDEX($B$2:$B$800,MATCH(DATE(YEAR(A721)-1,MONTH(A721),1),$A$2:$A$800,0))-1,""))</f>
        <v/>
      </c>
    </row>
    <row r="722" customFormat="false" ht="15" hidden="false" customHeight="false" outlineLevel="0" collapsed="false">
      <c r="A722" s="124"/>
      <c r="B722" s="125"/>
      <c r="C722" s="122" t="str">
        <f aca="false">IF(OR(B722="",B721=""),"",B722/B721-1)</f>
        <v/>
      </c>
      <c r="D722" s="122" t="str">
        <f aca="false">IF(B722="","",IFERROR(B722/INDEX($B$2:$B$800,MATCH(DATE(YEAR(A722)-1,12,1),$A$2:$A$800,0))-1,""))</f>
        <v/>
      </c>
      <c r="E722" s="122" t="str">
        <f aca="false">IF(B722="","",IFERROR(B722/INDEX($B$2:$B$800,MATCH(DATE(YEAR(A722)-1,MONTH(A722),1),$A$2:$A$800,0))-1,""))</f>
        <v/>
      </c>
    </row>
    <row r="723" customFormat="false" ht="15" hidden="false" customHeight="false" outlineLevel="0" collapsed="false">
      <c r="A723" s="124"/>
      <c r="B723" s="125"/>
      <c r="C723" s="122" t="str">
        <f aca="false">IF(OR(B723="",B722=""),"",B723/B722-1)</f>
        <v/>
      </c>
      <c r="D723" s="122" t="str">
        <f aca="false">IF(B723="","",IFERROR(B723/INDEX($B$2:$B$800,MATCH(DATE(YEAR(A723)-1,12,1),$A$2:$A$800,0))-1,""))</f>
        <v/>
      </c>
      <c r="E723" s="122" t="str">
        <f aca="false">IF(B723="","",IFERROR(B723/INDEX($B$2:$B$800,MATCH(DATE(YEAR(A723)-1,MONTH(A723),1),$A$2:$A$800,0))-1,""))</f>
        <v/>
      </c>
    </row>
    <row r="724" customFormat="false" ht="15" hidden="false" customHeight="false" outlineLevel="0" collapsed="false">
      <c r="A724" s="124"/>
      <c r="B724" s="125"/>
      <c r="C724" s="122" t="str">
        <f aca="false">IF(OR(B724="",B723=""),"",B724/B723-1)</f>
        <v/>
      </c>
      <c r="D724" s="122" t="str">
        <f aca="false">IF(B724="","",IFERROR(B724/INDEX($B$2:$B$800,MATCH(DATE(YEAR(A724)-1,12,1),$A$2:$A$800,0))-1,""))</f>
        <v/>
      </c>
      <c r="E724" s="122" t="str">
        <f aca="false">IF(B724="","",IFERROR(B724/INDEX($B$2:$B$800,MATCH(DATE(YEAR(A724)-1,MONTH(A724),1),$A$2:$A$800,0))-1,""))</f>
        <v/>
      </c>
    </row>
    <row r="725" customFormat="false" ht="15" hidden="false" customHeight="false" outlineLevel="0" collapsed="false">
      <c r="A725" s="124"/>
      <c r="B725" s="125"/>
      <c r="C725" s="122" t="str">
        <f aca="false">IF(OR(B725="",B724=""),"",B725/B724-1)</f>
        <v/>
      </c>
      <c r="D725" s="122" t="str">
        <f aca="false">IF(B725="","",IFERROR(B725/INDEX($B$2:$B$800,MATCH(DATE(YEAR(A725)-1,12,1),$A$2:$A$800,0))-1,""))</f>
        <v/>
      </c>
      <c r="E725" s="122" t="str">
        <f aca="false">IF(B725="","",IFERROR(B725/INDEX($B$2:$B$800,MATCH(DATE(YEAR(A725)-1,MONTH(A725),1),$A$2:$A$800,0))-1,""))</f>
        <v/>
      </c>
    </row>
    <row r="726" customFormat="false" ht="15" hidden="false" customHeight="false" outlineLevel="0" collapsed="false">
      <c r="A726" s="124"/>
      <c r="B726" s="125"/>
      <c r="C726" s="122" t="str">
        <f aca="false">IF(OR(B726="",B725=""),"",B726/B725-1)</f>
        <v/>
      </c>
      <c r="D726" s="122" t="str">
        <f aca="false">IF(B726="","",IFERROR(B726/INDEX($B$2:$B$800,MATCH(DATE(YEAR(A726)-1,12,1),$A$2:$A$800,0))-1,""))</f>
        <v/>
      </c>
      <c r="E726" s="122" t="str">
        <f aca="false">IF(B726="","",IFERROR(B726/INDEX($B$2:$B$800,MATCH(DATE(YEAR(A726)-1,MONTH(A726),1),$A$2:$A$800,0))-1,""))</f>
        <v/>
      </c>
    </row>
    <row r="727" customFormat="false" ht="15" hidden="false" customHeight="false" outlineLevel="0" collapsed="false">
      <c r="A727" s="124"/>
      <c r="B727" s="125"/>
      <c r="C727" s="122" t="str">
        <f aca="false">IF(OR(B727="",B726=""),"",B727/B726-1)</f>
        <v/>
      </c>
      <c r="D727" s="122" t="str">
        <f aca="false">IF(B727="","",IFERROR(B727/INDEX($B$2:$B$800,MATCH(DATE(YEAR(A727)-1,12,1),$A$2:$A$800,0))-1,""))</f>
        <v/>
      </c>
      <c r="E727" s="122" t="str">
        <f aca="false">IF(B727="","",IFERROR(B727/INDEX($B$2:$B$800,MATCH(DATE(YEAR(A727)-1,MONTH(A727),1),$A$2:$A$800,0))-1,""))</f>
        <v/>
      </c>
    </row>
    <row r="728" customFormat="false" ht="15" hidden="false" customHeight="false" outlineLevel="0" collapsed="false">
      <c r="A728" s="124"/>
      <c r="B728" s="125"/>
      <c r="C728" s="122" t="str">
        <f aca="false">IF(OR(B728="",B727=""),"",B728/B727-1)</f>
        <v/>
      </c>
      <c r="D728" s="122" t="str">
        <f aca="false">IF(B728="","",IFERROR(B728/INDEX($B$2:$B$800,MATCH(DATE(YEAR(A728)-1,12,1),$A$2:$A$800,0))-1,""))</f>
        <v/>
      </c>
      <c r="E728" s="122" t="str">
        <f aca="false">IF(B728="","",IFERROR(B728/INDEX($B$2:$B$800,MATCH(DATE(YEAR(A728)-1,MONTH(A728),1),$A$2:$A$800,0))-1,""))</f>
        <v/>
      </c>
    </row>
    <row r="729" customFormat="false" ht="15" hidden="false" customHeight="false" outlineLevel="0" collapsed="false">
      <c r="A729" s="124"/>
      <c r="B729" s="125"/>
      <c r="C729" s="122" t="str">
        <f aca="false">IF(OR(B729="",B728=""),"",B729/B728-1)</f>
        <v/>
      </c>
      <c r="D729" s="122" t="str">
        <f aca="false">IF(B729="","",IFERROR(B729/INDEX($B$2:$B$800,MATCH(DATE(YEAR(A729)-1,12,1),$A$2:$A$800,0))-1,""))</f>
        <v/>
      </c>
      <c r="E729" s="122" t="str">
        <f aca="false">IF(B729="","",IFERROR(B729/INDEX($B$2:$B$800,MATCH(DATE(YEAR(A729)-1,MONTH(A729),1),$A$2:$A$800,0))-1,""))</f>
        <v/>
      </c>
    </row>
    <row r="730" customFormat="false" ht="15" hidden="false" customHeight="false" outlineLevel="0" collapsed="false">
      <c r="A730" s="124"/>
      <c r="B730" s="125"/>
      <c r="C730" s="122" t="str">
        <f aca="false">IF(OR(B730="",B729=""),"",B730/B729-1)</f>
        <v/>
      </c>
      <c r="D730" s="122" t="str">
        <f aca="false">IF(B730="","",IFERROR(B730/INDEX($B$2:$B$800,MATCH(DATE(YEAR(A730)-1,12,1),$A$2:$A$800,0))-1,""))</f>
        <v/>
      </c>
      <c r="E730" s="122" t="str">
        <f aca="false">IF(B730="","",IFERROR(B730/INDEX($B$2:$B$800,MATCH(DATE(YEAR(A730)-1,MONTH(A730),1),$A$2:$A$800,0))-1,""))</f>
        <v/>
      </c>
    </row>
    <row r="731" customFormat="false" ht="15" hidden="false" customHeight="false" outlineLevel="0" collapsed="false">
      <c r="A731" s="124"/>
      <c r="B731" s="125"/>
      <c r="C731" s="122" t="str">
        <f aca="false">IF(OR(B731="",B730=""),"",B731/B730-1)</f>
        <v/>
      </c>
      <c r="D731" s="122" t="str">
        <f aca="false">IF(B731="","",IFERROR(B731/INDEX($B$2:$B$800,MATCH(DATE(YEAR(A731)-1,12,1),$A$2:$A$800,0))-1,""))</f>
        <v/>
      </c>
      <c r="E731" s="122" t="str">
        <f aca="false">IF(B731="","",IFERROR(B731/INDEX($B$2:$B$800,MATCH(DATE(YEAR(A731)-1,MONTH(A731),1),$A$2:$A$800,0))-1,""))</f>
        <v/>
      </c>
    </row>
    <row r="732" customFormat="false" ht="15" hidden="false" customHeight="false" outlineLevel="0" collapsed="false">
      <c r="A732" s="124"/>
      <c r="B732" s="125"/>
      <c r="C732" s="122" t="str">
        <f aca="false">IF(OR(B732="",B731=""),"",B732/B731-1)</f>
        <v/>
      </c>
      <c r="D732" s="122" t="str">
        <f aca="false">IF(B732="","",IFERROR(B732/INDEX($B$2:$B$800,MATCH(DATE(YEAR(A732)-1,12,1),$A$2:$A$800,0))-1,""))</f>
        <v/>
      </c>
      <c r="E732" s="122" t="str">
        <f aca="false">IF(B732="","",IFERROR(B732/INDEX($B$2:$B$800,MATCH(DATE(YEAR(A732)-1,MONTH(A732),1),$A$2:$A$800,0))-1,""))</f>
        <v/>
      </c>
    </row>
    <row r="733" customFormat="false" ht="15" hidden="false" customHeight="false" outlineLevel="0" collapsed="false">
      <c r="A733" s="124"/>
      <c r="B733" s="125"/>
      <c r="C733" s="122" t="str">
        <f aca="false">IF(OR(B733="",B732=""),"",B733/B732-1)</f>
        <v/>
      </c>
      <c r="D733" s="122" t="str">
        <f aca="false">IF(B733="","",IFERROR(B733/INDEX($B$2:$B$800,MATCH(DATE(YEAR(A733)-1,12,1),$A$2:$A$800,0))-1,""))</f>
        <v/>
      </c>
      <c r="E733" s="122" t="str">
        <f aca="false">IF(B733="","",IFERROR(B733/INDEX($B$2:$B$800,MATCH(DATE(YEAR(A733)-1,MONTH(A733),1),$A$2:$A$800,0))-1,""))</f>
        <v/>
      </c>
    </row>
    <row r="734" customFormat="false" ht="15" hidden="false" customHeight="false" outlineLevel="0" collapsed="false">
      <c r="A734" s="124"/>
      <c r="B734" s="125"/>
      <c r="C734" s="122" t="str">
        <f aca="false">IF(OR(B734="",B733=""),"",B734/B733-1)</f>
        <v/>
      </c>
      <c r="D734" s="122" t="str">
        <f aca="false">IF(B734="","",IFERROR(B734/INDEX($B$2:$B$800,MATCH(DATE(YEAR(A734)-1,12,1),$A$2:$A$800,0))-1,""))</f>
        <v/>
      </c>
      <c r="E734" s="122" t="str">
        <f aca="false">IF(B734="","",IFERROR(B734/INDEX($B$2:$B$800,MATCH(DATE(YEAR(A734)-1,MONTH(A734),1),$A$2:$A$800,0))-1,""))</f>
        <v/>
      </c>
    </row>
    <row r="735" customFormat="false" ht="15" hidden="false" customHeight="false" outlineLevel="0" collapsed="false">
      <c r="A735" s="124"/>
      <c r="B735" s="125"/>
      <c r="C735" s="122" t="str">
        <f aca="false">IF(OR(B735="",B734=""),"",B735/B734-1)</f>
        <v/>
      </c>
      <c r="D735" s="122" t="str">
        <f aca="false">IF(B735="","",IFERROR(B735/INDEX($B$2:$B$800,MATCH(DATE(YEAR(A735)-1,12,1),$A$2:$A$800,0))-1,""))</f>
        <v/>
      </c>
      <c r="E735" s="122" t="str">
        <f aca="false">IF(B735="","",IFERROR(B735/INDEX($B$2:$B$800,MATCH(DATE(YEAR(A735)-1,MONTH(A735),1),$A$2:$A$800,0))-1,""))</f>
        <v/>
      </c>
    </row>
    <row r="736" customFormat="false" ht="15" hidden="false" customHeight="false" outlineLevel="0" collapsed="false">
      <c r="A736" s="124"/>
      <c r="B736" s="125"/>
      <c r="C736" s="122" t="str">
        <f aca="false">IF(OR(B736="",B735=""),"",B736/B735-1)</f>
        <v/>
      </c>
      <c r="D736" s="122" t="str">
        <f aca="false">IF(B736="","",IFERROR(B736/INDEX($B$2:$B$800,MATCH(DATE(YEAR(A736)-1,12,1),$A$2:$A$800,0))-1,""))</f>
        <v/>
      </c>
      <c r="E736" s="122" t="str">
        <f aca="false">IF(B736="","",IFERROR(B736/INDEX($B$2:$B$800,MATCH(DATE(YEAR(A736)-1,MONTH(A736),1),$A$2:$A$800,0))-1,""))</f>
        <v/>
      </c>
    </row>
    <row r="737" customFormat="false" ht="15" hidden="false" customHeight="false" outlineLevel="0" collapsed="false">
      <c r="A737" s="124"/>
      <c r="B737" s="125"/>
      <c r="C737" s="122" t="str">
        <f aca="false">IF(OR(B737="",B736=""),"",B737/B736-1)</f>
        <v/>
      </c>
      <c r="D737" s="122" t="str">
        <f aca="false">IF(B737="","",IFERROR(B737/INDEX($B$2:$B$800,MATCH(DATE(YEAR(A737)-1,12,1),$A$2:$A$800,0))-1,""))</f>
        <v/>
      </c>
      <c r="E737" s="122" t="str">
        <f aca="false">IF(B737="","",IFERROR(B737/INDEX($B$2:$B$800,MATCH(DATE(YEAR(A737)-1,MONTH(A737),1),$A$2:$A$800,0))-1,""))</f>
        <v/>
      </c>
    </row>
    <row r="738" customFormat="false" ht="15" hidden="false" customHeight="false" outlineLevel="0" collapsed="false">
      <c r="A738" s="124"/>
      <c r="B738" s="125"/>
      <c r="C738" s="122" t="str">
        <f aca="false">IF(OR(B738="",B737=""),"",B738/B737-1)</f>
        <v/>
      </c>
      <c r="D738" s="122" t="str">
        <f aca="false">IF(B738="","",IFERROR(B738/INDEX($B$2:$B$800,MATCH(DATE(YEAR(A738)-1,12,1),$A$2:$A$800,0))-1,""))</f>
        <v/>
      </c>
      <c r="E738" s="122" t="str">
        <f aca="false">IF(B738="","",IFERROR(B738/INDEX($B$2:$B$800,MATCH(DATE(YEAR(A738)-1,MONTH(A738),1),$A$2:$A$800,0))-1,""))</f>
        <v/>
      </c>
    </row>
    <row r="739" customFormat="false" ht="15" hidden="false" customHeight="false" outlineLevel="0" collapsed="false">
      <c r="A739" s="124"/>
      <c r="B739" s="125"/>
      <c r="C739" s="122" t="str">
        <f aca="false">IF(OR(B739="",B738=""),"",B739/B738-1)</f>
        <v/>
      </c>
      <c r="D739" s="122" t="str">
        <f aca="false">IF(B739="","",IFERROR(B739/INDEX($B$2:$B$800,MATCH(DATE(YEAR(A739)-1,12,1),$A$2:$A$800,0))-1,""))</f>
        <v/>
      </c>
      <c r="E739" s="122" t="str">
        <f aca="false">IF(B739="","",IFERROR(B739/INDEX($B$2:$B$800,MATCH(DATE(YEAR(A739)-1,MONTH(A739),1),$A$2:$A$800,0))-1,""))</f>
        <v/>
      </c>
    </row>
    <row r="740" customFormat="false" ht="15" hidden="false" customHeight="false" outlineLevel="0" collapsed="false">
      <c r="A740" s="124"/>
      <c r="B740" s="125"/>
      <c r="C740" s="122" t="str">
        <f aca="false">IF(OR(B740="",B739=""),"",B740/B739-1)</f>
        <v/>
      </c>
      <c r="D740" s="122" t="str">
        <f aca="false">IF(B740="","",IFERROR(B740/INDEX($B$2:$B$800,MATCH(DATE(YEAR(A740)-1,12,1),$A$2:$A$800,0))-1,""))</f>
        <v/>
      </c>
      <c r="E740" s="122" t="str">
        <f aca="false">IF(B740="","",IFERROR(B740/INDEX($B$2:$B$800,MATCH(DATE(YEAR(A740)-1,MONTH(A740),1),$A$2:$A$800,0))-1,""))</f>
        <v/>
      </c>
    </row>
    <row r="741" customFormat="false" ht="15" hidden="false" customHeight="false" outlineLevel="0" collapsed="false">
      <c r="A741" s="124"/>
      <c r="B741" s="125"/>
      <c r="C741" s="122" t="str">
        <f aca="false">IF(OR(B741="",B740=""),"",B741/B740-1)</f>
        <v/>
      </c>
      <c r="D741" s="122" t="str">
        <f aca="false">IF(B741="","",IFERROR(B741/INDEX($B$2:$B$800,MATCH(DATE(YEAR(A741)-1,12,1),$A$2:$A$800,0))-1,""))</f>
        <v/>
      </c>
      <c r="E741" s="122" t="str">
        <f aca="false">IF(B741="","",IFERROR(B741/INDEX($B$2:$B$800,MATCH(DATE(YEAR(A741)-1,MONTH(A741),1),$A$2:$A$800,0))-1,""))</f>
        <v/>
      </c>
    </row>
    <row r="742" customFormat="false" ht="15" hidden="false" customHeight="false" outlineLevel="0" collapsed="false">
      <c r="A742" s="124"/>
      <c r="B742" s="125"/>
      <c r="C742" s="122" t="str">
        <f aca="false">IF(OR(B742="",B741=""),"",B742/B741-1)</f>
        <v/>
      </c>
      <c r="D742" s="122" t="str">
        <f aca="false">IF(B742="","",IFERROR(B742/INDEX($B$2:$B$800,MATCH(DATE(YEAR(A742)-1,12,1),$A$2:$A$800,0))-1,""))</f>
        <v/>
      </c>
      <c r="E742" s="122" t="str">
        <f aca="false">IF(B742="","",IFERROR(B742/INDEX($B$2:$B$800,MATCH(DATE(YEAR(A742)-1,MONTH(A742),1),$A$2:$A$800,0))-1,""))</f>
        <v/>
      </c>
    </row>
    <row r="743" customFormat="false" ht="15" hidden="false" customHeight="false" outlineLevel="0" collapsed="false">
      <c r="A743" s="124"/>
      <c r="B743" s="125"/>
      <c r="C743" s="122" t="str">
        <f aca="false">IF(OR(B743="",B742=""),"",B743/B742-1)</f>
        <v/>
      </c>
      <c r="D743" s="122" t="str">
        <f aca="false">IF(B743="","",IFERROR(B743/INDEX($B$2:$B$800,MATCH(DATE(YEAR(A743)-1,12,1),$A$2:$A$800,0))-1,""))</f>
        <v/>
      </c>
      <c r="E743" s="122" t="str">
        <f aca="false">IF(B743="","",IFERROR(B743/INDEX($B$2:$B$800,MATCH(DATE(YEAR(A743)-1,MONTH(A743),1),$A$2:$A$800,0))-1,""))</f>
        <v/>
      </c>
    </row>
    <row r="744" customFormat="false" ht="15" hidden="false" customHeight="false" outlineLevel="0" collapsed="false">
      <c r="A744" s="124"/>
      <c r="B744" s="125"/>
      <c r="C744" s="122" t="str">
        <f aca="false">IF(OR(B744="",B743=""),"",B744/B743-1)</f>
        <v/>
      </c>
      <c r="D744" s="122" t="str">
        <f aca="false">IF(B744="","",IFERROR(B744/INDEX($B$2:$B$800,MATCH(DATE(YEAR(A744)-1,12,1),$A$2:$A$800,0))-1,""))</f>
        <v/>
      </c>
      <c r="E744" s="122" t="str">
        <f aca="false">IF(B744="","",IFERROR(B744/INDEX($B$2:$B$800,MATCH(DATE(YEAR(A744)-1,MONTH(A744),1),$A$2:$A$800,0))-1,""))</f>
        <v/>
      </c>
    </row>
    <row r="745" customFormat="false" ht="15" hidden="false" customHeight="false" outlineLevel="0" collapsed="false">
      <c r="A745" s="124"/>
      <c r="B745" s="125"/>
      <c r="C745" s="122" t="str">
        <f aca="false">IF(OR(B745="",B744=""),"",B745/B744-1)</f>
        <v/>
      </c>
      <c r="D745" s="122" t="str">
        <f aca="false">IF(B745="","",IFERROR(B745/INDEX($B$2:$B$800,MATCH(DATE(YEAR(A745)-1,12,1),$A$2:$A$800,0))-1,""))</f>
        <v/>
      </c>
      <c r="E745" s="122" t="str">
        <f aca="false">IF(B745="","",IFERROR(B745/INDEX($B$2:$B$800,MATCH(DATE(YEAR(A745)-1,MONTH(A745),1),$A$2:$A$800,0))-1,""))</f>
        <v/>
      </c>
    </row>
    <row r="746" customFormat="false" ht="15" hidden="false" customHeight="false" outlineLevel="0" collapsed="false">
      <c r="A746" s="124"/>
      <c r="B746" s="125"/>
      <c r="C746" s="122" t="str">
        <f aca="false">IF(OR(B746="",B745=""),"",B746/B745-1)</f>
        <v/>
      </c>
      <c r="D746" s="122" t="str">
        <f aca="false">IF(B746="","",IFERROR(B746/INDEX($B$2:$B$800,MATCH(DATE(YEAR(A746)-1,12,1),$A$2:$A$800,0))-1,""))</f>
        <v/>
      </c>
      <c r="E746" s="122" t="str">
        <f aca="false">IF(B746="","",IFERROR(B746/INDEX($B$2:$B$800,MATCH(DATE(YEAR(A746)-1,MONTH(A746),1),$A$2:$A$800,0))-1,""))</f>
        <v/>
      </c>
    </row>
    <row r="747" customFormat="false" ht="15" hidden="false" customHeight="false" outlineLevel="0" collapsed="false">
      <c r="A747" s="124"/>
      <c r="B747" s="125"/>
      <c r="C747" s="122" t="str">
        <f aca="false">IF(OR(B747="",B746=""),"",B747/B746-1)</f>
        <v/>
      </c>
      <c r="D747" s="122" t="str">
        <f aca="false">IF(B747="","",IFERROR(B747/INDEX($B$2:$B$800,MATCH(DATE(YEAR(A747)-1,12,1),$A$2:$A$800,0))-1,""))</f>
        <v/>
      </c>
      <c r="E747" s="122" t="str">
        <f aca="false">IF(B747="","",IFERROR(B747/INDEX($B$2:$B$800,MATCH(DATE(YEAR(A747)-1,MONTH(A747),1),$A$2:$A$800,0))-1,""))</f>
        <v/>
      </c>
    </row>
    <row r="748" customFormat="false" ht="15" hidden="false" customHeight="false" outlineLevel="0" collapsed="false">
      <c r="A748" s="124"/>
      <c r="B748" s="125"/>
      <c r="C748" s="122" t="str">
        <f aca="false">IF(OR(B748="",B747=""),"",B748/B747-1)</f>
        <v/>
      </c>
      <c r="D748" s="122" t="str">
        <f aca="false">IF(B748="","",IFERROR(B748/INDEX($B$2:$B$800,MATCH(DATE(YEAR(A748)-1,12,1),$A$2:$A$800,0))-1,""))</f>
        <v/>
      </c>
      <c r="E748" s="122" t="str">
        <f aca="false">IF(B748="","",IFERROR(B748/INDEX($B$2:$B$800,MATCH(DATE(YEAR(A748)-1,MONTH(A748),1),$A$2:$A$800,0))-1,""))</f>
        <v/>
      </c>
    </row>
    <row r="749" customFormat="false" ht="15" hidden="false" customHeight="false" outlineLevel="0" collapsed="false">
      <c r="A749" s="124"/>
      <c r="B749" s="125"/>
      <c r="C749" s="122" t="str">
        <f aca="false">IF(OR(B749="",B748=""),"",B749/B748-1)</f>
        <v/>
      </c>
      <c r="D749" s="122" t="str">
        <f aca="false">IF(B749="","",IFERROR(B749/INDEX($B$2:$B$800,MATCH(DATE(YEAR(A749)-1,12,1),$A$2:$A$800,0))-1,""))</f>
        <v/>
      </c>
      <c r="E749" s="122" t="str">
        <f aca="false">IF(B749="","",IFERROR(B749/INDEX($B$2:$B$800,MATCH(DATE(YEAR(A749)-1,MONTH(A749),1),$A$2:$A$800,0))-1,""))</f>
        <v/>
      </c>
    </row>
    <row r="750" customFormat="false" ht="15" hidden="false" customHeight="false" outlineLevel="0" collapsed="false">
      <c r="A750" s="124"/>
      <c r="B750" s="125"/>
      <c r="C750" s="122" t="str">
        <f aca="false">IF(OR(B750="",B749=""),"",B750/B749-1)</f>
        <v/>
      </c>
      <c r="D750" s="122" t="str">
        <f aca="false">IF(B750="","",IFERROR(B750/INDEX($B$2:$B$800,MATCH(DATE(YEAR(A750)-1,12,1),$A$2:$A$800,0))-1,""))</f>
        <v/>
      </c>
      <c r="E750" s="122" t="str">
        <f aca="false">IF(B750="","",IFERROR(B750/INDEX($B$2:$B$800,MATCH(DATE(YEAR(A750)-1,MONTH(A750),1),$A$2:$A$800,0))-1,""))</f>
        <v/>
      </c>
    </row>
    <row r="751" customFormat="false" ht="15" hidden="false" customHeight="false" outlineLevel="0" collapsed="false">
      <c r="A751" s="124"/>
      <c r="B751" s="125"/>
      <c r="C751" s="122" t="str">
        <f aca="false">IF(OR(B751="",B750=""),"",B751/B750-1)</f>
        <v/>
      </c>
      <c r="D751" s="122" t="str">
        <f aca="false">IF(B751="","",IFERROR(B751/INDEX($B$2:$B$800,MATCH(DATE(YEAR(A751)-1,12,1),$A$2:$A$800,0))-1,""))</f>
        <v/>
      </c>
      <c r="E751" s="122" t="str">
        <f aca="false">IF(B751="","",IFERROR(B751/INDEX($B$2:$B$800,MATCH(DATE(YEAR(A751)-1,MONTH(A751),1),$A$2:$A$800,0))-1,""))</f>
        <v/>
      </c>
    </row>
    <row r="752" customFormat="false" ht="15" hidden="false" customHeight="false" outlineLevel="0" collapsed="false">
      <c r="A752" s="124"/>
      <c r="B752" s="125"/>
      <c r="C752" s="122" t="str">
        <f aca="false">IF(OR(B752="",B751=""),"",B752/B751-1)</f>
        <v/>
      </c>
      <c r="D752" s="122" t="str">
        <f aca="false">IF(B752="","",IFERROR(B752/INDEX($B$2:$B$800,MATCH(DATE(YEAR(A752)-1,12,1),$A$2:$A$800,0))-1,""))</f>
        <v/>
      </c>
      <c r="E752" s="122" t="str">
        <f aca="false">IF(B752="","",IFERROR(B752/INDEX($B$2:$B$800,MATCH(DATE(YEAR(A752)-1,MONTH(A752),1),$A$2:$A$800,0))-1,""))</f>
        <v/>
      </c>
    </row>
    <row r="753" customFormat="false" ht="15" hidden="false" customHeight="false" outlineLevel="0" collapsed="false">
      <c r="A753" s="124"/>
      <c r="B753" s="125"/>
      <c r="C753" s="122" t="str">
        <f aca="false">IF(OR(B753="",B752=""),"",B753/B752-1)</f>
        <v/>
      </c>
      <c r="D753" s="122" t="str">
        <f aca="false">IF(B753="","",IFERROR(B753/INDEX($B$2:$B$800,MATCH(DATE(YEAR(A753)-1,12,1),$A$2:$A$800,0))-1,""))</f>
        <v/>
      </c>
      <c r="E753" s="122" t="str">
        <f aca="false">IF(B753="","",IFERROR(B753/INDEX($B$2:$B$800,MATCH(DATE(YEAR(A753)-1,MONTH(A753),1),$A$2:$A$800,0))-1,""))</f>
        <v/>
      </c>
    </row>
    <row r="754" customFormat="false" ht="15" hidden="false" customHeight="false" outlineLevel="0" collapsed="false">
      <c r="A754" s="124"/>
      <c r="B754" s="125"/>
      <c r="C754" s="122" t="str">
        <f aca="false">IF(OR(B754="",B753=""),"",B754/B753-1)</f>
        <v/>
      </c>
      <c r="D754" s="122" t="str">
        <f aca="false">IF(B754="","",IFERROR(B754/INDEX($B$2:$B$800,MATCH(DATE(YEAR(A754)-1,12,1),$A$2:$A$800,0))-1,""))</f>
        <v/>
      </c>
      <c r="E754" s="122" t="str">
        <f aca="false">IF(B754="","",IFERROR(B754/INDEX($B$2:$B$800,MATCH(DATE(YEAR(A754)-1,MONTH(A754),1),$A$2:$A$800,0))-1,""))</f>
        <v/>
      </c>
    </row>
    <row r="755" customFormat="false" ht="15" hidden="false" customHeight="false" outlineLevel="0" collapsed="false">
      <c r="A755" s="124"/>
      <c r="B755" s="125"/>
      <c r="C755" s="122" t="str">
        <f aca="false">IF(OR(B755="",B754=""),"",B755/B754-1)</f>
        <v/>
      </c>
      <c r="D755" s="122" t="str">
        <f aca="false">IF(B755="","",IFERROR(B755/INDEX($B$2:$B$800,MATCH(DATE(YEAR(A755)-1,12,1),$A$2:$A$800,0))-1,""))</f>
        <v/>
      </c>
      <c r="E755" s="122" t="str">
        <f aca="false">IF(B755="","",IFERROR(B755/INDEX($B$2:$B$800,MATCH(DATE(YEAR(A755)-1,MONTH(A755),1),$A$2:$A$800,0))-1,""))</f>
        <v/>
      </c>
    </row>
    <row r="756" customFormat="false" ht="15" hidden="false" customHeight="false" outlineLevel="0" collapsed="false">
      <c r="A756" s="124"/>
      <c r="B756" s="125"/>
      <c r="C756" s="122" t="str">
        <f aca="false">IF(OR(B756="",B755=""),"",B756/B755-1)</f>
        <v/>
      </c>
      <c r="D756" s="122" t="str">
        <f aca="false">IF(B756="","",IFERROR(B756/INDEX($B$2:$B$800,MATCH(DATE(YEAR(A756)-1,12,1),$A$2:$A$800,0))-1,""))</f>
        <v/>
      </c>
      <c r="E756" s="122" t="str">
        <f aca="false">IF(B756="","",IFERROR(B756/INDEX($B$2:$B$800,MATCH(DATE(YEAR(A756)-1,MONTH(A756),1),$A$2:$A$800,0))-1,""))</f>
        <v/>
      </c>
    </row>
    <row r="757" customFormat="false" ht="15" hidden="false" customHeight="false" outlineLevel="0" collapsed="false">
      <c r="A757" s="124"/>
      <c r="B757" s="125"/>
      <c r="C757" s="122" t="str">
        <f aca="false">IF(OR(B757="",B756=""),"",B757/B756-1)</f>
        <v/>
      </c>
      <c r="D757" s="122" t="str">
        <f aca="false">IF(B757="","",IFERROR(B757/INDEX($B$2:$B$800,MATCH(DATE(YEAR(A757)-1,12,1),$A$2:$A$800,0))-1,""))</f>
        <v/>
      </c>
      <c r="E757" s="122" t="str">
        <f aca="false">IF(B757="","",IFERROR(B757/INDEX($B$2:$B$800,MATCH(DATE(YEAR(A757)-1,MONTH(A757),1),$A$2:$A$800,0))-1,""))</f>
        <v/>
      </c>
    </row>
    <row r="758" customFormat="false" ht="15" hidden="false" customHeight="false" outlineLevel="0" collapsed="false">
      <c r="A758" s="124"/>
      <c r="B758" s="125"/>
      <c r="C758" s="122" t="str">
        <f aca="false">IF(OR(B758="",B757=""),"",B758/B757-1)</f>
        <v/>
      </c>
      <c r="D758" s="122" t="str">
        <f aca="false">IF(B758="","",IFERROR(B758/INDEX($B$2:$B$800,MATCH(DATE(YEAR(A758)-1,12,1),$A$2:$A$800,0))-1,""))</f>
        <v/>
      </c>
      <c r="E758" s="122" t="str">
        <f aca="false">IF(B758="","",IFERROR(B758/INDEX($B$2:$B$800,MATCH(DATE(YEAR(A758)-1,MONTH(A758),1),$A$2:$A$800,0))-1,""))</f>
        <v/>
      </c>
    </row>
    <row r="759" customFormat="false" ht="15" hidden="false" customHeight="false" outlineLevel="0" collapsed="false">
      <c r="A759" s="124"/>
      <c r="B759" s="125"/>
      <c r="C759" s="122" t="str">
        <f aca="false">IF(OR(B759="",B758=""),"",B759/B758-1)</f>
        <v/>
      </c>
      <c r="D759" s="122" t="str">
        <f aca="false">IF(B759="","",IFERROR(B759/INDEX($B$2:$B$800,MATCH(DATE(YEAR(A759)-1,12,1),$A$2:$A$800,0))-1,""))</f>
        <v/>
      </c>
      <c r="E759" s="122" t="str">
        <f aca="false">IF(B759="","",IFERROR(B759/INDEX($B$2:$B$800,MATCH(DATE(YEAR(A759)-1,MONTH(A759),1),$A$2:$A$800,0))-1,""))</f>
        <v/>
      </c>
    </row>
    <row r="760" customFormat="false" ht="15" hidden="false" customHeight="false" outlineLevel="0" collapsed="false">
      <c r="A760" s="124"/>
      <c r="B760" s="125"/>
      <c r="C760" s="122" t="str">
        <f aca="false">IF(OR(B760="",B759=""),"",B760/B759-1)</f>
        <v/>
      </c>
      <c r="D760" s="122" t="str">
        <f aca="false">IF(B760="","",IFERROR(B760/INDEX($B$2:$B$800,MATCH(DATE(YEAR(A760)-1,12,1),$A$2:$A$800,0))-1,""))</f>
        <v/>
      </c>
      <c r="E760" s="122" t="str">
        <f aca="false">IF(B760="","",IFERROR(B760/INDEX($B$2:$B$800,MATCH(DATE(YEAR(A760)-1,MONTH(A760),1),$A$2:$A$800,0))-1,""))</f>
        <v/>
      </c>
    </row>
    <row r="761" customFormat="false" ht="15" hidden="false" customHeight="false" outlineLevel="0" collapsed="false">
      <c r="A761" s="124"/>
      <c r="B761" s="125"/>
      <c r="C761" s="122" t="str">
        <f aca="false">IF(OR(B761="",B760=""),"",B761/B760-1)</f>
        <v/>
      </c>
      <c r="D761" s="122" t="str">
        <f aca="false">IF(B761="","",IFERROR(B761/INDEX($B$2:$B$800,MATCH(DATE(YEAR(A761)-1,12,1),$A$2:$A$800,0))-1,""))</f>
        <v/>
      </c>
      <c r="E761" s="122" t="str">
        <f aca="false">IF(B761="","",IFERROR(B761/INDEX($B$2:$B$800,MATCH(DATE(YEAR(A761)-1,MONTH(A761),1),$A$2:$A$800,0))-1,""))</f>
        <v/>
      </c>
    </row>
    <row r="762" customFormat="false" ht="15" hidden="false" customHeight="false" outlineLevel="0" collapsed="false">
      <c r="A762" s="124"/>
      <c r="B762" s="125"/>
      <c r="C762" s="122" t="str">
        <f aca="false">IF(OR(B762="",B761=""),"",B762/B761-1)</f>
        <v/>
      </c>
      <c r="D762" s="122" t="str">
        <f aca="false">IF(B762="","",IFERROR(B762/INDEX($B$2:$B$800,MATCH(DATE(YEAR(A762)-1,12,1),$A$2:$A$800,0))-1,""))</f>
        <v/>
      </c>
      <c r="E762" s="122" t="str">
        <f aca="false">IF(B762="","",IFERROR(B762/INDEX($B$2:$B$800,MATCH(DATE(YEAR(A762)-1,MONTH(A762),1),$A$2:$A$800,0))-1,""))</f>
        <v/>
      </c>
    </row>
    <row r="763" customFormat="false" ht="15" hidden="false" customHeight="false" outlineLevel="0" collapsed="false">
      <c r="A763" s="124"/>
      <c r="B763" s="125"/>
      <c r="C763" s="122" t="str">
        <f aca="false">IF(OR(B763="",B762=""),"",B763/B762-1)</f>
        <v/>
      </c>
      <c r="D763" s="122" t="str">
        <f aca="false">IF(B763="","",IFERROR(B763/INDEX($B$2:$B$800,MATCH(DATE(YEAR(A763)-1,12,1),$A$2:$A$800,0))-1,""))</f>
        <v/>
      </c>
      <c r="E763" s="122" t="str">
        <f aca="false">IF(B763="","",IFERROR(B763/INDEX($B$2:$B$800,MATCH(DATE(YEAR(A763)-1,MONTH(A763),1),$A$2:$A$800,0))-1,""))</f>
        <v/>
      </c>
    </row>
    <row r="764" customFormat="false" ht="15" hidden="false" customHeight="false" outlineLevel="0" collapsed="false">
      <c r="A764" s="124"/>
      <c r="B764" s="125"/>
      <c r="C764" s="122" t="str">
        <f aca="false">IF(OR(B764="",B763=""),"",B764/B763-1)</f>
        <v/>
      </c>
      <c r="D764" s="122" t="str">
        <f aca="false">IF(B764="","",IFERROR(B764/INDEX($B$2:$B$800,MATCH(DATE(YEAR(A764)-1,12,1),$A$2:$A$800,0))-1,""))</f>
        <v/>
      </c>
      <c r="E764" s="122" t="str">
        <f aca="false">IF(B764="","",IFERROR(B764/INDEX($B$2:$B$800,MATCH(DATE(YEAR(A764)-1,MONTH(A764),1),$A$2:$A$800,0))-1,""))</f>
        <v/>
      </c>
    </row>
    <row r="765" customFormat="false" ht="15" hidden="false" customHeight="false" outlineLevel="0" collapsed="false">
      <c r="A765" s="124"/>
      <c r="B765" s="125"/>
      <c r="C765" s="122" t="str">
        <f aca="false">IF(OR(B765="",B764=""),"",B765/B764-1)</f>
        <v/>
      </c>
      <c r="D765" s="122" t="str">
        <f aca="false">IF(B765="","",IFERROR(B765/INDEX($B$2:$B$800,MATCH(DATE(YEAR(A765)-1,12,1),$A$2:$A$800,0))-1,""))</f>
        <v/>
      </c>
      <c r="E765" s="122" t="str">
        <f aca="false">IF(B765="","",IFERROR(B765/INDEX($B$2:$B$800,MATCH(DATE(YEAR(A765)-1,MONTH(A765),1),$A$2:$A$800,0))-1,""))</f>
        <v/>
      </c>
    </row>
    <row r="766" customFormat="false" ht="15" hidden="false" customHeight="false" outlineLevel="0" collapsed="false">
      <c r="A766" s="124"/>
      <c r="B766" s="125"/>
      <c r="C766" s="122" t="str">
        <f aca="false">IF(OR(B766="",B765=""),"",B766/B765-1)</f>
        <v/>
      </c>
      <c r="D766" s="122" t="str">
        <f aca="false">IF(B766="","",IFERROR(B766/INDEX($B$2:$B$800,MATCH(DATE(YEAR(A766)-1,12,1),$A$2:$A$800,0))-1,""))</f>
        <v/>
      </c>
      <c r="E766" s="122" t="str">
        <f aca="false">IF(B766="","",IFERROR(B766/INDEX($B$2:$B$800,MATCH(DATE(YEAR(A766)-1,MONTH(A766),1),$A$2:$A$800,0))-1,""))</f>
        <v/>
      </c>
    </row>
    <row r="767" customFormat="false" ht="15" hidden="false" customHeight="false" outlineLevel="0" collapsed="false">
      <c r="A767" s="124"/>
      <c r="B767" s="125"/>
      <c r="C767" s="122" t="str">
        <f aca="false">IF(OR(B767="",B766=""),"",B767/B766-1)</f>
        <v/>
      </c>
      <c r="D767" s="122" t="str">
        <f aca="false">IF(B767="","",IFERROR(B767/INDEX($B$2:$B$800,MATCH(DATE(YEAR(A767)-1,12,1),$A$2:$A$800,0))-1,""))</f>
        <v/>
      </c>
      <c r="E767" s="122" t="str">
        <f aca="false">IF(B767="","",IFERROR(B767/INDEX($B$2:$B$800,MATCH(DATE(YEAR(A767)-1,MONTH(A767),1),$A$2:$A$800,0))-1,""))</f>
        <v/>
      </c>
    </row>
    <row r="768" customFormat="false" ht="15" hidden="false" customHeight="false" outlineLevel="0" collapsed="false">
      <c r="A768" s="124"/>
      <c r="B768" s="125"/>
      <c r="C768" s="122" t="str">
        <f aca="false">IF(OR(B768="",B767=""),"",B768/B767-1)</f>
        <v/>
      </c>
      <c r="D768" s="122" t="str">
        <f aca="false">IF(B768="","",IFERROR(B768/INDEX($B$2:$B$800,MATCH(DATE(YEAR(A768)-1,12,1),$A$2:$A$800,0))-1,""))</f>
        <v/>
      </c>
      <c r="E768" s="122" t="str">
        <f aca="false">IF(B768="","",IFERROR(B768/INDEX($B$2:$B$800,MATCH(DATE(YEAR(A768)-1,MONTH(A768),1),$A$2:$A$800,0))-1,""))</f>
        <v/>
      </c>
    </row>
    <row r="769" customFormat="false" ht="15" hidden="false" customHeight="false" outlineLevel="0" collapsed="false">
      <c r="A769" s="124"/>
      <c r="B769" s="125"/>
      <c r="C769" s="122" t="str">
        <f aca="false">IF(OR(B769="",B768=""),"",B769/B768-1)</f>
        <v/>
      </c>
      <c r="D769" s="122" t="str">
        <f aca="false">IF(B769="","",IFERROR(B769/INDEX($B$2:$B$800,MATCH(DATE(YEAR(A769)-1,12,1),$A$2:$A$800,0))-1,""))</f>
        <v/>
      </c>
      <c r="E769" s="122" t="str">
        <f aca="false">IF(B769="","",IFERROR(B769/INDEX($B$2:$B$800,MATCH(DATE(YEAR(A769)-1,MONTH(A769),1),$A$2:$A$800,0))-1,""))</f>
        <v/>
      </c>
    </row>
    <row r="770" customFormat="false" ht="15" hidden="false" customHeight="false" outlineLevel="0" collapsed="false">
      <c r="A770" s="124"/>
      <c r="B770" s="125"/>
      <c r="C770" s="122" t="str">
        <f aca="false">IF(OR(B770="",B769=""),"",B770/B769-1)</f>
        <v/>
      </c>
      <c r="D770" s="122" t="str">
        <f aca="false">IF(B770="","",IFERROR(B770/INDEX($B$2:$B$800,MATCH(DATE(YEAR(A770)-1,12,1),$A$2:$A$800,0))-1,""))</f>
        <v/>
      </c>
      <c r="E770" s="122" t="str">
        <f aca="false">IF(B770="","",IFERROR(B770/INDEX($B$2:$B$800,MATCH(DATE(YEAR(A770)-1,MONTH(A770),1),$A$2:$A$800,0))-1,""))</f>
        <v/>
      </c>
    </row>
    <row r="771" customFormat="false" ht="15" hidden="false" customHeight="false" outlineLevel="0" collapsed="false">
      <c r="A771" s="124"/>
      <c r="B771" s="125"/>
      <c r="C771" s="122" t="str">
        <f aca="false">IF(OR(B771="",B770=""),"",B771/B770-1)</f>
        <v/>
      </c>
      <c r="D771" s="122" t="str">
        <f aca="false">IF(B771="","",IFERROR(B771/INDEX($B$2:$B$800,MATCH(DATE(YEAR(A771)-1,12,1),$A$2:$A$800,0))-1,""))</f>
        <v/>
      </c>
      <c r="E771" s="122" t="str">
        <f aca="false">IF(B771="","",IFERROR(B771/INDEX($B$2:$B$800,MATCH(DATE(YEAR(A771)-1,MONTH(A771),1),$A$2:$A$800,0))-1,""))</f>
        <v/>
      </c>
    </row>
    <row r="772" customFormat="false" ht="15" hidden="false" customHeight="false" outlineLevel="0" collapsed="false">
      <c r="A772" s="124"/>
      <c r="B772" s="125"/>
      <c r="C772" s="122" t="str">
        <f aca="false">IF(OR(B772="",B771=""),"",B772/B771-1)</f>
        <v/>
      </c>
      <c r="D772" s="122" t="str">
        <f aca="false">IF(B772="","",IFERROR(B772/INDEX($B$2:$B$800,MATCH(DATE(YEAR(A772)-1,12,1),$A$2:$A$800,0))-1,""))</f>
        <v/>
      </c>
      <c r="E772" s="122" t="str">
        <f aca="false">IF(B772="","",IFERROR(B772/INDEX($B$2:$B$800,MATCH(DATE(YEAR(A772)-1,MONTH(A772),1),$A$2:$A$800,0))-1,""))</f>
        <v/>
      </c>
    </row>
    <row r="773" customFormat="false" ht="15" hidden="false" customHeight="false" outlineLevel="0" collapsed="false">
      <c r="A773" s="124"/>
      <c r="B773" s="125"/>
      <c r="C773" s="122" t="str">
        <f aca="false">IF(OR(B773="",B772=""),"",B773/B772-1)</f>
        <v/>
      </c>
      <c r="D773" s="122" t="str">
        <f aca="false">IF(B773="","",IFERROR(B773/INDEX($B$2:$B$800,MATCH(DATE(YEAR(A773)-1,12,1),$A$2:$A$800,0))-1,""))</f>
        <v/>
      </c>
      <c r="E773" s="122" t="str">
        <f aca="false">IF(B773="","",IFERROR(B773/INDEX($B$2:$B$800,MATCH(DATE(YEAR(A773)-1,MONTH(A773),1),$A$2:$A$800,0))-1,""))</f>
        <v/>
      </c>
    </row>
    <row r="774" customFormat="false" ht="15" hidden="false" customHeight="false" outlineLevel="0" collapsed="false">
      <c r="A774" s="124"/>
      <c r="B774" s="125"/>
      <c r="C774" s="122" t="str">
        <f aca="false">IF(OR(B774="",B773=""),"",B774/B773-1)</f>
        <v/>
      </c>
      <c r="D774" s="122" t="str">
        <f aca="false">IF(B774="","",IFERROR(B774/INDEX($B$2:$B$800,MATCH(DATE(YEAR(A774)-1,12,1),$A$2:$A$800,0))-1,""))</f>
        <v/>
      </c>
      <c r="E774" s="122" t="str">
        <f aca="false">IF(B774="","",IFERROR(B774/INDEX($B$2:$B$800,MATCH(DATE(YEAR(A774)-1,MONTH(A774),1),$A$2:$A$800,0))-1,""))</f>
        <v/>
      </c>
    </row>
    <row r="775" customFormat="false" ht="15" hidden="false" customHeight="false" outlineLevel="0" collapsed="false">
      <c r="A775" s="124"/>
      <c r="B775" s="125"/>
      <c r="C775" s="122" t="str">
        <f aca="false">IF(OR(B775="",B774=""),"",B775/B774-1)</f>
        <v/>
      </c>
      <c r="D775" s="122" t="str">
        <f aca="false">IF(B775="","",IFERROR(B775/INDEX($B$2:$B$800,MATCH(DATE(YEAR(A775)-1,12,1),$A$2:$A$800,0))-1,""))</f>
        <v/>
      </c>
      <c r="E775" s="122" t="str">
        <f aca="false">IF(B775="","",IFERROR(B775/INDEX($B$2:$B$800,MATCH(DATE(YEAR(A775)-1,MONTH(A775),1),$A$2:$A$800,0))-1,""))</f>
        <v/>
      </c>
    </row>
    <row r="776" customFormat="false" ht="15" hidden="false" customHeight="false" outlineLevel="0" collapsed="false">
      <c r="A776" s="124"/>
      <c r="B776" s="125"/>
      <c r="C776" s="122" t="str">
        <f aca="false">IF(OR(B776="",B775=""),"",B776/B775-1)</f>
        <v/>
      </c>
      <c r="D776" s="122" t="str">
        <f aca="false">IF(B776="","",IFERROR(B776/INDEX($B$2:$B$800,MATCH(DATE(YEAR(A776)-1,12,1),$A$2:$A$800,0))-1,""))</f>
        <v/>
      </c>
      <c r="E776" s="122" t="str">
        <f aca="false">IF(B776="","",IFERROR(B776/INDEX($B$2:$B$800,MATCH(DATE(YEAR(A776)-1,MONTH(A776),1),$A$2:$A$800,0))-1,""))</f>
        <v/>
      </c>
    </row>
    <row r="777" customFormat="false" ht="15" hidden="false" customHeight="false" outlineLevel="0" collapsed="false">
      <c r="A777" s="124"/>
      <c r="B777" s="125"/>
      <c r="C777" s="122" t="str">
        <f aca="false">IF(OR(B777="",B776=""),"",B777/B776-1)</f>
        <v/>
      </c>
      <c r="D777" s="122" t="str">
        <f aca="false">IF(B777="","",IFERROR(B777/INDEX($B$2:$B$800,MATCH(DATE(YEAR(A777)-1,12,1),$A$2:$A$800,0))-1,""))</f>
        <v/>
      </c>
      <c r="E777" s="122" t="str">
        <f aca="false">IF(B777="","",IFERROR(B777/INDEX($B$2:$B$800,MATCH(DATE(YEAR(A777)-1,MONTH(A777),1),$A$2:$A$800,0))-1,""))</f>
        <v/>
      </c>
    </row>
    <row r="778" customFormat="false" ht="15" hidden="false" customHeight="false" outlineLevel="0" collapsed="false">
      <c r="A778" s="124"/>
      <c r="B778" s="125"/>
      <c r="C778" s="122" t="str">
        <f aca="false">IF(OR(B778="",B777=""),"",B778/B777-1)</f>
        <v/>
      </c>
      <c r="D778" s="122" t="str">
        <f aca="false">IF(B778="","",IFERROR(B778/INDEX($B$2:$B$800,MATCH(DATE(YEAR(A778)-1,12,1),$A$2:$A$800,0))-1,""))</f>
        <v/>
      </c>
      <c r="E778" s="122" t="str">
        <f aca="false">IF(B778="","",IFERROR(B778/INDEX($B$2:$B$800,MATCH(DATE(YEAR(A778)-1,MONTH(A778),1),$A$2:$A$800,0))-1,""))</f>
        <v/>
      </c>
    </row>
    <row r="779" customFormat="false" ht="15" hidden="false" customHeight="false" outlineLevel="0" collapsed="false">
      <c r="A779" s="124"/>
      <c r="B779" s="125"/>
      <c r="C779" s="122" t="str">
        <f aca="false">IF(OR(B779="",B778=""),"",B779/B778-1)</f>
        <v/>
      </c>
      <c r="D779" s="122" t="str">
        <f aca="false">IF(B779="","",IFERROR(B779/INDEX($B$2:$B$800,MATCH(DATE(YEAR(A779)-1,12,1),$A$2:$A$800,0))-1,""))</f>
        <v/>
      </c>
      <c r="E779" s="122" t="str">
        <f aca="false">IF(B779="","",IFERROR(B779/INDEX($B$2:$B$800,MATCH(DATE(YEAR(A779)-1,MONTH(A779),1),$A$2:$A$800,0))-1,""))</f>
        <v/>
      </c>
    </row>
    <row r="780" customFormat="false" ht="15" hidden="false" customHeight="false" outlineLevel="0" collapsed="false">
      <c r="A780" s="124"/>
      <c r="B780" s="125"/>
      <c r="C780" s="122" t="str">
        <f aca="false">IF(OR(B780="",B779=""),"",B780/B779-1)</f>
        <v/>
      </c>
      <c r="D780" s="122" t="str">
        <f aca="false">IF(B780="","",IFERROR(B780/INDEX($B$2:$B$800,MATCH(DATE(YEAR(A780)-1,12,1),$A$2:$A$800,0))-1,""))</f>
        <v/>
      </c>
      <c r="E780" s="122" t="str">
        <f aca="false">IF(B780="","",IFERROR(B780/INDEX($B$2:$B$800,MATCH(DATE(YEAR(A780)-1,MONTH(A780),1),$A$2:$A$800,0))-1,""))</f>
        <v/>
      </c>
    </row>
    <row r="781" customFormat="false" ht="15" hidden="false" customHeight="false" outlineLevel="0" collapsed="false">
      <c r="A781" s="124"/>
      <c r="B781" s="125"/>
      <c r="C781" s="122" t="str">
        <f aca="false">IF(OR(B781="",B780=""),"",B781/B780-1)</f>
        <v/>
      </c>
      <c r="D781" s="122" t="str">
        <f aca="false">IF(B781="","",IFERROR(B781/INDEX($B$2:$B$800,MATCH(DATE(YEAR(A781)-1,12,1),$A$2:$A$800,0))-1,""))</f>
        <v/>
      </c>
      <c r="E781" s="122" t="str">
        <f aca="false">IF(B781="","",IFERROR(B781/INDEX($B$2:$B$800,MATCH(DATE(YEAR(A781)-1,MONTH(A781),1),$A$2:$A$800,0))-1,""))</f>
        <v/>
      </c>
    </row>
    <row r="782" customFormat="false" ht="15" hidden="false" customHeight="false" outlineLevel="0" collapsed="false">
      <c r="A782" s="124"/>
      <c r="B782" s="125"/>
      <c r="C782" s="122" t="str">
        <f aca="false">IF(OR(B782="",B781=""),"",B782/B781-1)</f>
        <v/>
      </c>
      <c r="D782" s="122" t="str">
        <f aca="false">IF(B782="","",IFERROR(B782/INDEX($B$2:$B$800,MATCH(DATE(YEAR(A782)-1,12,1),$A$2:$A$800,0))-1,""))</f>
        <v/>
      </c>
      <c r="E782" s="122" t="str">
        <f aca="false">IF(B782="","",IFERROR(B782/INDEX($B$2:$B$800,MATCH(DATE(YEAR(A782)-1,MONTH(A782),1),$A$2:$A$800,0))-1,""))</f>
        <v/>
      </c>
    </row>
    <row r="783" customFormat="false" ht="15" hidden="false" customHeight="false" outlineLevel="0" collapsed="false">
      <c r="A783" s="124"/>
      <c r="B783" s="125"/>
      <c r="C783" s="122" t="str">
        <f aca="false">IF(OR(B783="",B782=""),"",B783/B782-1)</f>
        <v/>
      </c>
      <c r="D783" s="122" t="str">
        <f aca="false">IF(B783="","",IFERROR(B783/INDEX($B$2:$B$800,MATCH(DATE(YEAR(A783)-1,12,1),$A$2:$A$800,0))-1,""))</f>
        <v/>
      </c>
      <c r="E783" s="122" t="str">
        <f aca="false">IF(B783="","",IFERROR(B783/INDEX($B$2:$B$800,MATCH(DATE(YEAR(A783)-1,MONTH(A783),1),$A$2:$A$800,0))-1,""))</f>
        <v/>
      </c>
    </row>
    <row r="784" customFormat="false" ht="15" hidden="false" customHeight="false" outlineLevel="0" collapsed="false">
      <c r="A784" s="124"/>
      <c r="B784" s="125"/>
      <c r="C784" s="122" t="str">
        <f aca="false">IF(OR(B784="",B783=""),"",B784/B783-1)</f>
        <v/>
      </c>
      <c r="D784" s="122" t="str">
        <f aca="false">IF(B784="","",IFERROR(B784/INDEX($B$2:$B$800,MATCH(DATE(YEAR(A784)-1,12,1),$A$2:$A$800,0))-1,""))</f>
        <v/>
      </c>
      <c r="E784" s="122" t="str">
        <f aca="false">IF(B784="","",IFERROR(B784/INDEX($B$2:$B$800,MATCH(DATE(YEAR(A784)-1,MONTH(A784),1),$A$2:$A$800,0))-1,""))</f>
        <v/>
      </c>
    </row>
    <row r="785" customFormat="false" ht="15" hidden="false" customHeight="false" outlineLevel="0" collapsed="false">
      <c r="A785" s="124"/>
      <c r="B785" s="125"/>
      <c r="C785" s="122" t="str">
        <f aca="false">IF(OR(B785="",B784=""),"",B785/B784-1)</f>
        <v/>
      </c>
      <c r="D785" s="122" t="str">
        <f aca="false">IF(B785="","",IFERROR(B785/INDEX($B$2:$B$800,MATCH(DATE(YEAR(A785)-1,12,1),$A$2:$A$800,0))-1,""))</f>
        <v/>
      </c>
      <c r="E785" s="122" t="str">
        <f aca="false">IF(B785="","",IFERROR(B785/INDEX($B$2:$B$800,MATCH(DATE(YEAR(A785)-1,MONTH(A785),1),$A$2:$A$800,0))-1,""))</f>
        <v/>
      </c>
    </row>
    <row r="786" customFormat="false" ht="15" hidden="false" customHeight="false" outlineLevel="0" collapsed="false">
      <c r="A786" s="124"/>
      <c r="B786" s="125"/>
      <c r="C786" s="122" t="str">
        <f aca="false">IF(OR(B786="",B785=""),"",B786/B785-1)</f>
        <v/>
      </c>
      <c r="D786" s="122" t="str">
        <f aca="false">IF(B786="","",IFERROR(B786/INDEX($B$2:$B$800,MATCH(DATE(YEAR(A786)-1,12,1),$A$2:$A$800,0))-1,""))</f>
        <v/>
      </c>
      <c r="E786" s="122" t="str">
        <f aca="false">IF(B786="","",IFERROR(B786/INDEX($B$2:$B$800,MATCH(DATE(YEAR(A786)-1,MONTH(A786),1),$A$2:$A$800,0))-1,""))</f>
        <v/>
      </c>
    </row>
    <row r="787" customFormat="false" ht="15" hidden="false" customHeight="false" outlineLevel="0" collapsed="false">
      <c r="A787" s="124"/>
      <c r="B787" s="125"/>
      <c r="C787" s="122" t="str">
        <f aca="false">IF(OR(B787="",B786=""),"",B787/B786-1)</f>
        <v/>
      </c>
      <c r="D787" s="122" t="str">
        <f aca="false">IF(B787="","",IFERROR(B787/INDEX($B$2:$B$800,MATCH(DATE(YEAR(A787)-1,12,1),$A$2:$A$800,0))-1,""))</f>
        <v/>
      </c>
      <c r="E787" s="122" t="str">
        <f aca="false">IF(B787="","",IFERROR(B787/INDEX($B$2:$B$800,MATCH(DATE(YEAR(A787)-1,MONTH(A787),1),$A$2:$A$800,0))-1,""))</f>
        <v/>
      </c>
    </row>
    <row r="788" customFormat="false" ht="15" hidden="false" customHeight="false" outlineLevel="0" collapsed="false">
      <c r="A788" s="124"/>
      <c r="B788" s="125"/>
      <c r="C788" s="122" t="str">
        <f aca="false">IF(OR(B788="",B787=""),"",B788/B787-1)</f>
        <v/>
      </c>
      <c r="D788" s="122" t="str">
        <f aca="false">IF(B788="","",IFERROR(B788/INDEX($B$2:$B$800,MATCH(DATE(YEAR(A788)-1,12,1),$A$2:$A$800,0))-1,""))</f>
        <v/>
      </c>
      <c r="E788" s="122" t="str">
        <f aca="false">IF(B788="","",IFERROR(B788/INDEX($B$2:$B$800,MATCH(DATE(YEAR(A788)-1,MONTH(A788),1),$A$2:$A$800,0))-1,""))</f>
        <v/>
      </c>
    </row>
    <row r="789" customFormat="false" ht="15" hidden="false" customHeight="false" outlineLevel="0" collapsed="false">
      <c r="A789" s="124"/>
      <c r="B789" s="125"/>
      <c r="C789" s="122" t="str">
        <f aca="false">IF(OR(B789="",B788=""),"",B789/B788-1)</f>
        <v/>
      </c>
      <c r="D789" s="122" t="str">
        <f aca="false">IF(B789="","",IFERROR(B789/INDEX($B$2:$B$800,MATCH(DATE(YEAR(A789)-1,12,1),$A$2:$A$800,0))-1,""))</f>
        <v/>
      </c>
      <c r="E789" s="122" t="str">
        <f aca="false">IF(B789="","",IFERROR(B789/INDEX($B$2:$B$800,MATCH(DATE(YEAR(A789)-1,MONTH(A789),1),$A$2:$A$800,0))-1,""))</f>
        <v/>
      </c>
    </row>
    <row r="790" customFormat="false" ht="15" hidden="false" customHeight="false" outlineLevel="0" collapsed="false">
      <c r="A790" s="124"/>
      <c r="B790" s="125"/>
      <c r="C790" s="122" t="str">
        <f aca="false">IF(OR(B790="",B789=""),"",B790/B789-1)</f>
        <v/>
      </c>
      <c r="D790" s="122" t="str">
        <f aca="false">IF(B790="","",IFERROR(B790/INDEX($B$2:$B$800,MATCH(DATE(YEAR(A790)-1,12,1),$A$2:$A$800,0))-1,""))</f>
        <v/>
      </c>
      <c r="E790" s="122" t="str">
        <f aca="false">IF(B790="","",IFERROR(B790/INDEX($B$2:$B$800,MATCH(DATE(YEAR(A790)-1,MONTH(A790),1),$A$2:$A$800,0))-1,""))</f>
        <v/>
      </c>
    </row>
    <row r="791" customFormat="false" ht="15" hidden="false" customHeight="false" outlineLevel="0" collapsed="false">
      <c r="A791" s="124"/>
      <c r="B791" s="125"/>
      <c r="C791" s="122" t="str">
        <f aca="false">IF(OR(B791="",B790=""),"",B791/B790-1)</f>
        <v/>
      </c>
      <c r="D791" s="122" t="str">
        <f aca="false">IF(B791="","",IFERROR(B791/INDEX($B$2:$B$800,MATCH(DATE(YEAR(A791)-1,12,1),$A$2:$A$800,0))-1,""))</f>
        <v/>
      </c>
      <c r="E791" s="122" t="str">
        <f aca="false">IF(B791="","",IFERROR(B791/INDEX($B$2:$B$800,MATCH(DATE(YEAR(A791)-1,MONTH(A791),1),$A$2:$A$800,0))-1,""))</f>
        <v/>
      </c>
    </row>
    <row r="792" customFormat="false" ht="15" hidden="false" customHeight="false" outlineLevel="0" collapsed="false">
      <c r="A792" s="124"/>
      <c r="B792" s="125"/>
      <c r="C792" s="122" t="str">
        <f aca="false">IF(OR(B792="",B791=""),"",B792/B791-1)</f>
        <v/>
      </c>
      <c r="D792" s="122" t="str">
        <f aca="false">IF(B792="","",IFERROR(B792/INDEX($B$2:$B$800,MATCH(DATE(YEAR(A792)-1,12,1),$A$2:$A$800,0))-1,""))</f>
        <v/>
      </c>
      <c r="E792" s="122" t="str">
        <f aca="false">IF(B792="","",IFERROR(B792/INDEX($B$2:$B$800,MATCH(DATE(YEAR(A792)-1,MONTH(A792),1),$A$2:$A$800,0))-1,""))</f>
        <v/>
      </c>
    </row>
    <row r="793" customFormat="false" ht="15" hidden="false" customHeight="false" outlineLevel="0" collapsed="false">
      <c r="A793" s="124"/>
      <c r="B793" s="125"/>
      <c r="C793" s="122" t="str">
        <f aca="false">IF(OR(B793="",B792=""),"",B793/B792-1)</f>
        <v/>
      </c>
      <c r="D793" s="122" t="str">
        <f aca="false">IF(B793="","",IFERROR(B793/INDEX($B$2:$B$800,MATCH(DATE(YEAR(A793)-1,12,1),$A$2:$A$800,0))-1,""))</f>
        <v/>
      </c>
      <c r="E793" s="122" t="str">
        <f aca="false">IF(B793="","",IFERROR(B793/INDEX($B$2:$B$800,MATCH(DATE(YEAR(A793)-1,MONTH(A793),1),$A$2:$A$800,0))-1,""))</f>
        <v/>
      </c>
    </row>
    <row r="794" customFormat="false" ht="15" hidden="false" customHeight="false" outlineLevel="0" collapsed="false">
      <c r="A794" s="124"/>
      <c r="B794" s="125"/>
      <c r="C794" s="122" t="str">
        <f aca="false">IF(OR(B794="",B793=""),"",B794/B793-1)</f>
        <v/>
      </c>
      <c r="D794" s="122" t="str">
        <f aca="false">IF(B794="","",IFERROR(B794/INDEX($B$2:$B$800,MATCH(DATE(YEAR(A794)-1,12,1),$A$2:$A$800,0))-1,""))</f>
        <v/>
      </c>
      <c r="E794" s="122" t="str">
        <f aca="false">IF(B794="","",IFERROR(B794/INDEX($B$2:$B$800,MATCH(DATE(YEAR(A794)-1,MONTH(A794),1),$A$2:$A$800,0))-1,""))</f>
        <v/>
      </c>
    </row>
    <row r="795" customFormat="false" ht="15" hidden="false" customHeight="false" outlineLevel="0" collapsed="false">
      <c r="A795" s="124"/>
      <c r="B795" s="125"/>
      <c r="C795" s="122" t="str">
        <f aca="false">IF(OR(B795="",B794=""),"",B795/B794-1)</f>
        <v/>
      </c>
      <c r="D795" s="122" t="str">
        <f aca="false">IF(B795="","",IFERROR(B795/INDEX($B$2:$B$800,MATCH(DATE(YEAR(A795)-1,12,1),$A$2:$A$800,0))-1,""))</f>
        <v/>
      </c>
      <c r="E795" s="122" t="str">
        <f aca="false">IF(B795="","",IFERROR(B795/INDEX($B$2:$B$800,MATCH(DATE(YEAR(A795)-1,MONTH(A795),1),$A$2:$A$800,0))-1,""))</f>
        <v/>
      </c>
    </row>
    <row r="796" customFormat="false" ht="15" hidden="false" customHeight="false" outlineLevel="0" collapsed="false">
      <c r="A796" s="124"/>
      <c r="B796" s="125"/>
      <c r="C796" s="122" t="str">
        <f aca="false">IF(OR(B796="",B795=""),"",B796/B795-1)</f>
        <v/>
      </c>
      <c r="D796" s="122" t="str">
        <f aca="false">IF(B796="","",IFERROR(B796/INDEX($B$2:$B$800,MATCH(DATE(YEAR(A796)-1,12,1),$A$2:$A$800,0))-1,""))</f>
        <v/>
      </c>
      <c r="E796" s="122" t="str">
        <f aca="false">IF(B796="","",IFERROR(B796/INDEX($B$2:$B$800,MATCH(DATE(YEAR(A796)-1,MONTH(A796),1),$A$2:$A$800,0))-1,""))</f>
        <v/>
      </c>
    </row>
    <row r="797" customFormat="false" ht="15" hidden="false" customHeight="false" outlineLevel="0" collapsed="false">
      <c r="A797" s="124"/>
      <c r="B797" s="125"/>
      <c r="C797" s="122" t="str">
        <f aca="false">IF(OR(B797="",B796=""),"",B797/B796-1)</f>
        <v/>
      </c>
      <c r="D797" s="122" t="str">
        <f aca="false">IF(B797="","",IFERROR(B797/INDEX($B$2:$B$800,MATCH(DATE(YEAR(A797)-1,12,1),$A$2:$A$800,0))-1,""))</f>
        <v/>
      </c>
      <c r="E797" s="122" t="str">
        <f aca="false">IF(B797="","",IFERROR(B797/INDEX($B$2:$B$800,MATCH(DATE(YEAR(A797)-1,MONTH(A797),1),$A$2:$A$800,0))-1,""))</f>
        <v/>
      </c>
    </row>
    <row r="798" customFormat="false" ht="15" hidden="false" customHeight="false" outlineLevel="0" collapsed="false">
      <c r="A798" s="124"/>
      <c r="B798" s="125"/>
      <c r="C798" s="122" t="str">
        <f aca="false">IF(OR(B798="",B797=""),"",B798/B797-1)</f>
        <v/>
      </c>
      <c r="D798" s="122" t="str">
        <f aca="false">IF(B798="","",IFERROR(B798/INDEX($B$2:$B$800,MATCH(DATE(YEAR(A798)-1,12,1),$A$2:$A$800,0))-1,""))</f>
        <v/>
      </c>
      <c r="E798" s="122" t="str">
        <f aca="false">IF(B798="","",IFERROR(B798/INDEX($B$2:$B$800,MATCH(DATE(YEAR(A798)-1,MONTH(A798),1),$A$2:$A$800,0))-1,""))</f>
        <v/>
      </c>
    </row>
    <row r="799" customFormat="false" ht="15" hidden="false" customHeight="false" outlineLevel="0" collapsed="false">
      <c r="A799" s="124"/>
      <c r="B799" s="125"/>
      <c r="C799" s="122" t="str">
        <f aca="false">IF(OR(B799="",B798=""),"",B799/B798-1)</f>
        <v/>
      </c>
      <c r="D799" s="122" t="str">
        <f aca="false">IF(B799="","",IFERROR(B799/INDEX($B$2:$B$800,MATCH(DATE(YEAR(A799)-1,12,1),$A$2:$A$800,0))-1,""))</f>
        <v/>
      </c>
      <c r="E799" s="122" t="str">
        <f aca="false">IF(B799="","",IFERROR(B799/INDEX($B$2:$B$800,MATCH(DATE(YEAR(A799)-1,MONTH(A799),1),$A$2:$A$800,0))-1,""))</f>
        <v/>
      </c>
    </row>
    <row r="800" customFormat="false" ht="15" hidden="false" customHeight="false" outlineLevel="0" collapsed="false">
      <c r="A800" s="124"/>
      <c r="B800" s="125"/>
      <c r="C800" s="122" t="str">
        <f aca="false">IF(OR(B800="",B799=""),"",B800/B799-1)</f>
        <v/>
      </c>
      <c r="D800" s="122" t="str">
        <f aca="false">IF(B800="","",IFERROR(B800/INDEX($B$2:$B$800,MATCH(DATE(YEAR(A800)-1,12,1),$A$2:$A$800,0))-1,""))</f>
        <v/>
      </c>
      <c r="E800" s="122" t="str">
        <f aca="false">IF(B800="","",IFERROR(B800/INDEX($B$2:$B$800,MATCH(DATE(YEAR(A800)-1,MONTH(A800),1),$A$2:$A$800,0))-1,""))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ES9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" t="s">
        <v>404</v>
      </c>
    </row>
    <row r="2" customFormat="false" ht="15" hidden="false" customHeight="false" outlineLevel="0" collapsed="false">
      <c r="J2" s="2" t="s">
        <v>405</v>
      </c>
      <c r="M2" s="2" t="s">
        <v>406</v>
      </c>
      <c r="P2" s="2" t="s">
        <v>407</v>
      </c>
      <c r="S2" s="2" t="s">
        <v>408</v>
      </c>
      <c r="V2" s="2" t="s">
        <v>409</v>
      </c>
      <c r="Y2" s="2" t="s">
        <v>410</v>
      </c>
      <c r="AB2" s="2" t="s">
        <v>411</v>
      </c>
      <c r="AE2" s="2" t="s">
        <v>412</v>
      </c>
      <c r="AH2" s="2" t="s">
        <v>413</v>
      </c>
      <c r="AK2" s="2" t="s">
        <v>414</v>
      </c>
      <c r="AN2" s="2" t="s">
        <v>415</v>
      </c>
      <c r="AQ2" s="2" t="s">
        <v>416</v>
      </c>
      <c r="AT2" s="2" t="s">
        <v>417</v>
      </c>
      <c r="AW2" s="2" t="s">
        <v>418</v>
      </c>
      <c r="AZ2" s="2" t="s">
        <v>419</v>
      </c>
      <c r="BC2" s="2" t="s">
        <v>420</v>
      </c>
      <c r="BF2" s="2" t="s">
        <v>421</v>
      </c>
      <c r="BI2" s="2" t="s">
        <v>422</v>
      </c>
      <c r="BL2" s="2" t="s">
        <v>423</v>
      </c>
      <c r="BO2" s="2" t="s">
        <v>424</v>
      </c>
      <c r="BR2" s="2" t="s">
        <v>425</v>
      </c>
      <c r="BU2" s="2" t="s">
        <v>426</v>
      </c>
      <c r="BX2" s="2" t="s">
        <v>427</v>
      </c>
      <c r="CA2" s="2" t="s">
        <v>428</v>
      </c>
      <c r="CD2" s="2" t="s">
        <v>429</v>
      </c>
      <c r="CG2" s="2" t="s">
        <v>430</v>
      </c>
      <c r="CJ2" s="2" t="s">
        <v>431</v>
      </c>
      <c r="CM2" s="2" t="s">
        <v>432</v>
      </c>
      <c r="CP2" s="2" t="s">
        <v>433</v>
      </c>
      <c r="CS2" s="2" t="s">
        <v>434</v>
      </c>
      <c r="CV2" s="2" t="s">
        <v>435</v>
      </c>
      <c r="CY2" s="2" t="s">
        <v>436</v>
      </c>
      <c r="DB2" s="2" t="s">
        <v>437</v>
      </c>
      <c r="DE2" s="2" t="s">
        <v>438</v>
      </c>
      <c r="DH2" s="2" t="s">
        <v>439</v>
      </c>
      <c r="DK2" s="2" t="s">
        <v>440</v>
      </c>
      <c r="DN2" s="2" t="s">
        <v>441</v>
      </c>
      <c r="DQ2" s="2" t="s">
        <v>442</v>
      </c>
      <c r="DT2" s="2" t="s">
        <v>443</v>
      </c>
      <c r="DW2" s="2" t="s">
        <v>444</v>
      </c>
      <c r="DZ2" s="2" t="s">
        <v>445</v>
      </c>
      <c r="EC2" s="2" t="s">
        <v>446</v>
      </c>
      <c r="EF2" s="2" t="s">
        <v>447</v>
      </c>
      <c r="EI2" s="2" t="s">
        <v>448</v>
      </c>
      <c r="EL2" s="2" t="s">
        <v>449</v>
      </c>
      <c r="EO2" s="2" t="s">
        <v>450</v>
      </c>
      <c r="ER2" s="2" t="s">
        <v>451</v>
      </c>
    </row>
    <row r="3" customFormat="false" ht="15" hidden="false" customHeight="false" outlineLevel="0" collapsed="false">
      <c r="A3" s="2" t="s">
        <v>452</v>
      </c>
      <c r="B3" s="2" t="s">
        <v>453</v>
      </c>
      <c r="C3" s="2" t="s">
        <v>454</v>
      </c>
      <c r="D3" s="2" t="s">
        <v>455</v>
      </c>
      <c r="E3" s="2" t="s">
        <v>456</v>
      </c>
      <c r="F3" s="2" t="s">
        <v>457</v>
      </c>
      <c r="G3" s="2" t="s">
        <v>458</v>
      </c>
      <c r="H3" s="2" t="s">
        <v>459</v>
      </c>
      <c r="I3" s="2" t="s">
        <v>460</v>
      </c>
      <c r="J3" s="2" t="s">
        <v>461</v>
      </c>
      <c r="K3" s="2" t="s">
        <v>462</v>
      </c>
      <c r="L3" s="2" t="s">
        <v>460</v>
      </c>
      <c r="M3" s="2" t="s">
        <v>461</v>
      </c>
      <c r="N3" s="2" t="s">
        <v>462</v>
      </c>
      <c r="O3" s="2" t="s">
        <v>460</v>
      </c>
      <c r="P3" s="2" t="s">
        <v>461</v>
      </c>
      <c r="Q3" s="2" t="s">
        <v>462</v>
      </c>
      <c r="R3" s="2" t="s">
        <v>460</v>
      </c>
      <c r="S3" s="2" t="s">
        <v>461</v>
      </c>
      <c r="T3" s="2" t="s">
        <v>462</v>
      </c>
      <c r="U3" s="2" t="s">
        <v>460</v>
      </c>
      <c r="V3" s="2" t="s">
        <v>461</v>
      </c>
      <c r="W3" s="2" t="s">
        <v>462</v>
      </c>
      <c r="X3" s="2" t="s">
        <v>460</v>
      </c>
      <c r="Y3" s="2" t="s">
        <v>461</v>
      </c>
      <c r="Z3" s="2" t="s">
        <v>462</v>
      </c>
      <c r="AA3" s="2" t="s">
        <v>460</v>
      </c>
      <c r="AB3" s="2" t="s">
        <v>461</v>
      </c>
      <c r="AC3" s="2" t="s">
        <v>462</v>
      </c>
      <c r="AD3" s="2" t="s">
        <v>460</v>
      </c>
      <c r="AE3" s="2" t="s">
        <v>461</v>
      </c>
      <c r="AF3" s="2" t="s">
        <v>462</v>
      </c>
      <c r="AG3" s="2" t="s">
        <v>460</v>
      </c>
      <c r="AH3" s="2" t="s">
        <v>461</v>
      </c>
      <c r="AI3" s="2" t="s">
        <v>462</v>
      </c>
      <c r="AJ3" s="2" t="s">
        <v>460</v>
      </c>
      <c r="AK3" s="2" t="s">
        <v>461</v>
      </c>
      <c r="AL3" s="2" t="s">
        <v>462</v>
      </c>
      <c r="AM3" s="2" t="s">
        <v>460</v>
      </c>
      <c r="AN3" s="2" t="s">
        <v>461</v>
      </c>
      <c r="AO3" s="2" t="s">
        <v>462</v>
      </c>
      <c r="AP3" s="2" t="s">
        <v>460</v>
      </c>
      <c r="AQ3" s="2" t="s">
        <v>461</v>
      </c>
      <c r="AR3" s="2" t="s">
        <v>462</v>
      </c>
      <c r="AS3" s="2" t="s">
        <v>460</v>
      </c>
      <c r="AT3" s="2" t="s">
        <v>461</v>
      </c>
      <c r="AU3" s="2" t="s">
        <v>462</v>
      </c>
      <c r="AV3" s="2" t="s">
        <v>460</v>
      </c>
      <c r="AW3" s="2" t="s">
        <v>461</v>
      </c>
      <c r="AX3" s="2" t="s">
        <v>462</v>
      </c>
      <c r="AY3" s="2" t="s">
        <v>460</v>
      </c>
      <c r="AZ3" s="2" t="s">
        <v>461</v>
      </c>
      <c r="BA3" s="2" t="s">
        <v>462</v>
      </c>
      <c r="BB3" s="2" t="s">
        <v>460</v>
      </c>
      <c r="BC3" s="2" t="s">
        <v>461</v>
      </c>
      <c r="BD3" s="2" t="s">
        <v>462</v>
      </c>
      <c r="BE3" s="2" t="s">
        <v>460</v>
      </c>
      <c r="BF3" s="2" t="s">
        <v>461</v>
      </c>
      <c r="BG3" s="2" t="s">
        <v>462</v>
      </c>
      <c r="BH3" s="2" t="s">
        <v>460</v>
      </c>
      <c r="BI3" s="2" t="s">
        <v>461</v>
      </c>
      <c r="BJ3" s="2" t="s">
        <v>462</v>
      </c>
      <c r="BK3" s="2" t="s">
        <v>460</v>
      </c>
      <c r="BL3" s="2" t="s">
        <v>461</v>
      </c>
      <c r="BM3" s="2" t="s">
        <v>462</v>
      </c>
      <c r="BN3" s="2" t="s">
        <v>460</v>
      </c>
      <c r="BO3" s="2" t="s">
        <v>461</v>
      </c>
      <c r="BP3" s="2" t="s">
        <v>462</v>
      </c>
      <c r="BQ3" s="2" t="s">
        <v>460</v>
      </c>
      <c r="BR3" s="2" t="s">
        <v>461</v>
      </c>
      <c r="BS3" s="2" t="s">
        <v>462</v>
      </c>
      <c r="BT3" s="2" t="s">
        <v>460</v>
      </c>
      <c r="BU3" s="2" t="s">
        <v>461</v>
      </c>
      <c r="BV3" s="2" t="s">
        <v>462</v>
      </c>
      <c r="BW3" s="2" t="s">
        <v>460</v>
      </c>
      <c r="BX3" s="2" t="s">
        <v>461</v>
      </c>
      <c r="BY3" s="2" t="s">
        <v>462</v>
      </c>
      <c r="BZ3" s="2" t="s">
        <v>460</v>
      </c>
      <c r="CA3" s="2" t="s">
        <v>461</v>
      </c>
      <c r="CB3" s="2" t="s">
        <v>462</v>
      </c>
      <c r="CC3" s="2" t="s">
        <v>460</v>
      </c>
      <c r="CD3" s="2" t="s">
        <v>461</v>
      </c>
      <c r="CE3" s="2" t="s">
        <v>462</v>
      </c>
      <c r="CF3" s="2" t="s">
        <v>460</v>
      </c>
      <c r="CG3" s="2" t="s">
        <v>461</v>
      </c>
      <c r="CH3" s="2" t="s">
        <v>462</v>
      </c>
      <c r="CI3" s="2" t="s">
        <v>460</v>
      </c>
      <c r="CJ3" s="2" t="s">
        <v>461</v>
      </c>
      <c r="CK3" s="2" t="s">
        <v>462</v>
      </c>
      <c r="CL3" s="2" t="s">
        <v>460</v>
      </c>
      <c r="CM3" s="2" t="s">
        <v>461</v>
      </c>
      <c r="CN3" s="2" t="s">
        <v>462</v>
      </c>
      <c r="CO3" s="2" t="s">
        <v>460</v>
      </c>
      <c r="CP3" s="2" t="s">
        <v>461</v>
      </c>
      <c r="CQ3" s="2" t="s">
        <v>462</v>
      </c>
      <c r="CR3" s="2" t="s">
        <v>460</v>
      </c>
      <c r="CS3" s="2" t="s">
        <v>461</v>
      </c>
      <c r="CT3" s="2" t="s">
        <v>462</v>
      </c>
      <c r="CU3" s="2" t="s">
        <v>460</v>
      </c>
      <c r="CV3" s="2" t="s">
        <v>461</v>
      </c>
      <c r="CW3" s="2" t="s">
        <v>462</v>
      </c>
      <c r="CX3" s="2" t="s">
        <v>460</v>
      </c>
      <c r="CY3" s="2" t="s">
        <v>461</v>
      </c>
      <c r="CZ3" s="2" t="s">
        <v>462</v>
      </c>
      <c r="DA3" s="2" t="s">
        <v>460</v>
      </c>
      <c r="DB3" s="2" t="s">
        <v>461</v>
      </c>
      <c r="DC3" s="2" t="s">
        <v>462</v>
      </c>
      <c r="DD3" s="2" t="s">
        <v>460</v>
      </c>
      <c r="DE3" s="2" t="s">
        <v>461</v>
      </c>
      <c r="DF3" s="2" t="s">
        <v>462</v>
      </c>
      <c r="DG3" s="2" t="s">
        <v>460</v>
      </c>
      <c r="DH3" s="2" t="s">
        <v>461</v>
      </c>
      <c r="DI3" s="2" t="s">
        <v>462</v>
      </c>
      <c r="DJ3" s="2" t="s">
        <v>460</v>
      </c>
      <c r="DK3" s="2" t="s">
        <v>461</v>
      </c>
      <c r="DL3" s="2" t="s">
        <v>462</v>
      </c>
      <c r="DM3" s="2" t="s">
        <v>460</v>
      </c>
      <c r="DN3" s="2" t="s">
        <v>461</v>
      </c>
      <c r="DO3" s="2" t="s">
        <v>462</v>
      </c>
      <c r="DP3" s="2" t="s">
        <v>460</v>
      </c>
      <c r="DQ3" s="2" t="s">
        <v>461</v>
      </c>
      <c r="DR3" s="2" t="s">
        <v>462</v>
      </c>
      <c r="DS3" s="2" t="s">
        <v>460</v>
      </c>
      <c r="DT3" s="2" t="s">
        <v>461</v>
      </c>
      <c r="DU3" s="2" t="s">
        <v>462</v>
      </c>
      <c r="DV3" s="2" t="s">
        <v>460</v>
      </c>
      <c r="DW3" s="2" t="s">
        <v>461</v>
      </c>
      <c r="DX3" s="2" t="s">
        <v>462</v>
      </c>
      <c r="DY3" s="2" t="s">
        <v>460</v>
      </c>
      <c r="DZ3" s="2" t="s">
        <v>461</v>
      </c>
      <c r="EA3" s="2" t="s">
        <v>462</v>
      </c>
      <c r="EB3" s="2" t="s">
        <v>460</v>
      </c>
      <c r="EC3" s="2" t="s">
        <v>461</v>
      </c>
      <c r="ED3" s="2" t="s">
        <v>462</v>
      </c>
      <c r="EE3" s="2" t="s">
        <v>460</v>
      </c>
      <c r="EF3" s="2" t="s">
        <v>461</v>
      </c>
      <c r="EG3" s="2" t="s">
        <v>462</v>
      </c>
      <c r="EH3" s="2" t="s">
        <v>460</v>
      </c>
      <c r="EI3" s="2" t="s">
        <v>461</v>
      </c>
      <c r="EJ3" s="2" t="s">
        <v>462</v>
      </c>
      <c r="EK3" s="2" t="s">
        <v>460</v>
      </c>
      <c r="EL3" s="2" t="s">
        <v>461</v>
      </c>
      <c r="EM3" s="2" t="s">
        <v>462</v>
      </c>
      <c r="EN3" s="2" t="s">
        <v>460</v>
      </c>
      <c r="EO3" s="2" t="s">
        <v>461</v>
      </c>
      <c r="EP3" s="2" t="s">
        <v>462</v>
      </c>
      <c r="EQ3" s="2" t="s">
        <v>460</v>
      </c>
      <c r="ER3" s="2" t="s">
        <v>461</v>
      </c>
      <c r="ES3" s="2" t="s">
        <v>462</v>
      </c>
    </row>
    <row r="4" customFormat="false" ht="15" hidden="false" customHeight="false" outlineLevel="0" collapsed="false">
      <c r="A4" s="2" t="n">
        <v>1</v>
      </c>
      <c r="B4" s="2" t="s">
        <v>125</v>
      </c>
      <c r="C4" s="2" t="s">
        <v>63</v>
      </c>
      <c r="D4" s="2" t="s">
        <v>463</v>
      </c>
      <c r="E4" s="2" t="s">
        <v>463</v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 customFormat="false" ht="15" hidden="false" customHeight="false" outlineLevel="0" collapsed="false">
      <c r="A5" s="2" t="n">
        <v>2</v>
      </c>
      <c r="B5" s="2" t="s">
        <v>464</v>
      </c>
      <c r="C5" s="2" t="s">
        <v>465</v>
      </c>
      <c r="D5" s="2" t="s">
        <v>463</v>
      </c>
      <c r="E5" s="2" t="s">
        <v>463</v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 customFormat="false" ht="15" hidden="false" customHeight="false" outlineLevel="0" collapsed="false">
      <c r="A6" s="2" t="n">
        <v>1</v>
      </c>
      <c r="B6" s="2" t="s">
        <v>128</v>
      </c>
      <c r="C6" s="2" t="s">
        <v>466</v>
      </c>
      <c r="D6" s="2" t="s">
        <v>463</v>
      </c>
      <c r="E6" s="2" t="s">
        <v>463</v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 customFormat="false" ht="15" hidden="false" customHeight="false" outlineLevel="0" collapsed="false">
      <c r="A7" s="2" t="n">
        <v>2</v>
      </c>
      <c r="B7" s="2" t="s">
        <v>467</v>
      </c>
      <c r="C7" s="2" t="s">
        <v>468</v>
      </c>
      <c r="D7" s="2" t="s">
        <v>463</v>
      </c>
      <c r="E7" s="2" t="s">
        <v>463</v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 customFormat="false" ht="15" hidden="false" customHeight="false" outlineLevel="0" collapsed="false">
      <c r="A8" s="2" t="n">
        <v>1</v>
      </c>
      <c r="B8" s="2" t="s">
        <v>131</v>
      </c>
      <c r="C8" s="2" t="s">
        <v>66</v>
      </c>
      <c r="D8" s="2" t="s">
        <v>463</v>
      </c>
      <c r="E8" s="2" t="s">
        <v>463</v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 customFormat="false" ht="15" hidden="false" customHeight="false" outlineLevel="0" collapsed="false">
      <c r="A9" s="2" t="n">
        <v>2</v>
      </c>
      <c r="B9" s="2" t="s">
        <v>469</v>
      </c>
      <c r="C9" s="2" t="s">
        <v>470</v>
      </c>
      <c r="D9" s="2" t="s">
        <v>463</v>
      </c>
      <c r="E9" s="2" t="s">
        <v>463</v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 customFormat="false" ht="15" hidden="false" customHeight="false" outlineLevel="0" collapsed="false">
      <c r="A10" s="2" t="n">
        <v>2</v>
      </c>
      <c r="B10" s="2" t="s">
        <v>471</v>
      </c>
      <c r="C10" s="2" t="s">
        <v>472</v>
      </c>
      <c r="D10" s="2" t="s">
        <v>463</v>
      </c>
      <c r="E10" s="2" t="s">
        <v>463</v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 customFormat="false" ht="15" hidden="false" customHeight="false" outlineLevel="0" collapsed="false">
      <c r="A11" s="2" t="n">
        <v>1</v>
      </c>
      <c r="B11" s="2" t="s">
        <v>133</v>
      </c>
      <c r="C11" s="2" t="s">
        <v>67</v>
      </c>
      <c r="D11" s="2" t="s">
        <v>463</v>
      </c>
      <c r="E11" s="2" t="s">
        <v>463</v>
      </c>
      <c r="F11" s="2" t="n">
        <v>934513.130737505</v>
      </c>
      <c r="G11" s="2" t="n">
        <v>0</v>
      </c>
      <c r="H11" s="2" t="n">
        <v>934513.130737505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 customFormat="false" ht="15" hidden="false" customHeight="false" outlineLevel="0" collapsed="false">
      <c r="A12" s="2" t="n">
        <v>2</v>
      </c>
      <c r="B12" s="2" t="s">
        <v>473</v>
      </c>
      <c r="C12" s="2" t="s">
        <v>474</v>
      </c>
      <c r="D12" s="2" t="s">
        <v>463</v>
      </c>
      <c r="E12" s="2" t="s">
        <v>463</v>
      </c>
      <c r="F12" s="2" t="n">
        <v>261239.611</v>
      </c>
      <c r="G12" s="2" t="n">
        <v>0</v>
      </c>
      <c r="H12" s="2" t="n">
        <v>261239.611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 customFormat="false" ht="15" hidden="false" customHeight="false" outlineLevel="0" collapsed="false">
      <c r="A13" s="2" t="n">
        <v>3</v>
      </c>
      <c r="B13" s="2" t="s">
        <v>475</v>
      </c>
      <c r="C13" s="2" t="s">
        <v>476</v>
      </c>
      <c r="D13" s="2" t="s">
        <v>463</v>
      </c>
      <c r="E13" s="2" t="s">
        <v>463</v>
      </c>
      <c r="F13" s="2" t="n">
        <v>260739.611</v>
      </c>
      <c r="G13" s="2" t="n">
        <v>0</v>
      </c>
      <c r="H13" s="2" t="n">
        <v>260739.611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 customFormat="false" ht="15" hidden="false" customHeight="false" outlineLevel="0" collapsed="false">
      <c r="A14" s="2" t="n">
        <v>3</v>
      </c>
      <c r="B14" s="2" t="s">
        <v>477</v>
      </c>
      <c r="C14" s="2" t="s">
        <v>478</v>
      </c>
      <c r="D14" s="2" t="s">
        <v>463</v>
      </c>
      <c r="E14" s="2" t="s">
        <v>463</v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 customFormat="false" ht="15" hidden="false" customHeight="false" outlineLevel="0" collapsed="false">
      <c r="A15" s="2" t="n">
        <v>2</v>
      </c>
      <c r="B15" s="2" t="s">
        <v>479</v>
      </c>
      <c r="C15" s="2" t="s">
        <v>480</v>
      </c>
      <c r="D15" s="2" t="s">
        <v>463</v>
      </c>
      <c r="E15" s="2" t="s">
        <v>463</v>
      </c>
      <c r="F15" s="2" t="n">
        <v>252548.754426243</v>
      </c>
      <c r="G15" s="2" t="n">
        <v>0</v>
      </c>
      <c r="H15" s="2" t="n">
        <v>252548.754426243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 customFormat="false" ht="15" hidden="false" customHeight="false" outlineLevel="0" collapsed="false">
      <c r="A16" s="2" t="n">
        <v>3</v>
      </c>
      <c r="B16" s="2" t="s">
        <v>481</v>
      </c>
      <c r="C16" s="2" t="s">
        <v>482</v>
      </c>
      <c r="D16" s="2" t="s">
        <v>463</v>
      </c>
      <c r="E16" s="2" t="s">
        <v>463</v>
      </c>
      <c r="F16" s="2" t="n">
        <v>70540.4403084504</v>
      </c>
      <c r="G16" s="2" t="n">
        <v>0</v>
      </c>
      <c r="H16" s="2" t="n">
        <v>70540.4403084504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 customFormat="false" ht="15" hidden="false" customHeight="false" outlineLevel="0" collapsed="false">
      <c r="A17" s="2" t="n">
        <v>3</v>
      </c>
      <c r="B17" s="2" t="s">
        <v>483</v>
      </c>
      <c r="C17" s="2" t="s">
        <v>484</v>
      </c>
      <c r="D17" s="2" t="s">
        <v>463</v>
      </c>
      <c r="E17" s="2" t="s">
        <v>463</v>
      </c>
      <c r="F17" s="2" t="n">
        <v>63432.6187583272</v>
      </c>
      <c r="G17" s="2" t="n">
        <v>0</v>
      </c>
      <c r="H17" s="2" t="n">
        <v>63432.6187583272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 customFormat="false" ht="15" hidden="false" customHeight="false" outlineLevel="0" collapsed="false">
      <c r="A18" s="2" t="n">
        <v>3</v>
      </c>
      <c r="B18" s="2" t="s">
        <v>485</v>
      </c>
      <c r="C18" s="2" t="s">
        <v>486</v>
      </c>
      <c r="D18" s="2" t="s">
        <v>463</v>
      </c>
      <c r="E18" s="2" t="s">
        <v>463</v>
      </c>
      <c r="F18" s="2" t="n">
        <v>1718.48833854297</v>
      </c>
      <c r="G18" s="2" t="n">
        <v>0</v>
      </c>
      <c r="H18" s="2" t="n">
        <v>1718.48833854297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 customFormat="false" ht="15" hidden="false" customHeight="false" outlineLevel="0" collapsed="false">
      <c r="A19" s="2" t="n">
        <v>3</v>
      </c>
      <c r="B19" s="2" t="s">
        <v>487</v>
      </c>
      <c r="C19" s="2" t="s">
        <v>488</v>
      </c>
      <c r="D19" s="2" t="s">
        <v>463</v>
      </c>
      <c r="E19" s="2" t="s">
        <v>463</v>
      </c>
      <c r="F19" s="2" t="n">
        <v>51554.6501562892</v>
      </c>
      <c r="G19" s="2" t="n">
        <v>0</v>
      </c>
      <c r="H19" s="2" t="n">
        <v>51554.6501562892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 customFormat="false" ht="15" hidden="false" customHeight="false" outlineLevel="0" collapsed="false">
      <c r="A20" s="2" t="n">
        <v>3</v>
      </c>
      <c r="B20" s="2" t="s">
        <v>489</v>
      </c>
      <c r="C20" s="2" t="s">
        <v>490</v>
      </c>
      <c r="D20" s="2" t="s">
        <v>463</v>
      </c>
      <c r="E20" s="2" t="s">
        <v>463</v>
      </c>
      <c r="F20" s="2" t="n">
        <v>44680.6968021173</v>
      </c>
      <c r="G20" s="2" t="n">
        <v>0</v>
      </c>
      <c r="H20" s="2" t="n">
        <v>44680.6968021173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 customFormat="false" ht="15" hidden="false" customHeight="false" outlineLevel="0" collapsed="false">
      <c r="A21" s="2" t="n">
        <v>3</v>
      </c>
      <c r="B21" s="2" t="s">
        <v>491</v>
      </c>
      <c r="C21" s="2" t="s">
        <v>492</v>
      </c>
      <c r="D21" s="2" t="s">
        <v>463</v>
      </c>
      <c r="E21" s="2" t="s">
        <v>463</v>
      </c>
      <c r="F21" s="2" t="n">
        <v>20621.8600625157</v>
      </c>
      <c r="G21" s="2" t="n">
        <v>0</v>
      </c>
      <c r="H21" s="2" t="n">
        <v>20621.8600625157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 customFormat="false" ht="15" hidden="false" customHeight="false" outlineLevel="0" collapsed="false">
      <c r="A22" s="2" t="n">
        <v>2</v>
      </c>
      <c r="B22" s="2" t="s">
        <v>493</v>
      </c>
      <c r="C22" s="2" t="s">
        <v>494</v>
      </c>
      <c r="D22" s="2" t="s">
        <v>463</v>
      </c>
      <c r="E22" s="2" t="s">
        <v>463</v>
      </c>
      <c r="F22" s="2" t="n">
        <v>174114.811183567</v>
      </c>
      <c r="G22" s="2" t="n">
        <v>0</v>
      </c>
      <c r="H22" s="2" t="n">
        <v>174114.811183567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 customFormat="false" ht="15" hidden="false" customHeight="false" outlineLevel="0" collapsed="false">
      <c r="A23" s="2" t="n">
        <v>3</v>
      </c>
      <c r="B23" s="2" t="s">
        <v>495</v>
      </c>
      <c r="C23" s="2" t="s">
        <v>482</v>
      </c>
      <c r="D23" s="2" t="s">
        <v>463</v>
      </c>
      <c r="E23" s="2" t="s">
        <v>463</v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 customFormat="false" ht="15" hidden="false" customHeight="false" outlineLevel="0" collapsed="false">
      <c r="A24" s="2" t="n">
        <v>3</v>
      </c>
      <c r="B24" s="2" t="s">
        <v>496</v>
      </c>
      <c r="C24" s="2" t="s">
        <v>484</v>
      </c>
      <c r="D24" s="2" t="s">
        <v>463</v>
      </c>
      <c r="E24" s="2" t="s">
        <v>463</v>
      </c>
      <c r="F24" s="2" t="n">
        <v>45794.4120455003</v>
      </c>
      <c r="G24" s="2" t="n">
        <v>0</v>
      </c>
      <c r="H24" s="2" t="n">
        <v>45794.4120455003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 customFormat="false" ht="15" hidden="false" customHeight="false" outlineLevel="0" collapsed="false">
      <c r="A25" s="2" t="n">
        <v>3</v>
      </c>
      <c r="B25" s="2" t="s">
        <v>497</v>
      </c>
      <c r="C25" s="2" t="s">
        <v>488</v>
      </c>
      <c r="D25" s="2" t="s">
        <v>463</v>
      </c>
      <c r="E25" s="2" t="s">
        <v>463</v>
      </c>
      <c r="F25" s="2" t="n">
        <v>42235.9843705524</v>
      </c>
      <c r="G25" s="2" t="n">
        <v>0</v>
      </c>
      <c r="H25" s="2" t="n">
        <v>42235.9843705524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 customFormat="false" ht="15" hidden="false" customHeight="false" outlineLevel="0" collapsed="false">
      <c r="A26" s="2" t="n">
        <v>3</v>
      </c>
      <c r="B26" s="2" t="s">
        <v>498</v>
      </c>
      <c r="C26" s="2" t="s">
        <v>490</v>
      </c>
      <c r="D26" s="2" t="s">
        <v>463</v>
      </c>
      <c r="E26" s="2" t="s">
        <v>463</v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 customFormat="false" ht="15" hidden="false" customHeight="false" outlineLevel="0" collapsed="false">
      <c r="A27" s="2" t="n">
        <v>2</v>
      </c>
      <c r="B27" s="2" t="s">
        <v>499</v>
      </c>
      <c r="C27" s="2" t="s">
        <v>500</v>
      </c>
      <c r="D27" s="2" t="s">
        <v>463</v>
      </c>
      <c r="E27" s="2" t="s">
        <v>463</v>
      </c>
      <c r="F27" s="2" t="n">
        <v>25661.5906223315</v>
      </c>
      <c r="G27" s="2" t="n">
        <v>0</v>
      </c>
      <c r="H27" s="2" t="n">
        <v>25661.5906223315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 customFormat="false" ht="15" hidden="false" customHeight="false" outlineLevel="0" collapsed="false">
      <c r="A28" s="2" t="n">
        <v>3</v>
      </c>
      <c r="B28" s="2" t="s">
        <v>501</v>
      </c>
      <c r="C28" s="2" t="s">
        <v>502</v>
      </c>
      <c r="D28" s="2" t="s">
        <v>463</v>
      </c>
      <c r="E28" s="2" t="s">
        <v>463</v>
      </c>
      <c r="F28" s="2" t="n">
        <v>8447.19687411049</v>
      </c>
      <c r="G28" s="2" t="n">
        <v>0</v>
      </c>
      <c r="H28" s="2" t="n">
        <v>8447.19687411049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 customFormat="false" ht="15" hidden="false" customHeight="false" outlineLevel="0" collapsed="false">
      <c r="A29" s="2" t="n">
        <v>3</v>
      </c>
      <c r="B29" s="2" t="s">
        <v>503</v>
      </c>
      <c r="C29" s="2" t="s">
        <v>504</v>
      </c>
      <c r="D29" s="2" t="s">
        <v>463</v>
      </c>
      <c r="E29" s="2" t="s">
        <v>463</v>
      </c>
      <c r="F29" s="2" t="n">
        <v>8447.19687411049</v>
      </c>
      <c r="G29" s="2" t="n">
        <v>0</v>
      </c>
      <c r="H29" s="2" t="n">
        <v>8447.19687411049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 customFormat="false" ht="15" hidden="false" customHeight="false" outlineLevel="0" collapsed="false">
      <c r="A30" s="2" t="n">
        <v>3</v>
      </c>
      <c r="B30" s="2" t="s">
        <v>505</v>
      </c>
      <c r="C30" s="2" t="s">
        <v>506</v>
      </c>
      <c r="D30" s="2" t="s">
        <v>463</v>
      </c>
      <c r="E30" s="2" t="s">
        <v>463</v>
      </c>
      <c r="F30" s="2" t="n">
        <v>8447.19687411049</v>
      </c>
      <c r="G30" s="2" t="n">
        <v>0</v>
      </c>
      <c r="H30" s="2" t="n">
        <v>8447.19687411049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 customFormat="false" ht="15" hidden="false" customHeight="false" outlineLevel="0" collapsed="false">
      <c r="A31" s="2" t="n">
        <v>3</v>
      </c>
      <c r="B31" s="2" t="s">
        <v>507</v>
      </c>
      <c r="C31" s="2" t="s">
        <v>508</v>
      </c>
      <c r="D31" s="2" t="s">
        <v>463</v>
      </c>
      <c r="E31" s="2" t="s">
        <v>463</v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 customFormat="false" ht="15" hidden="false" customHeight="false" outlineLevel="0" collapsed="false">
      <c r="A32" s="2" t="n">
        <v>2</v>
      </c>
      <c r="B32" s="2" t="s">
        <v>509</v>
      </c>
      <c r="C32" s="2" t="s">
        <v>510</v>
      </c>
      <c r="D32" s="2" t="s">
        <v>463</v>
      </c>
      <c r="E32" s="2" t="s">
        <v>463</v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 customFormat="false" ht="15" hidden="false" customHeight="false" outlineLevel="0" collapsed="false">
      <c r="A33" s="2" t="n">
        <v>3</v>
      </c>
      <c r="B33" s="2" t="s">
        <v>511</v>
      </c>
      <c r="C33" s="2" t="s">
        <v>512</v>
      </c>
      <c r="D33" s="2" t="s">
        <v>463</v>
      </c>
      <c r="E33" s="2" t="s">
        <v>463</v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 customFormat="false" ht="15" hidden="false" customHeight="false" outlineLevel="0" collapsed="false">
      <c r="A34" s="2" t="n">
        <v>4</v>
      </c>
      <c r="B34" s="2" t="s">
        <v>513</v>
      </c>
      <c r="C34" s="2" t="s">
        <v>514</v>
      </c>
      <c r="D34" s="2" t="s">
        <v>463</v>
      </c>
      <c r="E34" s="2" t="s">
        <v>463</v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 customFormat="false" ht="15" hidden="false" customHeight="false" outlineLevel="0" collapsed="false">
      <c r="A35" s="2" t="n">
        <v>4</v>
      </c>
      <c r="B35" s="2" t="s">
        <v>515</v>
      </c>
      <c r="C35" s="2" t="s">
        <v>516</v>
      </c>
      <c r="D35" s="2" t="s">
        <v>463</v>
      </c>
      <c r="E35" s="2" t="s">
        <v>463</v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 customFormat="false" ht="15" hidden="false" customHeight="false" outlineLevel="0" collapsed="false">
      <c r="A36" s="2" t="n">
        <v>4</v>
      </c>
      <c r="B36" s="2" t="s">
        <v>517</v>
      </c>
      <c r="C36" s="2" t="s">
        <v>518</v>
      </c>
      <c r="D36" s="2" t="s">
        <v>463</v>
      </c>
      <c r="E36" s="2" t="s">
        <v>463</v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 customFormat="false" ht="15" hidden="false" customHeight="false" outlineLevel="0" collapsed="false">
      <c r="A37" s="2" t="n">
        <v>4</v>
      </c>
      <c r="B37" s="2" t="s">
        <v>519</v>
      </c>
      <c r="C37" s="2" t="s">
        <v>520</v>
      </c>
      <c r="D37" s="2" t="s">
        <v>463</v>
      </c>
      <c r="E37" s="2" t="s">
        <v>463</v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 customFormat="false" ht="15" hidden="false" customHeight="false" outlineLevel="0" collapsed="false">
      <c r="A38" s="2" t="n">
        <v>4</v>
      </c>
      <c r="B38" s="2" t="s">
        <v>521</v>
      </c>
      <c r="C38" s="2" t="s">
        <v>522</v>
      </c>
      <c r="D38" s="2" t="s">
        <v>463</v>
      </c>
      <c r="E38" s="2" t="s">
        <v>463</v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 customFormat="false" ht="15" hidden="false" customHeight="false" outlineLevel="0" collapsed="false">
      <c r="A39" s="2" t="n">
        <v>4</v>
      </c>
      <c r="B39" s="2" t="s">
        <v>523</v>
      </c>
      <c r="C39" s="2" t="s">
        <v>524</v>
      </c>
      <c r="D39" s="2" t="s">
        <v>463</v>
      </c>
      <c r="E39" s="2" t="s">
        <v>463</v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 customFormat="false" ht="15" hidden="false" customHeight="false" outlineLevel="0" collapsed="false">
      <c r="A40" s="2" t="n">
        <v>4</v>
      </c>
      <c r="B40" s="2" t="s">
        <v>525</v>
      </c>
      <c r="C40" s="2" t="s">
        <v>526</v>
      </c>
      <c r="D40" s="2" t="s">
        <v>463</v>
      </c>
      <c r="E40" s="2" t="s">
        <v>463</v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 customFormat="false" ht="15" hidden="false" customHeight="false" outlineLevel="0" collapsed="false">
      <c r="A41" s="2" t="n">
        <v>4</v>
      </c>
      <c r="B41" s="2" t="s">
        <v>527</v>
      </c>
      <c r="C41" s="2" t="s">
        <v>528</v>
      </c>
      <c r="D41" s="2" t="s">
        <v>463</v>
      </c>
      <c r="E41" s="2" t="s">
        <v>463</v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 customFormat="false" ht="15" hidden="false" customHeight="false" outlineLevel="0" collapsed="false">
      <c r="A42" s="2" t="n">
        <v>4</v>
      </c>
      <c r="B42" s="2" t="s">
        <v>529</v>
      </c>
      <c r="C42" s="2" t="s">
        <v>530</v>
      </c>
      <c r="D42" s="2" t="s">
        <v>463</v>
      </c>
      <c r="E42" s="2" t="s">
        <v>463</v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 customFormat="false" ht="15" hidden="false" customHeight="false" outlineLevel="0" collapsed="false">
      <c r="A43" s="2" t="n">
        <v>4</v>
      </c>
      <c r="B43" s="2" t="s">
        <v>531</v>
      </c>
      <c r="C43" s="2" t="s">
        <v>532</v>
      </c>
      <c r="D43" s="2" t="s">
        <v>463</v>
      </c>
      <c r="E43" s="2" t="s">
        <v>463</v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 customFormat="false" ht="15" hidden="false" customHeight="false" outlineLevel="0" collapsed="false">
      <c r="A44" s="2" t="n">
        <v>3</v>
      </c>
      <c r="B44" s="2" t="s">
        <v>533</v>
      </c>
      <c r="C44" s="2" t="s">
        <v>534</v>
      </c>
      <c r="D44" s="2" t="s">
        <v>463</v>
      </c>
      <c r="E44" s="2" t="s">
        <v>463</v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 customFormat="false" ht="15" hidden="false" customHeight="false" outlineLevel="0" collapsed="false">
      <c r="A45" s="2" t="n">
        <v>4</v>
      </c>
      <c r="B45" s="2" t="s">
        <v>535</v>
      </c>
      <c r="C45" s="2" t="s">
        <v>536</v>
      </c>
      <c r="D45" s="2" t="s">
        <v>463</v>
      </c>
      <c r="E45" s="2" t="s">
        <v>463</v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 customFormat="false" ht="15" hidden="false" customHeight="false" outlineLevel="0" collapsed="false">
      <c r="A46" s="2" t="n">
        <v>4</v>
      </c>
      <c r="B46" s="2" t="s">
        <v>537</v>
      </c>
      <c r="C46" s="2" t="s">
        <v>538</v>
      </c>
      <c r="D46" s="2" t="s">
        <v>463</v>
      </c>
      <c r="E46" s="2" t="s">
        <v>463</v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 customFormat="false" ht="15" hidden="false" customHeight="false" outlineLevel="0" collapsed="false">
      <c r="A47" s="2" t="n">
        <v>3</v>
      </c>
      <c r="B47" s="2" t="s">
        <v>539</v>
      </c>
      <c r="C47" s="2" t="s">
        <v>540</v>
      </c>
      <c r="D47" s="2" t="s">
        <v>463</v>
      </c>
      <c r="E47" s="2" t="s">
        <v>463</v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 customFormat="false" ht="15" hidden="false" customHeight="false" outlineLevel="0" collapsed="false">
      <c r="A48" s="2" t="n">
        <v>4</v>
      </c>
      <c r="B48" s="2" t="s">
        <v>541</v>
      </c>
      <c r="C48" s="2" t="s">
        <v>516</v>
      </c>
      <c r="D48" s="2" t="s">
        <v>463</v>
      </c>
      <c r="E48" s="2" t="s">
        <v>463</v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 customFormat="false" ht="15" hidden="false" customHeight="false" outlineLevel="0" collapsed="false">
      <c r="A49" s="2" t="n">
        <v>4</v>
      </c>
      <c r="B49" s="2" t="s">
        <v>542</v>
      </c>
      <c r="C49" s="2" t="s">
        <v>518</v>
      </c>
      <c r="D49" s="2" t="s">
        <v>463</v>
      </c>
      <c r="E49" s="2" t="s">
        <v>463</v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 customFormat="false" ht="15" hidden="false" customHeight="false" outlineLevel="0" collapsed="false">
      <c r="A50" s="2" t="n">
        <v>4</v>
      </c>
      <c r="B50" s="2" t="s">
        <v>543</v>
      </c>
      <c r="C50" s="2" t="s">
        <v>544</v>
      </c>
      <c r="D50" s="2" t="s">
        <v>463</v>
      </c>
      <c r="E50" s="2" t="s">
        <v>463</v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 customFormat="false" ht="15" hidden="false" customHeight="false" outlineLevel="0" collapsed="false">
      <c r="A51" s="2" t="n">
        <v>4</v>
      </c>
      <c r="B51" s="2" t="s">
        <v>545</v>
      </c>
      <c r="C51" s="2" t="s">
        <v>546</v>
      </c>
      <c r="D51" s="2" t="s">
        <v>463</v>
      </c>
      <c r="E51" s="2" t="s">
        <v>463</v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 customFormat="false" ht="15" hidden="false" customHeight="false" outlineLevel="0" collapsed="false">
      <c r="A52" s="2" t="n">
        <v>4</v>
      </c>
      <c r="B52" s="2" t="s">
        <v>547</v>
      </c>
      <c r="C52" s="2" t="s">
        <v>548</v>
      </c>
      <c r="D52" s="2" t="s">
        <v>463</v>
      </c>
      <c r="E52" s="2" t="s">
        <v>463</v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 customFormat="false" ht="15" hidden="false" customHeight="false" outlineLevel="0" collapsed="false">
      <c r="A53" s="2" t="n">
        <v>3</v>
      </c>
      <c r="B53" s="2" t="s">
        <v>549</v>
      </c>
      <c r="C53" s="2" t="s">
        <v>550</v>
      </c>
      <c r="D53" s="2" t="s">
        <v>463</v>
      </c>
      <c r="E53" s="2" t="s">
        <v>463</v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 customFormat="false" ht="15" hidden="false" customHeight="false" outlineLevel="0" collapsed="false">
      <c r="A54" s="2" t="n">
        <v>4</v>
      </c>
      <c r="B54" s="2" t="s">
        <v>551</v>
      </c>
      <c r="C54" s="2" t="s">
        <v>552</v>
      </c>
      <c r="D54" s="2" t="s">
        <v>463</v>
      </c>
      <c r="E54" s="2" t="s">
        <v>463</v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 customFormat="false" ht="15" hidden="false" customHeight="false" outlineLevel="0" collapsed="false">
      <c r="A55" s="2" t="n">
        <v>4</v>
      </c>
      <c r="B55" s="2" t="s">
        <v>553</v>
      </c>
      <c r="C55" s="2" t="s">
        <v>554</v>
      </c>
      <c r="D55" s="2" t="s">
        <v>463</v>
      </c>
      <c r="E55" s="2" t="s">
        <v>463</v>
      </c>
      <c r="F55" s="2" t="n">
        <v>7500</v>
      </c>
      <c r="G55" s="2" t="n">
        <v>0</v>
      </c>
      <c r="H55" s="2" t="n">
        <v>7500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 customFormat="false" ht="15" hidden="false" customHeight="false" outlineLevel="0" collapsed="false">
      <c r="A56" s="2" t="n">
        <v>4</v>
      </c>
      <c r="B56" s="2" t="s">
        <v>555</v>
      </c>
      <c r="C56" s="2" t="s">
        <v>556</v>
      </c>
      <c r="D56" s="2" t="s">
        <v>463</v>
      </c>
      <c r="E56" s="2" t="s">
        <v>463</v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 customFormat="false" ht="15" hidden="false" customHeight="false" outlineLevel="0" collapsed="false">
      <c r="A57" s="2" t="n">
        <v>4</v>
      </c>
      <c r="B57" s="2" t="s">
        <v>557</v>
      </c>
      <c r="C57" s="2" t="s">
        <v>558</v>
      </c>
      <c r="D57" s="2" t="s">
        <v>463</v>
      </c>
      <c r="E57" s="2" t="s">
        <v>463</v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 customFormat="false" ht="15" hidden="false" customHeight="false" outlineLevel="0" collapsed="false">
      <c r="A58" s="2" t="n">
        <v>4</v>
      </c>
      <c r="B58" s="2" t="s">
        <v>559</v>
      </c>
      <c r="C58" s="2" t="s">
        <v>560</v>
      </c>
      <c r="D58" s="2" t="s">
        <v>463</v>
      </c>
      <c r="E58" s="2" t="s">
        <v>463</v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 customFormat="false" ht="15" hidden="false" customHeight="false" outlineLevel="0" collapsed="false">
      <c r="A59" s="2" t="n">
        <v>4</v>
      </c>
      <c r="B59" s="2" t="s">
        <v>561</v>
      </c>
      <c r="C59" s="2" t="s">
        <v>562</v>
      </c>
      <c r="D59" s="2" t="s">
        <v>463</v>
      </c>
      <c r="E59" s="2" t="s">
        <v>463</v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 customFormat="false" ht="15" hidden="false" customHeight="false" outlineLevel="0" collapsed="false">
      <c r="A60" s="2" t="n">
        <v>3</v>
      </c>
      <c r="B60" s="2" t="s">
        <v>563</v>
      </c>
      <c r="C60" s="2" t="s">
        <v>564</v>
      </c>
      <c r="D60" s="2" t="s">
        <v>463</v>
      </c>
      <c r="E60" s="2" t="s">
        <v>463</v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 customFormat="false" ht="15" hidden="false" customHeight="false" outlineLevel="0" collapsed="false">
      <c r="A61" s="2" t="n">
        <v>4</v>
      </c>
      <c r="B61" s="2" t="s">
        <v>565</v>
      </c>
      <c r="C61" s="2" t="s">
        <v>514</v>
      </c>
      <c r="D61" s="2" t="s">
        <v>463</v>
      </c>
      <c r="E61" s="2" t="s">
        <v>463</v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 customFormat="false" ht="15" hidden="false" customHeight="false" outlineLevel="0" collapsed="false">
      <c r="A62" s="2" t="n">
        <v>4</v>
      </c>
      <c r="B62" s="2" t="s">
        <v>566</v>
      </c>
      <c r="C62" s="2" t="s">
        <v>516</v>
      </c>
      <c r="D62" s="2" t="s">
        <v>463</v>
      </c>
      <c r="E62" s="2" t="s">
        <v>463</v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 customFormat="false" ht="15" hidden="false" customHeight="false" outlineLevel="0" collapsed="false">
      <c r="A63" s="2" t="n">
        <v>4</v>
      </c>
      <c r="B63" s="2" t="s">
        <v>567</v>
      </c>
      <c r="C63" s="2" t="s">
        <v>518</v>
      </c>
      <c r="D63" s="2" t="s">
        <v>463</v>
      </c>
      <c r="E63" s="2" t="s">
        <v>463</v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 customFormat="false" ht="15" hidden="false" customHeight="false" outlineLevel="0" collapsed="false">
      <c r="A64" s="2" t="n">
        <v>4</v>
      </c>
      <c r="B64" s="2" t="s">
        <v>568</v>
      </c>
      <c r="C64" s="2" t="s">
        <v>522</v>
      </c>
      <c r="D64" s="2" t="s">
        <v>463</v>
      </c>
      <c r="E64" s="2" t="s">
        <v>463</v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 customFormat="false" ht="15" hidden="false" customHeight="false" outlineLevel="0" collapsed="false">
      <c r="A65" s="2" t="n">
        <v>4</v>
      </c>
      <c r="B65" s="2" t="s">
        <v>569</v>
      </c>
      <c r="C65" s="2" t="s">
        <v>524</v>
      </c>
      <c r="D65" s="2" t="s">
        <v>463</v>
      </c>
      <c r="E65" s="2" t="s">
        <v>463</v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 customFormat="false" ht="15" hidden="false" customHeight="false" outlineLevel="0" collapsed="false">
      <c r="A66" s="2" t="n">
        <v>2</v>
      </c>
      <c r="B66" s="2" t="s">
        <v>570</v>
      </c>
      <c r="C66" s="2" t="s">
        <v>571</v>
      </c>
      <c r="D66" s="2" t="s">
        <v>463</v>
      </c>
      <c r="E66" s="2" t="s">
        <v>463</v>
      </c>
      <c r="F66" s="2" t="n">
        <v>45283.8635053639</v>
      </c>
      <c r="G66" s="2" t="n">
        <v>0</v>
      </c>
      <c r="H66" s="2" t="n">
        <v>45283.8635053639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 customFormat="false" ht="15" hidden="false" customHeight="false" outlineLevel="0" collapsed="false">
      <c r="A67" s="2" t="n">
        <v>3</v>
      </c>
      <c r="B67" s="2" t="s">
        <v>572</v>
      </c>
      <c r="C67" s="2" t="s">
        <v>573</v>
      </c>
      <c r="D67" s="2" t="s">
        <v>463</v>
      </c>
      <c r="E67" s="2" t="s">
        <v>463</v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 customFormat="false" ht="15" hidden="false" customHeight="false" outlineLevel="0" collapsed="false">
      <c r="A68" s="2" t="n">
        <v>3</v>
      </c>
      <c r="B68" s="2" t="s">
        <v>574</v>
      </c>
      <c r="C68" s="2" t="s">
        <v>575</v>
      </c>
      <c r="D68" s="2" t="s">
        <v>463</v>
      </c>
      <c r="E68" s="2" t="s">
        <v>463</v>
      </c>
      <c r="F68" s="2" t="n">
        <v>30283.8635053639</v>
      </c>
      <c r="G68" s="2" t="n">
        <v>0</v>
      </c>
      <c r="H68" s="2" t="n">
        <v>30283.8635053639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 customFormat="false" ht="15" hidden="false" customHeight="false" outlineLevel="0" collapsed="false">
      <c r="A69" s="2" t="n">
        <v>1</v>
      </c>
      <c r="B69" s="2" t="s">
        <v>135</v>
      </c>
      <c r="C69" s="2" t="s">
        <v>137</v>
      </c>
      <c r="D69" s="2" t="s">
        <v>463</v>
      </c>
      <c r="E69" s="2" t="s">
        <v>463</v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 customFormat="false" ht="15" hidden="false" customHeight="false" outlineLevel="0" collapsed="false">
      <c r="A70" s="2" t="n">
        <v>2</v>
      </c>
      <c r="B70" s="2" t="s">
        <v>576</v>
      </c>
      <c r="C70" s="2" t="s">
        <v>577</v>
      </c>
      <c r="D70" s="2" t="s">
        <v>463</v>
      </c>
      <c r="E70" s="2" t="s">
        <v>463</v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 customFormat="false" ht="15" hidden="false" customHeight="false" outlineLevel="0" collapsed="false">
      <c r="A71" s="2" t="n">
        <v>2</v>
      </c>
      <c r="B71" s="2" t="s">
        <v>578</v>
      </c>
      <c r="C71" s="2" t="s">
        <v>579</v>
      </c>
      <c r="D71" s="2" t="s">
        <v>463</v>
      </c>
      <c r="E71" s="2" t="s">
        <v>463</v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 customFormat="false" ht="15" hidden="false" customHeight="false" outlineLevel="0" collapsed="false">
      <c r="A72" s="2" t="n">
        <v>2</v>
      </c>
      <c r="B72" s="2" t="s">
        <v>580</v>
      </c>
      <c r="C72" s="2" t="s">
        <v>581</v>
      </c>
      <c r="D72" s="2" t="s">
        <v>463</v>
      </c>
      <c r="E72" s="2" t="s">
        <v>463</v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 customFormat="false" ht="15" hidden="false" customHeight="false" outlineLevel="0" collapsed="false">
      <c r="A73" s="2" t="n">
        <v>1</v>
      </c>
      <c r="B73" s="2" t="s">
        <v>139</v>
      </c>
      <c r="C73" s="2" t="s">
        <v>140</v>
      </c>
      <c r="D73" s="2" t="s">
        <v>463</v>
      </c>
      <c r="E73" s="2" t="s">
        <v>463</v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 customFormat="false" ht="15" hidden="false" customHeight="false" outlineLevel="0" collapsed="false">
      <c r="A74" s="2" t="n">
        <v>2</v>
      </c>
      <c r="B74" s="2" t="s">
        <v>582</v>
      </c>
      <c r="C74" s="2" t="s">
        <v>583</v>
      </c>
      <c r="D74" s="2" t="s">
        <v>463</v>
      </c>
      <c r="E74" s="2" t="s">
        <v>463</v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 customFormat="false" ht="15" hidden="false" customHeight="false" outlineLevel="0" collapsed="false">
      <c r="A75" s="2" t="n">
        <v>2</v>
      </c>
      <c r="B75" s="2" t="s">
        <v>584</v>
      </c>
      <c r="C75" s="2" t="s">
        <v>585</v>
      </c>
      <c r="D75" s="2" t="s">
        <v>463</v>
      </c>
      <c r="E75" s="2" t="s">
        <v>463</v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 customFormat="false" ht="15" hidden="false" customHeight="false" outlineLevel="0" collapsed="false">
      <c r="A76" s="2" t="n">
        <v>2</v>
      </c>
      <c r="B76" s="2" t="s">
        <v>586</v>
      </c>
      <c r="C76" s="2" t="s">
        <v>587</v>
      </c>
      <c r="D76" s="2" t="s">
        <v>463</v>
      </c>
      <c r="E76" s="2" t="s">
        <v>463</v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 customFormat="false" ht="15" hidden="false" customHeight="false" outlineLevel="0" collapsed="false">
      <c r="A77" s="2" t="n">
        <v>2</v>
      </c>
      <c r="B77" s="2" t="s">
        <v>588</v>
      </c>
      <c r="C77" s="2" t="s">
        <v>589</v>
      </c>
      <c r="D77" s="2" t="s">
        <v>463</v>
      </c>
      <c r="E77" s="2" t="s">
        <v>463</v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 customFormat="false" ht="15" hidden="false" customHeight="false" outlineLevel="0" collapsed="false">
      <c r="A78" s="2" t="n">
        <v>1</v>
      </c>
      <c r="B78" s="2" t="s">
        <v>142</v>
      </c>
      <c r="C78" s="2" t="s">
        <v>83</v>
      </c>
      <c r="D78" s="2" t="s">
        <v>463</v>
      </c>
      <c r="E78" s="2" t="s">
        <v>463</v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 customFormat="false" ht="15" hidden="false" customHeight="false" outlineLevel="0" collapsed="false">
      <c r="A79" s="2" t="n">
        <v>2</v>
      </c>
      <c r="B79" s="2" t="s">
        <v>590</v>
      </c>
      <c r="C79" s="2" t="s">
        <v>591</v>
      </c>
      <c r="D79" s="2" t="s">
        <v>463</v>
      </c>
      <c r="E79" s="2" t="s">
        <v>463</v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 customFormat="false" ht="15" hidden="false" customHeight="false" outlineLevel="0" collapsed="false">
      <c r="A80" s="2" t="n">
        <v>2</v>
      </c>
      <c r="B80" s="2" t="s">
        <v>592</v>
      </c>
      <c r="C80" s="2" t="s">
        <v>593</v>
      </c>
      <c r="D80" s="2" t="s">
        <v>463</v>
      </c>
      <c r="E80" s="2" t="s">
        <v>463</v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 customFormat="false" ht="15" hidden="false" customHeight="false" outlineLevel="0" collapsed="false">
      <c r="A81" s="2" t="n">
        <v>2</v>
      </c>
      <c r="B81" s="2" t="s">
        <v>594</v>
      </c>
      <c r="C81" s="2" t="s">
        <v>595</v>
      </c>
      <c r="D81" s="2" t="s">
        <v>463</v>
      </c>
      <c r="E81" s="2" t="s">
        <v>463</v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 customFormat="false" ht="15" hidden="false" customHeight="false" outlineLevel="0" collapsed="false">
      <c r="A82" s="2" t="n">
        <v>2</v>
      </c>
      <c r="B82" s="2" t="s">
        <v>596</v>
      </c>
      <c r="C82" s="2" t="s">
        <v>597</v>
      </c>
      <c r="D82" s="2" t="s">
        <v>463</v>
      </c>
      <c r="E82" s="2" t="s">
        <v>463</v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 customFormat="false" ht="15" hidden="false" customHeight="false" outlineLevel="0" collapsed="false">
      <c r="A83" s="2" t="n">
        <v>2</v>
      </c>
      <c r="B83" s="2" t="s">
        <v>598</v>
      </c>
      <c r="C83" s="2" t="s">
        <v>599</v>
      </c>
      <c r="D83" s="2" t="s">
        <v>463</v>
      </c>
      <c r="E83" s="2" t="s">
        <v>463</v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 customFormat="false" ht="15" hidden="false" customHeight="false" outlineLevel="0" collapsed="false">
      <c r="A84" s="2" t="n">
        <v>1</v>
      </c>
      <c r="B84" s="2" t="s">
        <v>144</v>
      </c>
      <c r="C84" s="2" t="s">
        <v>145</v>
      </c>
      <c r="D84" s="2" t="s">
        <v>463</v>
      </c>
      <c r="E84" s="2" t="s">
        <v>463</v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 customFormat="false" ht="15" hidden="false" customHeight="false" outlineLevel="0" collapsed="false">
      <c r="A85" s="2" t="n">
        <v>2</v>
      </c>
      <c r="B85" s="2" t="s">
        <v>600</v>
      </c>
      <c r="C85" s="2" t="s">
        <v>601</v>
      </c>
      <c r="D85" s="2" t="s">
        <v>463</v>
      </c>
      <c r="E85" s="2" t="s">
        <v>463</v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 customFormat="false" ht="15" hidden="false" customHeight="false" outlineLevel="0" collapsed="false">
      <c r="A86" s="2" t="n">
        <v>2</v>
      </c>
      <c r="B86" s="2" t="s">
        <v>602</v>
      </c>
      <c r="C86" s="2" t="s">
        <v>603</v>
      </c>
      <c r="D86" s="2" t="s">
        <v>463</v>
      </c>
      <c r="E86" s="2" t="s">
        <v>463</v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 customFormat="false" ht="15" hidden="false" customHeight="false" outlineLevel="0" collapsed="false">
      <c r="A87" s="2" t="n">
        <v>2</v>
      </c>
      <c r="B87" s="2" t="s">
        <v>604</v>
      </c>
      <c r="C87" s="2" t="s">
        <v>605</v>
      </c>
      <c r="D87" s="2" t="s">
        <v>463</v>
      </c>
      <c r="E87" s="2" t="s">
        <v>463</v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 customFormat="false" ht="15" hidden="false" customHeight="false" outlineLevel="0" collapsed="false">
      <c r="A88" s="2" t="n">
        <v>2</v>
      </c>
      <c r="B88" s="2" t="s">
        <v>606</v>
      </c>
      <c r="C88" s="2" t="s">
        <v>607</v>
      </c>
      <c r="D88" s="2" t="s">
        <v>463</v>
      </c>
      <c r="E88" s="2" t="s">
        <v>463</v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 customFormat="false" ht="15" hidden="false" customHeight="false" outlineLevel="0" collapsed="false">
      <c r="A89" s="2" t="n">
        <v>1</v>
      </c>
      <c r="B89" s="2" t="s">
        <v>147</v>
      </c>
      <c r="C89" s="2" t="s">
        <v>69</v>
      </c>
      <c r="D89" s="2" t="s">
        <v>463</v>
      </c>
      <c r="E89" s="2" t="s">
        <v>463</v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 customFormat="false" ht="15" hidden="false" customHeight="false" outlineLevel="0" collapsed="false">
      <c r="A90" s="2" t="n">
        <v>2</v>
      </c>
      <c r="B90" s="2" t="s">
        <v>608</v>
      </c>
      <c r="C90" s="2" t="s">
        <v>609</v>
      </c>
      <c r="D90" s="2" t="s">
        <v>463</v>
      </c>
      <c r="E90" s="2" t="s">
        <v>463</v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 customFormat="false" ht="15" hidden="false" customHeight="false" outlineLevel="0" collapsed="false">
      <c r="A91" s="2" t="n">
        <v>3</v>
      </c>
      <c r="B91" s="2" t="s">
        <v>610</v>
      </c>
      <c r="C91" s="2" t="s">
        <v>611</v>
      </c>
      <c r="D91" s="2" t="s">
        <v>463</v>
      </c>
      <c r="E91" s="2" t="s">
        <v>463</v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 customFormat="false" ht="15" hidden="false" customHeight="false" outlineLevel="0" collapsed="false">
      <c r="A92" s="2" t="n">
        <v>3</v>
      </c>
      <c r="B92" s="2" t="s">
        <v>612</v>
      </c>
      <c r="C92" s="2" t="s">
        <v>613</v>
      </c>
      <c r="D92" s="2" t="s">
        <v>463</v>
      </c>
      <c r="E92" s="2" t="s">
        <v>463</v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 customFormat="false" ht="15" hidden="false" customHeight="false" outlineLevel="0" collapsed="false">
      <c r="A93" s="2" t="n">
        <v>2</v>
      </c>
      <c r="B93" s="2" t="s">
        <v>614</v>
      </c>
      <c r="C93" s="2" t="s">
        <v>615</v>
      </c>
      <c r="D93" s="2" t="s">
        <v>463</v>
      </c>
      <c r="E93" s="2" t="s">
        <v>463</v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 customFormat="false" ht="15" hidden="false" customHeight="false" outlineLevel="0" collapsed="false">
      <c r="A94" s="2" t="n">
        <v>3</v>
      </c>
      <c r="B94" s="2" t="s">
        <v>616</v>
      </c>
      <c r="C94" s="2" t="s">
        <v>617</v>
      </c>
      <c r="D94" s="2" t="s">
        <v>463</v>
      </c>
      <c r="E94" s="2" t="s">
        <v>463</v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 customFormat="false" ht="15" hidden="false" customHeight="false" outlineLevel="0" collapsed="false">
      <c r="A95" s="2" t="n">
        <v>3</v>
      </c>
      <c r="B95" s="2" t="s">
        <v>618</v>
      </c>
      <c r="C95" s="2" t="s">
        <v>619</v>
      </c>
      <c r="D95" s="2" t="s">
        <v>463</v>
      </c>
      <c r="E95" s="2" t="s">
        <v>463</v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 customFormat="false" ht="15" hidden="false" customHeight="false" outlineLevel="0" collapsed="false">
      <c r="A96" s="2" t="n">
        <v>3</v>
      </c>
      <c r="B96" s="2" t="s">
        <v>620</v>
      </c>
      <c r="C96" s="2" t="s">
        <v>621</v>
      </c>
      <c r="D96" s="2" t="s">
        <v>463</v>
      </c>
      <c r="E96" s="2" t="s">
        <v>463</v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 customFormat="false" ht="15" hidden="false" customHeight="false" outlineLevel="0" collapsed="false">
      <c r="A97" s="2" t="n">
        <v>3</v>
      </c>
      <c r="B97" s="2" t="s">
        <v>622</v>
      </c>
      <c r="C97" s="2" t="s">
        <v>623</v>
      </c>
      <c r="D97" s="2" t="s">
        <v>463</v>
      </c>
      <c r="E97" s="2" t="s">
        <v>463</v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 customFormat="false" ht="15" hidden="false" customHeight="false" outlineLevel="0" collapsed="false">
      <c r="A98" s="2" t="n">
        <v>3</v>
      </c>
      <c r="B98" s="2" t="s">
        <v>624</v>
      </c>
      <c r="C98" s="2" t="s">
        <v>625</v>
      </c>
      <c r="D98" s="2" t="s">
        <v>463</v>
      </c>
      <c r="E98" s="2" t="s">
        <v>463</v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 customFormat="false" ht="15" hidden="false" customHeight="false" outlineLevel="0" collapsed="false">
      <c r="A99" s="2" t="n">
        <v>3</v>
      </c>
      <c r="B99" s="2" t="s">
        <v>626</v>
      </c>
      <c r="C99" s="2" t="s">
        <v>627</v>
      </c>
      <c r="D99" s="2" t="s">
        <v>463</v>
      </c>
      <c r="E99" s="2" t="s">
        <v>463</v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 customFormat="false" ht="15" hidden="false" customHeight="false" outlineLevel="0" collapsed="false">
      <c r="A100" s="2" t="n">
        <v>3</v>
      </c>
      <c r="B100" s="2" t="s">
        <v>628</v>
      </c>
      <c r="C100" s="2" t="s">
        <v>629</v>
      </c>
      <c r="D100" s="2" t="s">
        <v>463</v>
      </c>
      <c r="E100" s="2" t="s">
        <v>463</v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 customFormat="false" ht="15" hidden="false" customHeight="false" outlineLevel="0" collapsed="false">
      <c r="A101" s="2" t="n">
        <v>2</v>
      </c>
      <c r="B101" s="2" t="s">
        <v>630</v>
      </c>
      <c r="C101" s="2" t="s">
        <v>631</v>
      </c>
      <c r="D101" s="2" t="s">
        <v>463</v>
      </c>
      <c r="E101" s="2" t="s">
        <v>463</v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 customFormat="false" ht="15" hidden="false" customHeight="false" outlineLevel="0" collapsed="false">
      <c r="A102" s="2" t="n">
        <v>3</v>
      </c>
      <c r="B102" s="2" t="s">
        <v>632</v>
      </c>
      <c r="C102" s="2" t="s">
        <v>633</v>
      </c>
      <c r="D102" s="2" t="s">
        <v>463</v>
      </c>
      <c r="E102" s="2" t="s">
        <v>463</v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 customFormat="false" ht="15" hidden="false" customHeight="false" outlineLevel="0" collapsed="false">
      <c r="A103" s="2" t="n">
        <v>3</v>
      </c>
      <c r="B103" s="2" t="s">
        <v>634</v>
      </c>
      <c r="C103" s="2" t="s">
        <v>635</v>
      </c>
      <c r="D103" s="2" t="s">
        <v>463</v>
      </c>
      <c r="E103" s="2" t="s">
        <v>463</v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 customFormat="false" ht="15" hidden="false" customHeight="false" outlineLevel="0" collapsed="false">
      <c r="A104" s="2" t="n">
        <v>3</v>
      </c>
      <c r="B104" s="2" t="s">
        <v>636</v>
      </c>
      <c r="C104" s="2" t="s">
        <v>637</v>
      </c>
      <c r="D104" s="2" t="s">
        <v>463</v>
      </c>
      <c r="E104" s="2" t="s">
        <v>463</v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 customFormat="false" ht="15" hidden="false" customHeight="false" outlineLevel="0" collapsed="false">
      <c r="A105" s="2" t="n">
        <v>1</v>
      </c>
      <c r="B105" s="2" t="s">
        <v>149</v>
      </c>
      <c r="C105" s="2" t="s">
        <v>82</v>
      </c>
      <c r="D105" s="2" t="s">
        <v>463</v>
      </c>
      <c r="E105" s="2" t="s">
        <v>463</v>
      </c>
      <c r="F105" s="2" t="n">
        <v>20188024.5525501</v>
      </c>
      <c r="G105" s="2" t="n">
        <v>0</v>
      </c>
      <c r="H105" s="2" t="n">
        <v>20188024.5525501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 customFormat="false" ht="15" hidden="false" customHeight="false" outlineLevel="0" collapsed="false">
      <c r="A106" s="2" t="n">
        <v>2</v>
      </c>
      <c r="B106" s="2" t="s">
        <v>638</v>
      </c>
      <c r="C106" s="2" t="s">
        <v>639</v>
      </c>
      <c r="D106" s="2" t="s">
        <v>463</v>
      </c>
      <c r="E106" s="2" t="s">
        <v>463</v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 customFormat="false" ht="15" hidden="false" customHeight="false" outlineLevel="0" collapsed="false">
      <c r="A107" s="2" t="n">
        <v>3</v>
      </c>
      <c r="B107" s="2" t="s">
        <v>640</v>
      </c>
      <c r="C107" s="2" t="s">
        <v>641</v>
      </c>
      <c r="D107" s="2" t="s">
        <v>463</v>
      </c>
      <c r="E107" s="2" t="s">
        <v>463</v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 customFormat="false" ht="15" hidden="false" customHeight="false" outlineLevel="0" collapsed="false">
      <c r="A108" s="2" t="n">
        <v>3</v>
      </c>
      <c r="B108" s="2" t="s">
        <v>642</v>
      </c>
      <c r="C108" s="2" t="s">
        <v>643</v>
      </c>
      <c r="D108" s="2" t="s">
        <v>463</v>
      </c>
      <c r="E108" s="2" t="s">
        <v>463</v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 customFormat="false" ht="15" hidden="false" customHeight="false" outlineLevel="0" collapsed="false">
      <c r="A109" s="2" t="n">
        <v>3</v>
      </c>
      <c r="B109" s="2" t="s">
        <v>644</v>
      </c>
      <c r="C109" s="2" t="s">
        <v>645</v>
      </c>
      <c r="D109" s="2" t="s">
        <v>463</v>
      </c>
      <c r="E109" s="2" t="s">
        <v>463</v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 customFormat="false" ht="15" hidden="false" customHeight="false" outlineLevel="0" collapsed="false">
      <c r="A110" s="2" t="n">
        <v>2</v>
      </c>
      <c r="B110" s="2" t="s">
        <v>646</v>
      </c>
      <c r="C110" s="2" t="s">
        <v>647</v>
      </c>
      <c r="D110" s="2" t="s">
        <v>463</v>
      </c>
      <c r="E110" s="2" t="s">
        <v>463</v>
      </c>
      <c r="F110" s="2" t="n">
        <v>7850880.91723005</v>
      </c>
      <c r="G110" s="2" t="n">
        <v>0</v>
      </c>
      <c r="H110" s="2" t="n">
        <v>7850880.91723005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 customFormat="false" ht="15" hidden="false" customHeight="false" outlineLevel="0" collapsed="false">
      <c r="A111" s="2" t="n">
        <v>3</v>
      </c>
      <c r="B111" s="2" t="s">
        <v>648</v>
      </c>
      <c r="C111" s="2" t="s">
        <v>649</v>
      </c>
      <c r="D111" s="2" t="s">
        <v>463</v>
      </c>
      <c r="E111" s="2" t="s">
        <v>463</v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 customFormat="false" ht="15" hidden="false" customHeight="false" outlineLevel="0" collapsed="false">
      <c r="A112" s="2" t="n">
        <v>3</v>
      </c>
      <c r="B112" s="2" t="s">
        <v>650</v>
      </c>
      <c r="C112" s="2" t="s">
        <v>651</v>
      </c>
      <c r="D112" s="2" t="s">
        <v>463</v>
      </c>
      <c r="E112" s="2" t="s">
        <v>463</v>
      </c>
      <c r="F112" s="2" t="n">
        <v>1246054.82671978</v>
      </c>
      <c r="G112" s="2" t="n">
        <v>0</v>
      </c>
      <c r="H112" s="2" t="n">
        <v>1246054.82671978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 customFormat="false" ht="15" hidden="false" customHeight="false" outlineLevel="0" collapsed="false">
      <c r="A113" s="2" t="n">
        <v>3</v>
      </c>
      <c r="B113" s="2" t="s">
        <v>652</v>
      </c>
      <c r="C113" s="2" t="s">
        <v>653</v>
      </c>
      <c r="D113" s="2" t="s">
        <v>463</v>
      </c>
      <c r="E113" s="2" t="s">
        <v>463</v>
      </c>
      <c r="F113" s="2" t="n">
        <v>439660.840208333</v>
      </c>
      <c r="G113" s="2" t="n">
        <v>0</v>
      </c>
      <c r="H113" s="2" t="n">
        <v>439660.840208333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 customFormat="false" ht="15" hidden="false" customHeight="false" outlineLevel="0" collapsed="false">
      <c r="A114" s="2" t="n">
        <v>3</v>
      </c>
      <c r="B114" s="2" t="s">
        <v>654</v>
      </c>
      <c r="C114" s="2" t="s">
        <v>655</v>
      </c>
      <c r="D114" s="2" t="s">
        <v>463</v>
      </c>
      <c r="E114" s="2" t="s">
        <v>463</v>
      </c>
      <c r="F114" s="2" t="n">
        <v>655575.577542745</v>
      </c>
      <c r="G114" s="2" t="n">
        <v>0</v>
      </c>
      <c r="H114" s="2" t="n">
        <v>655575.577542745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 customFormat="false" ht="15" hidden="false" customHeight="false" outlineLevel="0" collapsed="false">
      <c r="A115" s="2" t="n">
        <v>3</v>
      </c>
      <c r="B115" s="2" t="s">
        <v>656</v>
      </c>
      <c r="C115" s="2" t="s">
        <v>657</v>
      </c>
      <c r="D115" s="2" t="s">
        <v>463</v>
      </c>
      <c r="E115" s="2" t="s">
        <v>463</v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 customFormat="false" ht="15" hidden="false" customHeight="false" outlineLevel="0" collapsed="false">
      <c r="A116" s="2" t="n">
        <v>3</v>
      </c>
      <c r="B116" s="2" t="s">
        <v>658</v>
      </c>
      <c r="C116" s="2" t="s">
        <v>659</v>
      </c>
      <c r="D116" s="2" t="s">
        <v>463</v>
      </c>
      <c r="E116" s="2" t="s">
        <v>463</v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 customFormat="false" ht="15" hidden="false" customHeight="false" outlineLevel="0" collapsed="false">
      <c r="A117" s="2" t="n">
        <v>3</v>
      </c>
      <c r="B117" s="2" t="s">
        <v>660</v>
      </c>
      <c r="C117" s="2" t="s">
        <v>661</v>
      </c>
      <c r="D117" s="2" t="s">
        <v>463</v>
      </c>
      <c r="E117" s="2" t="s">
        <v>463</v>
      </c>
      <c r="F117" s="2" t="n">
        <v>278609.984842532</v>
      </c>
      <c r="G117" s="2" t="n">
        <v>0</v>
      </c>
      <c r="H117" s="2" t="n">
        <v>278609.984842532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 customFormat="false" ht="15" hidden="false" customHeight="false" outlineLevel="0" collapsed="false">
      <c r="A118" s="2" t="n">
        <v>3</v>
      </c>
      <c r="B118" s="2" t="s">
        <v>662</v>
      </c>
      <c r="C118" s="2" t="s">
        <v>663</v>
      </c>
      <c r="D118" s="2" t="s">
        <v>463</v>
      </c>
      <c r="E118" s="2" t="s">
        <v>463</v>
      </c>
      <c r="F118" s="2" t="n">
        <v>296723.687916667</v>
      </c>
      <c r="G118" s="2" t="n">
        <v>0</v>
      </c>
      <c r="H118" s="2" t="n">
        <v>296723.687916667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 customFormat="false" ht="15" hidden="false" customHeight="false" outlineLevel="0" collapsed="false">
      <c r="A119" s="2" t="n">
        <v>3</v>
      </c>
      <c r="B119" s="2" t="s">
        <v>664</v>
      </c>
      <c r="C119" s="2" t="s">
        <v>665</v>
      </c>
      <c r="D119" s="2" t="s">
        <v>463</v>
      </c>
      <c r="E119" s="2" t="s">
        <v>463</v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 customFormat="false" ht="15" hidden="false" customHeight="false" outlineLevel="0" collapsed="false">
      <c r="A120" s="2" t="n">
        <v>2</v>
      </c>
      <c r="B120" s="2" t="s">
        <v>666</v>
      </c>
      <c r="C120" s="2" t="s">
        <v>667</v>
      </c>
      <c r="D120" s="2" t="s">
        <v>463</v>
      </c>
      <c r="E120" s="2" t="s">
        <v>463</v>
      </c>
      <c r="F120" s="2" t="n">
        <v>1075308.62422711</v>
      </c>
      <c r="G120" s="2" t="n">
        <v>0</v>
      </c>
      <c r="H120" s="2" t="n">
        <v>1075308.62422711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 customFormat="false" ht="15" hidden="false" customHeight="false" outlineLevel="0" collapsed="false">
      <c r="A121" s="2" t="n">
        <v>3</v>
      </c>
      <c r="B121" s="2" t="s">
        <v>668</v>
      </c>
      <c r="C121" s="2" t="s">
        <v>669</v>
      </c>
      <c r="D121" s="2" t="s">
        <v>463</v>
      </c>
      <c r="E121" s="2" t="s">
        <v>463</v>
      </c>
      <c r="F121" s="2" t="n">
        <v>428010.491927362</v>
      </c>
      <c r="G121" s="2" t="n">
        <v>0</v>
      </c>
      <c r="H121" s="2" t="n">
        <v>428010.491927362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 customFormat="false" ht="15" hidden="false" customHeight="false" outlineLevel="0" collapsed="false">
      <c r="A122" s="2" t="n">
        <v>3</v>
      </c>
      <c r="B122" s="2" t="s">
        <v>670</v>
      </c>
      <c r="C122" s="2" t="s">
        <v>663</v>
      </c>
      <c r="D122" s="2" t="s">
        <v>463</v>
      </c>
      <c r="E122" s="2" t="s">
        <v>463</v>
      </c>
      <c r="F122" s="2" t="n">
        <v>70462.4238541667</v>
      </c>
      <c r="G122" s="2" t="n">
        <v>0</v>
      </c>
      <c r="H122" s="2" t="n">
        <v>70462.4238541667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 customFormat="false" ht="15" hidden="false" customHeight="false" outlineLevel="0" collapsed="false">
      <c r="A123" s="2" t="n">
        <v>3</v>
      </c>
      <c r="B123" s="2" t="s">
        <v>671</v>
      </c>
      <c r="C123" s="2" t="s">
        <v>672</v>
      </c>
      <c r="D123" s="2" t="s">
        <v>463</v>
      </c>
      <c r="E123" s="2" t="s">
        <v>463</v>
      </c>
      <c r="F123" s="2" t="n">
        <v>576835.708445585</v>
      </c>
      <c r="G123" s="2" t="n">
        <v>0</v>
      </c>
      <c r="H123" s="2" t="n">
        <v>576835.708445585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 customFormat="false" ht="15" hidden="false" customHeight="false" outlineLevel="0" collapsed="false">
      <c r="A124" s="2" t="n">
        <v>2</v>
      </c>
      <c r="B124" s="2" t="s">
        <v>673</v>
      </c>
      <c r="C124" s="2" t="s">
        <v>674</v>
      </c>
      <c r="D124" s="2" t="s">
        <v>463</v>
      </c>
      <c r="E124" s="2" t="s">
        <v>463</v>
      </c>
      <c r="F124" s="2" t="n">
        <v>1742630.06122156</v>
      </c>
      <c r="G124" s="2" t="n">
        <v>0</v>
      </c>
      <c r="H124" s="2" t="n">
        <v>1742630.06122156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 customFormat="false" ht="15" hidden="false" customHeight="false" outlineLevel="0" collapsed="false">
      <c r="A125" s="2" t="n">
        <v>3</v>
      </c>
      <c r="B125" s="2" t="s">
        <v>675</v>
      </c>
      <c r="C125" s="2" t="s">
        <v>676</v>
      </c>
      <c r="D125" s="2" t="s">
        <v>463</v>
      </c>
      <c r="E125" s="2" t="s">
        <v>463</v>
      </c>
      <c r="F125" s="2" t="n">
        <v>470876.068926383</v>
      </c>
      <c r="G125" s="2" t="n">
        <v>0</v>
      </c>
      <c r="H125" s="2" t="n">
        <v>470876.068926383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 customFormat="false" ht="15" hidden="false" customHeight="false" outlineLevel="0" collapsed="false">
      <c r="A126" s="2" t="n">
        <v>3</v>
      </c>
      <c r="B126" s="2" t="s">
        <v>677</v>
      </c>
      <c r="C126" s="2" t="s">
        <v>678</v>
      </c>
      <c r="D126" s="2" t="s">
        <v>463</v>
      </c>
      <c r="E126" s="2" t="s">
        <v>463</v>
      </c>
      <c r="F126" s="2" t="n">
        <v>238709.822771149</v>
      </c>
      <c r="G126" s="2" t="n">
        <v>0</v>
      </c>
      <c r="H126" s="2" t="n">
        <v>238709.822771149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 customFormat="false" ht="15" hidden="false" customHeight="false" outlineLevel="0" collapsed="false">
      <c r="A127" s="2" t="n">
        <v>3</v>
      </c>
      <c r="B127" s="2" t="s">
        <v>679</v>
      </c>
      <c r="C127" s="2" t="s">
        <v>680</v>
      </c>
      <c r="D127" s="2" t="s">
        <v>463</v>
      </c>
      <c r="E127" s="2" t="s">
        <v>463</v>
      </c>
      <c r="F127" s="2" t="n">
        <v>134216.259799948</v>
      </c>
      <c r="G127" s="2" t="n">
        <v>0</v>
      </c>
      <c r="H127" s="2" t="n">
        <v>134216.259799948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 customFormat="false" ht="15" hidden="false" customHeight="false" outlineLevel="0" collapsed="false">
      <c r="A128" s="2" t="n">
        <v>3</v>
      </c>
      <c r="B128" s="2" t="s">
        <v>681</v>
      </c>
      <c r="C128" s="2" t="s">
        <v>682</v>
      </c>
      <c r="D128" s="2" t="s">
        <v>463</v>
      </c>
      <c r="E128" s="2" t="s">
        <v>463</v>
      </c>
      <c r="F128" s="2" t="n">
        <v>240827.909724075</v>
      </c>
      <c r="G128" s="2" t="n">
        <v>0</v>
      </c>
      <c r="H128" s="2" t="n">
        <v>240827.909724075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 customFormat="false" ht="15" hidden="false" customHeight="false" outlineLevel="0" collapsed="false">
      <c r="A129" s="2" t="n">
        <v>3</v>
      </c>
      <c r="B129" s="2" t="s">
        <v>683</v>
      </c>
      <c r="C129" s="2" t="s">
        <v>684</v>
      </c>
      <c r="D129" s="2" t="s">
        <v>463</v>
      </c>
      <c r="E129" s="2" t="s">
        <v>463</v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 customFormat="false" ht="15" hidden="false" customHeight="false" outlineLevel="0" collapsed="false">
      <c r="A130" s="2" t="n">
        <v>2</v>
      </c>
      <c r="B130" s="2" t="s">
        <v>685</v>
      </c>
      <c r="C130" s="2" t="s">
        <v>686</v>
      </c>
      <c r="D130" s="2" t="s">
        <v>463</v>
      </c>
      <c r="E130" s="2" t="s">
        <v>463</v>
      </c>
      <c r="F130" s="2" t="n">
        <v>6902830.09116075</v>
      </c>
      <c r="G130" s="2" t="n">
        <v>0</v>
      </c>
      <c r="H130" s="2" t="n">
        <v>6902830.09116075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 customFormat="false" ht="15" hidden="false" customHeight="false" outlineLevel="0" collapsed="false">
      <c r="A131" s="2" t="n">
        <v>3</v>
      </c>
      <c r="B131" s="2" t="s">
        <v>687</v>
      </c>
      <c r="C131" s="2" t="s">
        <v>688</v>
      </c>
      <c r="D131" s="2" t="s">
        <v>463</v>
      </c>
      <c r="E131" s="2" t="s">
        <v>463</v>
      </c>
      <c r="F131" s="2" t="n">
        <v>930383.883009941</v>
      </c>
      <c r="G131" s="2" t="n">
        <v>0</v>
      </c>
      <c r="H131" s="2" t="n">
        <v>930383.883009941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 customFormat="false" ht="15" hidden="false" customHeight="false" outlineLevel="0" collapsed="false">
      <c r="A132" s="2" t="n">
        <v>3</v>
      </c>
      <c r="B132" s="2" t="s">
        <v>689</v>
      </c>
      <c r="C132" s="2" t="s">
        <v>690</v>
      </c>
      <c r="D132" s="2" t="s">
        <v>463</v>
      </c>
      <c r="E132" s="2" t="s">
        <v>463</v>
      </c>
      <c r="F132" s="2" t="n">
        <v>353504.311557109</v>
      </c>
      <c r="G132" s="2" t="n">
        <v>0</v>
      </c>
      <c r="H132" s="2" t="n">
        <v>353504.311557109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 customFormat="false" ht="15" hidden="false" customHeight="false" outlineLevel="0" collapsed="false">
      <c r="A133" s="2" t="n">
        <v>3</v>
      </c>
      <c r="B133" s="2" t="s">
        <v>691</v>
      </c>
      <c r="C133" s="2" t="s">
        <v>692</v>
      </c>
      <c r="D133" s="2" t="s">
        <v>463</v>
      </c>
      <c r="E133" s="2" t="s">
        <v>463</v>
      </c>
      <c r="F133" s="2" t="n">
        <v>244014.839181325</v>
      </c>
      <c r="G133" s="2" t="n">
        <v>0</v>
      </c>
      <c r="H133" s="2" t="n">
        <v>244014.839181325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 customFormat="false" ht="15" hidden="false" customHeight="false" outlineLevel="0" collapsed="false">
      <c r="A134" s="2" t="n">
        <v>3</v>
      </c>
      <c r="B134" s="2" t="s">
        <v>693</v>
      </c>
      <c r="C134" s="2" t="s">
        <v>694</v>
      </c>
      <c r="D134" s="2" t="s">
        <v>463</v>
      </c>
      <c r="E134" s="2" t="s">
        <v>463</v>
      </c>
      <c r="F134" s="2" t="n">
        <v>325353.118908433</v>
      </c>
      <c r="G134" s="2" t="n">
        <v>0</v>
      </c>
      <c r="H134" s="2" t="n">
        <v>325353.118908433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 customFormat="false" ht="15" hidden="false" customHeight="false" outlineLevel="0" collapsed="false">
      <c r="A135" s="2" t="n">
        <v>3</v>
      </c>
      <c r="B135" s="2" t="s">
        <v>695</v>
      </c>
      <c r="C135" s="2" t="s">
        <v>696</v>
      </c>
      <c r="D135" s="2" t="s">
        <v>463</v>
      </c>
      <c r="E135" s="2" t="s">
        <v>463</v>
      </c>
      <c r="F135" s="2" t="n">
        <v>376189.543737876</v>
      </c>
      <c r="G135" s="2" t="n">
        <v>0</v>
      </c>
      <c r="H135" s="2" t="n">
        <v>376189.543737876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 customFormat="false" ht="15" hidden="false" customHeight="false" outlineLevel="0" collapsed="false">
      <c r="A136" s="2" t="n">
        <v>3</v>
      </c>
      <c r="B136" s="2" t="s">
        <v>697</v>
      </c>
      <c r="C136" s="2" t="s">
        <v>698</v>
      </c>
      <c r="D136" s="2" t="s">
        <v>463</v>
      </c>
      <c r="E136" s="2" t="s">
        <v>463</v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 customFormat="false" ht="15" hidden="false" customHeight="false" outlineLevel="0" collapsed="false">
      <c r="A137" s="2" t="n">
        <v>3</v>
      </c>
      <c r="B137" s="2" t="s">
        <v>699</v>
      </c>
      <c r="C137" s="2" t="s">
        <v>700</v>
      </c>
      <c r="D137" s="2" t="s">
        <v>463</v>
      </c>
      <c r="E137" s="2" t="s">
        <v>463</v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 customFormat="false" ht="15" hidden="false" customHeight="false" outlineLevel="0" collapsed="false">
      <c r="A138" s="2" t="n">
        <v>3</v>
      </c>
      <c r="B138" s="2" t="s">
        <v>701</v>
      </c>
      <c r="C138" s="2" t="s">
        <v>702</v>
      </c>
      <c r="D138" s="2" t="s">
        <v>463</v>
      </c>
      <c r="E138" s="2" t="s">
        <v>463</v>
      </c>
      <c r="F138" s="2" t="n">
        <v>356478.59886122</v>
      </c>
      <c r="G138" s="2" t="n">
        <v>0</v>
      </c>
      <c r="H138" s="2" t="n">
        <v>356478.59886122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 customFormat="false" ht="15" hidden="false" customHeight="false" outlineLevel="0" collapsed="false">
      <c r="A139" s="2" t="n">
        <v>3</v>
      </c>
      <c r="B139" s="2" t="s">
        <v>703</v>
      </c>
      <c r="C139" s="2" t="s">
        <v>704</v>
      </c>
      <c r="D139" s="2" t="s">
        <v>463</v>
      </c>
      <c r="E139" s="2" t="s">
        <v>463</v>
      </c>
      <c r="F139" s="2" t="n">
        <v>971512.77211888</v>
      </c>
      <c r="G139" s="2" t="n">
        <v>0</v>
      </c>
      <c r="H139" s="2" t="n">
        <v>971512.77211888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 customFormat="false" ht="15" hidden="false" customHeight="false" outlineLevel="0" collapsed="false">
      <c r="A140" s="2" t="n">
        <v>3</v>
      </c>
      <c r="B140" s="2" t="s">
        <v>705</v>
      </c>
      <c r="C140" s="2" t="s">
        <v>706</v>
      </c>
      <c r="D140" s="2" t="s">
        <v>463</v>
      </c>
      <c r="E140" s="2" t="s">
        <v>463</v>
      </c>
      <c r="F140" s="2" t="n">
        <v>490370.575660786</v>
      </c>
      <c r="G140" s="2" t="n">
        <v>0</v>
      </c>
      <c r="H140" s="2" t="n">
        <v>490370.575660786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 customFormat="false" ht="15" hidden="false" customHeight="false" outlineLevel="0" collapsed="false">
      <c r="A141" s="2" t="n">
        <v>3</v>
      </c>
      <c r="B141" s="2" t="s">
        <v>707</v>
      </c>
      <c r="C141" s="2" t="s">
        <v>708</v>
      </c>
      <c r="D141" s="2" t="s">
        <v>463</v>
      </c>
      <c r="E141" s="2" t="s">
        <v>463</v>
      </c>
      <c r="F141" s="2" t="n">
        <v>623963.220648741</v>
      </c>
      <c r="G141" s="2" t="n">
        <v>0</v>
      </c>
      <c r="H141" s="2" t="n">
        <v>623963.220648741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 customFormat="false" ht="15" hidden="false" customHeight="false" outlineLevel="0" collapsed="false">
      <c r="A142" s="2" t="n">
        <v>3</v>
      </c>
      <c r="B142" s="2" t="s">
        <v>709</v>
      </c>
      <c r="C142" s="2" t="s">
        <v>710</v>
      </c>
      <c r="D142" s="2" t="s">
        <v>463</v>
      </c>
      <c r="E142" s="2" t="s">
        <v>463</v>
      </c>
      <c r="F142" s="2" t="n">
        <v>618489.859064103</v>
      </c>
      <c r="G142" s="2" t="n">
        <v>0</v>
      </c>
      <c r="H142" s="2" t="n">
        <v>618489.859064103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 customFormat="false" ht="15" hidden="false" customHeight="false" outlineLevel="0" collapsed="false">
      <c r="A143" s="2" t="n">
        <v>3</v>
      </c>
      <c r="B143" s="2" t="s">
        <v>711</v>
      </c>
      <c r="C143" s="2" t="s">
        <v>712</v>
      </c>
      <c r="D143" s="2" t="s">
        <v>463</v>
      </c>
      <c r="E143" s="2" t="s">
        <v>463</v>
      </c>
      <c r="F143" s="2" t="n">
        <v>1018045.25474268</v>
      </c>
      <c r="G143" s="2" t="n">
        <v>0</v>
      </c>
      <c r="H143" s="2" t="n">
        <v>1018045.25474268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 customFormat="false" ht="15" hidden="false" customHeight="false" outlineLevel="0" collapsed="false">
      <c r="A144" s="2" t="n">
        <v>2</v>
      </c>
      <c r="B144" s="2" t="s">
        <v>713</v>
      </c>
      <c r="C144" s="2" t="s">
        <v>714</v>
      </c>
      <c r="D144" s="2" t="s">
        <v>463</v>
      </c>
      <c r="E144" s="2" t="s">
        <v>463</v>
      </c>
      <c r="F144" s="2" t="n">
        <v>1088419.6793247</v>
      </c>
      <c r="G144" s="2" t="n">
        <v>0</v>
      </c>
      <c r="H144" s="2" t="n">
        <v>1088419.6793247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 customFormat="false" ht="15" hidden="false" customHeight="false" outlineLevel="0" collapsed="false">
      <c r="A145" s="2" t="n">
        <v>3</v>
      </c>
      <c r="B145" s="2" t="s">
        <v>715</v>
      </c>
      <c r="C145" s="2" t="s">
        <v>716</v>
      </c>
      <c r="D145" s="2" t="s">
        <v>463</v>
      </c>
      <c r="E145" s="2" t="s">
        <v>463</v>
      </c>
      <c r="F145" s="2" t="n">
        <v>250468.136561899</v>
      </c>
      <c r="G145" s="2" t="n">
        <v>0</v>
      </c>
      <c r="H145" s="2" t="n">
        <v>250468.136561899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 customFormat="false" ht="15" hidden="false" customHeight="false" outlineLevel="0" collapsed="false">
      <c r="A146" s="2" t="n">
        <v>3</v>
      </c>
      <c r="B146" s="2" t="s">
        <v>717</v>
      </c>
      <c r="C146" s="2" t="s">
        <v>718</v>
      </c>
      <c r="D146" s="2" t="s">
        <v>463</v>
      </c>
      <c r="E146" s="2" t="s">
        <v>463</v>
      </c>
      <c r="F146" s="2" t="n">
        <v>131360.678031314</v>
      </c>
      <c r="G146" s="2" t="n">
        <v>0</v>
      </c>
      <c r="H146" s="2" t="n">
        <v>131360.678031314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 customFormat="false" ht="15" hidden="false" customHeight="false" outlineLevel="0" collapsed="false">
      <c r="A147" s="2" t="n">
        <v>3</v>
      </c>
      <c r="B147" s="2" t="s">
        <v>719</v>
      </c>
      <c r="C147" s="2" t="s">
        <v>720</v>
      </c>
      <c r="D147" s="2" t="s">
        <v>463</v>
      </c>
      <c r="E147" s="2" t="s">
        <v>463</v>
      </c>
      <c r="F147" s="2" t="n">
        <v>440216.724866367</v>
      </c>
      <c r="G147" s="2" t="n">
        <v>0</v>
      </c>
      <c r="H147" s="2" t="n">
        <v>440216.724866367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 customFormat="false" ht="15" hidden="false" customHeight="false" outlineLevel="0" collapsed="false">
      <c r="A148" s="2" t="n">
        <v>3</v>
      </c>
      <c r="B148" s="2" t="s">
        <v>721</v>
      </c>
      <c r="C148" s="2" t="s">
        <v>722</v>
      </c>
      <c r="D148" s="2" t="s">
        <v>463</v>
      </c>
      <c r="E148" s="2" t="s">
        <v>463</v>
      </c>
      <c r="F148" s="2" t="n">
        <v>266374.139865118</v>
      </c>
      <c r="G148" s="2" t="n">
        <v>0</v>
      </c>
      <c r="H148" s="2" t="n">
        <v>266374.139865118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 customFormat="false" ht="15" hidden="false" customHeight="false" outlineLevel="0" collapsed="false">
      <c r="A149" s="2" t="n">
        <v>2</v>
      </c>
      <c r="B149" s="2" t="s">
        <v>723</v>
      </c>
      <c r="C149" s="2" t="s">
        <v>724</v>
      </c>
      <c r="D149" s="2" t="s">
        <v>463</v>
      </c>
      <c r="E149" s="2" t="s">
        <v>463</v>
      </c>
      <c r="F149" s="2" t="n">
        <v>1447955.1793859</v>
      </c>
      <c r="G149" s="2" t="n">
        <v>0</v>
      </c>
      <c r="H149" s="2" t="n">
        <v>1447955.1793859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 customFormat="false" ht="15" hidden="false" customHeight="false" outlineLevel="0" collapsed="false">
      <c r="A150" s="2" t="n">
        <v>3</v>
      </c>
      <c r="B150" s="2" t="s">
        <v>725</v>
      </c>
      <c r="C150" s="2" t="s">
        <v>726</v>
      </c>
      <c r="D150" s="2" t="s">
        <v>463</v>
      </c>
      <c r="E150" s="2" t="s">
        <v>463</v>
      </c>
      <c r="F150" s="2" t="n">
        <v>1447955.1793859</v>
      </c>
      <c r="G150" s="2" t="n">
        <v>0</v>
      </c>
      <c r="H150" s="2" t="n">
        <v>1447955.1793859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 customFormat="false" ht="15" hidden="false" customHeight="false" outlineLevel="0" collapsed="false">
      <c r="A151" s="2" t="n">
        <v>1</v>
      </c>
      <c r="B151" s="2" t="s">
        <v>151</v>
      </c>
      <c r="C151" s="2" t="s">
        <v>78</v>
      </c>
      <c r="D151" s="2" t="s">
        <v>463</v>
      </c>
      <c r="E151" s="2" t="s">
        <v>463</v>
      </c>
      <c r="F151" s="2" t="n">
        <v>6467911.66305041</v>
      </c>
      <c r="G151" s="2" t="n">
        <v>0</v>
      </c>
      <c r="H151" s="2" t="n">
        <v>6467911.66305041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 customFormat="false" ht="15" hidden="false" customHeight="false" outlineLevel="0" collapsed="false">
      <c r="A152" s="2" t="n">
        <v>2</v>
      </c>
      <c r="B152" s="2" t="s">
        <v>727</v>
      </c>
      <c r="C152" s="2" t="s">
        <v>728</v>
      </c>
      <c r="D152" s="2" t="s">
        <v>463</v>
      </c>
      <c r="E152" s="2" t="s">
        <v>463</v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 customFormat="false" ht="15" hidden="false" customHeight="false" outlineLevel="0" collapsed="false">
      <c r="A153" s="2" t="n">
        <v>3</v>
      </c>
      <c r="B153" s="2" t="s">
        <v>729</v>
      </c>
      <c r="C153" s="2" t="s">
        <v>730</v>
      </c>
      <c r="D153" s="2" t="s">
        <v>463</v>
      </c>
      <c r="E153" s="2" t="s">
        <v>463</v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 customFormat="false" ht="15" hidden="false" customHeight="false" outlineLevel="0" collapsed="false">
      <c r="A154" s="2" t="n">
        <v>2</v>
      </c>
      <c r="B154" s="2" t="s">
        <v>731</v>
      </c>
      <c r="C154" s="2" t="s">
        <v>732</v>
      </c>
      <c r="D154" s="2" t="s">
        <v>463</v>
      </c>
      <c r="E154" s="2" t="s">
        <v>463</v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 customFormat="false" ht="15" hidden="false" customHeight="false" outlineLevel="0" collapsed="false">
      <c r="A155" s="2" t="n">
        <v>3</v>
      </c>
      <c r="B155" s="2" t="s">
        <v>733</v>
      </c>
      <c r="C155" s="2" t="s">
        <v>734</v>
      </c>
      <c r="D155" s="2" t="s">
        <v>463</v>
      </c>
      <c r="E155" s="2" t="s">
        <v>463</v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 customFormat="false" ht="15" hidden="false" customHeight="false" outlineLevel="0" collapsed="false">
      <c r="A156" s="2" t="n">
        <v>3</v>
      </c>
      <c r="B156" s="2" t="s">
        <v>735</v>
      </c>
      <c r="C156" s="2" t="s">
        <v>736</v>
      </c>
      <c r="D156" s="2" t="s">
        <v>463</v>
      </c>
      <c r="E156" s="2" t="s">
        <v>463</v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 customFormat="false" ht="15" hidden="false" customHeight="false" outlineLevel="0" collapsed="false">
      <c r="A157" s="2" t="n">
        <v>3</v>
      </c>
      <c r="B157" s="2" t="s">
        <v>737</v>
      </c>
      <c r="C157" s="2" t="s">
        <v>738</v>
      </c>
      <c r="D157" s="2" t="s">
        <v>463</v>
      </c>
      <c r="E157" s="2" t="s">
        <v>463</v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 customFormat="false" ht="15" hidden="false" customHeight="false" outlineLevel="0" collapsed="false">
      <c r="A158" s="2" t="n">
        <v>3</v>
      </c>
      <c r="B158" s="2" t="s">
        <v>739</v>
      </c>
      <c r="C158" s="2" t="s">
        <v>740</v>
      </c>
      <c r="D158" s="2" t="s">
        <v>463</v>
      </c>
      <c r="E158" s="2" t="s">
        <v>463</v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 customFormat="false" ht="15" hidden="false" customHeight="false" outlineLevel="0" collapsed="false">
      <c r="A159" s="2" t="n">
        <v>3</v>
      </c>
      <c r="B159" s="2" t="s">
        <v>741</v>
      </c>
      <c r="C159" s="2" t="s">
        <v>742</v>
      </c>
      <c r="D159" s="2" t="s">
        <v>463</v>
      </c>
      <c r="E159" s="2" t="s">
        <v>463</v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 customFormat="false" ht="15" hidden="false" customHeight="false" outlineLevel="0" collapsed="false">
      <c r="A160" s="2" t="n">
        <v>3</v>
      </c>
      <c r="B160" s="2" t="s">
        <v>743</v>
      </c>
      <c r="C160" s="2" t="s">
        <v>744</v>
      </c>
      <c r="D160" s="2" t="s">
        <v>463</v>
      </c>
      <c r="E160" s="2" t="s">
        <v>463</v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 customFormat="false" ht="15" hidden="false" customHeight="false" outlineLevel="0" collapsed="false">
      <c r="A161" s="2" t="n">
        <v>2</v>
      </c>
      <c r="B161" s="2" t="s">
        <v>745</v>
      </c>
      <c r="C161" s="2" t="s">
        <v>746</v>
      </c>
      <c r="D161" s="2" t="s">
        <v>463</v>
      </c>
      <c r="E161" s="2" t="s">
        <v>463</v>
      </c>
      <c r="F161" s="2" t="n">
        <v>1337503.26467588</v>
      </c>
      <c r="G161" s="2" t="n">
        <v>0</v>
      </c>
      <c r="H161" s="2" t="n">
        <v>1337503.26467588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 customFormat="false" ht="15" hidden="false" customHeight="false" outlineLevel="0" collapsed="false">
      <c r="A162" s="2" t="n">
        <v>3</v>
      </c>
      <c r="B162" s="2" t="s">
        <v>747</v>
      </c>
      <c r="C162" s="2" t="s">
        <v>748</v>
      </c>
      <c r="D162" s="2" t="s">
        <v>463</v>
      </c>
      <c r="E162" s="2" t="s">
        <v>463</v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 customFormat="false" ht="15" hidden="false" customHeight="false" outlineLevel="0" collapsed="false">
      <c r="A163" s="2" t="n">
        <v>4</v>
      </c>
      <c r="B163" s="2" t="s">
        <v>749</v>
      </c>
      <c r="C163" s="2" t="s">
        <v>750</v>
      </c>
      <c r="D163" s="2" t="s">
        <v>463</v>
      </c>
      <c r="E163" s="2" t="s">
        <v>463</v>
      </c>
      <c r="F163" s="2" t="n">
        <v>44064</v>
      </c>
      <c r="G163" s="2" t="n">
        <v>0</v>
      </c>
      <c r="H163" s="2" t="n">
        <v>44064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 customFormat="false" ht="15" hidden="false" customHeight="false" outlineLevel="0" collapsed="false">
      <c r="A164" s="2" t="n">
        <v>4</v>
      </c>
      <c r="B164" s="2" t="s">
        <v>751</v>
      </c>
      <c r="C164" s="2" t="s">
        <v>752</v>
      </c>
      <c r="D164" s="2" t="s">
        <v>463</v>
      </c>
      <c r="E164" s="2" t="s">
        <v>463</v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 customFormat="false" ht="15" hidden="false" customHeight="false" outlineLevel="0" collapsed="false">
      <c r="A165" s="2" t="n">
        <v>4</v>
      </c>
      <c r="B165" s="2" t="s">
        <v>753</v>
      </c>
      <c r="C165" s="2" t="s">
        <v>754</v>
      </c>
      <c r="D165" s="2" t="s">
        <v>463</v>
      </c>
      <c r="E165" s="2" t="s">
        <v>463</v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 customFormat="false" ht="15" hidden="false" customHeight="false" outlineLevel="0" collapsed="false">
      <c r="A166" s="2" t="n">
        <v>4</v>
      </c>
      <c r="B166" s="2" t="s">
        <v>755</v>
      </c>
      <c r="C166" s="2" t="s">
        <v>756</v>
      </c>
      <c r="D166" s="2" t="s">
        <v>463</v>
      </c>
      <c r="E166" s="2" t="s">
        <v>463</v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 customFormat="false" ht="15" hidden="false" customHeight="false" outlineLevel="0" collapsed="false">
      <c r="A167" s="2" t="n">
        <v>4</v>
      </c>
      <c r="B167" s="2" t="s">
        <v>757</v>
      </c>
      <c r="C167" s="2" t="s">
        <v>758</v>
      </c>
      <c r="D167" s="2" t="s">
        <v>463</v>
      </c>
      <c r="E167" s="2" t="s">
        <v>463</v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 customFormat="false" ht="15" hidden="false" customHeight="false" outlineLevel="0" collapsed="false">
      <c r="A168" s="2" t="n">
        <v>3</v>
      </c>
      <c r="B168" s="2" t="s">
        <v>759</v>
      </c>
      <c r="C168" s="2" t="s">
        <v>760</v>
      </c>
      <c r="D168" s="2" t="s">
        <v>463</v>
      </c>
      <c r="E168" s="2" t="s">
        <v>463</v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 customFormat="false" ht="15" hidden="false" customHeight="false" outlineLevel="0" collapsed="false">
      <c r="A169" s="2" t="n">
        <v>4</v>
      </c>
      <c r="B169" s="2" t="s">
        <v>761</v>
      </c>
      <c r="C169" s="2" t="s">
        <v>762</v>
      </c>
      <c r="D169" s="2" t="s">
        <v>463</v>
      </c>
      <c r="E169" s="2" t="s">
        <v>463</v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 customFormat="false" ht="15" hidden="false" customHeight="false" outlineLevel="0" collapsed="false">
      <c r="A170" s="2" t="n">
        <v>4</v>
      </c>
      <c r="B170" s="2" t="s">
        <v>763</v>
      </c>
      <c r="C170" s="2" t="s">
        <v>764</v>
      </c>
      <c r="D170" s="2" t="s">
        <v>463</v>
      </c>
      <c r="E170" s="2" t="s">
        <v>463</v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 customFormat="false" ht="15" hidden="false" customHeight="false" outlineLevel="0" collapsed="false">
      <c r="A171" s="2" t="n">
        <v>3</v>
      </c>
      <c r="B171" s="2" t="s">
        <v>765</v>
      </c>
      <c r="C171" s="2" t="s">
        <v>766</v>
      </c>
      <c r="D171" s="2" t="s">
        <v>463</v>
      </c>
      <c r="E171" s="2" t="s">
        <v>463</v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 customFormat="false" ht="15" hidden="false" customHeight="false" outlineLevel="0" collapsed="false">
      <c r="A172" s="2" t="n">
        <v>4</v>
      </c>
      <c r="B172" s="2" t="s">
        <v>767</v>
      </c>
      <c r="C172" s="2" t="s">
        <v>768</v>
      </c>
      <c r="D172" s="2" t="s">
        <v>463</v>
      </c>
      <c r="E172" s="2" t="s">
        <v>463</v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 customFormat="false" ht="15" hidden="false" customHeight="false" outlineLevel="0" collapsed="false">
      <c r="A173" s="2" t="n">
        <v>4</v>
      </c>
      <c r="B173" s="2" t="s">
        <v>769</v>
      </c>
      <c r="C173" s="2" t="s">
        <v>770</v>
      </c>
      <c r="D173" s="2" t="s">
        <v>463</v>
      </c>
      <c r="E173" s="2" t="s">
        <v>463</v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 customFormat="false" ht="15" hidden="false" customHeight="false" outlineLevel="0" collapsed="false">
      <c r="A174" s="2" t="n">
        <v>4</v>
      </c>
      <c r="B174" s="2" t="s">
        <v>771</v>
      </c>
      <c r="C174" s="2" t="s">
        <v>772</v>
      </c>
      <c r="D174" s="2" t="s">
        <v>463</v>
      </c>
      <c r="E174" s="2" t="s">
        <v>463</v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 customFormat="false" ht="15" hidden="false" customHeight="false" outlineLevel="0" collapsed="false">
      <c r="A175" s="2" t="n">
        <v>4</v>
      </c>
      <c r="B175" s="2" t="s">
        <v>773</v>
      </c>
      <c r="C175" s="2" t="s">
        <v>774</v>
      </c>
      <c r="D175" s="2" t="s">
        <v>463</v>
      </c>
      <c r="E175" s="2" t="s">
        <v>463</v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 customFormat="false" ht="15" hidden="false" customHeight="false" outlineLevel="0" collapsed="false">
      <c r="A176" s="2" t="n">
        <v>4</v>
      </c>
      <c r="B176" s="2" t="s">
        <v>775</v>
      </c>
      <c r="C176" s="2" t="s">
        <v>776</v>
      </c>
      <c r="D176" s="2" t="s">
        <v>463</v>
      </c>
      <c r="E176" s="2" t="s">
        <v>463</v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 customFormat="false" ht="15" hidden="false" customHeight="false" outlineLevel="0" collapsed="false">
      <c r="A177" s="2" t="n">
        <v>3</v>
      </c>
      <c r="B177" s="2" t="s">
        <v>777</v>
      </c>
      <c r="C177" s="2" t="s">
        <v>778</v>
      </c>
      <c r="D177" s="2" t="s">
        <v>463</v>
      </c>
      <c r="E177" s="2" t="s">
        <v>463</v>
      </c>
      <c r="F177" s="2" t="n">
        <v>343247.372220524</v>
      </c>
      <c r="G177" s="2" t="n">
        <v>0</v>
      </c>
      <c r="H177" s="2" t="n">
        <v>343247.372220524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 customFormat="false" ht="15" hidden="false" customHeight="false" outlineLevel="0" collapsed="false">
      <c r="A178" s="2" t="n">
        <v>4</v>
      </c>
      <c r="B178" s="2" t="s">
        <v>779</v>
      </c>
      <c r="C178" s="2" t="s">
        <v>780</v>
      </c>
      <c r="D178" s="2" t="s">
        <v>463</v>
      </c>
      <c r="E178" s="2" t="s">
        <v>463</v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 customFormat="false" ht="15" hidden="false" customHeight="false" outlineLevel="0" collapsed="false">
      <c r="A179" s="2" t="n">
        <v>4</v>
      </c>
      <c r="B179" s="2" t="s">
        <v>781</v>
      </c>
      <c r="C179" s="2" t="s">
        <v>782</v>
      </c>
      <c r="D179" s="2" t="s">
        <v>463</v>
      </c>
      <c r="E179" s="2" t="s">
        <v>463</v>
      </c>
      <c r="F179" s="2" t="n">
        <v>33664.328610262</v>
      </c>
      <c r="G179" s="2" t="n">
        <v>0</v>
      </c>
      <c r="H179" s="2" t="n">
        <v>33664.328610262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 customFormat="false" ht="15" hidden="false" customHeight="false" outlineLevel="0" collapsed="false">
      <c r="A180" s="2" t="n">
        <v>4</v>
      </c>
      <c r="B180" s="2" t="s">
        <v>783</v>
      </c>
      <c r="C180" s="2" t="s">
        <v>784</v>
      </c>
      <c r="D180" s="2" t="s">
        <v>463</v>
      </c>
      <c r="E180" s="2" t="s">
        <v>463</v>
      </c>
      <c r="F180" s="2" t="n">
        <v>33664.328610262</v>
      </c>
      <c r="G180" s="2" t="n">
        <v>0</v>
      </c>
      <c r="H180" s="2" t="n">
        <v>33664.328610262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 customFormat="false" ht="15" hidden="false" customHeight="false" outlineLevel="0" collapsed="false">
      <c r="A181" s="2" t="n">
        <v>4</v>
      </c>
      <c r="B181" s="2" t="s">
        <v>785</v>
      </c>
      <c r="C181" s="2" t="s">
        <v>786</v>
      </c>
      <c r="D181" s="2" t="s">
        <v>463</v>
      </c>
      <c r="E181" s="2" t="s">
        <v>463</v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 customFormat="false" ht="15" hidden="false" customHeight="false" outlineLevel="0" collapsed="false">
      <c r="A182" s="2" t="n">
        <v>3</v>
      </c>
      <c r="B182" s="2" t="s">
        <v>787</v>
      </c>
      <c r="C182" s="2" t="s">
        <v>788</v>
      </c>
      <c r="D182" s="2" t="s">
        <v>463</v>
      </c>
      <c r="E182" s="2" t="s">
        <v>463</v>
      </c>
      <c r="F182" s="2" t="n">
        <v>174875.892455355</v>
      </c>
      <c r="G182" s="2" t="n">
        <v>0</v>
      </c>
      <c r="H182" s="2" t="n">
        <v>174875.892455355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 customFormat="false" ht="15" hidden="false" customHeight="false" outlineLevel="0" collapsed="false">
      <c r="A183" s="2" t="n">
        <v>4</v>
      </c>
      <c r="B183" s="2" t="s">
        <v>789</v>
      </c>
      <c r="C183" s="2" t="s">
        <v>790</v>
      </c>
      <c r="D183" s="2" t="s">
        <v>463</v>
      </c>
      <c r="E183" s="2" t="s">
        <v>463</v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 customFormat="false" ht="15" hidden="false" customHeight="false" outlineLevel="0" collapsed="false">
      <c r="A184" s="2" t="n">
        <v>4</v>
      </c>
      <c r="B184" s="2" t="s">
        <v>791</v>
      </c>
      <c r="C184" s="2" t="s">
        <v>782</v>
      </c>
      <c r="D184" s="2" t="s">
        <v>463</v>
      </c>
      <c r="E184" s="2" t="s">
        <v>463</v>
      </c>
      <c r="F184" s="2" t="n">
        <v>29258.7860290471</v>
      </c>
      <c r="G184" s="2" t="n">
        <v>0</v>
      </c>
      <c r="H184" s="2" t="n">
        <v>29258.7860290471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 customFormat="false" ht="15" hidden="false" customHeight="false" outlineLevel="0" collapsed="false">
      <c r="A185" s="2" t="n">
        <v>4</v>
      </c>
      <c r="B185" s="2" t="s">
        <v>792</v>
      </c>
      <c r="C185" s="2" t="s">
        <v>784</v>
      </c>
      <c r="D185" s="2" t="s">
        <v>463</v>
      </c>
      <c r="E185" s="2" t="s">
        <v>463</v>
      </c>
      <c r="F185" s="2" t="n">
        <v>29258.7860290471</v>
      </c>
      <c r="G185" s="2" t="n">
        <v>0</v>
      </c>
      <c r="H185" s="2" t="n">
        <v>29258.7860290471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 customFormat="false" ht="15" hidden="false" customHeight="false" outlineLevel="0" collapsed="false">
      <c r="A186" s="2" t="n">
        <v>4</v>
      </c>
      <c r="B186" s="2" t="s">
        <v>793</v>
      </c>
      <c r="C186" s="2" t="s">
        <v>786</v>
      </c>
      <c r="D186" s="2" t="s">
        <v>463</v>
      </c>
      <c r="E186" s="2" t="s">
        <v>463</v>
      </c>
      <c r="F186" s="2" t="n">
        <v>68208.320397261</v>
      </c>
      <c r="G186" s="2" t="n">
        <v>0</v>
      </c>
      <c r="H186" s="2" t="n">
        <v>68208.320397261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 customFormat="false" ht="15" hidden="false" customHeight="false" outlineLevel="0" collapsed="false">
      <c r="A187" s="2" t="n">
        <v>3</v>
      </c>
      <c r="B187" s="2" t="s">
        <v>794</v>
      </c>
      <c r="C187" s="2" t="s">
        <v>795</v>
      </c>
      <c r="D187" s="2" t="s">
        <v>463</v>
      </c>
      <c r="E187" s="2" t="s">
        <v>463</v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 customFormat="false" ht="15" hidden="false" customHeight="false" outlineLevel="0" collapsed="false">
      <c r="A188" s="2" t="n">
        <v>4</v>
      </c>
      <c r="B188" s="2" t="s">
        <v>796</v>
      </c>
      <c r="C188" s="2" t="s">
        <v>797</v>
      </c>
      <c r="D188" s="2" t="s">
        <v>463</v>
      </c>
      <c r="E188" s="2" t="s">
        <v>463</v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 customFormat="false" ht="15" hidden="false" customHeight="false" outlineLevel="0" collapsed="false">
      <c r="A189" s="2" t="n">
        <v>2</v>
      </c>
      <c r="B189" s="2" t="s">
        <v>798</v>
      </c>
      <c r="C189" s="2" t="s">
        <v>799</v>
      </c>
      <c r="D189" s="2" t="s">
        <v>463</v>
      </c>
      <c r="E189" s="2" t="s">
        <v>463</v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 customFormat="false" ht="15" hidden="false" customHeight="false" outlineLevel="0" collapsed="false">
      <c r="A190" s="2" t="n">
        <v>3</v>
      </c>
      <c r="B190" s="2" t="s">
        <v>800</v>
      </c>
      <c r="C190" s="2" t="s">
        <v>801</v>
      </c>
      <c r="D190" s="2" t="s">
        <v>463</v>
      </c>
      <c r="E190" s="2" t="s">
        <v>463</v>
      </c>
      <c r="F190" s="2" t="n">
        <v>854725.0387053</v>
      </c>
      <c r="G190" s="2" t="n">
        <v>0</v>
      </c>
      <c r="H190" s="2" t="n">
        <v>854725.0387053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 customFormat="false" ht="15" hidden="false" customHeight="false" outlineLevel="0" collapsed="false">
      <c r="A191" s="2" t="n">
        <v>4</v>
      </c>
      <c r="B191" s="2" t="s">
        <v>802</v>
      </c>
      <c r="C191" s="2" t="s">
        <v>803</v>
      </c>
      <c r="D191" s="2" t="s">
        <v>463</v>
      </c>
      <c r="E191" s="2" t="s">
        <v>463</v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 customFormat="false" ht="15" hidden="false" customHeight="false" outlineLevel="0" collapsed="false">
      <c r="A192" s="2" t="n">
        <v>4</v>
      </c>
      <c r="B192" s="2" t="s">
        <v>804</v>
      </c>
      <c r="C192" s="2" t="s">
        <v>805</v>
      </c>
      <c r="D192" s="2" t="s">
        <v>463</v>
      </c>
      <c r="E192" s="2" t="s">
        <v>463</v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 customFormat="false" ht="15" hidden="false" customHeight="false" outlineLevel="0" collapsed="false">
      <c r="A193" s="2" t="n">
        <v>4</v>
      </c>
      <c r="B193" s="2" t="s">
        <v>806</v>
      </c>
      <c r="C193" s="2" t="s">
        <v>782</v>
      </c>
      <c r="D193" s="2" t="s">
        <v>463</v>
      </c>
      <c r="E193" s="2" t="s">
        <v>463</v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 customFormat="false" ht="15" hidden="false" customHeight="false" outlineLevel="0" collapsed="false">
      <c r="A194" s="2" t="n">
        <v>4</v>
      </c>
      <c r="B194" s="2" t="s">
        <v>807</v>
      </c>
      <c r="C194" s="2" t="s">
        <v>784</v>
      </c>
      <c r="D194" s="2" t="s">
        <v>463</v>
      </c>
      <c r="E194" s="2" t="s">
        <v>463</v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 customFormat="false" ht="15" hidden="false" customHeight="false" outlineLevel="0" collapsed="false">
      <c r="A195" s="2" t="n">
        <v>4</v>
      </c>
      <c r="B195" s="2" t="s">
        <v>808</v>
      </c>
      <c r="C195" s="2" t="s">
        <v>809</v>
      </c>
      <c r="D195" s="2" t="s">
        <v>463</v>
      </c>
      <c r="E195" s="2" t="s">
        <v>463</v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 customFormat="false" ht="15" hidden="false" customHeight="false" outlineLevel="0" collapsed="false">
      <c r="A196" s="2" t="n">
        <v>4</v>
      </c>
      <c r="B196" s="2" t="s">
        <v>810</v>
      </c>
      <c r="C196" s="2" t="s">
        <v>811</v>
      </c>
      <c r="D196" s="2" t="s">
        <v>463</v>
      </c>
      <c r="E196" s="2" t="s">
        <v>463</v>
      </c>
      <c r="F196" s="2" t="n">
        <v>4825.03870530018</v>
      </c>
      <c r="G196" s="2" t="n">
        <v>0</v>
      </c>
      <c r="H196" s="2" t="n">
        <v>4825.03870530018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 customFormat="false" ht="15" hidden="false" customHeight="false" outlineLevel="0" collapsed="false">
      <c r="A197" s="2" t="n">
        <v>4</v>
      </c>
      <c r="B197" s="2" t="s">
        <v>812</v>
      </c>
      <c r="C197" s="2" t="s">
        <v>813</v>
      </c>
      <c r="D197" s="2" t="s">
        <v>463</v>
      </c>
      <c r="E197" s="2" t="s">
        <v>463</v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 customFormat="false" ht="15" hidden="false" customHeight="false" outlineLevel="0" collapsed="false">
      <c r="A198" s="2" t="n">
        <v>4</v>
      </c>
      <c r="B198" s="2" t="s">
        <v>814</v>
      </c>
      <c r="C198" s="2" t="s">
        <v>815</v>
      </c>
      <c r="D198" s="2" t="s">
        <v>463</v>
      </c>
      <c r="E198" s="2" t="s">
        <v>463</v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 customFormat="false" ht="15" hidden="false" customHeight="false" outlineLevel="0" collapsed="false">
      <c r="A199" s="2" t="n">
        <v>3</v>
      </c>
      <c r="B199" s="2" t="s">
        <v>816</v>
      </c>
      <c r="C199" s="2" t="s">
        <v>817</v>
      </c>
      <c r="D199" s="2" t="s">
        <v>463</v>
      </c>
      <c r="E199" s="2" t="s">
        <v>463</v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 customFormat="false" ht="15" hidden="false" customHeight="false" outlineLevel="0" collapsed="false">
      <c r="A200" s="2" t="n">
        <v>4</v>
      </c>
      <c r="B200" s="2" t="s">
        <v>818</v>
      </c>
      <c r="C200" s="2" t="s">
        <v>819</v>
      </c>
      <c r="D200" s="2" t="s">
        <v>463</v>
      </c>
      <c r="E200" s="2" t="s">
        <v>463</v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 customFormat="false" ht="15" hidden="false" customHeight="false" outlineLevel="0" collapsed="false">
      <c r="A201" s="2" t="n">
        <v>4</v>
      </c>
      <c r="B201" s="2" t="s">
        <v>820</v>
      </c>
      <c r="C201" s="2" t="s">
        <v>821</v>
      </c>
      <c r="D201" s="2" t="s">
        <v>463</v>
      </c>
      <c r="E201" s="2" t="s">
        <v>463</v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 customFormat="false" ht="15" hidden="false" customHeight="false" outlineLevel="0" collapsed="false">
      <c r="A202" s="2" t="n">
        <v>4</v>
      </c>
      <c r="B202" s="2" t="s">
        <v>822</v>
      </c>
      <c r="C202" s="2" t="s">
        <v>823</v>
      </c>
      <c r="D202" s="2" t="s">
        <v>463</v>
      </c>
      <c r="E202" s="2" t="s">
        <v>463</v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 customFormat="false" ht="15" hidden="false" customHeight="false" outlineLevel="0" collapsed="false">
      <c r="A203" s="2" t="n">
        <v>4</v>
      </c>
      <c r="B203" s="2" t="s">
        <v>824</v>
      </c>
      <c r="C203" s="2" t="s">
        <v>825</v>
      </c>
      <c r="D203" s="2" t="s">
        <v>463</v>
      </c>
      <c r="E203" s="2" t="s">
        <v>463</v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 customFormat="false" ht="15" hidden="false" customHeight="false" outlineLevel="0" collapsed="false">
      <c r="A204" s="2" t="n">
        <v>4</v>
      </c>
      <c r="B204" s="2" t="s">
        <v>826</v>
      </c>
      <c r="C204" s="2" t="s">
        <v>827</v>
      </c>
      <c r="D204" s="2" t="s">
        <v>463</v>
      </c>
      <c r="E204" s="2" t="s">
        <v>463</v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 customFormat="false" ht="15" hidden="false" customHeight="false" outlineLevel="0" collapsed="false">
      <c r="A205" s="2" t="n">
        <v>4</v>
      </c>
      <c r="B205" s="2" t="s">
        <v>828</v>
      </c>
      <c r="C205" s="2" t="s">
        <v>829</v>
      </c>
      <c r="D205" s="2" t="s">
        <v>463</v>
      </c>
      <c r="E205" s="2" t="s">
        <v>463</v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 customFormat="false" ht="15" hidden="false" customHeight="false" outlineLevel="0" collapsed="false">
      <c r="A206" s="2" t="n">
        <v>4</v>
      </c>
      <c r="B206" s="2" t="s">
        <v>830</v>
      </c>
      <c r="C206" s="2" t="s">
        <v>831</v>
      </c>
      <c r="D206" s="2" t="s">
        <v>463</v>
      </c>
      <c r="E206" s="2" t="s">
        <v>463</v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 customFormat="false" ht="15" hidden="false" customHeight="false" outlineLevel="0" collapsed="false">
      <c r="A207" s="2" t="n">
        <v>4</v>
      </c>
      <c r="B207" s="2" t="s">
        <v>832</v>
      </c>
      <c r="C207" s="2" t="s">
        <v>833</v>
      </c>
      <c r="D207" s="2" t="s">
        <v>463</v>
      </c>
      <c r="E207" s="2" t="s">
        <v>463</v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 customFormat="false" ht="15" hidden="false" customHeight="false" outlineLevel="0" collapsed="false">
      <c r="A208" s="2" t="n">
        <v>4</v>
      </c>
      <c r="B208" s="2" t="s">
        <v>834</v>
      </c>
      <c r="C208" s="2" t="s">
        <v>835</v>
      </c>
      <c r="D208" s="2" t="s">
        <v>463</v>
      </c>
      <c r="E208" s="2" t="s">
        <v>463</v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 customFormat="false" ht="15" hidden="false" customHeight="false" outlineLevel="0" collapsed="false">
      <c r="A209" s="2" t="n">
        <v>4</v>
      </c>
      <c r="B209" s="2" t="s">
        <v>836</v>
      </c>
      <c r="C209" s="2" t="s">
        <v>837</v>
      </c>
      <c r="D209" s="2" t="s">
        <v>463</v>
      </c>
      <c r="E209" s="2" t="s">
        <v>463</v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 customFormat="false" ht="15" hidden="false" customHeight="false" outlineLevel="0" collapsed="false">
      <c r="A210" s="2" t="n">
        <v>4</v>
      </c>
      <c r="B210" s="2" t="s">
        <v>838</v>
      </c>
      <c r="C210" s="2" t="s">
        <v>839</v>
      </c>
      <c r="D210" s="2" t="s">
        <v>463</v>
      </c>
      <c r="E210" s="2" t="s">
        <v>463</v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 customFormat="false" ht="15" hidden="false" customHeight="false" outlineLevel="0" collapsed="false">
      <c r="A211" s="2" t="n">
        <v>4</v>
      </c>
      <c r="B211" s="2" t="s">
        <v>840</v>
      </c>
      <c r="C211" s="2" t="s">
        <v>841</v>
      </c>
      <c r="D211" s="2" t="s">
        <v>463</v>
      </c>
      <c r="E211" s="2" t="s">
        <v>463</v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 customFormat="false" ht="15" hidden="false" customHeight="false" outlineLevel="0" collapsed="false">
      <c r="A212" s="2" t="n">
        <v>4</v>
      </c>
      <c r="B212" s="2" t="s">
        <v>842</v>
      </c>
      <c r="C212" s="2" t="s">
        <v>843</v>
      </c>
      <c r="D212" s="2" t="s">
        <v>463</v>
      </c>
      <c r="E212" s="2" t="s">
        <v>463</v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 customFormat="false" ht="15" hidden="false" customHeight="false" outlineLevel="0" collapsed="false">
      <c r="A213" s="2" t="n">
        <v>4</v>
      </c>
      <c r="B213" s="2" t="s">
        <v>844</v>
      </c>
      <c r="C213" s="2" t="s">
        <v>845</v>
      </c>
      <c r="D213" s="2" t="s">
        <v>463</v>
      </c>
      <c r="E213" s="2" t="s">
        <v>463</v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 customFormat="false" ht="15" hidden="false" customHeight="false" outlineLevel="0" collapsed="false">
      <c r="A214" s="2" t="n">
        <v>4</v>
      </c>
      <c r="B214" s="2" t="s">
        <v>846</v>
      </c>
      <c r="C214" s="2" t="s">
        <v>847</v>
      </c>
      <c r="D214" s="2" t="s">
        <v>463</v>
      </c>
      <c r="E214" s="2" t="s">
        <v>463</v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 customFormat="false" ht="15" hidden="false" customHeight="false" outlineLevel="0" collapsed="false">
      <c r="A215" s="2" t="n">
        <v>4</v>
      </c>
      <c r="B215" s="2" t="s">
        <v>848</v>
      </c>
      <c r="C215" s="2" t="s">
        <v>849</v>
      </c>
      <c r="D215" s="2" t="s">
        <v>463</v>
      </c>
      <c r="E215" s="2" t="s">
        <v>463</v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 customFormat="false" ht="15" hidden="false" customHeight="false" outlineLevel="0" collapsed="false">
      <c r="A216" s="2" t="n">
        <v>4</v>
      </c>
      <c r="B216" s="2" t="s">
        <v>850</v>
      </c>
      <c r="C216" s="2" t="s">
        <v>851</v>
      </c>
      <c r="D216" s="2" t="s">
        <v>463</v>
      </c>
      <c r="E216" s="2" t="s">
        <v>463</v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 customFormat="false" ht="15" hidden="false" customHeight="false" outlineLevel="0" collapsed="false">
      <c r="A217" s="2" t="n">
        <v>4</v>
      </c>
      <c r="B217" s="2" t="s">
        <v>852</v>
      </c>
      <c r="C217" s="2" t="s">
        <v>853</v>
      </c>
      <c r="D217" s="2" t="s">
        <v>463</v>
      </c>
      <c r="E217" s="2" t="s">
        <v>463</v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 customFormat="false" ht="15" hidden="false" customHeight="false" outlineLevel="0" collapsed="false">
      <c r="A218" s="2" t="n">
        <v>4</v>
      </c>
      <c r="B218" s="2" t="s">
        <v>854</v>
      </c>
      <c r="C218" s="2" t="s">
        <v>855</v>
      </c>
      <c r="D218" s="2" t="s">
        <v>463</v>
      </c>
      <c r="E218" s="2" t="s">
        <v>463</v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 customFormat="false" ht="15" hidden="false" customHeight="false" outlineLevel="0" collapsed="false">
      <c r="A219" s="2" t="n">
        <v>4</v>
      </c>
      <c r="B219" s="2" t="s">
        <v>856</v>
      </c>
      <c r="C219" s="2" t="s">
        <v>857</v>
      </c>
      <c r="D219" s="2" t="s">
        <v>463</v>
      </c>
      <c r="E219" s="2" t="s">
        <v>463</v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 customFormat="false" ht="15" hidden="false" customHeight="false" outlineLevel="0" collapsed="false">
      <c r="A220" s="2" t="n">
        <v>2</v>
      </c>
      <c r="B220" s="2" t="s">
        <v>858</v>
      </c>
      <c r="C220" s="2" t="s">
        <v>859</v>
      </c>
      <c r="D220" s="2" t="s">
        <v>463</v>
      </c>
      <c r="E220" s="2" t="s">
        <v>463</v>
      </c>
      <c r="F220" s="2" t="n">
        <v>1622743.32351238</v>
      </c>
      <c r="G220" s="2" t="n">
        <v>0</v>
      </c>
      <c r="H220" s="2" t="n">
        <v>1622743.32351238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 customFormat="false" ht="15" hidden="false" customHeight="false" outlineLevel="0" collapsed="false">
      <c r="A221" s="2" t="n">
        <v>3</v>
      </c>
      <c r="B221" s="2" t="s">
        <v>860</v>
      </c>
      <c r="C221" s="2" t="s">
        <v>861</v>
      </c>
      <c r="D221" s="2" t="s">
        <v>463</v>
      </c>
      <c r="E221" s="2" t="s">
        <v>463</v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 customFormat="false" ht="15" hidden="false" customHeight="false" outlineLevel="0" collapsed="false">
      <c r="A222" s="2" t="n">
        <v>4</v>
      </c>
      <c r="B222" s="2" t="s">
        <v>862</v>
      </c>
      <c r="C222" s="2" t="s">
        <v>863</v>
      </c>
      <c r="D222" s="2" t="s">
        <v>463</v>
      </c>
      <c r="E222" s="2" t="s">
        <v>463</v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 customFormat="false" ht="15" hidden="false" customHeight="false" outlineLevel="0" collapsed="false">
      <c r="A223" s="2" t="n">
        <v>4</v>
      </c>
      <c r="B223" s="2" t="s">
        <v>864</v>
      </c>
      <c r="C223" s="2" t="s">
        <v>865</v>
      </c>
      <c r="D223" s="2" t="s">
        <v>463</v>
      </c>
      <c r="E223" s="2" t="s">
        <v>463</v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 customFormat="false" ht="15" hidden="false" customHeight="false" outlineLevel="0" collapsed="false">
      <c r="A224" s="2" t="n">
        <v>3</v>
      </c>
      <c r="B224" s="2" t="s">
        <v>866</v>
      </c>
      <c r="C224" s="2" t="s">
        <v>867</v>
      </c>
      <c r="D224" s="2" t="s">
        <v>463</v>
      </c>
      <c r="E224" s="2" t="s">
        <v>463</v>
      </c>
      <c r="F224" s="2" t="n">
        <v>614691.875079298</v>
      </c>
      <c r="G224" s="2" t="n">
        <v>0</v>
      </c>
      <c r="H224" s="2" t="n">
        <v>614691.875079298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 customFormat="false" ht="15" hidden="false" customHeight="false" outlineLevel="0" collapsed="false">
      <c r="A225" s="2" t="n">
        <v>4</v>
      </c>
      <c r="B225" s="2" t="s">
        <v>868</v>
      </c>
      <c r="C225" s="2" t="s">
        <v>869</v>
      </c>
      <c r="D225" s="2" t="s">
        <v>463</v>
      </c>
      <c r="E225" s="2" t="s">
        <v>463</v>
      </c>
      <c r="F225" s="2" t="n">
        <v>513497.512178159</v>
      </c>
      <c r="G225" s="2" t="n">
        <v>0</v>
      </c>
      <c r="H225" s="2" t="n">
        <v>513497.512178159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 customFormat="false" ht="15" hidden="false" customHeight="false" outlineLevel="0" collapsed="false">
      <c r="A226" s="2" t="n">
        <v>4</v>
      </c>
      <c r="B226" s="2" t="s">
        <v>870</v>
      </c>
      <c r="C226" s="2" t="s">
        <v>871</v>
      </c>
      <c r="D226" s="2" t="s">
        <v>463</v>
      </c>
      <c r="E226" s="2" t="s">
        <v>463</v>
      </c>
      <c r="F226" s="2" t="n">
        <v>50597.1814505697</v>
      </c>
      <c r="G226" s="2" t="n">
        <v>0</v>
      </c>
      <c r="H226" s="2" t="n">
        <v>50597.1814505697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 customFormat="false" ht="15" hidden="false" customHeight="false" outlineLevel="0" collapsed="false">
      <c r="A227" s="2" t="n">
        <v>4</v>
      </c>
      <c r="B227" s="2" t="s">
        <v>872</v>
      </c>
      <c r="C227" s="2" t="s">
        <v>873</v>
      </c>
      <c r="D227" s="2" t="s">
        <v>463</v>
      </c>
      <c r="E227" s="2" t="s">
        <v>463</v>
      </c>
      <c r="F227" s="2" t="n">
        <v>50597.1814505697</v>
      </c>
      <c r="G227" s="2" t="n">
        <v>0</v>
      </c>
      <c r="H227" s="2" t="n">
        <v>50597.1814505697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 customFormat="false" ht="15" hidden="false" customHeight="false" outlineLevel="0" collapsed="false">
      <c r="A228" s="2" t="n">
        <v>3</v>
      </c>
      <c r="B228" s="2" t="s">
        <v>874</v>
      </c>
      <c r="C228" s="2" t="s">
        <v>875</v>
      </c>
      <c r="D228" s="2" t="s">
        <v>463</v>
      </c>
      <c r="E228" s="2" t="s">
        <v>463</v>
      </c>
      <c r="F228" s="2" t="n">
        <v>422841.279444721</v>
      </c>
      <c r="G228" s="2" t="n">
        <v>0</v>
      </c>
      <c r="H228" s="2" t="n">
        <v>422841.279444721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 customFormat="false" ht="15" hidden="false" customHeight="false" outlineLevel="0" collapsed="false">
      <c r="A229" s="2" t="n">
        <v>4</v>
      </c>
      <c r="B229" s="2" t="s">
        <v>876</v>
      </c>
      <c r="C229" s="2" t="s">
        <v>877</v>
      </c>
      <c r="D229" s="2" t="s">
        <v>463</v>
      </c>
      <c r="E229" s="2" t="s">
        <v>463</v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 customFormat="false" ht="15" hidden="false" customHeight="false" outlineLevel="0" collapsed="false">
      <c r="A230" s="2" t="n">
        <v>4</v>
      </c>
      <c r="B230" s="2" t="s">
        <v>878</v>
      </c>
      <c r="C230" s="2" t="s">
        <v>782</v>
      </c>
      <c r="D230" s="2" t="s">
        <v>463</v>
      </c>
      <c r="E230" s="2" t="s">
        <v>463</v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 customFormat="false" ht="15" hidden="false" customHeight="false" outlineLevel="0" collapsed="false">
      <c r="A231" s="2" t="n">
        <v>4</v>
      </c>
      <c r="B231" s="2" t="s">
        <v>879</v>
      </c>
      <c r="C231" s="2" t="s">
        <v>784</v>
      </c>
      <c r="D231" s="2" t="s">
        <v>463</v>
      </c>
      <c r="E231" s="2" t="s">
        <v>463</v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 customFormat="false" ht="15" hidden="false" customHeight="false" outlineLevel="0" collapsed="false">
      <c r="A232" s="2" t="n">
        <v>4</v>
      </c>
      <c r="B232" s="2" t="s">
        <v>880</v>
      </c>
      <c r="C232" s="2" t="s">
        <v>881</v>
      </c>
      <c r="D232" s="2" t="s">
        <v>463</v>
      </c>
      <c r="E232" s="2" t="s">
        <v>463</v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 customFormat="false" ht="15" hidden="false" customHeight="false" outlineLevel="0" collapsed="false">
      <c r="A233" s="2" t="n">
        <v>2</v>
      </c>
      <c r="B233" s="2" t="s">
        <v>882</v>
      </c>
      <c r="C233" s="2" t="s">
        <v>883</v>
      </c>
      <c r="D233" s="2" t="s">
        <v>463</v>
      </c>
      <c r="E233" s="2" t="s">
        <v>463</v>
      </c>
      <c r="F233" s="2" t="n">
        <v>308613.436156845</v>
      </c>
      <c r="G233" s="2" t="n">
        <v>0</v>
      </c>
      <c r="H233" s="2" t="n">
        <v>308613.436156845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 customFormat="false" ht="15" hidden="false" customHeight="false" outlineLevel="0" collapsed="false">
      <c r="A234" s="2" t="n">
        <v>3</v>
      </c>
      <c r="B234" s="2" t="s">
        <v>884</v>
      </c>
      <c r="C234" s="2" t="s">
        <v>885</v>
      </c>
      <c r="D234" s="2" t="s">
        <v>463</v>
      </c>
      <c r="E234" s="2" t="s">
        <v>463</v>
      </c>
      <c r="F234" s="2" t="n">
        <v>111518.986666667</v>
      </c>
      <c r="G234" s="2" t="n">
        <v>0</v>
      </c>
      <c r="H234" s="2" t="n">
        <v>111518.986666667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 customFormat="false" ht="15" hidden="false" customHeight="false" outlineLevel="0" collapsed="false">
      <c r="A235" s="2" t="n">
        <v>3</v>
      </c>
      <c r="B235" s="2" t="s">
        <v>886</v>
      </c>
      <c r="C235" s="2" t="s">
        <v>887</v>
      </c>
      <c r="D235" s="2" t="s">
        <v>463</v>
      </c>
      <c r="E235" s="2" t="s">
        <v>463</v>
      </c>
      <c r="F235" s="2" t="n">
        <v>31626.6133333333</v>
      </c>
      <c r="G235" s="2" t="n">
        <v>0</v>
      </c>
      <c r="H235" s="2" t="n">
        <v>31626.6133333333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 customFormat="false" ht="15" hidden="false" customHeight="false" outlineLevel="0" collapsed="false">
      <c r="A236" s="2" t="n">
        <v>3</v>
      </c>
      <c r="B236" s="2" t="s">
        <v>888</v>
      </c>
      <c r="C236" s="2" t="s">
        <v>889</v>
      </c>
      <c r="D236" s="2" t="s">
        <v>463</v>
      </c>
      <c r="E236" s="2" t="s">
        <v>463</v>
      </c>
      <c r="F236" s="2" t="n">
        <v>93019.8361568453</v>
      </c>
      <c r="G236" s="2" t="n">
        <v>0</v>
      </c>
      <c r="H236" s="2" t="n">
        <v>93019.8361568453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 customFormat="false" ht="15" hidden="false" customHeight="false" outlineLevel="0" collapsed="false">
      <c r="A237" s="2" t="n">
        <v>3</v>
      </c>
      <c r="B237" s="2" t="s">
        <v>890</v>
      </c>
      <c r="C237" s="2" t="s">
        <v>891</v>
      </c>
      <c r="D237" s="2" t="s">
        <v>463</v>
      </c>
      <c r="E237" s="2" t="s">
        <v>463</v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 customFormat="false" ht="15" hidden="false" customHeight="false" outlineLevel="0" collapsed="false">
      <c r="A238" s="2" t="n">
        <v>3</v>
      </c>
      <c r="B238" s="2" t="s">
        <v>892</v>
      </c>
      <c r="C238" s="2" t="s">
        <v>893</v>
      </c>
      <c r="D238" s="2" t="s">
        <v>463</v>
      </c>
      <c r="E238" s="2" t="s">
        <v>463</v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 customFormat="false" ht="15" hidden="false" customHeight="false" outlineLevel="0" collapsed="false">
      <c r="A239" s="2" t="n">
        <v>3</v>
      </c>
      <c r="B239" s="2" t="s">
        <v>894</v>
      </c>
      <c r="C239" s="2" t="s">
        <v>895</v>
      </c>
      <c r="D239" s="2" t="s">
        <v>463</v>
      </c>
      <c r="E239" s="2" t="s">
        <v>463</v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 customFormat="false" ht="15" hidden="false" customHeight="false" outlineLevel="0" collapsed="false">
      <c r="A240" s="2" t="n">
        <v>1</v>
      </c>
      <c r="B240" s="2" t="s">
        <v>153</v>
      </c>
      <c r="C240" s="2" t="s">
        <v>81</v>
      </c>
      <c r="D240" s="2" t="s">
        <v>896</v>
      </c>
      <c r="E240" s="2" t="s">
        <v>897</v>
      </c>
      <c r="F240" s="2" t="n">
        <v>175350.928662556</v>
      </c>
      <c r="G240" s="2" t="n">
        <v>0</v>
      </c>
      <c r="H240" s="2" t="n">
        <v>175350.928662556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 customFormat="false" ht="15" hidden="false" customHeight="false" outlineLevel="0" collapsed="false">
      <c r="A241" s="2" t="n">
        <v>2</v>
      </c>
      <c r="B241" s="2" t="s">
        <v>898</v>
      </c>
      <c r="C241" s="2" t="s">
        <v>899</v>
      </c>
      <c r="D241" s="2" t="s">
        <v>896</v>
      </c>
      <c r="E241" s="2" t="s">
        <v>900</v>
      </c>
      <c r="F241" s="2" t="n">
        <v>44750.9286625556</v>
      </c>
      <c r="G241" s="2" t="n">
        <v>0</v>
      </c>
      <c r="H241" s="2" t="n">
        <v>44750.9286625556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 customFormat="false" ht="15" hidden="false" customHeight="false" outlineLevel="0" collapsed="false">
      <c r="A242" s="2" t="n">
        <v>3</v>
      </c>
      <c r="B242" s="2" t="s">
        <v>901</v>
      </c>
      <c r="C242" s="2" t="s">
        <v>899</v>
      </c>
      <c r="D242" s="2" t="s">
        <v>896</v>
      </c>
      <c r="E242" s="2" t="s">
        <v>900</v>
      </c>
      <c r="F242" s="2" t="n">
        <v>44750.9286625556</v>
      </c>
      <c r="G242" s="2" t="n">
        <v>0</v>
      </c>
      <c r="H242" s="2" t="n">
        <v>44750.9286625556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 customFormat="false" ht="15" hidden="false" customHeight="false" outlineLevel="0" collapsed="false">
      <c r="A243" s="2" t="n">
        <v>2</v>
      </c>
      <c r="B243" s="2" t="s">
        <v>902</v>
      </c>
      <c r="C243" s="2" t="s">
        <v>760</v>
      </c>
      <c r="D243" s="2" t="s">
        <v>903</v>
      </c>
      <c r="E243" s="2" t="s">
        <v>897</v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 customFormat="false" ht="15" hidden="false" customHeight="false" outlineLevel="0" collapsed="false">
      <c r="A244" s="2" t="n">
        <v>3</v>
      </c>
      <c r="B244" s="2" t="s">
        <v>904</v>
      </c>
      <c r="C244" s="2" t="s">
        <v>905</v>
      </c>
      <c r="D244" s="2" t="s">
        <v>903</v>
      </c>
      <c r="E244" s="2" t="s">
        <v>897</v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 customFormat="false" ht="15" hidden="false" customHeight="false" outlineLevel="0" collapsed="false">
      <c r="A245" s="2" t="n">
        <v>3</v>
      </c>
      <c r="B245" s="2" t="s">
        <v>906</v>
      </c>
      <c r="C245" s="2" t="s">
        <v>907</v>
      </c>
      <c r="D245" s="2" t="s">
        <v>903</v>
      </c>
      <c r="E245" s="2" t="s">
        <v>897</v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 customFormat="false" ht="15" hidden="false" customHeight="false" outlineLevel="0" collapsed="false">
      <c r="A246" s="2" t="n">
        <v>1</v>
      </c>
      <c r="B246" s="2" t="s">
        <v>156</v>
      </c>
      <c r="C246" s="2" t="s">
        <v>908</v>
      </c>
      <c r="D246" s="2" t="s">
        <v>909</v>
      </c>
      <c r="E246" s="2" t="s">
        <v>910</v>
      </c>
      <c r="F246" s="2" t="n">
        <v>1644553.51886987</v>
      </c>
      <c r="G246" s="2" t="n">
        <v>0</v>
      </c>
      <c r="H246" s="2" t="n">
        <v>1644553.51886987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77.57</v>
      </c>
      <c r="BC246" s="2" t="n">
        <v>77.3</v>
      </c>
      <c r="BD246" s="2" t="n">
        <v>75.23</v>
      </c>
      <c r="BE246" s="2" t="n">
        <v>82.18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97.07</v>
      </c>
      <c r="BL246" s="2" t="n">
        <v>97.07</v>
      </c>
      <c r="BM246" s="2" t="n">
        <v>75.23</v>
      </c>
      <c r="BN246" s="2" t="n">
        <v>97.07</v>
      </c>
      <c r="BO246" s="2" t="n">
        <v>97.07</v>
      </c>
      <c r="BP246" s="2" t="n">
        <v>75.23</v>
      </c>
      <c r="BQ246" s="2" t="n">
        <v>97.07</v>
      </c>
      <c r="BR246" s="2" t="n">
        <v>97.07</v>
      </c>
      <c r="BS246" s="2" t="n">
        <v>75.23</v>
      </c>
      <c r="BT246" s="2" t="n">
        <v>97.07</v>
      </c>
      <c r="BU246" s="2" t="n">
        <v>97.07</v>
      </c>
      <c r="BV246" s="2" t="n">
        <v>75.23</v>
      </c>
      <c r="BW246" s="2" t="n">
        <v>99.07</v>
      </c>
      <c r="BX246" s="2" t="n">
        <v>99.07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 customFormat="false" ht="15" hidden="false" customHeight="false" outlineLevel="0" collapsed="false">
      <c r="A247" s="2" t="n">
        <v>2</v>
      </c>
      <c r="B247" s="2" t="s">
        <v>911</v>
      </c>
      <c r="C247" s="2" t="s">
        <v>912</v>
      </c>
      <c r="D247" s="2" t="s">
        <v>909</v>
      </c>
      <c r="E247" s="2" t="s">
        <v>913</v>
      </c>
      <c r="F247" s="2" t="n">
        <v>1131182.26874639</v>
      </c>
      <c r="G247" s="2" t="n">
        <v>0</v>
      </c>
      <c r="H247" s="2" t="n">
        <v>1131182.26874639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 customFormat="false" ht="15" hidden="false" customHeight="false" outlineLevel="0" collapsed="false">
      <c r="A248" s="2" t="n">
        <v>3</v>
      </c>
      <c r="B248" s="2" t="s">
        <v>914</v>
      </c>
      <c r="C248" s="2" t="s">
        <v>915</v>
      </c>
      <c r="D248" s="2" t="s">
        <v>909</v>
      </c>
      <c r="E248" s="2" t="s">
        <v>913</v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 customFormat="false" ht="15" hidden="false" customHeight="false" outlineLevel="0" collapsed="false">
      <c r="A249" s="2" t="n">
        <v>3</v>
      </c>
      <c r="B249" s="2" t="s">
        <v>916</v>
      </c>
      <c r="C249" s="2" t="s">
        <v>917</v>
      </c>
      <c r="D249" s="2" t="s">
        <v>909</v>
      </c>
      <c r="E249" s="2" t="s">
        <v>913</v>
      </c>
      <c r="F249" s="2" t="n">
        <v>74998.4</v>
      </c>
      <c r="G249" s="2" t="n">
        <v>0</v>
      </c>
      <c r="H249" s="2" t="n">
        <v>74998.4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 customFormat="false" ht="15" hidden="false" customHeight="false" outlineLevel="0" collapsed="false">
      <c r="A250" s="2" t="n">
        <v>3</v>
      </c>
      <c r="B250" s="2" t="s">
        <v>918</v>
      </c>
      <c r="C250" s="2" t="s">
        <v>919</v>
      </c>
      <c r="D250" s="2" t="s">
        <v>909</v>
      </c>
      <c r="E250" s="2" t="s">
        <v>913</v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 customFormat="false" ht="15" hidden="false" customHeight="false" outlineLevel="0" collapsed="false">
      <c r="A251" s="2" t="n">
        <v>3</v>
      </c>
      <c r="B251" s="2" t="s">
        <v>920</v>
      </c>
      <c r="C251" s="2" t="s">
        <v>921</v>
      </c>
      <c r="D251" s="2" t="s">
        <v>909</v>
      </c>
      <c r="E251" s="2" t="s">
        <v>913</v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 customFormat="false" ht="15" hidden="false" customHeight="false" outlineLevel="0" collapsed="false">
      <c r="A252" s="2" t="n">
        <v>3</v>
      </c>
      <c r="B252" s="2" t="s">
        <v>922</v>
      </c>
      <c r="C252" s="2" t="s">
        <v>923</v>
      </c>
      <c r="D252" s="2" t="s">
        <v>909</v>
      </c>
      <c r="E252" s="2" t="s">
        <v>913</v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 customFormat="false" ht="15" hidden="false" customHeight="false" outlineLevel="0" collapsed="false">
      <c r="A253" s="2" t="n">
        <v>3</v>
      </c>
      <c r="B253" s="2" t="s">
        <v>924</v>
      </c>
      <c r="C253" s="2" t="s">
        <v>925</v>
      </c>
      <c r="D253" s="2" t="s">
        <v>909</v>
      </c>
      <c r="E253" s="2" t="s">
        <v>913</v>
      </c>
      <c r="F253" s="2" t="n">
        <v>5209.40674638821</v>
      </c>
      <c r="G253" s="2" t="n">
        <v>0</v>
      </c>
      <c r="H253" s="2" t="n">
        <v>5209.40674638821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 customFormat="false" ht="15" hidden="false" customHeight="false" outlineLevel="0" collapsed="false">
      <c r="A254" s="2" t="n">
        <v>3</v>
      </c>
      <c r="B254" s="2" t="s">
        <v>926</v>
      </c>
      <c r="C254" s="2" t="s">
        <v>927</v>
      </c>
      <c r="D254" s="2" t="s">
        <v>909</v>
      </c>
      <c r="E254" s="2" t="s">
        <v>913</v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 customFormat="false" ht="15" hidden="false" customHeight="false" outlineLevel="0" collapsed="false">
      <c r="A255" s="2" t="n">
        <v>3</v>
      </c>
      <c r="B255" s="2" t="s">
        <v>928</v>
      </c>
      <c r="C255" s="2" t="s">
        <v>929</v>
      </c>
      <c r="D255" s="2" t="s">
        <v>909</v>
      </c>
      <c r="E255" s="2" t="s">
        <v>913</v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 customFormat="false" ht="15" hidden="false" customHeight="false" outlineLevel="0" collapsed="false">
      <c r="A256" s="2" t="n">
        <v>3</v>
      </c>
      <c r="B256" s="2" t="s">
        <v>930</v>
      </c>
      <c r="C256" s="2" t="s">
        <v>931</v>
      </c>
      <c r="D256" s="2" t="s">
        <v>909</v>
      </c>
      <c r="E256" s="2" t="s">
        <v>913</v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 customFormat="false" ht="15" hidden="false" customHeight="false" outlineLevel="0" collapsed="false">
      <c r="A257" s="2" t="n">
        <v>3</v>
      </c>
      <c r="B257" s="2" t="s">
        <v>932</v>
      </c>
      <c r="C257" s="2" t="s">
        <v>933</v>
      </c>
      <c r="D257" s="2" t="s">
        <v>909</v>
      </c>
      <c r="E257" s="2" t="s">
        <v>913</v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 customFormat="false" ht="15" hidden="false" customHeight="false" outlineLevel="0" collapsed="false">
      <c r="A258" s="2" t="n">
        <v>3</v>
      </c>
      <c r="B258" s="2" t="s">
        <v>934</v>
      </c>
      <c r="C258" s="2" t="s">
        <v>935</v>
      </c>
      <c r="D258" s="2" t="s">
        <v>909</v>
      </c>
      <c r="E258" s="2" t="s">
        <v>913</v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 customFormat="false" ht="15" hidden="false" customHeight="false" outlineLevel="0" collapsed="false">
      <c r="A259" s="2" t="n">
        <v>3</v>
      </c>
      <c r="B259" s="2" t="s">
        <v>936</v>
      </c>
      <c r="C259" s="2" t="s">
        <v>937</v>
      </c>
      <c r="D259" s="2" t="s">
        <v>909</v>
      </c>
      <c r="E259" s="2" t="s">
        <v>913</v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 customFormat="false" ht="15" hidden="false" customHeight="false" outlineLevel="0" collapsed="false">
      <c r="A260" s="2" t="n">
        <v>2</v>
      </c>
      <c r="B260" s="2" t="s">
        <v>938</v>
      </c>
      <c r="C260" s="2" t="s">
        <v>939</v>
      </c>
      <c r="D260" s="2" t="s">
        <v>940</v>
      </c>
      <c r="E260" s="2" t="s">
        <v>941</v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 customFormat="false" ht="15" hidden="false" customHeight="false" outlineLevel="0" collapsed="false">
      <c r="A261" s="2" t="n">
        <v>3</v>
      </c>
      <c r="B261" s="2" t="s">
        <v>942</v>
      </c>
      <c r="C261" s="2" t="s">
        <v>943</v>
      </c>
      <c r="D261" s="2" t="s">
        <v>940</v>
      </c>
      <c r="E261" s="2" t="s">
        <v>941</v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 customFormat="false" ht="15" hidden="false" customHeight="false" outlineLevel="0" collapsed="false">
      <c r="A262" s="2" t="n">
        <v>3</v>
      </c>
      <c r="B262" s="2" t="s">
        <v>944</v>
      </c>
      <c r="C262" s="2" t="s">
        <v>927</v>
      </c>
      <c r="D262" s="2" t="s">
        <v>940</v>
      </c>
      <c r="E262" s="2" t="s">
        <v>941</v>
      </c>
      <c r="F262" s="2" t="n">
        <v>65498.4692557226</v>
      </c>
      <c r="G262" s="2" t="n">
        <v>0</v>
      </c>
      <c r="H262" s="2" t="n">
        <v>65498.4692557226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 customFormat="false" ht="15" hidden="false" customHeight="false" outlineLevel="0" collapsed="false">
      <c r="A263" s="2" t="n">
        <v>3</v>
      </c>
      <c r="B263" s="2" t="s">
        <v>945</v>
      </c>
      <c r="C263" s="2" t="s">
        <v>946</v>
      </c>
      <c r="D263" s="2" t="s">
        <v>940</v>
      </c>
      <c r="E263" s="2" t="s">
        <v>941</v>
      </c>
      <c r="F263" s="2" t="n">
        <v>35320.5776594194</v>
      </c>
      <c r="G263" s="2" t="n">
        <v>0</v>
      </c>
      <c r="H263" s="2" t="n">
        <v>35320.5776594194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 customFormat="false" ht="15" hidden="false" customHeight="false" outlineLevel="0" collapsed="false">
      <c r="A264" s="2" t="n">
        <v>2</v>
      </c>
      <c r="B264" s="2" t="s">
        <v>947</v>
      </c>
      <c r="C264" s="2" t="s">
        <v>948</v>
      </c>
      <c r="D264" s="2" t="s">
        <v>949</v>
      </c>
      <c r="E264" s="2" t="s">
        <v>422</v>
      </c>
      <c r="F264" s="2" t="n">
        <v>291934.966982763</v>
      </c>
      <c r="G264" s="2" t="n">
        <v>0</v>
      </c>
      <c r="H264" s="2" t="n">
        <v>291934.966982763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86.21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 customFormat="false" ht="15" hidden="false" customHeight="false" outlineLevel="0" collapsed="false">
      <c r="A265" s="2" t="n">
        <v>3</v>
      </c>
      <c r="B265" s="2" t="s">
        <v>950</v>
      </c>
      <c r="C265" s="2" t="s">
        <v>951</v>
      </c>
      <c r="D265" s="2" t="s">
        <v>949</v>
      </c>
      <c r="E265" s="2" t="s">
        <v>422</v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86.21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 customFormat="false" ht="15" hidden="false" customHeight="false" outlineLevel="0" collapsed="false">
      <c r="A266" s="2" t="n">
        <v>3</v>
      </c>
      <c r="B266" s="2" t="s">
        <v>952</v>
      </c>
      <c r="C266" s="2" t="s">
        <v>927</v>
      </c>
      <c r="D266" s="2" t="s">
        <v>949</v>
      </c>
      <c r="E266" s="2" t="s">
        <v>422</v>
      </c>
      <c r="F266" s="2" t="n">
        <v>127765.983713759</v>
      </c>
      <c r="G266" s="2" t="n">
        <v>0</v>
      </c>
      <c r="H266" s="2" t="n">
        <v>127765.983713759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86.21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 customFormat="false" ht="15" hidden="false" customHeight="false" outlineLevel="0" collapsed="false">
      <c r="A267" s="2" t="n">
        <v>3</v>
      </c>
      <c r="B267" s="2" t="s">
        <v>953</v>
      </c>
      <c r="C267" s="2" t="s">
        <v>946</v>
      </c>
      <c r="D267" s="2" t="s">
        <v>949</v>
      </c>
      <c r="E267" s="2" t="s">
        <v>422</v>
      </c>
      <c r="F267" s="2" t="n">
        <v>68900.3382690034</v>
      </c>
      <c r="G267" s="2" t="n">
        <v>0</v>
      </c>
      <c r="H267" s="2" t="n">
        <v>68900.3382690034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86.21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 customFormat="false" ht="15" hidden="false" customHeight="false" outlineLevel="0" collapsed="false">
      <c r="A268" s="2" t="n">
        <v>2</v>
      </c>
      <c r="B268" s="2" t="s">
        <v>954</v>
      </c>
      <c r="C268" s="2" t="s">
        <v>955</v>
      </c>
      <c r="D268" s="2" t="s">
        <v>956</v>
      </c>
      <c r="E268" s="2" t="s">
        <v>957</v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 customFormat="false" ht="15" hidden="false" customHeight="false" outlineLevel="0" collapsed="false">
      <c r="A269" s="2" t="n">
        <v>3</v>
      </c>
      <c r="B269" s="2" t="s">
        <v>958</v>
      </c>
      <c r="C269" s="2" t="s">
        <v>959</v>
      </c>
      <c r="D269" s="2" t="s">
        <v>956</v>
      </c>
      <c r="E269" s="2" t="s">
        <v>957</v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 customFormat="false" ht="15" hidden="false" customHeight="false" outlineLevel="0" collapsed="false">
      <c r="A270" s="2" t="n">
        <v>3</v>
      </c>
      <c r="B270" s="2" t="s">
        <v>960</v>
      </c>
      <c r="C270" s="2" t="s">
        <v>961</v>
      </c>
      <c r="D270" s="2" t="s">
        <v>956</v>
      </c>
      <c r="E270" s="2" t="s">
        <v>957</v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 customFormat="false" ht="15" hidden="false" customHeight="false" outlineLevel="0" collapsed="false">
      <c r="A271" s="2" t="n">
        <v>2</v>
      </c>
      <c r="B271" s="2" t="s">
        <v>962</v>
      </c>
      <c r="C271" s="2" t="s">
        <v>963</v>
      </c>
      <c r="D271" s="2" t="s">
        <v>964</v>
      </c>
      <c r="E271" s="2" t="s">
        <v>910</v>
      </c>
      <c r="F271" s="2" t="n">
        <v>48182.5140255721</v>
      </c>
      <c r="G271" s="2" t="n">
        <v>0</v>
      </c>
      <c r="H271" s="2" t="n">
        <v>48182.5140255721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</v>
      </c>
      <c r="BX271" s="2" t="n">
        <v>68.18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 customFormat="false" ht="15" hidden="false" customHeight="false" outlineLevel="0" collapsed="false">
      <c r="A272" s="2" t="n">
        <v>3</v>
      </c>
      <c r="B272" s="2" t="s">
        <v>965</v>
      </c>
      <c r="C272" s="2" t="s">
        <v>966</v>
      </c>
      <c r="D272" s="2" t="s">
        <v>964</v>
      </c>
      <c r="E272" s="2" t="s">
        <v>910</v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</v>
      </c>
      <c r="BX272" s="2" t="n">
        <v>68.18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 customFormat="false" ht="15" hidden="false" customHeight="false" outlineLevel="0" collapsed="false">
      <c r="A273" s="2" t="n">
        <v>3</v>
      </c>
      <c r="B273" s="2" t="s">
        <v>967</v>
      </c>
      <c r="C273" s="2" t="s">
        <v>968</v>
      </c>
      <c r="D273" s="2" t="s">
        <v>964</v>
      </c>
      <c r="E273" s="2" t="s">
        <v>910</v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</v>
      </c>
      <c r="BX273" s="2" t="n">
        <v>68.18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 customFormat="false" ht="15" hidden="false" customHeight="false" outlineLevel="0" collapsed="false">
      <c r="A274" s="2" t="n">
        <v>3</v>
      </c>
      <c r="B274" s="2" t="s">
        <v>969</v>
      </c>
      <c r="C274" s="2" t="s">
        <v>970</v>
      </c>
      <c r="D274" s="2" t="s">
        <v>964</v>
      </c>
      <c r="E274" s="2" t="s">
        <v>910</v>
      </c>
      <c r="F274" s="2" t="n">
        <v>979.09133761208</v>
      </c>
      <c r="G274" s="2" t="n">
        <v>0</v>
      </c>
      <c r="H274" s="2" t="n">
        <v>979.09133761208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</v>
      </c>
      <c r="BX274" s="2" t="n">
        <v>68.18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 customFormat="false" ht="15" hidden="false" customHeight="false" outlineLevel="0" collapsed="false">
      <c r="A275" s="2" t="n">
        <v>1</v>
      </c>
      <c r="B275" s="2" t="s">
        <v>159</v>
      </c>
      <c r="C275" s="2" t="s">
        <v>71</v>
      </c>
      <c r="D275" s="2" t="s">
        <v>971</v>
      </c>
      <c r="E275" s="2" t="s">
        <v>972</v>
      </c>
      <c r="F275" s="2" t="n">
        <v>1259784.46379652</v>
      </c>
      <c r="G275" s="2" t="n">
        <v>0</v>
      </c>
      <c r="H275" s="2" t="n">
        <v>1259784.46379652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 customFormat="false" ht="15" hidden="false" customHeight="false" outlineLevel="0" collapsed="false">
      <c r="A276" s="2" t="n">
        <v>2</v>
      </c>
      <c r="B276" s="2" t="s">
        <v>973</v>
      </c>
      <c r="C276" s="2" t="s">
        <v>974</v>
      </c>
      <c r="D276" s="2" t="s">
        <v>971</v>
      </c>
      <c r="E276" s="2" t="s">
        <v>972</v>
      </c>
      <c r="F276" s="2" t="n">
        <v>1059392.29979652</v>
      </c>
      <c r="G276" s="2" t="n">
        <v>0</v>
      </c>
      <c r="H276" s="2" t="n">
        <v>1059392.29979652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 customFormat="false" ht="15" hidden="false" customHeight="false" outlineLevel="0" collapsed="false">
      <c r="A277" s="2" t="n">
        <v>3</v>
      </c>
      <c r="B277" s="2" t="s">
        <v>975</v>
      </c>
      <c r="C277" s="2" t="s">
        <v>976</v>
      </c>
      <c r="D277" s="2" t="s">
        <v>971</v>
      </c>
      <c r="E277" s="2" t="s">
        <v>972</v>
      </c>
      <c r="F277" s="2" t="n">
        <v>915923.6535</v>
      </c>
      <c r="G277" s="2" t="n">
        <v>0</v>
      </c>
      <c r="H277" s="2" t="n">
        <v>915923.6535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 customFormat="false" ht="15" hidden="false" customHeight="false" outlineLevel="0" collapsed="false">
      <c r="A278" s="2" t="n">
        <v>3</v>
      </c>
      <c r="B278" s="2" t="s">
        <v>977</v>
      </c>
      <c r="C278" s="2" t="s">
        <v>978</v>
      </c>
      <c r="D278" s="2" t="s">
        <v>971</v>
      </c>
      <c r="E278" s="2" t="s">
        <v>972</v>
      </c>
      <c r="F278" s="2" t="n">
        <v>14368.6462965228</v>
      </c>
      <c r="G278" s="2" t="n">
        <v>0</v>
      </c>
      <c r="H278" s="2" t="n">
        <v>14368.6462965228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 customFormat="false" ht="15" hidden="false" customHeight="false" outlineLevel="0" collapsed="false">
      <c r="A279" s="2" t="n">
        <v>3</v>
      </c>
      <c r="B279" s="2" t="s">
        <v>979</v>
      </c>
      <c r="C279" s="2" t="s">
        <v>980</v>
      </c>
      <c r="D279" s="2" t="s">
        <v>971</v>
      </c>
      <c r="E279" s="2" t="s">
        <v>972</v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 customFormat="false" ht="15" hidden="false" customHeight="false" outlineLevel="0" collapsed="false">
      <c r="A280" s="2" t="n">
        <v>3</v>
      </c>
      <c r="B280" s="2" t="s">
        <v>981</v>
      </c>
      <c r="C280" s="2" t="s">
        <v>740</v>
      </c>
      <c r="D280" s="2" t="s">
        <v>971</v>
      </c>
      <c r="E280" s="2" t="s">
        <v>972</v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 customFormat="false" ht="15" hidden="false" customHeight="false" outlineLevel="0" collapsed="false">
      <c r="A281" s="2" t="n">
        <v>2</v>
      </c>
      <c r="B281" s="2" t="s">
        <v>982</v>
      </c>
      <c r="C281" s="2" t="s">
        <v>983</v>
      </c>
      <c r="D281" s="2" t="s">
        <v>971</v>
      </c>
      <c r="E281" s="2" t="s">
        <v>972</v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 customFormat="false" ht="15" hidden="false" customHeight="false" outlineLevel="0" collapsed="false">
      <c r="A282" s="2" t="n">
        <v>3</v>
      </c>
      <c r="B282" s="2" t="s">
        <v>984</v>
      </c>
      <c r="C282" s="2" t="s">
        <v>985</v>
      </c>
      <c r="D282" s="2" t="s">
        <v>971</v>
      </c>
      <c r="E282" s="2" t="s">
        <v>972</v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 customFormat="false" ht="15" hidden="false" customHeight="false" outlineLevel="0" collapsed="false">
      <c r="A283" s="2" t="n">
        <v>3</v>
      </c>
      <c r="B283" s="2" t="s">
        <v>986</v>
      </c>
      <c r="C283" s="2" t="s">
        <v>987</v>
      </c>
      <c r="D283" s="2" t="s">
        <v>971</v>
      </c>
      <c r="E283" s="2" t="s">
        <v>972</v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 customFormat="false" ht="15" hidden="false" customHeight="false" outlineLevel="0" collapsed="false">
      <c r="A284" s="2" t="n">
        <v>3</v>
      </c>
      <c r="B284" s="2" t="s">
        <v>988</v>
      </c>
      <c r="C284" s="2" t="s">
        <v>989</v>
      </c>
      <c r="D284" s="2" t="s">
        <v>971</v>
      </c>
      <c r="E284" s="2" t="s">
        <v>972</v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 customFormat="false" ht="15" hidden="false" customHeight="false" outlineLevel="0" collapsed="false">
      <c r="A285" s="2" t="n">
        <v>3</v>
      </c>
      <c r="B285" s="2" t="s">
        <v>990</v>
      </c>
      <c r="C285" s="2" t="s">
        <v>991</v>
      </c>
      <c r="D285" s="2" t="s">
        <v>971</v>
      </c>
      <c r="E285" s="2" t="s">
        <v>972</v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 customFormat="false" ht="15" hidden="false" customHeight="false" outlineLevel="0" collapsed="false">
      <c r="A286" s="2" t="n">
        <v>1</v>
      </c>
      <c r="B286" s="2" t="s">
        <v>161</v>
      </c>
      <c r="C286" s="2" t="s">
        <v>73</v>
      </c>
      <c r="D286" s="2" t="s">
        <v>992</v>
      </c>
      <c r="E286" s="2" t="s">
        <v>971</v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79.07</v>
      </c>
      <c r="AE286" s="2" t="n">
        <v>79.07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 customFormat="false" ht="15" hidden="false" customHeight="false" outlineLevel="0" collapsed="false">
      <c r="A287" s="2" t="n">
        <v>2</v>
      </c>
      <c r="B287" s="2" t="s">
        <v>993</v>
      </c>
      <c r="C287" s="2" t="s">
        <v>994</v>
      </c>
      <c r="D287" s="2" t="s">
        <v>992</v>
      </c>
      <c r="E287" s="2" t="s">
        <v>971</v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79.07</v>
      </c>
      <c r="AE287" s="2" t="n">
        <v>79.07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 customFormat="false" ht="15" hidden="false" customHeight="false" outlineLevel="0" collapsed="false">
      <c r="A288" s="2" t="n">
        <v>3</v>
      </c>
      <c r="B288" s="2" t="s">
        <v>995</v>
      </c>
      <c r="C288" s="2" t="s">
        <v>996</v>
      </c>
      <c r="D288" s="2" t="s">
        <v>992</v>
      </c>
      <c r="E288" s="2" t="s">
        <v>971</v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79.07</v>
      </c>
      <c r="AE288" s="2" t="n">
        <v>79.07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 customFormat="false" ht="15" hidden="false" customHeight="false" outlineLevel="0" collapsed="false">
      <c r="A289" s="2" t="n">
        <v>2</v>
      </c>
      <c r="B289" s="2" t="s">
        <v>997</v>
      </c>
      <c r="C289" s="2" t="s">
        <v>998</v>
      </c>
      <c r="D289" s="2" t="s">
        <v>992</v>
      </c>
      <c r="E289" s="2" t="s">
        <v>971</v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79.07</v>
      </c>
      <c r="AE289" s="2" t="n">
        <v>79.07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 customFormat="false" ht="15" hidden="false" customHeight="false" outlineLevel="0" collapsed="false">
      <c r="A290" s="2" t="n">
        <v>3</v>
      </c>
      <c r="B290" s="2" t="s">
        <v>999</v>
      </c>
      <c r="C290" s="2" t="s">
        <v>1000</v>
      </c>
      <c r="D290" s="2" t="s">
        <v>992</v>
      </c>
      <c r="E290" s="2" t="s">
        <v>971</v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79.07</v>
      </c>
      <c r="AE290" s="2" t="n">
        <v>79.07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 customFormat="false" ht="15" hidden="false" customHeight="false" outlineLevel="0" collapsed="false">
      <c r="A291" s="2" t="n">
        <v>3</v>
      </c>
      <c r="B291" s="2" t="s">
        <v>1001</v>
      </c>
      <c r="C291" s="2" t="s">
        <v>1002</v>
      </c>
      <c r="D291" s="2" t="s">
        <v>992</v>
      </c>
      <c r="E291" s="2" t="s">
        <v>971</v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79.07</v>
      </c>
      <c r="AE291" s="2" t="n">
        <v>79.07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 customFormat="false" ht="15" hidden="false" customHeight="false" outlineLevel="0" collapsed="false">
      <c r="A292" s="2" t="n">
        <v>3</v>
      </c>
      <c r="B292" s="2" t="s">
        <v>1003</v>
      </c>
      <c r="C292" s="2" t="s">
        <v>1004</v>
      </c>
      <c r="D292" s="2" t="s">
        <v>992</v>
      </c>
      <c r="E292" s="2" t="s">
        <v>971</v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79.07</v>
      </c>
      <c r="AE292" s="2" t="n">
        <v>79.07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 customFormat="false" ht="15" hidden="false" customHeight="false" outlineLevel="0" collapsed="false">
      <c r="A293" s="2" t="n">
        <v>3</v>
      </c>
      <c r="B293" s="2" t="s">
        <v>1005</v>
      </c>
      <c r="C293" s="2" t="s">
        <v>1006</v>
      </c>
      <c r="D293" s="2" t="s">
        <v>992</v>
      </c>
      <c r="E293" s="2" t="s">
        <v>971</v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79.07</v>
      </c>
      <c r="AE293" s="2" t="n">
        <v>79.07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 customFormat="false" ht="15" hidden="false" customHeight="false" outlineLevel="0" collapsed="false">
      <c r="A294" s="2" t="n">
        <v>3</v>
      </c>
      <c r="B294" s="2" t="s">
        <v>1007</v>
      </c>
      <c r="C294" s="2" t="s">
        <v>1008</v>
      </c>
      <c r="D294" s="2" t="s">
        <v>992</v>
      </c>
      <c r="E294" s="2" t="s">
        <v>971</v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79.07</v>
      </c>
      <c r="AE294" s="2" t="n">
        <v>79.07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 customFormat="false" ht="15" hidden="false" customHeight="false" outlineLevel="0" collapsed="false">
      <c r="A295" s="2" t="n">
        <v>3</v>
      </c>
      <c r="B295" s="2" t="s">
        <v>1009</v>
      </c>
      <c r="C295" s="2" t="s">
        <v>1010</v>
      </c>
      <c r="D295" s="2" t="s">
        <v>992</v>
      </c>
      <c r="E295" s="2" t="s">
        <v>971</v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79.07</v>
      </c>
      <c r="AE295" s="2" t="n">
        <v>79.07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 customFormat="false" ht="15" hidden="false" customHeight="false" outlineLevel="0" collapsed="false">
      <c r="A296" s="2" t="n">
        <v>3</v>
      </c>
      <c r="B296" s="2" t="s">
        <v>1011</v>
      </c>
      <c r="C296" s="2" t="s">
        <v>1012</v>
      </c>
      <c r="D296" s="2" t="s">
        <v>992</v>
      </c>
      <c r="E296" s="2" t="s">
        <v>971</v>
      </c>
      <c r="F296" s="2" t="n">
        <v>84734.4</v>
      </c>
      <c r="G296" s="2" t="n">
        <v>0</v>
      </c>
      <c r="H296" s="2" t="n">
        <v>84734.4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79.07</v>
      </c>
      <c r="AE296" s="2" t="n">
        <v>79.07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 customFormat="false" ht="15" hidden="false" customHeight="false" outlineLevel="0" collapsed="false">
      <c r="A297" s="2" t="n">
        <v>2</v>
      </c>
      <c r="B297" s="2" t="s">
        <v>1013</v>
      </c>
      <c r="C297" s="2" t="s">
        <v>1014</v>
      </c>
      <c r="D297" s="2" t="s">
        <v>992</v>
      </c>
      <c r="E297" s="2" t="s">
        <v>971</v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79.07</v>
      </c>
      <c r="AE297" s="2" t="n">
        <v>79.07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 customFormat="false" ht="15" hidden="false" customHeight="false" outlineLevel="0" collapsed="false">
      <c r="A298" s="2" t="n">
        <v>3</v>
      </c>
      <c r="B298" s="2" t="s">
        <v>1015</v>
      </c>
      <c r="C298" s="2" t="s">
        <v>1000</v>
      </c>
      <c r="D298" s="2" t="s">
        <v>992</v>
      </c>
      <c r="E298" s="2" t="s">
        <v>971</v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79.07</v>
      </c>
      <c r="AE298" s="2" t="n">
        <v>79.07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 customFormat="false" ht="15" hidden="false" customHeight="false" outlineLevel="0" collapsed="false">
      <c r="A299" s="2" t="n">
        <v>3</v>
      </c>
      <c r="B299" s="2" t="s">
        <v>1016</v>
      </c>
      <c r="C299" s="2" t="s">
        <v>1002</v>
      </c>
      <c r="D299" s="2" t="s">
        <v>992</v>
      </c>
      <c r="E299" s="2" t="s">
        <v>971</v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79.07</v>
      </c>
      <c r="AE299" s="2" t="n">
        <v>79.07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 customFormat="false" ht="15" hidden="false" customHeight="false" outlineLevel="0" collapsed="false">
      <c r="A300" s="2" t="n">
        <v>3</v>
      </c>
      <c r="B300" s="2" t="s">
        <v>1017</v>
      </c>
      <c r="C300" s="2" t="s">
        <v>1004</v>
      </c>
      <c r="D300" s="2" t="s">
        <v>992</v>
      </c>
      <c r="E300" s="2" t="s">
        <v>971</v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79.07</v>
      </c>
      <c r="AE300" s="2" t="n">
        <v>79.07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 customFormat="false" ht="15" hidden="false" customHeight="false" outlineLevel="0" collapsed="false">
      <c r="A301" s="2" t="n">
        <v>3</v>
      </c>
      <c r="B301" s="2" t="s">
        <v>1018</v>
      </c>
      <c r="C301" s="2" t="s">
        <v>1006</v>
      </c>
      <c r="D301" s="2" t="s">
        <v>992</v>
      </c>
      <c r="E301" s="2" t="s">
        <v>971</v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79.07</v>
      </c>
      <c r="AE301" s="2" t="n">
        <v>79.07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 customFormat="false" ht="15" hidden="false" customHeight="false" outlineLevel="0" collapsed="false">
      <c r="A302" s="2" t="n">
        <v>3</v>
      </c>
      <c r="B302" s="2" t="s">
        <v>1019</v>
      </c>
      <c r="C302" s="2" t="s">
        <v>1008</v>
      </c>
      <c r="D302" s="2" t="s">
        <v>992</v>
      </c>
      <c r="E302" s="2" t="s">
        <v>971</v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79.07</v>
      </c>
      <c r="AE302" s="2" t="n">
        <v>79.07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 customFormat="false" ht="15" hidden="false" customHeight="false" outlineLevel="0" collapsed="false">
      <c r="A303" s="2" t="n">
        <v>3</v>
      </c>
      <c r="B303" s="2" t="s">
        <v>1020</v>
      </c>
      <c r="C303" s="2" t="s">
        <v>1010</v>
      </c>
      <c r="D303" s="2" t="s">
        <v>992</v>
      </c>
      <c r="E303" s="2" t="s">
        <v>971</v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79.07</v>
      </c>
      <c r="AE303" s="2" t="n">
        <v>79.07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 customFormat="false" ht="15" hidden="false" customHeight="false" outlineLevel="0" collapsed="false">
      <c r="A304" s="2" t="n">
        <v>3</v>
      </c>
      <c r="B304" s="2" t="s">
        <v>1021</v>
      </c>
      <c r="C304" s="2" t="s">
        <v>1012</v>
      </c>
      <c r="D304" s="2" t="s">
        <v>992</v>
      </c>
      <c r="E304" s="2" t="s">
        <v>971</v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79.07</v>
      </c>
      <c r="AE304" s="2" t="n">
        <v>79.07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 customFormat="false" ht="15" hidden="false" customHeight="false" outlineLevel="0" collapsed="false">
      <c r="A305" s="2" t="n">
        <v>2</v>
      </c>
      <c r="B305" s="2" t="s">
        <v>1022</v>
      </c>
      <c r="C305" s="2" t="s">
        <v>1023</v>
      </c>
      <c r="D305" s="2" t="s">
        <v>992</v>
      </c>
      <c r="E305" s="2" t="s">
        <v>971</v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79.07</v>
      </c>
      <c r="AE305" s="2" t="n">
        <v>79.07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 customFormat="false" ht="15" hidden="false" customHeight="false" outlineLevel="0" collapsed="false">
      <c r="A306" s="2" t="n">
        <v>3</v>
      </c>
      <c r="B306" s="2" t="s">
        <v>1024</v>
      </c>
      <c r="C306" s="2" t="s">
        <v>1025</v>
      </c>
      <c r="D306" s="2" t="s">
        <v>992</v>
      </c>
      <c r="E306" s="2" t="s">
        <v>971</v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79.07</v>
      </c>
      <c r="AE306" s="2" t="n">
        <v>79.07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 customFormat="false" ht="15" hidden="false" customHeight="false" outlineLevel="0" collapsed="false">
      <c r="A307" s="2" t="n">
        <v>3</v>
      </c>
      <c r="B307" s="2" t="s">
        <v>1026</v>
      </c>
      <c r="C307" s="2" t="s">
        <v>1027</v>
      </c>
      <c r="D307" s="2" t="s">
        <v>992</v>
      </c>
      <c r="E307" s="2" t="s">
        <v>971</v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79.07</v>
      </c>
      <c r="AE307" s="2" t="n">
        <v>79.07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 customFormat="false" ht="15" hidden="false" customHeight="false" outlineLevel="0" collapsed="false">
      <c r="A308" s="2" t="n">
        <v>3</v>
      </c>
      <c r="B308" s="2" t="s">
        <v>1028</v>
      </c>
      <c r="C308" s="2" t="s">
        <v>1029</v>
      </c>
      <c r="D308" s="2" t="s">
        <v>992</v>
      </c>
      <c r="E308" s="2" t="s">
        <v>971</v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79.07</v>
      </c>
      <c r="AE308" s="2" t="n">
        <v>79.07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 customFormat="false" ht="15" hidden="false" customHeight="false" outlineLevel="0" collapsed="false">
      <c r="A309" s="2" t="n">
        <v>3</v>
      </c>
      <c r="B309" s="2" t="s">
        <v>1030</v>
      </c>
      <c r="C309" s="2" t="s">
        <v>923</v>
      </c>
      <c r="D309" s="2" t="s">
        <v>992</v>
      </c>
      <c r="E309" s="2" t="s">
        <v>971</v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79.07</v>
      </c>
      <c r="AE309" s="2" t="n">
        <v>79.07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 customFormat="false" ht="15" hidden="false" customHeight="false" outlineLevel="0" collapsed="false">
      <c r="A310" s="2" t="n">
        <v>3</v>
      </c>
      <c r="B310" s="2" t="s">
        <v>1031</v>
      </c>
      <c r="C310" s="2" t="s">
        <v>925</v>
      </c>
      <c r="D310" s="2" t="s">
        <v>992</v>
      </c>
      <c r="E310" s="2" t="s">
        <v>971</v>
      </c>
      <c r="F310" s="2" t="n">
        <v>5209.40674638821</v>
      </c>
      <c r="G310" s="2" t="n">
        <v>0</v>
      </c>
      <c r="H310" s="2" t="n">
        <v>5209.40674638821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79.07</v>
      </c>
      <c r="AE310" s="2" t="n">
        <v>79.07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 customFormat="false" ht="15" hidden="false" customHeight="false" outlineLevel="0" collapsed="false">
      <c r="A311" s="2" t="n">
        <v>3</v>
      </c>
      <c r="B311" s="2" t="s">
        <v>1032</v>
      </c>
      <c r="C311" s="2" t="s">
        <v>1033</v>
      </c>
      <c r="D311" s="2" t="s">
        <v>992</v>
      </c>
      <c r="E311" s="2" t="s">
        <v>971</v>
      </c>
      <c r="F311" s="2" t="n">
        <v>869895.479883492</v>
      </c>
      <c r="G311" s="2" t="n">
        <v>0</v>
      </c>
      <c r="H311" s="2" t="n">
        <v>869895.479883492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79.07</v>
      </c>
      <c r="AE311" s="2" t="n">
        <v>79.07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 customFormat="false" ht="15" hidden="false" customHeight="false" outlineLevel="0" collapsed="false">
      <c r="A312" s="2" t="n">
        <v>3</v>
      </c>
      <c r="B312" s="2" t="s">
        <v>1034</v>
      </c>
      <c r="C312" s="2" t="s">
        <v>929</v>
      </c>
      <c r="D312" s="2" t="s">
        <v>992</v>
      </c>
      <c r="E312" s="2" t="s">
        <v>971</v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79.07</v>
      </c>
      <c r="AE312" s="2" t="n">
        <v>79.07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 customFormat="false" ht="15" hidden="false" customHeight="false" outlineLevel="0" collapsed="false">
      <c r="A313" s="2" t="n">
        <v>3</v>
      </c>
      <c r="B313" s="2" t="s">
        <v>1035</v>
      </c>
      <c r="C313" s="2" t="s">
        <v>933</v>
      </c>
      <c r="D313" s="2" t="s">
        <v>992</v>
      </c>
      <c r="E313" s="2" t="s">
        <v>971</v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79.07</v>
      </c>
      <c r="AE313" s="2" t="n">
        <v>79.07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 customFormat="false" ht="15" hidden="false" customHeight="false" outlineLevel="0" collapsed="false">
      <c r="A314" s="2" t="n">
        <v>3</v>
      </c>
      <c r="B314" s="2" t="s">
        <v>1036</v>
      </c>
      <c r="C314" s="2" t="s">
        <v>1037</v>
      </c>
      <c r="D314" s="2" t="s">
        <v>992</v>
      </c>
      <c r="E314" s="2" t="s">
        <v>971</v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79.07</v>
      </c>
      <c r="AE314" s="2" t="n">
        <v>79.07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 customFormat="false" ht="15" hidden="false" customHeight="false" outlineLevel="0" collapsed="false">
      <c r="A315" s="2" t="n">
        <v>3</v>
      </c>
      <c r="B315" s="2" t="s">
        <v>1038</v>
      </c>
      <c r="C315" s="2" t="s">
        <v>1039</v>
      </c>
      <c r="D315" s="2" t="s">
        <v>992</v>
      </c>
      <c r="E315" s="2" t="s">
        <v>971</v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79.07</v>
      </c>
      <c r="AE315" s="2" t="n">
        <v>79.07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 customFormat="false" ht="15" hidden="false" customHeight="false" outlineLevel="0" collapsed="false">
      <c r="A316" s="2" t="n">
        <v>3</v>
      </c>
      <c r="B316" s="2" t="s">
        <v>1040</v>
      </c>
      <c r="C316" s="2" t="s">
        <v>1041</v>
      </c>
      <c r="D316" s="2" t="s">
        <v>992</v>
      </c>
      <c r="E316" s="2" t="s">
        <v>971</v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79.07</v>
      </c>
      <c r="AE316" s="2" t="n">
        <v>79.07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 customFormat="false" ht="15" hidden="false" customHeight="false" outlineLevel="0" collapsed="false">
      <c r="A317" s="2" t="n">
        <v>1</v>
      </c>
      <c r="B317" s="2" t="s">
        <v>163</v>
      </c>
      <c r="C317" s="2" t="s">
        <v>74</v>
      </c>
      <c r="D317" s="2" t="s">
        <v>1042</v>
      </c>
      <c r="E317" s="2" t="s">
        <v>1043</v>
      </c>
      <c r="F317" s="2" t="n">
        <v>4057797.91114302</v>
      </c>
      <c r="G317" s="2" t="n">
        <v>0</v>
      </c>
      <c r="H317" s="2" t="n">
        <v>4057797.91114302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</v>
      </c>
      <c r="AN317" s="2" t="n">
        <v>12.28</v>
      </c>
      <c r="AO317" s="2" t="n">
        <v>9.03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</v>
      </c>
      <c r="AV317" s="2" t="n">
        <v>72.53</v>
      </c>
      <c r="AW317" s="2" t="n">
        <v>72.71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</v>
      </c>
      <c r="BR317" s="2" t="n">
        <v>86.22</v>
      </c>
      <c r="BS317" s="2" t="n">
        <v>76.66</v>
      </c>
      <c r="BT317" s="2" t="n">
        <v>90.32</v>
      </c>
      <c r="BU317" s="2" t="n">
        <v>91.37</v>
      </c>
      <c r="BV317" s="2" t="n">
        <v>76.66</v>
      </c>
      <c r="BW317" s="2" t="n">
        <v>90.32</v>
      </c>
      <c r="BX317" s="2" t="n">
        <v>93.84</v>
      </c>
      <c r="BY317" s="2" t="n">
        <v>76.66</v>
      </c>
      <c r="BZ317" s="2" t="n">
        <v>90.32</v>
      </c>
      <c r="CA317" s="2" t="n">
        <v>93.84</v>
      </c>
      <c r="CB317" s="2" t="n">
        <v>76.66</v>
      </c>
      <c r="CC317" s="2" t="n">
        <v>90.32</v>
      </c>
      <c r="CD317" s="2" t="n">
        <v>93.84</v>
      </c>
      <c r="CE317" s="2" t="n">
        <v>76.66</v>
      </c>
      <c r="CF317" s="2" t="n">
        <v>90.32</v>
      </c>
      <c r="CG317" s="2" t="n">
        <v>93.84</v>
      </c>
      <c r="CH317" s="2" t="n">
        <v>76.66</v>
      </c>
      <c r="CI317" s="2" t="n">
        <v>90.32</v>
      </c>
      <c r="CJ317" s="2" t="n">
        <v>93.84</v>
      </c>
      <c r="CK317" s="2" t="n">
        <v>76.66</v>
      </c>
      <c r="CL317" s="2" t="n">
        <v>90.32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 customFormat="false" ht="15" hidden="false" customHeight="false" outlineLevel="0" collapsed="false">
      <c r="A318" s="2" t="n">
        <v>2</v>
      </c>
      <c r="B318" s="2" t="s">
        <v>1044</v>
      </c>
      <c r="C318" s="2" t="s">
        <v>1045</v>
      </c>
      <c r="D318" s="2" t="s">
        <v>1042</v>
      </c>
      <c r="E318" s="2" t="s">
        <v>964</v>
      </c>
      <c r="F318" s="2" t="n">
        <v>3285089.33110771</v>
      </c>
      <c r="G318" s="2" t="n">
        <v>0</v>
      </c>
      <c r="H318" s="2" t="n">
        <v>3285089.33110771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89.6</v>
      </c>
      <c r="AW318" s="2" t="n">
        <v>89.82</v>
      </c>
      <c r="AX318" s="2" t="n">
        <v>94.69</v>
      </c>
      <c r="AY318" s="2" t="n">
        <v>95.65</v>
      </c>
      <c r="AZ318" s="2" t="n">
        <v>95.65</v>
      </c>
      <c r="BA318" s="2" t="n">
        <v>94.69</v>
      </c>
      <c r="BB318" s="2" t="n">
        <v>95.65</v>
      </c>
      <c r="BC318" s="2" t="n">
        <v>95.65</v>
      </c>
      <c r="BD318" s="2" t="n">
        <v>94.69</v>
      </c>
      <c r="BE318" s="2" t="n">
        <v>95.65</v>
      </c>
      <c r="BF318" s="2" t="n">
        <v>95.65</v>
      </c>
      <c r="BG318" s="2" t="n">
        <v>94.69</v>
      </c>
      <c r="BH318" s="2" t="n">
        <v>95.65</v>
      </c>
      <c r="BI318" s="2" t="n">
        <v>95.65</v>
      </c>
      <c r="BJ318" s="2" t="n">
        <v>94.69</v>
      </c>
      <c r="BK318" s="2" t="n">
        <v>95.65</v>
      </c>
      <c r="BL318" s="2" t="n">
        <v>95.65</v>
      </c>
      <c r="BM318" s="2" t="n">
        <v>94.69</v>
      </c>
      <c r="BN318" s="2" t="n">
        <v>95.65</v>
      </c>
      <c r="BO318" s="2" t="n">
        <v>95.65</v>
      </c>
      <c r="BP318" s="2" t="n">
        <v>94.69</v>
      </c>
      <c r="BQ318" s="2" t="n">
        <v>95.65</v>
      </c>
      <c r="BR318" s="2" t="n">
        <v>95.65</v>
      </c>
      <c r="BS318" s="2" t="n">
        <v>94.69</v>
      </c>
      <c r="BT318" s="2" t="n">
        <v>95.65</v>
      </c>
      <c r="BU318" s="2" t="n">
        <v>96.96</v>
      </c>
      <c r="BV318" s="2" t="n">
        <v>94.69</v>
      </c>
      <c r="BW318" s="2" t="n">
        <v>95.65</v>
      </c>
      <c r="BX318" s="2" t="n">
        <v>100</v>
      </c>
      <c r="BY318" s="2" t="n">
        <v>94.69</v>
      </c>
      <c r="BZ318" s="2" t="n">
        <v>95.65</v>
      </c>
      <c r="CA318" s="2" t="n">
        <v>100</v>
      </c>
      <c r="CB318" s="2" t="n">
        <v>94.69</v>
      </c>
      <c r="CC318" s="2" t="n">
        <v>95.65</v>
      </c>
      <c r="CD318" s="2" t="n">
        <v>100</v>
      </c>
      <c r="CE318" s="2" t="n">
        <v>94.69</v>
      </c>
      <c r="CF318" s="2" t="n">
        <v>95.65</v>
      </c>
      <c r="CG318" s="2" t="n">
        <v>100</v>
      </c>
      <c r="CH318" s="2" t="n">
        <v>94.69</v>
      </c>
      <c r="CI318" s="2" t="n">
        <v>95.65</v>
      </c>
      <c r="CJ318" s="2" t="n">
        <v>100</v>
      </c>
      <c r="CK318" s="2" t="n">
        <v>94.69</v>
      </c>
      <c r="CL318" s="2" t="n">
        <v>95.65</v>
      </c>
      <c r="CM318" s="2" t="n">
        <v>100</v>
      </c>
      <c r="CN318" s="2" t="n">
        <v>94.69</v>
      </c>
      <c r="CO318" s="2" t="n">
        <v>95.65</v>
      </c>
      <c r="CP318" s="2" t="n">
        <v>100</v>
      </c>
      <c r="CQ318" s="2" t="n">
        <v>94.69</v>
      </c>
      <c r="CR318" s="2" t="n">
        <v>95.65</v>
      </c>
      <c r="CS318" s="2" t="n">
        <v>100</v>
      </c>
      <c r="CT318" s="2" t="n">
        <v>94.69</v>
      </c>
      <c r="CU318" s="2" t="n">
        <v>95.65</v>
      </c>
      <c r="CV318" s="2" t="n">
        <v>100</v>
      </c>
      <c r="CW318" s="2" t="n">
        <v>94.69</v>
      </c>
      <c r="CX318" s="2" t="n">
        <v>95.65</v>
      </c>
      <c r="CY318" s="2" t="n">
        <v>100</v>
      </c>
      <c r="CZ318" s="2" t="n">
        <v>94.69</v>
      </c>
      <c r="DA318" s="2" t="n">
        <v>95.65</v>
      </c>
      <c r="DB318" s="2" t="n">
        <v>100</v>
      </c>
      <c r="DC318" s="2" t="n">
        <v>94.69</v>
      </c>
      <c r="DD318" s="2" t="n">
        <v>95.65</v>
      </c>
      <c r="DE318" s="2" t="n">
        <v>100</v>
      </c>
      <c r="DF318" s="2" t="n">
        <v>94.69</v>
      </c>
      <c r="DG318" s="2" t="n">
        <v>95.65</v>
      </c>
      <c r="DH318" s="2" t="n">
        <v>100</v>
      </c>
      <c r="DI318" s="2" t="n">
        <v>94.69</v>
      </c>
      <c r="DJ318" s="2" t="n">
        <v>95.65</v>
      </c>
      <c r="DK318" s="2" t="n">
        <v>100</v>
      </c>
      <c r="DL318" s="2" t="n">
        <v>94.69</v>
      </c>
      <c r="DM318" s="2" t="n">
        <v>95.65</v>
      </c>
      <c r="DN318" s="2" t="n">
        <v>100</v>
      </c>
      <c r="DO318" s="2" t="n">
        <v>94.69</v>
      </c>
      <c r="DP318" s="2" t="n">
        <v>95.65</v>
      </c>
      <c r="DQ318" s="2" t="n">
        <v>100</v>
      </c>
      <c r="DR318" s="2" t="n">
        <v>94.69</v>
      </c>
      <c r="DS318" s="2" t="n">
        <v>95.65</v>
      </c>
      <c r="DT318" s="2" t="n">
        <v>100</v>
      </c>
      <c r="DU318" s="2" t="n">
        <v>94.69</v>
      </c>
      <c r="DV318" s="2" t="n">
        <v>95.65</v>
      </c>
      <c r="DW318" s="2" t="n">
        <v>100</v>
      </c>
      <c r="DX318" s="2" t="n">
        <v>94.69</v>
      </c>
      <c r="DY318" s="2" t="n">
        <v>95.65</v>
      </c>
      <c r="DZ318" s="2" t="n">
        <v>100</v>
      </c>
      <c r="EA318" s="2" t="n">
        <v>94.69</v>
      </c>
      <c r="EB318" s="2" t="n">
        <v>95.65</v>
      </c>
      <c r="EC318" s="2" t="n">
        <v>100</v>
      </c>
      <c r="ED318" s="2" t="n">
        <v>94.69</v>
      </c>
      <c r="EE318" s="2" t="n">
        <v>95.65</v>
      </c>
      <c r="EF318" s="2" t="n">
        <v>100</v>
      </c>
      <c r="EG318" s="2" t="n">
        <v>94.69</v>
      </c>
      <c r="EH318" s="2" t="n">
        <v>95.65</v>
      </c>
      <c r="EI318" s="2" t="n">
        <v>100</v>
      </c>
      <c r="EJ318" s="2" t="n">
        <v>94.69</v>
      </c>
      <c r="EK318" s="2" t="n">
        <v>95.65</v>
      </c>
      <c r="EL318" s="2" t="n">
        <v>100</v>
      </c>
      <c r="EM318" s="2" t="n">
        <v>94.69</v>
      </c>
      <c r="EN318" s="2" t="n">
        <v>95.65</v>
      </c>
      <c r="EO318" s="2" t="n">
        <v>100</v>
      </c>
      <c r="EP318" s="2" t="n">
        <v>94.69</v>
      </c>
      <c r="EQ318" s="2" t="n">
        <v>95.65</v>
      </c>
      <c r="ER318" s="2" t="n">
        <v>100</v>
      </c>
      <c r="ES318" s="2" t="n">
        <v>94.69</v>
      </c>
    </row>
    <row r="319" customFormat="false" ht="15" hidden="false" customHeight="false" outlineLevel="0" collapsed="false">
      <c r="A319" s="2" t="n">
        <v>3</v>
      </c>
      <c r="B319" s="2" t="s">
        <v>1046</v>
      </c>
      <c r="C319" s="2" t="s">
        <v>1047</v>
      </c>
      <c r="D319" s="2" t="s">
        <v>1042</v>
      </c>
      <c r="E319" s="2" t="s">
        <v>964</v>
      </c>
      <c r="F319" s="2" t="n">
        <v>400968.492449721</v>
      </c>
      <c r="G319" s="2" t="n">
        <v>0</v>
      </c>
      <c r="H319" s="2" t="n">
        <v>400968.492449721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89.6</v>
      </c>
      <c r="AW319" s="2" t="n">
        <v>89.82</v>
      </c>
      <c r="AX319" s="2" t="n">
        <v>94.69</v>
      </c>
      <c r="AY319" s="2" t="n">
        <v>95.65</v>
      </c>
      <c r="AZ319" s="2" t="n">
        <v>95.65</v>
      </c>
      <c r="BA319" s="2" t="n">
        <v>94.69</v>
      </c>
      <c r="BB319" s="2" t="n">
        <v>95.65</v>
      </c>
      <c r="BC319" s="2" t="n">
        <v>95.65</v>
      </c>
      <c r="BD319" s="2" t="n">
        <v>94.69</v>
      </c>
      <c r="BE319" s="2" t="n">
        <v>95.65</v>
      </c>
      <c r="BF319" s="2" t="n">
        <v>95.65</v>
      </c>
      <c r="BG319" s="2" t="n">
        <v>94.69</v>
      </c>
      <c r="BH319" s="2" t="n">
        <v>95.65</v>
      </c>
      <c r="BI319" s="2" t="n">
        <v>95.65</v>
      </c>
      <c r="BJ319" s="2" t="n">
        <v>94.69</v>
      </c>
      <c r="BK319" s="2" t="n">
        <v>95.65</v>
      </c>
      <c r="BL319" s="2" t="n">
        <v>95.65</v>
      </c>
      <c r="BM319" s="2" t="n">
        <v>94.69</v>
      </c>
      <c r="BN319" s="2" t="n">
        <v>95.65</v>
      </c>
      <c r="BO319" s="2" t="n">
        <v>95.65</v>
      </c>
      <c r="BP319" s="2" t="n">
        <v>94.69</v>
      </c>
      <c r="BQ319" s="2" t="n">
        <v>95.65</v>
      </c>
      <c r="BR319" s="2" t="n">
        <v>95.65</v>
      </c>
      <c r="BS319" s="2" t="n">
        <v>94.69</v>
      </c>
      <c r="BT319" s="2" t="n">
        <v>95.65</v>
      </c>
      <c r="BU319" s="2" t="n">
        <v>96.96</v>
      </c>
      <c r="BV319" s="2" t="n">
        <v>94.69</v>
      </c>
      <c r="BW319" s="2" t="n">
        <v>95.65</v>
      </c>
      <c r="BX319" s="2" t="n">
        <v>100</v>
      </c>
      <c r="BY319" s="2" t="n">
        <v>94.69</v>
      </c>
      <c r="BZ319" s="2" t="n">
        <v>95.65</v>
      </c>
      <c r="CA319" s="2" t="n">
        <v>100</v>
      </c>
      <c r="CB319" s="2" t="n">
        <v>94.69</v>
      </c>
      <c r="CC319" s="2" t="n">
        <v>95.65</v>
      </c>
      <c r="CD319" s="2" t="n">
        <v>100</v>
      </c>
      <c r="CE319" s="2" t="n">
        <v>94.69</v>
      </c>
      <c r="CF319" s="2" t="n">
        <v>95.65</v>
      </c>
      <c r="CG319" s="2" t="n">
        <v>100</v>
      </c>
      <c r="CH319" s="2" t="n">
        <v>94.69</v>
      </c>
      <c r="CI319" s="2" t="n">
        <v>95.65</v>
      </c>
      <c r="CJ319" s="2" t="n">
        <v>100</v>
      </c>
      <c r="CK319" s="2" t="n">
        <v>94.69</v>
      </c>
      <c r="CL319" s="2" t="n">
        <v>95.65</v>
      </c>
      <c r="CM319" s="2" t="n">
        <v>100</v>
      </c>
      <c r="CN319" s="2" t="n">
        <v>94.69</v>
      </c>
      <c r="CO319" s="2" t="n">
        <v>95.65</v>
      </c>
      <c r="CP319" s="2" t="n">
        <v>100</v>
      </c>
      <c r="CQ319" s="2" t="n">
        <v>94.69</v>
      </c>
      <c r="CR319" s="2" t="n">
        <v>95.65</v>
      </c>
      <c r="CS319" s="2" t="n">
        <v>100</v>
      </c>
      <c r="CT319" s="2" t="n">
        <v>94.69</v>
      </c>
      <c r="CU319" s="2" t="n">
        <v>95.65</v>
      </c>
      <c r="CV319" s="2" t="n">
        <v>100</v>
      </c>
      <c r="CW319" s="2" t="n">
        <v>94.69</v>
      </c>
      <c r="CX319" s="2" t="n">
        <v>95.65</v>
      </c>
      <c r="CY319" s="2" t="n">
        <v>100</v>
      </c>
      <c r="CZ319" s="2" t="n">
        <v>94.69</v>
      </c>
      <c r="DA319" s="2" t="n">
        <v>95.65</v>
      </c>
      <c r="DB319" s="2" t="n">
        <v>100</v>
      </c>
      <c r="DC319" s="2" t="n">
        <v>94.69</v>
      </c>
      <c r="DD319" s="2" t="n">
        <v>95.65</v>
      </c>
      <c r="DE319" s="2" t="n">
        <v>100</v>
      </c>
      <c r="DF319" s="2" t="n">
        <v>94.69</v>
      </c>
      <c r="DG319" s="2" t="n">
        <v>95.65</v>
      </c>
      <c r="DH319" s="2" t="n">
        <v>100</v>
      </c>
      <c r="DI319" s="2" t="n">
        <v>94.69</v>
      </c>
      <c r="DJ319" s="2" t="n">
        <v>95.65</v>
      </c>
      <c r="DK319" s="2" t="n">
        <v>100</v>
      </c>
      <c r="DL319" s="2" t="n">
        <v>94.69</v>
      </c>
      <c r="DM319" s="2" t="n">
        <v>95.65</v>
      </c>
      <c r="DN319" s="2" t="n">
        <v>100</v>
      </c>
      <c r="DO319" s="2" t="n">
        <v>94.69</v>
      </c>
      <c r="DP319" s="2" t="n">
        <v>95.65</v>
      </c>
      <c r="DQ319" s="2" t="n">
        <v>100</v>
      </c>
      <c r="DR319" s="2" t="n">
        <v>94.69</v>
      </c>
      <c r="DS319" s="2" t="n">
        <v>95.65</v>
      </c>
      <c r="DT319" s="2" t="n">
        <v>100</v>
      </c>
      <c r="DU319" s="2" t="n">
        <v>94.69</v>
      </c>
      <c r="DV319" s="2" t="n">
        <v>95.65</v>
      </c>
      <c r="DW319" s="2" t="n">
        <v>100</v>
      </c>
      <c r="DX319" s="2" t="n">
        <v>94.69</v>
      </c>
      <c r="DY319" s="2" t="n">
        <v>95.65</v>
      </c>
      <c r="DZ319" s="2" t="n">
        <v>100</v>
      </c>
      <c r="EA319" s="2" t="n">
        <v>94.69</v>
      </c>
      <c r="EB319" s="2" t="n">
        <v>95.65</v>
      </c>
      <c r="EC319" s="2" t="n">
        <v>100</v>
      </c>
      <c r="ED319" s="2" t="n">
        <v>94.69</v>
      </c>
      <c r="EE319" s="2" t="n">
        <v>95.65</v>
      </c>
      <c r="EF319" s="2" t="n">
        <v>100</v>
      </c>
      <c r="EG319" s="2" t="n">
        <v>94.69</v>
      </c>
      <c r="EH319" s="2" t="n">
        <v>95.65</v>
      </c>
      <c r="EI319" s="2" t="n">
        <v>100</v>
      </c>
      <c r="EJ319" s="2" t="n">
        <v>94.69</v>
      </c>
      <c r="EK319" s="2" t="n">
        <v>95.65</v>
      </c>
      <c r="EL319" s="2" t="n">
        <v>100</v>
      </c>
      <c r="EM319" s="2" t="n">
        <v>94.69</v>
      </c>
      <c r="EN319" s="2" t="n">
        <v>95.65</v>
      </c>
      <c r="EO319" s="2" t="n">
        <v>100</v>
      </c>
      <c r="EP319" s="2" t="n">
        <v>94.69</v>
      </c>
      <c r="EQ319" s="2" t="n">
        <v>95.65</v>
      </c>
      <c r="ER319" s="2" t="n">
        <v>100</v>
      </c>
      <c r="ES319" s="2" t="n">
        <v>94.69</v>
      </c>
    </row>
    <row r="320" customFormat="false" ht="15" hidden="false" customHeight="false" outlineLevel="0" collapsed="false">
      <c r="A320" s="2" t="n">
        <v>3</v>
      </c>
      <c r="B320" s="2" t="s">
        <v>1048</v>
      </c>
      <c r="C320" s="2" t="s">
        <v>1049</v>
      </c>
      <c r="D320" s="2" t="s">
        <v>1042</v>
      </c>
      <c r="E320" s="2" t="s">
        <v>964</v>
      </c>
      <c r="F320" s="2" t="n">
        <v>9062.33433978392</v>
      </c>
      <c r="G320" s="2" t="n">
        <v>0</v>
      </c>
      <c r="H320" s="2" t="n">
        <v>9062.33433978392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89.6</v>
      </c>
      <c r="AW320" s="2" t="n">
        <v>89.82</v>
      </c>
      <c r="AX320" s="2" t="n">
        <v>94.69</v>
      </c>
      <c r="AY320" s="2" t="n">
        <v>95.65</v>
      </c>
      <c r="AZ320" s="2" t="n">
        <v>95.65</v>
      </c>
      <c r="BA320" s="2" t="n">
        <v>94.69</v>
      </c>
      <c r="BB320" s="2" t="n">
        <v>95.65</v>
      </c>
      <c r="BC320" s="2" t="n">
        <v>95.65</v>
      </c>
      <c r="BD320" s="2" t="n">
        <v>94.69</v>
      </c>
      <c r="BE320" s="2" t="n">
        <v>95.65</v>
      </c>
      <c r="BF320" s="2" t="n">
        <v>95.65</v>
      </c>
      <c r="BG320" s="2" t="n">
        <v>94.69</v>
      </c>
      <c r="BH320" s="2" t="n">
        <v>95.65</v>
      </c>
      <c r="BI320" s="2" t="n">
        <v>95.65</v>
      </c>
      <c r="BJ320" s="2" t="n">
        <v>94.69</v>
      </c>
      <c r="BK320" s="2" t="n">
        <v>95.65</v>
      </c>
      <c r="BL320" s="2" t="n">
        <v>95.65</v>
      </c>
      <c r="BM320" s="2" t="n">
        <v>94.69</v>
      </c>
      <c r="BN320" s="2" t="n">
        <v>95.65</v>
      </c>
      <c r="BO320" s="2" t="n">
        <v>95.65</v>
      </c>
      <c r="BP320" s="2" t="n">
        <v>94.69</v>
      </c>
      <c r="BQ320" s="2" t="n">
        <v>95.65</v>
      </c>
      <c r="BR320" s="2" t="n">
        <v>95.65</v>
      </c>
      <c r="BS320" s="2" t="n">
        <v>94.69</v>
      </c>
      <c r="BT320" s="2" t="n">
        <v>95.65</v>
      </c>
      <c r="BU320" s="2" t="n">
        <v>96.96</v>
      </c>
      <c r="BV320" s="2" t="n">
        <v>94.69</v>
      </c>
      <c r="BW320" s="2" t="n">
        <v>95.65</v>
      </c>
      <c r="BX320" s="2" t="n">
        <v>100</v>
      </c>
      <c r="BY320" s="2" t="n">
        <v>94.69</v>
      </c>
      <c r="BZ320" s="2" t="n">
        <v>95.65</v>
      </c>
      <c r="CA320" s="2" t="n">
        <v>100</v>
      </c>
      <c r="CB320" s="2" t="n">
        <v>94.69</v>
      </c>
      <c r="CC320" s="2" t="n">
        <v>95.65</v>
      </c>
      <c r="CD320" s="2" t="n">
        <v>100</v>
      </c>
      <c r="CE320" s="2" t="n">
        <v>94.69</v>
      </c>
      <c r="CF320" s="2" t="n">
        <v>95.65</v>
      </c>
      <c r="CG320" s="2" t="n">
        <v>100</v>
      </c>
      <c r="CH320" s="2" t="n">
        <v>94.69</v>
      </c>
      <c r="CI320" s="2" t="n">
        <v>95.65</v>
      </c>
      <c r="CJ320" s="2" t="n">
        <v>100</v>
      </c>
      <c r="CK320" s="2" t="n">
        <v>94.69</v>
      </c>
      <c r="CL320" s="2" t="n">
        <v>95.65</v>
      </c>
      <c r="CM320" s="2" t="n">
        <v>100</v>
      </c>
      <c r="CN320" s="2" t="n">
        <v>94.69</v>
      </c>
      <c r="CO320" s="2" t="n">
        <v>95.65</v>
      </c>
      <c r="CP320" s="2" t="n">
        <v>100</v>
      </c>
      <c r="CQ320" s="2" t="n">
        <v>94.69</v>
      </c>
      <c r="CR320" s="2" t="n">
        <v>95.65</v>
      </c>
      <c r="CS320" s="2" t="n">
        <v>100</v>
      </c>
      <c r="CT320" s="2" t="n">
        <v>94.69</v>
      </c>
      <c r="CU320" s="2" t="n">
        <v>95.65</v>
      </c>
      <c r="CV320" s="2" t="n">
        <v>100</v>
      </c>
      <c r="CW320" s="2" t="n">
        <v>94.69</v>
      </c>
      <c r="CX320" s="2" t="n">
        <v>95.65</v>
      </c>
      <c r="CY320" s="2" t="n">
        <v>100</v>
      </c>
      <c r="CZ320" s="2" t="n">
        <v>94.69</v>
      </c>
      <c r="DA320" s="2" t="n">
        <v>95.65</v>
      </c>
      <c r="DB320" s="2" t="n">
        <v>100</v>
      </c>
      <c r="DC320" s="2" t="n">
        <v>94.69</v>
      </c>
      <c r="DD320" s="2" t="n">
        <v>95.65</v>
      </c>
      <c r="DE320" s="2" t="n">
        <v>100</v>
      </c>
      <c r="DF320" s="2" t="n">
        <v>94.69</v>
      </c>
      <c r="DG320" s="2" t="n">
        <v>95.65</v>
      </c>
      <c r="DH320" s="2" t="n">
        <v>100</v>
      </c>
      <c r="DI320" s="2" t="n">
        <v>94.69</v>
      </c>
      <c r="DJ320" s="2" t="n">
        <v>95.65</v>
      </c>
      <c r="DK320" s="2" t="n">
        <v>100</v>
      </c>
      <c r="DL320" s="2" t="n">
        <v>94.69</v>
      </c>
      <c r="DM320" s="2" t="n">
        <v>95.65</v>
      </c>
      <c r="DN320" s="2" t="n">
        <v>100</v>
      </c>
      <c r="DO320" s="2" t="n">
        <v>94.69</v>
      </c>
      <c r="DP320" s="2" t="n">
        <v>95.65</v>
      </c>
      <c r="DQ320" s="2" t="n">
        <v>100</v>
      </c>
      <c r="DR320" s="2" t="n">
        <v>94.69</v>
      </c>
      <c r="DS320" s="2" t="n">
        <v>95.65</v>
      </c>
      <c r="DT320" s="2" t="n">
        <v>100</v>
      </c>
      <c r="DU320" s="2" t="n">
        <v>94.69</v>
      </c>
      <c r="DV320" s="2" t="n">
        <v>95.65</v>
      </c>
      <c r="DW320" s="2" t="n">
        <v>100</v>
      </c>
      <c r="DX320" s="2" t="n">
        <v>94.69</v>
      </c>
      <c r="DY320" s="2" t="n">
        <v>95.65</v>
      </c>
      <c r="DZ320" s="2" t="n">
        <v>100</v>
      </c>
      <c r="EA320" s="2" t="n">
        <v>94.69</v>
      </c>
      <c r="EB320" s="2" t="n">
        <v>95.65</v>
      </c>
      <c r="EC320" s="2" t="n">
        <v>100</v>
      </c>
      <c r="ED320" s="2" t="n">
        <v>94.69</v>
      </c>
      <c r="EE320" s="2" t="n">
        <v>95.65</v>
      </c>
      <c r="EF320" s="2" t="n">
        <v>100</v>
      </c>
      <c r="EG320" s="2" t="n">
        <v>94.69</v>
      </c>
      <c r="EH320" s="2" t="n">
        <v>95.65</v>
      </c>
      <c r="EI320" s="2" t="n">
        <v>100</v>
      </c>
      <c r="EJ320" s="2" t="n">
        <v>94.69</v>
      </c>
      <c r="EK320" s="2" t="n">
        <v>95.65</v>
      </c>
      <c r="EL320" s="2" t="n">
        <v>100</v>
      </c>
      <c r="EM320" s="2" t="n">
        <v>94.69</v>
      </c>
      <c r="EN320" s="2" t="n">
        <v>95.65</v>
      </c>
      <c r="EO320" s="2" t="n">
        <v>100</v>
      </c>
      <c r="EP320" s="2" t="n">
        <v>94.69</v>
      </c>
      <c r="EQ320" s="2" t="n">
        <v>95.65</v>
      </c>
      <c r="ER320" s="2" t="n">
        <v>100</v>
      </c>
      <c r="ES320" s="2" t="n">
        <v>94.69</v>
      </c>
    </row>
    <row r="321" customFormat="false" ht="15" hidden="false" customHeight="false" outlineLevel="0" collapsed="false">
      <c r="A321" s="2" t="n">
        <v>3</v>
      </c>
      <c r="B321" s="2" t="s">
        <v>1050</v>
      </c>
      <c r="C321" s="2" t="s">
        <v>1051</v>
      </c>
      <c r="D321" s="2" t="s">
        <v>1042</v>
      </c>
      <c r="E321" s="2" t="s">
        <v>964</v>
      </c>
      <c r="F321" s="2" t="n">
        <v>309181.746426438</v>
      </c>
      <c r="G321" s="2" t="n">
        <v>0</v>
      </c>
      <c r="H321" s="2" t="n">
        <v>309181.746426438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89.6</v>
      </c>
      <c r="AW321" s="2" t="n">
        <v>89.82</v>
      </c>
      <c r="AX321" s="2" t="n">
        <v>94.69</v>
      </c>
      <c r="AY321" s="2" t="n">
        <v>95.65</v>
      </c>
      <c r="AZ321" s="2" t="n">
        <v>95.65</v>
      </c>
      <c r="BA321" s="2" t="n">
        <v>94.69</v>
      </c>
      <c r="BB321" s="2" t="n">
        <v>95.65</v>
      </c>
      <c r="BC321" s="2" t="n">
        <v>95.65</v>
      </c>
      <c r="BD321" s="2" t="n">
        <v>94.69</v>
      </c>
      <c r="BE321" s="2" t="n">
        <v>95.65</v>
      </c>
      <c r="BF321" s="2" t="n">
        <v>95.65</v>
      </c>
      <c r="BG321" s="2" t="n">
        <v>94.69</v>
      </c>
      <c r="BH321" s="2" t="n">
        <v>95.65</v>
      </c>
      <c r="BI321" s="2" t="n">
        <v>95.65</v>
      </c>
      <c r="BJ321" s="2" t="n">
        <v>94.69</v>
      </c>
      <c r="BK321" s="2" t="n">
        <v>95.65</v>
      </c>
      <c r="BL321" s="2" t="n">
        <v>95.65</v>
      </c>
      <c r="BM321" s="2" t="n">
        <v>94.69</v>
      </c>
      <c r="BN321" s="2" t="n">
        <v>95.65</v>
      </c>
      <c r="BO321" s="2" t="n">
        <v>95.65</v>
      </c>
      <c r="BP321" s="2" t="n">
        <v>94.69</v>
      </c>
      <c r="BQ321" s="2" t="n">
        <v>95.65</v>
      </c>
      <c r="BR321" s="2" t="n">
        <v>95.65</v>
      </c>
      <c r="BS321" s="2" t="n">
        <v>94.69</v>
      </c>
      <c r="BT321" s="2" t="n">
        <v>95.65</v>
      </c>
      <c r="BU321" s="2" t="n">
        <v>96.96</v>
      </c>
      <c r="BV321" s="2" t="n">
        <v>94.69</v>
      </c>
      <c r="BW321" s="2" t="n">
        <v>95.65</v>
      </c>
      <c r="BX321" s="2" t="n">
        <v>100</v>
      </c>
      <c r="BY321" s="2" t="n">
        <v>94.69</v>
      </c>
      <c r="BZ321" s="2" t="n">
        <v>95.65</v>
      </c>
      <c r="CA321" s="2" t="n">
        <v>100</v>
      </c>
      <c r="CB321" s="2" t="n">
        <v>94.69</v>
      </c>
      <c r="CC321" s="2" t="n">
        <v>95.65</v>
      </c>
      <c r="CD321" s="2" t="n">
        <v>100</v>
      </c>
      <c r="CE321" s="2" t="n">
        <v>94.69</v>
      </c>
      <c r="CF321" s="2" t="n">
        <v>95.65</v>
      </c>
      <c r="CG321" s="2" t="n">
        <v>100</v>
      </c>
      <c r="CH321" s="2" t="n">
        <v>94.69</v>
      </c>
      <c r="CI321" s="2" t="n">
        <v>95.65</v>
      </c>
      <c r="CJ321" s="2" t="n">
        <v>100</v>
      </c>
      <c r="CK321" s="2" t="n">
        <v>94.69</v>
      </c>
      <c r="CL321" s="2" t="n">
        <v>95.65</v>
      </c>
      <c r="CM321" s="2" t="n">
        <v>100</v>
      </c>
      <c r="CN321" s="2" t="n">
        <v>94.69</v>
      </c>
      <c r="CO321" s="2" t="n">
        <v>95.65</v>
      </c>
      <c r="CP321" s="2" t="n">
        <v>100</v>
      </c>
      <c r="CQ321" s="2" t="n">
        <v>94.69</v>
      </c>
      <c r="CR321" s="2" t="n">
        <v>95.65</v>
      </c>
      <c r="CS321" s="2" t="n">
        <v>100</v>
      </c>
      <c r="CT321" s="2" t="n">
        <v>94.69</v>
      </c>
      <c r="CU321" s="2" t="n">
        <v>95.65</v>
      </c>
      <c r="CV321" s="2" t="n">
        <v>100</v>
      </c>
      <c r="CW321" s="2" t="n">
        <v>94.69</v>
      </c>
      <c r="CX321" s="2" t="n">
        <v>95.65</v>
      </c>
      <c r="CY321" s="2" t="n">
        <v>100</v>
      </c>
      <c r="CZ321" s="2" t="n">
        <v>94.69</v>
      </c>
      <c r="DA321" s="2" t="n">
        <v>95.65</v>
      </c>
      <c r="DB321" s="2" t="n">
        <v>100</v>
      </c>
      <c r="DC321" s="2" t="n">
        <v>94.69</v>
      </c>
      <c r="DD321" s="2" t="n">
        <v>95.65</v>
      </c>
      <c r="DE321" s="2" t="n">
        <v>100</v>
      </c>
      <c r="DF321" s="2" t="n">
        <v>94.69</v>
      </c>
      <c r="DG321" s="2" t="n">
        <v>95.65</v>
      </c>
      <c r="DH321" s="2" t="n">
        <v>100</v>
      </c>
      <c r="DI321" s="2" t="n">
        <v>94.69</v>
      </c>
      <c r="DJ321" s="2" t="n">
        <v>95.65</v>
      </c>
      <c r="DK321" s="2" t="n">
        <v>100</v>
      </c>
      <c r="DL321" s="2" t="n">
        <v>94.69</v>
      </c>
      <c r="DM321" s="2" t="n">
        <v>95.65</v>
      </c>
      <c r="DN321" s="2" t="n">
        <v>100</v>
      </c>
      <c r="DO321" s="2" t="n">
        <v>94.69</v>
      </c>
      <c r="DP321" s="2" t="n">
        <v>95.65</v>
      </c>
      <c r="DQ321" s="2" t="n">
        <v>100</v>
      </c>
      <c r="DR321" s="2" t="n">
        <v>94.69</v>
      </c>
      <c r="DS321" s="2" t="n">
        <v>95.65</v>
      </c>
      <c r="DT321" s="2" t="n">
        <v>100</v>
      </c>
      <c r="DU321" s="2" t="n">
        <v>94.69</v>
      </c>
      <c r="DV321" s="2" t="n">
        <v>95.65</v>
      </c>
      <c r="DW321" s="2" t="n">
        <v>100</v>
      </c>
      <c r="DX321" s="2" t="n">
        <v>94.69</v>
      </c>
      <c r="DY321" s="2" t="n">
        <v>95.65</v>
      </c>
      <c r="DZ321" s="2" t="n">
        <v>100</v>
      </c>
      <c r="EA321" s="2" t="n">
        <v>94.69</v>
      </c>
      <c r="EB321" s="2" t="n">
        <v>95.65</v>
      </c>
      <c r="EC321" s="2" t="n">
        <v>100</v>
      </c>
      <c r="ED321" s="2" t="n">
        <v>94.69</v>
      </c>
      <c r="EE321" s="2" t="n">
        <v>95.65</v>
      </c>
      <c r="EF321" s="2" t="n">
        <v>100</v>
      </c>
      <c r="EG321" s="2" t="n">
        <v>94.69</v>
      </c>
      <c r="EH321" s="2" t="n">
        <v>95.65</v>
      </c>
      <c r="EI321" s="2" t="n">
        <v>100</v>
      </c>
      <c r="EJ321" s="2" t="n">
        <v>94.69</v>
      </c>
      <c r="EK321" s="2" t="n">
        <v>95.65</v>
      </c>
      <c r="EL321" s="2" t="n">
        <v>100</v>
      </c>
      <c r="EM321" s="2" t="n">
        <v>94.69</v>
      </c>
      <c r="EN321" s="2" t="n">
        <v>95.65</v>
      </c>
      <c r="EO321" s="2" t="n">
        <v>100</v>
      </c>
      <c r="EP321" s="2" t="n">
        <v>94.69</v>
      </c>
      <c r="EQ321" s="2" t="n">
        <v>95.65</v>
      </c>
      <c r="ER321" s="2" t="n">
        <v>100</v>
      </c>
      <c r="ES321" s="2" t="n">
        <v>94.69</v>
      </c>
    </row>
    <row r="322" customFormat="false" ht="15" hidden="false" customHeight="false" outlineLevel="0" collapsed="false">
      <c r="A322" s="2" t="n">
        <v>3</v>
      </c>
      <c r="B322" s="2" t="s">
        <v>1052</v>
      </c>
      <c r="C322" s="2" t="s">
        <v>927</v>
      </c>
      <c r="D322" s="2" t="s">
        <v>1042</v>
      </c>
      <c r="E322" s="2" t="s">
        <v>964</v>
      </c>
      <c r="F322" s="2" t="n">
        <v>1261409.05562094</v>
      </c>
      <c r="G322" s="2" t="n">
        <v>0</v>
      </c>
      <c r="H322" s="2" t="n">
        <v>1261409.05562094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89.6</v>
      </c>
      <c r="AW322" s="2" t="n">
        <v>89.82</v>
      </c>
      <c r="AX322" s="2" t="n">
        <v>94.69</v>
      </c>
      <c r="AY322" s="2" t="n">
        <v>95.65</v>
      </c>
      <c r="AZ322" s="2" t="n">
        <v>95.65</v>
      </c>
      <c r="BA322" s="2" t="n">
        <v>94.69</v>
      </c>
      <c r="BB322" s="2" t="n">
        <v>95.65</v>
      </c>
      <c r="BC322" s="2" t="n">
        <v>95.65</v>
      </c>
      <c r="BD322" s="2" t="n">
        <v>94.69</v>
      </c>
      <c r="BE322" s="2" t="n">
        <v>95.65</v>
      </c>
      <c r="BF322" s="2" t="n">
        <v>95.65</v>
      </c>
      <c r="BG322" s="2" t="n">
        <v>94.69</v>
      </c>
      <c r="BH322" s="2" t="n">
        <v>95.65</v>
      </c>
      <c r="BI322" s="2" t="n">
        <v>95.65</v>
      </c>
      <c r="BJ322" s="2" t="n">
        <v>94.69</v>
      </c>
      <c r="BK322" s="2" t="n">
        <v>95.65</v>
      </c>
      <c r="BL322" s="2" t="n">
        <v>95.65</v>
      </c>
      <c r="BM322" s="2" t="n">
        <v>94.69</v>
      </c>
      <c r="BN322" s="2" t="n">
        <v>95.65</v>
      </c>
      <c r="BO322" s="2" t="n">
        <v>95.65</v>
      </c>
      <c r="BP322" s="2" t="n">
        <v>94.69</v>
      </c>
      <c r="BQ322" s="2" t="n">
        <v>95.65</v>
      </c>
      <c r="BR322" s="2" t="n">
        <v>95.65</v>
      </c>
      <c r="BS322" s="2" t="n">
        <v>94.69</v>
      </c>
      <c r="BT322" s="2" t="n">
        <v>95.65</v>
      </c>
      <c r="BU322" s="2" t="n">
        <v>96.96</v>
      </c>
      <c r="BV322" s="2" t="n">
        <v>94.69</v>
      </c>
      <c r="BW322" s="2" t="n">
        <v>95.65</v>
      </c>
      <c r="BX322" s="2" t="n">
        <v>100</v>
      </c>
      <c r="BY322" s="2" t="n">
        <v>94.69</v>
      </c>
      <c r="BZ322" s="2" t="n">
        <v>95.65</v>
      </c>
      <c r="CA322" s="2" t="n">
        <v>100</v>
      </c>
      <c r="CB322" s="2" t="n">
        <v>94.69</v>
      </c>
      <c r="CC322" s="2" t="n">
        <v>95.65</v>
      </c>
      <c r="CD322" s="2" t="n">
        <v>100</v>
      </c>
      <c r="CE322" s="2" t="n">
        <v>94.69</v>
      </c>
      <c r="CF322" s="2" t="n">
        <v>95.65</v>
      </c>
      <c r="CG322" s="2" t="n">
        <v>100</v>
      </c>
      <c r="CH322" s="2" t="n">
        <v>94.69</v>
      </c>
      <c r="CI322" s="2" t="n">
        <v>95.65</v>
      </c>
      <c r="CJ322" s="2" t="n">
        <v>100</v>
      </c>
      <c r="CK322" s="2" t="n">
        <v>94.69</v>
      </c>
      <c r="CL322" s="2" t="n">
        <v>95.65</v>
      </c>
      <c r="CM322" s="2" t="n">
        <v>100</v>
      </c>
      <c r="CN322" s="2" t="n">
        <v>94.69</v>
      </c>
      <c r="CO322" s="2" t="n">
        <v>95.65</v>
      </c>
      <c r="CP322" s="2" t="n">
        <v>100</v>
      </c>
      <c r="CQ322" s="2" t="n">
        <v>94.69</v>
      </c>
      <c r="CR322" s="2" t="n">
        <v>95.65</v>
      </c>
      <c r="CS322" s="2" t="n">
        <v>100</v>
      </c>
      <c r="CT322" s="2" t="n">
        <v>94.69</v>
      </c>
      <c r="CU322" s="2" t="n">
        <v>95.65</v>
      </c>
      <c r="CV322" s="2" t="n">
        <v>100</v>
      </c>
      <c r="CW322" s="2" t="n">
        <v>94.69</v>
      </c>
      <c r="CX322" s="2" t="n">
        <v>95.65</v>
      </c>
      <c r="CY322" s="2" t="n">
        <v>100</v>
      </c>
      <c r="CZ322" s="2" t="n">
        <v>94.69</v>
      </c>
      <c r="DA322" s="2" t="n">
        <v>95.65</v>
      </c>
      <c r="DB322" s="2" t="n">
        <v>100</v>
      </c>
      <c r="DC322" s="2" t="n">
        <v>94.69</v>
      </c>
      <c r="DD322" s="2" t="n">
        <v>95.65</v>
      </c>
      <c r="DE322" s="2" t="n">
        <v>100</v>
      </c>
      <c r="DF322" s="2" t="n">
        <v>94.69</v>
      </c>
      <c r="DG322" s="2" t="n">
        <v>95.65</v>
      </c>
      <c r="DH322" s="2" t="n">
        <v>100</v>
      </c>
      <c r="DI322" s="2" t="n">
        <v>94.69</v>
      </c>
      <c r="DJ322" s="2" t="n">
        <v>95.65</v>
      </c>
      <c r="DK322" s="2" t="n">
        <v>100</v>
      </c>
      <c r="DL322" s="2" t="n">
        <v>94.69</v>
      </c>
      <c r="DM322" s="2" t="n">
        <v>95.65</v>
      </c>
      <c r="DN322" s="2" t="n">
        <v>100</v>
      </c>
      <c r="DO322" s="2" t="n">
        <v>94.69</v>
      </c>
      <c r="DP322" s="2" t="n">
        <v>95.65</v>
      </c>
      <c r="DQ322" s="2" t="n">
        <v>100</v>
      </c>
      <c r="DR322" s="2" t="n">
        <v>94.69</v>
      </c>
      <c r="DS322" s="2" t="n">
        <v>95.65</v>
      </c>
      <c r="DT322" s="2" t="n">
        <v>100</v>
      </c>
      <c r="DU322" s="2" t="n">
        <v>94.69</v>
      </c>
      <c r="DV322" s="2" t="n">
        <v>95.65</v>
      </c>
      <c r="DW322" s="2" t="n">
        <v>100</v>
      </c>
      <c r="DX322" s="2" t="n">
        <v>94.69</v>
      </c>
      <c r="DY322" s="2" t="n">
        <v>95.65</v>
      </c>
      <c r="DZ322" s="2" t="n">
        <v>100</v>
      </c>
      <c r="EA322" s="2" t="n">
        <v>94.69</v>
      </c>
      <c r="EB322" s="2" t="n">
        <v>95.65</v>
      </c>
      <c r="EC322" s="2" t="n">
        <v>100</v>
      </c>
      <c r="ED322" s="2" t="n">
        <v>94.69</v>
      </c>
      <c r="EE322" s="2" t="n">
        <v>95.65</v>
      </c>
      <c r="EF322" s="2" t="n">
        <v>100</v>
      </c>
      <c r="EG322" s="2" t="n">
        <v>94.69</v>
      </c>
      <c r="EH322" s="2" t="n">
        <v>95.65</v>
      </c>
      <c r="EI322" s="2" t="n">
        <v>100</v>
      </c>
      <c r="EJ322" s="2" t="n">
        <v>94.69</v>
      </c>
      <c r="EK322" s="2" t="n">
        <v>95.65</v>
      </c>
      <c r="EL322" s="2" t="n">
        <v>100</v>
      </c>
      <c r="EM322" s="2" t="n">
        <v>94.69</v>
      </c>
      <c r="EN322" s="2" t="n">
        <v>95.65</v>
      </c>
      <c r="EO322" s="2" t="n">
        <v>100</v>
      </c>
      <c r="EP322" s="2" t="n">
        <v>94.69</v>
      </c>
      <c r="EQ322" s="2" t="n">
        <v>95.65</v>
      </c>
      <c r="ER322" s="2" t="n">
        <v>100</v>
      </c>
      <c r="ES322" s="2" t="n">
        <v>94.69</v>
      </c>
    </row>
    <row r="323" customFormat="false" ht="15" hidden="false" customHeight="false" outlineLevel="0" collapsed="false">
      <c r="A323" s="2" t="n">
        <v>3</v>
      </c>
      <c r="B323" s="2" t="s">
        <v>1053</v>
      </c>
      <c r="C323" s="2" t="s">
        <v>1054</v>
      </c>
      <c r="D323" s="2" t="s">
        <v>1042</v>
      </c>
      <c r="E323" s="2" t="s">
        <v>964</v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89.6</v>
      </c>
      <c r="AW323" s="2" t="n">
        <v>89.82</v>
      </c>
      <c r="AX323" s="2" t="n">
        <v>94.69</v>
      </c>
      <c r="AY323" s="2" t="n">
        <v>95.65</v>
      </c>
      <c r="AZ323" s="2" t="n">
        <v>95.65</v>
      </c>
      <c r="BA323" s="2" t="n">
        <v>94.69</v>
      </c>
      <c r="BB323" s="2" t="n">
        <v>95.65</v>
      </c>
      <c r="BC323" s="2" t="n">
        <v>95.65</v>
      </c>
      <c r="BD323" s="2" t="n">
        <v>94.69</v>
      </c>
      <c r="BE323" s="2" t="n">
        <v>95.65</v>
      </c>
      <c r="BF323" s="2" t="n">
        <v>95.65</v>
      </c>
      <c r="BG323" s="2" t="n">
        <v>94.69</v>
      </c>
      <c r="BH323" s="2" t="n">
        <v>95.65</v>
      </c>
      <c r="BI323" s="2" t="n">
        <v>95.65</v>
      </c>
      <c r="BJ323" s="2" t="n">
        <v>94.69</v>
      </c>
      <c r="BK323" s="2" t="n">
        <v>95.65</v>
      </c>
      <c r="BL323" s="2" t="n">
        <v>95.65</v>
      </c>
      <c r="BM323" s="2" t="n">
        <v>94.69</v>
      </c>
      <c r="BN323" s="2" t="n">
        <v>95.65</v>
      </c>
      <c r="BO323" s="2" t="n">
        <v>95.65</v>
      </c>
      <c r="BP323" s="2" t="n">
        <v>94.69</v>
      </c>
      <c r="BQ323" s="2" t="n">
        <v>95.65</v>
      </c>
      <c r="BR323" s="2" t="n">
        <v>95.65</v>
      </c>
      <c r="BS323" s="2" t="n">
        <v>94.69</v>
      </c>
      <c r="BT323" s="2" t="n">
        <v>95.65</v>
      </c>
      <c r="BU323" s="2" t="n">
        <v>96.96</v>
      </c>
      <c r="BV323" s="2" t="n">
        <v>94.69</v>
      </c>
      <c r="BW323" s="2" t="n">
        <v>95.65</v>
      </c>
      <c r="BX323" s="2" t="n">
        <v>100</v>
      </c>
      <c r="BY323" s="2" t="n">
        <v>94.69</v>
      </c>
      <c r="BZ323" s="2" t="n">
        <v>95.65</v>
      </c>
      <c r="CA323" s="2" t="n">
        <v>100</v>
      </c>
      <c r="CB323" s="2" t="n">
        <v>94.69</v>
      </c>
      <c r="CC323" s="2" t="n">
        <v>95.65</v>
      </c>
      <c r="CD323" s="2" t="n">
        <v>100</v>
      </c>
      <c r="CE323" s="2" t="n">
        <v>94.69</v>
      </c>
      <c r="CF323" s="2" t="n">
        <v>95.65</v>
      </c>
      <c r="CG323" s="2" t="n">
        <v>100</v>
      </c>
      <c r="CH323" s="2" t="n">
        <v>94.69</v>
      </c>
      <c r="CI323" s="2" t="n">
        <v>95.65</v>
      </c>
      <c r="CJ323" s="2" t="n">
        <v>100</v>
      </c>
      <c r="CK323" s="2" t="n">
        <v>94.69</v>
      </c>
      <c r="CL323" s="2" t="n">
        <v>95.65</v>
      </c>
      <c r="CM323" s="2" t="n">
        <v>100</v>
      </c>
      <c r="CN323" s="2" t="n">
        <v>94.69</v>
      </c>
      <c r="CO323" s="2" t="n">
        <v>95.65</v>
      </c>
      <c r="CP323" s="2" t="n">
        <v>100</v>
      </c>
      <c r="CQ323" s="2" t="n">
        <v>94.69</v>
      </c>
      <c r="CR323" s="2" t="n">
        <v>95.65</v>
      </c>
      <c r="CS323" s="2" t="n">
        <v>100</v>
      </c>
      <c r="CT323" s="2" t="n">
        <v>94.69</v>
      </c>
      <c r="CU323" s="2" t="n">
        <v>95.65</v>
      </c>
      <c r="CV323" s="2" t="n">
        <v>100</v>
      </c>
      <c r="CW323" s="2" t="n">
        <v>94.69</v>
      </c>
      <c r="CX323" s="2" t="n">
        <v>95.65</v>
      </c>
      <c r="CY323" s="2" t="n">
        <v>100</v>
      </c>
      <c r="CZ323" s="2" t="n">
        <v>94.69</v>
      </c>
      <c r="DA323" s="2" t="n">
        <v>95.65</v>
      </c>
      <c r="DB323" s="2" t="n">
        <v>100</v>
      </c>
      <c r="DC323" s="2" t="n">
        <v>94.69</v>
      </c>
      <c r="DD323" s="2" t="n">
        <v>95.65</v>
      </c>
      <c r="DE323" s="2" t="n">
        <v>100</v>
      </c>
      <c r="DF323" s="2" t="n">
        <v>94.69</v>
      </c>
      <c r="DG323" s="2" t="n">
        <v>95.65</v>
      </c>
      <c r="DH323" s="2" t="n">
        <v>100</v>
      </c>
      <c r="DI323" s="2" t="n">
        <v>94.69</v>
      </c>
      <c r="DJ323" s="2" t="n">
        <v>95.65</v>
      </c>
      <c r="DK323" s="2" t="n">
        <v>100</v>
      </c>
      <c r="DL323" s="2" t="n">
        <v>94.69</v>
      </c>
      <c r="DM323" s="2" t="n">
        <v>95.65</v>
      </c>
      <c r="DN323" s="2" t="n">
        <v>100</v>
      </c>
      <c r="DO323" s="2" t="n">
        <v>94.69</v>
      </c>
      <c r="DP323" s="2" t="n">
        <v>95.65</v>
      </c>
      <c r="DQ323" s="2" t="n">
        <v>100</v>
      </c>
      <c r="DR323" s="2" t="n">
        <v>94.69</v>
      </c>
      <c r="DS323" s="2" t="n">
        <v>95.65</v>
      </c>
      <c r="DT323" s="2" t="n">
        <v>100</v>
      </c>
      <c r="DU323" s="2" t="n">
        <v>94.69</v>
      </c>
      <c r="DV323" s="2" t="n">
        <v>95.65</v>
      </c>
      <c r="DW323" s="2" t="n">
        <v>100</v>
      </c>
      <c r="DX323" s="2" t="n">
        <v>94.69</v>
      </c>
      <c r="DY323" s="2" t="n">
        <v>95.65</v>
      </c>
      <c r="DZ323" s="2" t="n">
        <v>100</v>
      </c>
      <c r="EA323" s="2" t="n">
        <v>94.69</v>
      </c>
      <c r="EB323" s="2" t="n">
        <v>95.65</v>
      </c>
      <c r="EC323" s="2" t="n">
        <v>100</v>
      </c>
      <c r="ED323" s="2" t="n">
        <v>94.69</v>
      </c>
      <c r="EE323" s="2" t="n">
        <v>95.65</v>
      </c>
      <c r="EF323" s="2" t="n">
        <v>100</v>
      </c>
      <c r="EG323" s="2" t="n">
        <v>94.69</v>
      </c>
      <c r="EH323" s="2" t="n">
        <v>95.65</v>
      </c>
      <c r="EI323" s="2" t="n">
        <v>100</v>
      </c>
      <c r="EJ323" s="2" t="n">
        <v>94.69</v>
      </c>
      <c r="EK323" s="2" t="n">
        <v>95.65</v>
      </c>
      <c r="EL323" s="2" t="n">
        <v>100</v>
      </c>
      <c r="EM323" s="2" t="n">
        <v>94.69</v>
      </c>
      <c r="EN323" s="2" t="n">
        <v>95.65</v>
      </c>
      <c r="EO323" s="2" t="n">
        <v>100</v>
      </c>
      <c r="EP323" s="2" t="n">
        <v>94.69</v>
      </c>
      <c r="EQ323" s="2" t="n">
        <v>95.65</v>
      </c>
      <c r="ER323" s="2" t="n">
        <v>100</v>
      </c>
      <c r="ES323" s="2" t="n">
        <v>94.69</v>
      </c>
    </row>
    <row r="324" customFormat="false" ht="15" hidden="false" customHeight="false" outlineLevel="0" collapsed="false">
      <c r="A324" s="2" t="n">
        <v>3</v>
      </c>
      <c r="B324" s="2" t="s">
        <v>1055</v>
      </c>
      <c r="C324" s="2" t="s">
        <v>1056</v>
      </c>
      <c r="D324" s="2" t="s">
        <v>1042</v>
      </c>
      <c r="E324" s="2" t="s">
        <v>964</v>
      </c>
      <c r="F324" s="2" t="n">
        <v>17625.8806270277</v>
      </c>
      <c r="G324" s="2" t="n">
        <v>0</v>
      </c>
      <c r="H324" s="2" t="n">
        <v>17625.8806270277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89.6</v>
      </c>
      <c r="AW324" s="2" t="n">
        <v>89.82</v>
      </c>
      <c r="AX324" s="2" t="n">
        <v>94.69</v>
      </c>
      <c r="AY324" s="2" t="n">
        <v>95.65</v>
      </c>
      <c r="AZ324" s="2" t="n">
        <v>95.65</v>
      </c>
      <c r="BA324" s="2" t="n">
        <v>94.69</v>
      </c>
      <c r="BB324" s="2" t="n">
        <v>95.65</v>
      </c>
      <c r="BC324" s="2" t="n">
        <v>95.65</v>
      </c>
      <c r="BD324" s="2" t="n">
        <v>94.69</v>
      </c>
      <c r="BE324" s="2" t="n">
        <v>95.65</v>
      </c>
      <c r="BF324" s="2" t="n">
        <v>95.65</v>
      </c>
      <c r="BG324" s="2" t="n">
        <v>94.69</v>
      </c>
      <c r="BH324" s="2" t="n">
        <v>95.65</v>
      </c>
      <c r="BI324" s="2" t="n">
        <v>95.65</v>
      </c>
      <c r="BJ324" s="2" t="n">
        <v>94.69</v>
      </c>
      <c r="BK324" s="2" t="n">
        <v>95.65</v>
      </c>
      <c r="BL324" s="2" t="n">
        <v>95.65</v>
      </c>
      <c r="BM324" s="2" t="n">
        <v>94.69</v>
      </c>
      <c r="BN324" s="2" t="n">
        <v>95.65</v>
      </c>
      <c r="BO324" s="2" t="n">
        <v>95.65</v>
      </c>
      <c r="BP324" s="2" t="n">
        <v>94.69</v>
      </c>
      <c r="BQ324" s="2" t="n">
        <v>95.65</v>
      </c>
      <c r="BR324" s="2" t="n">
        <v>95.65</v>
      </c>
      <c r="BS324" s="2" t="n">
        <v>94.69</v>
      </c>
      <c r="BT324" s="2" t="n">
        <v>95.65</v>
      </c>
      <c r="BU324" s="2" t="n">
        <v>96.96</v>
      </c>
      <c r="BV324" s="2" t="n">
        <v>94.69</v>
      </c>
      <c r="BW324" s="2" t="n">
        <v>95.65</v>
      </c>
      <c r="BX324" s="2" t="n">
        <v>100</v>
      </c>
      <c r="BY324" s="2" t="n">
        <v>94.69</v>
      </c>
      <c r="BZ324" s="2" t="n">
        <v>95.65</v>
      </c>
      <c r="CA324" s="2" t="n">
        <v>100</v>
      </c>
      <c r="CB324" s="2" t="n">
        <v>94.69</v>
      </c>
      <c r="CC324" s="2" t="n">
        <v>95.65</v>
      </c>
      <c r="CD324" s="2" t="n">
        <v>100</v>
      </c>
      <c r="CE324" s="2" t="n">
        <v>94.69</v>
      </c>
      <c r="CF324" s="2" t="n">
        <v>95.65</v>
      </c>
      <c r="CG324" s="2" t="n">
        <v>100</v>
      </c>
      <c r="CH324" s="2" t="n">
        <v>94.69</v>
      </c>
      <c r="CI324" s="2" t="n">
        <v>95.65</v>
      </c>
      <c r="CJ324" s="2" t="n">
        <v>100</v>
      </c>
      <c r="CK324" s="2" t="n">
        <v>94.69</v>
      </c>
      <c r="CL324" s="2" t="n">
        <v>95.65</v>
      </c>
      <c r="CM324" s="2" t="n">
        <v>100</v>
      </c>
      <c r="CN324" s="2" t="n">
        <v>94.69</v>
      </c>
      <c r="CO324" s="2" t="n">
        <v>95.65</v>
      </c>
      <c r="CP324" s="2" t="n">
        <v>100</v>
      </c>
      <c r="CQ324" s="2" t="n">
        <v>94.69</v>
      </c>
      <c r="CR324" s="2" t="n">
        <v>95.65</v>
      </c>
      <c r="CS324" s="2" t="n">
        <v>100</v>
      </c>
      <c r="CT324" s="2" t="n">
        <v>94.69</v>
      </c>
      <c r="CU324" s="2" t="n">
        <v>95.65</v>
      </c>
      <c r="CV324" s="2" t="n">
        <v>100</v>
      </c>
      <c r="CW324" s="2" t="n">
        <v>94.69</v>
      </c>
      <c r="CX324" s="2" t="n">
        <v>95.65</v>
      </c>
      <c r="CY324" s="2" t="n">
        <v>100</v>
      </c>
      <c r="CZ324" s="2" t="n">
        <v>94.69</v>
      </c>
      <c r="DA324" s="2" t="n">
        <v>95.65</v>
      </c>
      <c r="DB324" s="2" t="n">
        <v>100</v>
      </c>
      <c r="DC324" s="2" t="n">
        <v>94.69</v>
      </c>
      <c r="DD324" s="2" t="n">
        <v>95.65</v>
      </c>
      <c r="DE324" s="2" t="n">
        <v>100</v>
      </c>
      <c r="DF324" s="2" t="n">
        <v>94.69</v>
      </c>
      <c r="DG324" s="2" t="n">
        <v>95.65</v>
      </c>
      <c r="DH324" s="2" t="n">
        <v>100</v>
      </c>
      <c r="DI324" s="2" t="n">
        <v>94.69</v>
      </c>
      <c r="DJ324" s="2" t="n">
        <v>95.65</v>
      </c>
      <c r="DK324" s="2" t="n">
        <v>100</v>
      </c>
      <c r="DL324" s="2" t="n">
        <v>94.69</v>
      </c>
      <c r="DM324" s="2" t="n">
        <v>95.65</v>
      </c>
      <c r="DN324" s="2" t="n">
        <v>100</v>
      </c>
      <c r="DO324" s="2" t="n">
        <v>94.69</v>
      </c>
      <c r="DP324" s="2" t="n">
        <v>95.65</v>
      </c>
      <c r="DQ324" s="2" t="n">
        <v>100</v>
      </c>
      <c r="DR324" s="2" t="n">
        <v>94.69</v>
      </c>
      <c r="DS324" s="2" t="n">
        <v>95.65</v>
      </c>
      <c r="DT324" s="2" t="n">
        <v>100</v>
      </c>
      <c r="DU324" s="2" t="n">
        <v>94.69</v>
      </c>
      <c r="DV324" s="2" t="n">
        <v>95.65</v>
      </c>
      <c r="DW324" s="2" t="n">
        <v>100</v>
      </c>
      <c r="DX324" s="2" t="n">
        <v>94.69</v>
      </c>
      <c r="DY324" s="2" t="n">
        <v>95.65</v>
      </c>
      <c r="DZ324" s="2" t="n">
        <v>100</v>
      </c>
      <c r="EA324" s="2" t="n">
        <v>94.69</v>
      </c>
      <c r="EB324" s="2" t="n">
        <v>95.65</v>
      </c>
      <c r="EC324" s="2" t="n">
        <v>100</v>
      </c>
      <c r="ED324" s="2" t="n">
        <v>94.69</v>
      </c>
      <c r="EE324" s="2" t="n">
        <v>95.65</v>
      </c>
      <c r="EF324" s="2" t="n">
        <v>100</v>
      </c>
      <c r="EG324" s="2" t="n">
        <v>94.69</v>
      </c>
      <c r="EH324" s="2" t="n">
        <v>95.65</v>
      </c>
      <c r="EI324" s="2" t="n">
        <v>100</v>
      </c>
      <c r="EJ324" s="2" t="n">
        <v>94.69</v>
      </c>
      <c r="EK324" s="2" t="n">
        <v>95.65</v>
      </c>
      <c r="EL324" s="2" t="n">
        <v>100</v>
      </c>
      <c r="EM324" s="2" t="n">
        <v>94.69</v>
      </c>
      <c r="EN324" s="2" t="n">
        <v>95.65</v>
      </c>
      <c r="EO324" s="2" t="n">
        <v>100</v>
      </c>
      <c r="EP324" s="2" t="n">
        <v>94.69</v>
      </c>
      <c r="EQ324" s="2" t="n">
        <v>95.65</v>
      </c>
      <c r="ER324" s="2" t="n">
        <v>100</v>
      </c>
      <c r="ES324" s="2" t="n">
        <v>94.69</v>
      </c>
    </row>
    <row r="325" customFormat="false" ht="15" hidden="false" customHeight="false" outlineLevel="0" collapsed="false">
      <c r="A325" s="2" t="n">
        <v>3</v>
      </c>
      <c r="B325" s="2" t="s">
        <v>1057</v>
      </c>
      <c r="C325" s="2" t="s">
        <v>1058</v>
      </c>
      <c r="D325" s="2" t="s">
        <v>1042</v>
      </c>
      <c r="E325" s="2" t="s">
        <v>964</v>
      </c>
      <c r="F325" s="2" t="n">
        <v>990678.12</v>
      </c>
      <c r="G325" s="2" t="n">
        <v>0</v>
      </c>
      <c r="H325" s="2" t="n">
        <v>990678.12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89.6</v>
      </c>
      <c r="AW325" s="2" t="n">
        <v>89.82</v>
      </c>
      <c r="AX325" s="2" t="n">
        <v>94.69</v>
      </c>
      <c r="AY325" s="2" t="n">
        <v>95.65</v>
      </c>
      <c r="AZ325" s="2" t="n">
        <v>95.65</v>
      </c>
      <c r="BA325" s="2" t="n">
        <v>94.69</v>
      </c>
      <c r="BB325" s="2" t="n">
        <v>95.65</v>
      </c>
      <c r="BC325" s="2" t="n">
        <v>95.65</v>
      </c>
      <c r="BD325" s="2" t="n">
        <v>94.69</v>
      </c>
      <c r="BE325" s="2" t="n">
        <v>95.65</v>
      </c>
      <c r="BF325" s="2" t="n">
        <v>95.65</v>
      </c>
      <c r="BG325" s="2" t="n">
        <v>94.69</v>
      </c>
      <c r="BH325" s="2" t="n">
        <v>95.65</v>
      </c>
      <c r="BI325" s="2" t="n">
        <v>95.65</v>
      </c>
      <c r="BJ325" s="2" t="n">
        <v>94.69</v>
      </c>
      <c r="BK325" s="2" t="n">
        <v>95.65</v>
      </c>
      <c r="BL325" s="2" t="n">
        <v>95.65</v>
      </c>
      <c r="BM325" s="2" t="n">
        <v>94.69</v>
      </c>
      <c r="BN325" s="2" t="n">
        <v>95.65</v>
      </c>
      <c r="BO325" s="2" t="n">
        <v>95.65</v>
      </c>
      <c r="BP325" s="2" t="n">
        <v>94.69</v>
      </c>
      <c r="BQ325" s="2" t="n">
        <v>95.65</v>
      </c>
      <c r="BR325" s="2" t="n">
        <v>95.65</v>
      </c>
      <c r="BS325" s="2" t="n">
        <v>94.69</v>
      </c>
      <c r="BT325" s="2" t="n">
        <v>95.65</v>
      </c>
      <c r="BU325" s="2" t="n">
        <v>96.96</v>
      </c>
      <c r="BV325" s="2" t="n">
        <v>94.69</v>
      </c>
      <c r="BW325" s="2" t="n">
        <v>95.65</v>
      </c>
      <c r="BX325" s="2" t="n">
        <v>100</v>
      </c>
      <c r="BY325" s="2" t="n">
        <v>94.69</v>
      </c>
      <c r="BZ325" s="2" t="n">
        <v>95.65</v>
      </c>
      <c r="CA325" s="2" t="n">
        <v>100</v>
      </c>
      <c r="CB325" s="2" t="n">
        <v>94.69</v>
      </c>
      <c r="CC325" s="2" t="n">
        <v>95.65</v>
      </c>
      <c r="CD325" s="2" t="n">
        <v>100</v>
      </c>
      <c r="CE325" s="2" t="n">
        <v>94.69</v>
      </c>
      <c r="CF325" s="2" t="n">
        <v>95.65</v>
      </c>
      <c r="CG325" s="2" t="n">
        <v>100</v>
      </c>
      <c r="CH325" s="2" t="n">
        <v>94.69</v>
      </c>
      <c r="CI325" s="2" t="n">
        <v>95.65</v>
      </c>
      <c r="CJ325" s="2" t="n">
        <v>100</v>
      </c>
      <c r="CK325" s="2" t="n">
        <v>94.69</v>
      </c>
      <c r="CL325" s="2" t="n">
        <v>95.65</v>
      </c>
      <c r="CM325" s="2" t="n">
        <v>100</v>
      </c>
      <c r="CN325" s="2" t="n">
        <v>94.69</v>
      </c>
      <c r="CO325" s="2" t="n">
        <v>95.65</v>
      </c>
      <c r="CP325" s="2" t="n">
        <v>100</v>
      </c>
      <c r="CQ325" s="2" t="n">
        <v>94.69</v>
      </c>
      <c r="CR325" s="2" t="n">
        <v>95.65</v>
      </c>
      <c r="CS325" s="2" t="n">
        <v>100</v>
      </c>
      <c r="CT325" s="2" t="n">
        <v>94.69</v>
      </c>
      <c r="CU325" s="2" t="n">
        <v>95.65</v>
      </c>
      <c r="CV325" s="2" t="n">
        <v>100</v>
      </c>
      <c r="CW325" s="2" t="n">
        <v>94.69</v>
      </c>
      <c r="CX325" s="2" t="n">
        <v>95.65</v>
      </c>
      <c r="CY325" s="2" t="n">
        <v>100</v>
      </c>
      <c r="CZ325" s="2" t="n">
        <v>94.69</v>
      </c>
      <c r="DA325" s="2" t="n">
        <v>95.65</v>
      </c>
      <c r="DB325" s="2" t="n">
        <v>100</v>
      </c>
      <c r="DC325" s="2" t="n">
        <v>94.69</v>
      </c>
      <c r="DD325" s="2" t="n">
        <v>95.65</v>
      </c>
      <c r="DE325" s="2" t="n">
        <v>100</v>
      </c>
      <c r="DF325" s="2" t="n">
        <v>94.69</v>
      </c>
      <c r="DG325" s="2" t="n">
        <v>95.65</v>
      </c>
      <c r="DH325" s="2" t="n">
        <v>100</v>
      </c>
      <c r="DI325" s="2" t="n">
        <v>94.69</v>
      </c>
      <c r="DJ325" s="2" t="n">
        <v>95.65</v>
      </c>
      <c r="DK325" s="2" t="n">
        <v>100</v>
      </c>
      <c r="DL325" s="2" t="n">
        <v>94.69</v>
      </c>
      <c r="DM325" s="2" t="n">
        <v>95.65</v>
      </c>
      <c r="DN325" s="2" t="n">
        <v>100</v>
      </c>
      <c r="DO325" s="2" t="n">
        <v>94.69</v>
      </c>
      <c r="DP325" s="2" t="n">
        <v>95.65</v>
      </c>
      <c r="DQ325" s="2" t="n">
        <v>100</v>
      </c>
      <c r="DR325" s="2" t="n">
        <v>94.69</v>
      </c>
      <c r="DS325" s="2" t="n">
        <v>95.65</v>
      </c>
      <c r="DT325" s="2" t="n">
        <v>100</v>
      </c>
      <c r="DU325" s="2" t="n">
        <v>94.69</v>
      </c>
      <c r="DV325" s="2" t="n">
        <v>95.65</v>
      </c>
      <c r="DW325" s="2" t="n">
        <v>100</v>
      </c>
      <c r="DX325" s="2" t="n">
        <v>94.69</v>
      </c>
      <c r="DY325" s="2" t="n">
        <v>95.65</v>
      </c>
      <c r="DZ325" s="2" t="n">
        <v>100</v>
      </c>
      <c r="EA325" s="2" t="n">
        <v>94.69</v>
      </c>
      <c r="EB325" s="2" t="n">
        <v>95.65</v>
      </c>
      <c r="EC325" s="2" t="n">
        <v>100</v>
      </c>
      <c r="ED325" s="2" t="n">
        <v>94.69</v>
      </c>
      <c r="EE325" s="2" t="n">
        <v>95.65</v>
      </c>
      <c r="EF325" s="2" t="n">
        <v>100</v>
      </c>
      <c r="EG325" s="2" t="n">
        <v>94.69</v>
      </c>
      <c r="EH325" s="2" t="n">
        <v>95.65</v>
      </c>
      <c r="EI325" s="2" t="n">
        <v>100</v>
      </c>
      <c r="EJ325" s="2" t="n">
        <v>94.69</v>
      </c>
      <c r="EK325" s="2" t="n">
        <v>95.65</v>
      </c>
      <c r="EL325" s="2" t="n">
        <v>100</v>
      </c>
      <c r="EM325" s="2" t="n">
        <v>94.69</v>
      </c>
      <c r="EN325" s="2" t="n">
        <v>95.65</v>
      </c>
      <c r="EO325" s="2" t="n">
        <v>100</v>
      </c>
      <c r="EP325" s="2" t="n">
        <v>94.69</v>
      </c>
      <c r="EQ325" s="2" t="n">
        <v>95.65</v>
      </c>
      <c r="ER325" s="2" t="n">
        <v>100</v>
      </c>
      <c r="ES325" s="2" t="n">
        <v>94.69</v>
      </c>
    </row>
    <row r="326" customFormat="false" ht="15" hidden="false" customHeight="false" outlineLevel="0" collapsed="false">
      <c r="A326" s="2" t="n">
        <v>3</v>
      </c>
      <c r="B326" s="2" t="s">
        <v>1059</v>
      </c>
      <c r="C326" s="2" t="s">
        <v>1060</v>
      </c>
      <c r="D326" s="2" t="s">
        <v>1042</v>
      </c>
      <c r="E326" s="2" t="s">
        <v>964</v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89.6</v>
      </c>
      <c r="AW326" s="2" t="n">
        <v>89.82</v>
      </c>
      <c r="AX326" s="2" t="n">
        <v>94.69</v>
      </c>
      <c r="AY326" s="2" t="n">
        <v>95.65</v>
      </c>
      <c r="AZ326" s="2" t="n">
        <v>95.65</v>
      </c>
      <c r="BA326" s="2" t="n">
        <v>94.69</v>
      </c>
      <c r="BB326" s="2" t="n">
        <v>95.65</v>
      </c>
      <c r="BC326" s="2" t="n">
        <v>95.65</v>
      </c>
      <c r="BD326" s="2" t="n">
        <v>94.69</v>
      </c>
      <c r="BE326" s="2" t="n">
        <v>95.65</v>
      </c>
      <c r="BF326" s="2" t="n">
        <v>95.65</v>
      </c>
      <c r="BG326" s="2" t="n">
        <v>94.69</v>
      </c>
      <c r="BH326" s="2" t="n">
        <v>95.65</v>
      </c>
      <c r="BI326" s="2" t="n">
        <v>95.65</v>
      </c>
      <c r="BJ326" s="2" t="n">
        <v>94.69</v>
      </c>
      <c r="BK326" s="2" t="n">
        <v>95.65</v>
      </c>
      <c r="BL326" s="2" t="n">
        <v>95.65</v>
      </c>
      <c r="BM326" s="2" t="n">
        <v>94.69</v>
      </c>
      <c r="BN326" s="2" t="n">
        <v>95.65</v>
      </c>
      <c r="BO326" s="2" t="n">
        <v>95.65</v>
      </c>
      <c r="BP326" s="2" t="n">
        <v>94.69</v>
      </c>
      <c r="BQ326" s="2" t="n">
        <v>95.65</v>
      </c>
      <c r="BR326" s="2" t="n">
        <v>95.65</v>
      </c>
      <c r="BS326" s="2" t="n">
        <v>94.69</v>
      </c>
      <c r="BT326" s="2" t="n">
        <v>95.65</v>
      </c>
      <c r="BU326" s="2" t="n">
        <v>96.96</v>
      </c>
      <c r="BV326" s="2" t="n">
        <v>94.69</v>
      </c>
      <c r="BW326" s="2" t="n">
        <v>95.65</v>
      </c>
      <c r="BX326" s="2" t="n">
        <v>100</v>
      </c>
      <c r="BY326" s="2" t="n">
        <v>94.69</v>
      </c>
      <c r="BZ326" s="2" t="n">
        <v>95.65</v>
      </c>
      <c r="CA326" s="2" t="n">
        <v>100</v>
      </c>
      <c r="CB326" s="2" t="n">
        <v>94.69</v>
      </c>
      <c r="CC326" s="2" t="n">
        <v>95.65</v>
      </c>
      <c r="CD326" s="2" t="n">
        <v>100</v>
      </c>
      <c r="CE326" s="2" t="n">
        <v>94.69</v>
      </c>
      <c r="CF326" s="2" t="n">
        <v>95.65</v>
      </c>
      <c r="CG326" s="2" t="n">
        <v>100</v>
      </c>
      <c r="CH326" s="2" t="n">
        <v>94.69</v>
      </c>
      <c r="CI326" s="2" t="n">
        <v>95.65</v>
      </c>
      <c r="CJ326" s="2" t="n">
        <v>100</v>
      </c>
      <c r="CK326" s="2" t="n">
        <v>94.69</v>
      </c>
      <c r="CL326" s="2" t="n">
        <v>95.65</v>
      </c>
      <c r="CM326" s="2" t="n">
        <v>100</v>
      </c>
      <c r="CN326" s="2" t="n">
        <v>94.69</v>
      </c>
      <c r="CO326" s="2" t="n">
        <v>95.65</v>
      </c>
      <c r="CP326" s="2" t="n">
        <v>100</v>
      </c>
      <c r="CQ326" s="2" t="n">
        <v>94.69</v>
      </c>
      <c r="CR326" s="2" t="n">
        <v>95.65</v>
      </c>
      <c r="CS326" s="2" t="n">
        <v>100</v>
      </c>
      <c r="CT326" s="2" t="n">
        <v>94.69</v>
      </c>
      <c r="CU326" s="2" t="n">
        <v>95.65</v>
      </c>
      <c r="CV326" s="2" t="n">
        <v>100</v>
      </c>
      <c r="CW326" s="2" t="n">
        <v>94.69</v>
      </c>
      <c r="CX326" s="2" t="n">
        <v>95.65</v>
      </c>
      <c r="CY326" s="2" t="n">
        <v>100</v>
      </c>
      <c r="CZ326" s="2" t="n">
        <v>94.69</v>
      </c>
      <c r="DA326" s="2" t="n">
        <v>95.65</v>
      </c>
      <c r="DB326" s="2" t="n">
        <v>100</v>
      </c>
      <c r="DC326" s="2" t="n">
        <v>94.69</v>
      </c>
      <c r="DD326" s="2" t="n">
        <v>95.65</v>
      </c>
      <c r="DE326" s="2" t="n">
        <v>100</v>
      </c>
      <c r="DF326" s="2" t="n">
        <v>94.69</v>
      </c>
      <c r="DG326" s="2" t="n">
        <v>95.65</v>
      </c>
      <c r="DH326" s="2" t="n">
        <v>100</v>
      </c>
      <c r="DI326" s="2" t="n">
        <v>94.69</v>
      </c>
      <c r="DJ326" s="2" t="n">
        <v>95.65</v>
      </c>
      <c r="DK326" s="2" t="n">
        <v>100</v>
      </c>
      <c r="DL326" s="2" t="n">
        <v>94.69</v>
      </c>
      <c r="DM326" s="2" t="n">
        <v>95.65</v>
      </c>
      <c r="DN326" s="2" t="n">
        <v>100</v>
      </c>
      <c r="DO326" s="2" t="n">
        <v>94.69</v>
      </c>
      <c r="DP326" s="2" t="n">
        <v>95.65</v>
      </c>
      <c r="DQ326" s="2" t="n">
        <v>100</v>
      </c>
      <c r="DR326" s="2" t="n">
        <v>94.69</v>
      </c>
      <c r="DS326" s="2" t="n">
        <v>95.65</v>
      </c>
      <c r="DT326" s="2" t="n">
        <v>100</v>
      </c>
      <c r="DU326" s="2" t="n">
        <v>94.69</v>
      </c>
      <c r="DV326" s="2" t="n">
        <v>95.65</v>
      </c>
      <c r="DW326" s="2" t="n">
        <v>100</v>
      </c>
      <c r="DX326" s="2" t="n">
        <v>94.69</v>
      </c>
      <c r="DY326" s="2" t="n">
        <v>95.65</v>
      </c>
      <c r="DZ326" s="2" t="n">
        <v>100</v>
      </c>
      <c r="EA326" s="2" t="n">
        <v>94.69</v>
      </c>
      <c r="EB326" s="2" t="n">
        <v>95.65</v>
      </c>
      <c r="EC326" s="2" t="n">
        <v>100</v>
      </c>
      <c r="ED326" s="2" t="n">
        <v>94.69</v>
      </c>
      <c r="EE326" s="2" t="n">
        <v>95.65</v>
      </c>
      <c r="EF326" s="2" t="n">
        <v>100</v>
      </c>
      <c r="EG326" s="2" t="n">
        <v>94.69</v>
      </c>
      <c r="EH326" s="2" t="n">
        <v>95.65</v>
      </c>
      <c r="EI326" s="2" t="n">
        <v>100</v>
      </c>
      <c r="EJ326" s="2" t="n">
        <v>94.69</v>
      </c>
      <c r="EK326" s="2" t="n">
        <v>95.65</v>
      </c>
      <c r="EL326" s="2" t="n">
        <v>100</v>
      </c>
      <c r="EM326" s="2" t="n">
        <v>94.69</v>
      </c>
      <c r="EN326" s="2" t="n">
        <v>95.65</v>
      </c>
      <c r="EO326" s="2" t="n">
        <v>100</v>
      </c>
      <c r="EP326" s="2" t="n">
        <v>94.69</v>
      </c>
      <c r="EQ326" s="2" t="n">
        <v>95.65</v>
      </c>
      <c r="ER326" s="2" t="n">
        <v>100</v>
      </c>
      <c r="ES326" s="2" t="n">
        <v>94.69</v>
      </c>
    </row>
    <row r="327" customFormat="false" ht="15" hidden="false" customHeight="false" outlineLevel="0" collapsed="false">
      <c r="A327" s="2" t="n">
        <v>3</v>
      </c>
      <c r="B327" s="2" t="s">
        <v>1061</v>
      </c>
      <c r="C327" s="2" t="s">
        <v>1062</v>
      </c>
      <c r="D327" s="2" t="s">
        <v>1042</v>
      </c>
      <c r="E327" s="2" t="s">
        <v>964</v>
      </c>
      <c r="F327" s="2" t="n">
        <v>57321.0231409369</v>
      </c>
      <c r="G327" s="2" t="n">
        <v>0</v>
      </c>
      <c r="H327" s="2" t="n">
        <v>57321.0231409369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89.6</v>
      </c>
      <c r="AW327" s="2" t="n">
        <v>89.82</v>
      </c>
      <c r="AX327" s="2" t="n">
        <v>94.69</v>
      </c>
      <c r="AY327" s="2" t="n">
        <v>95.65</v>
      </c>
      <c r="AZ327" s="2" t="n">
        <v>95.65</v>
      </c>
      <c r="BA327" s="2" t="n">
        <v>94.69</v>
      </c>
      <c r="BB327" s="2" t="n">
        <v>95.65</v>
      </c>
      <c r="BC327" s="2" t="n">
        <v>95.65</v>
      </c>
      <c r="BD327" s="2" t="n">
        <v>94.69</v>
      </c>
      <c r="BE327" s="2" t="n">
        <v>95.65</v>
      </c>
      <c r="BF327" s="2" t="n">
        <v>95.65</v>
      </c>
      <c r="BG327" s="2" t="n">
        <v>94.69</v>
      </c>
      <c r="BH327" s="2" t="n">
        <v>95.65</v>
      </c>
      <c r="BI327" s="2" t="n">
        <v>95.65</v>
      </c>
      <c r="BJ327" s="2" t="n">
        <v>94.69</v>
      </c>
      <c r="BK327" s="2" t="n">
        <v>95.65</v>
      </c>
      <c r="BL327" s="2" t="n">
        <v>95.65</v>
      </c>
      <c r="BM327" s="2" t="n">
        <v>94.69</v>
      </c>
      <c r="BN327" s="2" t="n">
        <v>95.65</v>
      </c>
      <c r="BO327" s="2" t="n">
        <v>95.65</v>
      </c>
      <c r="BP327" s="2" t="n">
        <v>94.69</v>
      </c>
      <c r="BQ327" s="2" t="n">
        <v>95.65</v>
      </c>
      <c r="BR327" s="2" t="n">
        <v>95.65</v>
      </c>
      <c r="BS327" s="2" t="n">
        <v>94.69</v>
      </c>
      <c r="BT327" s="2" t="n">
        <v>95.65</v>
      </c>
      <c r="BU327" s="2" t="n">
        <v>96.96</v>
      </c>
      <c r="BV327" s="2" t="n">
        <v>94.69</v>
      </c>
      <c r="BW327" s="2" t="n">
        <v>95.65</v>
      </c>
      <c r="BX327" s="2" t="n">
        <v>100</v>
      </c>
      <c r="BY327" s="2" t="n">
        <v>94.69</v>
      </c>
      <c r="BZ327" s="2" t="n">
        <v>95.65</v>
      </c>
      <c r="CA327" s="2" t="n">
        <v>100</v>
      </c>
      <c r="CB327" s="2" t="n">
        <v>94.69</v>
      </c>
      <c r="CC327" s="2" t="n">
        <v>95.65</v>
      </c>
      <c r="CD327" s="2" t="n">
        <v>100</v>
      </c>
      <c r="CE327" s="2" t="n">
        <v>94.69</v>
      </c>
      <c r="CF327" s="2" t="n">
        <v>95.65</v>
      </c>
      <c r="CG327" s="2" t="n">
        <v>100</v>
      </c>
      <c r="CH327" s="2" t="n">
        <v>94.69</v>
      </c>
      <c r="CI327" s="2" t="n">
        <v>95.65</v>
      </c>
      <c r="CJ327" s="2" t="n">
        <v>100</v>
      </c>
      <c r="CK327" s="2" t="n">
        <v>94.69</v>
      </c>
      <c r="CL327" s="2" t="n">
        <v>95.65</v>
      </c>
      <c r="CM327" s="2" t="n">
        <v>100</v>
      </c>
      <c r="CN327" s="2" t="n">
        <v>94.69</v>
      </c>
      <c r="CO327" s="2" t="n">
        <v>95.65</v>
      </c>
      <c r="CP327" s="2" t="n">
        <v>100</v>
      </c>
      <c r="CQ327" s="2" t="n">
        <v>94.69</v>
      </c>
      <c r="CR327" s="2" t="n">
        <v>95.65</v>
      </c>
      <c r="CS327" s="2" t="n">
        <v>100</v>
      </c>
      <c r="CT327" s="2" t="n">
        <v>94.69</v>
      </c>
      <c r="CU327" s="2" t="n">
        <v>95.65</v>
      </c>
      <c r="CV327" s="2" t="n">
        <v>100</v>
      </c>
      <c r="CW327" s="2" t="n">
        <v>94.69</v>
      </c>
      <c r="CX327" s="2" t="n">
        <v>95.65</v>
      </c>
      <c r="CY327" s="2" t="n">
        <v>100</v>
      </c>
      <c r="CZ327" s="2" t="n">
        <v>94.69</v>
      </c>
      <c r="DA327" s="2" t="n">
        <v>95.65</v>
      </c>
      <c r="DB327" s="2" t="n">
        <v>100</v>
      </c>
      <c r="DC327" s="2" t="n">
        <v>94.69</v>
      </c>
      <c r="DD327" s="2" t="n">
        <v>95.65</v>
      </c>
      <c r="DE327" s="2" t="n">
        <v>100</v>
      </c>
      <c r="DF327" s="2" t="n">
        <v>94.69</v>
      </c>
      <c r="DG327" s="2" t="n">
        <v>95.65</v>
      </c>
      <c r="DH327" s="2" t="n">
        <v>100</v>
      </c>
      <c r="DI327" s="2" t="n">
        <v>94.69</v>
      </c>
      <c r="DJ327" s="2" t="n">
        <v>95.65</v>
      </c>
      <c r="DK327" s="2" t="n">
        <v>100</v>
      </c>
      <c r="DL327" s="2" t="n">
        <v>94.69</v>
      </c>
      <c r="DM327" s="2" t="n">
        <v>95.65</v>
      </c>
      <c r="DN327" s="2" t="n">
        <v>100</v>
      </c>
      <c r="DO327" s="2" t="n">
        <v>94.69</v>
      </c>
      <c r="DP327" s="2" t="n">
        <v>95.65</v>
      </c>
      <c r="DQ327" s="2" t="n">
        <v>100</v>
      </c>
      <c r="DR327" s="2" t="n">
        <v>94.69</v>
      </c>
      <c r="DS327" s="2" t="n">
        <v>95.65</v>
      </c>
      <c r="DT327" s="2" t="n">
        <v>100</v>
      </c>
      <c r="DU327" s="2" t="n">
        <v>94.69</v>
      </c>
      <c r="DV327" s="2" t="n">
        <v>95.65</v>
      </c>
      <c r="DW327" s="2" t="n">
        <v>100</v>
      </c>
      <c r="DX327" s="2" t="n">
        <v>94.69</v>
      </c>
      <c r="DY327" s="2" t="n">
        <v>95.65</v>
      </c>
      <c r="DZ327" s="2" t="n">
        <v>100</v>
      </c>
      <c r="EA327" s="2" t="n">
        <v>94.69</v>
      </c>
      <c r="EB327" s="2" t="n">
        <v>95.65</v>
      </c>
      <c r="EC327" s="2" t="n">
        <v>100</v>
      </c>
      <c r="ED327" s="2" t="n">
        <v>94.69</v>
      </c>
      <c r="EE327" s="2" t="n">
        <v>95.65</v>
      </c>
      <c r="EF327" s="2" t="n">
        <v>100</v>
      </c>
      <c r="EG327" s="2" t="n">
        <v>94.69</v>
      </c>
      <c r="EH327" s="2" t="n">
        <v>95.65</v>
      </c>
      <c r="EI327" s="2" t="n">
        <v>100</v>
      </c>
      <c r="EJ327" s="2" t="n">
        <v>94.69</v>
      </c>
      <c r="EK327" s="2" t="n">
        <v>95.65</v>
      </c>
      <c r="EL327" s="2" t="n">
        <v>100</v>
      </c>
      <c r="EM327" s="2" t="n">
        <v>94.69</v>
      </c>
      <c r="EN327" s="2" t="n">
        <v>95.65</v>
      </c>
      <c r="EO327" s="2" t="n">
        <v>100</v>
      </c>
      <c r="EP327" s="2" t="n">
        <v>94.69</v>
      </c>
      <c r="EQ327" s="2" t="n">
        <v>95.65</v>
      </c>
      <c r="ER327" s="2" t="n">
        <v>100</v>
      </c>
      <c r="ES327" s="2" t="n">
        <v>94.69</v>
      </c>
    </row>
    <row r="328" customFormat="false" ht="15" hidden="false" customHeight="false" outlineLevel="0" collapsed="false">
      <c r="A328" s="2" t="n">
        <v>3</v>
      </c>
      <c r="B328" s="2" t="s">
        <v>1063</v>
      </c>
      <c r="C328" s="2" t="s">
        <v>931</v>
      </c>
      <c r="D328" s="2" t="s">
        <v>1042</v>
      </c>
      <c r="E328" s="2" t="s">
        <v>964</v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89.6</v>
      </c>
      <c r="AW328" s="2" t="n">
        <v>89.82</v>
      </c>
      <c r="AX328" s="2" t="n">
        <v>94.69</v>
      </c>
      <c r="AY328" s="2" t="n">
        <v>95.65</v>
      </c>
      <c r="AZ328" s="2" t="n">
        <v>95.65</v>
      </c>
      <c r="BA328" s="2" t="n">
        <v>94.69</v>
      </c>
      <c r="BB328" s="2" t="n">
        <v>95.65</v>
      </c>
      <c r="BC328" s="2" t="n">
        <v>95.65</v>
      </c>
      <c r="BD328" s="2" t="n">
        <v>94.69</v>
      </c>
      <c r="BE328" s="2" t="n">
        <v>95.65</v>
      </c>
      <c r="BF328" s="2" t="n">
        <v>95.65</v>
      </c>
      <c r="BG328" s="2" t="n">
        <v>94.69</v>
      </c>
      <c r="BH328" s="2" t="n">
        <v>95.65</v>
      </c>
      <c r="BI328" s="2" t="n">
        <v>95.65</v>
      </c>
      <c r="BJ328" s="2" t="n">
        <v>94.69</v>
      </c>
      <c r="BK328" s="2" t="n">
        <v>95.65</v>
      </c>
      <c r="BL328" s="2" t="n">
        <v>95.65</v>
      </c>
      <c r="BM328" s="2" t="n">
        <v>94.69</v>
      </c>
      <c r="BN328" s="2" t="n">
        <v>95.65</v>
      </c>
      <c r="BO328" s="2" t="n">
        <v>95.65</v>
      </c>
      <c r="BP328" s="2" t="n">
        <v>94.69</v>
      </c>
      <c r="BQ328" s="2" t="n">
        <v>95.65</v>
      </c>
      <c r="BR328" s="2" t="n">
        <v>95.65</v>
      </c>
      <c r="BS328" s="2" t="n">
        <v>94.69</v>
      </c>
      <c r="BT328" s="2" t="n">
        <v>95.65</v>
      </c>
      <c r="BU328" s="2" t="n">
        <v>96.96</v>
      </c>
      <c r="BV328" s="2" t="n">
        <v>94.69</v>
      </c>
      <c r="BW328" s="2" t="n">
        <v>95.65</v>
      </c>
      <c r="BX328" s="2" t="n">
        <v>100</v>
      </c>
      <c r="BY328" s="2" t="n">
        <v>94.69</v>
      </c>
      <c r="BZ328" s="2" t="n">
        <v>95.65</v>
      </c>
      <c r="CA328" s="2" t="n">
        <v>100</v>
      </c>
      <c r="CB328" s="2" t="n">
        <v>94.69</v>
      </c>
      <c r="CC328" s="2" t="n">
        <v>95.65</v>
      </c>
      <c r="CD328" s="2" t="n">
        <v>100</v>
      </c>
      <c r="CE328" s="2" t="n">
        <v>94.69</v>
      </c>
      <c r="CF328" s="2" t="n">
        <v>95.65</v>
      </c>
      <c r="CG328" s="2" t="n">
        <v>100</v>
      </c>
      <c r="CH328" s="2" t="n">
        <v>94.69</v>
      </c>
      <c r="CI328" s="2" t="n">
        <v>95.65</v>
      </c>
      <c r="CJ328" s="2" t="n">
        <v>100</v>
      </c>
      <c r="CK328" s="2" t="n">
        <v>94.69</v>
      </c>
      <c r="CL328" s="2" t="n">
        <v>95.65</v>
      </c>
      <c r="CM328" s="2" t="n">
        <v>100</v>
      </c>
      <c r="CN328" s="2" t="n">
        <v>94.69</v>
      </c>
      <c r="CO328" s="2" t="n">
        <v>95.65</v>
      </c>
      <c r="CP328" s="2" t="n">
        <v>100</v>
      </c>
      <c r="CQ328" s="2" t="n">
        <v>94.69</v>
      </c>
      <c r="CR328" s="2" t="n">
        <v>95.65</v>
      </c>
      <c r="CS328" s="2" t="n">
        <v>100</v>
      </c>
      <c r="CT328" s="2" t="n">
        <v>94.69</v>
      </c>
      <c r="CU328" s="2" t="n">
        <v>95.65</v>
      </c>
      <c r="CV328" s="2" t="n">
        <v>100</v>
      </c>
      <c r="CW328" s="2" t="n">
        <v>94.69</v>
      </c>
      <c r="CX328" s="2" t="n">
        <v>95.65</v>
      </c>
      <c r="CY328" s="2" t="n">
        <v>100</v>
      </c>
      <c r="CZ328" s="2" t="n">
        <v>94.69</v>
      </c>
      <c r="DA328" s="2" t="n">
        <v>95.65</v>
      </c>
      <c r="DB328" s="2" t="n">
        <v>100</v>
      </c>
      <c r="DC328" s="2" t="n">
        <v>94.69</v>
      </c>
      <c r="DD328" s="2" t="n">
        <v>95.65</v>
      </c>
      <c r="DE328" s="2" t="n">
        <v>100</v>
      </c>
      <c r="DF328" s="2" t="n">
        <v>94.69</v>
      </c>
      <c r="DG328" s="2" t="n">
        <v>95.65</v>
      </c>
      <c r="DH328" s="2" t="n">
        <v>100</v>
      </c>
      <c r="DI328" s="2" t="n">
        <v>94.69</v>
      </c>
      <c r="DJ328" s="2" t="n">
        <v>95.65</v>
      </c>
      <c r="DK328" s="2" t="n">
        <v>100</v>
      </c>
      <c r="DL328" s="2" t="n">
        <v>94.69</v>
      </c>
      <c r="DM328" s="2" t="n">
        <v>95.65</v>
      </c>
      <c r="DN328" s="2" t="n">
        <v>100</v>
      </c>
      <c r="DO328" s="2" t="n">
        <v>94.69</v>
      </c>
      <c r="DP328" s="2" t="n">
        <v>95.65</v>
      </c>
      <c r="DQ328" s="2" t="n">
        <v>100</v>
      </c>
      <c r="DR328" s="2" t="n">
        <v>94.69</v>
      </c>
      <c r="DS328" s="2" t="n">
        <v>95.65</v>
      </c>
      <c r="DT328" s="2" t="n">
        <v>100</v>
      </c>
      <c r="DU328" s="2" t="n">
        <v>94.69</v>
      </c>
      <c r="DV328" s="2" t="n">
        <v>95.65</v>
      </c>
      <c r="DW328" s="2" t="n">
        <v>100</v>
      </c>
      <c r="DX328" s="2" t="n">
        <v>94.69</v>
      </c>
      <c r="DY328" s="2" t="n">
        <v>95.65</v>
      </c>
      <c r="DZ328" s="2" t="n">
        <v>100</v>
      </c>
      <c r="EA328" s="2" t="n">
        <v>94.69</v>
      </c>
      <c r="EB328" s="2" t="n">
        <v>95.65</v>
      </c>
      <c r="EC328" s="2" t="n">
        <v>100</v>
      </c>
      <c r="ED328" s="2" t="n">
        <v>94.69</v>
      </c>
      <c r="EE328" s="2" t="n">
        <v>95.65</v>
      </c>
      <c r="EF328" s="2" t="n">
        <v>100</v>
      </c>
      <c r="EG328" s="2" t="n">
        <v>94.69</v>
      </c>
      <c r="EH328" s="2" t="n">
        <v>95.65</v>
      </c>
      <c r="EI328" s="2" t="n">
        <v>100</v>
      </c>
      <c r="EJ328" s="2" t="n">
        <v>94.69</v>
      </c>
      <c r="EK328" s="2" t="n">
        <v>95.65</v>
      </c>
      <c r="EL328" s="2" t="n">
        <v>100</v>
      </c>
      <c r="EM328" s="2" t="n">
        <v>94.69</v>
      </c>
      <c r="EN328" s="2" t="n">
        <v>95.65</v>
      </c>
      <c r="EO328" s="2" t="n">
        <v>100</v>
      </c>
      <c r="EP328" s="2" t="n">
        <v>94.69</v>
      </c>
      <c r="EQ328" s="2" t="n">
        <v>95.65</v>
      </c>
      <c r="ER328" s="2" t="n">
        <v>100</v>
      </c>
      <c r="ES328" s="2" t="n">
        <v>94.69</v>
      </c>
    </row>
    <row r="329" customFormat="false" ht="15" hidden="false" customHeight="false" outlineLevel="0" collapsed="false">
      <c r="A329" s="2" t="n">
        <v>3</v>
      </c>
      <c r="B329" s="2" t="s">
        <v>1064</v>
      </c>
      <c r="C329" s="2" t="s">
        <v>1065</v>
      </c>
      <c r="D329" s="2" t="s">
        <v>1042</v>
      </c>
      <c r="E329" s="2" t="s">
        <v>964</v>
      </c>
      <c r="F329" s="2" t="n">
        <v>50620.7294218027</v>
      </c>
      <c r="G329" s="2" t="n">
        <v>0</v>
      </c>
      <c r="H329" s="2" t="n">
        <v>50620.7294218027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89.6</v>
      </c>
      <c r="AW329" s="2" t="n">
        <v>89.82</v>
      </c>
      <c r="AX329" s="2" t="n">
        <v>94.69</v>
      </c>
      <c r="AY329" s="2" t="n">
        <v>95.65</v>
      </c>
      <c r="AZ329" s="2" t="n">
        <v>95.65</v>
      </c>
      <c r="BA329" s="2" t="n">
        <v>94.69</v>
      </c>
      <c r="BB329" s="2" t="n">
        <v>95.65</v>
      </c>
      <c r="BC329" s="2" t="n">
        <v>95.65</v>
      </c>
      <c r="BD329" s="2" t="n">
        <v>94.69</v>
      </c>
      <c r="BE329" s="2" t="n">
        <v>95.65</v>
      </c>
      <c r="BF329" s="2" t="n">
        <v>95.65</v>
      </c>
      <c r="BG329" s="2" t="n">
        <v>94.69</v>
      </c>
      <c r="BH329" s="2" t="n">
        <v>95.65</v>
      </c>
      <c r="BI329" s="2" t="n">
        <v>95.65</v>
      </c>
      <c r="BJ329" s="2" t="n">
        <v>94.69</v>
      </c>
      <c r="BK329" s="2" t="n">
        <v>95.65</v>
      </c>
      <c r="BL329" s="2" t="n">
        <v>95.65</v>
      </c>
      <c r="BM329" s="2" t="n">
        <v>94.69</v>
      </c>
      <c r="BN329" s="2" t="n">
        <v>95.65</v>
      </c>
      <c r="BO329" s="2" t="n">
        <v>95.65</v>
      </c>
      <c r="BP329" s="2" t="n">
        <v>94.69</v>
      </c>
      <c r="BQ329" s="2" t="n">
        <v>95.65</v>
      </c>
      <c r="BR329" s="2" t="n">
        <v>95.65</v>
      </c>
      <c r="BS329" s="2" t="n">
        <v>94.69</v>
      </c>
      <c r="BT329" s="2" t="n">
        <v>95.65</v>
      </c>
      <c r="BU329" s="2" t="n">
        <v>96.96</v>
      </c>
      <c r="BV329" s="2" t="n">
        <v>94.69</v>
      </c>
      <c r="BW329" s="2" t="n">
        <v>95.65</v>
      </c>
      <c r="BX329" s="2" t="n">
        <v>100</v>
      </c>
      <c r="BY329" s="2" t="n">
        <v>94.69</v>
      </c>
      <c r="BZ329" s="2" t="n">
        <v>95.65</v>
      </c>
      <c r="CA329" s="2" t="n">
        <v>100</v>
      </c>
      <c r="CB329" s="2" t="n">
        <v>94.69</v>
      </c>
      <c r="CC329" s="2" t="n">
        <v>95.65</v>
      </c>
      <c r="CD329" s="2" t="n">
        <v>100</v>
      </c>
      <c r="CE329" s="2" t="n">
        <v>94.69</v>
      </c>
      <c r="CF329" s="2" t="n">
        <v>95.65</v>
      </c>
      <c r="CG329" s="2" t="n">
        <v>100</v>
      </c>
      <c r="CH329" s="2" t="n">
        <v>94.69</v>
      </c>
      <c r="CI329" s="2" t="n">
        <v>95.65</v>
      </c>
      <c r="CJ329" s="2" t="n">
        <v>100</v>
      </c>
      <c r="CK329" s="2" t="n">
        <v>94.69</v>
      </c>
      <c r="CL329" s="2" t="n">
        <v>95.65</v>
      </c>
      <c r="CM329" s="2" t="n">
        <v>100</v>
      </c>
      <c r="CN329" s="2" t="n">
        <v>94.69</v>
      </c>
      <c r="CO329" s="2" t="n">
        <v>95.65</v>
      </c>
      <c r="CP329" s="2" t="n">
        <v>100</v>
      </c>
      <c r="CQ329" s="2" t="n">
        <v>94.69</v>
      </c>
      <c r="CR329" s="2" t="n">
        <v>95.65</v>
      </c>
      <c r="CS329" s="2" t="n">
        <v>100</v>
      </c>
      <c r="CT329" s="2" t="n">
        <v>94.69</v>
      </c>
      <c r="CU329" s="2" t="n">
        <v>95.65</v>
      </c>
      <c r="CV329" s="2" t="n">
        <v>100</v>
      </c>
      <c r="CW329" s="2" t="n">
        <v>94.69</v>
      </c>
      <c r="CX329" s="2" t="n">
        <v>95.65</v>
      </c>
      <c r="CY329" s="2" t="n">
        <v>100</v>
      </c>
      <c r="CZ329" s="2" t="n">
        <v>94.69</v>
      </c>
      <c r="DA329" s="2" t="n">
        <v>95.65</v>
      </c>
      <c r="DB329" s="2" t="n">
        <v>100</v>
      </c>
      <c r="DC329" s="2" t="n">
        <v>94.69</v>
      </c>
      <c r="DD329" s="2" t="n">
        <v>95.65</v>
      </c>
      <c r="DE329" s="2" t="n">
        <v>100</v>
      </c>
      <c r="DF329" s="2" t="n">
        <v>94.69</v>
      </c>
      <c r="DG329" s="2" t="n">
        <v>95.65</v>
      </c>
      <c r="DH329" s="2" t="n">
        <v>100</v>
      </c>
      <c r="DI329" s="2" t="n">
        <v>94.69</v>
      </c>
      <c r="DJ329" s="2" t="n">
        <v>95.65</v>
      </c>
      <c r="DK329" s="2" t="n">
        <v>100</v>
      </c>
      <c r="DL329" s="2" t="n">
        <v>94.69</v>
      </c>
      <c r="DM329" s="2" t="n">
        <v>95.65</v>
      </c>
      <c r="DN329" s="2" t="n">
        <v>100</v>
      </c>
      <c r="DO329" s="2" t="n">
        <v>94.69</v>
      </c>
      <c r="DP329" s="2" t="n">
        <v>95.65</v>
      </c>
      <c r="DQ329" s="2" t="n">
        <v>100</v>
      </c>
      <c r="DR329" s="2" t="n">
        <v>94.69</v>
      </c>
      <c r="DS329" s="2" t="n">
        <v>95.65</v>
      </c>
      <c r="DT329" s="2" t="n">
        <v>100</v>
      </c>
      <c r="DU329" s="2" t="n">
        <v>94.69</v>
      </c>
      <c r="DV329" s="2" t="n">
        <v>95.65</v>
      </c>
      <c r="DW329" s="2" t="n">
        <v>100</v>
      </c>
      <c r="DX329" s="2" t="n">
        <v>94.69</v>
      </c>
      <c r="DY329" s="2" t="n">
        <v>95.65</v>
      </c>
      <c r="DZ329" s="2" t="n">
        <v>100</v>
      </c>
      <c r="EA329" s="2" t="n">
        <v>94.69</v>
      </c>
      <c r="EB329" s="2" t="n">
        <v>95.65</v>
      </c>
      <c r="EC329" s="2" t="n">
        <v>100</v>
      </c>
      <c r="ED329" s="2" t="n">
        <v>94.69</v>
      </c>
      <c r="EE329" s="2" t="n">
        <v>95.65</v>
      </c>
      <c r="EF329" s="2" t="n">
        <v>100</v>
      </c>
      <c r="EG329" s="2" t="n">
        <v>94.69</v>
      </c>
      <c r="EH329" s="2" t="n">
        <v>95.65</v>
      </c>
      <c r="EI329" s="2" t="n">
        <v>100</v>
      </c>
      <c r="EJ329" s="2" t="n">
        <v>94.69</v>
      </c>
      <c r="EK329" s="2" t="n">
        <v>95.65</v>
      </c>
      <c r="EL329" s="2" t="n">
        <v>100</v>
      </c>
      <c r="EM329" s="2" t="n">
        <v>94.69</v>
      </c>
      <c r="EN329" s="2" t="n">
        <v>95.65</v>
      </c>
      <c r="EO329" s="2" t="n">
        <v>100</v>
      </c>
      <c r="EP329" s="2" t="n">
        <v>94.69</v>
      </c>
      <c r="EQ329" s="2" t="n">
        <v>95.65</v>
      </c>
      <c r="ER329" s="2" t="n">
        <v>100</v>
      </c>
      <c r="ES329" s="2" t="n">
        <v>94.69</v>
      </c>
    </row>
    <row r="330" customFormat="false" ht="15" hidden="false" customHeight="false" outlineLevel="0" collapsed="false">
      <c r="A330" s="2" t="n">
        <v>2</v>
      </c>
      <c r="B330" s="2" t="s">
        <v>1066</v>
      </c>
      <c r="C330" s="2" t="s">
        <v>1067</v>
      </c>
      <c r="D330" s="2" t="s">
        <v>1068</v>
      </c>
      <c r="E330" s="2" t="s">
        <v>1069</v>
      </c>
      <c r="F330" s="2" t="n">
        <v>522708.580035311</v>
      </c>
      <c r="G330" s="2" t="n">
        <v>0</v>
      </c>
      <c r="H330" s="2" t="n">
        <v>522708.580035311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 customFormat="false" ht="15" hidden="false" customHeight="false" outlineLevel="0" collapsed="false">
      <c r="A331" s="2" t="n">
        <v>3</v>
      </c>
      <c r="B331" s="2" t="s">
        <v>1070</v>
      </c>
      <c r="C331" s="2" t="s">
        <v>1049</v>
      </c>
      <c r="D331" s="2" t="s">
        <v>1068</v>
      </c>
      <c r="E331" s="2" t="s">
        <v>1069</v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 customFormat="false" ht="15" hidden="false" customHeight="false" outlineLevel="0" collapsed="false">
      <c r="A332" s="2" t="n">
        <v>3</v>
      </c>
      <c r="B332" s="2" t="s">
        <v>1071</v>
      </c>
      <c r="C332" s="2" t="s">
        <v>1072</v>
      </c>
      <c r="D332" s="2" t="s">
        <v>1068</v>
      </c>
      <c r="E332" s="2" t="s">
        <v>1069</v>
      </c>
      <c r="F332" s="2" t="n">
        <v>187023.013206407</v>
      </c>
      <c r="G332" s="2" t="n">
        <v>0</v>
      </c>
      <c r="H332" s="2" t="n">
        <v>187023.013206407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 customFormat="false" ht="15" hidden="false" customHeight="false" outlineLevel="0" collapsed="false">
      <c r="A333" s="2" t="n">
        <v>3</v>
      </c>
      <c r="B333" s="2" t="s">
        <v>1073</v>
      </c>
      <c r="C333" s="2" t="s">
        <v>1074</v>
      </c>
      <c r="D333" s="2" t="s">
        <v>1068</v>
      </c>
      <c r="E333" s="2" t="s">
        <v>1069</v>
      </c>
      <c r="F333" s="2" t="n">
        <v>80928.5329794961</v>
      </c>
      <c r="G333" s="2" t="n">
        <v>0</v>
      </c>
      <c r="H333" s="2" t="n">
        <v>80928.5329794961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 customFormat="false" ht="15" hidden="false" customHeight="false" outlineLevel="0" collapsed="false">
      <c r="A334" s="2" t="n">
        <v>3</v>
      </c>
      <c r="B334" s="2" t="s">
        <v>1075</v>
      </c>
      <c r="C334" s="2" t="s">
        <v>1076</v>
      </c>
      <c r="D334" s="2" t="s">
        <v>1068</v>
      </c>
      <c r="E334" s="2" t="s">
        <v>1069</v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 customFormat="false" ht="15" hidden="false" customHeight="false" outlineLevel="0" collapsed="false">
      <c r="A335" s="2" t="n">
        <v>3</v>
      </c>
      <c r="B335" s="2" t="s">
        <v>1077</v>
      </c>
      <c r="C335" s="2" t="s">
        <v>1078</v>
      </c>
      <c r="D335" s="2" t="s">
        <v>1068</v>
      </c>
      <c r="E335" s="2" t="s">
        <v>1069</v>
      </c>
      <c r="F335" s="2" t="n">
        <v>190527.046379526</v>
      </c>
      <c r="G335" s="2" t="n">
        <v>0</v>
      </c>
      <c r="H335" s="2" t="n">
        <v>190527.046379526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 customFormat="false" ht="15" hidden="false" customHeight="false" outlineLevel="0" collapsed="false">
      <c r="A336" s="2" t="n">
        <v>3</v>
      </c>
      <c r="B336" s="2" t="s">
        <v>1079</v>
      </c>
      <c r="C336" s="2" t="s">
        <v>1080</v>
      </c>
      <c r="D336" s="2" t="s">
        <v>1068</v>
      </c>
      <c r="E336" s="2" t="s">
        <v>1069</v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 customFormat="false" ht="15" hidden="false" customHeight="false" outlineLevel="0" collapsed="false">
      <c r="A337" s="2" t="n">
        <v>2</v>
      </c>
      <c r="B337" s="2" t="s">
        <v>1081</v>
      </c>
      <c r="C337" s="2" t="s">
        <v>1082</v>
      </c>
      <c r="D337" s="2" t="s">
        <v>1083</v>
      </c>
      <c r="E337" s="2" t="s">
        <v>1043</v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84.85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 customFormat="false" ht="15" hidden="false" customHeight="false" outlineLevel="0" collapsed="false">
      <c r="A338" s="2" t="n">
        <v>3</v>
      </c>
      <c r="B338" s="2" t="s">
        <v>1084</v>
      </c>
      <c r="C338" s="2" t="s">
        <v>1085</v>
      </c>
      <c r="D338" s="2" t="s">
        <v>1083</v>
      </c>
      <c r="E338" s="2" t="s">
        <v>1043</v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84.85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 customFormat="false" ht="15" hidden="false" customHeight="false" outlineLevel="0" collapsed="false">
      <c r="A339" s="2" t="n">
        <v>1</v>
      </c>
      <c r="B339" s="2" t="s">
        <v>165</v>
      </c>
      <c r="C339" s="2" t="s">
        <v>76</v>
      </c>
      <c r="D339" s="2" t="s">
        <v>1086</v>
      </c>
      <c r="E339" s="2" t="s">
        <v>1087</v>
      </c>
      <c r="F339" s="2" t="n">
        <v>25651081.5926883</v>
      </c>
      <c r="G339" s="2" t="n">
        <v>0</v>
      </c>
      <c r="H339" s="2" t="n">
        <v>25651081.5926883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 customFormat="false" ht="15" hidden="false" customHeight="false" outlineLevel="0" collapsed="false">
      <c r="A340" s="2" t="n">
        <v>2</v>
      </c>
      <c r="B340" s="2" t="s">
        <v>1088</v>
      </c>
      <c r="C340" s="2" t="s">
        <v>1089</v>
      </c>
      <c r="D340" s="2" t="s">
        <v>1086</v>
      </c>
      <c r="E340" s="2" t="s">
        <v>1087</v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 customFormat="false" ht="15" hidden="false" customHeight="false" outlineLevel="0" collapsed="false">
      <c r="A341" s="2" t="n">
        <v>3</v>
      </c>
      <c r="B341" s="2" t="s">
        <v>1090</v>
      </c>
      <c r="C341" s="2" t="s">
        <v>1091</v>
      </c>
      <c r="D341" s="2" t="s">
        <v>1086</v>
      </c>
      <c r="E341" s="2" t="s">
        <v>1087</v>
      </c>
      <c r="F341" s="2" t="n">
        <v>5558925.91507501</v>
      </c>
      <c r="G341" s="2" t="n">
        <v>0</v>
      </c>
      <c r="H341" s="2" t="n">
        <v>5558925.91507501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 customFormat="false" ht="15" hidden="false" customHeight="false" outlineLevel="0" collapsed="false">
      <c r="A342" s="2" t="n">
        <v>3</v>
      </c>
      <c r="B342" s="2" t="s">
        <v>1092</v>
      </c>
      <c r="C342" s="2" t="s">
        <v>1093</v>
      </c>
      <c r="D342" s="2" t="s">
        <v>1086</v>
      </c>
      <c r="E342" s="2" t="s">
        <v>1087</v>
      </c>
      <c r="F342" s="2" t="n">
        <v>740242.3644</v>
      </c>
      <c r="G342" s="2" t="n">
        <v>0</v>
      </c>
      <c r="H342" s="2" t="n">
        <v>740242.3644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 customFormat="false" ht="15" hidden="false" customHeight="false" outlineLevel="0" collapsed="false">
      <c r="A343" s="2" t="n">
        <v>3</v>
      </c>
      <c r="B343" s="2" t="s">
        <v>1094</v>
      </c>
      <c r="C343" s="2" t="s">
        <v>1095</v>
      </c>
      <c r="D343" s="2" t="s">
        <v>1086</v>
      </c>
      <c r="E343" s="2" t="s">
        <v>1087</v>
      </c>
      <c r="F343" s="2" t="n">
        <v>769248.393</v>
      </c>
      <c r="G343" s="2" t="n">
        <v>0</v>
      </c>
      <c r="H343" s="2" t="n">
        <v>769248.393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 customFormat="false" ht="15" hidden="false" customHeight="false" outlineLevel="0" collapsed="false">
      <c r="A344" s="2" t="n">
        <v>3</v>
      </c>
      <c r="B344" s="2" t="s">
        <v>1096</v>
      </c>
      <c r="C344" s="2" t="s">
        <v>1097</v>
      </c>
      <c r="D344" s="2" t="s">
        <v>1086</v>
      </c>
      <c r="E344" s="2" t="s">
        <v>1087</v>
      </c>
      <c r="F344" s="2" t="n">
        <v>714869.7559</v>
      </c>
      <c r="G344" s="2" t="n">
        <v>0</v>
      </c>
      <c r="H344" s="2" t="n">
        <v>714869.7559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 customFormat="false" ht="15" hidden="false" customHeight="false" outlineLevel="0" collapsed="false">
      <c r="A345" s="2" t="n">
        <v>3</v>
      </c>
      <c r="B345" s="2" t="s">
        <v>1098</v>
      </c>
      <c r="C345" s="2" t="s">
        <v>1099</v>
      </c>
      <c r="D345" s="2" t="s">
        <v>1086</v>
      </c>
      <c r="E345" s="2" t="s">
        <v>1087</v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 customFormat="false" ht="15" hidden="false" customHeight="false" outlineLevel="0" collapsed="false">
      <c r="A346" s="2" t="n">
        <v>3</v>
      </c>
      <c r="B346" s="2" t="s">
        <v>1100</v>
      </c>
      <c r="C346" s="2" t="s">
        <v>1054</v>
      </c>
      <c r="D346" s="2" t="s">
        <v>1086</v>
      </c>
      <c r="E346" s="2" t="s">
        <v>1087</v>
      </c>
      <c r="F346" s="2" t="n">
        <v>490823.373094225</v>
      </c>
      <c r="G346" s="2" t="n">
        <v>0</v>
      </c>
      <c r="H346" s="2" t="n">
        <v>490823.373094225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 customFormat="false" ht="15" hidden="false" customHeight="false" outlineLevel="0" collapsed="false">
      <c r="A347" s="2" t="n">
        <v>3</v>
      </c>
      <c r="B347" s="2" t="s">
        <v>1101</v>
      </c>
      <c r="C347" s="2" t="s">
        <v>1102</v>
      </c>
      <c r="D347" s="2" t="s">
        <v>1086</v>
      </c>
      <c r="E347" s="2" t="s">
        <v>1087</v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 customFormat="false" ht="15" hidden="false" customHeight="false" outlineLevel="0" collapsed="false">
      <c r="A348" s="2" t="n">
        <v>3</v>
      </c>
      <c r="B348" s="2" t="s">
        <v>1103</v>
      </c>
      <c r="C348" s="2" t="s">
        <v>1104</v>
      </c>
      <c r="D348" s="2" t="s">
        <v>1086</v>
      </c>
      <c r="E348" s="2" t="s">
        <v>1087</v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 customFormat="false" ht="15" hidden="false" customHeight="false" outlineLevel="0" collapsed="false">
      <c r="A349" s="2" t="n">
        <v>3</v>
      </c>
      <c r="B349" s="2" t="s">
        <v>1105</v>
      </c>
      <c r="C349" s="2" t="s">
        <v>1058</v>
      </c>
      <c r="D349" s="2" t="s">
        <v>1086</v>
      </c>
      <c r="E349" s="2" t="s">
        <v>1087</v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 customFormat="false" ht="15" hidden="false" customHeight="false" outlineLevel="0" collapsed="false">
      <c r="A350" s="2" t="n">
        <v>3</v>
      </c>
      <c r="B350" s="2" t="s">
        <v>1106</v>
      </c>
      <c r="C350" s="2" t="s">
        <v>1107</v>
      </c>
      <c r="D350" s="2" t="s">
        <v>1086</v>
      </c>
      <c r="E350" s="2" t="s">
        <v>1087</v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 customFormat="false" ht="15" hidden="false" customHeight="false" outlineLevel="0" collapsed="false">
      <c r="A351" s="2" t="n">
        <v>3</v>
      </c>
      <c r="B351" s="2" t="s">
        <v>1108</v>
      </c>
      <c r="C351" s="2" t="s">
        <v>1109</v>
      </c>
      <c r="D351" s="2" t="s">
        <v>1086</v>
      </c>
      <c r="E351" s="2" t="s">
        <v>1087</v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 customFormat="false" ht="15" hidden="false" customHeight="false" outlineLevel="0" collapsed="false">
      <c r="A352" s="2" t="n">
        <v>3</v>
      </c>
      <c r="B352" s="2" t="s">
        <v>1110</v>
      </c>
      <c r="C352" s="2" t="s">
        <v>1080</v>
      </c>
      <c r="D352" s="2" t="s">
        <v>1086</v>
      </c>
      <c r="E352" s="2" t="s">
        <v>1087</v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 customFormat="false" ht="15" hidden="false" customHeight="false" outlineLevel="0" collapsed="false">
      <c r="A353" s="2" t="n">
        <v>2</v>
      </c>
      <c r="B353" s="2" t="s">
        <v>1111</v>
      </c>
      <c r="C353" s="2" t="s">
        <v>1112</v>
      </c>
      <c r="D353" s="2" t="s">
        <v>1086</v>
      </c>
      <c r="E353" s="2" t="s">
        <v>1087</v>
      </c>
      <c r="F353" s="2" t="n">
        <v>129564.799540407</v>
      </c>
      <c r="G353" s="2" t="n">
        <v>0</v>
      </c>
      <c r="H353" s="2" t="n">
        <v>129564.799540407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 customFormat="false" ht="15" hidden="false" customHeight="false" outlineLevel="0" collapsed="false">
      <c r="A354" s="2" t="n">
        <v>3</v>
      </c>
      <c r="B354" s="2" t="s">
        <v>1113</v>
      </c>
      <c r="C354" s="2" t="s">
        <v>1114</v>
      </c>
      <c r="D354" s="2" t="s">
        <v>1086</v>
      </c>
      <c r="E354" s="2" t="s">
        <v>1087</v>
      </c>
      <c r="F354" s="2" t="n">
        <v>11848.1800602965</v>
      </c>
      <c r="G354" s="2" t="n">
        <v>0</v>
      </c>
      <c r="H354" s="2" t="n">
        <v>11848.1800602965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 customFormat="false" ht="15" hidden="false" customHeight="false" outlineLevel="0" collapsed="false">
      <c r="A355" s="2" t="n">
        <v>3</v>
      </c>
      <c r="B355" s="2" t="s">
        <v>1115</v>
      </c>
      <c r="C355" s="2" t="s">
        <v>1116</v>
      </c>
      <c r="D355" s="2" t="s">
        <v>1086</v>
      </c>
      <c r="E355" s="2" t="s">
        <v>1087</v>
      </c>
      <c r="F355" s="2" t="n">
        <v>67716.6194801106</v>
      </c>
      <c r="G355" s="2" t="n">
        <v>0</v>
      </c>
      <c r="H355" s="2" t="n">
        <v>67716.6194801106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 customFormat="false" ht="15" hidden="false" customHeight="false" outlineLevel="0" collapsed="false">
      <c r="A356" s="2" t="n">
        <v>3</v>
      </c>
      <c r="B356" s="2" t="s">
        <v>1117</v>
      </c>
      <c r="C356" s="2" t="s">
        <v>1118</v>
      </c>
      <c r="D356" s="2" t="s">
        <v>1086</v>
      </c>
      <c r="E356" s="2" t="s">
        <v>1087</v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 customFormat="false" ht="15" hidden="false" customHeight="false" outlineLevel="0" collapsed="false">
      <c r="A357" s="2" t="n">
        <v>1</v>
      </c>
      <c r="B357" s="2" t="s">
        <v>167</v>
      </c>
      <c r="C357" s="2" t="s">
        <v>168</v>
      </c>
      <c r="D357" s="2" t="s">
        <v>1119</v>
      </c>
      <c r="E357" s="2" t="s">
        <v>1120</v>
      </c>
      <c r="F357" s="2" t="n">
        <v>5927475.66727174</v>
      </c>
      <c r="G357" s="2" t="n">
        <v>0</v>
      </c>
      <c r="H357" s="2" t="n">
        <v>5927475.66727174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</v>
      </c>
      <c r="DL357" s="2" t="n">
        <v>0</v>
      </c>
      <c r="DM357" s="2" t="n">
        <v>97.96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 customFormat="false" ht="15" hidden="false" customHeight="false" outlineLevel="0" collapsed="false">
      <c r="A358" s="2" t="n">
        <v>2</v>
      </c>
      <c r="B358" s="2" t="s">
        <v>1121</v>
      </c>
      <c r="C358" s="2" t="s">
        <v>1122</v>
      </c>
      <c r="D358" s="2" t="s">
        <v>1119</v>
      </c>
      <c r="E358" s="2" t="s">
        <v>1123</v>
      </c>
      <c r="F358" s="2" t="n">
        <v>1638445.20014406</v>
      </c>
      <c r="G358" s="2" t="n">
        <v>0</v>
      </c>
      <c r="H358" s="2" t="n">
        <v>1638445.20014406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</v>
      </c>
      <c r="CN358" s="2" t="n">
        <v>0</v>
      </c>
      <c r="CO358" s="2" t="n">
        <v>69.9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 customFormat="false" ht="15" hidden="false" customHeight="false" outlineLevel="0" collapsed="false">
      <c r="A359" s="2" t="n">
        <v>3</v>
      </c>
      <c r="B359" s="2" t="s">
        <v>1124</v>
      </c>
      <c r="C359" s="2" t="s">
        <v>1125</v>
      </c>
      <c r="D359" s="2" t="s">
        <v>1119</v>
      </c>
      <c r="E359" s="2" t="s">
        <v>1123</v>
      </c>
      <c r="F359" s="2" t="n">
        <v>77189.4629407766</v>
      </c>
      <c r="G359" s="2" t="n">
        <v>0</v>
      </c>
      <c r="H359" s="2" t="n">
        <v>77189.4629407766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</v>
      </c>
      <c r="CN359" s="2" t="n">
        <v>0</v>
      </c>
      <c r="CO359" s="2" t="n">
        <v>69.9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 customFormat="false" ht="15" hidden="false" customHeight="false" outlineLevel="0" collapsed="false">
      <c r="A360" s="2" t="n">
        <v>4</v>
      </c>
      <c r="B360" s="2" t="s">
        <v>1126</v>
      </c>
      <c r="C360" s="2" t="s">
        <v>966</v>
      </c>
      <c r="D360" s="2" t="s">
        <v>1119</v>
      </c>
      <c r="E360" s="2" t="s">
        <v>1123</v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</v>
      </c>
      <c r="CN360" s="2" t="n">
        <v>0</v>
      </c>
      <c r="CO360" s="2" t="n">
        <v>69.9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 customFormat="false" ht="15" hidden="false" customHeight="false" outlineLevel="0" collapsed="false">
      <c r="A361" s="2" t="n">
        <v>4</v>
      </c>
      <c r="B361" s="2" t="s">
        <v>1127</v>
      </c>
      <c r="C361" s="2" t="s">
        <v>968</v>
      </c>
      <c r="D361" s="2" t="s">
        <v>1119</v>
      </c>
      <c r="E361" s="2" t="s">
        <v>1123</v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</v>
      </c>
      <c r="CN361" s="2" t="n">
        <v>0</v>
      </c>
      <c r="CO361" s="2" t="n">
        <v>69.9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 customFormat="false" ht="15" hidden="false" customHeight="false" outlineLevel="0" collapsed="false">
      <c r="A362" s="2" t="n">
        <v>4</v>
      </c>
      <c r="B362" s="2" t="s">
        <v>1128</v>
      </c>
      <c r="C362" s="2" t="s">
        <v>970</v>
      </c>
      <c r="D362" s="2" t="s">
        <v>1119</v>
      </c>
      <c r="E362" s="2" t="s">
        <v>1123</v>
      </c>
      <c r="F362" s="2" t="n">
        <v>1525.32124175356</v>
      </c>
      <c r="G362" s="2" t="n">
        <v>0</v>
      </c>
      <c r="H362" s="2" t="n">
        <v>1525.32124175356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</v>
      </c>
      <c r="CN362" s="2" t="n">
        <v>0</v>
      </c>
      <c r="CO362" s="2" t="n">
        <v>69.9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 customFormat="false" ht="15" hidden="false" customHeight="false" outlineLevel="0" collapsed="false">
      <c r="A363" s="2" t="n">
        <v>4</v>
      </c>
      <c r="B363" s="2" t="s">
        <v>1129</v>
      </c>
      <c r="C363" s="2" t="s">
        <v>1130</v>
      </c>
      <c r="D363" s="2" t="s">
        <v>1119</v>
      </c>
      <c r="E363" s="2" t="s">
        <v>1123</v>
      </c>
      <c r="F363" s="2" t="n">
        <v>2912.25918143581</v>
      </c>
      <c r="G363" s="2" t="n">
        <v>0</v>
      </c>
      <c r="H363" s="2" t="n">
        <v>2912.25918143581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</v>
      </c>
      <c r="CN363" s="2" t="n">
        <v>0</v>
      </c>
      <c r="CO363" s="2" t="n">
        <v>69.9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 customFormat="false" ht="15" hidden="false" customHeight="false" outlineLevel="0" collapsed="false">
      <c r="A364" s="2" t="n">
        <v>3</v>
      </c>
      <c r="B364" s="2" t="s">
        <v>1131</v>
      </c>
      <c r="C364" s="2" t="s">
        <v>1132</v>
      </c>
      <c r="D364" s="2" t="s">
        <v>1119</v>
      </c>
      <c r="E364" s="2" t="s">
        <v>1123</v>
      </c>
      <c r="F364" s="2" t="n">
        <v>234128.64439667</v>
      </c>
      <c r="G364" s="2" t="n">
        <v>0</v>
      </c>
      <c r="H364" s="2" t="n">
        <v>234128.64439667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</v>
      </c>
      <c r="CN364" s="2" t="n">
        <v>0</v>
      </c>
      <c r="CO364" s="2" t="n">
        <v>69.9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 customFormat="false" ht="15" hidden="false" customHeight="false" outlineLevel="0" collapsed="false">
      <c r="A365" s="2" t="n">
        <v>4</v>
      </c>
      <c r="B365" s="2" t="s">
        <v>1133</v>
      </c>
      <c r="C365" s="2" t="s">
        <v>1134</v>
      </c>
      <c r="D365" s="2" t="s">
        <v>1119</v>
      </c>
      <c r="E365" s="2" t="s">
        <v>1123</v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</v>
      </c>
      <c r="CN365" s="2" t="n">
        <v>0</v>
      </c>
      <c r="CO365" s="2" t="n">
        <v>69.9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 customFormat="false" ht="15" hidden="false" customHeight="false" outlineLevel="0" collapsed="false">
      <c r="A366" s="2" t="n">
        <v>4</v>
      </c>
      <c r="B366" s="2" t="s">
        <v>1135</v>
      </c>
      <c r="C366" s="2" t="s">
        <v>1136</v>
      </c>
      <c r="D366" s="2" t="s">
        <v>1119</v>
      </c>
      <c r="E366" s="2" t="s">
        <v>1123</v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</v>
      </c>
      <c r="CN366" s="2" t="n">
        <v>0</v>
      </c>
      <c r="CO366" s="2" t="n">
        <v>69.9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 customFormat="false" ht="15" hidden="false" customHeight="false" outlineLevel="0" collapsed="false">
      <c r="A367" s="2" t="n">
        <v>4</v>
      </c>
      <c r="B367" s="2" t="s">
        <v>1137</v>
      </c>
      <c r="C367" s="2" t="s">
        <v>970</v>
      </c>
      <c r="D367" s="2" t="s">
        <v>1119</v>
      </c>
      <c r="E367" s="2" t="s">
        <v>1123</v>
      </c>
      <c r="F367" s="2" t="n">
        <v>6431.0841544204</v>
      </c>
      <c r="G367" s="2" t="n">
        <v>0</v>
      </c>
      <c r="H367" s="2" t="n">
        <v>6431.0841544204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</v>
      </c>
      <c r="CN367" s="2" t="n">
        <v>0</v>
      </c>
      <c r="CO367" s="2" t="n">
        <v>69.9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 customFormat="false" ht="15" hidden="false" customHeight="false" outlineLevel="0" collapsed="false">
      <c r="A368" s="2" t="n">
        <v>4</v>
      </c>
      <c r="B368" s="2" t="s">
        <v>1138</v>
      </c>
      <c r="C368" s="2" t="s">
        <v>1130</v>
      </c>
      <c r="D368" s="2" t="s">
        <v>1119</v>
      </c>
      <c r="E368" s="2" t="s">
        <v>1123</v>
      </c>
      <c r="F368" s="2" t="n">
        <v>7468.81466572143</v>
      </c>
      <c r="G368" s="2" t="n">
        <v>0</v>
      </c>
      <c r="H368" s="2" t="n">
        <v>7468.81466572143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</v>
      </c>
      <c r="CN368" s="2" t="n">
        <v>0</v>
      </c>
      <c r="CO368" s="2" t="n">
        <v>69.9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 customFormat="false" ht="15" hidden="false" customHeight="false" outlineLevel="0" collapsed="false">
      <c r="A369" s="2" t="n">
        <v>3</v>
      </c>
      <c r="B369" s="2" t="s">
        <v>1139</v>
      </c>
      <c r="C369" s="2" t="s">
        <v>1140</v>
      </c>
      <c r="D369" s="2" t="s">
        <v>1119</v>
      </c>
      <c r="E369" s="2" t="s">
        <v>1123</v>
      </c>
      <c r="F369" s="2" t="n">
        <v>1327127.09280661</v>
      </c>
      <c r="G369" s="2" t="n">
        <v>0</v>
      </c>
      <c r="H369" s="2" t="n">
        <v>1327127.09280661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</v>
      </c>
      <c r="CN369" s="2" t="n">
        <v>0</v>
      </c>
      <c r="CO369" s="2" t="n">
        <v>69.9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 customFormat="false" ht="15" hidden="false" customHeight="false" outlineLevel="0" collapsed="false">
      <c r="A370" s="2" t="n">
        <v>4</v>
      </c>
      <c r="B370" s="2" t="s">
        <v>1141</v>
      </c>
      <c r="C370" s="2" t="s">
        <v>1142</v>
      </c>
      <c r="D370" s="2" t="s">
        <v>1119</v>
      </c>
      <c r="E370" s="2" t="s">
        <v>1123</v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</v>
      </c>
      <c r="CN370" s="2" t="n">
        <v>0</v>
      </c>
      <c r="CO370" s="2" t="n">
        <v>69.9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 customFormat="false" ht="15" hidden="false" customHeight="false" outlineLevel="0" collapsed="false">
      <c r="A371" s="2" t="n">
        <v>4</v>
      </c>
      <c r="B371" s="2" t="s">
        <v>1143</v>
      </c>
      <c r="C371" s="2" t="s">
        <v>1144</v>
      </c>
      <c r="D371" s="2" t="s">
        <v>1119</v>
      </c>
      <c r="E371" s="2" t="s">
        <v>1123</v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</v>
      </c>
      <c r="CN371" s="2" t="n">
        <v>0</v>
      </c>
      <c r="CO371" s="2" t="n">
        <v>69.9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 customFormat="false" ht="15" hidden="false" customHeight="false" outlineLevel="0" collapsed="false">
      <c r="A372" s="2" t="n">
        <v>4</v>
      </c>
      <c r="B372" s="2" t="s">
        <v>1145</v>
      </c>
      <c r="C372" s="2" t="s">
        <v>970</v>
      </c>
      <c r="D372" s="2" t="s">
        <v>1119</v>
      </c>
      <c r="E372" s="2" t="s">
        <v>1123</v>
      </c>
      <c r="F372" s="2" t="n">
        <v>40936.3241367914</v>
      </c>
      <c r="G372" s="2" t="n">
        <v>0</v>
      </c>
      <c r="H372" s="2" t="n">
        <v>40936.3241367914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</v>
      </c>
      <c r="CN372" s="2" t="n">
        <v>0</v>
      </c>
      <c r="CO372" s="2" t="n">
        <v>69.9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 customFormat="false" ht="15" hidden="false" customHeight="false" outlineLevel="0" collapsed="false">
      <c r="A373" s="2" t="n">
        <v>4</v>
      </c>
      <c r="B373" s="2" t="s">
        <v>1146</v>
      </c>
      <c r="C373" s="2" t="s">
        <v>1130</v>
      </c>
      <c r="D373" s="2" t="s">
        <v>1119</v>
      </c>
      <c r="E373" s="2" t="s">
        <v>1123</v>
      </c>
      <c r="F373" s="2" t="n">
        <v>33763.401435144</v>
      </c>
      <c r="G373" s="2" t="n">
        <v>0</v>
      </c>
      <c r="H373" s="2" t="n">
        <v>33763.401435144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</v>
      </c>
      <c r="CN373" s="2" t="n">
        <v>0</v>
      </c>
      <c r="CO373" s="2" t="n">
        <v>69.9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 customFormat="false" ht="15" hidden="false" customHeight="false" outlineLevel="0" collapsed="false">
      <c r="A374" s="2" t="n">
        <v>2</v>
      </c>
      <c r="B374" s="2" t="s">
        <v>1147</v>
      </c>
      <c r="C374" s="2" t="s">
        <v>1148</v>
      </c>
      <c r="D374" s="2" t="s">
        <v>1119</v>
      </c>
      <c r="E374" s="2" t="s">
        <v>1123</v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</v>
      </c>
      <c r="CN374" s="2" t="n">
        <v>0</v>
      </c>
      <c r="CO374" s="2" t="n">
        <v>69.9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 customFormat="false" ht="15" hidden="false" customHeight="false" outlineLevel="0" collapsed="false">
      <c r="A375" s="2" t="n">
        <v>3</v>
      </c>
      <c r="B375" s="2" t="s">
        <v>1149</v>
      </c>
      <c r="C375" s="2" t="s">
        <v>1125</v>
      </c>
      <c r="D375" s="2" t="s">
        <v>1119</v>
      </c>
      <c r="E375" s="2" t="s">
        <v>1123</v>
      </c>
      <c r="F375" s="2" t="n">
        <v>21504.9923541507</v>
      </c>
      <c r="G375" s="2" t="n">
        <v>0</v>
      </c>
      <c r="H375" s="2" t="n">
        <v>21504.9923541507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</v>
      </c>
      <c r="CN375" s="2" t="n">
        <v>0</v>
      </c>
      <c r="CO375" s="2" t="n">
        <v>69.9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 customFormat="false" ht="15" hidden="false" customHeight="false" outlineLevel="0" collapsed="false">
      <c r="A376" s="2" t="n">
        <v>4</v>
      </c>
      <c r="B376" s="2" t="s">
        <v>1150</v>
      </c>
      <c r="C376" s="2" t="s">
        <v>1151</v>
      </c>
      <c r="D376" s="2" t="s">
        <v>1119</v>
      </c>
      <c r="E376" s="2" t="s">
        <v>1123</v>
      </c>
      <c r="F376" s="2" t="n">
        <v>1772.51287016577</v>
      </c>
      <c r="G376" s="2" t="n">
        <v>0</v>
      </c>
      <c r="H376" s="2" t="n">
        <v>1772.51287016577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</v>
      </c>
      <c r="CN376" s="2" t="n">
        <v>0</v>
      </c>
      <c r="CO376" s="2" t="n">
        <v>69.9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 customFormat="false" ht="15" hidden="false" customHeight="false" outlineLevel="0" collapsed="false">
      <c r="A377" s="2" t="n">
        <v>4</v>
      </c>
      <c r="B377" s="2" t="s">
        <v>1152</v>
      </c>
      <c r="C377" s="2" t="s">
        <v>1153</v>
      </c>
      <c r="D377" s="2" t="s">
        <v>1119</v>
      </c>
      <c r="E377" s="2" t="s">
        <v>1123</v>
      </c>
      <c r="F377" s="2" t="n">
        <v>18623.0843781875</v>
      </c>
      <c r="G377" s="2" t="n">
        <v>0</v>
      </c>
      <c r="H377" s="2" t="n">
        <v>18623.0843781875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</v>
      </c>
      <c r="CN377" s="2" t="n">
        <v>0</v>
      </c>
      <c r="CO377" s="2" t="n">
        <v>69.9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 customFormat="false" ht="15" hidden="false" customHeight="false" outlineLevel="0" collapsed="false">
      <c r="A378" s="2" t="n">
        <v>4</v>
      </c>
      <c r="B378" s="2" t="s">
        <v>1154</v>
      </c>
      <c r="C378" s="2" t="s">
        <v>970</v>
      </c>
      <c r="D378" s="2" t="s">
        <v>1119</v>
      </c>
      <c r="E378" s="2" t="s">
        <v>1123</v>
      </c>
      <c r="F378" s="2" t="n">
        <v>381.330310438389</v>
      </c>
      <c r="G378" s="2" t="n">
        <v>0</v>
      </c>
      <c r="H378" s="2" t="n">
        <v>381.330310438389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</v>
      </c>
      <c r="CN378" s="2" t="n">
        <v>0</v>
      </c>
      <c r="CO378" s="2" t="n">
        <v>69.9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 customFormat="false" ht="15" hidden="false" customHeight="false" outlineLevel="0" collapsed="false">
      <c r="A379" s="2" t="n">
        <v>4</v>
      </c>
      <c r="B379" s="2" t="s">
        <v>1155</v>
      </c>
      <c r="C379" s="2" t="s">
        <v>1130</v>
      </c>
      <c r="D379" s="2" t="s">
        <v>1119</v>
      </c>
      <c r="E379" s="2" t="s">
        <v>1123</v>
      </c>
      <c r="F379" s="2" t="n">
        <v>728.064795358952</v>
      </c>
      <c r="G379" s="2" t="n">
        <v>0</v>
      </c>
      <c r="H379" s="2" t="n">
        <v>728.064795358952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</v>
      </c>
      <c r="CN379" s="2" t="n">
        <v>0</v>
      </c>
      <c r="CO379" s="2" t="n">
        <v>69.9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 customFormat="false" ht="15" hidden="false" customHeight="false" outlineLevel="0" collapsed="false">
      <c r="A380" s="2" t="n">
        <v>3</v>
      </c>
      <c r="B380" s="2" t="s">
        <v>1156</v>
      </c>
      <c r="C380" s="2" t="s">
        <v>1132</v>
      </c>
      <c r="D380" s="2" t="s">
        <v>1119</v>
      </c>
      <c r="E380" s="2" t="s">
        <v>1123</v>
      </c>
      <c r="F380" s="2" t="n">
        <v>64343.5550920661</v>
      </c>
      <c r="G380" s="2" t="n">
        <v>0</v>
      </c>
      <c r="H380" s="2" t="n">
        <v>64343.5550920661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</v>
      </c>
      <c r="CN380" s="2" t="n">
        <v>0</v>
      </c>
      <c r="CO380" s="2" t="n">
        <v>69.9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 customFormat="false" ht="15" hidden="false" customHeight="false" outlineLevel="0" collapsed="false">
      <c r="A381" s="2" t="n">
        <v>4</v>
      </c>
      <c r="B381" s="2" t="s">
        <v>1157</v>
      </c>
      <c r="C381" s="2" t="s">
        <v>1158</v>
      </c>
      <c r="D381" s="2" t="s">
        <v>1119</v>
      </c>
      <c r="E381" s="2" t="s">
        <v>1123</v>
      </c>
      <c r="F381" s="2" t="n">
        <v>5526.10752219037</v>
      </c>
      <c r="G381" s="2" t="n">
        <v>0</v>
      </c>
      <c r="H381" s="2" t="n">
        <v>5526.10752219037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</v>
      </c>
      <c r="CN381" s="2" t="n">
        <v>0</v>
      </c>
      <c r="CO381" s="2" t="n">
        <v>69.9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 customFormat="false" ht="15" hidden="false" customHeight="false" outlineLevel="0" collapsed="false">
      <c r="A382" s="2" t="n">
        <v>4</v>
      </c>
      <c r="B382" s="2" t="s">
        <v>1159</v>
      </c>
      <c r="C382" s="2" t="s">
        <v>1160</v>
      </c>
      <c r="D382" s="2" t="s">
        <v>1119</v>
      </c>
      <c r="E382" s="2" t="s">
        <v>1123</v>
      </c>
      <c r="F382" s="2" t="n">
        <v>55342.4728648403</v>
      </c>
      <c r="G382" s="2" t="n">
        <v>0</v>
      </c>
      <c r="H382" s="2" t="n">
        <v>55342.4728648403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</v>
      </c>
      <c r="CN382" s="2" t="n">
        <v>0</v>
      </c>
      <c r="CO382" s="2" t="n">
        <v>69.9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 customFormat="false" ht="15" hidden="false" customHeight="false" outlineLevel="0" collapsed="false">
      <c r="A383" s="2" t="n">
        <v>4</v>
      </c>
      <c r="B383" s="2" t="s">
        <v>1161</v>
      </c>
      <c r="C383" s="2" t="s">
        <v>970</v>
      </c>
      <c r="D383" s="2" t="s">
        <v>1119</v>
      </c>
      <c r="E383" s="2" t="s">
        <v>1123</v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</v>
      </c>
      <c r="CN383" s="2" t="n">
        <v>0</v>
      </c>
      <c r="CO383" s="2" t="n">
        <v>69.9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 customFormat="false" ht="15" hidden="false" customHeight="false" outlineLevel="0" collapsed="false">
      <c r="A384" s="2" t="n">
        <v>4</v>
      </c>
      <c r="B384" s="2" t="s">
        <v>1162</v>
      </c>
      <c r="C384" s="2" t="s">
        <v>1130</v>
      </c>
      <c r="D384" s="2" t="s">
        <v>1119</v>
      </c>
      <c r="E384" s="2" t="s">
        <v>1123</v>
      </c>
      <c r="F384" s="2" t="n">
        <v>1867.20366643036</v>
      </c>
      <c r="G384" s="2" t="n">
        <v>0</v>
      </c>
      <c r="H384" s="2" t="n">
        <v>1867.20366643036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</v>
      </c>
      <c r="CN384" s="2" t="n">
        <v>0</v>
      </c>
      <c r="CO384" s="2" t="n">
        <v>69.9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 customFormat="false" ht="15" hidden="false" customHeight="false" outlineLevel="0" collapsed="false">
      <c r="A385" s="2" t="n">
        <v>3</v>
      </c>
      <c r="B385" s="2" t="s">
        <v>1163</v>
      </c>
      <c r="C385" s="2" t="s">
        <v>1140</v>
      </c>
      <c r="D385" s="2" t="s">
        <v>1119</v>
      </c>
      <c r="E385" s="2" t="s">
        <v>1123</v>
      </c>
      <c r="F385" s="2" t="n">
        <v>331877.693215581</v>
      </c>
      <c r="G385" s="2" t="n">
        <v>0</v>
      </c>
      <c r="H385" s="2" t="n">
        <v>331877.693215581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</v>
      </c>
      <c r="CN385" s="2" t="n">
        <v>0</v>
      </c>
      <c r="CO385" s="2" t="n">
        <v>69.9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 customFormat="false" ht="15" hidden="false" customHeight="false" outlineLevel="0" collapsed="false">
      <c r="A386" s="2" t="n">
        <v>4</v>
      </c>
      <c r="B386" s="2" t="s">
        <v>1164</v>
      </c>
      <c r="C386" s="2" t="s">
        <v>1165</v>
      </c>
      <c r="D386" s="2" t="s">
        <v>1119</v>
      </c>
      <c r="E386" s="2" t="s">
        <v>1123</v>
      </c>
      <c r="F386" s="2" t="n">
        <v>29242.4235945646</v>
      </c>
      <c r="G386" s="2" t="n">
        <v>0</v>
      </c>
      <c r="H386" s="2" t="n">
        <v>29242.4235945646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</v>
      </c>
      <c r="CN386" s="2" t="n">
        <v>0</v>
      </c>
      <c r="CO386" s="2" t="n">
        <v>69.9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 customFormat="false" ht="15" hidden="false" customHeight="false" outlineLevel="0" collapsed="false">
      <c r="A387" s="2" t="n">
        <v>4</v>
      </c>
      <c r="B387" s="2" t="s">
        <v>1166</v>
      </c>
      <c r="C387" s="2" t="s">
        <v>1167</v>
      </c>
      <c r="D387" s="2" t="s">
        <v>1119</v>
      </c>
      <c r="E387" s="2" t="s">
        <v>1123</v>
      </c>
      <c r="F387" s="2" t="n">
        <v>283960.338228033</v>
      </c>
      <c r="G387" s="2" t="n">
        <v>0</v>
      </c>
      <c r="H387" s="2" t="n">
        <v>283960.338228033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</v>
      </c>
      <c r="CN387" s="2" t="n">
        <v>0</v>
      </c>
      <c r="CO387" s="2" t="n">
        <v>69.9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 customFormat="false" ht="15" hidden="false" customHeight="false" outlineLevel="0" collapsed="false">
      <c r="A388" s="2" t="n">
        <v>4</v>
      </c>
      <c r="B388" s="2" t="s">
        <v>1168</v>
      </c>
      <c r="C388" s="2" t="s">
        <v>970</v>
      </c>
      <c r="D388" s="2" t="s">
        <v>1119</v>
      </c>
      <c r="E388" s="2" t="s">
        <v>1123</v>
      </c>
      <c r="F388" s="2" t="n">
        <v>10234.0810341979</v>
      </c>
      <c r="G388" s="2" t="n">
        <v>0</v>
      </c>
      <c r="H388" s="2" t="n">
        <v>10234.0810341979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</v>
      </c>
      <c r="CN388" s="2" t="n">
        <v>0</v>
      </c>
      <c r="CO388" s="2" t="n">
        <v>69.9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 customFormat="false" ht="15" hidden="false" customHeight="false" outlineLevel="0" collapsed="false">
      <c r="A389" s="2" t="n">
        <v>4</v>
      </c>
      <c r="B389" s="2" t="s">
        <v>1169</v>
      </c>
      <c r="C389" s="2" t="s">
        <v>1130</v>
      </c>
      <c r="D389" s="2" t="s">
        <v>1119</v>
      </c>
      <c r="E389" s="2" t="s">
        <v>1123</v>
      </c>
      <c r="F389" s="2" t="n">
        <v>8440.85035878599</v>
      </c>
      <c r="G389" s="2" t="n">
        <v>0</v>
      </c>
      <c r="H389" s="2" t="n">
        <v>8440.85035878599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</v>
      </c>
      <c r="CN389" s="2" t="n">
        <v>0</v>
      </c>
      <c r="CO389" s="2" t="n">
        <v>69.9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 customFormat="false" ht="15" hidden="false" customHeight="false" outlineLevel="0" collapsed="false">
      <c r="A390" s="2" t="n">
        <v>2</v>
      </c>
      <c r="B390" s="2" t="s">
        <v>1170</v>
      </c>
      <c r="C390" s="2" t="s">
        <v>1171</v>
      </c>
      <c r="D390" s="2" t="s">
        <v>1172</v>
      </c>
      <c r="E390" s="2" t="s">
        <v>1120</v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</v>
      </c>
      <c r="DH390" s="2" t="n">
        <v>88.93</v>
      </c>
      <c r="DI390" s="2" t="n">
        <v>0</v>
      </c>
      <c r="DJ390" s="2" t="n">
        <v>94.12</v>
      </c>
      <c r="DK390" s="2" t="n">
        <v>95.01</v>
      </c>
      <c r="DL390" s="2" t="n">
        <v>0</v>
      </c>
      <c r="DM390" s="2" t="n">
        <v>96.67</v>
      </c>
      <c r="DN390" s="2" t="n">
        <v>96.79</v>
      </c>
      <c r="DO390" s="2" t="n">
        <v>0</v>
      </c>
      <c r="DP390" s="2" t="n">
        <v>98.22</v>
      </c>
      <c r="DQ390" s="2" t="n">
        <v>98.4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 customFormat="false" ht="15" hidden="false" customHeight="false" outlineLevel="0" collapsed="false">
      <c r="A391" s="2" t="n">
        <v>3</v>
      </c>
      <c r="B391" s="2" t="s">
        <v>1173</v>
      </c>
      <c r="C391" s="2" t="s">
        <v>1174</v>
      </c>
      <c r="D391" s="2" t="s">
        <v>1172</v>
      </c>
      <c r="E391" s="2" t="s">
        <v>1120</v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</v>
      </c>
      <c r="DH391" s="2" t="n">
        <v>88.93</v>
      </c>
      <c r="DI391" s="2" t="n">
        <v>0</v>
      </c>
      <c r="DJ391" s="2" t="n">
        <v>94.12</v>
      </c>
      <c r="DK391" s="2" t="n">
        <v>95.01</v>
      </c>
      <c r="DL391" s="2" t="n">
        <v>0</v>
      </c>
      <c r="DM391" s="2" t="n">
        <v>96.67</v>
      </c>
      <c r="DN391" s="2" t="n">
        <v>96.79</v>
      </c>
      <c r="DO391" s="2" t="n">
        <v>0</v>
      </c>
      <c r="DP391" s="2" t="n">
        <v>98.22</v>
      </c>
      <c r="DQ391" s="2" t="n">
        <v>98.4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 customFormat="false" ht="15" hidden="false" customHeight="false" outlineLevel="0" collapsed="false">
      <c r="A392" s="2" t="n">
        <v>3</v>
      </c>
      <c r="B392" s="2" t="s">
        <v>1175</v>
      </c>
      <c r="C392" s="2" t="s">
        <v>1176</v>
      </c>
      <c r="D392" s="2" t="s">
        <v>1172</v>
      </c>
      <c r="E392" s="2" t="s">
        <v>1120</v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</v>
      </c>
      <c r="DH392" s="2" t="n">
        <v>88.93</v>
      </c>
      <c r="DI392" s="2" t="n">
        <v>0</v>
      </c>
      <c r="DJ392" s="2" t="n">
        <v>94.12</v>
      </c>
      <c r="DK392" s="2" t="n">
        <v>95.01</v>
      </c>
      <c r="DL392" s="2" t="n">
        <v>0</v>
      </c>
      <c r="DM392" s="2" t="n">
        <v>96.67</v>
      </c>
      <c r="DN392" s="2" t="n">
        <v>96.79</v>
      </c>
      <c r="DO392" s="2" t="n">
        <v>0</v>
      </c>
      <c r="DP392" s="2" t="n">
        <v>98.22</v>
      </c>
      <c r="DQ392" s="2" t="n">
        <v>98.4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 customFormat="false" ht="15" hidden="false" customHeight="false" outlineLevel="0" collapsed="false">
      <c r="A393" s="2" t="n">
        <v>3</v>
      </c>
      <c r="B393" s="2" t="s">
        <v>1177</v>
      </c>
      <c r="C393" s="2" t="s">
        <v>1178</v>
      </c>
      <c r="D393" s="2" t="s">
        <v>1172</v>
      </c>
      <c r="E393" s="2" t="s">
        <v>1120</v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</v>
      </c>
      <c r="DH393" s="2" t="n">
        <v>88.93</v>
      </c>
      <c r="DI393" s="2" t="n">
        <v>0</v>
      </c>
      <c r="DJ393" s="2" t="n">
        <v>94.12</v>
      </c>
      <c r="DK393" s="2" t="n">
        <v>95.01</v>
      </c>
      <c r="DL393" s="2" t="n">
        <v>0</v>
      </c>
      <c r="DM393" s="2" t="n">
        <v>96.67</v>
      </c>
      <c r="DN393" s="2" t="n">
        <v>96.79</v>
      </c>
      <c r="DO393" s="2" t="n">
        <v>0</v>
      </c>
      <c r="DP393" s="2" t="n">
        <v>98.22</v>
      </c>
      <c r="DQ393" s="2" t="n">
        <v>98.4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 customFormat="false" ht="15" hidden="false" customHeight="false" outlineLevel="0" collapsed="false">
      <c r="A394" s="2" t="n">
        <v>3</v>
      </c>
      <c r="B394" s="2" t="s">
        <v>1179</v>
      </c>
      <c r="C394" s="2" t="s">
        <v>1180</v>
      </c>
      <c r="D394" s="2" t="s">
        <v>1172</v>
      </c>
      <c r="E394" s="2" t="s">
        <v>1120</v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</v>
      </c>
      <c r="DH394" s="2" t="n">
        <v>88.93</v>
      </c>
      <c r="DI394" s="2" t="n">
        <v>0</v>
      </c>
      <c r="DJ394" s="2" t="n">
        <v>94.12</v>
      </c>
      <c r="DK394" s="2" t="n">
        <v>95.01</v>
      </c>
      <c r="DL394" s="2" t="n">
        <v>0</v>
      </c>
      <c r="DM394" s="2" t="n">
        <v>96.67</v>
      </c>
      <c r="DN394" s="2" t="n">
        <v>96.79</v>
      </c>
      <c r="DO394" s="2" t="n">
        <v>0</v>
      </c>
      <c r="DP394" s="2" t="n">
        <v>98.22</v>
      </c>
      <c r="DQ394" s="2" t="n">
        <v>98.4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 customFormat="false" ht="15" hidden="false" customHeight="false" outlineLevel="0" collapsed="false">
      <c r="A395" s="2" t="n">
        <v>3</v>
      </c>
      <c r="B395" s="2" t="s">
        <v>1181</v>
      </c>
      <c r="C395" s="2" t="s">
        <v>1182</v>
      </c>
      <c r="D395" s="2" t="s">
        <v>1172</v>
      </c>
      <c r="E395" s="2" t="s">
        <v>1120</v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</v>
      </c>
      <c r="DH395" s="2" t="n">
        <v>88.93</v>
      </c>
      <c r="DI395" s="2" t="n">
        <v>0</v>
      </c>
      <c r="DJ395" s="2" t="n">
        <v>94.12</v>
      </c>
      <c r="DK395" s="2" t="n">
        <v>95.01</v>
      </c>
      <c r="DL395" s="2" t="n">
        <v>0</v>
      </c>
      <c r="DM395" s="2" t="n">
        <v>96.67</v>
      </c>
      <c r="DN395" s="2" t="n">
        <v>96.79</v>
      </c>
      <c r="DO395" s="2" t="n">
        <v>0</v>
      </c>
      <c r="DP395" s="2" t="n">
        <v>98.22</v>
      </c>
      <c r="DQ395" s="2" t="n">
        <v>98.4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 customFormat="false" ht="15" hidden="false" customHeight="false" outlineLevel="0" collapsed="false">
      <c r="A396" s="2" t="n">
        <v>3</v>
      </c>
      <c r="B396" s="2" t="s">
        <v>1183</v>
      </c>
      <c r="C396" s="2" t="s">
        <v>1184</v>
      </c>
      <c r="D396" s="2" t="s">
        <v>1172</v>
      </c>
      <c r="E396" s="2" t="s">
        <v>1120</v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</v>
      </c>
      <c r="DH396" s="2" t="n">
        <v>88.93</v>
      </c>
      <c r="DI396" s="2" t="n">
        <v>0</v>
      </c>
      <c r="DJ396" s="2" t="n">
        <v>94.12</v>
      </c>
      <c r="DK396" s="2" t="n">
        <v>95.01</v>
      </c>
      <c r="DL396" s="2" t="n">
        <v>0</v>
      </c>
      <c r="DM396" s="2" t="n">
        <v>96.67</v>
      </c>
      <c r="DN396" s="2" t="n">
        <v>96.79</v>
      </c>
      <c r="DO396" s="2" t="n">
        <v>0</v>
      </c>
      <c r="DP396" s="2" t="n">
        <v>98.22</v>
      </c>
      <c r="DQ396" s="2" t="n">
        <v>98.4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 customFormat="false" ht="15" hidden="false" customHeight="false" outlineLevel="0" collapsed="false">
      <c r="A397" s="2" t="n">
        <v>2</v>
      </c>
      <c r="B397" s="2" t="s">
        <v>1185</v>
      </c>
      <c r="C397" s="2" t="s">
        <v>1186</v>
      </c>
      <c r="D397" s="2" t="s">
        <v>1119</v>
      </c>
      <c r="E397" s="2" t="s">
        <v>1123</v>
      </c>
      <c r="F397" s="2" t="n">
        <v>229772.206465883</v>
      </c>
      <c r="G397" s="2" t="n">
        <v>0</v>
      </c>
      <c r="H397" s="2" t="n">
        <v>229772.206465883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</v>
      </c>
      <c r="CN397" s="2" t="n">
        <v>0</v>
      </c>
      <c r="CO397" s="2" t="n">
        <v>69.9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 customFormat="false" ht="15" hidden="false" customHeight="false" outlineLevel="0" collapsed="false">
      <c r="A398" s="2" t="n">
        <v>3</v>
      </c>
      <c r="B398" s="2" t="s">
        <v>1187</v>
      </c>
      <c r="C398" s="2" t="s">
        <v>1188</v>
      </c>
      <c r="D398" s="2" t="s">
        <v>1119</v>
      </c>
      <c r="E398" s="2" t="s">
        <v>1123</v>
      </c>
      <c r="F398" s="2" t="n">
        <v>229772.206465883</v>
      </c>
      <c r="G398" s="2" t="n">
        <v>0</v>
      </c>
      <c r="H398" s="2" t="n">
        <v>229772.206465883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</v>
      </c>
      <c r="CN398" s="2" t="n">
        <v>0</v>
      </c>
      <c r="CO398" s="2" t="n">
        <v>69.9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 customFormat="false" ht="15" hidden="false" customHeight="false" outlineLevel="0" collapsed="false">
      <c r="A399" s="2" t="n">
        <v>1</v>
      </c>
      <c r="B399" s="2" t="s">
        <v>170</v>
      </c>
      <c r="C399" s="2" t="s">
        <v>171</v>
      </c>
      <c r="D399" s="2" t="s">
        <v>1189</v>
      </c>
      <c r="E399" s="2" t="s">
        <v>1190</v>
      </c>
      <c r="F399" s="2" t="n">
        <v>3928343.28714431</v>
      </c>
      <c r="G399" s="2" t="n">
        <v>0</v>
      </c>
      <c r="H399" s="2" t="n">
        <v>3928343.28714431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8.2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</v>
      </c>
      <c r="DK399" s="2" t="n">
        <v>81.36</v>
      </c>
      <c r="DL399" s="2" t="n">
        <v>0</v>
      </c>
      <c r="DM399" s="2" t="n">
        <v>86.24</v>
      </c>
      <c r="DN399" s="2" t="n">
        <v>94.76</v>
      </c>
      <c r="DO399" s="2" t="n">
        <v>0</v>
      </c>
      <c r="DP399" s="2" t="n">
        <v>97.46</v>
      </c>
      <c r="DQ399" s="2" t="n">
        <v>97.62</v>
      </c>
      <c r="DR399" s="2" t="n">
        <v>0</v>
      </c>
      <c r="DS399" s="2" t="n">
        <v>98.41</v>
      </c>
      <c r="DT399" s="2" t="n">
        <v>99.74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 customFormat="false" ht="15" hidden="false" customHeight="false" outlineLevel="0" collapsed="false">
      <c r="A400" s="2" t="n">
        <v>2</v>
      </c>
      <c r="B400" s="2" t="s">
        <v>1191</v>
      </c>
      <c r="C400" s="2" t="s">
        <v>1192</v>
      </c>
      <c r="D400" s="2" t="s">
        <v>1189</v>
      </c>
      <c r="E400" s="2" t="s">
        <v>1190</v>
      </c>
      <c r="F400" s="2" t="n">
        <v>723539.955215675</v>
      </c>
      <c r="G400" s="2" t="n">
        <v>0</v>
      </c>
      <c r="H400" s="2" t="n">
        <v>723539.955215675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8.2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</v>
      </c>
      <c r="DK400" s="2" t="n">
        <v>81.36</v>
      </c>
      <c r="DL400" s="2" t="n">
        <v>0</v>
      </c>
      <c r="DM400" s="2" t="n">
        <v>86.24</v>
      </c>
      <c r="DN400" s="2" t="n">
        <v>94.76</v>
      </c>
      <c r="DO400" s="2" t="n">
        <v>0</v>
      </c>
      <c r="DP400" s="2" t="n">
        <v>97.46</v>
      </c>
      <c r="DQ400" s="2" t="n">
        <v>97.62</v>
      </c>
      <c r="DR400" s="2" t="n">
        <v>0</v>
      </c>
      <c r="DS400" s="2" t="n">
        <v>98.41</v>
      </c>
      <c r="DT400" s="2" t="n">
        <v>99.74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 customFormat="false" ht="15" hidden="false" customHeight="false" outlineLevel="0" collapsed="false">
      <c r="A401" s="2" t="n">
        <v>3</v>
      </c>
      <c r="B401" s="2" t="s">
        <v>1193</v>
      </c>
      <c r="C401" s="2" t="s">
        <v>1194</v>
      </c>
      <c r="D401" s="2" t="s">
        <v>1189</v>
      </c>
      <c r="E401" s="2" t="s">
        <v>1190</v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8.2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</v>
      </c>
      <c r="DK401" s="2" t="n">
        <v>81.36</v>
      </c>
      <c r="DL401" s="2" t="n">
        <v>0</v>
      </c>
      <c r="DM401" s="2" t="n">
        <v>86.24</v>
      </c>
      <c r="DN401" s="2" t="n">
        <v>94.76</v>
      </c>
      <c r="DO401" s="2" t="n">
        <v>0</v>
      </c>
      <c r="DP401" s="2" t="n">
        <v>97.46</v>
      </c>
      <c r="DQ401" s="2" t="n">
        <v>97.62</v>
      </c>
      <c r="DR401" s="2" t="n">
        <v>0</v>
      </c>
      <c r="DS401" s="2" t="n">
        <v>98.41</v>
      </c>
      <c r="DT401" s="2" t="n">
        <v>99.74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 customFormat="false" ht="15" hidden="false" customHeight="false" outlineLevel="0" collapsed="false">
      <c r="A402" s="2" t="n">
        <v>3</v>
      </c>
      <c r="B402" s="2" t="s">
        <v>1195</v>
      </c>
      <c r="C402" s="2" t="s">
        <v>1196</v>
      </c>
      <c r="D402" s="2" t="s">
        <v>1189</v>
      </c>
      <c r="E402" s="2" t="s">
        <v>1190</v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8.2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</v>
      </c>
      <c r="DK402" s="2" t="n">
        <v>81.36</v>
      </c>
      <c r="DL402" s="2" t="n">
        <v>0</v>
      </c>
      <c r="DM402" s="2" t="n">
        <v>86.24</v>
      </c>
      <c r="DN402" s="2" t="n">
        <v>94.76</v>
      </c>
      <c r="DO402" s="2" t="n">
        <v>0</v>
      </c>
      <c r="DP402" s="2" t="n">
        <v>97.46</v>
      </c>
      <c r="DQ402" s="2" t="n">
        <v>97.62</v>
      </c>
      <c r="DR402" s="2" t="n">
        <v>0</v>
      </c>
      <c r="DS402" s="2" t="n">
        <v>98.41</v>
      </c>
      <c r="DT402" s="2" t="n">
        <v>99.74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 customFormat="false" ht="15" hidden="false" customHeight="false" outlineLevel="0" collapsed="false">
      <c r="A403" s="2" t="n">
        <v>3</v>
      </c>
      <c r="B403" s="2" t="s">
        <v>1197</v>
      </c>
      <c r="C403" s="2" t="s">
        <v>1198</v>
      </c>
      <c r="D403" s="2" t="s">
        <v>1189</v>
      </c>
      <c r="E403" s="2" t="s">
        <v>1190</v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8.2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</v>
      </c>
      <c r="DK403" s="2" t="n">
        <v>81.36</v>
      </c>
      <c r="DL403" s="2" t="n">
        <v>0</v>
      </c>
      <c r="DM403" s="2" t="n">
        <v>86.24</v>
      </c>
      <c r="DN403" s="2" t="n">
        <v>94.76</v>
      </c>
      <c r="DO403" s="2" t="n">
        <v>0</v>
      </c>
      <c r="DP403" s="2" t="n">
        <v>97.46</v>
      </c>
      <c r="DQ403" s="2" t="n">
        <v>97.62</v>
      </c>
      <c r="DR403" s="2" t="n">
        <v>0</v>
      </c>
      <c r="DS403" s="2" t="n">
        <v>98.41</v>
      </c>
      <c r="DT403" s="2" t="n">
        <v>99.74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 customFormat="false" ht="15" hidden="false" customHeight="false" outlineLevel="0" collapsed="false">
      <c r="A404" s="2" t="n">
        <v>3</v>
      </c>
      <c r="B404" s="2" t="s">
        <v>1199</v>
      </c>
      <c r="C404" s="2" t="s">
        <v>1200</v>
      </c>
      <c r="D404" s="2" t="s">
        <v>1189</v>
      </c>
      <c r="E404" s="2" t="s">
        <v>1190</v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8.2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</v>
      </c>
      <c r="DK404" s="2" t="n">
        <v>81.36</v>
      </c>
      <c r="DL404" s="2" t="n">
        <v>0</v>
      </c>
      <c r="DM404" s="2" t="n">
        <v>86.24</v>
      </c>
      <c r="DN404" s="2" t="n">
        <v>94.76</v>
      </c>
      <c r="DO404" s="2" t="n">
        <v>0</v>
      </c>
      <c r="DP404" s="2" t="n">
        <v>97.46</v>
      </c>
      <c r="DQ404" s="2" t="n">
        <v>97.62</v>
      </c>
      <c r="DR404" s="2" t="n">
        <v>0</v>
      </c>
      <c r="DS404" s="2" t="n">
        <v>98.41</v>
      </c>
      <c r="DT404" s="2" t="n">
        <v>99.74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 customFormat="false" ht="15" hidden="false" customHeight="false" outlineLevel="0" collapsed="false">
      <c r="A405" s="2" t="n">
        <v>3</v>
      </c>
      <c r="B405" s="2" t="s">
        <v>1201</v>
      </c>
      <c r="C405" s="2" t="s">
        <v>1202</v>
      </c>
      <c r="D405" s="2" t="s">
        <v>1189</v>
      </c>
      <c r="E405" s="2" t="s">
        <v>1190</v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8.2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</v>
      </c>
      <c r="DK405" s="2" t="n">
        <v>81.36</v>
      </c>
      <c r="DL405" s="2" t="n">
        <v>0</v>
      </c>
      <c r="DM405" s="2" t="n">
        <v>86.24</v>
      </c>
      <c r="DN405" s="2" t="n">
        <v>94.76</v>
      </c>
      <c r="DO405" s="2" t="n">
        <v>0</v>
      </c>
      <c r="DP405" s="2" t="n">
        <v>97.46</v>
      </c>
      <c r="DQ405" s="2" t="n">
        <v>97.62</v>
      </c>
      <c r="DR405" s="2" t="n">
        <v>0</v>
      </c>
      <c r="DS405" s="2" t="n">
        <v>98.41</v>
      </c>
      <c r="DT405" s="2" t="n">
        <v>99.74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 customFormat="false" ht="15" hidden="false" customHeight="false" outlineLevel="0" collapsed="false">
      <c r="A406" s="2" t="n">
        <v>3</v>
      </c>
      <c r="B406" s="2" t="s">
        <v>1203</v>
      </c>
      <c r="C406" s="2" t="s">
        <v>1204</v>
      </c>
      <c r="D406" s="2" t="s">
        <v>1189</v>
      </c>
      <c r="E406" s="2" t="s">
        <v>1190</v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8.2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</v>
      </c>
      <c r="DK406" s="2" t="n">
        <v>81.36</v>
      </c>
      <c r="DL406" s="2" t="n">
        <v>0</v>
      </c>
      <c r="DM406" s="2" t="n">
        <v>86.24</v>
      </c>
      <c r="DN406" s="2" t="n">
        <v>94.76</v>
      </c>
      <c r="DO406" s="2" t="n">
        <v>0</v>
      </c>
      <c r="DP406" s="2" t="n">
        <v>97.46</v>
      </c>
      <c r="DQ406" s="2" t="n">
        <v>97.62</v>
      </c>
      <c r="DR406" s="2" t="n">
        <v>0</v>
      </c>
      <c r="DS406" s="2" t="n">
        <v>98.41</v>
      </c>
      <c r="DT406" s="2" t="n">
        <v>99.74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 customFormat="false" ht="15" hidden="false" customHeight="false" outlineLevel="0" collapsed="false">
      <c r="A407" s="2" t="n">
        <v>3</v>
      </c>
      <c r="B407" s="2" t="s">
        <v>1205</v>
      </c>
      <c r="C407" s="2" t="s">
        <v>1206</v>
      </c>
      <c r="D407" s="2" t="s">
        <v>1189</v>
      </c>
      <c r="E407" s="2" t="s">
        <v>1190</v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8.2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</v>
      </c>
      <c r="DK407" s="2" t="n">
        <v>81.36</v>
      </c>
      <c r="DL407" s="2" t="n">
        <v>0</v>
      </c>
      <c r="DM407" s="2" t="n">
        <v>86.24</v>
      </c>
      <c r="DN407" s="2" t="n">
        <v>94.76</v>
      </c>
      <c r="DO407" s="2" t="n">
        <v>0</v>
      </c>
      <c r="DP407" s="2" t="n">
        <v>97.46</v>
      </c>
      <c r="DQ407" s="2" t="n">
        <v>97.62</v>
      </c>
      <c r="DR407" s="2" t="n">
        <v>0</v>
      </c>
      <c r="DS407" s="2" t="n">
        <v>98.41</v>
      </c>
      <c r="DT407" s="2" t="n">
        <v>99.74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 customFormat="false" ht="15" hidden="false" customHeight="false" outlineLevel="0" collapsed="false">
      <c r="A408" s="2" t="n">
        <v>3</v>
      </c>
      <c r="B408" s="2" t="s">
        <v>1207</v>
      </c>
      <c r="C408" s="2" t="s">
        <v>1208</v>
      </c>
      <c r="D408" s="2" t="s">
        <v>1189</v>
      </c>
      <c r="E408" s="2" t="s">
        <v>1190</v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8.2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</v>
      </c>
      <c r="DK408" s="2" t="n">
        <v>81.36</v>
      </c>
      <c r="DL408" s="2" t="n">
        <v>0</v>
      </c>
      <c r="DM408" s="2" t="n">
        <v>86.24</v>
      </c>
      <c r="DN408" s="2" t="n">
        <v>94.76</v>
      </c>
      <c r="DO408" s="2" t="n">
        <v>0</v>
      </c>
      <c r="DP408" s="2" t="n">
        <v>97.46</v>
      </c>
      <c r="DQ408" s="2" t="n">
        <v>97.62</v>
      </c>
      <c r="DR408" s="2" t="n">
        <v>0</v>
      </c>
      <c r="DS408" s="2" t="n">
        <v>98.41</v>
      </c>
      <c r="DT408" s="2" t="n">
        <v>99.74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 customFormat="false" ht="15" hidden="false" customHeight="false" outlineLevel="0" collapsed="false">
      <c r="A409" s="2" t="n">
        <v>3</v>
      </c>
      <c r="B409" s="2" t="s">
        <v>1209</v>
      </c>
      <c r="C409" s="2" t="s">
        <v>1210</v>
      </c>
      <c r="D409" s="2" t="s">
        <v>1189</v>
      </c>
      <c r="E409" s="2" t="s">
        <v>1190</v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8.2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</v>
      </c>
      <c r="DK409" s="2" t="n">
        <v>81.36</v>
      </c>
      <c r="DL409" s="2" t="n">
        <v>0</v>
      </c>
      <c r="DM409" s="2" t="n">
        <v>86.24</v>
      </c>
      <c r="DN409" s="2" t="n">
        <v>94.76</v>
      </c>
      <c r="DO409" s="2" t="n">
        <v>0</v>
      </c>
      <c r="DP409" s="2" t="n">
        <v>97.46</v>
      </c>
      <c r="DQ409" s="2" t="n">
        <v>97.62</v>
      </c>
      <c r="DR409" s="2" t="n">
        <v>0</v>
      </c>
      <c r="DS409" s="2" t="n">
        <v>98.41</v>
      </c>
      <c r="DT409" s="2" t="n">
        <v>99.74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 customFormat="false" ht="15" hidden="false" customHeight="false" outlineLevel="0" collapsed="false">
      <c r="A410" s="2" t="n">
        <v>3</v>
      </c>
      <c r="B410" s="2" t="s">
        <v>1211</v>
      </c>
      <c r="C410" s="2" t="s">
        <v>1212</v>
      </c>
      <c r="D410" s="2" t="s">
        <v>1189</v>
      </c>
      <c r="E410" s="2" t="s">
        <v>1190</v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8.2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</v>
      </c>
      <c r="DK410" s="2" t="n">
        <v>81.36</v>
      </c>
      <c r="DL410" s="2" t="n">
        <v>0</v>
      </c>
      <c r="DM410" s="2" t="n">
        <v>86.24</v>
      </c>
      <c r="DN410" s="2" t="n">
        <v>94.76</v>
      </c>
      <c r="DO410" s="2" t="n">
        <v>0</v>
      </c>
      <c r="DP410" s="2" t="n">
        <v>97.46</v>
      </c>
      <c r="DQ410" s="2" t="n">
        <v>97.62</v>
      </c>
      <c r="DR410" s="2" t="n">
        <v>0</v>
      </c>
      <c r="DS410" s="2" t="n">
        <v>98.41</v>
      </c>
      <c r="DT410" s="2" t="n">
        <v>99.74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 customFormat="false" ht="15" hidden="false" customHeight="false" outlineLevel="0" collapsed="false">
      <c r="A411" s="2" t="n">
        <v>3</v>
      </c>
      <c r="B411" s="2" t="s">
        <v>1213</v>
      </c>
      <c r="C411" s="2" t="s">
        <v>1214</v>
      </c>
      <c r="D411" s="2" t="s">
        <v>1189</v>
      </c>
      <c r="E411" s="2" t="s">
        <v>1190</v>
      </c>
      <c r="F411" s="2" t="n">
        <v>80960.2505140844</v>
      </c>
      <c r="G411" s="2" t="n">
        <v>0</v>
      </c>
      <c r="H411" s="2" t="n">
        <v>80960.2505140844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8.2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</v>
      </c>
      <c r="DK411" s="2" t="n">
        <v>81.36</v>
      </c>
      <c r="DL411" s="2" t="n">
        <v>0</v>
      </c>
      <c r="DM411" s="2" t="n">
        <v>86.24</v>
      </c>
      <c r="DN411" s="2" t="n">
        <v>94.76</v>
      </c>
      <c r="DO411" s="2" t="n">
        <v>0</v>
      </c>
      <c r="DP411" s="2" t="n">
        <v>97.46</v>
      </c>
      <c r="DQ411" s="2" t="n">
        <v>97.62</v>
      </c>
      <c r="DR411" s="2" t="n">
        <v>0</v>
      </c>
      <c r="DS411" s="2" t="n">
        <v>98.41</v>
      </c>
      <c r="DT411" s="2" t="n">
        <v>99.74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 customFormat="false" ht="15" hidden="false" customHeight="false" outlineLevel="0" collapsed="false">
      <c r="A412" s="2" t="n">
        <v>3</v>
      </c>
      <c r="B412" s="2" t="s">
        <v>1215</v>
      </c>
      <c r="C412" s="2" t="s">
        <v>1216</v>
      </c>
      <c r="D412" s="2" t="s">
        <v>1189</v>
      </c>
      <c r="E412" s="2" t="s">
        <v>1190</v>
      </c>
      <c r="F412" s="2" t="n">
        <v>48078.8950765903</v>
      </c>
      <c r="G412" s="2" t="n">
        <v>0</v>
      </c>
      <c r="H412" s="2" t="n">
        <v>48078.8950765903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8.2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</v>
      </c>
      <c r="DK412" s="2" t="n">
        <v>81.36</v>
      </c>
      <c r="DL412" s="2" t="n">
        <v>0</v>
      </c>
      <c r="DM412" s="2" t="n">
        <v>86.24</v>
      </c>
      <c r="DN412" s="2" t="n">
        <v>94.76</v>
      </c>
      <c r="DO412" s="2" t="n">
        <v>0</v>
      </c>
      <c r="DP412" s="2" t="n">
        <v>97.46</v>
      </c>
      <c r="DQ412" s="2" t="n">
        <v>97.62</v>
      </c>
      <c r="DR412" s="2" t="n">
        <v>0</v>
      </c>
      <c r="DS412" s="2" t="n">
        <v>98.41</v>
      </c>
      <c r="DT412" s="2" t="n">
        <v>99.74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 customFormat="false" ht="15" hidden="false" customHeight="false" outlineLevel="0" collapsed="false">
      <c r="A413" s="2" t="n">
        <v>2</v>
      </c>
      <c r="B413" s="2" t="s">
        <v>1217</v>
      </c>
      <c r="C413" s="2" t="s">
        <v>1218</v>
      </c>
      <c r="D413" s="2" t="s">
        <v>1189</v>
      </c>
      <c r="E413" s="2" t="s">
        <v>1190</v>
      </c>
      <c r="F413" s="2" t="n">
        <v>579547.456624779</v>
      </c>
      <c r="G413" s="2" t="n">
        <v>0</v>
      </c>
      <c r="H413" s="2" t="n">
        <v>579547.456624779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8.2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</v>
      </c>
      <c r="DK413" s="2" t="n">
        <v>81.36</v>
      </c>
      <c r="DL413" s="2" t="n">
        <v>0</v>
      </c>
      <c r="DM413" s="2" t="n">
        <v>86.24</v>
      </c>
      <c r="DN413" s="2" t="n">
        <v>94.76</v>
      </c>
      <c r="DO413" s="2" t="n">
        <v>0</v>
      </c>
      <c r="DP413" s="2" t="n">
        <v>97.46</v>
      </c>
      <c r="DQ413" s="2" t="n">
        <v>97.62</v>
      </c>
      <c r="DR413" s="2" t="n">
        <v>0</v>
      </c>
      <c r="DS413" s="2" t="n">
        <v>98.41</v>
      </c>
      <c r="DT413" s="2" t="n">
        <v>99.74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 customFormat="false" ht="15" hidden="false" customHeight="false" outlineLevel="0" collapsed="false">
      <c r="A414" s="2" t="n">
        <v>3</v>
      </c>
      <c r="B414" s="2" t="s">
        <v>1219</v>
      </c>
      <c r="C414" s="2" t="s">
        <v>1220</v>
      </c>
      <c r="D414" s="2" t="s">
        <v>1189</v>
      </c>
      <c r="E414" s="2" t="s">
        <v>1190</v>
      </c>
      <c r="F414" s="2" t="n">
        <v>131615.870749779</v>
      </c>
      <c r="G414" s="2" t="n">
        <v>0</v>
      </c>
      <c r="H414" s="2" t="n">
        <v>131615.870749779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8.2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</v>
      </c>
      <c r="DK414" s="2" t="n">
        <v>81.36</v>
      </c>
      <c r="DL414" s="2" t="n">
        <v>0</v>
      </c>
      <c r="DM414" s="2" t="n">
        <v>86.24</v>
      </c>
      <c r="DN414" s="2" t="n">
        <v>94.76</v>
      </c>
      <c r="DO414" s="2" t="n">
        <v>0</v>
      </c>
      <c r="DP414" s="2" t="n">
        <v>97.46</v>
      </c>
      <c r="DQ414" s="2" t="n">
        <v>97.62</v>
      </c>
      <c r="DR414" s="2" t="n">
        <v>0</v>
      </c>
      <c r="DS414" s="2" t="n">
        <v>98.41</v>
      </c>
      <c r="DT414" s="2" t="n">
        <v>99.74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 customFormat="false" ht="15" hidden="false" customHeight="false" outlineLevel="0" collapsed="false">
      <c r="A415" s="2" t="n">
        <v>3</v>
      </c>
      <c r="B415" s="2" t="s">
        <v>1221</v>
      </c>
      <c r="C415" s="2" t="s">
        <v>1222</v>
      </c>
      <c r="D415" s="2" t="s">
        <v>1189</v>
      </c>
      <c r="E415" s="2" t="s">
        <v>1190</v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8.2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</v>
      </c>
      <c r="DK415" s="2" t="n">
        <v>81.36</v>
      </c>
      <c r="DL415" s="2" t="n">
        <v>0</v>
      </c>
      <c r="DM415" s="2" t="n">
        <v>86.24</v>
      </c>
      <c r="DN415" s="2" t="n">
        <v>94.76</v>
      </c>
      <c r="DO415" s="2" t="n">
        <v>0</v>
      </c>
      <c r="DP415" s="2" t="n">
        <v>97.46</v>
      </c>
      <c r="DQ415" s="2" t="n">
        <v>97.62</v>
      </c>
      <c r="DR415" s="2" t="n">
        <v>0</v>
      </c>
      <c r="DS415" s="2" t="n">
        <v>98.41</v>
      </c>
      <c r="DT415" s="2" t="n">
        <v>99.74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 customFormat="false" ht="15" hidden="false" customHeight="false" outlineLevel="0" collapsed="false">
      <c r="A416" s="2" t="n">
        <v>3</v>
      </c>
      <c r="B416" s="2" t="s">
        <v>1223</v>
      </c>
      <c r="C416" s="2" t="s">
        <v>1224</v>
      </c>
      <c r="D416" s="2" t="s">
        <v>1189</v>
      </c>
      <c r="E416" s="2" t="s">
        <v>1190</v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8.2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</v>
      </c>
      <c r="DK416" s="2" t="n">
        <v>81.36</v>
      </c>
      <c r="DL416" s="2" t="n">
        <v>0</v>
      </c>
      <c r="DM416" s="2" t="n">
        <v>86.24</v>
      </c>
      <c r="DN416" s="2" t="n">
        <v>94.76</v>
      </c>
      <c r="DO416" s="2" t="n">
        <v>0</v>
      </c>
      <c r="DP416" s="2" t="n">
        <v>97.46</v>
      </c>
      <c r="DQ416" s="2" t="n">
        <v>97.62</v>
      </c>
      <c r="DR416" s="2" t="n">
        <v>0</v>
      </c>
      <c r="DS416" s="2" t="n">
        <v>98.41</v>
      </c>
      <c r="DT416" s="2" t="n">
        <v>99.74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 customFormat="false" ht="15" hidden="false" customHeight="false" outlineLevel="0" collapsed="false">
      <c r="A417" s="2" t="n">
        <v>2</v>
      </c>
      <c r="B417" s="2" t="s">
        <v>1225</v>
      </c>
      <c r="C417" s="2" t="s">
        <v>1226</v>
      </c>
      <c r="D417" s="2" t="s">
        <v>1189</v>
      </c>
      <c r="E417" s="2" t="s">
        <v>1190</v>
      </c>
      <c r="F417" s="2" t="n">
        <v>432530.226097457</v>
      </c>
      <c r="G417" s="2" t="n">
        <v>0</v>
      </c>
      <c r="H417" s="2" t="n">
        <v>432530.226097457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8.2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</v>
      </c>
      <c r="DK417" s="2" t="n">
        <v>81.36</v>
      </c>
      <c r="DL417" s="2" t="n">
        <v>0</v>
      </c>
      <c r="DM417" s="2" t="n">
        <v>86.24</v>
      </c>
      <c r="DN417" s="2" t="n">
        <v>94.76</v>
      </c>
      <c r="DO417" s="2" t="n">
        <v>0</v>
      </c>
      <c r="DP417" s="2" t="n">
        <v>97.46</v>
      </c>
      <c r="DQ417" s="2" t="n">
        <v>97.62</v>
      </c>
      <c r="DR417" s="2" t="n">
        <v>0</v>
      </c>
      <c r="DS417" s="2" t="n">
        <v>98.41</v>
      </c>
      <c r="DT417" s="2" t="n">
        <v>99.74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 customFormat="false" ht="15" hidden="false" customHeight="false" outlineLevel="0" collapsed="false">
      <c r="A418" s="2" t="n">
        <v>3</v>
      </c>
      <c r="B418" s="2" t="s">
        <v>1227</v>
      </c>
      <c r="C418" s="2" t="s">
        <v>1220</v>
      </c>
      <c r="D418" s="2" t="s">
        <v>1189</v>
      </c>
      <c r="E418" s="2" t="s">
        <v>1190</v>
      </c>
      <c r="F418" s="2" t="n">
        <v>62267.8543650087</v>
      </c>
      <c r="G418" s="2" t="n">
        <v>0</v>
      </c>
      <c r="H418" s="2" t="n">
        <v>62267.8543650087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8.2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</v>
      </c>
      <c r="DK418" s="2" t="n">
        <v>81.36</v>
      </c>
      <c r="DL418" s="2" t="n">
        <v>0</v>
      </c>
      <c r="DM418" s="2" t="n">
        <v>86.24</v>
      </c>
      <c r="DN418" s="2" t="n">
        <v>94.76</v>
      </c>
      <c r="DO418" s="2" t="n">
        <v>0</v>
      </c>
      <c r="DP418" s="2" t="n">
        <v>97.46</v>
      </c>
      <c r="DQ418" s="2" t="n">
        <v>97.62</v>
      </c>
      <c r="DR418" s="2" t="n">
        <v>0</v>
      </c>
      <c r="DS418" s="2" t="n">
        <v>98.41</v>
      </c>
      <c r="DT418" s="2" t="n">
        <v>99.74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 customFormat="false" ht="15" hidden="false" customHeight="false" outlineLevel="0" collapsed="false">
      <c r="A419" s="2" t="n">
        <v>3</v>
      </c>
      <c r="B419" s="2" t="s">
        <v>1228</v>
      </c>
      <c r="C419" s="2" t="s">
        <v>1229</v>
      </c>
      <c r="D419" s="2" t="s">
        <v>1189</v>
      </c>
      <c r="E419" s="2" t="s">
        <v>1190</v>
      </c>
      <c r="F419" s="2" t="n">
        <v>105071.879016406</v>
      </c>
      <c r="G419" s="2" t="n">
        <v>0</v>
      </c>
      <c r="H419" s="2" t="n">
        <v>105071.879016406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8.2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</v>
      </c>
      <c r="DK419" s="2" t="n">
        <v>81.36</v>
      </c>
      <c r="DL419" s="2" t="n">
        <v>0</v>
      </c>
      <c r="DM419" s="2" t="n">
        <v>86.24</v>
      </c>
      <c r="DN419" s="2" t="n">
        <v>94.76</v>
      </c>
      <c r="DO419" s="2" t="n">
        <v>0</v>
      </c>
      <c r="DP419" s="2" t="n">
        <v>97.46</v>
      </c>
      <c r="DQ419" s="2" t="n">
        <v>97.62</v>
      </c>
      <c r="DR419" s="2" t="n">
        <v>0</v>
      </c>
      <c r="DS419" s="2" t="n">
        <v>98.41</v>
      </c>
      <c r="DT419" s="2" t="n">
        <v>99.74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 customFormat="false" ht="15" hidden="false" customHeight="false" outlineLevel="0" collapsed="false">
      <c r="A420" s="2" t="n">
        <v>3</v>
      </c>
      <c r="B420" s="2" t="s">
        <v>1230</v>
      </c>
      <c r="C420" s="2" t="s">
        <v>1231</v>
      </c>
      <c r="D420" s="2" t="s">
        <v>1189</v>
      </c>
      <c r="E420" s="2" t="s">
        <v>1190</v>
      </c>
      <c r="F420" s="2" t="n">
        <v>6822.57225</v>
      </c>
      <c r="G420" s="2" t="n">
        <v>0</v>
      </c>
      <c r="H420" s="2" t="n">
        <v>6822.57225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8.2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</v>
      </c>
      <c r="DK420" s="2" t="n">
        <v>81.36</v>
      </c>
      <c r="DL420" s="2" t="n">
        <v>0</v>
      </c>
      <c r="DM420" s="2" t="n">
        <v>86.24</v>
      </c>
      <c r="DN420" s="2" t="n">
        <v>94.76</v>
      </c>
      <c r="DO420" s="2" t="n">
        <v>0</v>
      </c>
      <c r="DP420" s="2" t="n">
        <v>97.46</v>
      </c>
      <c r="DQ420" s="2" t="n">
        <v>97.62</v>
      </c>
      <c r="DR420" s="2" t="n">
        <v>0</v>
      </c>
      <c r="DS420" s="2" t="n">
        <v>98.41</v>
      </c>
      <c r="DT420" s="2" t="n">
        <v>99.74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 customFormat="false" ht="15" hidden="false" customHeight="false" outlineLevel="0" collapsed="false">
      <c r="A421" s="2" t="n">
        <v>3</v>
      </c>
      <c r="B421" s="2" t="s">
        <v>1232</v>
      </c>
      <c r="C421" s="2" t="s">
        <v>1233</v>
      </c>
      <c r="D421" s="2" t="s">
        <v>1189</v>
      </c>
      <c r="E421" s="2" t="s">
        <v>1190</v>
      </c>
      <c r="F421" s="2" t="n">
        <v>9184.84726483211</v>
      </c>
      <c r="G421" s="2" t="n">
        <v>0</v>
      </c>
      <c r="H421" s="2" t="n">
        <v>9184.84726483211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8.2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</v>
      </c>
      <c r="DK421" s="2" t="n">
        <v>81.36</v>
      </c>
      <c r="DL421" s="2" t="n">
        <v>0</v>
      </c>
      <c r="DM421" s="2" t="n">
        <v>86.24</v>
      </c>
      <c r="DN421" s="2" t="n">
        <v>94.76</v>
      </c>
      <c r="DO421" s="2" t="n">
        <v>0</v>
      </c>
      <c r="DP421" s="2" t="n">
        <v>97.46</v>
      </c>
      <c r="DQ421" s="2" t="n">
        <v>97.62</v>
      </c>
      <c r="DR421" s="2" t="n">
        <v>0</v>
      </c>
      <c r="DS421" s="2" t="n">
        <v>98.41</v>
      </c>
      <c r="DT421" s="2" t="n">
        <v>99.74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 customFormat="false" ht="15" hidden="false" customHeight="false" outlineLevel="0" collapsed="false">
      <c r="A422" s="2" t="n">
        <v>3</v>
      </c>
      <c r="B422" s="2" t="s">
        <v>1234</v>
      </c>
      <c r="C422" s="2" t="s">
        <v>1235</v>
      </c>
      <c r="D422" s="2" t="s">
        <v>1189</v>
      </c>
      <c r="E422" s="2" t="s">
        <v>1190</v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8.2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</v>
      </c>
      <c r="DK422" s="2" t="n">
        <v>81.36</v>
      </c>
      <c r="DL422" s="2" t="n">
        <v>0</v>
      </c>
      <c r="DM422" s="2" t="n">
        <v>86.24</v>
      </c>
      <c r="DN422" s="2" t="n">
        <v>94.76</v>
      </c>
      <c r="DO422" s="2" t="n">
        <v>0</v>
      </c>
      <c r="DP422" s="2" t="n">
        <v>97.46</v>
      </c>
      <c r="DQ422" s="2" t="n">
        <v>97.62</v>
      </c>
      <c r="DR422" s="2" t="n">
        <v>0</v>
      </c>
      <c r="DS422" s="2" t="n">
        <v>98.41</v>
      </c>
      <c r="DT422" s="2" t="n">
        <v>99.74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 customFormat="false" ht="15" hidden="false" customHeight="false" outlineLevel="0" collapsed="false">
      <c r="A423" s="2" t="n">
        <v>3</v>
      </c>
      <c r="B423" s="2" t="s">
        <v>1236</v>
      </c>
      <c r="C423" s="2" t="s">
        <v>1237</v>
      </c>
      <c r="D423" s="2" t="s">
        <v>1189</v>
      </c>
      <c r="E423" s="2" t="s">
        <v>1190</v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8.2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</v>
      </c>
      <c r="DK423" s="2" t="n">
        <v>81.36</v>
      </c>
      <c r="DL423" s="2" t="n">
        <v>0</v>
      </c>
      <c r="DM423" s="2" t="n">
        <v>86.24</v>
      </c>
      <c r="DN423" s="2" t="n">
        <v>94.76</v>
      </c>
      <c r="DO423" s="2" t="n">
        <v>0</v>
      </c>
      <c r="DP423" s="2" t="n">
        <v>97.46</v>
      </c>
      <c r="DQ423" s="2" t="n">
        <v>97.62</v>
      </c>
      <c r="DR423" s="2" t="n">
        <v>0</v>
      </c>
      <c r="DS423" s="2" t="n">
        <v>98.41</v>
      </c>
      <c r="DT423" s="2" t="n">
        <v>99.74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 customFormat="false" ht="15" hidden="false" customHeight="false" outlineLevel="0" collapsed="false">
      <c r="A424" s="2" t="n">
        <v>3</v>
      </c>
      <c r="B424" s="2" t="s">
        <v>1238</v>
      </c>
      <c r="C424" s="2" t="s">
        <v>1239</v>
      </c>
      <c r="D424" s="2" t="s">
        <v>1189</v>
      </c>
      <c r="E424" s="2" t="s">
        <v>1190</v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8.2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</v>
      </c>
      <c r="DK424" s="2" t="n">
        <v>81.36</v>
      </c>
      <c r="DL424" s="2" t="n">
        <v>0</v>
      </c>
      <c r="DM424" s="2" t="n">
        <v>86.24</v>
      </c>
      <c r="DN424" s="2" t="n">
        <v>94.76</v>
      </c>
      <c r="DO424" s="2" t="n">
        <v>0</v>
      </c>
      <c r="DP424" s="2" t="n">
        <v>97.46</v>
      </c>
      <c r="DQ424" s="2" t="n">
        <v>97.62</v>
      </c>
      <c r="DR424" s="2" t="n">
        <v>0</v>
      </c>
      <c r="DS424" s="2" t="n">
        <v>98.41</v>
      </c>
      <c r="DT424" s="2" t="n">
        <v>99.74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 customFormat="false" ht="15" hidden="false" customHeight="false" outlineLevel="0" collapsed="false">
      <c r="A425" s="2" t="n">
        <v>3</v>
      </c>
      <c r="B425" s="2" t="s">
        <v>1240</v>
      </c>
      <c r="C425" s="2" t="s">
        <v>1216</v>
      </c>
      <c r="D425" s="2" t="s">
        <v>1189</v>
      </c>
      <c r="E425" s="2" t="s">
        <v>1190</v>
      </c>
      <c r="F425" s="2" t="n">
        <v>907.148963709252</v>
      </c>
      <c r="G425" s="2" t="n">
        <v>0</v>
      </c>
      <c r="H425" s="2" t="n">
        <v>907.148963709252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8.2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</v>
      </c>
      <c r="DK425" s="2" t="n">
        <v>81.36</v>
      </c>
      <c r="DL425" s="2" t="n">
        <v>0</v>
      </c>
      <c r="DM425" s="2" t="n">
        <v>86.24</v>
      </c>
      <c r="DN425" s="2" t="n">
        <v>94.76</v>
      </c>
      <c r="DO425" s="2" t="n">
        <v>0</v>
      </c>
      <c r="DP425" s="2" t="n">
        <v>97.46</v>
      </c>
      <c r="DQ425" s="2" t="n">
        <v>97.62</v>
      </c>
      <c r="DR425" s="2" t="n">
        <v>0</v>
      </c>
      <c r="DS425" s="2" t="n">
        <v>98.41</v>
      </c>
      <c r="DT425" s="2" t="n">
        <v>99.74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 customFormat="false" ht="15" hidden="false" customHeight="false" outlineLevel="0" collapsed="false">
      <c r="A426" s="2" t="n">
        <v>2</v>
      </c>
      <c r="B426" s="2" t="s">
        <v>1241</v>
      </c>
      <c r="C426" s="2" t="s">
        <v>1242</v>
      </c>
      <c r="D426" s="2" t="s">
        <v>1189</v>
      </c>
      <c r="E426" s="2" t="s">
        <v>1190</v>
      </c>
      <c r="F426" s="2" t="n">
        <v>514601.720334245</v>
      </c>
      <c r="G426" s="2" t="n">
        <v>0</v>
      </c>
      <c r="H426" s="2" t="n">
        <v>514601.720334245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8.2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</v>
      </c>
      <c r="DK426" s="2" t="n">
        <v>81.36</v>
      </c>
      <c r="DL426" s="2" t="n">
        <v>0</v>
      </c>
      <c r="DM426" s="2" t="n">
        <v>86.24</v>
      </c>
      <c r="DN426" s="2" t="n">
        <v>94.76</v>
      </c>
      <c r="DO426" s="2" t="n">
        <v>0</v>
      </c>
      <c r="DP426" s="2" t="n">
        <v>97.46</v>
      </c>
      <c r="DQ426" s="2" t="n">
        <v>97.62</v>
      </c>
      <c r="DR426" s="2" t="n">
        <v>0</v>
      </c>
      <c r="DS426" s="2" t="n">
        <v>98.41</v>
      </c>
      <c r="DT426" s="2" t="n">
        <v>99.74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 customFormat="false" ht="15" hidden="false" customHeight="false" outlineLevel="0" collapsed="false">
      <c r="A427" s="2" t="n">
        <v>3</v>
      </c>
      <c r="B427" s="2" t="s">
        <v>1243</v>
      </c>
      <c r="C427" s="2" t="s">
        <v>1220</v>
      </c>
      <c r="D427" s="2" t="s">
        <v>1189</v>
      </c>
      <c r="E427" s="2" t="s">
        <v>1190</v>
      </c>
      <c r="F427" s="2" t="n">
        <v>52116.8900007813</v>
      </c>
      <c r="G427" s="2" t="n">
        <v>0</v>
      </c>
      <c r="H427" s="2" t="n">
        <v>52116.8900007813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8.2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</v>
      </c>
      <c r="DK427" s="2" t="n">
        <v>81.36</v>
      </c>
      <c r="DL427" s="2" t="n">
        <v>0</v>
      </c>
      <c r="DM427" s="2" t="n">
        <v>86.24</v>
      </c>
      <c r="DN427" s="2" t="n">
        <v>94.76</v>
      </c>
      <c r="DO427" s="2" t="n">
        <v>0</v>
      </c>
      <c r="DP427" s="2" t="n">
        <v>97.46</v>
      </c>
      <c r="DQ427" s="2" t="n">
        <v>97.62</v>
      </c>
      <c r="DR427" s="2" t="n">
        <v>0</v>
      </c>
      <c r="DS427" s="2" t="n">
        <v>98.41</v>
      </c>
      <c r="DT427" s="2" t="n">
        <v>99.74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 customFormat="false" ht="15" hidden="false" customHeight="false" outlineLevel="0" collapsed="false">
      <c r="A428" s="2" t="n">
        <v>3</v>
      </c>
      <c r="B428" s="2" t="s">
        <v>1244</v>
      </c>
      <c r="C428" s="2" t="s">
        <v>1229</v>
      </c>
      <c r="D428" s="2" t="s">
        <v>1189</v>
      </c>
      <c r="E428" s="2" t="s">
        <v>1190</v>
      </c>
      <c r="F428" s="2" t="n">
        <v>87942.9621707133</v>
      </c>
      <c r="G428" s="2" t="n">
        <v>0</v>
      </c>
      <c r="H428" s="2" t="n">
        <v>87942.9621707133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8.2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</v>
      </c>
      <c r="DK428" s="2" t="n">
        <v>81.36</v>
      </c>
      <c r="DL428" s="2" t="n">
        <v>0</v>
      </c>
      <c r="DM428" s="2" t="n">
        <v>86.24</v>
      </c>
      <c r="DN428" s="2" t="n">
        <v>94.76</v>
      </c>
      <c r="DO428" s="2" t="n">
        <v>0</v>
      </c>
      <c r="DP428" s="2" t="n">
        <v>97.46</v>
      </c>
      <c r="DQ428" s="2" t="n">
        <v>97.62</v>
      </c>
      <c r="DR428" s="2" t="n">
        <v>0</v>
      </c>
      <c r="DS428" s="2" t="n">
        <v>98.41</v>
      </c>
      <c r="DT428" s="2" t="n">
        <v>99.74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 customFormat="false" ht="15" hidden="false" customHeight="false" outlineLevel="0" collapsed="false">
      <c r="A429" s="2" t="n">
        <v>3</v>
      </c>
      <c r="B429" s="2" t="s">
        <v>1245</v>
      </c>
      <c r="C429" s="2" t="s">
        <v>1231</v>
      </c>
      <c r="D429" s="2" t="s">
        <v>1189</v>
      </c>
      <c r="E429" s="2" t="s">
        <v>1190</v>
      </c>
      <c r="F429" s="2" t="n">
        <v>9481.3365</v>
      </c>
      <c r="G429" s="2" t="n">
        <v>0</v>
      </c>
      <c r="H429" s="2" t="n">
        <v>9481.3365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8.2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</v>
      </c>
      <c r="DK429" s="2" t="n">
        <v>81.36</v>
      </c>
      <c r="DL429" s="2" t="n">
        <v>0</v>
      </c>
      <c r="DM429" s="2" t="n">
        <v>86.24</v>
      </c>
      <c r="DN429" s="2" t="n">
        <v>94.76</v>
      </c>
      <c r="DO429" s="2" t="n">
        <v>0</v>
      </c>
      <c r="DP429" s="2" t="n">
        <v>97.46</v>
      </c>
      <c r="DQ429" s="2" t="n">
        <v>97.62</v>
      </c>
      <c r="DR429" s="2" t="n">
        <v>0</v>
      </c>
      <c r="DS429" s="2" t="n">
        <v>98.41</v>
      </c>
      <c r="DT429" s="2" t="n">
        <v>99.74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 customFormat="false" ht="15" hidden="false" customHeight="false" outlineLevel="0" collapsed="false">
      <c r="A430" s="2" t="n">
        <v>3</v>
      </c>
      <c r="B430" s="2" t="s">
        <v>1246</v>
      </c>
      <c r="C430" s="2" t="s">
        <v>1247</v>
      </c>
      <c r="D430" s="2" t="s">
        <v>1189</v>
      </c>
      <c r="E430" s="2" t="s">
        <v>1190</v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8.2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</v>
      </c>
      <c r="DK430" s="2" t="n">
        <v>81.36</v>
      </c>
      <c r="DL430" s="2" t="n">
        <v>0</v>
      </c>
      <c r="DM430" s="2" t="n">
        <v>86.24</v>
      </c>
      <c r="DN430" s="2" t="n">
        <v>94.76</v>
      </c>
      <c r="DO430" s="2" t="n">
        <v>0</v>
      </c>
      <c r="DP430" s="2" t="n">
        <v>97.46</v>
      </c>
      <c r="DQ430" s="2" t="n">
        <v>97.62</v>
      </c>
      <c r="DR430" s="2" t="n">
        <v>0</v>
      </c>
      <c r="DS430" s="2" t="n">
        <v>98.41</v>
      </c>
      <c r="DT430" s="2" t="n">
        <v>99.74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 customFormat="false" ht="15" hidden="false" customHeight="false" outlineLevel="0" collapsed="false">
      <c r="A431" s="2" t="n">
        <v>3</v>
      </c>
      <c r="B431" s="2" t="s">
        <v>1248</v>
      </c>
      <c r="C431" s="2" t="s">
        <v>1249</v>
      </c>
      <c r="D431" s="2" t="s">
        <v>1189</v>
      </c>
      <c r="E431" s="2" t="s">
        <v>1190</v>
      </c>
      <c r="F431" s="2" t="n">
        <v>10298.805269548</v>
      </c>
      <c r="G431" s="2" t="n">
        <v>0</v>
      </c>
      <c r="H431" s="2" t="n">
        <v>10298.805269548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8.2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</v>
      </c>
      <c r="DK431" s="2" t="n">
        <v>81.36</v>
      </c>
      <c r="DL431" s="2" t="n">
        <v>0</v>
      </c>
      <c r="DM431" s="2" t="n">
        <v>86.24</v>
      </c>
      <c r="DN431" s="2" t="n">
        <v>94.76</v>
      </c>
      <c r="DO431" s="2" t="n">
        <v>0</v>
      </c>
      <c r="DP431" s="2" t="n">
        <v>97.46</v>
      </c>
      <c r="DQ431" s="2" t="n">
        <v>97.62</v>
      </c>
      <c r="DR431" s="2" t="n">
        <v>0</v>
      </c>
      <c r="DS431" s="2" t="n">
        <v>98.41</v>
      </c>
      <c r="DT431" s="2" t="n">
        <v>99.74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 customFormat="false" ht="15" hidden="false" customHeight="false" outlineLevel="0" collapsed="false">
      <c r="A432" s="2" t="n">
        <v>3</v>
      </c>
      <c r="B432" s="2" t="s">
        <v>1250</v>
      </c>
      <c r="C432" s="2" t="s">
        <v>1251</v>
      </c>
      <c r="D432" s="2" t="s">
        <v>1189</v>
      </c>
      <c r="E432" s="2" t="s">
        <v>1190</v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8.2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</v>
      </c>
      <c r="DK432" s="2" t="n">
        <v>81.36</v>
      </c>
      <c r="DL432" s="2" t="n">
        <v>0</v>
      </c>
      <c r="DM432" s="2" t="n">
        <v>86.24</v>
      </c>
      <c r="DN432" s="2" t="n">
        <v>94.76</v>
      </c>
      <c r="DO432" s="2" t="n">
        <v>0</v>
      </c>
      <c r="DP432" s="2" t="n">
        <v>97.46</v>
      </c>
      <c r="DQ432" s="2" t="n">
        <v>97.62</v>
      </c>
      <c r="DR432" s="2" t="n">
        <v>0</v>
      </c>
      <c r="DS432" s="2" t="n">
        <v>98.41</v>
      </c>
      <c r="DT432" s="2" t="n">
        <v>99.74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 customFormat="false" ht="15" hidden="false" customHeight="false" outlineLevel="0" collapsed="false">
      <c r="A433" s="2" t="n">
        <v>3</v>
      </c>
      <c r="B433" s="2" t="s">
        <v>1252</v>
      </c>
      <c r="C433" s="2" t="s">
        <v>1253</v>
      </c>
      <c r="D433" s="2" t="s">
        <v>1189</v>
      </c>
      <c r="E433" s="2" t="s">
        <v>1190</v>
      </c>
      <c r="F433" s="2" t="n">
        <v>97685.240625</v>
      </c>
      <c r="G433" s="2" t="n">
        <v>0</v>
      </c>
      <c r="H433" s="2" t="n">
        <v>97685.240625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8.2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</v>
      </c>
      <c r="DK433" s="2" t="n">
        <v>81.36</v>
      </c>
      <c r="DL433" s="2" t="n">
        <v>0</v>
      </c>
      <c r="DM433" s="2" t="n">
        <v>86.24</v>
      </c>
      <c r="DN433" s="2" t="n">
        <v>94.76</v>
      </c>
      <c r="DO433" s="2" t="n">
        <v>0</v>
      </c>
      <c r="DP433" s="2" t="n">
        <v>97.46</v>
      </c>
      <c r="DQ433" s="2" t="n">
        <v>97.62</v>
      </c>
      <c r="DR433" s="2" t="n">
        <v>0</v>
      </c>
      <c r="DS433" s="2" t="n">
        <v>98.41</v>
      </c>
      <c r="DT433" s="2" t="n">
        <v>99.74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 customFormat="false" ht="15" hidden="false" customHeight="false" outlineLevel="0" collapsed="false">
      <c r="A434" s="2" t="n">
        <v>3</v>
      </c>
      <c r="B434" s="2" t="s">
        <v>1254</v>
      </c>
      <c r="C434" s="2" t="s">
        <v>1255</v>
      </c>
      <c r="D434" s="2" t="s">
        <v>1189</v>
      </c>
      <c r="E434" s="2" t="s">
        <v>1190</v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8.2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</v>
      </c>
      <c r="DK434" s="2" t="n">
        <v>81.36</v>
      </c>
      <c r="DL434" s="2" t="n">
        <v>0</v>
      </c>
      <c r="DM434" s="2" t="n">
        <v>86.24</v>
      </c>
      <c r="DN434" s="2" t="n">
        <v>94.76</v>
      </c>
      <c r="DO434" s="2" t="n">
        <v>0</v>
      </c>
      <c r="DP434" s="2" t="n">
        <v>97.46</v>
      </c>
      <c r="DQ434" s="2" t="n">
        <v>97.62</v>
      </c>
      <c r="DR434" s="2" t="n">
        <v>0</v>
      </c>
      <c r="DS434" s="2" t="n">
        <v>98.41</v>
      </c>
      <c r="DT434" s="2" t="n">
        <v>99.74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 customFormat="false" ht="15" hidden="false" customHeight="false" outlineLevel="0" collapsed="false">
      <c r="A435" s="2" t="n">
        <v>3</v>
      </c>
      <c r="B435" s="2" t="s">
        <v>1256</v>
      </c>
      <c r="C435" s="2" t="s">
        <v>1216</v>
      </c>
      <c r="D435" s="2" t="s">
        <v>1189</v>
      </c>
      <c r="E435" s="2" t="s">
        <v>1190</v>
      </c>
      <c r="F435" s="2" t="n">
        <v>259.185418202643</v>
      </c>
      <c r="G435" s="2" t="n">
        <v>0</v>
      </c>
      <c r="H435" s="2" t="n">
        <v>259.185418202643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8.2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</v>
      </c>
      <c r="DK435" s="2" t="n">
        <v>81.36</v>
      </c>
      <c r="DL435" s="2" t="n">
        <v>0</v>
      </c>
      <c r="DM435" s="2" t="n">
        <v>86.24</v>
      </c>
      <c r="DN435" s="2" t="n">
        <v>94.76</v>
      </c>
      <c r="DO435" s="2" t="n">
        <v>0</v>
      </c>
      <c r="DP435" s="2" t="n">
        <v>97.46</v>
      </c>
      <c r="DQ435" s="2" t="n">
        <v>97.62</v>
      </c>
      <c r="DR435" s="2" t="n">
        <v>0</v>
      </c>
      <c r="DS435" s="2" t="n">
        <v>98.41</v>
      </c>
      <c r="DT435" s="2" t="n">
        <v>99.74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 customFormat="false" ht="15" hidden="false" customHeight="false" outlineLevel="0" collapsed="false">
      <c r="A436" s="2" t="n">
        <v>2</v>
      </c>
      <c r="B436" s="2" t="s">
        <v>1257</v>
      </c>
      <c r="C436" s="2" t="s">
        <v>1258</v>
      </c>
      <c r="D436" s="2" t="s">
        <v>1189</v>
      </c>
      <c r="E436" s="2" t="s">
        <v>1190</v>
      </c>
      <c r="F436" s="2" t="n">
        <v>1073603.36212749</v>
      </c>
      <c r="G436" s="2" t="n">
        <v>0</v>
      </c>
      <c r="H436" s="2" t="n">
        <v>1073603.36212749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8.2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</v>
      </c>
      <c r="DK436" s="2" t="n">
        <v>81.36</v>
      </c>
      <c r="DL436" s="2" t="n">
        <v>0</v>
      </c>
      <c r="DM436" s="2" t="n">
        <v>86.24</v>
      </c>
      <c r="DN436" s="2" t="n">
        <v>94.76</v>
      </c>
      <c r="DO436" s="2" t="n">
        <v>0</v>
      </c>
      <c r="DP436" s="2" t="n">
        <v>97.46</v>
      </c>
      <c r="DQ436" s="2" t="n">
        <v>97.62</v>
      </c>
      <c r="DR436" s="2" t="n">
        <v>0</v>
      </c>
      <c r="DS436" s="2" t="n">
        <v>98.41</v>
      </c>
      <c r="DT436" s="2" t="n">
        <v>99.74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 customFormat="false" ht="15" hidden="false" customHeight="false" outlineLevel="0" collapsed="false">
      <c r="A437" s="2" t="n">
        <v>3</v>
      </c>
      <c r="B437" s="2" t="s">
        <v>1259</v>
      </c>
      <c r="C437" s="2" t="s">
        <v>1220</v>
      </c>
      <c r="D437" s="2" t="s">
        <v>1189</v>
      </c>
      <c r="E437" s="2" t="s">
        <v>1190</v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8.2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</v>
      </c>
      <c r="DK437" s="2" t="n">
        <v>81.36</v>
      </c>
      <c r="DL437" s="2" t="n">
        <v>0</v>
      </c>
      <c r="DM437" s="2" t="n">
        <v>86.24</v>
      </c>
      <c r="DN437" s="2" t="n">
        <v>94.76</v>
      </c>
      <c r="DO437" s="2" t="n">
        <v>0</v>
      </c>
      <c r="DP437" s="2" t="n">
        <v>97.46</v>
      </c>
      <c r="DQ437" s="2" t="n">
        <v>97.62</v>
      </c>
      <c r="DR437" s="2" t="n">
        <v>0</v>
      </c>
      <c r="DS437" s="2" t="n">
        <v>98.41</v>
      </c>
      <c r="DT437" s="2" t="n">
        <v>99.74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 customFormat="false" ht="15" hidden="false" customHeight="false" outlineLevel="0" collapsed="false">
      <c r="A438" s="2" t="n">
        <v>3</v>
      </c>
      <c r="B438" s="2" t="s">
        <v>1260</v>
      </c>
      <c r="C438" s="2" t="s">
        <v>1229</v>
      </c>
      <c r="D438" s="2" t="s">
        <v>1189</v>
      </c>
      <c r="E438" s="2" t="s">
        <v>1190</v>
      </c>
      <c r="F438" s="2" t="n">
        <v>191542.428857475</v>
      </c>
      <c r="G438" s="2" t="n">
        <v>0</v>
      </c>
      <c r="H438" s="2" t="n">
        <v>191542.428857475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8.2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</v>
      </c>
      <c r="DK438" s="2" t="n">
        <v>81.36</v>
      </c>
      <c r="DL438" s="2" t="n">
        <v>0</v>
      </c>
      <c r="DM438" s="2" t="n">
        <v>86.24</v>
      </c>
      <c r="DN438" s="2" t="n">
        <v>94.76</v>
      </c>
      <c r="DO438" s="2" t="n">
        <v>0</v>
      </c>
      <c r="DP438" s="2" t="n">
        <v>97.46</v>
      </c>
      <c r="DQ438" s="2" t="n">
        <v>97.62</v>
      </c>
      <c r="DR438" s="2" t="n">
        <v>0</v>
      </c>
      <c r="DS438" s="2" t="n">
        <v>98.41</v>
      </c>
      <c r="DT438" s="2" t="n">
        <v>99.74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 customFormat="false" ht="15" hidden="false" customHeight="false" outlineLevel="0" collapsed="false">
      <c r="A439" s="2" t="n">
        <v>3</v>
      </c>
      <c r="B439" s="2" t="s">
        <v>1261</v>
      </c>
      <c r="C439" s="2" t="s">
        <v>1231</v>
      </c>
      <c r="D439" s="2" t="s">
        <v>1189</v>
      </c>
      <c r="E439" s="2" t="s">
        <v>1190</v>
      </c>
      <c r="F439" s="2" t="n">
        <v>6933.8205</v>
      </c>
      <c r="G439" s="2" t="n">
        <v>0</v>
      </c>
      <c r="H439" s="2" t="n">
        <v>6933.8205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8.2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</v>
      </c>
      <c r="DK439" s="2" t="n">
        <v>81.36</v>
      </c>
      <c r="DL439" s="2" t="n">
        <v>0</v>
      </c>
      <c r="DM439" s="2" t="n">
        <v>86.24</v>
      </c>
      <c r="DN439" s="2" t="n">
        <v>94.76</v>
      </c>
      <c r="DO439" s="2" t="n">
        <v>0</v>
      </c>
      <c r="DP439" s="2" t="n">
        <v>97.46</v>
      </c>
      <c r="DQ439" s="2" t="n">
        <v>97.62</v>
      </c>
      <c r="DR439" s="2" t="n">
        <v>0</v>
      </c>
      <c r="DS439" s="2" t="n">
        <v>98.41</v>
      </c>
      <c r="DT439" s="2" t="n">
        <v>99.74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 customFormat="false" ht="15" hidden="false" customHeight="false" outlineLevel="0" collapsed="false">
      <c r="A440" s="2" t="n">
        <v>3</v>
      </c>
      <c r="B440" s="2" t="s">
        <v>1262</v>
      </c>
      <c r="C440" s="2" t="s">
        <v>1249</v>
      </c>
      <c r="D440" s="2" t="s">
        <v>1189</v>
      </c>
      <c r="E440" s="2" t="s">
        <v>1190</v>
      </c>
      <c r="F440" s="2" t="n">
        <v>69502.8565455331</v>
      </c>
      <c r="G440" s="2" t="n">
        <v>0</v>
      </c>
      <c r="H440" s="2" t="n">
        <v>69502.8565455331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8.2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</v>
      </c>
      <c r="DK440" s="2" t="n">
        <v>81.36</v>
      </c>
      <c r="DL440" s="2" t="n">
        <v>0</v>
      </c>
      <c r="DM440" s="2" t="n">
        <v>86.24</v>
      </c>
      <c r="DN440" s="2" t="n">
        <v>94.76</v>
      </c>
      <c r="DO440" s="2" t="n">
        <v>0</v>
      </c>
      <c r="DP440" s="2" t="n">
        <v>97.46</v>
      </c>
      <c r="DQ440" s="2" t="n">
        <v>97.62</v>
      </c>
      <c r="DR440" s="2" t="n">
        <v>0</v>
      </c>
      <c r="DS440" s="2" t="n">
        <v>98.41</v>
      </c>
      <c r="DT440" s="2" t="n">
        <v>99.74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 customFormat="false" ht="15" hidden="false" customHeight="false" outlineLevel="0" collapsed="false">
      <c r="A441" s="2" t="n">
        <v>3</v>
      </c>
      <c r="B441" s="2" t="s">
        <v>1263</v>
      </c>
      <c r="C441" s="2" t="s">
        <v>1264</v>
      </c>
      <c r="D441" s="2" t="s">
        <v>1189</v>
      </c>
      <c r="E441" s="2" t="s">
        <v>1190</v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8.2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</v>
      </c>
      <c r="DK441" s="2" t="n">
        <v>81.36</v>
      </c>
      <c r="DL441" s="2" t="n">
        <v>0</v>
      </c>
      <c r="DM441" s="2" t="n">
        <v>86.24</v>
      </c>
      <c r="DN441" s="2" t="n">
        <v>94.76</v>
      </c>
      <c r="DO441" s="2" t="n">
        <v>0</v>
      </c>
      <c r="DP441" s="2" t="n">
        <v>97.46</v>
      </c>
      <c r="DQ441" s="2" t="n">
        <v>97.62</v>
      </c>
      <c r="DR441" s="2" t="n">
        <v>0</v>
      </c>
      <c r="DS441" s="2" t="n">
        <v>98.41</v>
      </c>
      <c r="DT441" s="2" t="n">
        <v>99.74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 customFormat="false" ht="15" hidden="false" customHeight="false" outlineLevel="0" collapsed="false">
      <c r="A442" s="2" t="n">
        <v>3</v>
      </c>
      <c r="B442" s="2" t="s">
        <v>1265</v>
      </c>
      <c r="C442" s="2" t="s">
        <v>1266</v>
      </c>
      <c r="D442" s="2" t="s">
        <v>1189</v>
      </c>
      <c r="E442" s="2" t="s">
        <v>1190</v>
      </c>
      <c r="F442" s="2" t="n">
        <v>628940.1388095</v>
      </c>
      <c r="G442" s="2" t="n">
        <v>0</v>
      </c>
      <c r="H442" s="2" t="n">
        <v>628940.1388095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8.2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</v>
      </c>
      <c r="DK442" s="2" t="n">
        <v>81.36</v>
      </c>
      <c r="DL442" s="2" t="n">
        <v>0</v>
      </c>
      <c r="DM442" s="2" t="n">
        <v>86.24</v>
      </c>
      <c r="DN442" s="2" t="n">
        <v>94.76</v>
      </c>
      <c r="DO442" s="2" t="n">
        <v>0</v>
      </c>
      <c r="DP442" s="2" t="n">
        <v>97.46</v>
      </c>
      <c r="DQ442" s="2" t="n">
        <v>97.62</v>
      </c>
      <c r="DR442" s="2" t="n">
        <v>0</v>
      </c>
      <c r="DS442" s="2" t="n">
        <v>98.41</v>
      </c>
      <c r="DT442" s="2" t="n">
        <v>99.74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 customFormat="false" ht="15" hidden="false" customHeight="false" outlineLevel="0" collapsed="false">
      <c r="A443" s="2" t="n">
        <v>2</v>
      </c>
      <c r="B443" s="2" t="s">
        <v>1267</v>
      </c>
      <c r="C443" s="2" t="s">
        <v>1268</v>
      </c>
      <c r="D443" s="2" t="s">
        <v>1189</v>
      </c>
      <c r="E443" s="2" t="s">
        <v>1190</v>
      </c>
      <c r="F443" s="2" t="n">
        <v>137089.479246481</v>
      </c>
      <c r="G443" s="2" t="n">
        <v>0</v>
      </c>
      <c r="H443" s="2" t="n">
        <v>137089.479246481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8.2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</v>
      </c>
      <c r="DK443" s="2" t="n">
        <v>81.36</v>
      </c>
      <c r="DL443" s="2" t="n">
        <v>0</v>
      </c>
      <c r="DM443" s="2" t="n">
        <v>86.24</v>
      </c>
      <c r="DN443" s="2" t="n">
        <v>94.76</v>
      </c>
      <c r="DO443" s="2" t="n">
        <v>0</v>
      </c>
      <c r="DP443" s="2" t="n">
        <v>97.46</v>
      </c>
      <c r="DQ443" s="2" t="n">
        <v>97.62</v>
      </c>
      <c r="DR443" s="2" t="n">
        <v>0</v>
      </c>
      <c r="DS443" s="2" t="n">
        <v>98.41</v>
      </c>
      <c r="DT443" s="2" t="n">
        <v>99.74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 customFormat="false" ht="15" hidden="false" customHeight="false" outlineLevel="0" collapsed="false">
      <c r="A444" s="2" t="n">
        <v>3</v>
      </c>
      <c r="B444" s="2" t="s">
        <v>1269</v>
      </c>
      <c r="C444" s="2" t="s">
        <v>1220</v>
      </c>
      <c r="D444" s="2" t="s">
        <v>1189</v>
      </c>
      <c r="E444" s="2" t="s">
        <v>1190</v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8.2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</v>
      </c>
      <c r="DK444" s="2" t="n">
        <v>81.36</v>
      </c>
      <c r="DL444" s="2" t="n">
        <v>0</v>
      </c>
      <c r="DM444" s="2" t="n">
        <v>86.24</v>
      </c>
      <c r="DN444" s="2" t="n">
        <v>94.76</v>
      </c>
      <c r="DO444" s="2" t="n">
        <v>0</v>
      </c>
      <c r="DP444" s="2" t="n">
        <v>97.46</v>
      </c>
      <c r="DQ444" s="2" t="n">
        <v>97.62</v>
      </c>
      <c r="DR444" s="2" t="n">
        <v>0</v>
      </c>
      <c r="DS444" s="2" t="n">
        <v>98.41</v>
      </c>
      <c r="DT444" s="2" t="n">
        <v>99.74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 customFormat="false" ht="15" hidden="false" customHeight="false" outlineLevel="0" collapsed="false">
      <c r="A445" s="2" t="n">
        <v>3</v>
      </c>
      <c r="B445" s="2" t="s">
        <v>1270</v>
      </c>
      <c r="C445" s="2" t="s">
        <v>1271</v>
      </c>
      <c r="D445" s="2" t="s">
        <v>1189</v>
      </c>
      <c r="E445" s="2" t="s">
        <v>1190</v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8.2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</v>
      </c>
      <c r="DK445" s="2" t="n">
        <v>81.36</v>
      </c>
      <c r="DL445" s="2" t="n">
        <v>0</v>
      </c>
      <c r="DM445" s="2" t="n">
        <v>86.24</v>
      </c>
      <c r="DN445" s="2" t="n">
        <v>94.76</v>
      </c>
      <c r="DO445" s="2" t="n">
        <v>0</v>
      </c>
      <c r="DP445" s="2" t="n">
        <v>97.46</v>
      </c>
      <c r="DQ445" s="2" t="n">
        <v>97.62</v>
      </c>
      <c r="DR445" s="2" t="n">
        <v>0</v>
      </c>
      <c r="DS445" s="2" t="n">
        <v>98.41</v>
      </c>
      <c r="DT445" s="2" t="n">
        <v>99.74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 customFormat="false" ht="15" hidden="false" customHeight="false" outlineLevel="0" collapsed="false">
      <c r="A446" s="2" t="n">
        <v>3</v>
      </c>
      <c r="B446" s="2" t="s">
        <v>1272</v>
      </c>
      <c r="C446" s="2" t="s">
        <v>1273</v>
      </c>
      <c r="D446" s="2" t="s">
        <v>1189</v>
      </c>
      <c r="E446" s="2" t="s">
        <v>1190</v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8.2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</v>
      </c>
      <c r="DK446" s="2" t="n">
        <v>81.36</v>
      </c>
      <c r="DL446" s="2" t="n">
        <v>0</v>
      </c>
      <c r="DM446" s="2" t="n">
        <v>86.24</v>
      </c>
      <c r="DN446" s="2" t="n">
        <v>94.76</v>
      </c>
      <c r="DO446" s="2" t="n">
        <v>0</v>
      </c>
      <c r="DP446" s="2" t="n">
        <v>97.46</v>
      </c>
      <c r="DQ446" s="2" t="n">
        <v>97.62</v>
      </c>
      <c r="DR446" s="2" t="n">
        <v>0</v>
      </c>
      <c r="DS446" s="2" t="n">
        <v>98.41</v>
      </c>
      <c r="DT446" s="2" t="n">
        <v>99.74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 customFormat="false" ht="15" hidden="false" customHeight="false" outlineLevel="0" collapsed="false">
      <c r="A447" s="2" t="n">
        <v>3</v>
      </c>
      <c r="B447" s="2" t="s">
        <v>1274</v>
      </c>
      <c r="C447" s="2" t="s">
        <v>1275</v>
      </c>
      <c r="D447" s="2" t="s">
        <v>1189</v>
      </c>
      <c r="E447" s="2" t="s">
        <v>1190</v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8.2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</v>
      </c>
      <c r="DK447" s="2" t="n">
        <v>81.36</v>
      </c>
      <c r="DL447" s="2" t="n">
        <v>0</v>
      </c>
      <c r="DM447" s="2" t="n">
        <v>86.24</v>
      </c>
      <c r="DN447" s="2" t="n">
        <v>94.76</v>
      </c>
      <c r="DO447" s="2" t="n">
        <v>0</v>
      </c>
      <c r="DP447" s="2" t="n">
        <v>97.46</v>
      </c>
      <c r="DQ447" s="2" t="n">
        <v>97.62</v>
      </c>
      <c r="DR447" s="2" t="n">
        <v>0</v>
      </c>
      <c r="DS447" s="2" t="n">
        <v>98.41</v>
      </c>
      <c r="DT447" s="2" t="n">
        <v>99.74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 customFormat="false" ht="15" hidden="false" customHeight="false" outlineLevel="0" collapsed="false">
      <c r="A448" s="2" t="n">
        <v>3</v>
      </c>
      <c r="B448" s="2" t="s">
        <v>1276</v>
      </c>
      <c r="C448" s="2" t="s">
        <v>1277</v>
      </c>
      <c r="D448" s="2" t="s">
        <v>1189</v>
      </c>
      <c r="E448" s="2" t="s">
        <v>1190</v>
      </c>
      <c r="F448" s="2" t="n">
        <v>1113.44767453172</v>
      </c>
      <c r="G448" s="2" t="n">
        <v>0</v>
      </c>
      <c r="H448" s="2" t="n">
        <v>1113.44767453172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8.2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</v>
      </c>
      <c r="DK448" s="2" t="n">
        <v>81.36</v>
      </c>
      <c r="DL448" s="2" t="n">
        <v>0</v>
      </c>
      <c r="DM448" s="2" t="n">
        <v>86.24</v>
      </c>
      <c r="DN448" s="2" t="n">
        <v>94.76</v>
      </c>
      <c r="DO448" s="2" t="n">
        <v>0</v>
      </c>
      <c r="DP448" s="2" t="n">
        <v>97.46</v>
      </c>
      <c r="DQ448" s="2" t="n">
        <v>97.62</v>
      </c>
      <c r="DR448" s="2" t="n">
        <v>0</v>
      </c>
      <c r="DS448" s="2" t="n">
        <v>98.41</v>
      </c>
      <c r="DT448" s="2" t="n">
        <v>99.74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 customFormat="false" ht="15" hidden="false" customHeight="false" outlineLevel="0" collapsed="false">
      <c r="A449" s="2" t="n">
        <v>3</v>
      </c>
      <c r="B449" s="2" t="s">
        <v>1278</v>
      </c>
      <c r="C449" s="2" t="s">
        <v>1279</v>
      </c>
      <c r="D449" s="2" t="s">
        <v>1189</v>
      </c>
      <c r="E449" s="2" t="s">
        <v>1190</v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8.2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</v>
      </c>
      <c r="DK449" s="2" t="n">
        <v>81.36</v>
      </c>
      <c r="DL449" s="2" t="n">
        <v>0</v>
      </c>
      <c r="DM449" s="2" t="n">
        <v>86.24</v>
      </c>
      <c r="DN449" s="2" t="n">
        <v>94.76</v>
      </c>
      <c r="DO449" s="2" t="n">
        <v>0</v>
      </c>
      <c r="DP449" s="2" t="n">
        <v>97.46</v>
      </c>
      <c r="DQ449" s="2" t="n">
        <v>97.62</v>
      </c>
      <c r="DR449" s="2" t="n">
        <v>0</v>
      </c>
      <c r="DS449" s="2" t="n">
        <v>98.41</v>
      </c>
      <c r="DT449" s="2" t="n">
        <v>99.74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 customFormat="false" ht="15" hidden="false" customHeight="false" outlineLevel="0" collapsed="false">
      <c r="A450" s="2" t="n">
        <v>3</v>
      </c>
      <c r="B450" s="2" t="s">
        <v>1280</v>
      </c>
      <c r="C450" s="2" t="s">
        <v>1216</v>
      </c>
      <c r="D450" s="2" t="s">
        <v>1189</v>
      </c>
      <c r="E450" s="2" t="s">
        <v>1190</v>
      </c>
      <c r="F450" s="2" t="n">
        <v>172.790278801762</v>
      </c>
      <c r="G450" s="2" t="n">
        <v>0</v>
      </c>
      <c r="H450" s="2" t="n">
        <v>172.790278801762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8.2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</v>
      </c>
      <c r="DK450" s="2" t="n">
        <v>81.36</v>
      </c>
      <c r="DL450" s="2" t="n">
        <v>0</v>
      </c>
      <c r="DM450" s="2" t="n">
        <v>86.24</v>
      </c>
      <c r="DN450" s="2" t="n">
        <v>94.76</v>
      </c>
      <c r="DO450" s="2" t="n">
        <v>0</v>
      </c>
      <c r="DP450" s="2" t="n">
        <v>97.46</v>
      </c>
      <c r="DQ450" s="2" t="n">
        <v>97.62</v>
      </c>
      <c r="DR450" s="2" t="n">
        <v>0</v>
      </c>
      <c r="DS450" s="2" t="n">
        <v>98.41</v>
      </c>
      <c r="DT450" s="2" t="n">
        <v>99.74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 customFormat="false" ht="15" hidden="false" customHeight="false" outlineLevel="0" collapsed="false">
      <c r="A451" s="2" t="n">
        <v>2</v>
      </c>
      <c r="B451" s="2" t="s">
        <v>1281</v>
      </c>
      <c r="C451" s="2" t="s">
        <v>1282</v>
      </c>
      <c r="D451" s="2" t="s">
        <v>1189</v>
      </c>
      <c r="E451" s="2" t="s">
        <v>1190</v>
      </c>
      <c r="F451" s="2" t="n">
        <v>80720.3657201964</v>
      </c>
      <c r="G451" s="2" t="n">
        <v>0</v>
      </c>
      <c r="H451" s="2" t="n">
        <v>80720.3657201964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8.2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</v>
      </c>
      <c r="DK451" s="2" t="n">
        <v>81.36</v>
      </c>
      <c r="DL451" s="2" t="n">
        <v>0</v>
      </c>
      <c r="DM451" s="2" t="n">
        <v>86.24</v>
      </c>
      <c r="DN451" s="2" t="n">
        <v>94.76</v>
      </c>
      <c r="DO451" s="2" t="n">
        <v>0</v>
      </c>
      <c r="DP451" s="2" t="n">
        <v>97.46</v>
      </c>
      <c r="DQ451" s="2" t="n">
        <v>97.62</v>
      </c>
      <c r="DR451" s="2" t="n">
        <v>0</v>
      </c>
      <c r="DS451" s="2" t="n">
        <v>98.41</v>
      </c>
      <c r="DT451" s="2" t="n">
        <v>99.74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 customFormat="false" ht="15" hidden="false" customHeight="false" outlineLevel="0" collapsed="false">
      <c r="A452" s="2" t="n">
        <v>3</v>
      </c>
      <c r="B452" s="2" t="s">
        <v>1283</v>
      </c>
      <c r="C452" s="2" t="s">
        <v>1284</v>
      </c>
      <c r="D452" s="2" t="s">
        <v>1189</v>
      </c>
      <c r="E452" s="2" t="s">
        <v>1190</v>
      </c>
      <c r="F452" s="2" t="n">
        <v>17524.0016184171</v>
      </c>
      <c r="G452" s="2" t="n">
        <v>0</v>
      </c>
      <c r="H452" s="2" t="n">
        <v>17524.0016184171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8.2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</v>
      </c>
      <c r="DK452" s="2" t="n">
        <v>81.36</v>
      </c>
      <c r="DL452" s="2" t="n">
        <v>0</v>
      </c>
      <c r="DM452" s="2" t="n">
        <v>86.24</v>
      </c>
      <c r="DN452" s="2" t="n">
        <v>94.76</v>
      </c>
      <c r="DO452" s="2" t="n">
        <v>0</v>
      </c>
      <c r="DP452" s="2" t="n">
        <v>97.46</v>
      </c>
      <c r="DQ452" s="2" t="n">
        <v>97.62</v>
      </c>
      <c r="DR452" s="2" t="n">
        <v>0</v>
      </c>
      <c r="DS452" s="2" t="n">
        <v>98.41</v>
      </c>
      <c r="DT452" s="2" t="n">
        <v>99.74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 customFormat="false" ht="15" hidden="false" customHeight="false" outlineLevel="0" collapsed="false">
      <c r="A453" s="2" t="n">
        <v>3</v>
      </c>
      <c r="B453" s="2" t="s">
        <v>1285</v>
      </c>
      <c r="C453" s="2" t="s">
        <v>1286</v>
      </c>
      <c r="D453" s="2" t="s">
        <v>1189</v>
      </c>
      <c r="E453" s="2" t="s">
        <v>1190</v>
      </c>
      <c r="F453" s="2" t="n">
        <v>8371.72392214958</v>
      </c>
      <c r="G453" s="2" t="n">
        <v>0</v>
      </c>
      <c r="H453" s="2" t="n">
        <v>8371.72392214958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8.2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</v>
      </c>
      <c r="DK453" s="2" t="n">
        <v>81.36</v>
      </c>
      <c r="DL453" s="2" t="n">
        <v>0</v>
      </c>
      <c r="DM453" s="2" t="n">
        <v>86.24</v>
      </c>
      <c r="DN453" s="2" t="n">
        <v>94.76</v>
      </c>
      <c r="DO453" s="2" t="n">
        <v>0</v>
      </c>
      <c r="DP453" s="2" t="n">
        <v>97.46</v>
      </c>
      <c r="DQ453" s="2" t="n">
        <v>97.62</v>
      </c>
      <c r="DR453" s="2" t="n">
        <v>0</v>
      </c>
      <c r="DS453" s="2" t="n">
        <v>98.41</v>
      </c>
      <c r="DT453" s="2" t="n">
        <v>99.74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 customFormat="false" ht="15" hidden="false" customHeight="false" outlineLevel="0" collapsed="false">
      <c r="A454" s="2" t="n">
        <v>3</v>
      </c>
      <c r="B454" s="2" t="s">
        <v>1287</v>
      </c>
      <c r="C454" s="2" t="s">
        <v>1288</v>
      </c>
      <c r="D454" s="2" t="s">
        <v>1189</v>
      </c>
      <c r="E454" s="2" t="s">
        <v>1190</v>
      </c>
      <c r="F454" s="2" t="n">
        <v>43688.9543215746</v>
      </c>
      <c r="G454" s="2" t="n">
        <v>0</v>
      </c>
      <c r="H454" s="2" t="n">
        <v>43688.9543215746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8.2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</v>
      </c>
      <c r="DK454" s="2" t="n">
        <v>81.36</v>
      </c>
      <c r="DL454" s="2" t="n">
        <v>0</v>
      </c>
      <c r="DM454" s="2" t="n">
        <v>86.24</v>
      </c>
      <c r="DN454" s="2" t="n">
        <v>94.76</v>
      </c>
      <c r="DO454" s="2" t="n">
        <v>0</v>
      </c>
      <c r="DP454" s="2" t="n">
        <v>97.46</v>
      </c>
      <c r="DQ454" s="2" t="n">
        <v>97.62</v>
      </c>
      <c r="DR454" s="2" t="n">
        <v>0</v>
      </c>
      <c r="DS454" s="2" t="n">
        <v>98.41</v>
      </c>
      <c r="DT454" s="2" t="n">
        <v>99.74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 customFormat="false" ht="15" hidden="false" customHeight="false" outlineLevel="0" collapsed="false">
      <c r="A455" s="2" t="n">
        <v>3</v>
      </c>
      <c r="B455" s="2" t="s">
        <v>1289</v>
      </c>
      <c r="C455" s="2" t="s">
        <v>1290</v>
      </c>
      <c r="D455" s="2" t="s">
        <v>1189</v>
      </c>
      <c r="E455" s="2" t="s">
        <v>1190</v>
      </c>
      <c r="F455" s="2" t="n">
        <v>10055.746615544</v>
      </c>
      <c r="G455" s="2" t="n">
        <v>0</v>
      </c>
      <c r="H455" s="2" t="n">
        <v>10055.746615544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8.2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</v>
      </c>
      <c r="DK455" s="2" t="n">
        <v>81.36</v>
      </c>
      <c r="DL455" s="2" t="n">
        <v>0</v>
      </c>
      <c r="DM455" s="2" t="n">
        <v>86.24</v>
      </c>
      <c r="DN455" s="2" t="n">
        <v>94.76</v>
      </c>
      <c r="DO455" s="2" t="n">
        <v>0</v>
      </c>
      <c r="DP455" s="2" t="n">
        <v>97.46</v>
      </c>
      <c r="DQ455" s="2" t="n">
        <v>97.62</v>
      </c>
      <c r="DR455" s="2" t="n">
        <v>0</v>
      </c>
      <c r="DS455" s="2" t="n">
        <v>98.41</v>
      </c>
      <c r="DT455" s="2" t="n">
        <v>99.74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 customFormat="false" ht="15" hidden="false" customHeight="false" outlineLevel="0" collapsed="false">
      <c r="A456" s="2" t="n">
        <v>3</v>
      </c>
      <c r="B456" s="2" t="s">
        <v>1291</v>
      </c>
      <c r="C456" s="2" t="s">
        <v>1216</v>
      </c>
      <c r="D456" s="2" t="s">
        <v>1189</v>
      </c>
      <c r="E456" s="2" t="s">
        <v>1190</v>
      </c>
      <c r="F456" s="2" t="n">
        <v>1079.93924251101</v>
      </c>
      <c r="G456" s="2" t="n">
        <v>0</v>
      </c>
      <c r="H456" s="2" t="n">
        <v>1079.93924251101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8.2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</v>
      </c>
      <c r="DK456" s="2" t="n">
        <v>81.36</v>
      </c>
      <c r="DL456" s="2" t="n">
        <v>0</v>
      </c>
      <c r="DM456" s="2" t="n">
        <v>86.24</v>
      </c>
      <c r="DN456" s="2" t="n">
        <v>94.76</v>
      </c>
      <c r="DO456" s="2" t="n">
        <v>0</v>
      </c>
      <c r="DP456" s="2" t="n">
        <v>97.46</v>
      </c>
      <c r="DQ456" s="2" t="n">
        <v>97.62</v>
      </c>
      <c r="DR456" s="2" t="n">
        <v>0</v>
      </c>
      <c r="DS456" s="2" t="n">
        <v>98.41</v>
      </c>
      <c r="DT456" s="2" t="n">
        <v>99.74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 customFormat="false" ht="15" hidden="false" customHeight="false" outlineLevel="0" collapsed="false">
      <c r="A457" s="2" t="n">
        <v>2</v>
      </c>
      <c r="B457" s="2" t="s">
        <v>1292</v>
      </c>
      <c r="C457" s="2" t="s">
        <v>1293</v>
      </c>
      <c r="D457" s="2" t="s">
        <v>1189</v>
      </c>
      <c r="E457" s="2" t="s">
        <v>1190</v>
      </c>
      <c r="F457" s="2" t="n">
        <v>51892.2894167056</v>
      </c>
      <c r="G457" s="2" t="n">
        <v>0</v>
      </c>
      <c r="H457" s="2" t="n">
        <v>51892.2894167056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8.2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</v>
      </c>
      <c r="DK457" s="2" t="n">
        <v>81.36</v>
      </c>
      <c r="DL457" s="2" t="n">
        <v>0</v>
      </c>
      <c r="DM457" s="2" t="n">
        <v>86.24</v>
      </c>
      <c r="DN457" s="2" t="n">
        <v>94.76</v>
      </c>
      <c r="DO457" s="2" t="n">
        <v>0</v>
      </c>
      <c r="DP457" s="2" t="n">
        <v>97.46</v>
      </c>
      <c r="DQ457" s="2" t="n">
        <v>97.62</v>
      </c>
      <c r="DR457" s="2" t="n">
        <v>0</v>
      </c>
      <c r="DS457" s="2" t="n">
        <v>98.41</v>
      </c>
      <c r="DT457" s="2" t="n">
        <v>99.74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 customFormat="false" ht="15" hidden="false" customHeight="false" outlineLevel="0" collapsed="false">
      <c r="A458" s="2" t="n">
        <v>3</v>
      </c>
      <c r="B458" s="2" t="s">
        <v>1294</v>
      </c>
      <c r="C458" s="2" t="s">
        <v>1220</v>
      </c>
      <c r="D458" s="2" t="s">
        <v>1189</v>
      </c>
      <c r="E458" s="2" t="s">
        <v>1190</v>
      </c>
      <c r="F458" s="2" t="n">
        <v>5613.3951379038</v>
      </c>
      <c r="G458" s="2" t="n">
        <v>0</v>
      </c>
      <c r="H458" s="2" t="n">
        <v>5613.3951379038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8.2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</v>
      </c>
      <c r="DK458" s="2" t="n">
        <v>81.36</v>
      </c>
      <c r="DL458" s="2" t="n">
        <v>0</v>
      </c>
      <c r="DM458" s="2" t="n">
        <v>86.24</v>
      </c>
      <c r="DN458" s="2" t="n">
        <v>94.76</v>
      </c>
      <c r="DO458" s="2" t="n">
        <v>0</v>
      </c>
      <c r="DP458" s="2" t="n">
        <v>97.46</v>
      </c>
      <c r="DQ458" s="2" t="n">
        <v>97.62</v>
      </c>
      <c r="DR458" s="2" t="n">
        <v>0</v>
      </c>
      <c r="DS458" s="2" t="n">
        <v>98.41</v>
      </c>
      <c r="DT458" s="2" t="n">
        <v>99.74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 customFormat="false" ht="15" hidden="false" customHeight="false" outlineLevel="0" collapsed="false">
      <c r="A459" s="2" t="n">
        <v>3</v>
      </c>
      <c r="B459" s="2" t="s">
        <v>1295</v>
      </c>
      <c r="C459" s="2" t="s">
        <v>1296</v>
      </c>
      <c r="D459" s="2" t="s">
        <v>1189</v>
      </c>
      <c r="E459" s="2" t="s">
        <v>1190</v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8.2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</v>
      </c>
      <c r="DK459" s="2" t="n">
        <v>81.36</v>
      </c>
      <c r="DL459" s="2" t="n">
        <v>0</v>
      </c>
      <c r="DM459" s="2" t="n">
        <v>86.24</v>
      </c>
      <c r="DN459" s="2" t="n">
        <v>94.76</v>
      </c>
      <c r="DO459" s="2" t="n">
        <v>0</v>
      </c>
      <c r="DP459" s="2" t="n">
        <v>97.46</v>
      </c>
      <c r="DQ459" s="2" t="n">
        <v>97.62</v>
      </c>
      <c r="DR459" s="2" t="n">
        <v>0</v>
      </c>
      <c r="DS459" s="2" t="n">
        <v>98.41</v>
      </c>
      <c r="DT459" s="2" t="n">
        <v>99.74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 customFormat="false" ht="15" hidden="false" customHeight="false" outlineLevel="0" collapsed="false">
      <c r="A460" s="2" t="n">
        <v>3</v>
      </c>
      <c r="B460" s="2" t="s">
        <v>1297</v>
      </c>
      <c r="C460" s="2" t="s">
        <v>1298</v>
      </c>
      <c r="D460" s="2" t="s">
        <v>1189</v>
      </c>
      <c r="E460" s="2" t="s">
        <v>1190</v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8.2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</v>
      </c>
      <c r="DK460" s="2" t="n">
        <v>81.36</v>
      </c>
      <c r="DL460" s="2" t="n">
        <v>0</v>
      </c>
      <c r="DM460" s="2" t="n">
        <v>86.24</v>
      </c>
      <c r="DN460" s="2" t="n">
        <v>94.76</v>
      </c>
      <c r="DO460" s="2" t="n">
        <v>0</v>
      </c>
      <c r="DP460" s="2" t="n">
        <v>97.46</v>
      </c>
      <c r="DQ460" s="2" t="n">
        <v>97.62</v>
      </c>
      <c r="DR460" s="2" t="n">
        <v>0</v>
      </c>
      <c r="DS460" s="2" t="n">
        <v>98.41</v>
      </c>
      <c r="DT460" s="2" t="n">
        <v>99.74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 customFormat="false" ht="15" hidden="false" customHeight="false" outlineLevel="0" collapsed="false">
      <c r="A461" s="2" t="n">
        <v>3</v>
      </c>
      <c r="B461" s="2" t="s">
        <v>1299</v>
      </c>
      <c r="C461" s="2" t="s">
        <v>1216</v>
      </c>
      <c r="D461" s="2" t="s">
        <v>1189</v>
      </c>
      <c r="E461" s="2" t="s">
        <v>1190</v>
      </c>
      <c r="F461" s="2" t="n">
        <v>172.790278801762</v>
      </c>
      <c r="G461" s="2" t="n">
        <v>0</v>
      </c>
      <c r="H461" s="2" t="n">
        <v>172.790278801762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8.2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</v>
      </c>
      <c r="DK461" s="2" t="n">
        <v>81.36</v>
      </c>
      <c r="DL461" s="2" t="n">
        <v>0</v>
      </c>
      <c r="DM461" s="2" t="n">
        <v>86.24</v>
      </c>
      <c r="DN461" s="2" t="n">
        <v>94.76</v>
      </c>
      <c r="DO461" s="2" t="n">
        <v>0</v>
      </c>
      <c r="DP461" s="2" t="n">
        <v>97.46</v>
      </c>
      <c r="DQ461" s="2" t="n">
        <v>97.62</v>
      </c>
      <c r="DR461" s="2" t="n">
        <v>0</v>
      </c>
      <c r="DS461" s="2" t="n">
        <v>98.41</v>
      </c>
      <c r="DT461" s="2" t="n">
        <v>99.74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 customFormat="false" ht="15" hidden="false" customHeight="false" outlineLevel="0" collapsed="false">
      <c r="A462" s="2" t="n">
        <v>2</v>
      </c>
      <c r="B462" s="2" t="s">
        <v>1300</v>
      </c>
      <c r="C462" s="2" t="s">
        <v>1301</v>
      </c>
      <c r="D462" s="2" t="s">
        <v>1189</v>
      </c>
      <c r="E462" s="2" t="s">
        <v>1190</v>
      </c>
      <c r="F462" s="2" t="n">
        <v>20598.0057237093</v>
      </c>
      <c r="G462" s="2" t="n">
        <v>0</v>
      </c>
      <c r="H462" s="2" t="n">
        <v>20598.0057237093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8.2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</v>
      </c>
      <c r="DK462" s="2" t="n">
        <v>81.36</v>
      </c>
      <c r="DL462" s="2" t="n">
        <v>0</v>
      </c>
      <c r="DM462" s="2" t="n">
        <v>86.24</v>
      </c>
      <c r="DN462" s="2" t="n">
        <v>94.76</v>
      </c>
      <c r="DO462" s="2" t="n">
        <v>0</v>
      </c>
      <c r="DP462" s="2" t="n">
        <v>97.46</v>
      </c>
      <c r="DQ462" s="2" t="n">
        <v>97.62</v>
      </c>
      <c r="DR462" s="2" t="n">
        <v>0</v>
      </c>
      <c r="DS462" s="2" t="n">
        <v>98.41</v>
      </c>
      <c r="DT462" s="2" t="n">
        <v>99.74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 customFormat="false" ht="15" hidden="false" customHeight="false" outlineLevel="0" collapsed="false">
      <c r="A463" s="2" t="n">
        <v>3</v>
      </c>
      <c r="B463" s="2" t="s">
        <v>1302</v>
      </c>
      <c r="C463" s="2" t="s">
        <v>1303</v>
      </c>
      <c r="D463" s="2" t="s">
        <v>1189</v>
      </c>
      <c r="E463" s="2" t="s">
        <v>1190</v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8.2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</v>
      </c>
      <c r="DK463" s="2" t="n">
        <v>81.36</v>
      </c>
      <c r="DL463" s="2" t="n">
        <v>0</v>
      </c>
      <c r="DM463" s="2" t="n">
        <v>86.24</v>
      </c>
      <c r="DN463" s="2" t="n">
        <v>94.76</v>
      </c>
      <c r="DO463" s="2" t="n">
        <v>0</v>
      </c>
      <c r="DP463" s="2" t="n">
        <v>97.46</v>
      </c>
      <c r="DQ463" s="2" t="n">
        <v>97.62</v>
      </c>
      <c r="DR463" s="2" t="n">
        <v>0</v>
      </c>
      <c r="DS463" s="2" t="n">
        <v>98.41</v>
      </c>
      <c r="DT463" s="2" t="n">
        <v>99.74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 customFormat="false" ht="15" hidden="false" customHeight="false" outlineLevel="0" collapsed="false">
      <c r="A464" s="2" t="n">
        <v>3</v>
      </c>
      <c r="B464" s="2" t="s">
        <v>1304</v>
      </c>
      <c r="C464" s="2" t="s">
        <v>1305</v>
      </c>
      <c r="D464" s="2" t="s">
        <v>1189</v>
      </c>
      <c r="E464" s="2" t="s">
        <v>1190</v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8.2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</v>
      </c>
      <c r="DK464" s="2" t="n">
        <v>81.36</v>
      </c>
      <c r="DL464" s="2" t="n">
        <v>0</v>
      </c>
      <c r="DM464" s="2" t="n">
        <v>86.24</v>
      </c>
      <c r="DN464" s="2" t="n">
        <v>94.76</v>
      </c>
      <c r="DO464" s="2" t="n">
        <v>0</v>
      </c>
      <c r="DP464" s="2" t="n">
        <v>97.46</v>
      </c>
      <c r="DQ464" s="2" t="n">
        <v>97.62</v>
      </c>
      <c r="DR464" s="2" t="n">
        <v>0</v>
      </c>
      <c r="DS464" s="2" t="n">
        <v>98.41</v>
      </c>
      <c r="DT464" s="2" t="n">
        <v>99.74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 customFormat="false" ht="15" hidden="false" customHeight="false" outlineLevel="0" collapsed="false">
      <c r="A465" s="2" t="n">
        <v>3</v>
      </c>
      <c r="B465" s="2" t="s">
        <v>1306</v>
      </c>
      <c r="C465" s="2" t="s">
        <v>1307</v>
      </c>
      <c r="D465" s="2" t="s">
        <v>1189</v>
      </c>
      <c r="E465" s="2" t="s">
        <v>1190</v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8.2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</v>
      </c>
      <c r="DK465" s="2" t="n">
        <v>81.36</v>
      </c>
      <c r="DL465" s="2" t="n">
        <v>0</v>
      </c>
      <c r="DM465" s="2" t="n">
        <v>86.24</v>
      </c>
      <c r="DN465" s="2" t="n">
        <v>94.76</v>
      </c>
      <c r="DO465" s="2" t="n">
        <v>0</v>
      </c>
      <c r="DP465" s="2" t="n">
        <v>97.46</v>
      </c>
      <c r="DQ465" s="2" t="n">
        <v>97.62</v>
      </c>
      <c r="DR465" s="2" t="n">
        <v>0</v>
      </c>
      <c r="DS465" s="2" t="n">
        <v>98.41</v>
      </c>
      <c r="DT465" s="2" t="n">
        <v>99.74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 customFormat="false" ht="15" hidden="false" customHeight="false" outlineLevel="0" collapsed="false">
      <c r="A466" s="2" t="n">
        <v>3</v>
      </c>
      <c r="B466" s="2" t="s">
        <v>1308</v>
      </c>
      <c r="C466" s="2" t="s">
        <v>1216</v>
      </c>
      <c r="D466" s="2" t="s">
        <v>1189</v>
      </c>
      <c r="E466" s="2" t="s">
        <v>1190</v>
      </c>
      <c r="F466" s="2" t="n">
        <v>907.148963709252</v>
      </c>
      <c r="G466" s="2" t="n">
        <v>0</v>
      </c>
      <c r="H466" s="2" t="n">
        <v>907.148963709252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8.2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</v>
      </c>
      <c r="DK466" s="2" t="n">
        <v>81.36</v>
      </c>
      <c r="DL466" s="2" t="n">
        <v>0</v>
      </c>
      <c r="DM466" s="2" t="n">
        <v>86.24</v>
      </c>
      <c r="DN466" s="2" t="n">
        <v>94.76</v>
      </c>
      <c r="DO466" s="2" t="n">
        <v>0</v>
      </c>
      <c r="DP466" s="2" t="n">
        <v>97.46</v>
      </c>
      <c r="DQ466" s="2" t="n">
        <v>97.62</v>
      </c>
      <c r="DR466" s="2" t="n">
        <v>0</v>
      </c>
      <c r="DS466" s="2" t="n">
        <v>98.41</v>
      </c>
      <c r="DT466" s="2" t="n">
        <v>99.74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 customFormat="false" ht="15" hidden="false" customHeight="false" outlineLevel="0" collapsed="false">
      <c r="A467" s="2" t="n">
        <v>2</v>
      </c>
      <c r="B467" s="2" t="s">
        <v>1309</v>
      </c>
      <c r="C467" s="2" t="s">
        <v>1310</v>
      </c>
      <c r="D467" s="2" t="s">
        <v>1189</v>
      </c>
      <c r="E467" s="2" t="s">
        <v>1190</v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8.2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</v>
      </c>
      <c r="DK467" s="2" t="n">
        <v>81.36</v>
      </c>
      <c r="DL467" s="2" t="n">
        <v>0</v>
      </c>
      <c r="DM467" s="2" t="n">
        <v>86.24</v>
      </c>
      <c r="DN467" s="2" t="n">
        <v>94.76</v>
      </c>
      <c r="DO467" s="2" t="n">
        <v>0</v>
      </c>
      <c r="DP467" s="2" t="n">
        <v>97.46</v>
      </c>
      <c r="DQ467" s="2" t="n">
        <v>97.62</v>
      </c>
      <c r="DR467" s="2" t="n">
        <v>0</v>
      </c>
      <c r="DS467" s="2" t="n">
        <v>98.41</v>
      </c>
      <c r="DT467" s="2" t="n">
        <v>99.74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 customFormat="false" ht="15" hidden="false" customHeight="false" outlineLevel="0" collapsed="false">
      <c r="A468" s="2" t="n">
        <v>3</v>
      </c>
      <c r="B468" s="2" t="s">
        <v>1311</v>
      </c>
      <c r="C468" s="2" t="s">
        <v>1310</v>
      </c>
      <c r="D468" s="2" t="s">
        <v>1189</v>
      </c>
      <c r="E468" s="2" t="s">
        <v>1190</v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8.2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</v>
      </c>
      <c r="DK468" s="2" t="n">
        <v>81.36</v>
      </c>
      <c r="DL468" s="2" t="n">
        <v>0</v>
      </c>
      <c r="DM468" s="2" t="n">
        <v>86.24</v>
      </c>
      <c r="DN468" s="2" t="n">
        <v>94.76</v>
      </c>
      <c r="DO468" s="2" t="n">
        <v>0</v>
      </c>
      <c r="DP468" s="2" t="n">
        <v>97.46</v>
      </c>
      <c r="DQ468" s="2" t="n">
        <v>97.62</v>
      </c>
      <c r="DR468" s="2" t="n">
        <v>0</v>
      </c>
      <c r="DS468" s="2" t="n">
        <v>98.41</v>
      </c>
      <c r="DT468" s="2" t="n">
        <v>99.74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 customFormat="false" ht="15" hidden="false" customHeight="false" outlineLevel="0" collapsed="false">
      <c r="A469" s="2" t="n">
        <v>2</v>
      </c>
      <c r="B469" s="2" t="s">
        <v>1312</v>
      </c>
      <c r="C469" s="2" t="s">
        <v>1313</v>
      </c>
      <c r="D469" s="2" t="s">
        <v>1189</v>
      </c>
      <c r="E469" s="2" t="s">
        <v>1190</v>
      </c>
      <c r="F469" s="2" t="n">
        <v>85469.0556375738</v>
      </c>
      <c r="G469" s="2" t="n">
        <v>0</v>
      </c>
      <c r="H469" s="2" t="n">
        <v>85469.0556375738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8.2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</v>
      </c>
      <c r="DK469" s="2" t="n">
        <v>81.36</v>
      </c>
      <c r="DL469" s="2" t="n">
        <v>0</v>
      </c>
      <c r="DM469" s="2" t="n">
        <v>86.24</v>
      </c>
      <c r="DN469" s="2" t="n">
        <v>94.76</v>
      </c>
      <c r="DO469" s="2" t="n">
        <v>0</v>
      </c>
      <c r="DP469" s="2" t="n">
        <v>97.46</v>
      </c>
      <c r="DQ469" s="2" t="n">
        <v>97.62</v>
      </c>
      <c r="DR469" s="2" t="n">
        <v>0</v>
      </c>
      <c r="DS469" s="2" t="n">
        <v>98.41</v>
      </c>
      <c r="DT469" s="2" t="n">
        <v>99.74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 customFormat="false" ht="15" hidden="false" customHeight="false" outlineLevel="0" collapsed="false">
      <c r="A470" s="2" t="n">
        <v>3</v>
      </c>
      <c r="B470" s="2" t="s">
        <v>1314</v>
      </c>
      <c r="C470" s="2" t="s">
        <v>1220</v>
      </c>
      <c r="D470" s="2" t="s">
        <v>1189</v>
      </c>
      <c r="E470" s="2" t="s">
        <v>1190</v>
      </c>
      <c r="F470" s="2" t="n">
        <v>8408.55553838645</v>
      </c>
      <c r="G470" s="2" t="n">
        <v>0</v>
      </c>
      <c r="H470" s="2" t="n">
        <v>8408.55553838645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8.2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</v>
      </c>
      <c r="DK470" s="2" t="n">
        <v>81.36</v>
      </c>
      <c r="DL470" s="2" t="n">
        <v>0</v>
      </c>
      <c r="DM470" s="2" t="n">
        <v>86.24</v>
      </c>
      <c r="DN470" s="2" t="n">
        <v>94.76</v>
      </c>
      <c r="DO470" s="2" t="n">
        <v>0</v>
      </c>
      <c r="DP470" s="2" t="n">
        <v>97.46</v>
      </c>
      <c r="DQ470" s="2" t="n">
        <v>97.62</v>
      </c>
      <c r="DR470" s="2" t="n">
        <v>0</v>
      </c>
      <c r="DS470" s="2" t="n">
        <v>98.41</v>
      </c>
      <c r="DT470" s="2" t="n">
        <v>99.74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 customFormat="false" ht="15" hidden="false" customHeight="false" outlineLevel="0" collapsed="false">
      <c r="A471" s="2" t="n">
        <v>3</v>
      </c>
      <c r="B471" s="2" t="s">
        <v>1315</v>
      </c>
      <c r="C471" s="2" t="s">
        <v>1316</v>
      </c>
      <c r="D471" s="2" t="s">
        <v>1189</v>
      </c>
      <c r="E471" s="2" t="s">
        <v>1190</v>
      </c>
      <c r="F471" s="2" t="n">
        <v>14188.7453685662</v>
      </c>
      <c r="G471" s="2" t="n">
        <v>0</v>
      </c>
      <c r="H471" s="2" t="n">
        <v>14188.7453685662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8.2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</v>
      </c>
      <c r="DK471" s="2" t="n">
        <v>81.36</v>
      </c>
      <c r="DL471" s="2" t="n">
        <v>0</v>
      </c>
      <c r="DM471" s="2" t="n">
        <v>86.24</v>
      </c>
      <c r="DN471" s="2" t="n">
        <v>94.76</v>
      </c>
      <c r="DO471" s="2" t="n">
        <v>0</v>
      </c>
      <c r="DP471" s="2" t="n">
        <v>97.46</v>
      </c>
      <c r="DQ471" s="2" t="n">
        <v>97.62</v>
      </c>
      <c r="DR471" s="2" t="n">
        <v>0</v>
      </c>
      <c r="DS471" s="2" t="n">
        <v>98.41</v>
      </c>
      <c r="DT471" s="2" t="n">
        <v>99.74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 customFormat="false" ht="15" hidden="false" customHeight="false" outlineLevel="0" collapsed="false">
      <c r="A472" s="2" t="n">
        <v>3</v>
      </c>
      <c r="B472" s="2" t="s">
        <v>1317</v>
      </c>
      <c r="C472" s="2" t="s">
        <v>1231</v>
      </c>
      <c r="D472" s="2" t="s">
        <v>1189</v>
      </c>
      <c r="E472" s="2" t="s">
        <v>1190</v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8.2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</v>
      </c>
      <c r="DK472" s="2" t="n">
        <v>81.36</v>
      </c>
      <c r="DL472" s="2" t="n">
        <v>0</v>
      </c>
      <c r="DM472" s="2" t="n">
        <v>86.24</v>
      </c>
      <c r="DN472" s="2" t="n">
        <v>94.76</v>
      </c>
      <c r="DO472" s="2" t="n">
        <v>0</v>
      </c>
      <c r="DP472" s="2" t="n">
        <v>97.46</v>
      </c>
      <c r="DQ472" s="2" t="n">
        <v>97.62</v>
      </c>
      <c r="DR472" s="2" t="n">
        <v>0</v>
      </c>
      <c r="DS472" s="2" t="n">
        <v>98.41</v>
      </c>
      <c r="DT472" s="2" t="n">
        <v>99.74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 customFormat="false" ht="15" hidden="false" customHeight="false" outlineLevel="0" collapsed="false">
      <c r="A473" s="2" t="n">
        <v>3</v>
      </c>
      <c r="B473" s="2" t="s">
        <v>1318</v>
      </c>
      <c r="C473" s="2" t="s">
        <v>1319</v>
      </c>
      <c r="D473" s="2" t="s">
        <v>1189</v>
      </c>
      <c r="E473" s="2" t="s">
        <v>1190</v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8.2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</v>
      </c>
      <c r="DK473" s="2" t="n">
        <v>81.36</v>
      </c>
      <c r="DL473" s="2" t="n">
        <v>0</v>
      </c>
      <c r="DM473" s="2" t="n">
        <v>86.24</v>
      </c>
      <c r="DN473" s="2" t="n">
        <v>94.76</v>
      </c>
      <c r="DO473" s="2" t="n">
        <v>0</v>
      </c>
      <c r="DP473" s="2" t="n">
        <v>97.46</v>
      </c>
      <c r="DQ473" s="2" t="n">
        <v>97.62</v>
      </c>
      <c r="DR473" s="2" t="n">
        <v>0</v>
      </c>
      <c r="DS473" s="2" t="n">
        <v>98.41</v>
      </c>
      <c r="DT473" s="2" t="n">
        <v>99.74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 customFormat="false" ht="15" hidden="false" customHeight="false" outlineLevel="0" collapsed="false">
      <c r="A474" s="2" t="n">
        <v>3</v>
      </c>
      <c r="B474" s="2" t="s">
        <v>1320</v>
      </c>
      <c r="C474" s="2" t="s">
        <v>1321</v>
      </c>
      <c r="D474" s="2" t="s">
        <v>1189</v>
      </c>
      <c r="E474" s="2" t="s">
        <v>1190</v>
      </c>
      <c r="F474" s="2" t="n">
        <v>2602.24609911672</v>
      </c>
      <c r="G474" s="2" t="n">
        <v>0</v>
      </c>
      <c r="H474" s="2" t="n">
        <v>2602.24609911672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8.2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</v>
      </c>
      <c r="DK474" s="2" t="n">
        <v>81.36</v>
      </c>
      <c r="DL474" s="2" t="n">
        <v>0</v>
      </c>
      <c r="DM474" s="2" t="n">
        <v>86.24</v>
      </c>
      <c r="DN474" s="2" t="n">
        <v>94.76</v>
      </c>
      <c r="DO474" s="2" t="n">
        <v>0</v>
      </c>
      <c r="DP474" s="2" t="n">
        <v>97.46</v>
      </c>
      <c r="DQ474" s="2" t="n">
        <v>97.62</v>
      </c>
      <c r="DR474" s="2" t="n">
        <v>0</v>
      </c>
      <c r="DS474" s="2" t="n">
        <v>98.41</v>
      </c>
      <c r="DT474" s="2" t="n">
        <v>99.74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 customFormat="false" ht="15" hidden="false" customHeight="false" outlineLevel="0" collapsed="false">
      <c r="A475" s="2" t="n">
        <v>3</v>
      </c>
      <c r="B475" s="2" t="s">
        <v>1322</v>
      </c>
      <c r="C475" s="2" t="s">
        <v>1323</v>
      </c>
      <c r="D475" s="2" t="s">
        <v>1189</v>
      </c>
      <c r="E475" s="2" t="s">
        <v>1190</v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8.2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</v>
      </c>
      <c r="DK475" s="2" t="n">
        <v>81.36</v>
      </c>
      <c r="DL475" s="2" t="n">
        <v>0</v>
      </c>
      <c r="DM475" s="2" t="n">
        <v>86.24</v>
      </c>
      <c r="DN475" s="2" t="n">
        <v>94.76</v>
      </c>
      <c r="DO475" s="2" t="n">
        <v>0</v>
      </c>
      <c r="DP475" s="2" t="n">
        <v>97.46</v>
      </c>
      <c r="DQ475" s="2" t="n">
        <v>97.62</v>
      </c>
      <c r="DR475" s="2" t="n">
        <v>0</v>
      </c>
      <c r="DS475" s="2" t="n">
        <v>98.41</v>
      </c>
      <c r="DT475" s="2" t="n">
        <v>99.74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 customFormat="false" ht="15" hidden="false" customHeight="false" outlineLevel="0" collapsed="false">
      <c r="A476" s="2" t="n">
        <v>3</v>
      </c>
      <c r="B476" s="2" t="s">
        <v>1324</v>
      </c>
      <c r="C476" s="2" t="s">
        <v>1325</v>
      </c>
      <c r="D476" s="2" t="s">
        <v>1189</v>
      </c>
      <c r="E476" s="2" t="s">
        <v>1190</v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8.2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</v>
      </c>
      <c r="DK476" s="2" t="n">
        <v>81.36</v>
      </c>
      <c r="DL476" s="2" t="n">
        <v>0</v>
      </c>
      <c r="DM476" s="2" t="n">
        <v>86.24</v>
      </c>
      <c r="DN476" s="2" t="n">
        <v>94.76</v>
      </c>
      <c r="DO476" s="2" t="n">
        <v>0</v>
      </c>
      <c r="DP476" s="2" t="n">
        <v>97.46</v>
      </c>
      <c r="DQ476" s="2" t="n">
        <v>97.62</v>
      </c>
      <c r="DR476" s="2" t="n">
        <v>0</v>
      </c>
      <c r="DS476" s="2" t="n">
        <v>98.41</v>
      </c>
      <c r="DT476" s="2" t="n">
        <v>99.74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 customFormat="false" ht="15" hidden="false" customHeight="false" outlineLevel="0" collapsed="false">
      <c r="A477" s="2" t="n">
        <v>3</v>
      </c>
      <c r="B477" s="2" t="s">
        <v>1326</v>
      </c>
      <c r="C477" s="2" t="s">
        <v>1216</v>
      </c>
      <c r="D477" s="2" t="s">
        <v>1189</v>
      </c>
      <c r="E477" s="2" t="s">
        <v>1190</v>
      </c>
      <c r="F477" s="2" t="n">
        <v>431.975697004405</v>
      </c>
      <c r="G477" s="2" t="n">
        <v>0</v>
      </c>
      <c r="H477" s="2" t="n">
        <v>431.975697004405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8.2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</v>
      </c>
      <c r="DK477" s="2" t="n">
        <v>81.36</v>
      </c>
      <c r="DL477" s="2" t="n">
        <v>0</v>
      </c>
      <c r="DM477" s="2" t="n">
        <v>86.24</v>
      </c>
      <c r="DN477" s="2" t="n">
        <v>94.76</v>
      </c>
      <c r="DO477" s="2" t="n">
        <v>0</v>
      </c>
      <c r="DP477" s="2" t="n">
        <v>97.46</v>
      </c>
      <c r="DQ477" s="2" t="n">
        <v>97.62</v>
      </c>
      <c r="DR477" s="2" t="n">
        <v>0</v>
      </c>
      <c r="DS477" s="2" t="n">
        <v>98.41</v>
      </c>
      <c r="DT477" s="2" t="n">
        <v>99.74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 customFormat="false" ht="15" hidden="false" customHeight="false" outlineLevel="0" collapsed="false">
      <c r="A478" s="2" t="n">
        <v>1</v>
      </c>
      <c r="B478" s="2" t="s">
        <v>173</v>
      </c>
      <c r="C478" s="2" t="s">
        <v>77</v>
      </c>
      <c r="D478" s="2" t="s">
        <v>1327</v>
      </c>
      <c r="E478" s="2" t="s">
        <v>1328</v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93.1</v>
      </c>
      <c r="ED478" s="2" t="n">
        <v>0</v>
      </c>
      <c r="EE478" s="2" t="n">
        <v>93.01</v>
      </c>
      <c r="EF478" s="2" t="n">
        <v>94.68</v>
      </c>
      <c r="EG478" s="2" t="n">
        <v>0</v>
      </c>
      <c r="EH478" s="2" t="n">
        <v>95.88</v>
      </c>
      <c r="EI478" s="2" t="n">
        <v>97.6</v>
      </c>
      <c r="EJ478" s="2" t="n">
        <v>0</v>
      </c>
      <c r="EK478" s="2" t="n">
        <v>98.35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 customFormat="false" ht="15" hidden="false" customHeight="false" outlineLevel="0" collapsed="false">
      <c r="A479" s="2" t="n">
        <v>2</v>
      </c>
      <c r="B479" s="2" t="s">
        <v>1329</v>
      </c>
      <c r="C479" s="2" t="s">
        <v>1330</v>
      </c>
      <c r="D479" s="2" t="s">
        <v>1327</v>
      </c>
      <c r="E479" s="2" t="s">
        <v>1331</v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 customFormat="false" ht="15" hidden="false" customHeight="false" outlineLevel="0" collapsed="false">
      <c r="A480" s="2" t="n">
        <v>3</v>
      </c>
      <c r="B480" s="2" t="s">
        <v>1332</v>
      </c>
      <c r="C480" s="2" t="s">
        <v>1333</v>
      </c>
      <c r="D480" s="2" t="s">
        <v>1327</v>
      </c>
      <c r="E480" s="2" t="s">
        <v>1331</v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 customFormat="false" ht="15" hidden="false" customHeight="false" outlineLevel="0" collapsed="false">
      <c r="A481" s="2" t="n">
        <v>2</v>
      </c>
      <c r="B481" s="2" t="s">
        <v>1334</v>
      </c>
      <c r="C481" s="2" t="s">
        <v>1335</v>
      </c>
      <c r="D481" s="2" t="s">
        <v>1327</v>
      </c>
      <c r="E481" s="2" t="s">
        <v>1328</v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71.96</v>
      </c>
      <c r="DN481" s="2" t="n">
        <v>73.81</v>
      </c>
      <c r="DO481" s="2" t="n">
        <v>0</v>
      </c>
      <c r="DP481" s="2" t="n">
        <v>76.65</v>
      </c>
      <c r="DQ481" s="2" t="n">
        <v>78.51</v>
      </c>
      <c r="DR481" s="2" t="n">
        <v>0</v>
      </c>
      <c r="DS481" s="2" t="n">
        <v>80.96</v>
      </c>
      <c r="DT481" s="2" t="n">
        <v>81.54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</v>
      </c>
      <c r="EJ481" s="2" t="n">
        <v>0</v>
      </c>
      <c r="EK481" s="2" t="n">
        <v>97.79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 customFormat="false" ht="15" hidden="false" customHeight="false" outlineLevel="0" collapsed="false">
      <c r="A482" s="2" t="n">
        <v>3</v>
      </c>
      <c r="B482" s="2" t="s">
        <v>1336</v>
      </c>
      <c r="C482" s="2" t="s">
        <v>1337</v>
      </c>
      <c r="D482" s="2" t="s">
        <v>1327</v>
      </c>
      <c r="E482" s="2" t="s">
        <v>1338</v>
      </c>
      <c r="F482" s="2" t="n">
        <v>395122</v>
      </c>
      <c r="G482" s="2" t="n">
        <v>0</v>
      </c>
      <c r="H482" s="2" t="n">
        <v>395122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 customFormat="false" ht="15" hidden="false" customHeight="false" outlineLevel="0" collapsed="false">
      <c r="A483" s="2" t="n">
        <v>3</v>
      </c>
      <c r="B483" s="2" t="s">
        <v>1339</v>
      </c>
      <c r="C483" s="2" t="s">
        <v>1340</v>
      </c>
      <c r="D483" s="2" t="s">
        <v>1341</v>
      </c>
      <c r="E483" s="2" t="s">
        <v>1342</v>
      </c>
      <c r="F483" s="2" t="n">
        <v>824378.8</v>
      </c>
      <c r="G483" s="2" t="n">
        <v>0</v>
      </c>
      <c r="H483" s="2" t="n">
        <v>824378.8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92.85</v>
      </c>
      <c r="DQ483" s="2" t="n">
        <v>94.78</v>
      </c>
      <c r="DR483" s="2" t="n">
        <v>0</v>
      </c>
      <c r="DS483" s="2" t="n">
        <v>96.15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 customFormat="false" ht="15" hidden="false" customHeight="false" outlineLevel="0" collapsed="false">
      <c r="A484" s="2" t="n">
        <v>3</v>
      </c>
      <c r="B484" s="2" t="s">
        <v>1343</v>
      </c>
      <c r="C484" s="2" t="s">
        <v>1344</v>
      </c>
      <c r="D484" s="2" t="s">
        <v>1345</v>
      </c>
      <c r="E484" s="2" t="s">
        <v>1342</v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 customFormat="false" ht="15" hidden="false" customHeight="false" outlineLevel="0" collapsed="false">
      <c r="A485" s="2" t="n">
        <v>3</v>
      </c>
      <c r="B485" s="2" t="s">
        <v>1346</v>
      </c>
      <c r="C485" s="2" t="s">
        <v>1347</v>
      </c>
      <c r="D485" s="2" t="s">
        <v>427</v>
      </c>
      <c r="E485" s="2" t="s">
        <v>1348</v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70.85</v>
      </c>
      <c r="CV485" s="2" t="n">
        <v>75.25</v>
      </c>
      <c r="CW485" s="2" t="n">
        <v>0</v>
      </c>
      <c r="CX485" s="2" t="n">
        <v>80.23</v>
      </c>
      <c r="CY485" s="2" t="n">
        <v>84.29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</v>
      </c>
      <c r="DH485" s="2" t="n">
        <v>97.19</v>
      </c>
      <c r="DI485" s="2" t="n">
        <v>0</v>
      </c>
      <c r="DJ485" s="2" t="n">
        <v>99.71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 customFormat="false" ht="15" hidden="false" customHeight="false" outlineLevel="0" collapsed="false">
      <c r="A486" s="2" t="n">
        <v>3</v>
      </c>
      <c r="B486" s="2" t="s">
        <v>1349</v>
      </c>
      <c r="C486" s="2" t="s">
        <v>1350</v>
      </c>
      <c r="D486" s="2" t="s">
        <v>1345</v>
      </c>
      <c r="E486" s="2" t="s">
        <v>1351</v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9.53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 customFormat="false" ht="15" hidden="false" customHeight="false" outlineLevel="0" collapsed="false">
      <c r="A487" s="2" t="n">
        <v>3</v>
      </c>
      <c r="B487" s="2" t="s">
        <v>1352</v>
      </c>
      <c r="C487" s="2" t="s">
        <v>1353</v>
      </c>
      <c r="D487" s="2" t="s">
        <v>427</v>
      </c>
      <c r="E487" s="2" t="s">
        <v>1348</v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70.85</v>
      </c>
      <c r="CV487" s="2" t="n">
        <v>75.25</v>
      </c>
      <c r="CW487" s="2" t="n">
        <v>0</v>
      </c>
      <c r="CX487" s="2" t="n">
        <v>80.23</v>
      </c>
      <c r="CY487" s="2" t="n">
        <v>84.29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</v>
      </c>
      <c r="DH487" s="2" t="n">
        <v>97.19</v>
      </c>
      <c r="DI487" s="2" t="n">
        <v>0</v>
      </c>
      <c r="DJ487" s="2" t="n">
        <v>99.71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 customFormat="false" ht="15" hidden="false" customHeight="false" outlineLevel="0" collapsed="false">
      <c r="A488" s="2" t="n">
        <v>3</v>
      </c>
      <c r="B488" s="2" t="s">
        <v>1354</v>
      </c>
      <c r="C488" s="2" t="s">
        <v>1355</v>
      </c>
      <c r="D488" s="2" t="s">
        <v>427</v>
      </c>
      <c r="E488" s="2" t="s">
        <v>1348</v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70.85</v>
      </c>
      <c r="CV488" s="2" t="n">
        <v>75.25</v>
      </c>
      <c r="CW488" s="2" t="n">
        <v>0</v>
      </c>
      <c r="CX488" s="2" t="n">
        <v>80.23</v>
      </c>
      <c r="CY488" s="2" t="n">
        <v>84.29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</v>
      </c>
      <c r="DH488" s="2" t="n">
        <v>97.19</v>
      </c>
      <c r="DI488" s="2" t="n">
        <v>0</v>
      </c>
      <c r="DJ488" s="2" t="n">
        <v>99.71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 customFormat="false" ht="15" hidden="false" customHeight="false" outlineLevel="0" collapsed="false">
      <c r="A489" s="2" t="n">
        <v>3</v>
      </c>
      <c r="B489" s="2" t="s">
        <v>1356</v>
      </c>
      <c r="C489" s="2" t="s">
        <v>1357</v>
      </c>
      <c r="D489" s="2" t="s">
        <v>1358</v>
      </c>
      <c r="E489" s="2" t="s">
        <v>1328</v>
      </c>
      <c r="F489" s="2" t="n">
        <v>752836</v>
      </c>
      <c r="G489" s="2" t="n">
        <v>0</v>
      </c>
      <c r="H489" s="2" t="n">
        <v>752836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79.71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 customFormat="false" ht="15" hidden="false" customHeight="false" outlineLevel="0" collapsed="false">
      <c r="A490" s="2" t="n">
        <v>3</v>
      </c>
      <c r="B490" s="2" t="s">
        <v>1359</v>
      </c>
      <c r="C490" s="2" t="s">
        <v>1360</v>
      </c>
      <c r="D490" s="2" t="s">
        <v>1358</v>
      </c>
      <c r="E490" s="2" t="s">
        <v>1328</v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79.71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 customFormat="false" ht="15" hidden="false" customHeight="false" outlineLevel="0" collapsed="false">
      <c r="A491" s="2" t="n">
        <v>3</v>
      </c>
      <c r="B491" s="2" t="s">
        <v>1361</v>
      </c>
      <c r="C491" s="2" t="s">
        <v>1362</v>
      </c>
      <c r="D491" s="2" t="s">
        <v>1358</v>
      </c>
      <c r="E491" s="2" t="s">
        <v>1328</v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79.71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 customFormat="false" ht="15" hidden="false" customHeight="false" outlineLevel="0" collapsed="false">
      <c r="A492" s="2" t="n">
        <v>2</v>
      </c>
      <c r="B492" s="2" t="s">
        <v>1363</v>
      </c>
      <c r="C492" s="2" t="s">
        <v>1364</v>
      </c>
      <c r="D492" s="2" t="s">
        <v>1345</v>
      </c>
      <c r="E492" s="2" t="s">
        <v>1365</v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</v>
      </c>
      <c r="DO492" s="2" t="n">
        <v>0</v>
      </c>
      <c r="DP492" s="2" t="n">
        <v>71.93</v>
      </c>
      <c r="DQ492" s="2" t="n">
        <v>73.13</v>
      </c>
      <c r="DR492" s="2" t="n">
        <v>0</v>
      </c>
      <c r="DS492" s="2" t="n">
        <v>88.07</v>
      </c>
      <c r="DT492" s="2" t="n">
        <v>92.63</v>
      </c>
      <c r="DU492" s="2" t="n">
        <v>0</v>
      </c>
      <c r="DV492" s="2" t="n">
        <v>92.67</v>
      </c>
      <c r="DW492" s="2" t="n">
        <v>94.99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 customFormat="false" ht="15" hidden="false" customHeight="false" outlineLevel="0" collapsed="false">
      <c r="A493" s="2" t="n">
        <v>3</v>
      </c>
      <c r="B493" s="2" t="s">
        <v>1366</v>
      </c>
      <c r="C493" s="2" t="s">
        <v>1367</v>
      </c>
      <c r="D493" s="2" t="s">
        <v>1368</v>
      </c>
      <c r="E493" s="2" t="s">
        <v>1120</v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 customFormat="false" ht="15" hidden="false" customHeight="false" outlineLevel="0" collapsed="false">
      <c r="A494" s="2" t="n">
        <v>3</v>
      </c>
      <c r="B494" s="2" t="s">
        <v>1369</v>
      </c>
      <c r="C494" s="2" t="s">
        <v>1370</v>
      </c>
      <c r="D494" s="2" t="s">
        <v>1345</v>
      </c>
      <c r="E494" s="2" t="s">
        <v>1365</v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71.35</v>
      </c>
      <c r="DL494" s="2" t="n">
        <v>0</v>
      </c>
      <c r="DM494" s="2" t="n">
        <v>76.16</v>
      </c>
      <c r="DN494" s="2" t="n">
        <v>81.46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90.32</v>
      </c>
      <c r="DT494" s="2" t="n">
        <v>91.22</v>
      </c>
      <c r="DU494" s="2" t="n">
        <v>0</v>
      </c>
      <c r="DV494" s="2" t="n">
        <v>91.27</v>
      </c>
      <c r="DW494" s="2" t="n">
        <v>94.04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 customFormat="false" ht="15" hidden="false" customHeight="false" outlineLevel="0" collapsed="false">
      <c r="A495" s="2" t="n">
        <v>3</v>
      </c>
      <c r="B495" s="2" t="s">
        <v>1371</v>
      </c>
      <c r="C495" s="2" t="s">
        <v>1372</v>
      </c>
      <c r="D495" s="2" t="s">
        <v>1345</v>
      </c>
      <c r="E495" s="2" t="s">
        <v>1365</v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71.35</v>
      </c>
      <c r="DL495" s="2" t="n">
        <v>0</v>
      </c>
      <c r="DM495" s="2" t="n">
        <v>76.16</v>
      </c>
      <c r="DN495" s="2" t="n">
        <v>81.46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90.32</v>
      </c>
      <c r="DT495" s="2" t="n">
        <v>91.22</v>
      </c>
      <c r="DU495" s="2" t="n">
        <v>0</v>
      </c>
      <c r="DV495" s="2" t="n">
        <v>91.27</v>
      </c>
      <c r="DW495" s="2" t="n">
        <v>94.04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 customFormat="false" ht="15" hidden="false" customHeight="false" outlineLevel="0" collapsed="false">
      <c r="A496" s="2" t="n">
        <v>3</v>
      </c>
      <c r="B496" s="2" t="s">
        <v>1373</v>
      </c>
      <c r="C496" s="2" t="s">
        <v>1374</v>
      </c>
      <c r="D496" s="2" t="s">
        <v>1345</v>
      </c>
      <c r="E496" s="2" t="s">
        <v>1365</v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71.35</v>
      </c>
      <c r="DL496" s="2" t="n">
        <v>0</v>
      </c>
      <c r="DM496" s="2" t="n">
        <v>76.16</v>
      </c>
      <c r="DN496" s="2" t="n">
        <v>81.46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90.32</v>
      </c>
      <c r="DT496" s="2" t="n">
        <v>91.22</v>
      </c>
      <c r="DU496" s="2" t="n">
        <v>0</v>
      </c>
      <c r="DV496" s="2" t="n">
        <v>91.27</v>
      </c>
      <c r="DW496" s="2" t="n">
        <v>94.04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 customFormat="false" ht="15" hidden="false" customHeight="false" outlineLevel="0" collapsed="false">
      <c r="A497" s="2" t="n">
        <v>3</v>
      </c>
      <c r="B497" s="2" t="s">
        <v>1375</v>
      </c>
      <c r="C497" s="2" t="s">
        <v>1376</v>
      </c>
      <c r="D497" s="2" t="s">
        <v>1345</v>
      </c>
      <c r="E497" s="2" t="s">
        <v>1365</v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71.35</v>
      </c>
      <c r="DL497" s="2" t="n">
        <v>0</v>
      </c>
      <c r="DM497" s="2" t="n">
        <v>76.16</v>
      </c>
      <c r="DN497" s="2" t="n">
        <v>81.46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90.32</v>
      </c>
      <c r="DT497" s="2" t="n">
        <v>91.22</v>
      </c>
      <c r="DU497" s="2" t="n">
        <v>0</v>
      </c>
      <c r="DV497" s="2" t="n">
        <v>91.27</v>
      </c>
      <c r="DW497" s="2" t="n">
        <v>94.04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 customFormat="false" ht="15" hidden="false" customHeight="false" outlineLevel="0" collapsed="false">
      <c r="A498" s="2" t="n">
        <v>3</v>
      </c>
      <c r="B498" s="2" t="s">
        <v>1377</v>
      </c>
      <c r="C498" s="2" t="s">
        <v>1378</v>
      </c>
      <c r="D498" s="2" t="s">
        <v>1345</v>
      </c>
      <c r="E498" s="2" t="s">
        <v>1365</v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71.35</v>
      </c>
      <c r="DL498" s="2" t="n">
        <v>0</v>
      </c>
      <c r="DM498" s="2" t="n">
        <v>76.16</v>
      </c>
      <c r="DN498" s="2" t="n">
        <v>81.46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90.32</v>
      </c>
      <c r="DT498" s="2" t="n">
        <v>91.22</v>
      </c>
      <c r="DU498" s="2" t="n">
        <v>0</v>
      </c>
      <c r="DV498" s="2" t="n">
        <v>91.27</v>
      </c>
      <c r="DW498" s="2" t="n">
        <v>94.04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 customFormat="false" ht="15" hidden="false" customHeight="false" outlineLevel="0" collapsed="false">
      <c r="A499" s="2" t="n">
        <v>3</v>
      </c>
      <c r="B499" s="2" t="s">
        <v>1379</v>
      </c>
      <c r="C499" s="2" t="s">
        <v>1380</v>
      </c>
      <c r="D499" s="2" t="s">
        <v>1345</v>
      </c>
      <c r="E499" s="2" t="s">
        <v>1365</v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71.35</v>
      </c>
      <c r="DL499" s="2" t="n">
        <v>0</v>
      </c>
      <c r="DM499" s="2" t="n">
        <v>76.16</v>
      </c>
      <c r="DN499" s="2" t="n">
        <v>81.46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90.32</v>
      </c>
      <c r="DT499" s="2" t="n">
        <v>91.22</v>
      </c>
      <c r="DU499" s="2" t="n">
        <v>0</v>
      </c>
      <c r="DV499" s="2" t="n">
        <v>91.27</v>
      </c>
      <c r="DW499" s="2" t="n">
        <v>94.04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 customFormat="false" ht="15" hidden="false" customHeight="false" outlineLevel="0" collapsed="false">
      <c r="A500" s="2" t="n">
        <v>1</v>
      </c>
      <c r="B500" s="2" t="s">
        <v>176</v>
      </c>
      <c r="C500" s="2" t="s">
        <v>177</v>
      </c>
      <c r="D500" s="2" t="s">
        <v>1381</v>
      </c>
      <c r="E500" s="2" t="s">
        <v>1382</v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65.07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</v>
      </c>
      <c r="DN500" s="2" t="n">
        <v>95.68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 customFormat="false" ht="15" hidden="false" customHeight="false" outlineLevel="0" collapsed="false">
      <c r="A501" s="2" t="n">
        <v>2</v>
      </c>
      <c r="B501" s="2" t="s">
        <v>1383</v>
      </c>
      <c r="C501" s="2" t="s">
        <v>1384</v>
      </c>
      <c r="D501" s="2" t="s">
        <v>1381</v>
      </c>
      <c r="E501" s="2" t="s">
        <v>1385</v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</v>
      </c>
      <c r="DC501" s="2" t="n">
        <v>0</v>
      </c>
      <c r="DD501" s="2" t="n">
        <v>66.91</v>
      </c>
      <c r="DE501" s="2" t="n">
        <v>68.04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 customFormat="false" ht="15" hidden="false" customHeight="false" outlineLevel="0" collapsed="false">
      <c r="A502" s="2" t="n">
        <v>3</v>
      </c>
      <c r="B502" s="2" t="s">
        <v>1386</v>
      </c>
      <c r="C502" s="2" t="s">
        <v>1387</v>
      </c>
      <c r="D502" s="2" t="s">
        <v>1388</v>
      </c>
      <c r="E502" s="2" t="s">
        <v>1389</v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 customFormat="false" ht="15" hidden="false" customHeight="false" outlineLevel="0" collapsed="false">
      <c r="A503" s="2" t="n">
        <v>3</v>
      </c>
      <c r="B503" s="2" t="s">
        <v>1390</v>
      </c>
      <c r="C503" s="2" t="s">
        <v>1204</v>
      </c>
      <c r="D503" s="2" t="s">
        <v>1391</v>
      </c>
      <c r="E503" s="2" t="s">
        <v>1392</v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 customFormat="false" ht="15" hidden="false" customHeight="false" outlineLevel="0" collapsed="false">
      <c r="A504" s="2" t="n">
        <v>3</v>
      </c>
      <c r="B504" s="2" t="s">
        <v>1393</v>
      </c>
      <c r="C504" s="2" t="s">
        <v>1394</v>
      </c>
      <c r="D504" s="2" t="s">
        <v>1391</v>
      </c>
      <c r="E504" s="2" t="s">
        <v>1392</v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 customFormat="false" ht="15" hidden="false" customHeight="false" outlineLevel="0" collapsed="false">
      <c r="A505" s="2" t="n">
        <v>3</v>
      </c>
      <c r="B505" s="2" t="s">
        <v>1395</v>
      </c>
      <c r="C505" s="2" t="s">
        <v>1396</v>
      </c>
      <c r="D505" s="2" t="s">
        <v>427</v>
      </c>
      <c r="E505" s="2" t="s">
        <v>1348</v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9.11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64.21</v>
      </c>
      <c r="CT505" s="2" t="n">
        <v>0</v>
      </c>
      <c r="CU505" s="2" t="n">
        <v>68.98</v>
      </c>
      <c r="CV505" s="2" t="n">
        <v>71.15</v>
      </c>
      <c r="CW505" s="2" t="n">
        <v>0</v>
      </c>
      <c r="CX505" s="2" t="n">
        <v>78.09</v>
      </c>
      <c r="CY505" s="2" t="n">
        <v>80.26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 customFormat="false" ht="15" hidden="false" customHeight="false" outlineLevel="0" collapsed="false">
      <c r="A506" s="2" t="n">
        <v>3</v>
      </c>
      <c r="B506" s="2" t="s">
        <v>1397</v>
      </c>
      <c r="C506" s="2" t="s">
        <v>1398</v>
      </c>
      <c r="D506" s="2" t="s">
        <v>1399</v>
      </c>
      <c r="E506" s="2" t="s">
        <v>1400</v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85.74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 customFormat="false" ht="15" hidden="false" customHeight="false" outlineLevel="0" collapsed="false">
      <c r="A507" s="2" t="n">
        <v>3</v>
      </c>
      <c r="B507" s="2" t="s">
        <v>1401</v>
      </c>
      <c r="C507" s="2" t="s">
        <v>1402</v>
      </c>
      <c r="D507" s="2" t="s">
        <v>427</v>
      </c>
      <c r="E507" s="2" t="s">
        <v>1348</v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9.11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64.21</v>
      </c>
      <c r="CT507" s="2" t="n">
        <v>0</v>
      </c>
      <c r="CU507" s="2" t="n">
        <v>68.98</v>
      </c>
      <c r="CV507" s="2" t="n">
        <v>71.15</v>
      </c>
      <c r="CW507" s="2" t="n">
        <v>0</v>
      </c>
      <c r="CX507" s="2" t="n">
        <v>78.09</v>
      </c>
      <c r="CY507" s="2" t="n">
        <v>80.26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 customFormat="false" ht="15" hidden="false" customHeight="false" outlineLevel="0" collapsed="false">
      <c r="A508" s="2" t="n">
        <v>3</v>
      </c>
      <c r="B508" s="2" t="s">
        <v>1403</v>
      </c>
      <c r="C508" s="2" t="s">
        <v>1404</v>
      </c>
      <c r="D508" s="2" t="s">
        <v>427</v>
      </c>
      <c r="E508" s="2" t="s">
        <v>1348</v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9.11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64.21</v>
      </c>
      <c r="CT508" s="2" t="n">
        <v>0</v>
      </c>
      <c r="CU508" s="2" t="n">
        <v>68.98</v>
      </c>
      <c r="CV508" s="2" t="n">
        <v>71.15</v>
      </c>
      <c r="CW508" s="2" t="n">
        <v>0</v>
      </c>
      <c r="CX508" s="2" t="n">
        <v>78.09</v>
      </c>
      <c r="CY508" s="2" t="n">
        <v>80.26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 customFormat="false" ht="15" hidden="false" customHeight="false" outlineLevel="0" collapsed="false">
      <c r="A509" s="2" t="n">
        <v>3</v>
      </c>
      <c r="B509" s="2" t="s">
        <v>1405</v>
      </c>
      <c r="C509" s="2" t="s">
        <v>1406</v>
      </c>
      <c r="D509" s="2" t="s">
        <v>1381</v>
      </c>
      <c r="E509" s="2" t="s">
        <v>1338</v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 customFormat="false" ht="15" hidden="false" customHeight="false" outlineLevel="0" collapsed="false">
      <c r="A510" s="2" t="n">
        <v>3</v>
      </c>
      <c r="B510" s="2" t="s">
        <v>1407</v>
      </c>
      <c r="C510" s="2" t="s">
        <v>1408</v>
      </c>
      <c r="D510" s="2" t="s">
        <v>1083</v>
      </c>
      <c r="E510" s="2" t="s">
        <v>1385</v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 customFormat="false" ht="15" hidden="false" customHeight="false" outlineLevel="0" collapsed="false">
      <c r="A511" s="2" t="n">
        <v>2</v>
      </c>
      <c r="B511" s="2" t="s">
        <v>1409</v>
      </c>
      <c r="C511" s="2" t="s">
        <v>1410</v>
      </c>
      <c r="D511" s="2" t="s">
        <v>1399</v>
      </c>
      <c r="E511" s="2" t="s">
        <v>1385</v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</v>
      </c>
      <c r="CV511" s="2" t="n">
        <v>67.75</v>
      </c>
      <c r="CW511" s="2" t="n">
        <v>0</v>
      </c>
      <c r="CX511" s="2" t="n">
        <v>73.15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88.32</v>
      </c>
      <c r="DI511" s="2" t="n">
        <v>0</v>
      </c>
      <c r="DJ511" s="2" t="n">
        <v>91.07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 customFormat="false" ht="15" hidden="false" customHeight="false" outlineLevel="0" collapsed="false">
      <c r="A512" s="2" t="n">
        <v>3</v>
      </c>
      <c r="B512" s="2" t="s">
        <v>1411</v>
      </c>
      <c r="C512" s="2" t="s">
        <v>1396</v>
      </c>
      <c r="D512" s="2" t="s">
        <v>427</v>
      </c>
      <c r="E512" s="2" t="s">
        <v>1348</v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9.11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64.21</v>
      </c>
      <c r="CT512" s="2" t="n">
        <v>0</v>
      </c>
      <c r="CU512" s="2" t="n">
        <v>68.98</v>
      </c>
      <c r="CV512" s="2" t="n">
        <v>71.15</v>
      </c>
      <c r="CW512" s="2" t="n">
        <v>0</v>
      </c>
      <c r="CX512" s="2" t="n">
        <v>78.09</v>
      </c>
      <c r="CY512" s="2" t="n">
        <v>80.26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 customFormat="false" ht="15" hidden="false" customHeight="false" outlineLevel="0" collapsed="false">
      <c r="A513" s="2" t="n">
        <v>3</v>
      </c>
      <c r="B513" s="2" t="s">
        <v>1412</v>
      </c>
      <c r="C513" s="2" t="s">
        <v>1413</v>
      </c>
      <c r="D513" s="2" t="s">
        <v>1399</v>
      </c>
      <c r="E513" s="2" t="s">
        <v>1400</v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85.74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 customFormat="false" ht="15" hidden="false" customHeight="false" outlineLevel="0" collapsed="false">
      <c r="A514" s="2" t="n">
        <v>3</v>
      </c>
      <c r="B514" s="2" t="s">
        <v>1414</v>
      </c>
      <c r="C514" s="2" t="s">
        <v>1402</v>
      </c>
      <c r="D514" s="2" t="s">
        <v>427</v>
      </c>
      <c r="E514" s="2" t="s">
        <v>1348</v>
      </c>
      <c r="F514" s="2" t="n">
        <v>485348.76</v>
      </c>
      <c r="G514" s="2" t="n">
        <v>0</v>
      </c>
      <c r="H514" s="2" t="n">
        <v>485348.76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9.11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64.21</v>
      </c>
      <c r="CT514" s="2" t="n">
        <v>0</v>
      </c>
      <c r="CU514" s="2" t="n">
        <v>68.98</v>
      </c>
      <c r="CV514" s="2" t="n">
        <v>71.15</v>
      </c>
      <c r="CW514" s="2" t="n">
        <v>0</v>
      </c>
      <c r="CX514" s="2" t="n">
        <v>78.09</v>
      </c>
      <c r="CY514" s="2" t="n">
        <v>80.26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 customFormat="false" ht="15" hidden="false" customHeight="false" outlineLevel="0" collapsed="false">
      <c r="A515" s="2" t="n">
        <v>3</v>
      </c>
      <c r="B515" s="2" t="s">
        <v>1415</v>
      </c>
      <c r="C515" s="2" t="s">
        <v>1404</v>
      </c>
      <c r="D515" s="2" t="s">
        <v>427</v>
      </c>
      <c r="E515" s="2" t="s">
        <v>1348</v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9.11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64.21</v>
      </c>
      <c r="CT515" s="2" t="n">
        <v>0</v>
      </c>
      <c r="CU515" s="2" t="n">
        <v>68.98</v>
      </c>
      <c r="CV515" s="2" t="n">
        <v>71.15</v>
      </c>
      <c r="CW515" s="2" t="n">
        <v>0</v>
      </c>
      <c r="CX515" s="2" t="n">
        <v>78.09</v>
      </c>
      <c r="CY515" s="2" t="n">
        <v>80.26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 customFormat="false" ht="15" hidden="false" customHeight="false" outlineLevel="0" collapsed="false">
      <c r="A516" s="2" t="n">
        <v>3</v>
      </c>
      <c r="B516" s="2" t="s">
        <v>1416</v>
      </c>
      <c r="C516" s="2" t="s">
        <v>1408</v>
      </c>
      <c r="D516" s="2" t="s">
        <v>1083</v>
      </c>
      <c r="E516" s="2" t="s">
        <v>1385</v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 customFormat="false" ht="15" hidden="false" customHeight="false" outlineLevel="0" collapsed="false">
      <c r="A517" s="2" t="n">
        <v>2</v>
      </c>
      <c r="B517" s="2" t="s">
        <v>1417</v>
      </c>
      <c r="C517" s="2" t="s">
        <v>1418</v>
      </c>
      <c r="D517" s="2" t="s">
        <v>1381</v>
      </c>
      <c r="E517" s="2" t="s">
        <v>1400</v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85.32</v>
      </c>
      <c r="CW517" s="2" t="n">
        <v>0</v>
      </c>
      <c r="CX517" s="2" t="n">
        <v>88.25</v>
      </c>
      <c r="CY517" s="2" t="n">
        <v>90.1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 customFormat="false" ht="15" hidden="false" customHeight="false" outlineLevel="0" collapsed="false">
      <c r="A518" s="2" t="n">
        <v>3</v>
      </c>
      <c r="B518" s="2" t="s">
        <v>1419</v>
      </c>
      <c r="C518" s="2" t="s">
        <v>1420</v>
      </c>
      <c r="D518" s="2" t="s">
        <v>1399</v>
      </c>
      <c r="E518" s="2" t="s">
        <v>1400</v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85.74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 customFormat="false" ht="15" hidden="false" customHeight="false" outlineLevel="0" collapsed="false">
      <c r="A519" s="2" t="n">
        <v>3</v>
      </c>
      <c r="B519" s="2" t="s">
        <v>1421</v>
      </c>
      <c r="C519" s="2" t="s">
        <v>1422</v>
      </c>
      <c r="D519" s="2" t="s">
        <v>427</v>
      </c>
      <c r="E519" s="2" t="s">
        <v>1348</v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9.11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64.21</v>
      </c>
      <c r="CT519" s="2" t="n">
        <v>0</v>
      </c>
      <c r="CU519" s="2" t="n">
        <v>68.98</v>
      </c>
      <c r="CV519" s="2" t="n">
        <v>71.15</v>
      </c>
      <c r="CW519" s="2" t="n">
        <v>0</v>
      </c>
      <c r="CX519" s="2" t="n">
        <v>78.09</v>
      </c>
      <c r="CY519" s="2" t="n">
        <v>80.26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 customFormat="false" ht="15" hidden="false" customHeight="false" outlineLevel="0" collapsed="false">
      <c r="A520" s="2" t="n">
        <v>3</v>
      </c>
      <c r="B520" s="2" t="s">
        <v>1423</v>
      </c>
      <c r="C520" s="2" t="s">
        <v>1424</v>
      </c>
      <c r="D520" s="2" t="s">
        <v>1381</v>
      </c>
      <c r="E520" s="2" t="s">
        <v>1338</v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 customFormat="false" ht="15" hidden="false" customHeight="false" outlineLevel="0" collapsed="false">
      <c r="A521" s="2" t="n">
        <v>3</v>
      </c>
      <c r="B521" s="2" t="s">
        <v>1425</v>
      </c>
      <c r="C521" s="2" t="s">
        <v>1406</v>
      </c>
      <c r="D521" s="2" t="s">
        <v>1381</v>
      </c>
      <c r="E521" s="2" t="s">
        <v>1338</v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 customFormat="false" ht="15" hidden="false" customHeight="false" outlineLevel="0" collapsed="false">
      <c r="A522" s="2" t="n">
        <v>2</v>
      </c>
      <c r="B522" s="2" t="s">
        <v>1426</v>
      </c>
      <c r="C522" s="2" t="s">
        <v>1427</v>
      </c>
      <c r="D522" s="2" t="s">
        <v>427</v>
      </c>
      <c r="E522" s="2" t="s">
        <v>1348</v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9.11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64.21</v>
      </c>
      <c r="CT522" s="2" t="n">
        <v>0</v>
      </c>
      <c r="CU522" s="2" t="n">
        <v>68.98</v>
      </c>
      <c r="CV522" s="2" t="n">
        <v>71.15</v>
      </c>
      <c r="CW522" s="2" t="n">
        <v>0</v>
      </c>
      <c r="CX522" s="2" t="n">
        <v>78.09</v>
      </c>
      <c r="CY522" s="2" t="n">
        <v>80.26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 customFormat="false" ht="15" hidden="false" customHeight="false" outlineLevel="0" collapsed="false">
      <c r="A523" s="2" t="n">
        <v>3</v>
      </c>
      <c r="B523" s="2" t="s">
        <v>1428</v>
      </c>
      <c r="C523" s="2" t="s">
        <v>1429</v>
      </c>
      <c r="D523" s="2" t="s">
        <v>427</v>
      </c>
      <c r="E523" s="2" t="s">
        <v>1348</v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9.11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64.21</v>
      </c>
      <c r="CT523" s="2" t="n">
        <v>0</v>
      </c>
      <c r="CU523" s="2" t="n">
        <v>68.98</v>
      </c>
      <c r="CV523" s="2" t="n">
        <v>71.15</v>
      </c>
      <c r="CW523" s="2" t="n">
        <v>0</v>
      </c>
      <c r="CX523" s="2" t="n">
        <v>78.09</v>
      </c>
      <c r="CY523" s="2" t="n">
        <v>80.26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 customFormat="false" ht="15" hidden="false" customHeight="false" outlineLevel="0" collapsed="false">
      <c r="A524" s="2" t="n">
        <v>3</v>
      </c>
      <c r="B524" s="2" t="s">
        <v>1430</v>
      </c>
      <c r="C524" s="2" t="s">
        <v>1431</v>
      </c>
      <c r="D524" s="2" t="s">
        <v>427</v>
      </c>
      <c r="E524" s="2" t="s">
        <v>1348</v>
      </c>
      <c r="F524" s="2" t="n">
        <v>422042.4</v>
      </c>
      <c r="G524" s="2" t="n">
        <v>0</v>
      </c>
      <c r="H524" s="2" t="n">
        <v>422042.4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9.11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64.21</v>
      </c>
      <c r="CT524" s="2" t="n">
        <v>0</v>
      </c>
      <c r="CU524" s="2" t="n">
        <v>68.98</v>
      </c>
      <c r="CV524" s="2" t="n">
        <v>71.15</v>
      </c>
      <c r="CW524" s="2" t="n">
        <v>0</v>
      </c>
      <c r="CX524" s="2" t="n">
        <v>78.09</v>
      </c>
      <c r="CY524" s="2" t="n">
        <v>80.26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 customFormat="false" ht="15" hidden="false" customHeight="false" outlineLevel="0" collapsed="false">
      <c r="A525" s="2" t="n">
        <v>3</v>
      </c>
      <c r="B525" s="2" t="s">
        <v>1432</v>
      </c>
      <c r="C525" s="2" t="s">
        <v>1406</v>
      </c>
      <c r="D525" s="2" t="s">
        <v>427</v>
      </c>
      <c r="E525" s="2" t="s">
        <v>1348</v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9.11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64.21</v>
      </c>
      <c r="CT525" s="2" t="n">
        <v>0</v>
      </c>
      <c r="CU525" s="2" t="n">
        <v>68.98</v>
      </c>
      <c r="CV525" s="2" t="n">
        <v>71.15</v>
      </c>
      <c r="CW525" s="2" t="n">
        <v>0</v>
      </c>
      <c r="CX525" s="2" t="n">
        <v>78.09</v>
      </c>
      <c r="CY525" s="2" t="n">
        <v>80.26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 customFormat="false" ht="15" hidden="false" customHeight="false" outlineLevel="0" collapsed="false">
      <c r="A526" s="2" t="n">
        <v>2</v>
      </c>
      <c r="B526" s="2" t="s">
        <v>1433</v>
      </c>
      <c r="C526" s="2" t="s">
        <v>1434</v>
      </c>
      <c r="D526" s="2" t="s">
        <v>1381</v>
      </c>
      <c r="E526" s="2" t="s">
        <v>1382</v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66.74</v>
      </c>
      <c r="DF526" s="2" t="n">
        <v>0</v>
      </c>
      <c r="DG526" s="2" t="n">
        <v>67.46</v>
      </c>
      <c r="DH526" s="2" t="n">
        <v>68.13</v>
      </c>
      <c r="DI526" s="2" t="n">
        <v>0</v>
      </c>
      <c r="DJ526" s="2" t="n">
        <v>70.74</v>
      </c>
      <c r="DK526" s="2" t="n">
        <v>71.26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 customFormat="false" ht="15" hidden="false" customHeight="false" outlineLevel="0" collapsed="false">
      <c r="A527" s="2" t="n">
        <v>3</v>
      </c>
      <c r="B527" s="2" t="s">
        <v>1435</v>
      </c>
      <c r="C527" s="2" t="s">
        <v>1436</v>
      </c>
      <c r="D527" s="2" t="s">
        <v>427</v>
      </c>
      <c r="E527" s="2" t="s">
        <v>1437</v>
      </c>
      <c r="F527" s="2" t="n">
        <v>468936</v>
      </c>
      <c r="G527" s="2" t="n">
        <v>0</v>
      </c>
      <c r="H527" s="2" t="n">
        <v>468936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67.32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</v>
      </c>
      <c r="DC527" s="2" t="n">
        <v>0</v>
      </c>
      <c r="DD527" s="2" t="n">
        <v>90.83</v>
      </c>
      <c r="DE527" s="2" t="n">
        <v>91.49</v>
      </c>
      <c r="DF527" s="2" t="n">
        <v>0</v>
      </c>
      <c r="DG527" s="2" t="n">
        <v>92.59</v>
      </c>
      <c r="DH527" s="2" t="n">
        <v>93.46</v>
      </c>
      <c r="DI527" s="2" t="n">
        <v>0</v>
      </c>
      <c r="DJ527" s="2" t="n">
        <v>98.23</v>
      </c>
      <c r="DK527" s="2" t="n">
        <v>98.96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 customFormat="false" ht="15" hidden="false" customHeight="false" outlineLevel="0" collapsed="false">
      <c r="A528" s="2" t="n">
        <v>3</v>
      </c>
      <c r="B528" s="2" t="s">
        <v>1438</v>
      </c>
      <c r="C528" s="2" t="s">
        <v>1439</v>
      </c>
      <c r="D528" s="2" t="s">
        <v>427</v>
      </c>
      <c r="E528" s="2" t="s">
        <v>1437</v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8.53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</v>
      </c>
      <c r="DB528" s="2" t="n">
        <v>73.35</v>
      </c>
      <c r="DC528" s="2" t="n">
        <v>0</v>
      </c>
      <c r="DD528" s="2" t="n">
        <v>80.77</v>
      </c>
      <c r="DE528" s="2" t="n">
        <v>82.93</v>
      </c>
      <c r="DF528" s="2" t="n">
        <v>0</v>
      </c>
      <c r="DG528" s="2" t="n">
        <v>85.35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 customFormat="false" ht="15" hidden="false" customHeight="false" outlineLevel="0" collapsed="false">
      <c r="A529" s="2" t="n">
        <v>3</v>
      </c>
      <c r="B529" s="2" t="s">
        <v>1440</v>
      </c>
      <c r="C529" s="2" t="s">
        <v>1441</v>
      </c>
      <c r="D529" s="2" t="s">
        <v>1442</v>
      </c>
      <c r="E529" s="2" t="s">
        <v>1382</v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 customFormat="false" ht="15" hidden="false" customHeight="false" outlineLevel="0" collapsed="false">
      <c r="A530" s="2" t="n">
        <v>3</v>
      </c>
      <c r="B530" s="2" t="s">
        <v>1443</v>
      </c>
      <c r="C530" s="2" t="s">
        <v>1444</v>
      </c>
      <c r="D530" s="2" t="s">
        <v>1381</v>
      </c>
      <c r="E530" s="2" t="s">
        <v>1338</v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 customFormat="false" ht="15" hidden="false" customHeight="false" outlineLevel="0" collapsed="false">
      <c r="A531" s="2" t="n">
        <v>1</v>
      </c>
      <c r="B531" s="2" t="s">
        <v>179</v>
      </c>
      <c r="C531" s="2" t="s">
        <v>180</v>
      </c>
      <c r="D531" s="2" t="s">
        <v>1445</v>
      </c>
      <c r="E531" s="2" t="s">
        <v>1446</v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65.85</v>
      </c>
      <c r="CW531" s="2" t="n">
        <v>0</v>
      </c>
      <c r="CX531" s="2" t="n">
        <v>70.71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90.85</v>
      </c>
      <c r="DE531" s="2" t="n">
        <v>92.38</v>
      </c>
      <c r="DF531" s="2" t="n">
        <v>0</v>
      </c>
      <c r="DG531" s="2" t="n">
        <v>95.22</v>
      </c>
      <c r="DH531" s="2" t="n">
        <v>95.4</v>
      </c>
      <c r="DI531" s="2" t="n">
        <v>0</v>
      </c>
      <c r="DJ531" s="2" t="n">
        <v>95.84</v>
      </c>
      <c r="DK531" s="2" t="n">
        <v>97.82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98.85</v>
      </c>
      <c r="DW531" s="2" t="n">
        <v>98.93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</v>
      </c>
      <c r="EC531" s="2" t="n">
        <v>99.51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99.96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 customFormat="false" ht="15" hidden="false" customHeight="false" outlineLevel="0" collapsed="false">
      <c r="A532" s="2" t="n">
        <v>2</v>
      </c>
      <c r="B532" s="2" t="s">
        <v>1447</v>
      </c>
      <c r="C532" s="2" t="s">
        <v>1448</v>
      </c>
      <c r="D532" s="2" t="s">
        <v>1445</v>
      </c>
      <c r="E532" s="2" t="s">
        <v>1449</v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74.57</v>
      </c>
      <c r="CS532" s="2" t="n">
        <v>76.69</v>
      </c>
      <c r="CT532" s="2" t="n">
        <v>0</v>
      </c>
      <c r="CU532" s="2" t="n">
        <v>81.35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 customFormat="false" ht="15" hidden="false" customHeight="false" outlineLevel="0" collapsed="false">
      <c r="A533" s="2" t="n">
        <v>2</v>
      </c>
      <c r="B533" s="2" t="s">
        <v>1450</v>
      </c>
      <c r="C533" s="2" t="s">
        <v>1402</v>
      </c>
      <c r="D533" s="2" t="s">
        <v>1445</v>
      </c>
      <c r="E533" s="2" t="s">
        <v>1449</v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74.57</v>
      </c>
      <c r="CS533" s="2" t="n">
        <v>76.69</v>
      </c>
      <c r="CT533" s="2" t="n">
        <v>0</v>
      </c>
      <c r="CU533" s="2" t="n">
        <v>81.35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 customFormat="false" ht="15" hidden="false" customHeight="false" outlineLevel="0" collapsed="false">
      <c r="A534" s="2" t="n">
        <v>2</v>
      </c>
      <c r="B534" s="2" t="s">
        <v>1451</v>
      </c>
      <c r="C534" s="2" t="s">
        <v>1452</v>
      </c>
      <c r="D534" s="2" t="s">
        <v>1453</v>
      </c>
      <c r="E534" s="2" t="s">
        <v>1400</v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 customFormat="false" ht="15" hidden="false" customHeight="false" outlineLevel="0" collapsed="false">
      <c r="A535" s="2" t="n">
        <v>2</v>
      </c>
      <c r="B535" s="2" t="s">
        <v>1454</v>
      </c>
      <c r="C535" s="2" t="s">
        <v>1455</v>
      </c>
      <c r="D535" s="2" t="s">
        <v>1453</v>
      </c>
      <c r="E535" s="2" t="s">
        <v>1400</v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 customFormat="false" ht="15" hidden="false" customHeight="false" outlineLevel="0" collapsed="false">
      <c r="A536" s="2" t="n">
        <v>2</v>
      </c>
      <c r="B536" s="2" t="s">
        <v>1456</v>
      </c>
      <c r="C536" s="2" t="s">
        <v>1457</v>
      </c>
      <c r="D536" s="2" t="s">
        <v>1331</v>
      </c>
      <c r="E536" s="2" t="s">
        <v>1446</v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</v>
      </c>
      <c r="ED536" s="2" t="n">
        <v>0</v>
      </c>
      <c r="EE536" s="2" t="n">
        <v>87.76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 customFormat="false" ht="15" hidden="false" customHeight="false" outlineLevel="0" collapsed="false">
      <c r="A537" s="2" t="n">
        <v>1</v>
      </c>
      <c r="B537" s="2" t="s">
        <v>182</v>
      </c>
      <c r="C537" s="2" t="s">
        <v>183</v>
      </c>
      <c r="D537" s="2" t="s">
        <v>1458</v>
      </c>
      <c r="E537" s="2" t="s">
        <v>1459</v>
      </c>
      <c r="F537" s="2" t="n">
        <v>2684762.92413594</v>
      </c>
      <c r="G537" s="2" t="n">
        <v>0</v>
      </c>
      <c r="H537" s="2" t="n">
        <v>2684762.92413594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91.6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</v>
      </c>
      <c r="EF537" s="2" t="n">
        <v>95.43</v>
      </c>
      <c r="EG537" s="2" t="n">
        <v>0</v>
      </c>
      <c r="EH537" s="2" t="n">
        <v>95.91</v>
      </c>
      <c r="EI537" s="2" t="n">
        <v>98.32</v>
      </c>
      <c r="EJ537" s="2" t="n">
        <v>0</v>
      </c>
      <c r="EK537" s="2" t="n">
        <v>98.32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 customFormat="false" ht="15" hidden="false" customHeight="false" outlineLevel="0" collapsed="false">
      <c r="A538" s="2" t="n">
        <v>2</v>
      </c>
      <c r="B538" s="2" t="s">
        <v>1460</v>
      </c>
      <c r="C538" s="2" t="s">
        <v>1370</v>
      </c>
      <c r="D538" s="2" t="s">
        <v>1461</v>
      </c>
      <c r="E538" s="2" t="s">
        <v>1459</v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 customFormat="false" ht="15" hidden="false" customHeight="false" outlineLevel="0" collapsed="false">
      <c r="A539" s="2" t="n">
        <v>3</v>
      </c>
      <c r="B539" s="2" t="s">
        <v>1462</v>
      </c>
      <c r="C539" s="2" t="s">
        <v>1463</v>
      </c>
      <c r="D539" s="2" t="s">
        <v>1461</v>
      </c>
      <c r="E539" s="2" t="s">
        <v>1459</v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 customFormat="false" ht="15" hidden="false" customHeight="false" outlineLevel="0" collapsed="false">
      <c r="A540" s="2" t="n">
        <v>3</v>
      </c>
      <c r="B540" s="2" t="s">
        <v>1464</v>
      </c>
      <c r="C540" s="2" t="s">
        <v>1465</v>
      </c>
      <c r="D540" s="2" t="s">
        <v>1461</v>
      </c>
      <c r="E540" s="2" t="s">
        <v>1459</v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 customFormat="false" ht="15" hidden="false" customHeight="false" outlineLevel="0" collapsed="false">
      <c r="A541" s="2" t="n">
        <v>2</v>
      </c>
      <c r="B541" s="2" t="s">
        <v>1466</v>
      </c>
      <c r="C541" s="2" t="s">
        <v>1467</v>
      </c>
      <c r="D541" s="2" t="s">
        <v>1468</v>
      </c>
      <c r="E541" s="2" t="s">
        <v>1469</v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</v>
      </c>
      <c r="DI541" s="2" t="n">
        <v>0</v>
      </c>
      <c r="DJ541" s="2" t="n">
        <v>71.35</v>
      </c>
      <c r="DK541" s="2" t="n">
        <v>72.79</v>
      </c>
      <c r="DL541" s="2" t="n">
        <v>0</v>
      </c>
      <c r="DM541" s="2" t="n">
        <v>73.56</v>
      </c>
      <c r="DN541" s="2" t="n">
        <v>78.99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 customFormat="false" ht="15" hidden="false" customHeight="false" outlineLevel="0" collapsed="false">
      <c r="A542" s="2" t="n">
        <v>3</v>
      </c>
      <c r="B542" s="2" t="s">
        <v>1470</v>
      </c>
      <c r="C542" s="2" t="s">
        <v>1471</v>
      </c>
      <c r="D542" s="2" t="s">
        <v>1468</v>
      </c>
      <c r="E542" s="2" t="s">
        <v>1437</v>
      </c>
      <c r="F542" s="2" t="n">
        <v>959218</v>
      </c>
      <c r="G542" s="2" t="n">
        <v>0</v>
      </c>
      <c r="H542" s="2" t="n">
        <v>959218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66.57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95.1</v>
      </c>
      <c r="DN542" s="2" t="n">
        <v>95.1</v>
      </c>
      <c r="DO542" s="2" t="n">
        <v>0</v>
      </c>
      <c r="DP542" s="2" t="n">
        <v>95.1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 customFormat="false" ht="15" hidden="false" customHeight="false" outlineLevel="0" collapsed="false">
      <c r="A543" s="2" t="n">
        <v>3</v>
      </c>
      <c r="B543" s="2" t="s">
        <v>1472</v>
      </c>
      <c r="C543" s="2" t="s">
        <v>1473</v>
      </c>
      <c r="D543" s="2" t="s">
        <v>1083</v>
      </c>
      <c r="E543" s="2" t="s">
        <v>1469</v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 customFormat="false" ht="15" hidden="false" customHeight="false" outlineLevel="0" collapsed="false">
      <c r="A544" s="2" t="n">
        <v>3</v>
      </c>
      <c r="B544" s="2" t="s">
        <v>1474</v>
      </c>
      <c r="C544" s="2" t="s">
        <v>1475</v>
      </c>
      <c r="D544" s="2" t="s">
        <v>1083</v>
      </c>
      <c r="E544" s="2" t="s">
        <v>1469</v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 customFormat="false" ht="15" hidden="false" customHeight="false" outlineLevel="0" collapsed="false">
      <c r="A545" s="2" t="n">
        <v>3</v>
      </c>
      <c r="B545" s="2" t="s">
        <v>1476</v>
      </c>
      <c r="C545" s="2" t="s">
        <v>1477</v>
      </c>
      <c r="D545" s="2" t="s">
        <v>1083</v>
      </c>
      <c r="E545" s="2" t="s">
        <v>1469</v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 customFormat="false" ht="15" hidden="false" customHeight="false" outlineLevel="0" collapsed="false">
      <c r="A546" s="2" t="n">
        <v>2</v>
      </c>
      <c r="B546" s="2" t="s">
        <v>1478</v>
      </c>
      <c r="C546" s="2" t="s">
        <v>1479</v>
      </c>
      <c r="D546" s="2" t="s">
        <v>1480</v>
      </c>
      <c r="E546" s="2" t="s">
        <v>1459</v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0.94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89.24</v>
      </c>
      <c r="EA546" s="2" t="n">
        <v>0</v>
      </c>
      <c r="EB546" s="2" t="n">
        <v>88.9</v>
      </c>
      <c r="EC546" s="2" t="n">
        <v>95.76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 customFormat="false" ht="15" hidden="false" customHeight="false" outlineLevel="0" collapsed="false">
      <c r="A547" s="2" t="n">
        <v>3</v>
      </c>
      <c r="B547" s="2" t="s">
        <v>1481</v>
      </c>
      <c r="C547" s="2" t="s">
        <v>1482</v>
      </c>
      <c r="D547" s="2" t="s">
        <v>1483</v>
      </c>
      <c r="E547" s="2" t="s">
        <v>1190</v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 customFormat="false" ht="15" hidden="false" customHeight="false" outlineLevel="0" collapsed="false">
      <c r="A548" s="2" t="n">
        <v>3</v>
      </c>
      <c r="B548" s="2" t="s">
        <v>1484</v>
      </c>
      <c r="C548" s="2" t="s">
        <v>1485</v>
      </c>
      <c r="D548" s="2" t="s">
        <v>1483</v>
      </c>
      <c r="E548" s="2" t="s">
        <v>1190</v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 customFormat="false" ht="15" hidden="false" customHeight="false" outlineLevel="0" collapsed="false">
      <c r="A549" s="2" t="n">
        <v>3</v>
      </c>
      <c r="B549" s="2" t="s">
        <v>1486</v>
      </c>
      <c r="C549" s="2" t="s">
        <v>1487</v>
      </c>
      <c r="D549" s="2" t="s">
        <v>1087</v>
      </c>
      <c r="E549" s="2" t="s">
        <v>1459</v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69.74</v>
      </c>
      <c r="EI549" s="2" t="n">
        <v>87.54</v>
      </c>
      <c r="EJ549" s="2" t="n">
        <v>0</v>
      </c>
      <c r="EK549" s="2" t="n">
        <v>87.54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 customFormat="false" ht="15" hidden="false" customHeight="false" outlineLevel="0" collapsed="false">
      <c r="A550" s="2" t="n">
        <v>3</v>
      </c>
      <c r="B550" s="2" t="s">
        <v>1488</v>
      </c>
      <c r="C550" s="2" t="s">
        <v>1489</v>
      </c>
      <c r="D550" s="2" t="s">
        <v>1490</v>
      </c>
      <c r="E550" s="2" t="s">
        <v>1491</v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 customFormat="false" ht="15" hidden="false" customHeight="false" outlineLevel="0" collapsed="false">
      <c r="A551" s="2" t="n">
        <v>3</v>
      </c>
      <c r="B551" s="2" t="s">
        <v>1492</v>
      </c>
      <c r="C551" s="2" t="s">
        <v>1493</v>
      </c>
      <c r="D551" s="2" t="s">
        <v>1480</v>
      </c>
      <c r="E551" s="2" t="s">
        <v>1494</v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 customFormat="false" ht="15" hidden="false" customHeight="false" outlineLevel="0" collapsed="false">
      <c r="A552" s="2" t="n">
        <v>3</v>
      </c>
      <c r="B552" s="2" t="s">
        <v>1495</v>
      </c>
      <c r="C552" s="2" t="s">
        <v>1496</v>
      </c>
      <c r="D552" s="2" t="s">
        <v>1497</v>
      </c>
      <c r="E552" s="2" t="s">
        <v>1498</v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 customFormat="false" ht="15" hidden="false" customHeight="false" outlineLevel="0" collapsed="false">
      <c r="A553" s="2" t="n">
        <v>2</v>
      </c>
      <c r="B553" s="2" t="s">
        <v>1499</v>
      </c>
      <c r="C553" s="2" t="s">
        <v>1500</v>
      </c>
      <c r="D553" s="2" t="s">
        <v>1501</v>
      </c>
      <c r="E553" s="2" t="s">
        <v>1502</v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 customFormat="false" ht="15" hidden="false" customHeight="false" outlineLevel="0" collapsed="false">
      <c r="A554" s="2" t="n">
        <v>3</v>
      </c>
      <c r="B554" s="2" t="s">
        <v>1503</v>
      </c>
      <c r="C554" s="2" t="s">
        <v>1504</v>
      </c>
      <c r="D554" s="2" t="s">
        <v>1501</v>
      </c>
      <c r="E554" s="2" t="s">
        <v>1502</v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 customFormat="false" ht="15" hidden="false" customHeight="false" outlineLevel="0" collapsed="false">
      <c r="A555" s="2" t="n">
        <v>2</v>
      </c>
      <c r="B555" s="2" t="s">
        <v>1505</v>
      </c>
      <c r="C555" s="2" t="s">
        <v>1506</v>
      </c>
      <c r="D555" s="2" t="s">
        <v>1458</v>
      </c>
      <c r="E555" s="2" t="s">
        <v>1437</v>
      </c>
      <c r="F555" s="2" t="n">
        <v>463451.924135941</v>
      </c>
      <c r="G555" s="2" t="n">
        <v>0</v>
      </c>
      <c r="H555" s="2" t="n">
        <v>463451.924135941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66.24</v>
      </c>
      <c r="CZ555" s="2" t="n">
        <v>0</v>
      </c>
      <c r="DA555" s="2" t="n">
        <v>73.35</v>
      </c>
      <c r="DB555" s="2" t="n">
        <v>75.57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</v>
      </c>
      <c r="DI555" s="2" t="n">
        <v>0</v>
      </c>
      <c r="DJ555" s="2" t="n">
        <v>93.57</v>
      </c>
      <c r="DK555" s="2" t="n">
        <v>93.65</v>
      </c>
      <c r="DL555" s="2" t="n">
        <v>0</v>
      </c>
      <c r="DM555" s="2" t="n">
        <v>93.68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 customFormat="false" ht="15" hidden="false" customHeight="false" outlineLevel="0" collapsed="false">
      <c r="A556" s="2" t="n">
        <v>3</v>
      </c>
      <c r="B556" s="2" t="s">
        <v>1507</v>
      </c>
      <c r="C556" s="2" t="s">
        <v>1508</v>
      </c>
      <c r="D556" s="2" t="s">
        <v>1458</v>
      </c>
      <c r="E556" s="2" t="s">
        <v>1437</v>
      </c>
      <c r="F556" s="2" t="n">
        <v>34390.000799</v>
      </c>
      <c r="G556" s="2" t="n">
        <v>0</v>
      </c>
      <c r="H556" s="2" t="n">
        <v>34390.000799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66.24</v>
      </c>
      <c r="CZ556" s="2" t="n">
        <v>0</v>
      </c>
      <c r="DA556" s="2" t="n">
        <v>73.35</v>
      </c>
      <c r="DB556" s="2" t="n">
        <v>75.57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</v>
      </c>
      <c r="DI556" s="2" t="n">
        <v>0</v>
      </c>
      <c r="DJ556" s="2" t="n">
        <v>93.57</v>
      </c>
      <c r="DK556" s="2" t="n">
        <v>93.65</v>
      </c>
      <c r="DL556" s="2" t="n">
        <v>0</v>
      </c>
      <c r="DM556" s="2" t="n">
        <v>93.68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 customFormat="false" ht="15" hidden="false" customHeight="false" outlineLevel="0" collapsed="false">
      <c r="A557" s="2" t="n">
        <v>3</v>
      </c>
      <c r="B557" s="2" t="s">
        <v>1509</v>
      </c>
      <c r="C557" s="2" t="s">
        <v>1510</v>
      </c>
      <c r="D557" s="2" t="s">
        <v>1458</v>
      </c>
      <c r="E557" s="2" t="s">
        <v>1437</v>
      </c>
      <c r="F557" s="2" t="n">
        <v>8389.843515</v>
      </c>
      <c r="G557" s="2" t="n">
        <v>0</v>
      </c>
      <c r="H557" s="2" t="n">
        <v>8389.843515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66.24</v>
      </c>
      <c r="CZ557" s="2" t="n">
        <v>0</v>
      </c>
      <c r="DA557" s="2" t="n">
        <v>73.35</v>
      </c>
      <c r="DB557" s="2" t="n">
        <v>75.57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</v>
      </c>
      <c r="DI557" s="2" t="n">
        <v>0</v>
      </c>
      <c r="DJ557" s="2" t="n">
        <v>93.57</v>
      </c>
      <c r="DK557" s="2" t="n">
        <v>93.65</v>
      </c>
      <c r="DL557" s="2" t="n">
        <v>0</v>
      </c>
      <c r="DM557" s="2" t="n">
        <v>93.68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 customFormat="false" ht="15" hidden="false" customHeight="false" outlineLevel="0" collapsed="false">
      <c r="A558" s="2" t="n">
        <v>3</v>
      </c>
      <c r="B558" s="2" t="s">
        <v>1511</v>
      </c>
      <c r="C558" s="2" t="s">
        <v>1512</v>
      </c>
      <c r="D558" s="2" t="s">
        <v>1458</v>
      </c>
      <c r="E558" s="2" t="s">
        <v>1437</v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66.24</v>
      </c>
      <c r="CZ558" s="2" t="n">
        <v>0</v>
      </c>
      <c r="DA558" s="2" t="n">
        <v>73.35</v>
      </c>
      <c r="DB558" s="2" t="n">
        <v>75.57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</v>
      </c>
      <c r="DI558" s="2" t="n">
        <v>0</v>
      </c>
      <c r="DJ558" s="2" t="n">
        <v>93.57</v>
      </c>
      <c r="DK558" s="2" t="n">
        <v>93.65</v>
      </c>
      <c r="DL558" s="2" t="n">
        <v>0</v>
      </c>
      <c r="DM558" s="2" t="n">
        <v>93.68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 customFormat="false" ht="15" hidden="false" customHeight="false" outlineLevel="0" collapsed="false">
      <c r="A559" s="2" t="n">
        <v>3</v>
      </c>
      <c r="B559" s="2" t="s">
        <v>1513</v>
      </c>
      <c r="C559" s="2" t="s">
        <v>1514</v>
      </c>
      <c r="D559" s="2" t="s">
        <v>1458</v>
      </c>
      <c r="E559" s="2" t="s">
        <v>1437</v>
      </c>
      <c r="F559" s="2" t="n">
        <v>142032.605583221</v>
      </c>
      <c r="G559" s="2" t="n">
        <v>0</v>
      </c>
      <c r="H559" s="2" t="n">
        <v>142032.605583221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66.24</v>
      </c>
      <c r="CZ559" s="2" t="n">
        <v>0</v>
      </c>
      <c r="DA559" s="2" t="n">
        <v>73.35</v>
      </c>
      <c r="DB559" s="2" t="n">
        <v>75.57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</v>
      </c>
      <c r="DI559" s="2" t="n">
        <v>0</v>
      </c>
      <c r="DJ559" s="2" t="n">
        <v>93.57</v>
      </c>
      <c r="DK559" s="2" t="n">
        <v>93.65</v>
      </c>
      <c r="DL559" s="2" t="n">
        <v>0</v>
      </c>
      <c r="DM559" s="2" t="n">
        <v>93.68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 customFormat="false" ht="15" hidden="false" customHeight="false" outlineLevel="0" collapsed="false">
      <c r="A560" s="2" t="n">
        <v>3</v>
      </c>
      <c r="B560" s="2" t="s">
        <v>1515</v>
      </c>
      <c r="C560" s="2" t="s">
        <v>1516</v>
      </c>
      <c r="D560" s="2" t="s">
        <v>1458</v>
      </c>
      <c r="E560" s="2" t="s">
        <v>1437</v>
      </c>
      <c r="F560" s="2" t="n">
        <v>35118.189456</v>
      </c>
      <c r="G560" s="2" t="n">
        <v>0</v>
      </c>
      <c r="H560" s="2" t="n">
        <v>35118.189456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66.24</v>
      </c>
      <c r="CZ560" s="2" t="n">
        <v>0</v>
      </c>
      <c r="DA560" s="2" t="n">
        <v>73.35</v>
      </c>
      <c r="DB560" s="2" t="n">
        <v>75.57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</v>
      </c>
      <c r="DI560" s="2" t="n">
        <v>0</v>
      </c>
      <c r="DJ560" s="2" t="n">
        <v>93.57</v>
      </c>
      <c r="DK560" s="2" t="n">
        <v>93.65</v>
      </c>
      <c r="DL560" s="2" t="n">
        <v>0</v>
      </c>
      <c r="DM560" s="2" t="n">
        <v>93.68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 customFormat="false" ht="15" hidden="false" customHeight="false" outlineLevel="0" collapsed="false">
      <c r="A561" s="2" t="n">
        <v>3</v>
      </c>
      <c r="B561" s="2" t="s">
        <v>1517</v>
      </c>
      <c r="C561" s="2" t="s">
        <v>1518</v>
      </c>
      <c r="D561" s="2" t="s">
        <v>1458</v>
      </c>
      <c r="E561" s="2" t="s">
        <v>1437</v>
      </c>
      <c r="F561" s="2" t="n">
        <v>81383.61</v>
      </c>
      <c r="G561" s="2" t="n">
        <v>0</v>
      </c>
      <c r="H561" s="2" t="n">
        <v>81383.61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66.24</v>
      </c>
      <c r="CZ561" s="2" t="n">
        <v>0</v>
      </c>
      <c r="DA561" s="2" t="n">
        <v>73.35</v>
      </c>
      <c r="DB561" s="2" t="n">
        <v>75.57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</v>
      </c>
      <c r="DI561" s="2" t="n">
        <v>0</v>
      </c>
      <c r="DJ561" s="2" t="n">
        <v>93.57</v>
      </c>
      <c r="DK561" s="2" t="n">
        <v>93.65</v>
      </c>
      <c r="DL561" s="2" t="n">
        <v>0</v>
      </c>
      <c r="DM561" s="2" t="n">
        <v>93.68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 customFormat="false" ht="15" hidden="false" customHeight="false" outlineLevel="0" collapsed="false">
      <c r="A562" s="2" t="n">
        <v>3</v>
      </c>
      <c r="B562" s="2" t="s">
        <v>1519</v>
      </c>
      <c r="C562" s="126" t="s">
        <v>1520</v>
      </c>
      <c r="D562" s="2" t="s">
        <v>1458</v>
      </c>
      <c r="E562" s="2" t="s">
        <v>1437</v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66.24</v>
      </c>
      <c r="CZ562" s="2" t="n">
        <v>0</v>
      </c>
      <c r="DA562" s="2" t="n">
        <v>73.35</v>
      </c>
      <c r="DB562" s="2" t="n">
        <v>75.57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</v>
      </c>
      <c r="DI562" s="2" t="n">
        <v>0</v>
      </c>
      <c r="DJ562" s="2" t="n">
        <v>93.57</v>
      </c>
      <c r="DK562" s="2" t="n">
        <v>93.65</v>
      </c>
      <c r="DL562" s="2" t="n">
        <v>0</v>
      </c>
      <c r="DM562" s="2" t="n">
        <v>93.68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 customFormat="false" ht="15" hidden="false" customHeight="false" outlineLevel="0" collapsed="false">
      <c r="A563" s="2" t="n">
        <v>1</v>
      </c>
      <c r="B563" s="2" t="s">
        <v>185</v>
      </c>
      <c r="C563" s="2" t="s">
        <v>186</v>
      </c>
      <c r="D563" s="2" t="s">
        <v>1461</v>
      </c>
      <c r="E563" s="2" t="s">
        <v>1521</v>
      </c>
      <c r="F563" s="2" t="n">
        <v>3236182.08943704</v>
      </c>
      <c r="G563" s="2" t="n">
        <v>0</v>
      </c>
      <c r="H563" s="2" t="n">
        <v>3236182.08943704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73.74</v>
      </c>
      <c r="DU563" s="2" t="n">
        <v>0</v>
      </c>
      <c r="DV563" s="2" t="n">
        <v>81.82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 customFormat="false" ht="15" hidden="false" customHeight="false" outlineLevel="0" collapsed="false">
      <c r="A564" s="2" t="n">
        <v>2</v>
      </c>
      <c r="B564" s="2" t="s">
        <v>1522</v>
      </c>
      <c r="C564" s="2" t="s">
        <v>1523</v>
      </c>
      <c r="D564" s="2" t="s">
        <v>1461</v>
      </c>
      <c r="E564" s="2" t="s">
        <v>1521</v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73.74</v>
      </c>
      <c r="DU564" s="2" t="n">
        <v>0</v>
      </c>
      <c r="DV564" s="2" t="n">
        <v>81.82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 customFormat="false" ht="15" hidden="false" customHeight="false" outlineLevel="0" collapsed="false">
      <c r="A565" s="2" t="n">
        <v>2</v>
      </c>
      <c r="B565" s="2" t="s">
        <v>1524</v>
      </c>
      <c r="C565" s="2" t="s">
        <v>1525</v>
      </c>
      <c r="D565" s="2" t="s">
        <v>1461</v>
      </c>
      <c r="E565" s="2" t="s">
        <v>1521</v>
      </c>
      <c r="F565" s="2" t="n">
        <v>963333.333333333</v>
      </c>
      <c r="G565" s="2" t="n">
        <v>0</v>
      </c>
      <c r="H565" s="2" t="n">
        <v>963333.333333333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73.74</v>
      </c>
      <c r="DU565" s="2" t="n">
        <v>0</v>
      </c>
      <c r="DV565" s="2" t="n">
        <v>81.82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 customFormat="false" ht="15" hidden="false" customHeight="false" outlineLevel="0" collapsed="false">
      <c r="A566" s="2" t="n">
        <v>2</v>
      </c>
      <c r="B566" s="2" t="s">
        <v>1526</v>
      </c>
      <c r="C566" s="2" t="s">
        <v>1527</v>
      </c>
      <c r="D566" s="2" t="s">
        <v>1461</v>
      </c>
      <c r="E566" s="2" t="s">
        <v>1521</v>
      </c>
      <c r="F566" s="2" t="n">
        <v>1926666.66666667</v>
      </c>
      <c r="G566" s="2" t="n">
        <v>0</v>
      </c>
      <c r="H566" s="2" t="n">
        <v>1926666.66666667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73.74</v>
      </c>
      <c r="DU566" s="2" t="n">
        <v>0</v>
      </c>
      <c r="DV566" s="2" t="n">
        <v>81.82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 customFormat="false" ht="15" hidden="false" customHeight="false" outlineLevel="0" collapsed="false">
      <c r="A567" s="2" t="n">
        <v>2</v>
      </c>
      <c r="B567" s="2" t="s">
        <v>1528</v>
      </c>
      <c r="C567" s="2" t="s">
        <v>1529</v>
      </c>
      <c r="D567" s="2" t="s">
        <v>1461</v>
      </c>
      <c r="E567" s="2" t="s">
        <v>1521</v>
      </c>
      <c r="F567" s="2" t="n">
        <v>26182.0894370387</v>
      </c>
      <c r="G567" s="2" t="n">
        <v>0</v>
      </c>
      <c r="H567" s="2" t="n">
        <v>26182.0894370387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73.74</v>
      </c>
      <c r="DU567" s="2" t="n">
        <v>0</v>
      </c>
      <c r="DV567" s="2" t="n">
        <v>81.82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 customFormat="false" ht="15" hidden="false" customHeight="false" outlineLevel="0" collapsed="false">
      <c r="A568" s="2" t="n">
        <v>2</v>
      </c>
      <c r="B568" s="2" t="s">
        <v>1530</v>
      </c>
      <c r="C568" s="2" t="s">
        <v>1531</v>
      </c>
      <c r="D568" s="2" t="s">
        <v>1461</v>
      </c>
      <c r="E568" s="2" t="s">
        <v>1521</v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73.74</v>
      </c>
      <c r="DU568" s="2" t="n">
        <v>0</v>
      </c>
      <c r="DV568" s="2" t="n">
        <v>81.82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 customFormat="false" ht="15" hidden="false" customHeight="false" outlineLevel="0" collapsed="false">
      <c r="A569" s="2" t="n">
        <v>2</v>
      </c>
      <c r="B569" s="2" t="s">
        <v>1532</v>
      </c>
      <c r="C569" s="2" t="s">
        <v>1533</v>
      </c>
      <c r="D569" s="2" t="s">
        <v>1461</v>
      </c>
      <c r="E569" s="2" t="s">
        <v>1521</v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73.74</v>
      </c>
      <c r="DU569" s="2" t="n">
        <v>0</v>
      </c>
      <c r="DV569" s="2" t="n">
        <v>81.82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 customFormat="false" ht="15" hidden="false" customHeight="false" outlineLevel="0" collapsed="false">
      <c r="A570" s="2" t="n">
        <v>2</v>
      </c>
      <c r="B570" s="2" t="s">
        <v>1534</v>
      </c>
      <c r="C570" s="2" t="s">
        <v>1535</v>
      </c>
      <c r="D570" s="2" t="s">
        <v>1461</v>
      </c>
      <c r="E570" s="2" t="s">
        <v>1521</v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73.74</v>
      </c>
      <c r="DU570" s="2" t="n">
        <v>0</v>
      </c>
      <c r="DV570" s="2" t="n">
        <v>81.82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 customFormat="false" ht="15" hidden="false" customHeight="false" outlineLevel="0" collapsed="false">
      <c r="A571" s="2" t="n">
        <v>1</v>
      </c>
      <c r="B571" s="2" t="s">
        <v>189</v>
      </c>
      <c r="C571" s="2" t="s">
        <v>190</v>
      </c>
      <c r="D571" s="2" t="s">
        <v>1536</v>
      </c>
      <c r="E571" s="2" t="s">
        <v>1537</v>
      </c>
      <c r="F571" s="2" t="n">
        <v>11181479.7440271</v>
      </c>
      <c r="G571" s="2" t="n">
        <v>0</v>
      </c>
      <c r="H571" s="2" t="n">
        <v>11181479.7440271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</v>
      </c>
      <c r="DQ571" s="2" t="n">
        <v>68.87</v>
      </c>
      <c r="DR571" s="2" t="n">
        <v>0</v>
      </c>
      <c r="DS571" s="2" t="n">
        <v>75.76</v>
      </c>
      <c r="DT571" s="2" t="n">
        <v>79.82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96.21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 customFormat="false" ht="15" hidden="false" customHeight="false" outlineLevel="0" collapsed="false">
      <c r="A572" s="2" t="n">
        <v>2</v>
      </c>
      <c r="B572" s="2" t="s">
        <v>1538</v>
      </c>
      <c r="C572" s="2" t="s">
        <v>1539</v>
      </c>
      <c r="D572" s="2" t="s">
        <v>1536</v>
      </c>
      <c r="E572" s="2" t="s">
        <v>1537</v>
      </c>
      <c r="F572" s="2" t="n">
        <v>11181479.7440271</v>
      </c>
      <c r="G572" s="2" t="n">
        <v>0</v>
      </c>
      <c r="H572" s="2" t="n">
        <v>11181479.7440271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</v>
      </c>
      <c r="DQ572" s="2" t="n">
        <v>68.87</v>
      </c>
      <c r="DR572" s="2" t="n">
        <v>0</v>
      </c>
      <c r="DS572" s="2" t="n">
        <v>75.76</v>
      </c>
      <c r="DT572" s="2" t="n">
        <v>79.82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96.21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 customFormat="false" ht="15" hidden="false" customHeight="false" outlineLevel="0" collapsed="false">
      <c r="A573" s="2" t="n">
        <v>3</v>
      </c>
      <c r="B573" s="2" t="s">
        <v>1540</v>
      </c>
      <c r="C573" s="2" t="s">
        <v>1541</v>
      </c>
      <c r="D573" s="2" t="s">
        <v>1536</v>
      </c>
      <c r="E573" s="2" t="s">
        <v>1537</v>
      </c>
      <c r="F573" s="2" t="n">
        <v>846000.830503297</v>
      </c>
      <c r="G573" s="2" t="n">
        <v>0</v>
      </c>
      <c r="H573" s="2" t="n">
        <v>846000.830503297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71.24</v>
      </c>
      <c r="DR573" s="2" t="n">
        <v>0</v>
      </c>
      <c r="DS573" s="2" t="n">
        <v>78.21</v>
      </c>
      <c r="DT573" s="2" t="n">
        <v>80.42</v>
      </c>
      <c r="DU573" s="2" t="n">
        <v>0</v>
      </c>
      <c r="DV573" s="2" t="n">
        <v>86.55</v>
      </c>
      <c r="DW573" s="2" t="n">
        <v>89.65</v>
      </c>
      <c r="DX573" s="2" t="n">
        <v>0</v>
      </c>
      <c r="DY573" s="2" t="n">
        <v>95.18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 customFormat="false" ht="15" hidden="false" customHeight="false" outlineLevel="0" collapsed="false">
      <c r="A574" s="2" t="n">
        <v>3</v>
      </c>
      <c r="B574" s="2" t="s">
        <v>1542</v>
      </c>
      <c r="C574" s="2" t="s">
        <v>1539</v>
      </c>
      <c r="D574" s="2" t="s">
        <v>1536</v>
      </c>
      <c r="E574" s="2" t="s">
        <v>1537</v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71.24</v>
      </c>
      <c r="DR574" s="2" t="n">
        <v>0</v>
      </c>
      <c r="DS574" s="2" t="n">
        <v>78.21</v>
      </c>
      <c r="DT574" s="2" t="n">
        <v>80.42</v>
      </c>
      <c r="DU574" s="2" t="n">
        <v>0</v>
      </c>
      <c r="DV574" s="2" t="n">
        <v>86.55</v>
      </c>
      <c r="DW574" s="2" t="n">
        <v>89.65</v>
      </c>
      <c r="DX574" s="2" t="n">
        <v>0</v>
      </c>
      <c r="DY574" s="2" t="n">
        <v>95.18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 customFormat="false" ht="15" hidden="false" customHeight="false" outlineLevel="0" collapsed="false">
      <c r="A575" s="2" t="n">
        <v>3</v>
      </c>
      <c r="B575" s="2" t="s">
        <v>1543</v>
      </c>
      <c r="C575" s="2" t="s">
        <v>1544</v>
      </c>
      <c r="D575" s="2" t="s">
        <v>1536</v>
      </c>
      <c r="E575" s="2" t="s">
        <v>1537</v>
      </c>
      <c r="F575" s="2" t="n">
        <v>206508.523809524</v>
      </c>
      <c r="G575" s="2" t="n">
        <v>0</v>
      </c>
      <c r="H575" s="2" t="n">
        <v>206508.523809524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71.24</v>
      </c>
      <c r="DR575" s="2" t="n">
        <v>0</v>
      </c>
      <c r="DS575" s="2" t="n">
        <v>78.21</v>
      </c>
      <c r="DT575" s="2" t="n">
        <v>80.42</v>
      </c>
      <c r="DU575" s="2" t="n">
        <v>0</v>
      </c>
      <c r="DV575" s="2" t="n">
        <v>86.55</v>
      </c>
      <c r="DW575" s="2" t="n">
        <v>89.65</v>
      </c>
      <c r="DX575" s="2" t="n">
        <v>0</v>
      </c>
      <c r="DY575" s="2" t="n">
        <v>95.18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 customFormat="false" ht="15" hidden="false" customHeight="false" outlineLevel="0" collapsed="false">
      <c r="A576" s="2" t="n">
        <v>3</v>
      </c>
      <c r="B576" s="2" t="s">
        <v>1545</v>
      </c>
      <c r="C576" s="2" t="s">
        <v>1546</v>
      </c>
      <c r="D576" s="2" t="s">
        <v>1547</v>
      </c>
      <c r="E576" s="2" t="s">
        <v>1548</v>
      </c>
      <c r="F576" s="2" t="n">
        <v>433114.285714286</v>
      </c>
      <c r="G576" s="2" t="n">
        <v>0</v>
      </c>
      <c r="H576" s="2" t="n">
        <v>433114.285714286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 customFormat="false" ht="15" hidden="false" customHeight="false" outlineLevel="0" collapsed="false">
      <c r="A577" s="2" t="n">
        <v>3</v>
      </c>
      <c r="B577" s="2" t="s">
        <v>1549</v>
      </c>
      <c r="C577" s="2" t="s">
        <v>1550</v>
      </c>
      <c r="D577" s="2" t="s">
        <v>1536</v>
      </c>
      <c r="E577" s="2" t="s">
        <v>1537</v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71.24</v>
      </c>
      <c r="DR577" s="2" t="n">
        <v>0</v>
      </c>
      <c r="DS577" s="2" t="n">
        <v>78.21</v>
      </c>
      <c r="DT577" s="2" t="n">
        <v>80.42</v>
      </c>
      <c r="DU577" s="2" t="n">
        <v>0</v>
      </c>
      <c r="DV577" s="2" t="n">
        <v>86.55</v>
      </c>
      <c r="DW577" s="2" t="n">
        <v>89.65</v>
      </c>
      <c r="DX577" s="2" t="n">
        <v>0</v>
      </c>
      <c r="DY577" s="2" t="n">
        <v>95.18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 customFormat="false" ht="15" hidden="false" customHeight="false" outlineLevel="0" collapsed="false">
      <c r="A578" s="2" t="n">
        <v>3</v>
      </c>
      <c r="B578" s="2" t="s">
        <v>1551</v>
      </c>
      <c r="C578" s="2" t="s">
        <v>1552</v>
      </c>
      <c r="D578" s="2" t="s">
        <v>1536</v>
      </c>
      <c r="E578" s="2" t="s">
        <v>1537</v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71.24</v>
      </c>
      <c r="DR578" s="2" t="n">
        <v>0</v>
      </c>
      <c r="DS578" s="2" t="n">
        <v>78.21</v>
      </c>
      <c r="DT578" s="2" t="n">
        <v>80.42</v>
      </c>
      <c r="DU578" s="2" t="n">
        <v>0</v>
      </c>
      <c r="DV578" s="2" t="n">
        <v>86.55</v>
      </c>
      <c r="DW578" s="2" t="n">
        <v>89.65</v>
      </c>
      <c r="DX578" s="2" t="n">
        <v>0</v>
      </c>
      <c r="DY578" s="2" t="n">
        <v>95.18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 customFormat="false" ht="15" hidden="false" customHeight="false" outlineLevel="0" collapsed="false">
      <c r="A579" s="2" t="n">
        <v>1</v>
      </c>
      <c r="B579" s="2" t="s">
        <v>193</v>
      </c>
      <c r="C579" s="2" t="s">
        <v>194</v>
      </c>
      <c r="D579" s="2" t="s">
        <v>1553</v>
      </c>
      <c r="E579" s="2" t="s">
        <v>1554</v>
      </c>
      <c r="F579" s="2" t="n">
        <v>482766.757056559</v>
      </c>
      <c r="G579" s="2" t="n">
        <v>0</v>
      </c>
      <c r="H579" s="2" t="n">
        <v>482766.757056559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</v>
      </c>
      <c r="EA579" s="2" t="n">
        <v>0</v>
      </c>
      <c r="EB579" s="2" t="n">
        <v>80.57</v>
      </c>
      <c r="EC579" s="2" t="n">
        <v>97.99</v>
      </c>
      <c r="ED579" s="2" t="n">
        <v>0</v>
      </c>
      <c r="EE579" s="2" t="n">
        <v>98.74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 customFormat="false" ht="15" hidden="false" customHeight="false" outlineLevel="0" collapsed="false">
      <c r="A580" s="2" t="n">
        <v>2</v>
      </c>
      <c r="B580" s="2" t="s">
        <v>1555</v>
      </c>
      <c r="C580" s="2" t="s">
        <v>1556</v>
      </c>
      <c r="D580" s="2" t="s">
        <v>1557</v>
      </c>
      <c r="E580" s="2" t="s">
        <v>1558</v>
      </c>
      <c r="F580" s="2" t="n">
        <v>164554.833201495</v>
      </c>
      <c r="G580" s="2" t="n">
        <v>0</v>
      </c>
      <c r="H580" s="2" t="n">
        <v>164554.833201495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 customFormat="false" ht="15" hidden="false" customHeight="false" outlineLevel="0" collapsed="false">
      <c r="A581" s="2" t="n">
        <v>3</v>
      </c>
      <c r="B581" s="2" t="s">
        <v>1559</v>
      </c>
      <c r="C581" s="2" t="s">
        <v>1560</v>
      </c>
      <c r="D581" s="2" t="s">
        <v>1557</v>
      </c>
      <c r="E581" s="2" t="s">
        <v>1558</v>
      </c>
      <c r="F581" s="2" t="n">
        <v>155012.610205276</v>
      </c>
      <c r="G581" s="2" t="n">
        <v>0</v>
      </c>
      <c r="H581" s="2" t="n">
        <v>155012.610205276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 customFormat="false" ht="15" hidden="false" customHeight="false" outlineLevel="0" collapsed="false">
      <c r="A582" s="2" t="n">
        <v>3</v>
      </c>
      <c r="B582" s="2" t="s">
        <v>1561</v>
      </c>
      <c r="C582" s="2" t="s">
        <v>1562</v>
      </c>
      <c r="D582" s="2" t="s">
        <v>1557</v>
      </c>
      <c r="E582" s="2" t="s">
        <v>1558</v>
      </c>
      <c r="F582" s="2" t="n">
        <v>3252.22299621895</v>
      </c>
      <c r="G582" s="2" t="n">
        <v>0</v>
      </c>
      <c r="H582" s="2" t="n">
        <v>3252.22299621895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 customFormat="false" ht="15" hidden="false" customHeight="false" outlineLevel="0" collapsed="false">
      <c r="A583" s="2" t="n">
        <v>3</v>
      </c>
      <c r="B583" s="2" t="s">
        <v>1563</v>
      </c>
      <c r="C583" s="2" t="s">
        <v>1564</v>
      </c>
      <c r="D583" s="2" t="s">
        <v>1557</v>
      </c>
      <c r="E583" s="2" t="s">
        <v>1558</v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 customFormat="false" ht="15" hidden="false" customHeight="false" outlineLevel="0" collapsed="false">
      <c r="A584" s="2" t="n">
        <v>3</v>
      </c>
      <c r="B584" s="2" t="s">
        <v>1565</v>
      </c>
      <c r="C584" s="2" t="s">
        <v>1566</v>
      </c>
      <c r="D584" s="2" t="s">
        <v>1557</v>
      </c>
      <c r="E584" s="2" t="s">
        <v>1558</v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 customFormat="false" ht="15" hidden="false" customHeight="false" outlineLevel="0" collapsed="false">
      <c r="A585" s="2" t="n">
        <v>2</v>
      </c>
      <c r="B585" s="2" t="s">
        <v>1567</v>
      </c>
      <c r="C585" s="2" t="s">
        <v>1568</v>
      </c>
      <c r="D585" s="2" t="s">
        <v>1553</v>
      </c>
      <c r="E585" s="2" t="s">
        <v>1569</v>
      </c>
      <c r="F585" s="2" t="n">
        <v>1943.18733758524</v>
      </c>
      <c r="G585" s="2" t="n">
        <v>0</v>
      </c>
      <c r="H585" s="2" t="n">
        <v>1943.18733758524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</v>
      </c>
      <c r="DF585" s="2" t="n">
        <v>0</v>
      </c>
      <c r="DG585" s="2" t="n">
        <v>71.43</v>
      </c>
      <c r="DH585" s="2" t="n">
        <v>71.43</v>
      </c>
      <c r="DI585" s="2" t="n">
        <v>0</v>
      </c>
      <c r="DJ585" s="2" t="n">
        <v>71.43</v>
      </c>
      <c r="DK585" s="2" t="n">
        <v>75.24</v>
      </c>
      <c r="DL585" s="2" t="n">
        <v>0</v>
      </c>
      <c r="DM585" s="2" t="n">
        <v>98.1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 customFormat="false" ht="15" hidden="false" customHeight="false" outlineLevel="0" collapsed="false">
      <c r="A586" s="2" t="n">
        <v>3</v>
      </c>
      <c r="B586" s="2" t="s">
        <v>1570</v>
      </c>
      <c r="C586" s="2" t="s">
        <v>1571</v>
      </c>
      <c r="D586" s="2" t="s">
        <v>1553</v>
      </c>
      <c r="E586" s="2" t="s">
        <v>1569</v>
      </c>
      <c r="F586" s="2" t="n">
        <v>914.441100040115</v>
      </c>
      <c r="G586" s="2" t="n">
        <v>0</v>
      </c>
      <c r="H586" s="2" t="n">
        <v>914.441100040115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</v>
      </c>
      <c r="DF586" s="2" t="n">
        <v>0</v>
      </c>
      <c r="DG586" s="2" t="n">
        <v>71.43</v>
      </c>
      <c r="DH586" s="2" t="n">
        <v>71.43</v>
      </c>
      <c r="DI586" s="2" t="n">
        <v>0</v>
      </c>
      <c r="DJ586" s="2" t="n">
        <v>71.43</v>
      </c>
      <c r="DK586" s="2" t="n">
        <v>75.24</v>
      </c>
      <c r="DL586" s="2" t="n">
        <v>0</v>
      </c>
      <c r="DM586" s="2" t="n">
        <v>98.1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 customFormat="false" ht="15" hidden="false" customHeight="false" outlineLevel="0" collapsed="false">
      <c r="A587" s="2" t="n">
        <v>3</v>
      </c>
      <c r="B587" s="2" t="s">
        <v>1572</v>
      </c>
      <c r="C587" s="2" t="s">
        <v>1573</v>
      </c>
      <c r="D587" s="2" t="s">
        <v>1553</v>
      </c>
      <c r="E587" s="2" t="s">
        <v>1569</v>
      </c>
      <c r="F587" s="2" t="n">
        <v>1028.74623754513</v>
      </c>
      <c r="G587" s="2" t="n">
        <v>0</v>
      </c>
      <c r="H587" s="2" t="n">
        <v>1028.74623754513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</v>
      </c>
      <c r="DF587" s="2" t="n">
        <v>0</v>
      </c>
      <c r="DG587" s="2" t="n">
        <v>71.43</v>
      </c>
      <c r="DH587" s="2" t="n">
        <v>71.43</v>
      </c>
      <c r="DI587" s="2" t="n">
        <v>0</v>
      </c>
      <c r="DJ587" s="2" t="n">
        <v>71.43</v>
      </c>
      <c r="DK587" s="2" t="n">
        <v>75.24</v>
      </c>
      <c r="DL587" s="2" t="n">
        <v>0</v>
      </c>
      <c r="DM587" s="2" t="n">
        <v>98.1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 customFormat="false" ht="15" hidden="false" customHeight="false" outlineLevel="0" collapsed="false">
      <c r="A588" s="2" t="n">
        <v>2</v>
      </c>
      <c r="B588" s="2" t="s">
        <v>1574</v>
      </c>
      <c r="C588" s="2" t="s">
        <v>1575</v>
      </c>
      <c r="D588" s="2" t="s">
        <v>1553</v>
      </c>
      <c r="E588" s="2" t="s">
        <v>1569</v>
      </c>
      <c r="F588" s="2" t="n">
        <v>9383.90747898308</v>
      </c>
      <c r="G588" s="2" t="n">
        <v>0</v>
      </c>
      <c r="H588" s="2" t="n">
        <v>9383.90747898308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</v>
      </c>
      <c r="DF588" s="2" t="n">
        <v>0</v>
      </c>
      <c r="DG588" s="2" t="n">
        <v>71.43</v>
      </c>
      <c r="DH588" s="2" t="n">
        <v>71.43</v>
      </c>
      <c r="DI588" s="2" t="n">
        <v>0</v>
      </c>
      <c r="DJ588" s="2" t="n">
        <v>71.43</v>
      </c>
      <c r="DK588" s="2" t="n">
        <v>75.24</v>
      </c>
      <c r="DL588" s="2" t="n">
        <v>0</v>
      </c>
      <c r="DM588" s="2" t="n">
        <v>98.1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 customFormat="false" ht="15" hidden="false" customHeight="false" outlineLevel="0" collapsed="false">
      <c r="A589" s="2" t="n">
        <v>3</v>
      </c>
      <c r="B589" s="2" t="s">
        <v>1576</v>
      </c>
      <c r="C589" s="2" t="s">
        <v>1577</v>
      </c>
      <c r="D589" s="2" t="s">
        <v>1553</v>
      </c>
      <c r="E589" s="2" t="s">
        <v>1569</v>
      </c>
      <c r="F589" s="2" t="n">
        <v>4245.61939304339</v>
      </c>
      <c r="G589" s="2" t="n">
        <v>0</v>
      </c>
      <c r="H589" s="2" t="n">
        <v>4245.61939304339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</v>
      </c>
      <c r="DF589" s="2" t="n">
        <v>0</v>
      </c>
      <c r="DG589" s="2" t="n">
        <v>71.43</v>
      </c>
      <c r="DH589" s="2" t="n">
        <v>71.43</v>
      </c>
      <c r="DI589" s="2" t="n">
        <v>0</v>
      </c>
      <c r="DJ589" s="2" t="n">
        <v>71.43</v>
      </c>
      <c r="DK589" s="2" t="n">
        <v>75.24</v>
      </c>
      <c r="DL589" s="2" t="n">
        <v>0</v>
      </c>
      <c r="DM589" s="2" t="n">
        <v>98.1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 customFormat="false" ht="15" hidden="false" customHeight="false" outlineLevel="0" collapsed="false">
      <c r="A590" s="2" t="n">
        <v>3</v>
      </c>
      <c r="B590" s="2" t="s">
        <v>1578</v>
      </c>
      <c r="C590" s="2" t="s">
        <v>1579</v>
      </c>
      <c r="D590" s="2" t="s">
        <v>1553</v>
      </c>
      <c r="E590" s="2" t="s">
        <v>1569</v>
      </c>
      <c r="F590" s="2" t="n">
        <v>2438.50960010697</v>
      </c>
      <c r="G590" s="2" t="n">
        <v>0</v>
      </c>
      <c r="H590" s="2" t="n">
        <v>2438.50960010697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</v>
      </c>
      <c r="DF590" s="2" t="n">
        <v>0</v>
      </c>
      <c r="DG590" s="2" t="n">
        <v>71.43</v>
      </c>
      <c r="DH590" s="2" t="n">
        <v>71.43</v>
      </c>
      <c r="DI590" s="2" t="n">
        <v>0</v>
      </c>
      <c r="DJ590" s="2" t="n">
        <v>71.43</v>
      </c>
      <c r="DK590" s="2" t="n">
        <v>75.24</v>
      </c>
      <c r="DL590" s="2" t="n">
        <v>0</v>
      </c>
      <c r="DM590" s="2" t="n">
        <v>98.1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 customFormat="false" ht="15" hidden="false" customHeight="false" outlineLevel="0" collapsed="false">
      <c r="A591" s="2" t="n">
        <v>3</v>
      </c>
      <c r="B591" s="2" t="s">
        <v>1580</v>
      </c>
      <c r="C591" s="2" t="s">
        <v>1581</v>
      </c>
      <c r="D591" s="2" t="s">
        <v>1553</v>
      </c>
      <c r="E591" s="2" t="s">
        <v>1569</v>
      </c>
      <c r="F591" s="2" t="n">
        <v>2438.50960010697</v>
      </c>
      <c r="G591" s="2" t="n">
        <v>0</v>
      </c>
      <c r="H591" s="2" t="n">
        <v>2438.50960010697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</v>
      </c>
      <c r="DF591" s="2" t="n">
        <v>0</v>
      </c>
      <c r="DG591" s="2" t="n">
        <v>71.43</v>
      </c>
      <c r="DH591" s="2" t="n">
        <v>71.43</v>
      </c>
      <c r="DI591" s="2" t="n">
        <v>0</v>
      </c>
      <c r="DJ591" s="2" t="n">
        <v>71.43</v>
      </c>
      <c r="DK591" s="2" t="n">
        <v>75.24</v>
      </c>
      <c r="DL591" s="2" t="n">
        <v>0</v>
      </c>
      <c r="DM591" s="2" t="n">
        <v>98.1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 customFormat="false" ht="15" hidden="false" customHeight="false" outlineLevel="0" collapsed="false">
      <c r="A592" s="2" t="n">
        <v>3</v>
      </c>
      <c r="B592" s="2" t="s">
        <v>1582</v>
      </c>
      <c r="C592" s="2" t="s">
        <v>1583</v>
      </c>
      <c r="D592" s="2" t="s">
        <v>1553</v>
      </c>
      <c r="E592" s="2" t="s">
        <v>1569</v>
      </c>
      <c r="F592" s="2" t="n">
        <v>261.268885725747</v>
      </c>
      <c r="G592" s="2" t="n">
        <v>0</v>
      </c>
      <c r="H592" s="2" t="n">
        <v>261.268885725747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</v>
      </c>
      <c r="DF592" s="2" t="n">
        <v>0</v>
      </c>
      <c r="DG592" s="2" t="n">
        <v>71.43</v>
      </c>
      <c r="DH592" s="2" t="n">
        <v>71.43</v>
      </c>
      <c r="DI592" s="2" t="n">
        <v>0</v>
      </c>
      <c r="DJ592" s="2" t="n">
        <v>71.43</v>
      </c>
      <c r="DK592" s="2" t="n">
        <v>75.24</v>
      </c>
      <c r="DL592" s="2" t="n">
        <v>0</v>
      </c>
      <c r="DM592" s="2" t="n">
        <v>98.1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 customFormat="false" ht="15" hidden="false" customHeight="false" outlineLevel="0" collapsed="false">
      <c r="A593" s="2" t="n">
        <v>2</v>
      </c>
      <c r="B593" s="2" t="s">
        <v>1584</v>
      </c>
      <c r="C593" s="2" t="s">
        <v>1585</v>
      </c>
      <c r="D593" s="2" t="s">
        <v>1586</v>
      </c>
      <c r="E593" s="2" t="s">
        <v>1554</v>
      </c>
      <c r="F593" s="2" t="n">
        <v>138929.155617028</v>
      </c>
      <c r="G593" s="2" t="n">
        <v>0</v>
      </c>
      <c r="H593" s="2" t="n">
        <v>138929.155617028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</v>
      </c>
      <c r="DI593" s="2" t="n">
        <v>0</v>
      </c>
      <c r="DJ593" s="2" t="n">
        <v>99.24</v>
      </c>
      <c r="DK593" s="2" t="n">
        <v>99.24</v>
      </c>
      <c r="DL593" s="2" t="n">
        <v>0</v>
      </c>
      <c r="DM593" s="2" t="n">
        <v>99.24</v>
      </c>
      <c r="DN593" s="2" t="n">
        <v>99.24</v>
      </c>
      <c r="DO593" s="2" t="n">
        <v>0</v>
      </c>
      <c r="DP593" s="2" t="n">
        <v>99.24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99.85</v>
      </c>
      <c r="DX593" s="2" t="n">
        <v>0</v>
      </c>
      <c r="DY593" s="2" t="n">
        <v>99.85</v>
      </c>
      <c r="DZ593" s="2" t="n">
        <v>99.85</v>
      </c>
      <c r="EA593" s="2" t="n">
        <v>0</v>
      </c>
      <c r="EB593" s="2" t="n">
        <v>99.85</v>
      </c>
      <c r="EC593" s="2" t="n">
        <v>99.85</v>
      </c>
      <c r="ED593" s="2" t="n">
        <v>0</v>
      </c>
      <c r="EE593" s="2" t="n">
        <v>99.85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 customFormat="false" ht="15" hidden="false" customHeight="false" outlineLevel="0" collapsed="false">
      <c r="A594" s="2" t="n">
        <v>3</v>
      </c>
      <c r="B594" s="2" t="s">
        <v>1587</v>
      </c>
      <c r="C594" s="2" t="s">
        <v>1588</v>
      </c>
      <c r="D594" s="2" t="s">
        <v>1586</v>
      </c>
      <c r="E594" s="2" t="s">
        <v>1123</v>
      </c>
      <c r="F594" s="2" t="n">
        <v>137879.259601178</v>
      </c>
      <c r="G594" s="2" t="n">
        <v>0</v>
      </c>
      <c r="H594" s="2" t="n">
        <v>137879.259601178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 customFormat="false" ht="15" hidden="false" customHeight="false" outlineLevel="0" collapsed="false">
      <c r="A595" s="2" t="n">
        <v>3</v>
      </c>
      <c r="B595" s="2" t="s">
        <v>1589</v>
      </c>
      <c r="C595" s="2" t="s">
        <v>1590</v>
      </c>
      <c r="D595" s="2" t="s">
        <v>1547</v>
      </c>
      <c r="E595" s="2" t="s">
        <v>1554</v>
      </c>
      <c r="F595" s="2" t="n">
        <v>1049.89601585008</v>
      </c>
      <c r="G595" s="2" t="n">
        <v>0</v>
      </c>
      <c r="H595" s="2" t="n">
        <v>1049.89601585008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 customFormat="false" ht="15" hidden="false" customHeight="false" outlineLevel="0" collapsed="false">
      <c r="A596" s="2" t="n">
        <v>2</v>
      </c>
      <c r="B596" s="2" t="s">
        <v>1591</v>
      </c>
      <c r="C596" s="2" t="s">
        <v>1592</v>
      </c>
      <c r="D596" s="2" t="s">
        <v>1553</v>
      </c>
      <c r="E596" s="2" t="s">
        <v>1569</v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</v>
      </c>
      <c r="DF596" s="2" t="n">
        <v>0</v>
      </c>
      <c r="DG596" s="2" t="n">
        <v>71.43</v>
      </c>
      <c r="DH596" s="2" t="n">
        <v>71.43</v>
      </c>
      <c r="DI596" s="2" t="n">
        <v>0</v>
      </c>
      <c r="DJ596" s="2" t="n">
        <v>71.43</v>
      </c>
      <c r="DK596" s="2" t="n">
        <v>75.24</v>
      </c>
      <c r="DL596" s="2" t="n">
        <v>0</v>
      </c>
      <c r="DM596" s="2" t="n">
        <v>98.1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 customFormat="false" ht="15" hidden="false" customHeight="false" outlineLevel="0" collapsed="false">
      <c r="A597" s="2" t="n">
        <v>3</v>
      </c>
      <c r="B597" s="2" t="s">
        <v>1593</v>
      </c>
      <c r="C597" s="2" t="s">
        <v>1594</v>
      </c>
      <c r="D597" s="2" t="s">
        <v>1553</v>
      </c>
      <c r="E597" s="2" t="s">
        <v>1569</v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</v>
      </c>
      <c r="DF597" s="2" t="n">
        <v>0</v>
      </c>
      <c r="DG597" s="2" t="n">
        <v>71.43</v>
      </c>
      <c r="DH597" s="2" t="n">
        <v>71.43</v>
      </c>
      <c r="DI597" s="2" t="n">
        <v>0</v>
      </c>
      <c r="DJ597" s="2" t="n">
        <v>71.43</v>
      </c>
      <c r="DK597" s="2" t="n">
        <v>75.24</v>
      </c>
      <c r="DL597" s="2" t="n">
        <v>0</v>
      </c>
      <c r="DM597" s="2" t="n">
        <v>98.1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 customFormat="false" ht="15" hidden="false" customHeight="false" outlineLevel="0" collapsed="false">
      <c r="A598" s="2" t="n">
        <v>2</v>
      </c>
      <c r="B598" s="2" t="s">
        <v>1595</v>
      </c>
      <c r="C598" s="2" t="s">
        <v>1596</v>
      </c>
      <c r="D598" s="2" t="s">
        <v>1553</v>
      </c>
      <c r="E598" s="2" t="s">
        <v>1569</v>
      </c>
      <c r="F598" s="2" t="n">
        <v>6799.80796857424</v>
      </c>
      <c r="G598" s="2" t="n">
        <v>0</v>
      </c>
      <c r="H598" s="2" t="n">
        <v>6799.80796857424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</v>
      </c>
      <c r="DF598" s="2" t="n">
        <v>0</v>
      </c>
      <c r="DG598" s="2" t="n">
        <v>71.43</v>
      </c>
      <c r="DH598" s="2" t="n">
        <v>71.43</v>
      </c>
      <c r="DI598" s="2" t="n">
        <v>0</v>
      </c>
      <c r="DJ598" s="2" t="n">
        <v>71.43</v>
      </c>
      <c r="DK598" s="2" t="n">
        <v>75.24</v>
      </c>
      <c r="DL598" s="2" t="n">
        <v>0</v>
      </c>
      <c r="DM598" s="2" t="n">
        <v>98.1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 customFormat="false" ht="15" hidden="false" customHeight="false" outlineLevel="0" collapsed="false">
      <c r="A599" s="2" t="n">
        <v>3</v>
      </c>
      <c r="B599" s="2" t="s">
        <v>1597</v>
      </c>
      <c r="C599" s="2" t="s">
        <v>1598</v>
      </c>
      <c r="D599" s="2" t="s">
        <v>1553</v>
      </c>
      <c r="E599" s="2" t="s">
        <v>1569</v>
      </c>
      <c r="F599" s="2" t="n">
        <v>6799.80796857424</v>
      </c>
      <c r="G599" s="2" t="n">
        <v>0</v>
      </c>
      <c r="H599" s="2" t="n">
        <v>6799.80796857424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</v>
      </c>
      <c r="DF599" s="2" t="n">
        <v>0</v>
      </c>
      <c r="DG599" s="2" t="n">
        <v>71.43</v>
      </c>
      <c r="DH599" s="2" t="n">
        <v>71.43</v>
      </c>
      <c r="DI599" s="2" t="n">
        <v>0</v>
      </c>
      <c r="DJ599" s="2" t="n">
        <v>71.43</v>
      </c>
      <c r="DK599" s="2" t="n">
        <v>75.24</v>
      </c>
      <c r="DL599" s="2" t="n">
        <v>0</v>
      </c>
      <c r="DM599" s="2" t="n">
        <v>98.1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 customFormat="false" ht="15" hidden="false" customHeight="false" outlineLevel="0" collapsed="false">
      <c r="A600" s="2" t="n">
        <v>2</v>
      </c>
      <c r="B600" s="2" t="s">
        <v>1599</v>
      </c>
      <c r="C600" s="2" t="s">
        <v>1600</v>
      </c>
      <c r="D600" s="2" t="s">
        <v>1553</v>
      </c>
      <c r="E600" s="2" t="s">
        <v>1569</v>
      </c>
      <c r="F600" s="2" t="n">
        <v>132724.865452894</v>
      </c>
      <c r="G600" s="2" t="n">
        <v>0</v>
      </c>
      <c r="H600" s="2" t="n">
        <v>132724.865452894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</v>
      </c>
      <c r="DF600" s="2" t="n">
        <v>0</v>
      </c>
      <c r="DG600" s="2" t="n">
        <v>71.43</v>
      </c>
      <c r="DH600" s="2" t="n">
        <v>71.43</v>
      </c>
      <c r="DI600" s="2" t="n">
        <v>0</v>
      </c>
      <c r="DJ600" s="2" t="n">
        <v>71.43</v>
      </c>
      <c r="DK600" s="2" t="n">
        <v>75.24</v>
      </c>
      <c r="DL600" s="2" t="n">
        <v>0</v>
      </c>
      <c r="DM600" s="2" t="n">
        <v>98.1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 customFormat="false" ht="15" hidden="false" customHeight="false" outlineLevel="0" collapsed="false">
      <c r="A601" s="2" t="n">
        <v>3</v>
      </c>
      <c r="B601" s="2" t="s">
        <v>1601</v>
      </c>
      <c r="C601" s="2" t="s">
        <v>1602</v>
      </c>
      <c r="D601" s="2" t="s">
        <v>1553</v>
      </c>
      <c r="E601" s="2" t="s">
        <v>1569</v>
      </c>
      <c r="F601" s="2" t="n">
        <v>130702.533320127</v>
      </c>
      <c r="G601" s="2" t="n">
        <v>0</v>
      </c>
      <c r="H601" s="2" t="n">
        <v>130702.533320127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</v>
      </c>
      <c r="DF601" s="2" t="n">
        <v>0</v>
      </c>
      <c r="DG601" s="2" t="n">
        <v>71.43</v>
      </c>
      <c r="DH601" s="2" t="n">
        <v>71.43</v>
      </c>
      <c r="DI601" s="2" t="n">
        <v>0</v>
      </c>
      <c r="DJ601" s="2" t="n">
        <v>71.43</v>
      </c>
      <c r="DK601" s="2" t="n">
        <v>75.24</v>
      </c>
      <c r="DL601" s="2" t="n">
        <v>0</v>
      </c>
      <c r="DM601" s="2" t="n">
        <v>98.1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 customFormat="false" ht="15" hidden="false" customHeight="false" outlineLevel="0" collapsed="false">
      <c r="A602" s="2" t="n">
        <v>3</v>
      </c>
      <c r="B602" s="2" t="s">
        <v>1603</v>
      </c>
      <c r="C602" s="2" t="s">
        <v>1604</v>
      </c>
      <c r="D602" s="2" t="s">
        <v>1553</v>
      </c>
      <c r="E602" s="2" t="s">
        <v>1569</v>
      </c>
      <c r="F602" s="2" t="n">
        <v>2022.33213276744</v>
      </c>
      <c r="G602" s="2" t="n">
        <v>0</v>
      </c>
      <c r="H602" s="2" t="n">
        <v>2022.33213276744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</v>
      </c>
      <c r="DF602" s="2" t="n">
        <v>0</v>
      </c>
      <c r="DG602" s="2" t="n">
        <v>71.43</v>
      </c>
      <c r="DH602" s="2" t="n">
        <v>71.43</v>
      </c>
      <c r="DI602" s="2" t="n">
        <v>0</v>
      </c>
      <c r="DJ602" s="2" t="n">
        <v>71.43</v>
      </c>
      <c r="DK602" s="2" t="n">
        <v>75.24</v>
      </c>
      <c r="DL602" s="2" t="n">
        <v>0</v>
      </c>
      <c r="DM602" s="2" t="n">
        <v>98.1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 customFormat="false" ht="15" hidden="false" customHeight="false" outlineLevel="0" collapsed="false">
      <c r="A603" s="2" t="n">
        <v>1</v>
      </c>
      <c r="B603" s="2" t="s">
        <v>196</v>
      </c>
      <c r="C603" s="2" t="s">
        <v>197</v>
      </c>
      <c r="D603" s="2" t="s">
        <v>1605</v>
      </c>
      <c r="E603" s="2" t="s">
        <v>1558</v>
      </c>
      <c r="F603" s="2" t="n">
        <v>2977368.36048412</v>
      </c>
      <c r="G603" s="2" t="n">
        <v>0</v>
      </c>
      <c r="H603" s="2" t="n">
        <v>2977368.36048412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67.24</v>
      </c>
      <c r="DX603" s="2" t="n">
        <v>0</v>
      </c>
      <c r="DY603" s="2" t="n">
        <v>73.31</v>
      </c>
      <c r="DZ603" s="2" t="n">
        <v>75.9</v>
      </c>
      <c r="EA603" s="2" t="n">
        <v>0</v>
      </c>
      <c r="EB603" s="2" t="n">
        <v>81.13</v>
      </c>
      <c r="EC603" s="2" t="n">
        <v>92.18</v>
      </c>
      <c r="ED603" s="2" t="n">
        <v>0</v>
      </c>
      <c r="EE603" s="2" t="n">
        <v>95.4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 customFormat="false" ht="15" hidden="false" customHeight="false" outlineLevel="0" collapsed="false">
      <c r="A604" s="2" t="n">
        <v>2</v>
      </c>
      <c r="B604" s="2" t="s">
        <v>1606</v>
      </c>
      <c r="C604" s="2" t="s">
        <v>1607</v>
      </c>
      <c r="D604" s="2" t="s">
        <v>1605</v>
      </c>
      <c r="E604" s="2" t="s">
        <v>1608</v>
      </c>
      <c r="F604" s="2" t="n">
        <v>2481921.24048412</v>
      </c>
      <c r="G604" s="2" t="n">
        <v>0</v>
      </c>
      <c r="H604" s="2" t="n">
        <v>2481921.24048412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</v>
      </c>
      <c r="DZ604" s="2" t="n">
        <v>83.07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 customFormat="false" ht="15" hidden="false" customHeight="false" outlineLevel="0" collapsed="false">
      <c r="A605" s="2" t="n">
        <v>3</v>
      </c>
      <c r="B605" s="2" t="s">
        <v>1609</v>
      </c>
      <c r="C605" s="2" t="s">
        <v>1610</v>
      </c>
      <c r="D605" s="2" t="s">
        <v>1605</v>
      </c>
      <c r="E605" s="2" t="s">
        <v>1608</v>
      </c>
      <c r="F605" s="2" t="n">
        <v>1867817.22688412</v>
      </c>
      <c r="G605" s="2" t="n">
        <v>0</v>
      </c>
      <c r="H605" s="2" t="n">
        <v>1867817.22688412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</v>
      </c>
      <c r="DZ605" s="2" t="n">
        <v>83.07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 customFormat="false" ht="15" hidden="false" customHeight="false" outlineLevel="0" collapsed="false">
      <c r="A606" s="2" t="n">
        <v>4</v>
      </c>
      <c r="B606" s="2" t="s">
        <v>1611</v>
      </c>
      <c r="C606" s="2" t="s">
        <v>1612</v>
      </c>
      <c r="D606" s="2" t="s">
        <v>1605</v>
      </c>
      <c r="E606" s="2" t="s">
        <v>1608</v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</v>
      </c>
      <c r="DZ606" s="2" t="n">
        <v>83.07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 customFormat="false" ht="15" hidden="false" customHeight="false" outlineLevel="0" collapsed="false">
      <c r="A607" s="2" t="n">
        <v>4</v>
      </c>
      <c r="B607" s="2" t="s">
        <v>1613</v>
      </c>
      <c r="C607" s="2" t="s">
        <v>1614</v>
      </c>
      <c r="D607" s="2" t="s">
        <v>1605</v>
      </c>
      <c r="E607" s="2" t="s">
        <v>1608</v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</v>
      </c>
      <c r="DZ607" s="2" t="n">
        <v>83.07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 customFormat="false" ht="15" hidden="false" customHeight="false" outlineLevel="0" collapsed="false">
      <c r="A608" s="2" t="n">
        <v>4</v>
      </c>
      <c r="B608" s="2" t="s">
        <v>1615</v>
      </c>
      <c r="C608" s="2" t="s">
        <v>1616</v>
      </c>
      <c r="D608" s="2" t="s">
        <v>1605</v>
      </c>
      <c r="E608" s="2" t="s">
        <v>1608</v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</v>
      </c>
      <c r="DZ608" s="2" t="n">
        <v>83.07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 customFormat="false" ht="15" hidden="false" customHeight="false" outlineLevel="0" collapsed="false">
      <c r="A609" s="2" t="n">
        <v>4</v>
      </c>
      <c r="B609" s="2" t="s">
        <v>1617</v>
      </c>
      <c r="C609" s="2" t="s">
        <v>1618</v>
      </c>
      <c r="D609" s="2" t="s">
        <v>1605</v>
      </c>
      <c r="E609" s="2" t="s">
        <v>1608</v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</v>
      </c>
      <c r="DZ609" s="2" t="n">
        <v>83.07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 customFormat="false" ht="15" hidden="false" customHeight="false" outlineLevel="0" collapsed="false">
      <c r="A610" s="2" t="n">
        <v>4</v>
      </c>
      <c r="B610" s="2" t="s">
        <v>1619</v>
      </c>
      <c r="C610" s="2" t="s">
        <v>1620</v>
      </c>
      <c r="D610" s="2" t="s">
        <v>1605</v>
      </c>
      <c r="E610" s="2" t="s">
        <v>1608</v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</v>
      </c>
      <c r="DZ610" s="2" t="n">
        <v>83.07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 customFormat="false" ht="15" hidden="false" customHeight="false" outlineLevel="0" collapsed="false">
      <c r="A611" s="2" t="n">
        <v>4</v>
      </c>
      <c r="B611" s="2" t="s">
        <v>1621</v>
      </c>
      <c r="C611" s="2" t="s">
        <v>1622</v>
      </c>
      <c r="D611" s="2" t="s">
        <v>1605</v>
      </c>
      <c r="E611" s="2" t="s">
        <v>1608</v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</v>
      </c>
      <c r="DZ611" s="2" t="n">
        <v>83.07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 customFormat="false" ht="15" hidden="false" customHeight="false" outlineLevel="0" collapsed="false">
      <c r="A612" s="2" t="n">
        <v>4</v>
      </c>
      <c r="B612" s="2" t="s">
        <v>1623</v>
      </c>
      <c r="C612" s="2" t="s">
        <v>1624</v>
      </c>
      <c r="D612" s="2" t="s">
        <v>1605</v>
      </c>
      <c r="E612" s="2" t="s">
        <v>1608</v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</v>
      </c>
      <c r="DZ612" s="2" t="n">
        <v>83.07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 customFormat="false" ht="15" hidden="false" customHeight="false" outlineLevel="0" collapsed="false">
      <c r="A613" s="2" t="n">
        <v>4</v>
      </c>
      <c r="B613" s="2" t="s">
        <v>1625</v>
      </c>
      <c r="C613" s="2" t="s">
        <v>1626</v>
      </c>
      <c r="D613" s="2" t="s">
        <v>1605</v>
      </c>
      <c r="E613" s="2" t="s">
        <v>1608</v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</v>
      </c>
      <c r="DZ613" s="2" t="n">
        <v>83.07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 customFormat="false" ht="15" hidden="false" customHeight="false" outlineLevel="0" collapsed="false">
      <c r="A614" s="2" t="n">
        <v>4</v>
      </c>
      <c r="B614" s="2" t="s">
        <v>1627</v>
      </c>
      <c r="C614" s="2" t="s">
        <v>1628</v>
      </c>
      <c r="D614" s="2" t="s">
        <v>1605</v>
      </c>
      <c r="E614" s="2" t="s">
        <v>1608</v>
      </c>
      <c r="F614" s="2" t="n">
        <v>53772.7268841161</v>
      </c>
      <c r="G614" s="2" t="n">
        <v>0</v>
      </c>
      <c r="H614" s="2" t="n">
        <v>53772.7268841161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</v>
      </c>
      <c r="DZ614" s="2" t="n">
        <v>83.07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 customFormat="false" ht="15" hidden="false" customHeight="false" outlineLevel="0" collapsed="false">
      <c r="A615" s="2" t="n">
        <v>3</v>
      </c>
      <c r="B615" s="2" t="s">
        <v>1629</v>
      </c>
      <c r="C615" s="2" t="s">
        <v>1630</v>
      </c>
      <c r="D615" s="2" t="s">
        <v>1605</v>
      </c>
      <c r="E615" s="2" t="s">
        <v>1608</v>
      </c>
      <c r="F615" s="2" t="n">
        <v>614104.0136</v>
      </c>
      <c r="G615" s="2" t="n">
        <v>0</v>
      </c>
      <c r="H615" s="2" t="n">
        <v>614104.0136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</v>
      </c>
      <c r="DZ615" s="2" t="n">
        <v>83.07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 customFormat="false" ht="15" hidden="false" customHeight="false" outlineLevel="0" collapsed="false">
      <c r="A616" s="2" t="n">
        <v>4</v>
      </c>
      <c r="B616" s="2" t="s">
        <v>1631</v>
      </c>
      <c r="C616" s="2" t="s">
        <v>1632</v>
      </c>
      <c r="D616" s="2" t="s">
        <v>1605</v>
      </c>
      <c r="E616" s="2" t="s">
        <v>1608</v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</v>
      </c>
      <c r="DZ616" s="2" t="n">
        <v>83.07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 customFormat="false" ht="15" hidden="false" customHeight="false" outlineLevel="0" collapsed="false">
      <c r="A617" s="2" t="n">
        <v>4</v>
      </c>
      <c r="B617" s="2" t="s">
        <v>1633</v>
      </c>
      <c r="C617" s="2" t="s">
        <v>1634</v>
      </c>
      <c r="D617" s="2" t="s">
        <v>1605</v>
      </c>
      <c r="E617" s="2" t="s">
        <v>1608</v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</v>
      </c>
      <c r="DZ617" s="2" t="n">
        <v>83.07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 customFormat="false" ht="15" hidden="false" customHeight="false" outlineLevel="0" collapsed="false">
      <c r="A618" s="2" t="n">
        <v>4</v>
      </c>
      <c r="B618" s="2" t="s">
        <v>1635</v>
      </c>
      <c r="C618" s="2" t="s">
        <v>1636</v>
      </c>
      <c r="D618" s="2" t="s">
        <v>1605</v>
      </c>
      <c r="E618" s="2" t="s">
        <v>1608</v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</v>
      </c>
      <c r="DZ618" s="2" t="n">
        <v>83.07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 customFormat="false" ht="15" hidden="false" customHeight="false" outlineLevel="0" collapsed="false">
      <c r="A619" s="2" t="n">
        <v>4</v>
      </c>
      <c r="B619" s="2" t="s">
        <v>1637</v>
      </c>
      <c r="C619" s="2" t="s">
        <v>1638</v>
      </c>
      <c r="D619" s="2" t="s">
        <v>1605</v>
      </c>
      <c r="E619" s="2" t="s">
        <v>1608</v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</v>
      </c>
      <c r="DZ619" s="2" t="n">
        <v>83.07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 customFormat="false" ht="15" hidden="false" customHeight="false" outlineLevel="0" collapsed="false">
      <c r="A620" s="2" t="n">
        <v>4</v>
      </c>
      <c r="B620" s="2" t="s">
        <v>1639</v>
      </c>
      <c r="C620" s="2" t="s">
        <v>1640</v>
      </c>
      <c r="D620" s="2" t="s">
        <v>1605</v>
      </c>
      <c r="E620" s="2" t="s">
        <v>1608</v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</v>
      </c>
      <c r="DZ620" s="2" t="n">
        <v>83.07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 customFormat="false" ht="15" hidden="false" customHeight="false" outlineLevel="0" collapsed="false">
      <c r="A621" s="2" t="n">
        <v>4</v>
      </c>
      <c r="B621" s="2" t="s">
        <v>1641</v>
      </c>
      <c r="C621" s="2" t="s">
        <v>1642</v>
      </c>
      <c r="D621" s="2" t="s">
        <v>1605</v>
      </c>
      <c r="E621" s="2" t="s">
        <v>1608</v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</v>
      </c>
      <c r="DZ621" s="2" t="n">
        <v>83.07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 customFormat="false" ht="15" hidden="false" customHeight="false" outlineLevel="0" collapsed="false">
      <c r="A622" s="2" t="n">
        <v>2</v>
      </c>
      <c r="B622" s="2" t="s">
        <v>1643</v>
      </c>
      <c r="C622" s="2" t="s">
        <v>1644</v>
      </c>
      <c r="D622" s="2" t="s">
        <v>1557</v>
      </c>
      <c r="E622" s="2" t="s">
        <v>1558</v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 customFormat="false" ht="15" hidden="false" customHeight="false" outlineLevel="0" collapsed="false">
      <c r="A623" s="2" t="n">
        <v>3</v>
      </c>
      <c r="B623" s="2" t="s">
        <v>1645</v>
      </c>
      <c r="C623" s="2" t="s">
        <v>1646</v>
      </c>
      <c r="D623" s="2" t="s">
        <v>1557</v>
      </c>
      <c r="E623" s="2" t="s">
        <v>1558</v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 customFormat="false" ht="15" hidden="false" customHeight="false" outlineLevel="0" collapsed="false">
      <c r="A624" s="2" t="n">
        <v>1</v>
      </c>
      <c r="B624" s="2" t="s">
        <v>199</v>
      </c>
      <c r="C624" s="2" t="s">
        <v>200</v>
      </c>
      <c r="D624" s="2" t="s">
        <v>1647</v>
      </c>
      <c r="E624" s="2" t="s">
        <v>1437</v>
      </c>
      <c r="F624" s="2" t="n">
        <v>1096073.33208049</v>
      </c>
      <c r="G624" s="2" t="n">
        <v>0</v>
      </c>
      <c r="H624" s="2" t="n">
        <v>1096073.33208049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</v>
      </c>
      <c r="CZ624" s="2" t="n">
        <v>0</v>
      </c>
      <c r="DA624" s="2" t="n">
        <v>76.02</v>
      </c>
      <c r="DB624" s="2" t="n">
        <v>77.74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</v>
      </c>
      <c r="DK624" s="2" t="n">
        <v>94.29</v>
      </c>
      <c r="DL624" s="2" t="n">
        <v>0</v>
      </c>
      <c r="DM624" s="2" t="n">
        <v>94.38</v>
      </c>
      <c r="DN624" s="2" t="n">
        <v>95.9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 customFormat="false" ht="15" hidden="false" customHeight="false" outlineLevel="0" collapsed="false">
      <c r="A625" s="2" t="n">
        <v>2</v>
      </c>
      <c r="B625" s="2" t="s">
        <v>1648</v>
      </c>
      <c r="C625" s="2" t="s">
        <v>1649</v>
      </c>
      <c r="D625" s="2" t="s">
        <v>1647</v>
      </c>
      <c r="E625" s="2" t="s">
        <v>1437</v>
      </c>
      <c r="F625" s="2" t="n">
        <v>987444.630199598</v>
      </c>
      <c r="G625" s="2" t="n">
        <v>0</v>
      </c>
      <c r="H625" s="2" t="n">
        <v>987444.630199598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</v>
      </c>
      <c r="CY625" s="2" t="n">
        <v>69.58</v>
      </c>
      <c r="CZ625" s="2" t="n">
        <v>0</v>
      </c>
      <c r="DA625" s="2" t="n">
        <v>76.15</v>
      </c>
      <c r="DB625" s="2" t="n">
        <v>77.87</v>
      </c>
      <c r="DC625" s="2" t="n">
        <v>0</v>
      </c>
      <c r="DD625" s="2" t="n">
        <v>83.76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 customFormat="false" ht="15" hidden="false" customHeight="false" outlineLevel="0" collapsed="false">
      <c r="A626" s="2" t="n">
        <v>3</v>
      </c>
      <c r="B626" s="2" t="s">
        <v>1650</v>
      </c>
      <c r="C626" s="2" t="s">
        <v>1651</v>
      </c>
      <c r="D626" s="2" t="s">
        <v>1647</v>
      </c>
      <c r="E626" s="2" t="s">
        <v>1652</v>
      </c>
      <c r="F626" s="2" t="n">
        <v>67238.6957946</v>
      </c>
      <c r="G626" s="2" t="n">
        <v>0</v>
      </c>
      <c r="H626" s="2" t="n">
        <v>67238.6957946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</v>
      </c>
      <c r="CS626" s="2" t="n">
        <v>73.26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96.46</v>
      </c>
      <c r="DE626" s="2" t="n">
        <v>96.85</v>
      </c>
      <c r="DF626" s="2" t="n">
        <v>0</v>
      </c>
      <c r="DG626" s="2" t="n">
        <v>96.79</v>
      </c>
      <c r="DH626" s="2" t="n">
        <v>98.4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 customFormat="false" ht="15" hidden="false" customHeight="false" outlineLevel="0" collapsed="false">
      <c r="A627" s="2" t="n">
        <v>3</v>
      </c>
      <c r="B627" s="2" t="s">
        <v>1653</v>
      </c>
      <c r="C627" s="2" t="s">
        <v>1220</v>
      </c>
      <c r="D627" s="2" t="s">
        <v>1458</v>
      </c>
      <c r="E627" s="2" t="s">
        <v>1437</v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8.36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68.07</v>
      </c>
      <c r="CZ627" s="2" t="n">
        <v>0</v>
      </c>
      <c r="DA627" s="2" t="n">
        <v>74.82</v>
      </c>
      <c r="DB627" s="2" t="n">
        <v>76.56</v>
      </c>
      <c r="DC627" s="2" t="n">
        <v>0</v>
      </c>
      <c r="DD627" s="2" t="n">
        <v>82.83</v>
      </c>
      <c r="DE627" s="2" t="n">
        <v>84.57</v>
      </c>
      <c r="DF627" s="2" t="n">
        <v>0</v>
      </c>
      <c r="DG627" s="2" t="n">
        <v>89.1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</v>
      </c>
      <c r="DN627" s="2" t="n">
        <v>95.63</v>
      </c>
      <c r="DO627" s="2" t="n">
        <v>0</v>
      </c>
      <c r="DP627" s="2" t="n">
        <v>98.9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 customFormat="false" ht="15" hidden="false" customHeight="false" outlineLevel="0" collapsed="false">
      <c r="A628" s="2" t="n">
        <v>3</v>
      </c>
      <c r="B628" s="2" t="s">
        <v>1654</v>
      </c>
      <c r="C628" s="2" t="s">
        <v>1655</v>
      </c>
      <c r="D628" s="2" t="s">
        <v>1458</v>
      </c>
      <c r="E628" s="2" t="s">
        <v>1437</v>
      </c>
      <c r="F628" s="2" t="n">
        <v>32719.4014102183</v>
      </c>
      <c r="G628" s="2" t="n">
        <v>0</v>
      </c>
      <c r="H628" s="2" t="n">
        <v>32719.4014102183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8.36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68.07</v>
      </c>
      <c r="CZ628" s="2" t="n">
        <v>0</v>
      </c>
      <c r="DA628" s="2" t="n">
        <v>74.82</v>
      </c>
      <c r="DB628" s="2" t="n">
        <v>76.56</v>
      </c>
      <c r="DC628" s="2" t="n">
        <v>0</v>
      </c>
      <c r="DD628" s="2" t="n">
        <v>82.83</v>
      </c>
      <c r="DE628" s="2" t="n">
        <v>84.57</v>
      </c>
      <c r="DF628" s="2" t="n">
        <v>0</v>
      </c>
      <c r="DG628" s="2" t="n">
        <v>89.1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</v>
      </c>
      <c r="DN628" s="2" t="n">
        <v>95.63</v>
      </c>
      <c r="DO628" s="2" t="n">
        <v>0</v>
      </c>
      <c r="DP628" s="2" t="n">
        <v>98.9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 customFormat="false" ht="15" hidden="false" customHeight="false" outlineLevel="0" collapsed="false">
      <c r="A629" s="2" t="n">
        <v>3</v>
      </c>
      <c r="B629" s="2" t="s">
        <v>1656</v>
      </c>
      <c r="C629" s="2" t="s">
        <v>1657</v>
      </c>
      <c r="D629" s="2" t="s">
        <v>1458</v>
      </c>
      <c r="E629" s="2" t="s">
        <v>1437</v>
      </c>
      <c r="F629" s="2" t="n">
        <v>250913.563657801</v>
      </c>
      <c r="G629" s="2" t="n">
        <v>0</v>
      </c>
      <c r="H629" s="2" t="n">
        <v>250913.563657801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8.36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68.07</v>
      </c>
      <c r="CZ629" s="2" t="n">
        <v>0</v>
      </c>
      <c r="DA629" s="2" t="n">
        <v>74.82</v>
      </c>
      <c r="DB629" s="2" t="n">
        <v>76.56</v>
      </c>
      <c r="DC629" s="2" t="n">
        <v>0</v>
      </c>
      <c r="DD629" s="2" t="n">
        <v>82.83</v>
      </c>
      <c r="DE629" s="2" t="n">
        <v>84.57</v>
      </c>
      <c r="DF629" s="2" t="n">
        <v>0</v>
      </c>
      <c r="DG629" s="2" t="n">
        <v>89.1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</v>
      </c>
      <c r="DN629" s="2" t="n">
        <v>95.63</v>
      </c>
      <c r="DO629" s="2" t="n">
        <v>0</v>
      </c>
      <c r="DP629" s="2" t="n">
        <v>98.9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 customFormat="false" ht="15" hidden="false" customHeight="false" outlineLevel="0" collapsed="false">
      <c r="A630" s="2" t="n">
        <v>2</v>
      </c>
      <c r="B630" s="2" t="s">
        <v>1658</v>
      </c>
      <c r="C630" s="2" t="s">
        <v>1659</v>
      </c>
      <c r="D630" s="2" t="s">
        <v>1458</v>
      </c>
      <c r="E630" s="2" t="s">
        <v>1437</v>
      </c>
      <c r="F630" s="2" t="n">
        <v>108628.701880887</v>
      </c>
      <c r="G630" s="2" t="n">
        <v>0</v>
      </c>
      <c r="H630" s="2" t="n">
        <v>108628.701880887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8.36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68.07</v>
      </c>
      <c r="CZ630" s="2" t="n">
        <v>0</v>
      </c>
      <c r="DA630" s="2" t="n">
        <v>74.82</v>
      </c>
      <c r="DB630" s="2" t="n">
        <v>76.56</v>
      </c>
      <c r="DC630" s="2" t="n">
        <v>0</v>
      </c>
      <c r="DD630" s="2" t="n">
        <v>82.83</v>
      </c>
      <c r="DE630" s="2" t="n">
        <v>84.57</v>
      </c>
      <c r="DF630" s="2" t="n">
        <v>0</v>
      </c>
      <c r="DG630" s="2" t="n">
        <v>89.1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</v>
      </c>
      <c r="DN630" s="2" t="n">
        <v>95.63</v>
      </c>
      <c r="DO630" s="2" t="n">
        <v>0</v>
      </c>
      <c r="DP630" s="2" t="n">
        <v>98.9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 customFormat="false" ht="15" hidden="false" customHeight="false" outlineLevel="0" collapsed="false">
      <c r="A631" s="2" t="n">
        <v>3</v>
      </c>
      <c r="B631" s="2" t="s">
        <v>1660</v>
      </c>
      <c r="C631" s="2" t="s">
        <v>1651</v>
      </c>
      <c r="D631" s="2" t="s">
        <v>1458</v>
      </c>
      <c r="E631" s="2" t="s">
        <v>1437</v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8.36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68.07</v>
      </c>
      <c r="CZ631" s="2" t="n">
        <v>0</v>
      </c>
      <c r="DA631" s="2" t="n">
        <v>74.82</v>
      </c>
      <c r="DB631" s="2" t="n">
        <v>76.56</v>
      </c>
      <c r="DC631" s="2" t="n">
        <v>0</v>
      </c>
      <c r="DD631" s="2" t="n">
        <v>82.83</v>
      </c>
      <c r="DE631" s="2" t="n">
        <v>84.57</v>
      </c>
      <c r="DF631" s="2" t="n">
        <v>0</v>
      </c>
      <c r="DG631" s="2" t="n">
        <v>89.1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</v>
      </c>
      <c r="DN631" s="2" t="n">
        <v>95.63</v>
      </c>
      <c r="DO631" s="2" t="n">
        <v>0</v>
      </c>
      <c r="DP631" s="2" t="n">
        <v>98.9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 customFormat="false" ht="15" hidden="false" customHeight="false" outlineLevel="0" collapsed="false">
      <c r="A632" s="2" t="n">
        <v>3</v>
      </c>
      <c r="B632" s="2" t="s">
        <v>1661</v>
      </c>
      <c r="C632" s="2" t="s">
        <v>1220</v>
      </c>
      <c r="D632" s="2" t="s">
        <v>1458</v>
      </c>
      <c r="E632" s="2" t="s">
        <v>1437</v>
      </c>
      <c r="F632" s="2" t="n">
        <v>98711.8734236361</v>
      </c>
      <c r="G632" s="2" t="n">
        <v>0</v>
      </c>
      <c r="H632" s="2" t="n">
        <v>98711.8734236361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8.36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68.07</v>
      </c>
      <c r="CZ632" s="2" t="n">
        <v>0</v>
      </c>
      <c r="DA632" s="2" t="n">
        <v>74.82</v>
      </c>
      <c r="DB632" s="2" t="n">
        <v>76.56</v>
      </c>
      <c r="DC632" s="2" t="n">
        <v>0</v>
      </c>
      <c r="DD632" s="2" t="n">
        <v>82.83</v>
      </c>
      <c r="DE632" s="2" t="n">
        <v>84.57</v>
      </c>
      <c r="DF632" s="2" t="n">
        <v>0</v>
      </c>
      <c r="DG632" s="2" t="n">
        <v>89.1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</v>
      </c>
      <c r="DN632" s="2" t="n">
        <v>95.63</v>
      </c>
      <c r="DO632" s="2" t="n">
        <v>0</v>
      </c>
      <c r="DP632" s="2" t="n">
        <v>98.9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 customFormat="false" ht="15" hidden="false" customHeight="false" outlineLevel="0" collapsed="false">
      <c r="A633" s="2" t="n">
        <v>1</v>
      </c>
      <c r="B633" s="2" t="s">
        <v>202</v>
      </c>
      <c r="C633" s="2" t="s">
        <v>203</v>
      </c>
      <c r="D633" s="2" t="s">
        <v>1647</v>
      </c>
      <c r="E633" s="2" t="s">
        <v>1662</v>
      </c>
      <c r="F633" s="2" t="n">
        <v>2518191.19156799</v>
      </c>
      <c r="G633" s="2" t="n">
        <v>0</v>
      </c>
      <c r="H633" s="2" t="n">
        <v>2518191.19156799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8.62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</v>
      </c>
      <c r="CY633" s="2" t="n">
        <v>75.03</v>
      </c>
      <c r="CZ633" s="2" t="n">
        <v>0</v>
      </c>
      <c r="DA633" s="2" t="n">
        <v>79.54</v>
      </c>
      <c r="DB633" s="2" t="n">
        <v>83.46</v>
      </c>
      <c r="DC633" s="2" t="n">
        <v>0</v>
      </c>
      <c r="DD633" s="2" t="n">
        <v>88.27</v>
      </c>
      <c r="DE633" s="2" t="n">
        <v>92.18</v>
      </c>
      <c r="DF633" s="2" t="n">
        <v>0</v>
      </c>
      <c r="DG633" s="2" t="n">
        <v>93.23</v>
      </c>
      <c r="DH633" s="2" t="n">
        <v>96.15</v>
      </c>
      <c r="DI633" s="2" t="n">
        <v>0</v>
      </c>
      <c r="DJ633" s="2" t="n">
        <v>96.37</v>
      </c>
      <c r="DK633" s="2" t="n">
        <v>97.6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 customFormat="false" ht="15" hidden="false" customHeight="false" outlineLevel="0" collapsed="false">
      <c r="A634" s="2" t="n">
        <v>2</v>
      </c>
      <c r="B634" s="2" t="s">
        <v>1663</v>
      </c>
      <c r="C634" s="2" t="s">
        <v>1664</v>
      </c>
      <c r="D634" s="2" t="s">
        <v>1647</v>
      </c>
      <c r="E634" s="2" t="s">
        <v>1662</v>
      </c>
      <c r="F634" s="2" t="n">
        <v>2518191.19156799</v>
      </c>
      <c r="G634" s="2" t="n">
        <v>0</v>
      </c>
      <c r="H634" s="2" t="n">
        <v>2518191.19156799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8.62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</v>
      </c>
      <c r="CY634" s="2" t="n">
        <v>75.03</v>
      </c>
      <c r="CZ634" s="2" t="n">
        <v>0</v>
      </c>
      <c r="DA634" s="2" t="n">
        <v>79.54</v>
      </c>
      <c r="DB634" s="2" t="n">
        <v>83.46</v>
      </c>
      <c r="DC634" s="2" t="n">
        <v>0</v>
      </c>
      <c r="DD634" s="2" t="n">
        <v>88.27</v>
      </c>
      <c r="DE634" s="2" t="n">
        <v>92.18</v>
      </c>
      <c r="DF634" s="2" t="n">
        <v>0</v>
      </c>
      <c r="DG634" s="2" t="n">
        <v>93.23</v>
      </c>
      <c r="DH634" s="2" t="n">
        <v>96.15</v>
      </c>
      <c r="DI634" s="2" t="n">
        <v>0</v>
      </c>
      <c r="DJ634" s="2" t="n">
        <v>96.37</v>
      </c>
      <c r="DK634" s="2" t="n">
        <v>97.6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 customFormat="false" ht="15" hidden="false" customHeight="false" outlineLevel="0" collapsed="false">
      <c r="A635" s="2" t="n">
        <v>3</v>
      </c>
      <c r="B635" s="2" t="s">
        <v>1665</v>
      </c>
      <c r="C635" s="2" t="s">
        <v>1666</v>
      </c>
      <c r="D635" s="2" t="s">
        <v>1647</v>
      </c>
      <c r="E635" s="2" t="s">
        <v>1652</v>
      </c>
      <c r="F635" s="2" t="n">
        <v>217501.699370911</v>
      </c>
      <c r="G635" s="2" t="n">
        <v>0</v>
      </c>
      <c r="H635" s="2" t="n">
        <v>217501.699370911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</v>
      </c>
      <c r="CS635" s="2" t="n">
        <v>73.26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96.46</v>
      </c>
      <c r="DE635" s="2" t="n">
        <v>96.85</v>
      </c>
      <c r="DF635" s="2" t="n">
        <v>0</v>
      </c>
      <c r="DG635" s="2" t="n">
        <v>96.79</v>
      </c>
      <c r="DH635" s="2" t="n">
        <v>98.4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 customFormat="false" ht="15" hidden="false" customHeight="false" outlineLevel="0" collapsed="false">
      <c r="A636" s="2" t="n">
        <v>3</v>
      </c>
      <c r="B636" s="2" t="s">
        <v>1667</v>
      </c>
      <c r="C636" s="2" t="s">
        <v>1668</v>
      </c>
      <c r="D636" s="2" t="s">
        <v>1669</v>
      </c>
      <c r="E636" s="2" t="s">
        <v>1662</v>
      </c>
      <c r="F636" s="2" t="n">
        <v>314651.966163566</v>
      </c>
      <c r="G636" s="2" t="n">
        <v>0</v>
      </c>
      <c r="H636" s="2" t="n">
        <v>314651.966163566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91.74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 customFormat="false" ht="15" hidden="false" customHeight="false" outlineLevel="0" collapsed="false">
      <c r="A637" s="2" t="n">
        <v>3</v>
      </c>
      <c r="B637" s="2" t="s">
        <v>1670</v>
      </c>
      <c r="C637" s="2" t="s">
        <v>1671</v>
      </c>
      <c r="D637" s="2" t="s">
        <v>1669</v>
      </c>
      <c r="E637" s="2" t="s">
        <v>1662</v>
      </c>
      <c r="F637" s="2" t="n">
        <v>251862.392922638</v>
      </c>
      <c r="G637" s="2" t="n">
        <v>0</v>
      </c>
      <c r="H637" s="2" t="n">
        <v>251862.392922638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91.74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 customFormat="false" ht="15" hidden="false" customHeight="false" outlineLevel="0" collapsed="false">
      <c r="A638" s="2" t="n">
        <v>3</v>
      </c>
      <c r="B638" s="2" t="s">
        <v>1672</v>
      </c>
      <c r="C638" s="2" t="s">
        <v>1673</v>
      </c>
      <c r="D638" s="2" t="s">
        <v>1669</v>
      </c>
      <c r="E638" s="2" t="s">
        <v>1662</v>
      </c>
      <c r="F638" s="2" t="n">
        <v>1344547.5560567</v>
      </c>
      <c r="G638" s="2" t="n">
        <v>0</v>
      </c>
      <c r="H638" s="2" t="n">
        <v>1344547.5560567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91.74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 customFormat="false" ht="15" hidden="false" customHeight="false" outlineLevel="0" collapsed="false">
      <c r="A639" s="2" t="n">
        <v>3</v>
      </c>
      <c r="B639" s="2" t="s">
        <v>1674</v>
      </c>
      <c r="C639" s="2" t="s">
        <v>1675</v>
      </c>
      <c r="D639" s="2" t="s">
        <v>1669</v>
      </c>
      <c r="E639" s="2" t="s">
        <v>1662</v>
      </c>
      <c r="F639" s="2" t="n">
        <v>389627.577054176</v>
      </c>
      <c r="G639" s="2" t="n">
        <v>0</v>
      </c>
      <c r="H639" s="2" t="n">
        <v>389627.577054176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91.74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 customFormat="false" ht="15" hidden="false" customHeight="false" outlineLevel="0" collapsed="false">
      <c r="A640" s="2" t="n">
        <v>1</v>
      </c>
      <c r="B640" s="2" t="s">
        <v>205</v>
      </c>
      <c r="C640" s="2" t="s">
        <v>206</v>
      </c>
      <c r="D640" s="2" t="s">
        <v>1676</v>
      </c>
      <c r="E640" s="2" t="s">
        <v>1677</v>
      </c>
      <c r="F640" s="2" t="n">
        <v>10402356.2460844</v>
      </c>
      <c r="G640" s="2" t="n">
        <v>0</v>
      </c>
      <c r="H640" s="2" t="n">
        <v>10402356.2460844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8.7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80.1</v>
      </c>
      <c r="DT640" s="2" t="n">
        <v>81.29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94.49</v>
      </c>
      <c r="EF640" s="2" t="n">
        <v>96.52</v>
      </c>
      <c r="EG640" s="2" t="n">
        <v>0</v>
      </c>
      <c r="EH640" s="2" t="n">
        <v>98.96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 customFormat="false" ht="15" hidden="false" customHeight="false" outlineLevel="0" collapsed="false">
      <c r="A641" s="2" t="n">
        <v>2</v>
      </c>
      <c r="B641" s="2" t="s">
        <v>1678</v>
      </c>
      <c r="C641" s="2" t="s">
        <v>1679</v>
      </c>
      <c r="D641" s="2" t="s">
        <v>1680</v>
      </c>
      <c r="E641" s="2" t="s">
        <v>1681</v>
      </c>
      <c r="F641" s="2" t="n">
        <v>3355985.31081693</v>
      </c>
      <c r="G641" s="2" t="n">
        <v>0</v>
      </c>
      <c r="H641" s="2" t="n">
        <v>3355985.31081693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</v>
      </c>
      <c r="DL641" s="2" t="n">
        <v>0</v>
      </c>
      <c r="DM641" s="2" t="n">
        <v>71.6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83.82</v>
      </c>
      <c r="DT641" s="2" t="n">
        <v>85.82</v>
      </c>
      <c r="DU641" s="2" t="n">
        <v>0</v>
      </c>
      <c r="DV641" s="2" t="n">
        <v>88.51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96.21</v>
      </c>
      <c r="EC641" s="2" t="n">
        <v>97.96</v>
      </c>
      <c r="ED641" s="2" t="n">
        <v>0</v>
      </c>
      <c r="EE641" s="2" t="n">
        <v>97.96</v>
      </c>
      <c r="EF641" s="2" t="n">
        <v>99.65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 customFormat="false" ht="15" hidden="false" customHeight="false" outlineLevel="0" collapsed="false">
      <c r="A642" s="2" t="n">
        <v>3</v>
      </c>
      <c r="B642" s="2" t="s">
        <v>1682</v>
      </c>
      <c r="C642" s="2" t="s">
        <v>1683</v>
      </c>
      <c r="D642" s="2" t="s">
        <v>1680</v>
      </c>
      <c r="E642" s="2" t="s">
        <v>1684</v>
      </c>
      <c r="F642" s="2" t="n">
        <v>1822942.20346799</v>
      </c>
      <c r="G642" s="2" t="n">
        <v>0</v>
      </c>
      <c r="H642" s="2" t="n">
        <v>1822942.20346799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</v>
      </c>
      <c r="DU642" s="2" t="n">
        <v>0</v>
      </c>
      <c r="DV642" s="2" t="n">
        <v>98.16</v>
      </c>
      <c r="DW642" s="2" t="n">
        <v>99.85</v>
      </c>
      <c r="DX642" s="2" t="n">
        <v>0</v>
      </c>
      <c r="DY642" s="2" t="n">
        <v>99.85</v>
      </c>
      <c r="DZ642" s="2" t="n">
        <v>99.85</v>
      </c>
      <c r="EA642" s="2" t="n">
        <v>0</v>
      </c>
      <c r="EB642" s="2" t="n">
        <v>99.85</v>
      </c>
      <c r="EC642" s="2" t="n">
        <v>99.85</v>
      </c>
      <c r="ED642" s="2" t="n">
        <v>0</v>
      </c>
      <c r="EE642" s="2" t="n">
        <v>99.85</v>
      </c>
      <c r="EF642" s="2" t="n">
        <v>99.85</v>
      </c>
      <c r="EG642" s="2" t="n">
        <v>0</v>
      </c>
      <c r="EH642" s="2" t="n">
        <v>99.85</v>
      </c>
      <c r="EI642" s="2" t="n">
        <v>99.85</v>
      </c>
      <c r="EJ642" s="2" t="n">
        <v>0</v>
      </c>
      <c r="EK642" s="2" t="n">
        <v>99.85</v>
      </c>
      <c r="EL642" s="2" t="n">
        <v>99.85</v>
      </c>
      <c r="EM642" s="2" t="n">
        <v>0</v>
      </c>
      <c r="EN642" s="2" t="n">
        <v>99.85</v>
      </c>
      <c r="EO642" s="2" t="n">
        <v>99.85</v>
      </c>
      <c r="EP642" s="2" t="n">
        <v>0</v>
      </c>
      <c r="EQ642" s="2" t="n">
        <v>99.85</v>
      </c>
      <c r="ER642" s="2" t="n">
        <v>99.85</v>
      </c>
      <c r="ES642" s="2" t="n">
        <v>0</v>
      </c>
    </row>
    <row r="643" customFormat="false" ht="15" hidden="false" customHeight="false" outlineLevel="0" collapsed="false">
      <c r="A643" s="2" t="n">
        <v>4</v>
      </c>
      <c r="B643" s="2" t="s">
        <v>1685</v>
      </c>
      <c r="C643" s="2" t="s">
        <v>1686</v>
      </c>
      <c r="D643" s="2" t="s">
        <v>1680</v>
      </c>
      <c r="E643" s="2" t="s">
        <v>1684</v>
      </c>
      <c r="F643" s="2" t="n">
        <v>1626387.35661863</v>
      </c>
      <c r="G643" s="2" t="n">
        <v>0</v>
      </c>
      <c r="H643" s="2" t="n">
        <v>1626387.35661863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</v>
      </c>
      <c r="DU643" s="2" t="n">
        <v>0</v>
      </c>
      <c r="DV643" s="2" t="n">
        <v>98.16</v>
      </c>
      <c r="DW643" s="2" t="n">
        <v>99.85</v>
      </c>
      <c r="DX643" s="2" t="n">
        <v>0</v>
      </c>
      <c r="DY643" s="2" t="n">
        <v>99.85</v>
      </c>
      <c r="DZ643" s="2" t="n">
        <v>99.85</v>
      </c>
      <c r="EA643" s="2" t="n">
        <v>0</v>
      </c>
      <c r="EB643" s="2" t="n">
        <v>99.85</v>
      </c>
      <c r="EC643" s="2" t="n">
        <v>99.85</v>
      </c>
      <c r="ED643" s="2" t="n">
        <v>0</v>
      </c>
      <c r="EE643" s="2" t="n">
        <v>99.85</v>
      </c>
      <c r="EF643" s="2" t="n">
        <v>99.85</v>
      </c>
      <c r="EG643" s="2" t="n">
        <v>0</v>
      </c>
      <c r="EH643" s="2" t="n">
        <v>99.85</v>
      </c>
      <c r="EI643" s="2" t="n">
        <v>99.85</v>
      </c>
      <c r="EJ643" s="2" t="n">
        <v>0</v>
      </c>
      <c r="EK643" s="2" t="n">
        <v>99.85</v>
      </c>
      <c r="EL643" s="2" t="n">
        <v>99.85</v>
      </c>
      <c r="EM643" s="2" t="n">
        <v>0</v>
      </c>
      <c r="EN643" s="2" t="n">
        <v>99.85</v>
      </c>
      <c r="EO643" s="2" t="n">
        <v>99.85</v>
      </c>
      <c r="EP643" s="2" t="n">
        <v>0</v>
      </c>
      <c r="EQ643" s="2" t="n">
        <v>99.85</v>
      </c>
      <c r="ER643" s="2" t="n">
        <v>99.85</v>
      </c>
      <c r="ES643" s="2" t="n">
        <v>0</v>
      </c>
    </row>
    <row r="644" customFormat="false" ht="15" hidden="false" customHeight="false" outlineLevel="0" collapsed="false">
      <c r="A644" s="2" t="n">
        <v>4</v>
      </c>
      <c r="B644" s="2" t="s">
        <v>1687</v>
      </c>
      <c r="C644" s="2" t="s">
        <v>1688</v>
      </c>
      <c r="D644" s="2" t="s">
        <v>1680</v>
      </c>
      <c r="E644" s="2" t="s">
        <v>1684</v>
      </c>
      <c r="F644" s="2" t="n">
        <v>109859.485505526</v>
      </c>
      <c r="G644" s="2" t="n">
        <v>0</v>
      </c>
      <c r="H644" s="2" t="n">
        <v>109859.485505526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</v>
      </c>
      <c r="DU644" s="2" t="n">
        <v>0</v>
      </c>
      <c r="DV644" s="2" t="n">
        <v>98.16</v>
      </c>
      <c r="DW644" s="2" t="n">
        <v>99.85</v>
      </c>
      <c r="DX644" s="2" t="n">
        <v>0</v>
      </c>
      <c r="DY644" s="2" t="n">
        <v>99.85</v>
      </c>
      <c r="DZ644" s="2" t="n">
        <v>99.85</v>
      </c>
      <c r="EA644" s="2" t="n">
        <v>0</v>
      </c>
      <c r="EB644" s="2" t="n">
        <v>99.85</v>
      </c>
      <c r="EC644" s="2" t="n">
        <v>99.85</v>
      </c>
      <c r="ED644" s="2" t="n">
        <v>0</v>
      </c>
      <c r="EE644" s="2" t="n">
        <v>99.85</v>
      </c>
      <c r="EF644" s="2" t="n">
        <v>99.85</v>
      </c>
      <c r="EG644" s="2" t="n">
        <v>0</v>
      </c>
      <c r="EH644" s="2" t="n">
        <v>99.85</v>
      </c>
      <c r="EI644" s="2" t="n">
        <v>99.85</v>
      </c>
      <c r="EJ644" s="2" t="n">
        <v>0</v>
      </c>
      <c r="EK644" s="2" t="n">
        <v>99.85</v>
      </c>
      <c r="EL644" s="2" t="n">
        <v>99.85</v>
      </c>
      <c r="EM644" s="2" t="n">
        <v>0</v>
      </c>
      <c r="EN644" s="2" t="n">
        <v>99.85</v>
      </c>
      <c r="EO644" s="2" t="n">
        <v>99.85</v>
      </c>
      <c r="EP644" s="2" t="n">
        <v>0</v>
      </c>
      <c r="EQ644" s="2" t="n">
        <v>99.85</v>
      </c>
      <c r="ER644" s="2" t="n">
        <v>99.85</v>
      </c>
      <c r="ES644" s="2" t="n">
        <v>0</v>
      </c>
    </row>
    <row r="645" customFormat="false" ht="15" hidden="false" customHeight="false" outlineLevel="0" collapsed="false">
      <c r="A645" s="2" t="n">
        <v>4</v>
      </c>
      <c r="B645" s="2" t="s">
        <v>1689</v>
      </c>
      <c r="C645" s="2" t="s">
        <v>1690</v>
      </c>
      <c r="D645" s="2" t="s">
        <v>1680</v>
      </c>
      <c r="E645" s="2" t="s">
        <v>1684</v>
      </c>
      <c r="F645" s="2" t="n">
        <v>37762.2324393431</v>
      </c>
      <c r="G645" s="2" t="n">
        <v>0</v>
      </c>
      <c r="H645" s="2" t="n">
        <v>37762.2324393431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</v>
      </c>
      <c r="DU645" s="2" t="n">
        <v>0</v>
      </c>
      <c r="DV645" s="2" t="n">
        <v>98.16</v>
      </c>
      <c r="DW645" s="2" t="n">
        <v>99.85</v>
      </c>
      <c r="DX645" s="2" t="n">
        <v>0</v>
      </c>
      <c r="DY645" s="2" t="n">
        <v>99.85</v>
      </c>
      <c r="DZ645" s="2" t="n">
        <v>99.85</v>
      </c>
      <c r="EA645" s="2" t="n">
        <v>0</v>
      </c>
      <c r="EB645" s="2" t="n">
        <v>99.85</v>
      </c>
      <c r="EC645" s="2" t="n">
        <v>99.85</v>
      </c>
      <c r="ED645" s="2" t="n">
        <v>0</v>
      </c>
      <c r="EE645" s="2" t="n">
        <v>99.85</v>
      </c>
      <c r="EF645" s="2" t="n">
        <v>99.85</v>
      </c>
      <c r="EG645" s="2" t="n">
        <v>0</v>
      </c>
      <c r="EH645" s="2" t="n">
        <v>99.85</v>
      </c>
      <c r="EI645" s="2" t="n">
        <v>99.85</v>
      </c>
      <c r="EJ645" s="2" t="n">
        <v>0</v>
      </c>
      <c r="EK645" s="2" t="n">
        <v>99.85</v>
      </c>
      <c r="EL645" s="2" t="n">
        <v>99.85</v>
      </c>
      <c r="EM645" s="2" t="n">
        <v>0</v>
      </c>
      <c r="EN645" s="2" t="n">
        <v>99.85</v>
      </c>
      <c r="EO645" s="2" t="n">
        <v>99.85</v>
      </c>
      <c r="EP645" s="2" t="n">
        <v>0</v>
      </c>
      <c r="EQ645" s="2" t="n">
        <v>99.85</v>
      </c>
      <c r="ER645" s="2" t="n">
        <v>99.85</v>
      </c>
      <c r="ES645" s="2" t="n">
        <v>0</v>
      </c>
    </row>
    <row r="646" customFormat="false" ht="15" hidden="false" customHeight="false" outlineLevel="0" collapsed="false">
      <c r="A646" s="2" t="n">
        <v>4</v>
      </c>
      <c r="B646" s="2" t="s">
        <v>1691</v>
      </c>
      <c r="C646" s="2" t="s">
        <v>1692</v>
      </c>
      <c r="D646" s="2" t="s">
        <v>1680</v>
      </c>
      <c r="E646" s="2" t="s">
        <v>1684</v>
      </c>
      <c r="F646" s="2" t="n">
        <v>3833.52285562263</v>
      </c>
      <c r="G646" s="2" t="n">
        <v>0</v>
      </c>
      <c r="H646" s="2" t="n">
        <v>3833.52285562263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</v>
      </c>
      <c r="DU646" s="2" t="n">
        <v>0</v>
      </c>
      <c r="DV646" s="2" t="n">
        <v>98.16</v>
      </c>
      <c r="DW646" s="2" t="n">
        <v>99.85</v>
      </c>
      <c r="DX646" s="2" t="n">
        <v>0</v>
      </c>
      <c r="DY646" s="2" t="n">
        <v>99.85</v>
      </c>
      <c r="DZ646" s="2" t="n">
        <v>99.85</v>
      </c>
      <c r="EA646" s="2" t="n">
        <v>0</v>
      </c>
      <c r="EB646" s="2" t="n">
        <v>99.85</v>
      </c>
      <c r="EC646" s="2" t="n">
        <v>99.85</v>
      </c>
      <c r="ED646" s="2" t="n">
        <v>0</v>
      </c>
      <c r="EE646" s="2" t="n">
        <v>99.85</v>
      </c>
      <c r="EF646" s="2" t="n">
        <v>99.85</v>
      </c>
      <c r="EG646" s="2" t="n">
        <v>0</v>
      </c>
      <c r="EH646" s="2" t="n">
        <v>99.85</v>
      </c>
      <c r="EI646" s="2" t="n">
        <v>99.85</v>
      </c>
      <c r="EJ646" s="2" t="n">
        <v>0</v>
      </c>
      <c r="EK646" s="2" t="n">
        <v>99.85</v>
      </c>
      <c r="EL646" s="2" t="n">
        <v>99.85</v>
      </c>
      <c r="EM646" s="2" t="n">
        <v>0</v>
      </c>
      <c r="EN646" s="2" t="n">
        <v>99.85</v>
      </c>
      <c r="EO646" s="2" t="n">
        <v>99.85</v>
      </c>
      <c r="EP646" s="2" t="n">
        <v>0</v>
      </c>
      <c r="EQ646" s="2" t="n">
        <v>99.85</v>
      </c>
      <c r="ER646" s="2" t="n">
        <v>99.85</v>
      </c>
      <c r="ES646" s="2" t="n">
        <v>0</v>
      </c>
    </row>
    <row r="647" customFormat="false" ht="15" hidden="false" customHeight="false" outlineLevel="0" collapsed="false">
      <c r="A647" s="2" t="n">
        <v>4</v>
      </c>
      <c r="B647" s="2" t="s">
        <v>1693</v>
      </c>
      <c r="C647" s="2" t="s">
        <v>1694</v>
      </c>
      <c r="D647" s="2" t="s">
        <v>1680</v>
      </c>
      <c r="E647" s="2" t="s">
        <v>1684</v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</v>
      </c>
      <c r="DU647" s="2" t="n">
        <v>0</v>
      </c>
      <c r="DV647" s="2" t="n">
        <v>98.16</v>
      </c>
      <c r="DW647" s="2" t="n">
        <v>99.85</v>
      </c>
      <c r="DX647" s="2" t="n">
        <v>0</v>
      </c>
      <c r="DY647" s="2" t="n">
        <v>99.85</v>
      </c>
      <c r="DZ647" s="2" t="n">
        <v>99.85</v>
      </c>
      <c r="EA647" s="2" t="n">
        <v>0</v>
      </c>
      <c r="EB647" s="2" t="n">
        <v>99.85</v>
      </c>
      <c r="EC647" s="2" t="n">
        <v>99.85</v>
      </c>
      <c r="ED647" s="2" t="n">
        <v>0</v>
      </c>
      <c r="EE647" s="2" t="n">
        <v>99.85</v>
      </c>
      <c r="EF647" s="2" t="n">
        <v>99.85</v>
      </c>
      <c r="EG647" s="2" t="n">
        <v>0</v>
      </c>
      <c r="EH647" s="2" t="n">
        <v>99.85</v>
      </c>
      <c r="EI647" s="2" t="n">
        <v>99.85</v>
      </c>
      <c r="EJ647" s="2" t="n">
        <v>0</v>
      </c>
      <c r="EK647" s="2" t="n">
        <v>99.85</v>
      </c>
      <c r="EL647" s="2" t="n">
        <v>99.85</v>
      </c>
      <c r="EM647" s="2" t="n">
        <v>0</v>
      </c>
      <c r="EN647" s="2" t="n">
        <v>99.85</v>
      </c>
      <c r="EO647" s="2" t="n">
        <v>99.85</v>
      </c>
      <c r="EP647" s="2" t="n">
        <v>0</v>
      </c>
      <c r="EQ647" s="2" t="n">
        <v>99.85</v>
      </c>
      <c r="ER647" s="2" t="n">
        <v>99.85</v>
      </c>
      <c r="ES647" s="2" t="n">
        <v>0</v>
      </c>
    </row>
    <row r="648" customFormat="false" ht="15" hidden="false" customHeight="false" outlineLevel="0" collapsed="false">
      <c r="A648" s="2" t="n">
        <v>4</v>
      </c>
      <c r="B648" s="2" t="s">
        <v>1695</v>
      </c>
      <c r="C648" s="2" t="s">
        <v>1696</v>
      </c>
      <c r="D648" s="2" t="s">
        <v>1680</v>
      </c>
      <c r="E648" s="2" t="s">
        <v>1684</v>
      </c>
      <c r="F648" s="2" t="n">
        <v>1274.94585834783</v>
      </c>
      <c r="G648" s="2" t="n">
        <v>0</v>
      </c>
      <c r="H648" s="2" t="n">
        <v>1274.94585834783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</v>
      </c>
      <c r="DU648" s="2" t="n">
        <v>0</v>
      </c>
      <c r="DV648" s="2" t="n">
        <v>98.16</v>
      </c>
      <c r="DW648" s="2" t="n">
        <v>99.85</v>
      </c>
      <c r="DX648" s="2" t="n">
        <v>0</v>
      </c>
      <c r="DY648" s="2" t="n">
        <v>99.85</v>
      </c>
      <c r="DZ648" s="2" t="n">
        <v>99.85</v>
      </c>
      <c r="EA648" s="2" t="n">
        <v>0</v>
      </c>
      <c r="EB648" s="2" t="n">
        <v>99.85</v>
      </c>
      <c r="EC648" s="2" t="n">
        <v>99.85</v>
      </c>
      <c r="ED648" s="2" t="n">
        <v>0</v>
      </c>
      <c r="EE648" s="2" t="n">
        <v>99.85</v>
      </c>
      <c r="EF648" s="2" t="n">
        <v>99.85</v>
      </c>
      <c r="EG648" s="2" t="n">
        <v>0</v>
      </c>
      <c r="EH648" s="2" t="n">
        <v>99.85</v>
      </c>
      <c r="EI648" s="2" t="n">
        <v>99.85</v>
      </c>
      <c r="EJ648" s="2" t="n">
        <v>0</v>
      </c>
      <c r="EK648" s="2" t="n">
        <v>99.85</v>
      </c>
      <c r="EL648" s="2" t="n">
        <v>99.85</v>
      </c>
      <c r="EM648" s="2" t="n">
        <v>0</v>
      </c>
      <c r="EN648" s="2" t="n">
        <v>99.85</v>
      </c>
      <c r="EO648" s="2" t="n">
        <v>99.85</v>
      </c>
      <c r="EP648" s="2" t="n">
        <v>0</v>
      </c>
      <c r="EQ648" s="2" t="n">
        <v>99.85</v>
      </c>
      <c r="ER648" s="2" t="n">
        <v>99.85</v>
      </c>
      <c r="ES648" s="2" t="n">
        <v>0</v>
      </c>
    </row>
    <row r="649" customFormat="false" ht="15" hidden="false" customHeight="false" outlineLevel="0" collapsed="false">
      <c r="A649" s="2" t="n">
        <v>4</v>
      </c>
      <c r="B649" s="2" t="s">
        <v>1697</v>
      </c>
      <c r="C649" s="2" t="s">
        <v>1698</v>
      </c>
      <c r="D649" s="2" t="s">
        <v>1680</v>
      </c>
      <c r="E649" s="2" t="s">
        <v>1684</v>
      </c>
      <c r="F649" s="2" t="n">
        <v>16971.2900945208</v>
      </c>
      <c r="G649" s="2" t="n">
        <v>0</v>
      </c>
      <c r="H649" s="2" t="n">
        <v>16971.2900945208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</v>
      </c>
      <c r="DU649" s="2" t="n">
        <v>0</v>
      </c>
      <c r="DV649" s="2" t="n">
        <v>98.16</v>
      </c>
      <c r="DW649" s="2" t="n">
        <v>99.85</v>
      </c>
      <c r="DX649" s="2" t="n">
        <v>0</v>
      </c>
      <c r="DY649" s="2" t="n">
        <v>99.85</v>
      </c>
      <c r="DZ649" s="2" t="n">
        <v>99.85</v>
      </c>
      <c r="EA649" s="2" t="n">
        <v>0</v>
      </c>
      <c r="EB649" s="2" t="n">
        <v>99.85</v>
      </c>
      <c r="EC649" s="2" t="n">
        <v>99.85</v>
      </c>
      <c r="ED649" s="2" t="n">
        <v>0</v>
      </c>
      <c r="EE649" s="2" t="n">
        <v>99.85</v>
      </c>
      <c r="EF649" s="2" t="n">
        <v>99.85</v>
      </c>
      <c r="EG649" s="2" t="n">
        <v>0</v>
      </c>
      <c r="EH649" s="2" t="n">
        <v>99.85</v>
      </c>
      <c r="EI649" s="2" t="n">
        <v>99.85</v>
      </c>
      <c r="EJ649" s="2" t="n">
        <v>0</v>
      </c>
      <c r="EK649" s="2" t="n">
        <v>99.85</v>
      </c>
      <c r="EL649" s="2" t="n">
        <v>99.85</v>
      </c>
      <c r="EM649" s="2" t="n">
        <v>0</v>
      </c>
      <c r="EN649" s="2" t="n">
        <v>99.85</v>
      </c>
      <c r="EO649" s="2" t="n">
        <v>99.85</v>
      </c>
      <c r="EP649" s="2" t="n">
        <v>0</v>
      </c>
      <c r="EQ649" s="2" t="n">
        <v>99.85</v>
      </c>
      <c r="ER649" s="2" t="n">
        <v>99.85</v>
      </c>
      <c r="ES649" s="2" t="n">
        <v>0</v>
      </c>
    </row>
    <row r="650" customFormat="false" ht="15" hidden="false" customHeight="false" outlineLevel="0" collapsed="false">
      <c r="A650" s="2" t="n">
        <v>3</v>
      </c>
      <c r="B650" s="2" t="s">
        <v>1699</v>
      </c>
      <c r="C650" s="2" t="s">
        <v>1700</v>
      </c>
      <c r="D650" s="2" t="s">
        <v>1701</v>
      </c>
      <c r="E650" s="2" t="s">
        <v>440</v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 customFormat="false" ht="15" hidden="false" customHeight="false" outlineLevel="0" collapsed="false">
      <c r="A651" s="2" t="n">
        <v>4</v>
      </c>
      <c r="B651" s="2" t="s">
        <v>1702</v>
      </c>
      <c r="C651" s="2" t="s">
        <v>1703</v>
      </c>
      <c r="D651" s="2" t="s">
        <v>1701</v>
      </c>
      <c r="E651" s="2" t="s">
        <v>440</v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 customFormat="false" ht="15" hidden="false" customHeight="false" outlineLevel="0" collapsed="false">
      <c r="A652" s="2" t="n">
        <v>3</v>
      </c>
      <c r="B652" s="2" t="s">
        <v>1704</v>
      </c>
      <c r="C652" s="2" t="s">
        <v>1705</v>
      </c>
      <c r="D652" s="2" t="s">
        <v>1480</v>
      </c>
      <c r="E652" s="2" t="s">
        <v>1706</v>
      </c>
      <c r="F652" s="2" t="n">
        <v>442714.767579384</v>
      </c>
      <c r="G652" s="2" t="n">
        <v>0</v>
      </c>
      <c r="H652" s="2" t="n">
        <v>442714.767579384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</v>
      </c>
      <c r="DO652" s="2" t="n">
        <v>0</v>
      </c>
      <c r="DP652" s="2" t="n">
        <v>95.83</v>
      </c>
      <c r="DQ652" s="2" t="n">
        <v>98.15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 customFormat="false" ht="15" hidden="false" customHeight="false" outlineLevel="0" collapsed="false">
      <c r="A653" s="2" t="n">
        <v>4</v>
      </c>
      <c r="B653" s="2" t="s">
        <v>1707</v>
      </c>
      <c r="C653" s="2" t="s">
        <v>1708</v>
      </c>
      <c r="D653" s="2" t="s">
        <v>1480</v>
      </c>
      <c r="E653" s="2" t="s">
        <v>1706</v>
      </c>
      <c r="F653" s="2" t="n">
        <v>348223.410810155</v>
      </c>
      <c r="G653" s="2" t="n">
        <v>0</v>
      </c>
      <c r="H653" s="2" t="n">
        <v>348223.410810155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</v>
      </c>
      <c r="DO653" s="2" t="n">
        <v>0</v>
      </c>
      <c r="DP653" s="2" t="n">
        <v>95.83</v>
      </c>
      <c r="DQ653" s="2" t="n">
        <v>98.15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 customFormat="false" ht="15" hidden="false" customHeight="false" outlineLevel="0" collapsed="false">
      <c r="A654" s="2" t="n">
        <v>4</v>
      </c>
      <c r="B654" s="2" t="s">
        <v>1709</v>
      </c>
      <c r="C654" s="2" t="s">
        <v>1710</v>
      </c>
      <c r="D654" s="2" t="s">
        <v>1480</v>
      </c>
      <c r="E654" s="2" t="s">
        <v>1706</v>
      </c>
      <c r="F654" s="2" t="n">
        <v>83690.6004772432</v>
      </c>
      <c r="G654" s="2" t="n">
        <v>0</v>
      </c>
      <c r="H654" s="2" t="n">
        <v>83690.6004772432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</v>
      </c>
      <c r="DO654" s="2" t="n">
        <v>0</v>
      </c>
      <c r="DP654" s="2" t="n">
        <v>95.83</v>
      </c>
      <c r="DQ654" s="2" t="n">
        <v>98.15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 customFormat="false" ht="15" hidden="false" customHeight="false" outlineLevel="0" collapsed="false">
      <c r="A655" s="2" t="n">
        <v>4</v>
      </c>
      <c r="B655" s="2" t="s">
        <v>1711</v>
      </c>
      <c r="C655" s="2" t="s">
        <v>1712</v>
      </c>
      <c r="D655" s="2" t="s">
        <v>1480</v>
      </c>
      <c r="E655" s="2" t="s">
        <v>1706</v>
      </c>
      <c r="F655" s="2" t="n">
        <v>10800.7562919863</v>
      </c>
      <c r="G655" s="2" t="n">
        <v>0</v>
      </c>
      <c r="H655" s="2" t="n">
        <v>10800.7562919863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</v>
      </c>
      <c r="DO655" s="2" t="n">
        <v>0</v>
      </c>
      <c r="DP655" s="2" t="n">
        <v>95.83</v>
      </c>
      <c r="DQ655" s="2" t="n">
        <v>98.15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 customFormat="false" ht="15" hidden="false" customHeight="false" outlineLevel="0" collapsed="false">
      <c r="A656" s="2" t="n">
        <v>3</v>
      </c>
      <c r="B656" s="2" t="s">
        <v>1713</v>
      </c>
      <c r="C656" s="2" t="s">
        <v>1714</v>
      </c>
      <c r="D656" s="2" t="s">
        <v>1715</v>
      </c>
      <c r="E656" s="2" t="s">
        <v>1681</v>
      </c>
      <c r="F656" s="2" t="n">
        <v>777295.392</v>
      </c>
      <c r="G656" s="2" t="n">
        <v>0</v>
      </c>
      <c r="H656" s="2" t="n">
        <v>777295.392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9.78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 customFormat="false" ht="15" hidden="false" customHeight="false" outlineLevel="0" collapsed="false">
      <c r="A657" s="2" t="n">
        <v>4</v>
      </c>
      <c r="B657" s="2" t="s">
        <v>1716</v>
      </c>
      <c r="C657" s="2" t="s">
        <v>1717</v>
      </c>
      <c r="D657" s="2" t="s">
        <v>1715</v>
      </c>
      <c r="E657" s="2" t="s">
        <v>1681</v>
      </c>
      <c r="F657" s="2" t="n">
        <v>774168.064</v>
      </c>
      <c r="G657" s="2" t="n">
        <v>0</v>
      </c>
      <c r="H657" s="2" t="n">
        <v>774168.064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9.78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 customFormat="false" ht="15" hidden="false" customHeight="false" outlineLevel="0" collapsed="false">
      <c r="A658" s="2" t="n">
        <v>4</v>
      </c>
      <c r="B658" s="2" t="s">
        <v>1718</v>
      </c>
      <c r="C658" s="2" t="s">
        <v>1719</v>
      </c>
      <c r="D658" s="2" t="s">
        <v>1715</v>
      </c>
      <c r="E658" s="2" t="s">
        <v>1681</v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9.78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 customFormat="false" ht="15" hidden="false" customHeight="false" outlineLevel="0" collapsed="false">
      <c r="A659" s="2" t="n">
        <v>3</v>
      </c>
      <c r="B659" s="2" t="s">
        <v>1720</v>
      </c>
      <c r="C659" s="2" t="s">
        <v>1721</v>
      </c>
      <c r="D659" s="2" t="s">
        <v>1722</v>
      </c>
      <c r="E659" s="2" t="s">
        <v>1723</v>
      </c>
      <c r="F659" s="2" t="n">
        <v>273316.217769548</v>
      </c>
      <c r="G659" s="2" t="n">
        <v>0</v>
      </c>
      <c r="H659" s="2" t="n">
        <v>273316.217769548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76.1</v>
      </c>
      <c r="EA659" s="2" t="n">
        <v>0</v>
      </c>
      <c r="EB659" s="2" t="n">
        <v>75.28</v>
      </c>
      <c r="EC659" s="2" t="n">
        <v>91.76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 customFormat="false" ht="15" hidden="false" customHeight="false" outlineLevel="0" collapsed="false">
      <c r="A660" s="2" t="n">
        <v>4</v>
      </c>
      <c r="B660" s="2" t="s">
        <v>1724</v>
      </c>
      <c r="C660" s="2" t="s">
        <v>1725</v>
      </c>
      <c r="D660" s="2" t="s">
        <v>1722</v>
      </c>
      <c r="E660" s="2" t="s">
        <v>1723</v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76.1</v>
      </c>
      <c r="EA660" s="2" t="n">
        <v>0</v>
      </c>
      <c r="EB660" s="2" t="n">
        <v>75.28</v>
      </c>
      <c r="EC660" s="2" t="n">
        <v>91.76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 customFormat="false" ht="15" hidden="false" customHeight="false" outlineLevel="0" collapsed="false">
      <c r="A661" s="2" t="n">
        <v>4</v>
      </c>
      <c r="B661" s="2" t="s">
        <v>1726</v>
      </c>
      <c r="C661" s="2" t="s">
        <v>1727</v>
      </c>
      <c r="D661" s="2" t="s">
        <v>1722</v>
      </c>
      <c r="E661" s="2" t="s">
        <v>1723</v>
      </c>
      <c r="F661" s="2" t="n">
        <v>22357.2539390523</v>
      </c>
      <c r="G661" s="2" t="n">
        <v>0</v>
      </c>
      <c r="H661" s="2" t="n">
        <v>22357.2539390523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76.1</v>
      </c>
      <c r="EA661" s="2" t="n">
        <v>0</v>
      </c>
      <c r="EB661" s="2" t="n">
        <v>75.28</v>
      </c>
      <c r="EC661" s="2" t="n">
        <v>91.76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 customFormat="false" ht="15" hidden="false" customHeight="false" outlineLevel="0" collapsed="false">
      <c r="A662" s="2" t="n">
        <v>4</v>
      </c>
      <c r="B662" s="2" t="s">
        <v>1728</v>
      </c>
      <c r="C662" s="2" t="s">
        <v>1729</v>
      </c>
      <c r="D662" s="2" t="s">
        <v>1722</v>
      </c>
      <c r="E662" s="2" t="s">
        <v>1723</v>
      </c>
      <c r="F662" s="2" t="n">
        <v>74407.6567443462</v>
      </c>
      <c r="G662" s="2" t="n">
        <v>0</v>
      </c>
      <c r="H662" s="2" t="n">
        <v>74407.6567443462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76.1</v>
      </c>
      <c r="EA662" s="2" t="n">
        <v>0</v>
      </c>
      <c r="EB662" s="2" t="n">
        <v>75.28</v>
      </c>
      <c r="EC662" s="2" t="n">
        <v>91.76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 customFormat="false" ht="15" hidden="false" customHeight="false" outlineLevel="0" collapsed="false">
      <c r="A663" s="2" t="n">
        <v>4</v>
      </c>
      <c r="B663" s="2" t="s">
        <v>1730</v>
      </c>
      <c r="C663" s="2" t="s">
        <v>1731</v>
      </c>
      <c r="D663" s="2" t="s">
        <v>1722</v>
      </c>
      <c r="E663" s="2" t="s">
        <v>1723</v>
      </c>
      <c r="F663" s="2" t="n">
        <v>52523.5372361494</v>
      </c>
      <c r="G663" s="2" t="n">
        <v>0</v>
      </c>
      <c r="H663" s="2" t="n">
        <v>52523.5372361494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76.1</v>
      </c>
      <c r="EA663" s="2" t="n">
        <v>0</v>
      </c>
      <c r="EB663" s="2" t="n">
        <v>75.28</v>
      </c>
      <c r="EC663" s="2" t="n">
        <v>91.76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 customFormat="false" ht="15" hidden="false" customHeight="false" outlineLevel="0" collapsed="false">
      <c r="A664" s="2" t="n">
        <v>2</v>
      </c>
      <c r="B664" s="2" t="s">
        <v>1732</v>
      </c>
      <c r="C664" s="2" t="s">
        <v>1733</v>
      </c>
      <c r="D664" s="2" t="s">
        <v>1734</v>
      </c>
      <c r="E664" s="2" t="s">
        <v>1735</v>
      </c>
      <c r="F664" s="2" t="n">
        <v>925320.056813097</v>
      </c>
      <c r="G664" s="2" t="n">
        <v>0</v>
      </c>
      <c r="H664" s="2" t="n">
        <v>925320.056813097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 customFormat="false" ht="15" hidden="false" customHeight="false" outlineLevel="0" collapsed="false">
      <c r="A665" s="2" t="n">
        <v>3</v>
      </c>
      <c r="B665" s="2" t="s">
        <v>1736</v>
      </c>
      <c r="C665" s="2" t="s">
        <v>1683</v>
      </c>
      <c r="D665" s="2" t="s">
        <v>1734</v>
      </c>
      <c r="E665" s="2" t="s">
        <v>1735</v>
      </c>
      <c r="F665" s="2" t="n">
        <v>340748.478428956</v>
      </c>
      <c r="G665" s="2" t="n">
        <v>0</v>
      </c>
      <c r="H665" s="2" t="n">
        <v>340748.478428956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 customFormat="false" ht="15" hidden="false" customHeight="false" outlineLevel="0" collapsed="false">
      <c r="A666" s="2" t="n">
        <v>4</v>
      </c>
      <c r="B666" s="2" t="s">
        <v>1737</v>
      </c>
      <c r="C666" s="2" t="s">
        <v>1738</v>
      </c>
      <c r="D666" s="2" t="s">
        <v>1734</v>
      </c>
      <c r="E666" s="2" t="s">
        <v>1735</v>
      </c>
      <c r="F666" s="2" t="n">
        <v>269606.886248085</v>
      </c>
      <c r="G666" s="2" t="n">
        <v>0</v>
      </c>
      <c r="H666" s="2" t="n">
        <v>269606.886248085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 customFormat="false" ht="15" hidden="false" customHeight="false" outlineLevel="0" collapsed="false">
      <c r="A667" s="2" t="n">
        <v>4</v>
      </c>
      <c r="B667" s="2" t="s">
        <v>1739</v>
      </c>
      <c r="C667" s="2" t="s">
        <v>1738</v>
      </c>
      <c r="D667" s="2" t="s">
        <v>1734</v>
      </c>
      <c r="E667" s="2" t="s">
        <v>1735</v>
      </c>
      <c r="F667" s="2" t="n">
        <v>61183.9080091517</v>
      </c>
      <c r="G667" s="2" t="n">
        <v>0</v>
      </c>
      <c r="H667" s="2" t="n">
        <v>61183.9080091517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 customFormat="false" ht="15" hidden="false" customHeight="false" outlineLevel="0" collapsed="false">
      <c r="A668" s="2" t="n">
        <v>4</v>
      </c>
      <c r="B668" s="2" t="s">
        <v>1740</v>
      </c>
      <c r="C668" s="2" t="s">
        <v>1741</v>
      </c>
      <c r="D668" s="2" t="s">
        <v>1734</v>
      </c>
      <c r="E668" s="2" t="s">
        <v>1735</v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 customFormat="false" ht="15" hidden="false" customHeight="false" outlineLevel="0" collapsed="false">
      <c r="A669" s="2" t="n">
        <v>4</v>
      </c>
      <c r="B669" s="2" t="s">
        <v>1742</v>
      </c>
      <c r="C669" s="2" t="s">
        <v>1743</v>
      </c>
      <c r="D669" s="2" t="s">
        <v>1734</v>
      </c>
      <c r="E669" s="2" t="s">
        <v>1735</v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 customFormat="false" ht="15" hidden="false" customHeight="false" outlineLevel="0" collapsed="false">
      <c r="A670" s="2" t="n">
        <v>4</v>
      </c>
      <c r="B670" s="2" t="s">
        <v>1744</v>
      </c>
      <c r="C670" s="2" t="s">
        <v>1745</v>
      </c>
      <c r="D670" s="2" t="s">
        <v>1734</v>
      </c>
      <c r="E670" s="2" t="s">
        <v>1735</v>
      </c>
      <c r="F670" s="2" t="n">
        <v>5718.44636114297</v>
      </c>
      <c r="G670" s="2" t="n">
        <v>0</v>
      </c>
      <c r="H670" s="2" t="n">
        <v>5718.44636114297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 customFormat="false" ht="15" hidden="false" customHeight="false" outlineLevel="0" collapsed="false">
      <c r="A671" s="2" t="n">
        <v>3</v>
      </c>
      <c r="B671" s="2" t="s">
        <v>1746</v>
      </c>
      <c r="C671" s="2" t="s">
        <v>1705</v>
      </c>
      <c r="D671" s="2" t="s">
        <v>1734</v>
      </c>
      <c r="E671" s="2" t="s">
        <v>1735</v>
      </c>
      <c r="F671" s="2" t="n">
        <v>59075.1160131095</v>
      </c>
      <c r="G671" s="2" t="n">
        <v>0</v>
      </c>
      <c r="H671" s="2" t="n">
        <v>59075.1160131095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 customFormat="false" ht="15" hidden="false" customHeight="false" outlineLevel="0" collapsed="false">
      <c r="A672" s="2" t="n">
        <v>4</v>
      </c>
      <c r="B672" s="2" t="s">
        <v>1747</v>
      </c>
      <c r="C672" s="2" t="s">
        <v>1748</v>
      </c>
      <c r="D672" s="2" t="s">
        <v>1734</v>
      </c>
      <c r="E672" s="2" t="s">
        <v>1735</v>
      </c>
      <c r="F672" s="2" t="n">
        <v>59075.1160131095</v>
      </c>
      <c r="G672" s="2" t="n">
        <v>0</v>
      </c>
      <c r="H672" s="2" t="n">
        <v>59075.1160131095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 customFormat="false" ht="15" hidden="false" customHeight="false" outlineLevel="0" collapsed="false">
      <c r="A673" s="2" t="n">
        <v>3</v>
      </c>
      <c r="B673" s="2" t="s">
        <v>1749</v>
      </c>
      <c r="C673" s="2" t="s">
        <v>1714</v>
      </c>
      <c r="D673" s="2" t="s">
        <v>1734</v>
      </c>
      <c r="E673" s="2" t="s">
        <v>1735</v>
      </c>
      <c r="F673" s="2" t="n">
        <v>525496.462371031</v>
      </c>
      <c r="G673" s="2" t="n">
        <v>0</v>
      </c>
      <c r="H673" s="2" t="n">
        <v>525496.462371031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 customFormat="false" ht="15" hidden="false" customHeight="false" outlineLevel="0" collapsed="false">
      <c r="A674" s="2" t="n">
        <v>4</v>
      </c>
      <c r="B674" s="2" t="s">
        <v>1750</v>
      </c>
      <c r="C674" s="2" t="s">
        <v>1751</v>
      </c>
      <c r="D674" s="2" t="s">
        <v>1734</v>
      </c>
      <c r="E674" s="2" t="s">
        <v>1735</v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 customFormat="false" ht="15" hidden="false" customHeight="false" outlineLevel="0" collapsed="false">
      <c r="A675" s="2" t="n">
        <v>4</v>
      </c>
      <c r="B675" s="2" t="s">
        <v>1752</v>
      </c>
      <c r="C675" s="2" t="s">
        <v>1753</v>
      </c>
      <c r="D675" s="2" t="s">
        <v>1734</v>
      </c>
      <c r="E675" s="2" t="s">
        <v>1735</v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 customFormat="false" ht="15" hidden="false" customHeight="false" outlineLevel="0" collapsed="false">
      <c r="A676" s="2" t="n">
        <v>4</v>
      </c>
      <c r="B676" s="2" t="s">
        <v>1754</v>
      </c>
      <c r="C676" s="2" t="s">
        <v>1755</v>
      </c>
      <c r="D676" s="2" t="s">
        <v>1734</v>
      </c>
      <c r="E676" s="2" t="s">
        <v>1735</v>
      </c>
      <c r="F676" s="2" t="n">
        <v>46083.8203710309</v>
      </c>
      <c r="G676" s="2" t="n">
        <v>0</v>
      </c>
      <c r="H676" s="2" t="n">
        <v>46083.8203710309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 customFormat="false" ht="15" hidden="false" customHeight="false" outlineLevel="0" collapsed="false">
      <c r="A677" s="2" t="n">
        <v>2</v>
      </c>
      <c r="B677" s="2" t="s">
        <v>1756</v>
      </c>
      <c r="C677" s="2" t="s">
        <v>1757</v>
      </c>
      <c r="D677" s="2" t="s">
        <v>440</v>
      </c>
      <c r="E677" s="2" t="s">
        <v>1677</v>
      </c>
      <c r="F677" s="2" t="n">
        <v>1092727.24680506</v>
      </c>
      <c r="G677" s="2" t="n">
        <v>0</v>
      </c>
      <c r="H677" s="2" t="n">
        <v>1092727.24680506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73.74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 customFormat="false" ht="15" hidden="false" customHeight="false" outlineLevel="0" collapsed="false">
      <c r="A678" s="2" t="n">
        <v>3</v>
      </c>
      <c r="B678" s="2" t="s">
        <v>1758</v>
      </c>
      <c r="C678" s="2" t="s">
        <v>1705</v>
      </c>
      <c r="D678" s="2" t="s">
        <v>1759</v>
      </c>
      <c r="E678" s="2" t="s">
        <v>1677</v>
      </c>
      <c r="F678" s="2" t="n">
        <v>765228.984805057</v>
      </c>
      <c r="G678" s="2" t="n">
        <v>0</v>
      </c>
      <c r="H678" s="2" t="n">
        <v>765228.984805057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 customFormat="false" ht="15" hidden="false" customHeight="false" outlineLevel="0" collapsed="false">
      <c r="A679" s="2" t="n">
        <v>4</v>
      </c>
      <c r="B679" s="2" t="s">
        <v>1760</v>
      </c>
      <c r="C679" s="2" t="s">
        <v>1708</v>
      </c>
      <c r="D679" s="2" t="s">
        <v>1759</v>
      </c>
      <c r="E679" s="2" t="s">
        <v>1677</v>
      </c>
      <c r="F679" s="2" t="n">
        <v>232609.254418571</v>
      </c>
      <c r="G679" s="2" t="n">
        <v>0</v>
      </c>
      <c r="H679" s="2" t="n">
        <v>232609.254418571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 customFormat="false" ht="15" hidden="false" customHeight="false" outlineLevel="0" collapsed="false">
      <c r="A680" s="2" t="n">
        <v>4</v>
      </c>
      <c r="B680" s="2" t="s">
        <v>1761</v>
      </c>
      <c r="C680" s="2" t="s">
        <v>1762</v>
      </c>
      <c r="D680" s="2" t="s">
        <v>1759</v>
      </c>
      <c r="E680" s="2" t="s">
        <v>1677</v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 customFormat="false" ht="15" hidden="false" customHeight="false" outlineLevel="0" collapsed="false">
      <c r="A681" s="2" t="n">
        <v>3</v>
      </c>
      <c r="B681" s="2" t="s">
        <v>1763</v>
      </c>
      <c r="C681" s="2" t="s">
        <v>1764</v>
      </c>
      <c r="D681" s="2" t="s">
        <v>440</v>
      </c>
      <c r="E681" s="2" t="s">
        <v>1765</v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 customFormat="false" ht="15" hidden="false" customHeight="false" outlineLevel="0" collapsed="false">
      <c r="A682" s="2" t="n">
        <v>4</v>
      </c>
      <c r="B682" s="2" t="s">
        <v>1766</v>
      </c>
      <c r="C682" s="2" t="s">
        <v>1767</v>
      </c>
      <c r="D682" s="2" t="s">
        <v>440</v>
      </c>
      <c r="E682" s="2" t="s">
        <v>1765</v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 customFormat="false" ht="15" hidden="false" customHeight="false" outlineLevel="0" collapsed="false">
      <c r="A683" s="2" t="n">
        <v>3</v>
      </c>
      <c r="B683" s="2" t="s">
        <v>1768</v>
      </c>
      <c r="C683" s="2" t="s">
        <v>1769</v>
      </c>
      <c r="D683" s="2" t="s">
        <v>1490</v>
      </c>
      <c r="E683" s="2" t="s">
        <v>1491</v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 customFormat="false" ht="15" hidden="false" customHeight="false" outlineLevel="0" collapsed="false">
      <c r="A684" s="2" t="n">
        <v>4</v>
      </c>
      <c r="B684" s="2" t="s">
        <v>1770</v>
      </c>
      <c r="C684" s="2" t="s">
        <v>1771</v>
      </c>
      <c r="D684" s="2" t="s">
        <v>1490</v>
      </c>
      <c r="E684" s="2" t="s">
        <v>1491</v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 customFormat="false" ht="15" hidden="false" customHeight="false" outlineLevel="0" collapsed="false">
      <c r="A685" s="2" t="n">
        <v>4</v>
      </c>
      <c r="B685" s="2" t="s">
        <v>1772</v>
      </c>
      <c r="C685" s="2" t="s">
        <v>1773</v>
      </c>
      <c r="D685" s="2" t="s">
        <v>1490</v>
      </c>
      <c r="E685" s="2" t="s">
        <v>1491</v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 customFormat="false" ht="15" hidden="false" customHeight="false" outlineLevel="0" collapsed="false">
      <c r="A686" s="2" t="n">
        <v>2</v>
      </c>
      <c r="B686" s="2" t="s">
        <v>1774</v>
      </c>
      <c r="C686" s="2" t="s">
        <v>1775</v>
      </c>
      <c r="D686" s="2" t="s">
        <v>440</v>
      </c>
      <c r="E686" s="2" t="s">
        <v>1677</v>
      </c>
      <c r="F686" s="2" t="n">
        <v>13890.0491667251</v>
      </c>
      <c r="G686" s="2" t="n">
        <v>0</v>
      </c>
      <c r="H686" s="2" t="n">
        <v>13890.0491667251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 customFormat="false" ht="15" hidden="false" customHeight="false" outlineLevel="0" collapsed="false">
      <c r="A687" s="2" t="n">
        <v>3</v>
      </c>
      <c r="B687" s="2" t="s">
        <v>1776</v>
      </c>
      <c r="C687" s="2" t="s">
        <v>1777</v>
      </c>
      <c r="D687" s="2" t="s">
        <v>440</v>
      </c>
      <c r="E687" s="2" t="s">
        <v>1677</v>
      </c>
      <c r="F687" s="2" t="n">
        <v>13890.0491667251</v>
      </c>
      <c r="G687" s="2" t="n">
        <v>0</v>
      </c>
      <c r="H687" s="2" t="n">
        <v>13890.0491667251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 customFormat="false" ht="15" hidden="false" customHeight="false" outlineLevel="0" collapsed="false">
      <c r="A688" s="2" t="n">
        <v>2</v>
      </c>
      <c r="B688" s="2" t="s">
        <v>1778</v>
      </c>
      <c r="C688" s="2" t="s">
        <v>1779</v>
      </c>
      <c r="D688" s="2" t="s">
        <v>1676</v>
      </c>
      <c r="E688" s="2" t="s">
        <v>1780</v>
      </c>
      <c r="F688" s="2" t="n">
        <v>2335493.60935342</v>
      </c>
      <c r="G688" s="2" t="n">
        <v>0</v>
      </c>
      <c r="H688" s="2" t="n">
        <v>2335493.60935342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</v>
      </c>
      <c r="CM688" s="2" t="n">
        <v>9.88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69.07</v>
      </c>
      <c r="DE688" s="2" t="n">
        <v>70.86</v>
      </c>
      <c r="DF688" s="2" t="n">
        <v>0</v>
      </c>
      <c r="DG688" s="2" t="n">
        <v>75.51</v>
      </c>
      <c r="DH688" s="2" t="n">
        <v>77.31</v>
      </c>
      <c r="DI688" s="2" t="n">
        <v>0</v>
      </c>
      <c r="DJ688" s="2" t="n">
        <v>83.4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 customFormat="false" ht="15" hidden="false" customHeight="false" outlineLevel="0" collapsed="false">
      <c r="A689" s="2" t="n">
        <v>3</v>
      </c>
      <c r="B689" s="2" t="s">
        <v>1781</v>
      </c>
      <c r="C689" s="2" t="s">
        <v>1782</v>
      </c>
      <c r="D689" s="2" t="s">
        <v>1676</v>
      </c>
      <c r="E689" s="2" t="s">
        <v>1780</v>
      </c>
      <c r="F689" s="2" t="n">
        <v>2021085.03730219</v>
      </c>
      <c r="G689" s="2" t="n">
        <v>0</v>
      </c>
      <c r="H689" s="2" t="n">
        <v>2021085.03730219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</v>
      </c>
      <c r="CM689" s="2" t="n">
        <v>9.88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69.07</v>
      </c>
      <c r="DE689" s="2" t="n">
        <v>70.86</v>
      </c>
      <c r="DF689" s="2" t="n">
        <v>0</v>
      </c>
      <c r="DG689" s="2" t="n">
        <v>75.51</v>
      </c>
      <c r="DH689" s="2" t="n">
        <v>77.31</v>
      </c>
      <c r="DI689" s="2" t="n">
        <v>0</v>
      </c>
      <c r="DJ689" s="2" t="n">
        <v>83.4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 customFormat="false" ht="15" hidden="false" customHeight="false" outlineLevel="0" collapsed="false">
      <c r="A690" s="2" t="n">
        <v>4</v>
      </c>
      <c r="B690" s="2" t="s">
        <v>1783</v>
      </c>
      <c r="C690" s="2" t="s">
        <v>1784</v>
      </c>
      <c r="D690" s="2" t="s">
        <v>1676</v>
      </c>
      <c r="E690" s="2" t="s">
        <v>1780</v>
      </c>
      <c r="F690" s="2" t="n">
        <v>601418.306733761</v>
      </c>
      <c r="G690" s="2" t="n">
        <v>0</v>
      </c>
      <c r="H690" s="2" t="n">
        <v>601418.306733761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</v>
      </c>
      <c r="CM690" s="2" t="n">
        <v>9.88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69.07</v>
      </c>
      <c r="DE690" s="2" t="n">
        <v>70.86</v>
      </c>
      <c r="DF690" s="2" t="n">
        <v>0</v>
      </c>
      <c r="DG690" s="2" t="n">
        <v>75.51</v>
      </c>
      <c r="DH690" s="2" t="n">
        <v>77.31</v>
      </c>
      <c r="DI690" s="2" t="n">
        <v>0</v>
      </c>
      <c r="DJ690" s="2" t="n">
        <v>83.4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 customFormat="false" ht="15" hidden="false" customHeight="false" outlineLevel="0" collapsed="false">
      <c r="A691" s="2" t="n">
        <v>4</v>
      </c>
      <c r="B691" s="2" t="s">
        <v>1785</v>
      </c>
      <c r="C691" s="2" t="s">
        <v>1786</v>
      </c>
      <c r="D691" s="2" t="s">
        <v>1676</v>
      </c>
      <c r="E691" s="2" t="s">
        <v>1780</v>
      </c>
      <c r="F691" s="2" t="n">
        <v>948996.681552588</v>
      </c>
      <c r="G691" s="2" t="n">
        <v>0</v>
      </c>
      <c r="H691" s="2" t="n">
        <v>948996.681552588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</v>
      </c>
      <c r="CM691" s="2" t="n">
        <v>9.88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69.07</v>
      </c>
      <c r="DE691" s="2" t="n">
        <v>70.86</v>
      </c>
      <c r="DF691" s="2" t="n">
        <v>0</v>
      </c>
      <c r="DG691" s="2" t="n">
        <v>75.51</v>
      </c>
      <c r="DH691" s="2" t="n">
        <v>77.31</v>
      </c>
      <c r="DI691" s="2" t="n">
        <v>0</v>
      </c>
      <c r="DJ691" s="2" t="n">
        <v>83.4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 customFormat="false" ht="15" hidden="false" customHeight="false" outlineLevel="0" collapsed="false">
      <c r="A692" s="2" t="n">
        <v>4</v>
      </c>
      <c r="B692" s="2" t="s">
        <v>1787</v>
      </c>
      <c r="C692" s="2" t="s">
        <v>1788</v>
      </c>
      <c r="D692" s="2" t="s">
        <v>1676</v>
      </c>
      <c r="E692" s="2" t="s">
        <v>1780</v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</v>
      </c>
      <c r="CM692" s="2" t="n">
        <v>9.88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69.07</v>
      </c>
      <c r="DE692" s="2" t="n">
        <v>70.86</v>
      </c>
      <c r="DF692" s="2" t="n">
        <v>0</v>
      </c>
      <c r="DG692" s="2" t="n">
        <v>75.51</v>
      </c>
      <c r="DH692" s="2" t="n">
        <v>77.31</v>
      </c>
      <c r="DI692" s="2" t="n">
        <v>0</v>
      </c>
      <c r="DJ692" s="2" t="n">
        <v>83.4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 customFormat="false" ht="15" hidden="false" customHeight="false" outlineLevel="0" collapsed="false">
      <c r="A693" s="2" t="n">
        <v>4</v>
      </c>
      <c r="B693" s="2" t="s">
        <v>1789</v>
      </c>
      <c r="C693" s="2" t="s">
        <v>1790</v>
      </c>
      <c r="D693" s="2" t="s">
        <v>1676</v>
      </c>
      <c r="E693" s="2" t="s">
        <v>1780</v>
      </c>
      <c r="F693" s="2" t="n">
        <v>222574.005316343</v>
      </c>
      <c r="G693" s="2" t="n">
        <v>0</v>
      </c>
      <c r="H693" s="2" t="n">
        <v>222574.005316343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</v>
      </c>
      <c r="CM693" s="2" t="n">
        <v>9.88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69.07</v>
      </c>
      <c r="DE693" s="2" t="n">
        <v>70.86</v>
      </c>
      <c r="DF693" s="2" t="n">
        <v>0</v>
      </c>
      <c r="DG693" s="2" t="n">
        <v>75.51</v>
      </c>
      <c r="DH693" s="2" t="n">
        <v>77.31</v>
      </c>
      <c r="DI693" s="2" t="n">
        <v>0</v>
      </c>
      <c r="DJ693" s="2" t="n">
        <v>83.4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 customFormat="false" ht="15" hidden="false" customHeight="false" outlineLevel="0" collapsed="false">
      <c r="A694" s="2" t="n">
        <v>4</v>
      </c>
      <c r="B694" s="2" t="s">
        <v>1791</v>
      </c>
      <c r="C694" s="2" t="s">
        <v>1792</v>
      </c>
      <c r="D694" s="2" t="s">
        <v>1676</v>
      </c>
      <c r="E694" s="2" t="s">
        <v>1780</v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</v>
      </c>
      <c r="CM694" s="2" t="n">
        <v>9.88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69.07</v>
      </c>
      <c r="DE694" s="2" t="n">
        <v>70.86</v>
      </c>
      <c r="DF694" s="2" t="n">
        <v>0</v>
      </c>
      <c r="DG694" s="2" t="n">
        <v>75.51</v>
      </c>
      <c r="DH694" s="2" t="n">
        <v>77.31</v>
      </c>
      <c r="DI694" s="2" t="n">
        <v>0</v>
      </c>
      <c r="DJ694" s="2" t="n">
        <v>83.4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 customFormat="false" ht="15" hidden="false" customHeight="false" outlineLevel="0" collapsed="false">
      <c r="A695" s="2" t="n">
        <v>4</v>
      </c>
      <c r="B695" s="2" t="s">
        <v>1793</v>
      </c>
      <c r="C695" s="2" t="s">
        <v>1794</v>
      </c>
      <c r="D695" s="2" t="s">
        <v>1676</v>
      </c>
      <c r="E695" s="2" t="s">
        <v>1780</v>
      </c>
      <c r="F695" s="2" t="n">
        <v>9412.68890783488</v>
      </c>
      <c r="G695" s="2" t="n">
        <v>0</v>
      </c>
      <c r="H695" s="2" t="n">
        <v>9412.68890783488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</v>
      </c>
      <c r="CM695" s="2" t="n">
        <v>9.88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69.07</v>
      </c>
      <c r="DE695" s="2" t="n">
        <v>70.86</v>
      </c>
      <c r="DF695" s="2" t="n">
        <v>0</v>
      </c>
      <c r="DG695" s="2" t="n">
        <v>75.51</v>
      </c>
      <c r="DH695" s="2" t="n">
        <v>77.31</v>
      </c>
      <c r="DI695" s="2" t="n">
        <v>0</v>
      </c>
      <c r="DJ695" s="2" t="n">
        <v>83.4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 customFormat="false" ht="15" hidden="false" customHeight="false" outlineLevel="0" collapsed="false">
      <c r="A696" s="2" t="n">
        <v>4</v>
      </c>
      <c r="B696" s="2" t="s">
        <v>1795</v>
      </c>
      <c r="C696" s="2" t="s">
        <v>1796</v>
      </c>
      <c r="D696" s="2" t="s">
        <v>1676</v>
      </c>
      <c r="E696" s="2" t="s">
        <v>1780</v>
      </c>
      <c r="F696" s="2" t="n">
        <v>72683.086400679</v>
      </c>
      <c r="G696" s="2" t="n">
        <v>0</v>
      </c>
      <c r="H696" s="2" t="n">
        <v>72683.086400679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</v>
      </c>
      <c r="CM696" s="2" t="n">
        <v>9.88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69.07</v>
      </c>
      <c r="DE696" s="2" t="n">
        <v>70.86</v>
      </c>
      <c r="DF696" s="2" t="n">
        <v>0</v>
      </c>
      <c r="DG696" s="2" t="n">
        <v>75.51</v>
      </c>
      <c r="DH696" s="2" t="n">
        <v>77.31</v>
      </c>
      <c r="DI696" s="2" t="n">
        <v>0</v>
      </c>
      <c r="DJ696" s="2" t="n">
        <v>83.4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 customFormat="false" ht="15" hidden="false" customHeight="false" outlineLevel="0" collapsed="false">
      <c r="A697" s="2" t="n">
        <v>4</v>
      </c>
      <c r="B697" s="2" t="s">
        <v>1797</v>
      </c>
      <c r="C697" s="2" t="s">
        <v>1798</v>
      </c>
      <c r="D697" s="2" t="s">
        <v>1676</v>
      </c>
      <c r="E697" s="2" t="s">
        <v>1780</v>
      </c>
      <c r="F697" s="2" t="n">
        <v>10878.4158752109</v>
      </c>
      <c r="G697" s="2" t="n">
        <v>0</v>
      </c>
      <c r="H697" s="2" t="n">
        <v>10878.4158752109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</v>
      </c>
      <c r="CM697" s="2" t="n">
        <v>9.88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69.07</v>
      </c>
      <c r="DE697" s="2" t="n">
        <v>70.86</v>
      </c>
      <c r="DF697" s="2" t="n">
        <v>0</v>
      </c>
      <c r="DG697" s="2" t="n">
        <v>75.51</v>
      </c>
      <c r="DH697" s="2" t="n">
        <v>77.31</v>
      </c>
      <c r="DI697" s="2" t="n">
        <v>0</v>
      </c>
      <c r="DJ697" s="2" t="n">
        <v>83.4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 customFormat="false" ht="15" hidden="false" customHeight="false" outlineLevel="0" collapsed="false">
      <c r="A698" s="2" t="n">
        <v>3</v>
      </c>
      <c r="B698" s="2" t="s">
        <v>1799</v>
      </c>
      <c r="C698" s="2" t="s">
        <v>1800</v>
      </c>
      <c r="D698" s="2" t="s">
        <v>1676</v>
      </c>
      <c r="E698" s="2" t="s">
        <v>1780</v>
      </c>
      <c r="F698" s="2" t="n">
        <v>305294.002743874</v>
      </c>
      <c r="G698" s="2" t="n">
        <v>0</v>
      </c>
      <c r="H698" s="2" t="n">
        <v>305294.002743874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</v>
      </c>
      <c r="CM698" s="2" t="n">
        <v>9.88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69.07</v>
      </c>
      <c r="DE698" s="2" t="n">
        <v>70.86</v>
      </c>
      <c r="DF698" s="2" t="n">
        <v>0</v>
      </c>
      <c r="DG698" s="2" t="n">
        <v>75.51</v>
      </c>
      <c r="DH698" s="2" t="n">
        <v>77.31</v>
      </c>
      <c r="DI698" s="2" t="n">
        <v>0</v>
      </c>
      <c r="DJ698" s="2" t="n">
        <v>83.4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 customFormat="false" ht="15" hidden="false" customHeight="false" outlineLevel="0" collapsed="false">
      <c r="A699" s="2" t="n">
        <v>4</v>
      </c>
      <c r="B699" s="2" t="s">
        <v>1801</v>
      </c>
      <c r="C699" s="2" t="s">
        <v>1802</v>
      </c>
      <c r="D699" s="2" t="s">
        <v>1676</v>
      </c>
      <c r="E699" s="2" t="s">
        <v>1780</v>
      </c>
      <c r="F699" s="2" t="n">
        <v>96641.3718963152</v>
      </c>
      <c r="G699" s="2" t="n">
        <v>0</v>
      </c>
      <c r="H699" s="2" t="n">
        <v>96641.3718963152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</v>
      </c>
      <c r="CM699" s="2" t="n">
        <v>9.88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69.07</v>
      </c>
      <c r="DE699" s="2" t="n">
        <v>70.86</v>
      </c>
      <c r="DF699" s="2" t="n">
        <v>0</v>
      </c>
      <c r="DG699" s="2" t="n">
        <v>75.51</v>
      </c>
      <c r="DH699" s="2" t="n">
        <v>77.31</v>
      </c>
      <c r="DI699" s="2" t="n">
        <v>0</v>
      </c>
      <c r="DJ699" s="2" t="n">
        <v>83.4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 customFormat="false" ht="15" hidden="false" customHeight="false" outlineLevel="0" collapsed="false">
      <c r="A700" s="2" t="n">
        <v>4</v>
      </c>
      <c r="B700" s="2" t="s">
        <v>1803</v>
      </c>
      <c r="C700" s="2" t="s">
        <v>1804</v>
      </c>
      <c r="D700" s="2" t="s">
        <v>1676</v>
      </c>
      <c r="E700" s="2" t="s">
        <v>1780</v>
      </c>
      <c r="F700" s="2" t="n">
        <v>208652.630847559</v>
      </c>
      <c r="G700" s="2" t="n">
        <v>0</v>
      </c>
      <c r="H700" s="2" t="n">
        <v>208652.630847559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</v>
      </c>
      <c r="CM700" s="2" t="n">
        <v>9.88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69.07</v>
      </c>
      <c r="DE700" s="2" t="n">
        <v>70.86</v>
      </c>
      <c r="DF700" s="2" t="n">
        <v>0</v>
      </c>
      <c r="DG700" s="2" t="n">
        <v>75.51</v>
      </c>
      <c r="DH700" s="2" t="n">
        <v>77.31</v>
      </c>
      <c r="DI700" s="2" t="n">
        <v>0</v>
      </c>
      <c r="DJ700" s="2" t="n">
        <v>83.4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 customFormat="false" ht="15" hidden="false" customHeight="false" outlineLevel="0" collapsed="false">
      <c r="A701" s="2" t="n">
        <v>3</v>
      </c>
      <c r="B701" s="2" t="s">
        <v>1805</v>
      </c>
      <c r="C701" s="2" t="s">
        <v>1806</v>
      </c>
      <c r="D701" s="2" t="s">
        <v>1676</v>
      </c>
      <c r="E701" s="2" t="s">
        <v>1780</v>
      </c>
      <c r="F701" s="2" t="n">
        <v>9114.56930734884</v>
      </c>
      <c r="G701" s="2" t="n">
        <v>0</v>
      </c>
      <c r="H701" s="2" t="n">
        <v>9114.56930734884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</v>
      </c>
      <c r="CM701" s="2" t="n">
        <v>9.88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69.07</v>
      </c>
      <c r="DE701" s="2" t="n">
        <v>70.86</v>
      </c>
      <c r="DF701" s="2" t="n">
        <v>0</v>
      </c>
      <c r="DG701" s="2" t="n">
        <v>75.51</v>
      </c>
      <c r="DH701" s="2" t="n">
        <v>77.31</v>
      </c>
      <c r="DI701" s="2" t="n">
        <v>0</v>
      </c>
      <c r="DJ701" s="2" t="n">
        <v>83.4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 customFormat="false" ht="15" hidden="false" customHeight="false" outlineLevel="0" collapsed="false">
      <c r="A702" s="2" t="n">
        <v>4</v>
      </c>
      <c r="B702" s="2" t="s">
        <v>1807</v>
      </c>
      <c r="C702" s="2" t="s">
        <v>1808</v>
      </c>
      <c r="D702" s="2" t="s">
        <v>1676</v>
      </c>
      <c r="E702" s="2" t="s">
        <v>1780</v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</v>
      </c>
      <c r="CM702" s="2" t="n">
        <v>9.88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69.07</v>
      </c>
      <c r="DE702" s="2" t="n">
        <v>70.86</v>
      </c>
      <c r="DF702" s="2" t="n">
        <v>0</v>
      </c>
      <c r="DG702" s="2" t="n">
        <v>75.51</v>
      </c>
      <c r="DH702" s="2" t="n">
        <v>77.31</v>
      </c>
      <c r="DI702" s="2" t="n">
        <v>0</v>
      </c>
      <c r="DJ702" s="2" t="n">
        <v>83.4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 customFormat="false" ht="15" hidden="false" customHeight="false" outlineLevel="0" collapsed="false">
      <c r="A703" s="2" t="n">
        <v>4</v>
      </c>
      <c r="B703" s="2" t="s">
        <v>1809</v>
      </c>
      <c r="C703" s="2" t="s">
        <v>1808</v>
      </c>
      <c r="D703" s="2" t="s">
        <v>1676</v>
      </c>
      <c r="E703" s="2" t="s">
        <v>1780</v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</v>
      </c>
      <c r="CM703" s="2" t="n">
        <v>9.88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69.07</v>
      </c>
      <c r="DE703" s="2" t="n">
        <v>70.86</v>
      </c>
      <c r="DF703" s="2" t="n">
        <v>0</v>
      </c>
      <c r="DG703" s="2" t="n">
        <v>75.51</v>
      </c>
      <c r="DH703" s="2" t="n">
        <v>77.31</v>
      </c>
      <c r="DI703" s="2" t="n">
        <v>0</v>
      </c>
      <c r="DJ703" s="2" t="n">
        <v>83.4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 customFormat="false" ht="15" hidden="false" customHeight="false" outlineLevel="0" collapsed="false">
      <c r="A704" s="2" t="n">
        <v>4</v>
      </c>
      <c r="B704" s="2" t="s">
        <v>1810</v>
      </c>
      <c r="C704" s="2" t="s">
        <v>1811</v>
      </c>
      <c r="D704" s="2" t="s">
        <v>1676</v>
      </c>
      <c r="E704" s="2" t="s">
        <v>1780</v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</v>
      </c>
      <c r="CM704" s="2" t="n">
        <v>9.88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69.07</v>
      </c>
      <c r="DE704" s="2" t="n">
        <v>70.86</v>
      </c>
      <c r="DF704" s="2" t="n">
        <v>0</v>
      </c>
      <c r="DG704" s="2" t="n">
        <v>75.51</v>
      </c>
      <c r="DH704" s="2" t="n">
        <v>77.31</v>
      </c>
      <c r="DI704" s="2" t="n">
        <v>0</v>
      </c>
      <c r="DJ704" s="2" t="n">
        <v>83.4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 customFormat="false" ht="15" hidden="false" customHeight="false" outlineLevel="0" collapsed="false">
      <c r="A705" s="2" t="n">
        <v>4</v>
      </c>
      <c r="B705" s="2" t="s">
        <v>1812</v>
      </c>
      <c r="C705" s="2" t="s">
        <v>1813</v>
      </c>
      <c r="D705" s="2" t="s">
        <v>1676</v>
      </c>
      <c r="E705" s="2" t="s">
        <v>1780</v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</v>
      </c>
      <c r="CM705" s="2" t="n">
        <v>9.88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69.07</v>
      </c>
      <c r="DE705" s="2" t="n">
        <v>70.86</v>
      </c>
      <c r="DF705" s="2" t="n">
        <v>0</v>
      </c>
      <c r="DG705" s="2" t="n">
        <v>75.51</v>
      </c>
      <c r="DH705" s="2" t="n">
        <v>77.31</v>
      </c>
      <c r="DI705" s="2" t="n">
        <v>0</v>
      </c>
      <c r="DJ705" s="2" t="n">
        <v>83.4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 customFormat="false" ht="15" hidden="false" customHeight="false" outlineLevel="0" collapsed="false">
      <c r="A706" s="2" t="n">
        <v>2</v>
      </c>
      <c r="B706" s="2" t="s">
        <v>1814</v>
      </c>
      <c r="C706" s="2" t="s">
        <v>1815</v>
      </c>
      <c r="D706" s="2" t="s">
        <v>1480</v>
      </c>
      <c r="E706" s="2" t="s">
        <v>1494</v>
      </c>
      <c r="F706" s="2" t="n">
        <v>2561097.88385069</v>
      </c>
      <c r="G706" s="2" t="n">
        <v>0</v>
      </c>
      <c r="H706" s="2" t="n">
        <v>2561097.88385069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</v>
      </c>
      <c r="DI706" s="2" t="n">
        <v>0</v>
      </c>
      <c r="DJ706" s="2" t="n">
        <v>76.99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 customFormat="false" ht="15" hidden="false" customHeight="false" outlineLevel="0" collapsed="false">
      <c r="A707" s="2" t="n">
        <v>3</v>
      </c>
      <c r="B707" s="2" t="s">
        <v>1816</v>
      </c>
      <c r="C707" s="2" t="s">
        <v>1817</v>
      </c>
      <c r="D707" s="2" t="s">
        <v>1480</v>
      </c>
      <c r="E707" s="2" t="s">
        <v>1494</v>
      </c>
      <c r="F707" s="2" t="n">
        <v>648161.029697574</v>
      </c>
      <c r="G707" s="2" t="n">
        <v>0</v>
      </c>
      <c r="H707" s="2" t="n">
        <v>648161.029697574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</v>
      </c>
      <c r="DI707" s="2" t="n">
        <v>0</v>
      </c>
      <c r="DJ707" s="2" t="n">
        <v>76.99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 customFormat="false" ht="15" hidden="false" customHeight="false" outlineLevel="0" collapsed="false">
      <c r="A708" s="2" t="n">
        <v>4</v>
      </c>
      <c r="B708" s="2" t="s">
        <v>1818</v>
      </c>
      <c r="C708" s="2" t="s">
        <v>1819</v>
      </c>
      <c r="D708" s="2" t="s">
        <v>1480</v>
      </c>
      <c r="E708" s="2" t="s">
        <v>1494</v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</v>
      </c>
      <c r="DI708" s="2" t="n">
        <v>0</v>
      </c>
      <c r="DJ708" s="2" t="n">
        <v>76.99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 customFormat="false" ht="15" hidden="false" customHeight="false" outlineLevel="0" collapsed="false">
      <c r="A709" s="2" t="n">
        <v>4</v>
      </c>
      <c r="B709" s="2" t="s">
        <v>1820</v>
      </c>
      <c r="C709" s="2" t="s">
        <v>1821</v>
      </c>
      <c r="D709" s="2" t="s">
        <v>1480</v>
      </c>
      <c r="E709" s="2" t="s">
        <v>1494</v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</v>
      </c>
      <c r="DI709" s="2" t="n">
        <v>0</v>
      </c>
      <c r="DJ709" s="2" t="n">
        <v>76.99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 customFormat="false" ht="15" hidden="false" customHeight="false" outlineLevel="0" collapsed="false">
      <c r="A710" s="2" t="n">
        <v>4</v>
      </c>
      <c r="B710" s="2" t="s">
        <v>1822</v>
      </c>
      <c r="C710" s="2" t="s">
        <v>1823</v>
      </c>
      <c r="D710" s="2" t="s">
        <v>1480</v>
      </c>
      <c r="E710" s="2" t="s">
        <v>1494</v>
      </c>
      <c r="F710" s="2" t="n">
        <v>92582.12387945</v>
      </c>
      <c r="G710" s="2" t="n">
        <v>0</v>
      </c>
      <c r="H710" s="2" t="n">
        <v>92582.12387945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</v>
      </c>
      <c r="DI710" s="2" t="n">
        <v>0</v>
      </c>
      <c r="DJ710" s="2" t="n">
        <v>76.99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 customFormat="false" ht="15" hidden="false" customHeight="false" outlineLevel="0" collapsed="false">
      <c r="A711" s="2" t="n">
        <v>4</v>
      </c>
      <c r="B711" s="2" t="s">
        <v>1824</v>
      </c>
      <c r="C711" s="2" t="s">
        <v>1825</v>
      </c>
      <c r="D711" s="2" t="s">
        <v>1480</v>
      </c>
      <c r="E711" s="2" t="s">
        <v>1494</v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</v>
      </c>
      <c r="DI711" s="2" t="n">
        <v>0</v>
      </c>
      <c r="DJ711" s="2" t="n">
        <v>76.99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 customFormat="false" ht="15" hidden="false" customHeight="false" outlineLevel="0" collapsed="false">
      <c r="A712" s="2" t="n">
        <v>4</v>
      </c>
      <c r="B712" s="2" t="s">
        <v>1826</v>
      </c>
      <c r="C712" s="2" t="s">
        <v>1827</v>
      </c>
      <c r="D712" s="2" t="s">
        <v>1480</v>
      </c>
      <c r="E712" s="2" t="s">
        <v>1494</v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</v>
      </c>
      <c r="DI712" s="2" t="n">
        <v>0</v>
      </c>
      <c r="DJ712" s="2" t="n">
        <v>76.99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 customFormat="false" ht="15" hidden="false" customHeight="false" outlineLevel="0" collapsed="false">
      <c r="A713" s="2" t="n">
        <v>4</v>
      </c>
      <c r="B713" s="2" t="s">
        <v>1828</v>
      </c>
      <c r="C713" s="2" t="s">
        <v>1829</v>
      </c>
      <c r="D713" s="2" t="s">
        <v>1480</v>
      </c>
      <c r="E713" s="2" t="s">
        <v>1494</v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</v>
      </c>
      <c r="DI713" s="2" t="n">
        <v>0</v>
      </c>
      <c r="DJ713" s="2" t="n">
        <v>76.99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 customFormat="false" ht="15" hidden="false" customHeight="false" outlineLevel="0" collapsed="false">
      <c r="A714" s="2" t="n">
        <v>4</v>
      </c>
      <c r="B714" s="2" t="s">
        <v>1830</v>
      </c>
      <c r="C714" s="2" t="s">
        <v>1831</v>
      </c>
      <c r="D714" s="2" t="s">
        <v>1480</v>
      </c>
      <c r="E714" s="2" t="s">
        <v>1494</v>
      </c>
      <c r="F714" s="2" t="n">
        <v>7376.47283417453</v>
      </c>
      <c r="G714" s="2" t="n">
        <v>0</v>
      </c>
      <c r="H714" s="2" t="n">
        <v>7376.47283417453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</v>
      </c>
      <c r="DI714" s="2" t="n">
        <v>0</v>
      </c>
      <c r="DJ714" s="2" t="n">
        <v>76.99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 customFormat="false" ht="15" hidden="false" customHeight="false" outlineLevel="0" collapsed="false">
      <c r="A715" s="2" t="n">
        <v>3</v>
      </c>
      <c r="B715" s="2" t="s">
        <v>1832</v>
      </c>
      <c r="C715" s="2" t="s">
        <v>1833</v>
      </c>
      <c r="D715" s="2" t="s">
        <v>1480</v>
      </c>
      <c r="E715" s="2" t="s">
        <v>1494</v>
      </c>
      <c r="F715" s="2" t="n">
        <v>4435.1965823038</v>
      </c>
      <c r="G715" s="2" t="n">
        <v>0</v>
      </c>
      <c r="H715" s="2" t="n">
        <v>4435.1965823038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</v>
      </c>
      <c r="DI715" s="2" t="n">
        <v>0</v>
      </c>
      <c r="DJ715" s="2" t="n">
        <v>76.99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 customFormat="false" ht="15" hidden="false" customHeight="false" outlineLevel="0" collapsed="false">
      <c r="A716" s="2" t="n">
        <v>4</v>
      </c>
      <c r="B716" s="2" t="s">
        <v>1834</v>
      </c>
      <c r="C716" s="2" t="s">
        <v>1835</v>
      </c>
      <c r="D716" s="2" t="s">
        <v>1480</v>
      </c>
      <c r="E716" s="2" t="s">
        <v>1494</v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</v>
      </c>
      <c r="DI716" s="2" t="n">
        <v>0</v>
      </c>
      <c r="DJ716" s="2" t="n">
        <v>76.99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 customFormat="false" ht="15" hidden="false" customHeight="false" outlineLevel="0" collapsed="false">
      <c r="A717" s="2" t="n">
        <v>4</v>
      </c>
      <c r="B717" s="2" t="s">
        <v>1836</v>
      </c>
      <c r="C717" s="2" t="s">
        <v>1837</v>
      </c>
      <c r="D717" s="2" t="s">
        <v>1480</v>
      </c>
      <c r="E717" s="2" t="s">
        <v>1494</v>
      </c>
      <c r="F717" s="2" t="n">
        <v>792.980055875</v>
      </c>
      <c r="G717" s="2" t="n">
        <v>0</v>
      </c>
      <c r="H717" s="2" t="n">
        <v>792.980055875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</v>
      </c>
      <c r="DI717" s="2" t="n">
        <v>0</v>
      </c>
      <c r="DJ717" s="2" t="n">
        <v>76.99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 customFormat="false" ht="15" hidden="false" customHeight="false" outlineLevel="0" collapsed="false">
      <c r="A718" s="2" t="n">
        <v>4</v>
      </c>
      <c r="B718" s="2" t="s">
        <v>1838</v>
      </c>
      <c r="C718" s="2" t="s">
        <v>1839</v>
      </c>
      <c r="D718" s="2" t="s">
        <v>1480</v>
      </c>
      <c r="E718" s="2" t="s">
        <v>1494</v>
      </c>
      <c r="F718" s="2" t="n">
        <v>884.720498225</v>
      </c>
      <c r="G718" s="2" t="n">
        <v>0</v>
      </c>
      <c r="H718" s="2" t="n">
        <v>884.720498225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</v>
      </c>
      <c r="DI718" s="2" t="n">
        <v>0</v>
      </c>
      <c r="DJ718" s="2" t="n">
        <v>76.99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 customFormat="false" ht="15" hidden="false" customHeight="false" outlineLevel="0" collapsed="false">
      <c r="A719" s="2" t="n">
        <v>4</v>
      </c>
      <c r="B719" s="2" t="s">
        <v>1840</v>
      </c>
      <c r="C719" s="2" t="s">
        <v>1827</v>
      </c>
      <c r="D719" s="2" t="s">
        <v>1480</v>
      </c>
      <c r="E719" s="2" t="s">
        <v>1494</v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</v>
      </c>
      <c r="DI719" s="2" t="n">
        <v>0</v>
      </c>
      <c r="DJ719" s="2" t="n">
        <v>76.99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 customFormat="false" ht="15" hidden="false" customHeight="false" outlineLevel="0" collapsed="false">
      <c r="A720" s="2" t="n">
        <v>4</v>
      </c>
      <c r="B720" s="2" t="s">
        <v>1841</v>
      </c>
      <c r="C720" s="2" t="s">
        <v>1829</v>
      </c>
      <c r="D720" s="2" t="s">
        <v>1480</v>
      </c>
      <c r="E720" s="2" t="s">
        <v>1494</v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</v>
      </c>
      <c r="DI720" s="2" t="n">
        <v>0</v>
      </c>
      <c r="DJ720" s="2" t="n">
        <v>76.99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 customFormat="false" ht="15" hidden="false" customHeight="false" outlineLevel="0" collapsed="false">
      <c r="A721" s="2" t="n">
        <v>4</v>
      </c>
      <c r="B721" s="2" t="s">
        <v>1842</v>
      </c>
      <c r="C721" s="2" t="s">
        <v>1831</v>
      </c>
      <c r="D721" s="2" t="s">
        <v>1480</v>
      </c>
      <c r="E721" s="2" t="s">
        <v>1494</v>
      </c>
      <c r="F721" s="2" t="n">
        <v>47.4802622038052</v>
      </c>
      <c r="G721" s="2" t="n">
        <v>0</v>
      </c>
      <c r="H721" s="2" t="n">
        <v>47.4802622038052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</v>
      </c>
      <c r="DI721" s="2" t="n">
        <v>0</v>
      </c>
      <c r="DJ721" s="2" t="n">
        <v>76.99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 customFormat="false" ht="15" hidden="false" customHeight="false" outlineLevel="0" collapsed="false">
      <c r="A722" s="2" t="n">
        <v>3</v>
      </c>
      <c r="B722" s="2" t="s">
        <v>1843</v>
      </c>
      <c r="C722" s="2" t="s">
        <v>1844</v>
      </c>
      <c r="D722" s="2" t="s">
        <v>1480</v>
      </c>
      <c r="E722" s="2" t="s">
        <v>1494</v>
      </c>
      <c r="F722" s="2" t="n">
        <v>15370.6546919194</v>
      </c>
      <c r="G722" s="2" t="n">
        <v>0</v>
      </c>
      <c r="H722" s="2" t="n">
        <v>15370.6546919194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</v>
      </c>
      <c r="DI722" s="2" t="n">
        <v>0</v>
      </c>
      <c r="DJ722" s="2" t="n">
        <v>76.99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 customFormat="false" ht="15" hidden="false" customHeight="false" outlineLevel="0" collapsed="false">
      <c r="A723" s="2" t="n">
        <v>4</v>
      </c>
      <c r="B723" s="2" t="s">
        <v>1845</v>
      </c>
      <c r="C723" s="2" t="s">
        <v>1844</v>
      </c>
      <c r="D723" s="2" t="s">
        <v>1480</v>
      </c>
      <c r="E723" s="2" t="s">
        <v>1494</v>
      </c>
      <c r="F723" s="2" t="n">
        <v>7727.154398</v>
      </c>
      <c r="G723" s="2" t="n">
        <v>0</v>
      </c>
      <c r="H723" s="2" t="n">
        <v>7727.154398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</v>
      </c>
      <c r="DI723" s="2" t="n">
        <v>0</v>
      </c>
      <c r="DJ723" s="2" t="n">
        <v>76.99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 customFormat="false" ht="15" hidden="false" customHeight="false" outlineLevel="0" collapsed="false">
      <c r="A724" s="2" t="n">
        <v>4</v>
      </c>
      <c r="B724" s="2" t="s">
        <v>1846</v>
      </c>
      <c r="C724" s="2" t="s">
        <v>1847</v>
      </c>
      <c r="D724" s="2" t="s">
        <v>1480</v>
      </c>
      <c r="E724" s="2" t="s">
        <v>1494</v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</v>
      </c>
      <c r="DI724" s="2" t="n">
        <v>0</v>
      </c>
      <c r="DJ724" s="2" t="n">
        <v>76.99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 customFormat="false" ht="15" hidden="false" customHeight="false" outlineLevel="0" collapsed="false">
      <c r="A725" s="2" t="n">
        <v>4</v>
      </c>
      <c r="B725" s="2" t="s">
        <v>1848</v>
      </c>
      <c r="C725" s="2" t="s">
        <v>1849</v>
      </c>
      <c r="D725" s="2" t="s">
        <v>1480</v>
      </c>
      <c r="E725" s="2" t="s">
        <v>1494</v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</v>
      </c>
      <c r="DI725" s="2" t="n">
        <v>0</v>
      </c>
      <c r="DJ725" s="2" t="n">
        <v>76.99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 customFormat="false" ht="15" hidden="false" customHeight="false" outlineLevel="0" collapsed="false">
      <c r="A726" s="2" t="n">
        <v>4</v>
      </c>
      <c r="B726" s="2" t="s">
        <v>1850</v>
      </c>
      <c r="C726" s="2" t="s">
        <v>1851</v>
      </c>
      <c r="D726" s="2" t="s">
        <v>1480</v>
      </c>
      <c r="E726" s="2" t="s">
        <v>1494</v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</v>
      </c>
      <c r="DI726" s="2" t="n">
        <v>0</v>
      </c>
      <c r="DJ726" s="2" t="n">
        <v>76.99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 customFormat="false" ht="15" hidden="false" customHeight="false" outlineLevel="0" collapsed="false">
      <c r="A727" s="2" t="n">
        <v>4</v>
      </c>
      <c r="B727" s="2" t="s">
        <v>1852</v>
      </c>
      <c r="C727" s="2" t="s">
        <v>1827</v>
      </c>
      <c r="D727" s="2" t="s">
        <v>1480</v>
      </c>
      <c r="E727" s="2" t="s">
        <v>1494</v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</v>
      </c>
      <c r="DI727" s="2" t="n">
        <v>0</v>
      </c>
      <c r="DJ727" s="2" t="n">
        <v>76.99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 customFormat="false" ht="15" hidden="false" customHeight="false" outlineLevel="0" collapsed="false">
      <c r="A728" s="2" t="n">
        <v>4</v>
      </c>
      <c r="B728" s="2" t="s">
        <v>1853</v>
      </c>
      <c r="C728" s="2" t="s">
        <v>1829</v>
      </c>
      <c r="D728" s="2" t="s">
        <v>1480</v>
      </c>
      <c r="E728" s="2" t="s">
        <v>1494</v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</v>
      </c>
      <c r="DI728" s="2" t="n">
        <v>0</v>
      </c>
      <c r="DJ728" s="2" t="n">
        <v>76.99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 customFormat="false" ht="15" hidden="false" customHeight="false" outlineLevel="0" collapsed="false">
      <c r="A729" s="2" t="n">
        <v>4</v>
      </c>
      <c r="B729" s="2" t="s">
        <v>1854</v>
      </c>
      <c r="C729" s="2" t="s">
        <v>1831</v>
      </c>
      <c r="D729" s="2" t="s">
        <v>1480</v>
      </c>
      <c r="E729" s="2" t="s">
        <v>1494</v>
      </c>
      <c r="F729" s="2" t="n">
        <v>233.316835419413</v>
      </c>
      <c r="G729" s="2" t="n">
        <v>0</v>
      </c>
      <c r="H729" s="2" t="n">
        <v>233.316835419413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</v>
      </c>
      <c r="DI729" s="2" t="n">
        <v>0</v>
      </c>
      <c r="DJ729" s="2" t="n">
        <v>76.99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 customFormat="false" ht="15" hidden="false" customHeight="false" outlineLevel="0" collapsed="false">
      <c r="A730" s="2" t="n">
        <v>3</v>
      </c>
      <c r="B730" s="2" t="s">
        <v>1855</v>
      </c>
      <c r="C730" s="2" t="s">
        <v>1856</v>
      </c>
      <c r="D730" s="2" t="s">
        <v>1480</v>
      </c>
      <c r="E730" s="2" t="s">
        <v>1494</v>
      </c>
      <c r="F730" s="2" t="n">
        <v>29951.4740105658</v>
      </c>
      <c r="G730" s="2" t="n">
        <v>0</v>
      </c>
      <c r="H730" s="2" t="n">
        <v>29951.4740105658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</v>
      </c>
      <c r="DI730" s="2" t="n">
        <v>0</v>
      </c>
      <c r="DJ730" s="2" t="n">
        <v>76.99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 customFormat="false" ht="15" hidden="false" customHeight="false" outlineLevel="0" collapsed="false">
      <c r="A731" s="2" t="n">
        <v>4</v>
      </c>
      <c r="B731" s="2" t="s">
        <v>1857</v>
      </c>
      <c r="C731" s="2" t="s">
        <v>1858</v>
      </c>
      <c r="D731" s="2" t="s">
        <v>1480</v>
      </c>
      <c r="E731" s="2" t="s">
        <v>1494</v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</v>
      </c>
      <c r="DI731" s="2" t="n">
        <v>0</v>
      </c>
      <c r="DJ731" s="2" t="n">
        <v>76.99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 customFormat="false" ht="15" hidden="false" customHeight="false" outlineLevel="0" collapsed="false">
      <c r="A732" s="2" t="n">
        <v>4</v>
      </c>
      <c r="B732" s="2" t="s">
        <v>1859</v>
      </c>
      <c r="C732" s="2" t="s">
        <v>1860</v>
      </c>
      <c r="D732" s="2" t="s">
        <v>1480</v>
      </c>
      <c r="E732" s="2" t="s">
        <v>1494</v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</v>
      </c>
      <c r="DI732" s="2" t="n">
        <v>0</v>
      </c>
      <c r="DJ732" s="2" t="n">
        <v>76.99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 customFormat="false" ht="15" hidden="false" customHeight="false" outlineLevel="0" collapsed="false">
      <c r="A733" s="2" t="n">
        <v>4</v>
      </c>
      <c r="B733" s="2" t="s">
        <v>1861</v>
      </c>
      <c r="C733" s="2" t="s">
        <v>1862</v>
      </c>
      <c r="D733" s="2" t="s">
        <v>1480</v>
      </c>
      <c r="E733" s="2" t="s">
        <v>1494</v>
      </c>
      <c r="F733" s="2" t="n">
        <v>4132.047945</v>
      </c>
      <c r="G733" s="2" t="n">
        <v>0</v>
      </c>
      <c r="H733" s="2" t="n">
        <v>4132.047945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</v>
      </c>
      <c r="DI733" s="2" t="n">
        <v>0</v>
      </c>
      <c r="DJ733" s="2" t="n">
        <v>76.99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 customFormat="false" ht="15" hidden="false" customHeight="false" outlineLevel="0" collapsed="false">
      <c r="A734" s="2" t="n">
        <v>4</v>
      </c>
      <c r="B734" s="2" t="s">
        <v>1863</v>
      </c>
      <c r="C734" s="2" t="s">
        <v>1831</v>
      </c>
      <c r="D734" s="2" t="s">
        <v>1480</v>
      </c>
      <c r="E734" s="2" t="s">
        <v>1494</v>
      </c>
      <c r="F734" s="2" t="n">
        <v>503.934190265776</v>
      </c>
      <c r="G734" s="2" t="n">
        <v>0</v>
      </c>
      <c r="H734" s="2" t="n">
        <v>503.934190265776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</v>
      </c>
      <c r="DI734" s="2" t="n">
        <v>0</v>
      </c>
      <c r="DJ734" s="2" t="n">
        <v>76.99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 customFormat="false" ht="15" hidden="false" customHeight="false" outlineLevel="0" collapsed="false">
      <c r="A735" s="2" t="n">
        <v>3</v>
      </c>
      <c r="B735" s="2" t="s">
        <v>1864</v>
      </c>
      <c r="C735" s="2" t="s">
        <v>1865</v>
      </c>
      <c r="D735" s="2" t="s">
        <v>1480</v>
      </c>
      <c r="E735" s="2" t="s">
        <v>1494</v>
      </c>
      <c r="F735" s="2" t="n">
        <v>1159135.82285332</v>
      </c>
      <c r="G735" s="2" t="n">
        <v>0</v>
      </c>
      <c r="H735" s="2" t="n">
        <v>1159135.82285332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</v>
      </c>
      <c r="DI735" s="2" t="n">
        <v>0</v>
      </c>
      <c r="DJ735" s="2" t="n">
        <v>76.99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 customFormat="false" ht="15" hidden="false" customHeight="false" outlineLevel="0" collapsed="false">
      <c r="A736" s="2" t="n">
        <v>4</v>
      </c>
      <c r="B736" s="2" t="s">
        <v>1866</v>
      </c>
      <c r="C736" s="2" t="s">
        <v>1865</v>
      </c>
      <c r="D736" s="2" t="s">
        <v>1480</v>
      </c>
      <c r="E736" s="2" t="s">
        <v>1494</v>
      </c>
      <c r="F736" s="2" t="n">
        <v>643316.481993</v>
      </c>
      <c r="G736" s="2" t="n">
        <v>0</v>
      </c>
      <c r="H736" s="2" t="n">
        <v>643316.481993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</v>
      </c>
      <c r="DI736" s="2" t="n">
        <v>0</v>
      </c>
      <c r="DJ736" s="2" t="n">
        <v>76.99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 customFormat="false" ht="15" hidden="false" customHeight="false" outlineLevel="0" collapsed="false">
      <c r="A737" s="2" t="n">
        <v>4</v>
      </c>
      <c r="B737" s="2" t="s">
        <v>1867</v>
      </c>
      <c r="C737" s="2" t="s">
        <v>1868</v>
      </c>
      <c r="D737" s="2" t="s">
        <v>1480</v>
      </c>
      <c r="E737" s="2" t="s">
        <v>1494</v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</v>
      </c>
      <c r="DI737" s="2" t="n">
        <v>0</v>
      </c>
      <c r="DJ737" s="2" t="n">
        <v>76.99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 customFormat="false" ht="15" hidden="false" customHeight="false" outlineLevel="0" collapsed="false">
      <c r="A738" s="2" t="n">
        <v>4</v>
      </c>
      <c r="B738" s="2" t="s">
        <v>1869</v>
      </c>
      <c r="C738" s="2" t="s">
        <v>1870</v>
      </c>
      <c r="D738" s="2" t="s">
        <v>1480</v>
      </c>
      <c r="E738" s="2" t="s">
        <v>1494</v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</v>
      </c>
      <c r="DI738" s="2" t="n">
        <v>0</v>
      </c>
      <c r="DJ738" s="2" t="n">
        <v>76.99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 customFormat="false" ht="15" hidden="false" customHeight="false" outlineLevel="0" collapsed="false">
      <c r="A739" s="2" t="n">
        <v>4</v>
      </c>
      <c r="B739" s="2" t="s">
        <v>1871</v>
      </c>
      <c r="C739" s="2" t="s">
        <v>1872</v>
      </c>
      <c r="D739" s="2" t="s">
        <v>1480</v>
      </c>
      <c r="E739" s="2" t="s">
        <v>1494</v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</v>
      </c>
      <c r="DI739" s="2" t="n">
        <v>0</v>
      </c>
      <c r="DJ739" s="2" t="n">
        <v>76.99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 customFormat="false" ht="15" hidden="false" customHeight="false" outlineLevel="0" collapsed="false">
      <c r="A740" s="2" t="n">
        <v>4</v>
      </c>
      <c r="B740" s="2" t="s">
        <v>1873</v>
      </c>
      <c r="C740" s="2" t="s">
        <v>1827</v>
      </c>
      <c r="D740" s="2" t="s">
        <v>1480</v>
      </c>
      <c r="E740" s="2" t="s">
        <v>1494</v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</v>
      </c>
      <c r="DI740" s="2" t="n">
        <v>0</v>
      </c>
      <c r="DJ740" s="2" t="n">
        <v>76.99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 customFormat="false" ht="15" hidden="false" customHeight="false" outlineLevel="0" collapsed="false">
      <c r="A741" s="2" t="n">
        <v>4</v>
      </c>
      <c r="B741" s="2" t="s">
        <v>1874</v>
      </c>
      <c r="C741" s="2" t="s">
        <v>1829</v>
      </c>
      <c r="D741" s="2" t="s">
        <v>1480</v>
      </c>
      <c r="E741" s="2" t="s">
        <v>1494</v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</v>
      </c>
      <c r="DI741" s="2" t="n">
        <v>0</v>
      </c>
      <c r="DJ741" s="2" t="n">
        <v>76.99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 customFormat="false" ht="15" hidden="false" customHeight="false" outlineLevel="0" collapsed="false">
      <c r="A742" s="2" t="n">
        <v>4</v>
      </c>
      <c r="B742" s="2" t="s">
        <v>1875</v>
      </c>
      <c r="C742" s="2" t="s">
        <v>1831</v>
      </c>
      <c r="D742" s="2" t="s">
        <v>1480</v>
      </c>
      <c r="E742" s="2" t="s">
        <v>1494</v>
      </c>
      <c r="F742" s="2" t="n">
        <v>3317.45984131643</v>
      </c>
      <c r="G742" s="2" t="n">
        <v>0</v>
      </c>
      <c r="H742" s="2" t="n">
        <v>3317.45984131643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</v>
      </c>
      <c r="DI742" s="2" t="n">
        <v>0</v>
      </c>
      <c r="DJ742" s="2" t="n">
        <v>76.99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 customFormat="false" ht="15" hidden="false" customHeight="false" outlineLevel="0" collapsed="false">
      <c r="A743" s="2" t="n">
        <v>3</v>
      </c>
      <c r="B743" s="2" t="s">
        <v>1876</v>
      </c>
      <c r="C743" s="2" t="s">
        <v>1877</v>
      </c>
      <c r="D743" s="2" t="s">
        <v>1480</v>
      </c>
      <c r="E743" s="2" t="s">
        <v>1494</v>
      </c>
      <c r="F743" s="2" t="n">
        <v>39526.4662058715</v>
      </c>
      <c r="G743" s="2" t="n">
        <v>0</v>
      </c>
      <c r="H743" s="2" t="n">
        <v>39526.4662058715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</v>
      </c>
      <c r="DI743" s="2" t="n">
        <v>0</v>
      </c>
      <c r="DJ743" s="2" t="n">
        <v>76.99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 customFormat="false" ht="15" hidden="false" customHeight="false" outlineLevel="0" collapsed="false">
      <c r="A744" s="2" t="n">
        <v>4</v>
      </c>
      <c r="B744" s="2" t="s">
        <v>1878</v>
      </c>
      <c r="C744" s="2" t="s">
        <v>1877</v>
      </c>
      <c r="D744" s="2" t="s">
        <v>1480</v>
      </c>
      <c r="E744" s="2" t="s">
        <v>1494</v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</v>
      </c>
      <c r="DI744" s="2" t="n">
        <v>0</v>
      </c>
      <c r="DJ744" s="2" t="n">
        <v>76.99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 customFormat="false" ht="15" hidden="false" customHeight="false" outlineLevel="0" collapsed="false">
      <c r="A745" s="2" t="n">
        <v>4</v>
      </c>
      <c r="B745" s="2" t="s">
        <v>1879</v>
      </c>
      <c r="C745" s="2" t="s">
        <v>1880</v>
      </c>
      <c r="D745" s="2" t="s">
        <v>1480</v>
      </c>
      <c r="E745" s="2" t="s">
        <v>1494</v>
      </c>
      <c r="F745" s="2" t="n">
        <v>6168.8566635</v>
      </c>
      <c r="G745" s="2" t="n">
        <v>0</v>
      </c>
      <c r="H745" s="2" t="n">
        <v>6168.8566635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</v>
      </c>
      <c r="DI745" s="2" t="n">
        <v>0</v>
      </c>
      <c r="DJ745" s="2" t="n">
        <v>76.99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 customFormat="false" ht="15" hidden="false" customHeight="false" outlineLevel="0" collapsed="false">
      <c r="A746" s="2" t="n">
        <v>4</v>
      </c>
      <c r="B746" s="2" t="s">
        <v>1881</v>
      </c>
      <c r="C746" s="2" t="s">
        <v>1882</v>
      </c>
      <c r="D746" s="2" t="s">
        <v>1480</v>
      </c>
      <c r="E746" s="2" t="s">
        <v>1494</v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</v>
      </c>
      <c r="DI746" s="2" t="n">
        <v>0</v>
      </c>
      <c r="DJ746" s="2" t="n">
        <v>76.99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 customFormat="false" ht="15" hidden="false" customHeight="false" outlineLevel="0" collapsed="false">
      <c r="A747" s="2" t="n">
        <v>4</v>
      </c>
      <c r="B747" s="2" t="s">
        <v>1883</v>
      </c>
      <c r="C747" s="2" t="s">
        <v>1884</v>
      </c>
      <c r="D747" s="2" t="s">
        <v>1480</v>
      </c>
      <c r="E747" s="2" t="s">
        <v>1494</v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</v>
      </c>
      <c r="DI747" s="2" t="n">
        <v>0</v>
      </c>
      <c r="DJ747" s="2" t="n">
        <v>76.99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 customFormat="false" ht="15" hidden="false" customHeight="false" outlineLevel="0" collapsed="false">
      <c r="A748" s="2" t="n">
        <v>4</v>
      </c>
      <c r="B748" s="2" t="s">
        <v>1885</v>
      </c>
      <c r="C748" s="2" t="s">
        <v>1886</v>
      </c>
      <c r="D748" s="2" t="s">
        <v>1480</v>
      </c>
      <c r="E748" s="2" t="s">
        <v>1494</v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</v>
      </c>
      <c r="DI748" s="2" t="n">
        <v>0</v>
      </c>
      <c r="DJ748" s="2" t="n">
        <v>76.99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 customFormat="false" ht="15" hidden="false" customHeight="false" outlineLevel="0" collapsed="false">
      <c r="A749" s="2" t="n">
        <v>4</v>
      </c>
      <c r="B749" s="2" t="s">
        <v>1887</v>
      </c>
      <c r="C749" s="2" t="s">
        <v>1827</v>
      </c>
      <c r="D749" s="2" t="s">
        <v>1480</v>
      </c>
      <c r="E749" s="2" t="s">
        <v>1494</v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</v>
      </c>
      <c r="DI749" s="2" t="n">
        <v>0</v>
      </c>
      <c r="DJ749" s="2" t="n">
        <v>76.99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 customFormat="false" ht="15" hidden="false" customHeight="false" outlineLevel="0" collapsed="false">
      <c r="A750" s="2" t="n">
        <v>4</v>
      </c>
      <c r="B750" s="2" t="s">
        <v>1888</v>
      </c>
      <c r="C750" s="2" t="s">
        <v>1829</v>
      </c>
      <c r="D750" s="2" t="s">
        <v>1480</v>
      </c>
      <c r="E750" s="2" t="s">
        <v>1494</v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</v>
      </c>
      <c r="DI750" s="2" t="n">
        <v>0</v>
      </c>
      <c r="DJ750" s="2" t="n">
        <v>76.99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 customFormat="false" ht="15" hidden="false" customHeight="false" outlineLevel="0" collapsed="false">
      <c r="A751" s="2" t="n">
        <v>4</v>
      </c>
      <c r="B751" s="2" t="s">
        <v>1889</v>
      </c>
      <c r="C751" s="2" t="s">
        <v>1831</v>
      </c>
      <c r="D751" s="2" t="s">
        <v>1480</v>
      </c>
      <c r="E751" s="2" t="s">
        <v>1494</v>
      </c>
      <c r="F751" s="2" t="n">
        <v>182.601852271451</v>
      </c>
      <c r="G751" s="2" t="n">
        <v>0</v>
      </c>
      <c r="H751" s="2" t="n">
        <v>182.601852271451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</v>
      </c>
      <c r="DI751" s="2" t="n">
        <v>0</v>
      </c>
      <c r="DJ751" s="2" t="n">
        <v>76.99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 customFormat="false" ht="15" hidden="false" customHeight="false" outlineLevel="0" collapsed="false">
      <c r="A752" s="2" t="n">
        <v>3</v>
      </c>
      <c r="B752" s="2" t="s">
        <v>1890</v>
      </c>
      <c r="C752" s="2" t="s">
        <v>1891</v>
      </c>
      <c r="D752" s="2" t="s">
        <v>1480</v>
      </c>
      <c r="E752" s="2" t="s">
        <v>1494</v>
      </c>
      <c r="F752" s="2" t="n">
        <v>664517.239809137</v>
      </c>
      <c r="G752" s="2" t="n">
        <v>0</v>
      </c>
      <c r="H752" s="2" t="n">
        <v>664517.239809137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</v>
      </c>
      <c r="DI752" s="2" t="n">
        <v>0</v>
      </c>
      <c r="DJ752" s="2" t="n">
        <v>76.99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 customFormat="false" ht="15" hidden="false" customHeight="false" outlineLevel="0" collapsed="false">
      <c r="A753" s="2" t="n">
        <v>4</v>
      </c>
      <c r="B753" s="2" t="s">
        <v>1892</v>
      </c>
      <c r="C753" s="2" t="s">
        <v>1893</v>
      </c>
      <c r="D753" s="2" t="s">
        <v>1480</v>
      </c>
      <c r="E753" s="2" t="s">
        <v>1494</v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</v>
      </c>
      <c r="DI753" s="2" t="n">
        <v>0</v>
      </c>
      <c r="DJ753" s="2" t="n">
        <v>76.99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 customFormat="false" ht="15" hidden="false" customHeight="false" outlineLevel="0" collapsed="false">
      <c r="A754" s="2" t="n">
        <v>4</v>
      </c>
      <c r="B754" s="2" t="s">
        <v>1894</v>
      </c>
      <c r="C754" s="2" t="s">
        <v>1895</v>
      </c>
      <c r="D754" s="2" t="s">
        <v>1480</v>
      </c>
      <c r="E754" s="2" t="s">
        <v>1494</v>
      </c>
      <c r="F754" s="2" t="n">
        <v>129151.745410194</v>
      </c>
      <c r="G754" s="2" t="n">
        <v>0</v>
      </c>
      <c r="H754" s="2" t="n">
        <v>129151.745410194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</v>
      </c>
      <c r="DI754" s="2" t="n">
        <v>0</v>
      </c>
      <c r="DJ754" s="2" t="n">
        <v>76.99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 customFormat="false" ht="15" hidden="false" customHeight="false" outlineLevel="0" collapsed="false">
      <c r="A755" s="2" t="n">
        <v>4</v>
      </c>
      <c r="B755" s="2" t="s">
        <v>1896</v>
      </c>
      <c r="C755" s="2" t="s">
        <v>1897</v>
      </c>
      <c r="D755" s="2" t="s">
        <v>1480</v>
      </c>
      <c r="E755" s="2" t="s">
        <v>1494</v>
      </c>
      <c r="F755" s="2" t="n">
        <v>233222.09355033</v>
      </c>
      <c r="G755" s="2" t="n">
        <v>0</v>
      </c>
      <c r="H755" s="2" t="n">
        <v>233222.09355033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</v>
      </c>
      <c r="DI755" s="2" t="n">
        <v>0</v>
      </c>
      <c r="DJ755" s="2" t="n">
        <v>76.99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 customFormat="false" ht="15" hidden="false" customHeight="false" outlineLevel="0" collapsed="false">
      <c r="A756" s="2" t="n">
        <v>4</v>
      </c>
      <c r="B756" s="2" t="s">
        <v>1898</v>
      </c>
      <c r="C756" s="2" t="s">
        <v>1899</v>
      </c>
      <c r="D756" s="2" t="s">
        <v>1480</v>
      </c>
      <c r="E756" s="2" t="s">
        <v>1494</v>
      </c>
      <c r="F756" s="2" t="n">
        <v>1148.83286356015</v>
      </c>
      <c r="G756" s="2" t="n">
        <v>0</v>
      </c>
      <c r="H756" s="2" t="n">
        <v>1148.83286356015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</v>
      </c>
      <c r="DI756" s="2" t="n">
        <v>0</v>
      </c>
      <c r="DJ756" s="2" t="n">
        <v>76.99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 customFormat="false" ht="15" hidden="false" customHeight="false" outlineLevel="0" collapsed="false">
      <c r="A757" s="2" t="n">
        <v>4</v>
      </c>
      <c r="B757" s="2" t="s">
        <v>1900</v>
      </c>
      <c r="C757" s="2" t="s">
        <v>1901</v>
      </c>
      <c r="D757" s="2" t="s">
        <v>1480</v>
      </c>
      <c r="E757" s="2" t="s">
        <v>1494</v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</v>
      </c>
      <c r="DI757" s="2" t="n">
        <v>0</v>
      </c>
      <c r="DJ757" s="2" t="n">
        <v>76.99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 customFormat="false" ht="15" hidden="false" customHeight="false" outlineLevel="0" collapsed="false">
      <c r="A758" s="2" t="n">
        <v>4</v>
      </c>
      <c r="B758" s="2" t="s">
        <v>1902</v>
      </c>
      <c r="C758" s="2" t="s">
        <v>1903</v>
      </c>
      <c r="D758" s="2" t="s">
        <v>1480</v>
      </c>
      <c r="E758" s="2" t="s">
        <v>1494</v>
      </c>
      <c r="F758" s="2" t="n">
        <v>1339.80377150797</v>
      </c>
      <c r="G758" s="2" t="n">
        <v>0</v>
      </c>
      <c r="H758" s="2" t="n">
        <v>1339.80377150797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</v>
      </c>
      <c r="DI758" s="2" t="n">
        <v>0</v>
      </c>
      <c r="DJ758" s="2" t="n">
        <v>76.99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 customFormat="false" ht="15" hidden="false" customHeight="false" outlineLevel="0" collapsed="false">
      <c r="A759" s="2" t="n">
        <v>4</v>
      </c>
      <c r="B759" s="2" t="s">
        <v>1904</v>
      </c>
      <c r="C759" s="2" t="s">
        <v>1905</v>
      </c>
      <c r="D759" s="2" t="s">
        <v>1480</v>
      </c>
      <c r="E759" s="2" t="s">
        <v>1494</v>
      </c>
      <c r="F759" s="2" t="n">
        <v>714.2612698836</v>
      </c>
      <c r="G759" s="2" t="n">
        <v>0</v>
      </c>
      <c r="H759" s="2" t="n">
        <v>714.2612698836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</v>
      </c>
      <c r="DI759" s="2" t="n">
        <v>0</v>
      </c>
      <c r="DJ759" s="2" t="n">
        <v>76.99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 customFormat="false" ht="15" hidden="false" customHeight="false" outlineLevel="0" collapsed="false">
      <c r="A760" s="2" t="n">
        <v>4</v>
      </c>
      <c r="B760" s="2" t="s">
        <v>1906</v>
      </c>
      <c r="C760" s="2" t="s">
        <v>1907</v>
      </c>
      <c r="D760" s="2" t="s">
        <v>1480</v>
      </c>
      <c r="E760" s="2" t="s">
        <v>1494</v>
      </c>
      <c r="F760" s="2" t="n">
        <v>141411.528847047</v>
      </c>
      <c r="G760" s="2" t="n">
        <v>0</v>
      </c>
      <c r="H760" s="2" t="n">
        <v>141411.528847047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</v>
      </c>
      <c r="DI760" s="2" t="n">
        <v>0</v>
      </c>
      <c r="DJ760" s="2" t="n">
        <v>76.99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 customFormat="false" ht="15" hidden="false" customHeight="false" outlineLevel="0" collapsed="false">
      <c r="A761" s="2" t="n">
        <v>4</v>
      </c>
      <c r="B761" s="2" t="s">
        <v>1908</v>
      </c>
      <c r="C761" s="2" t="s">
        <v>1909</v>
      </c>
      <c r="D761" s="2" t="s">
        <v>1480</v>
      </c>
      <c r="E761" s="2" t="s">
        <v>1494</v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</v>
      </c>
      <c r="DI761" s="2" t="n">
        <v>0</v>
      </c>
      <c r="DJ761" s="2" t="n">
        <v>76.99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 customFormat="false" ht="15" hidden="false" customHeight="false" outlineLevel="0" collapsed="false">
      <c r="A762" s="2" t="n">
        <v>4</v>
      </c>
      <c r="B762" s="2" t="s">
        <v>1910</v>
      </c>
      <c r="C762" s="2" t="s">
        <v>1911</v>
      </c>
      <c r="D762" s="2" t="s">
        <v>1480</v>
      </c>
      <c r="E762" s="2" t="s">
        <v>1494</v>
      </c>
      <c r="F762" s="2" t="n">
        <v>10166.9807258101</v>
      </c>
      <c r="G762" s="2" t="n">
        <v>0</v>
      </c>
      <c r="H762" s="2" t="n">
        <v>10166.9807258101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</v>
      </c>
      <c r="DI762" s="2" t="n">
        <v>0</v>
      </c>
      <c r="DJ762" s="2" t="n">
        <v>76.99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 customFormat="false" ht="15" hidden="false" customHeight="false" outlineLevel="0" collapsed="false">
      <c r="A763" s="2" t="n">
        <v>4</v>
      </c>
      <c r="B763" s="2" t="s">
        <v>1912</v>
      </c>
      <c r="C763" s="2" t="s">
        <v>1913</v>
      </c>
      <c r="D763" s="2" t="s">
        <v>1480</v>
      </c>
      <c r="E763" s="2" t="s">
        <v>1494</v>
      </c>
      <c r="F763" s="2" t="n">
        <v>10792.5979896098</v>
      </c>
      <c r="G763" s="2" t="n">
        <v>0</v>
      </c>
      <c r="H763" s="2" t="n">
        <v>10792.5979896098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</v>
      </c>
      <c r="DI763" s="2" t="n">
        <v>0</v>
      </c>
      <c r="DJ763" s="2" t="n">
        <v>76.99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 customFormat="false" ht="15" hidden="false" customHeight="false" outlineLevel="0" collapsed="false">
      <c r="A764" s="2" t="n">
        <v>2</v>
      </c>
      <c r="B764" s="2" t="s">
        <v>1914</v>
      </c>
      <c r="C764" s="2" t="s">
        <v>1915</v>
      </c>
      <c r="D764" s="2" t="s">
        <v>440</v>
      </c>
      <c r="E764" s="2" t="s">
        <v>1765</v>
      </c>
      <c r="F764" s="2" t="n">
        <v>117842.089278532</v>
      </c>
      <c r="G764" s="2" t="n">
        <v>0</v>
      </c>
      <c r="H764" s="2" t="n">
        <v>117842.089278532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 customFormat="false" ht="15" hidden="false" customHeight="false" outlineLevel="0" collapsed="false">
      <c r="A765" s="2" t="n">
        <v>3</v>
      </c>
      <c r="B765" s="2" t="s">
        <v>1916</v>
      </c>
      <c r="C765" s="2" t="s">
        <v>1917</v>
      </c>
      <c r="D765" s="2" t="s">
        <v>440</v>
      </c>
      <c r="E765" s="2" t="s">
        <v>1765</v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 customFormat="false" ht="15" hidden="false" customHeight="false" outlineLevel="0" collapsed="false">
      <c r="A766" s="2" t="n">
        <v>4</v>
      </c>
      <c r="B766" s="2" t="s">
        <v>1918</v>
      </c>
      <c r="C766" s="2" t="s">
        <v>1666</v>
      </c>
      <c r="D766" s="2" t="s">
        <v>440</v>
      </c>
      <c r="E766" s="2" t="s">
        <v>1765</v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 customFormat="false" ht="15" hidden="false" customHeight="false" outlineLevel="0" collapsed="false">
      <c r="A767" s="2" t="n">
        <v>4</v>
      </c>
      <c r="B767" s="2" t="s">
        <v>1919</v>
      </c>
      <c r="C767" s="2" t="s">
        <v>1668</v>
      </c>
      <c r="D767" s="2" t="s">
        <v>440</v>
      </c>
      <c r="E767" s="2" t="s">
        <v>1765</v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 customFormat="false" ht="15" hidden="false" customHeight="false" outlineLevel="0" collapsed="false">
      <c r="A768" s="2" t="n">
        <v>4</v>
      </c>
      <c r="B768" s="2" t="s">
        <v>1920</v>
      </c>
      <c r="C768" s="2" t="s">
        <v>1921</v>
      </c>
      <c r="D768" s="2" t="s">
        <v>440</v>
      </c>
      <c r="E768" s="2" t="s">
        <v>1765</v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 customFormat="false" ht="15" hidden="false" customHeight="false" outlineLevel="0" collapsed="false">
      <c r="A769" s="2" t="n">
        <v>3</v>
      </c>
      <c r="B769" s="2" t="s">
        <v>1922</v>
      </c>
      <c r="C769" s="2" t="s">
        <v>1923</v>
      </c>
      <c r="D769" s="2" t="s">
        <v>440</v>
      </c>
      <c r="E769" s="2" t="s">
        <v>1765</v>
      </c>
      <c r="F769" s="2" t="n">
        <v>52689.621071927</v>
      </c>
      <c r="G769" s="2" t="n">
        <v>0</v>
      </c>
      <c r="H769" s="2" t="n">
        <v>52689.621071927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 customFormat="false" ht="15" hidden="false" customHeight="false" outlineLevel="0" collapsed="false">
      <c r="A770" s="2" t="n">
        <v>4</v>
      </c>
      <c r="B770" s="2" t="s">
        <v>1924</v>
      </c>
      <c r="C770" s="2" t="s">
        <v>1925</v>
      </c>
      <c r="D770" s="2" t="s">
        <v>440</v>
      </c>
      <c r="E770" s="2" t="s">
        <v>1765</v>
      </c>
      <c r="F770" s="2" t="n">
        <v>52689.621071927</v>
      </c>
      <c r="G770" s="2" t="n">
        <v>0</v>
      </c>
      <c r="H770" s="2" t="n">
        <v>52689.621071927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 customFormat="false" ht="15" hidden="false" customHeight="false" outlineLevel="0" collapsed="false">
      <c r="A771" s="2" t="n">
        <v>3</v>
      </c>
      <c r="B771" s="2" t="s">
        <v>1926</v>
      </c>
      <c r="C771" s="2" t="s">
        <v>1927</v>
      </c>
      <c r="D771" s="2" t="s">
        <v>440</v>
      </c>
      <c r="E771" s="2" t="s">
        <v>1765</v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 customFormat="false" ht="15" hidden="false" customHeight="false" outlineLevel="0" collapsed="false">
      <c r="A772" s="2" t="n">
        <v>4</v>
      </c>
      <c r="B772" s="2" t="s">
        <v>1928</v>
      </c>
      <c r="C772" s="2" t="s">
        <v>1929</v>
      </c>
      <c r="D772" s="2" t="s">
        <v>440</v>
      </c>
      <c r="E772" s="2" t="s">
        <v>1765</v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 customFormat="false" ht="15" hidden="false" customHeight="false" outlineLevel="0" collapsed="false">
      <c r="A773" s="2" t="n">
        <v>1</v>
      </c>
      <c r="B773" s="2" t="s">
        <v>208</v>
      </c>
      <c r="C773" s="2" t="s">
        <v>210</v>
      </c>
      <c r="D773" s="2" t="s">
        <v>434</v>
      </c>
      <c r="E773" s="2" t="s">
        <v>1930</v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 customFormat="false" ht="15" hidden="false" customHeight="false" outlineLevel="0" collapsed="false">
      <c r="A774" s="2" t="n">
        <v>2</v>
      </c>
      <c r="B774" s="2" t="s">
        <v>1931</v>
      </c>
      <c r="C774" s="2" t="s">
        <v>1932</v>
      </c>
      <c r="D774" s="2" t="s">
        <v>434</v>
      </c>
      <c r="E774" s="2" t="s">
        <v>1930</v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 customFormat="false" ht="15" hidden="false" customHeight="false" outlineLevel="0" collapsed="false">
      <c r="A775" s="2" t="n">
        <v>3</v>
      </c>
      <c r="B775" s="2" t="s">
        <v>1933</v>
      </c>
      <c r="C775" s="2" t="s">
        <v>1934</v>
      </c>
      <c r="D775" s="2" t="s">
        <v>434</v>
      </c>
      <c r="E775" s="2" t="s">
        <v>1930</v>
      </c>
      <c r="F775" s="2" t="n">
        <v>43494.9280422761</v>
      </c>
      <c r="G775" s="2" t="n">
        <v>0</v>
      </c>
      <c r="H775" s="2" t="n">
        <v>43494.9280422761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 customFormat="false" ht="15" hidden="false" customHeight="false" outlineLevel="0" collapsed="false">
      <c r="A776" s="2" t="n">
        <v>3</v>
      </c>
      <c r="B776" s="2" t="s">
        <v>1935</v>
      </c>
      <c r="C776" s="2" t="s">
        <v>1936</v>
      </c>
      <c r="D776" s="2" t="s">
        <v>434</v>
      </c>
      <c r="E776" s="2" t="s">
        <v>1930</v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 customFormat="false" ht="15" hidden="false" customHeight="false" outlineLevel="0" collapsed="false">
      <c r="A777" s="2" t="n">
        <v>3</v>
      </c>
      <c r="B777" s="2" t="s">
        <v>1937</v>
      </c>
      <c r="C777" s="2" t="s">
        <v>1938</v>
      </c>
      <c r="D777" s="2" t="s">
        <v>434</v>
      </c>
      <c r="E777" s="2" t="s">
        <v>1930</v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 customFormat="false" ht="15" hidden="false" customHeight="false" outlineLevel="0" collapsed="false">
      <c r="A778" s="2" t="n">
        <v>3</v>
      </c>
      <c r="B778" s="2" t="s">
        <v>1939</v>
      </c>
      <c r="C778" s="2" t="s">
        <v>1940</v>
      </c>
      <c r="D778" s="2" t="s">
        <v>434</v>
      </c>
      <c r="E778" s="2" t="s">
        <v>1930</v>
      </c>
      <c r="F778" s="2" t="n">
        <v>3498.52838588359</v>
      </c>
      <c r="G778" s="2" t="n">
        <v>0</v>
      </c>
      <c r="H778" s="2" t="n">
        <v>3498.52838588359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 customFormat="false" ht="15" hidden="false" customHeight="false" outlineLevel="0" collapsed="false">
      <c r="A779" s="2" t="n">
        <v>3</v>
      </c>
      <c r="B779" s="2" t="s">
        <v>1941</v>
      </c>
      <c r="C779" s="2" t="s">
        <v>1942</v>
      </c>
      <c r="D779" s="2" t="s">
        <v>434</v>
      </c>
      <c r="E779" s="2" t="s">
        <v>1930</v>
      </c>
      <c r="F779" s="2" t="n">
        <v>32045.5684444329</v>
      </c>
      <c r="G779" s="2" t="n">
        <v>0</v>
      </c>
      <c r="H779" s="2" t="n">
        <v>32045.5684444329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 customFormat="false" ht="15" hidden="false" customHeight="false" outlineLevel="0" collapsed="false">
      <c r="A780" s="2" t="n">
        <v>3</v>
      </c>
      <c r="B780" s="2" t="s">
        <v>1943</v>
      </c>
      <c r="C780" s="2" t="s">
        <v>1944</v>
      </c>
      <c r="D780" s="2" t="s">
        <v>434</v>
      </c>
      <c r="E780" s="2" t="s">
        <v>1930</v>
      </c>
      <c r="F780" s="2" t="n">
        <v>15246.6388960504</v>
      </c>
      <c r="G780" s="2" t="n">
        <v>0</v>
      </c>
      <c r="H780" s="2" t="n">
        <v>15246.6388960504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 customFormat="false" ht="15" hidden="false" customHeight="false" outlineLevel="0" collapsed="false">
      <c r="A781" s="2" t="n">
        <v>3</v>
      </c>
      <c r="B781" s="2" t="s">
        <v>1945</v>
      </c>
      <c r="C781" s="2" t="s">
        <v>1946</v>
      </c>
      <c r="D781" s="2" t="s">
        <v>434</v>
      </c>
      <c r="E781" s="2" t="s">
        <v>1930</v>
      </c>
      <c r="F781" s="2" t="n">
        <v>5078.06050243927</v>
      </c>
      <c r="G781" s="2" t="n">
        <v>0</v>
      </c>
      <c r="H781" s="2" t="n">
        <v>5078.06050243927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 customFormat="false" ht="15" hidden="false" customHeight="false" outlineLevel="0" collapsed="false">
      <c r="A782" s="2" t="n">
        <v>1</v>
      </c>
      <c r="B782" s="2" t="s">
        <v>212</v>
      </c>
      <c r="C782" s="2" t="s">
        <v>213</v>
      </c>
      <c r="D782" s="2" t="s">
        <v>1947</v>
      </c>
      <c r="E782" s="2" t="s">
        <v>1948</v>
      </c>
      <c r="F782" s="2" t="n">
        <v>5055622.29590512</v>
      </c>
      <c r="G782" s="2" t="n">
        <v>0</v>
      </c>
      <c r="H782" s="2" t="n">
        <v>5055622.29590512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93.35</v>
      </c>
      <c r="DW782" s="2" t="n">
        <v>93.4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 customFormat="false" ht="15" hidden="false" customHeight="false" outlineLevel="0" collapsed="false">
      <c r="A783" s="2" t="n">
        <v>2</v>
      </c>
      <c r="B783" s="2" t="s">
        <v>1949</v>
      </c>
      <c r="C783" s="2" t="s">
        <v>1917</v>
      </c>
      <c r="D783" s="2" t="s">
        <v>1947</v>
      </c>
      <c r="E783" s="2" t="s">
        <v>1950</v>
      </c>
      <c r="F783" s="2" t="n">
        <v>708626.130255267</v>
      </c>
      <c r="G783" s="2" t="n">
        <v>0</v>
      </c>
      <c r="H783" s="2" t="n">
        <v>708626.130255267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 customFormat="false" ht="15" hidden="false" customHeight="false" outlineLevel="0" collapsed="false">
      <c r="A784" s="2" t="n">
        <v>3</v>
      </c>
      <c r="B784" s="2" t="s">
        <v>1951</v>
      </c>
      <c r="C784" s="2" t="s">
        <v>1952</v>
      </c>
      <c r="D784" s="2" t="s">
        <v>1947</v>
      </c>
      <c r="E784" s="2" t="s">
        <v>1950</v>
      </c>
      <c r="F784" s="2" t="n">
        <v>32138.5213843716</v>
      </c>
      <c r="G784" s="2" t="n">
        <v>0</v>
      </c>
      <c r="H784" s="2" t="n">
        <v>32138.5213843716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 customFormat="false" ht="15" hidden="false" customHeight="false" outlineLevel="0" collapsed="false">
      <c r="A785" s="2" t="n">
        <v>3</v>
      </c>
      <c r="B785" s="2" t="s">
        <v>1953</v>
      </c>
      <c r="C785" s="2" t="s">
        <v>1666</v>
      </c>
      <c r="D785" s="2" t="s">
        <v>1947</v>
      </c>
      <c r="E785" s="2" t="s">
        <v>1950</v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 customFormat="false" ht="15" hidden="false" customHeight="false" outlineLevel="0" collapsed="false">
      <c r="A786" s="2" t="n">
        <v>3</v>
      </c>
      <c r="B786" s="2" t="s">
        <v>1954</v>
      </c>
      <c r="C786" s="2" t="s">
        <v>1668</v>
      </c>
      <c r="D786" s="2" t="s">
        <v>1947</v>
      </c>
      <c r="E786" s="2" t="s">
        <v>1950</v>
      </c>
      <c r="F786" s="2" t="n">
        <v>73379.8365454784</v>
      </c>
      <c r="G786" s="2" t="n">
        <v>0</v>
      </c>
      <c r="H786" s="2" t="n">
        <v>73379.8365454784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 customFormat="false" ht="15" hidden="false" customHeight="false" outlineLevel="0" collapsed="false">
      <c r="A787" s="2" t="n">
        <v>3</v>
      </c>
      <c r="B787" s="2" t="s">
        <v>1955</v>
      </c>
      <c r="C787" s="2" t="s">
        <v>1956</v>
      </c>
      <c r="D787" s="2" t="s">
        <v>1947</v>
      </c>
      <c r="E787" s="2" t="s">
        <v>1950</v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 customFormat="false" ht="15" hidden="false" customHeight="false" outlineLevel="0" collapsed="false">
      <c r="A788" s="2" t="n">
        <v>3</v>
      </c>
      <c r="B788" s="2" t="s">
        <v>1957</v>
      </c>
      <c r="C788" s="2" t="s">
        <v>1675</v>
      </c>
      <c r="D788" s="2" t="s">
        <v>1947</v>
      </c>
      <c r="E788" s="2" t="s">
        <v>1950</v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 customFormat="false" ht="15" hidden="false" customHeight="false" outlineLevel="0" collapsed="false">
      <c r="A789" s="2" t="n">
        <v>3</v>
      </c>
      <c r="B789" s="2" t="s">
        <v>1958</v>
      </c>
      <c r="C789" s="2" t="s">
        <v>1959</v>
      </c>
      <c r="D789" s="2" t="s">
        <v>1947</v>
      </c>
      <c r="E789" s="2" t="s">
        <v>1950</v>
      </c>
      <c r="F789" s="2" t="n">
        <v>17442.7396796026</v>
      </c>
      <c r="G789" s="2" t="n">
        <v>0</v>
      </c>
      <c r="H789" s="2" t="n">
        <v>17442.7396796026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 customFormat="false" ht="15" hidden="false" customHeight="false" outlineLevel="0" collapsed="false">
      <c r="A790" s="2" t="n">
        <v>2</v>
      </c>
      <c r="B790" s="2" t="s">
        <v>1960</v>
      </c>
      <c r="C790" s="2" t="s">
        <v>1683</v>
      </c>
      <c r="D790" s="2" t="s">
        <v>1961</v>
      </c>
      <c r="E790" s="2" t="s">
        <v>1962</v>
      </c>
      <c r="F790" s="2" t="n">
        <v>2297085.76710703</v>
      </c>
      <c r="G790" s="2" t="n">
        <v>0</v>
      </c>
      <c r="H790" s="2" t="n">
        <v>2297085.76710703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91.6</v>
      </c>
      <c r="DB790" s="2" t="n">
        <v>93.6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 customFormat="false" ht="15" hidden="false" customHeight="false" outlineLevel="0" collapsed="false">
      <c r="A791" s="2" t="n">
        <v>3</v>
      </c>
      <c r="B791" s="2" t="s">
        <v>1963</v>
      </c>
      <c r="C791" s="2" t="s">
        <v>1964</v>
      </c>
      <c r="D791" s="2" t="s">
        <v>1961</v>
      </c>
      <c r="E791" s="2" t="s">
        <v>1962</v>
      </c>
      <c r="F791" s="2" t="n">
        <v>2016285.13130603</v>
      </c>
      <c r="G791" s="2" t="n">
        <v>0</v>
      </c>
      <c r="H791" s="2" t="n">
        <v>2016285.13130603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91.6</v>
      </c>
      <c r="DB791" s="2" t="n">
        <v>93.6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 customFormat="false" ht="15" hidden="false" customHeight="false" outlineLevel="0" collapsed="false">
      <c r="A792" s="2" t="n">
        <v>3</v>
      </c>
      <c r="B792" s="2" t="s">
        <v>1965</v>
      </c>
      <c r="C792" s="2" t="s">
        <v>1966</v>
      </c>
      <c r="D792" s="2" t="s">
        <v>1961</v>
      </c>
      <c r="E792" s="2" t="s">
        <v>1962</v>
      </c>
      <c r="F792" s="2" t="n">
        <v>280800.635801</v>
      </c>
      <c r="G792" s="2" t="n">
        <v>0</v>
      </c>
      <c r="H792" s="2" t="n">
        <v>280800.635801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91.6</v>
      </c>
      <c r="DB792" s="2" t="n">
        <v>93.6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 customFormat="false" ht="15" hidden="false" customHeight="false" outlineLevel="0" collapsed="false">
      <c r="A793" s="2" t="n">
        <v>2</v>
      </c>
      <c r="B793" s="2" t="s">
        <v>1967</v>
      </c>
      <c r="C793" s="2" t="s">
        <v>1968</v>
      </c>
      <c r="D793" s="2" t="s">
        <v>1969</v>
      </c>
      <c r="E793" s="2" t="s">
        <v>1970</v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 customFormat="false" ht="15" hidden="false" customHeight="false" outlineLevel="0" collapsed="false">
      <c r="A794" s="2" t="n">
        <v>3</v>
      </c>
      <c r="B794" s="2" t="s">
        <v>1971</v>
      </c>
      <c r="C794" s="2" t="s">
        <v>1972</v>
      </c>
      <c r="D794" s="2" t="s">
        <v>1969</v>
      </c>
      <c r="E794" s="2" t="s">
        <v>1970</v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 customFormat="false" ht="15" hidden="false" customHeight="false" outlineLevel="0" collapsed="false">
      <c r="A795" s="2" t="n">
        <v>3</v>
      </c>
      <c r="B795" s="2" t="s">
        <v>1973</v>
      </c>
      <c r="C795" s="2" t="s">
        <v>1974</v>
      </c>
      <c r="D795" s="2" t="s">
        <v>1969</v>
      </c>
      <c r="E795" s="2" t="s">
        <v>1970</v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 customFormat="false" ht="15" hidden="false" customHeight="false" outlineLevel="0" collapsed="false">
      <c r="A796" s="2" t="n">
        <v>2</v>
      </c>
      <c r="B796" s="2" t="s">
        <v>1975</v>
      </c>
      <c r="C796" s="2" t="s">
        <v>1976</v>
      </c>
      <c r="D796" s="2" t="s">
        <v>1977</v>
      </c>
      <c r="E796" s="2" t="s">
        <v>1948</v>
      </c>
      <c r="F796" s="2" t="n">
        <v>103212.806476839</v>
      </c>
      <c r="G796" s="2" t="n">
        <v>0</v>
      </c>
      <c r="H796" s="2" t="n">
        <v>103212.806476839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 customFormat="false" ht="15" hidden="false" customHeight="false" outlineLevel="0" collapsed="false">
      <c r="A797" s="2" t="n">
        <v>3</v>
      </c>
      <c r="B797" s="2" t="s">
        <v>1978</v>
      </c>
      <c r="C797" s="2" t="s">
        <v>1979</v>
      </c>
      <c r="D797" s="2" t="s">
        <v>1977</v>
      </c>
      <c r="E797" s="2" t="s">
        <v>1948</v>
      </c>
      <c r="F797" s="2" t="n">
        <v>72838.0209981556</v>
      </c>
      <c r="G797" s="2" t="n">
        <v>0</v>
      </c>
      <c r="H797" s="2" t="n">
        <v>72838.0209981556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 customFormat="false" ht="15" hidden="false" customHeight="false" outlineLevel="0" collapsed="false">
      <c r="A798" s="2" t="n">
        <v>3</v>
      </c>
      <c r="B798" s="2" t="s">
        <v>1980</v>
      </c>
      <c r="C798" s="2" t="s">
        <v>1981</v>
      </c>
      <c r="D798" s="2" t="s">
        <v>1977</v>
      </c>
      <c r="E798" s="2" t="s">
        <v>1948</v>
      </c>
      <c r="F798" s="2" t="n">
        <v>9629.88401336782</v>
      </c>
      <c r="G798" s="2" t="n">
        <v>0</v>
      </c>
      <c r="H798" s="2" t="n">
        <v>9629.88401336782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 customFormat="false" ht="15" hidden="false" customHeight="false" outlineLevel="0" collapsed="false">
      <c r="A799" s="2" t="n">
        <v>3</v>
      </c>
      <c r="B799" s="2" t="s">
        <v>1982</v>
      </c>
      <c r="C799" s="2" t="s">
        <v>1983</v>
      </c>
      <c r="D799" s="2" t="s">
        <v>1977</v>
      </c>
      <c r="E799" s="2" t="s">
        <v>1948</v>
      </c>
      <c r="F799" s="2" t="n">
        <v>20744.901465316</v>
      </c>
      <c r="G799" s="2" t="n">
        <v>0</v>
      </c>
      <c r="H799" s="2" t="n">
        <v>20744.901465316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 customFormat="false" ht="15" hidden="false" customHeight="false" outlineLevel="0" collapsed="false">
      <c r="A800" s="2" t="n">
        <v>2</v>
      </c>
      <c r="B800" s="2" t="s">
        <v>1984</v>
      </c>
      <c r="C800" s="2" t="s">
        <v>1600</v>
      </c>
      <c r="D800" s="2" t="s">
        <v>1947</v>
      </c>
      <c r="E800" s="2" t="s">
        <v>1950</v>
      </c>
      <c r="F800" s="2" t="n">
        <v>177406.461861941</v>
      </c>
      <c r="G800" s="2" t="n">
        <v>0</v>
      </c>
      <c r="H800" s="2" t="n">
        <v>177406.461861941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 customFormat="false" ht="15" hidden="false" customHeight="false" outlineLevel="0" collapsed="false">
      <c r="A801" s="2" t="n">
        <v>3</v>
      </c>
      <c r="B801" s="2" t="s">
        <v>1985</v>
      </c>
      <c r="C801" s="2" t="s">
        <v>1986</v>
      </c>
      <c r="D801" s="2" t="s">
        <v>1947</v>
      </c>
      <c r="E801" s="2" t="s">
        <v>1950</v>
      </c>
      <c r="F801" s="2" t="n">
        <v>135433.238960221</v>
      </c>
      <c r="G801" s="2" t="n">
        <v>0</v>
      </c>
      <c r="H801" s="2" t="n">
        <v>135433.238960221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 customFormat="false" ht="15" hidden="false" customHeight="false" outlineLevel="0" collapsed="false">
      <c r="A802" s="2" t="n">
        <v>3</v>
      </c>
      <c r="B802" s="2" t="s">
        <v>1987</v>
      </c>
      <c r="C802" s="2" t="s">
        <v>1988</v>
      </c>
      <c r="D802" s="2" t="s">
        <v>1947</v>
      </c>
      <c r="E802" s="2" t="s">
        <v>1950</v>
      </c>
      <c r="F802" s="2" t="n">
        <v>12979.784297588</v>
      </c>
      <c r="G802" s="2" t="n">
        <v>0</v>
      </c>
      <c r="H802" s="2" t="n">
        <v>12979.784297588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 customFormat="false" ht="15" hidden="false" customHeight="false" outlineLevel="0" collapsed="false">
      <c r="A803" s="2" t="n">
        <v>3</v>
      </c>
      <c r="B803" s="2" t="s">
        <v>1989</v>
      </c>
      <c r="C803" s="2" t="s">
        <v>1990</v>
      </c>
      <c r="D803" s="2" t="s">
        <v>1947</v>
      </c>
      <c r="E803" s="2" t="s">
        <v>1950</v>
      </c>
      <c r="F803" s="2" t="n">
        <v>28993.4386041319</v>
      </c>
      <c r="G803" s="2" t="n">
        <v>0</v>
      </c>
      <c r="H803" s="2" t="n">
        <v>28993.4386041319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 customFormat="false" ht="15" hidden="false" customHeight="false" outlineLevel="0" collapsed="false">
      <c r="A804" s="2" t="n">
        <v>2</v>
      </c>
      <c r="B804" s="2" t="s">
        <v>1991</v>
      </c>
      <c r="C804" s="2" t="s">
        <v>1992</v>
      </c>
      <c r="D804" s="2" t="s">
        <v>434</v>
      </c>
      <c r="E804" s="2" t="s">
        <v>1930</v>
      </c>
      <c r="F804" s="2" t="n">
        <v>320257.630204048</v>
      </c>
      <c r="G804" s="2" t="n">
        <v>0</v>
      </c>
      <c r="H804" s="2" t="n">
        <v>320257.630204048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 customFormat="false" ht="15" hidden="false" customHeight="false" outlineLevel="0" collapsed="false">
      <c r="A805" s="2" t="n">
        <v>3</v>
      </c>
      <c r="B805" s="2" t="s">
        <v>1993</v>
      </c>
      <c r="C805" s="2" t="s">
        <v>1994</v>
      </c>
      <c r="D805" s="2" t="s">
        <v>434</v>
      </c>
      <c r="E805" s="2" t="s">
        <v>1930</v>
      </c>
      <c r="F805" s="2" t="n">
        <v>67765.5769095293</v>
      </c>
      <c r="G805" s="2" t="n">
        <v>0</v>
      </c>
      <c r="H805" s="2" t="n">
        <v>67765.5769095293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 customFormat="false" ht="15" hidden="false" customHeight="false" outlineLevel="0" collapsed="false">
      <c r="A806" s="2" t="n">
        <v>4</v>
      </c>
      <c r="B806" s="2" t="s">
        <v>1995</v>
      </c>
      <c r="C806" s="2" t="s">
        <v>1996</v>
      </c>
      <c r="D806" s="2" t="s">
        <v>434</v>
      </c>
      <c r="E806" s="2" t="s">
        <v>1930</v>
      </c>
      <c r="F806" s="2" t="n">
        <v>33358.2248159163</v>
      </c>
      <c r="G806" s="2" t="n">
        <v>0</v>
      </c>
      <c r="H806" s="2" t="n">
        <v>33358.2248159163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 customFormat="false" ht="15" hidden="false" customHeight="false" outlineLevel="0" collapsed="false">
      <c r="A807" s="2" t="n">
        <v>4</v>
      </c>
      <c r="B807" s="2" t="s">
        <v>1997</v>
      </c>
      <c r="C807" s="2" t="s">
        <v>1998</v>
      </c>
      <c r="D807" s="2" t="s">
        <v>434</v>
      </c>
      <c r="E807" s="2" t="s">
        <v>1930</v>
      </c>
      <c r="F807" s="2" t="n">
        <v>3819.80837869636</v>
      </c>
      <c r="G807" s="2" t="n">
        <v>0</v>
      </c>
      <c r="H807" s="2" t="n">
        <v>3819.80837869636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 customFormat="false" ht="15" hidden="false" customHeight="false" outlineLevel="0" collapsed="false">
      <c r="A808" s="2" t="n">
        <v>4</v>
      </c>
      <c r="B808" s="2" t="s">
        <v>1999</v>
      </c>
      <c r="C808" s="2" t="s">
        <v>2000</v>
      </c>
      <c r="D808" s="2" t="s">
        <v>434</v>
      </c>
      <c r="E808" s="2" t="s">
        <v>1930</v>
      </c>
      <c r="F808" s="2" t="n">
        <v>30587.5437149167</v>
      </c>
      <c r="G808" s="2" t="n">
        <v>0</v>
      </c>
      <c r="H808" s="2" t="n">
        <v>30587.5437149167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 customFormat="false" ht="15" hidden="false" customHeight="false" outlineLevel="0" collapsed="false">
      <c r="A809" s="2" t="n">
        <v>3</v>
      </c>
      <c r="B809" s="2" t="s">
        <v>2001</v>
      </c>
      <c r="C809" s="2" t="s">
        <v>2002</v>
      </c>
      <c r="D809" s="2" t="s">
        <v>434</v>
      </c>
      <c r="E809" s="2" t="s">
        <v>1930</v>
      </c>
      <c r="F809" s="2" t="n">
        <v>113433.577052099</v>
      </c>
      <c r="G809" s="2" t="n">
        <v>0</v>
      </c>
      <c r="H809" s="2" t="n">
        <v>113433.577052099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 customFormat="false" ht="15" hidden="false" customHeight="false" outlineLevel="0" collapsed="false">
      <c r="A810" s="2" t="n">
        <v>4</v>
      </c>
      <c r="B810" s="2" t="s">
        <v>2003</v>
      </c>
      <c r="C810" s="2" t="s">
        <v>1160</v>
      </c>
      <c r="D810" s="2" t="s">
        <v>434</v>
      </c>
      <c r="E810" s="2" t="s">
        <v>1930</v>
      </c>
      <c r="F810" s="2" t="n">
        <v>113433.577052099</v>
      </c>
      <c r="G810" s="2" t="n">
        <v>0</v>
      </c>
      <c r="H810" s="2" t="n">
        <v>113433.577052099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 customFormat="false" ht="15" hidden="false" customHeight="false" outlineLevel="0" collapsed="false">
      <c r="A811" s="2" t="n">
        <v>3</v>
      </c>
      <c r="B811" s="2" t="s">
        <v>2004</v>
      </c>
      <c r="C811" s="2" t="s">
        <v>2005</v>
      </c>
      <c r="D811" s="2" t="s">
        <v>434</v>
      </c>
      <c r="E811" s="2" t="s">
        <v>1930</v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 customFormat="false" ht="15" hidden="false" customHeight="false" outlineLevel="0" collapsed="false">
      <c r="A812" s="2" t="n">
        <v>4</v>
      </c>
      <c r="B812" s="2" t="s">
        <v>2006</v>
      </c>
      <c r="C812" s="2" t="s">
        <v>1666</v>
      </c>
      <c r="D812" s="2" t="s">
        <v>434</v>
      </c>
      <c r="E812" s="2" t="s">
        <v>1930</v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 customFormat="false" ht="15" hidden="false" customHeight="false" outlineLevel="0" collapsed="false">
      <c r="A813" s="2" t="n">
        <v>4</v>
      </c>
      <c r="B813" s="2" t="s">
        <v>2007</v>
      </c>
      <c r="C813" s="2" t="s">
        <v>1668</v>
      </c>
      <c r="D813" s="2" t="s">
        <v>434</v>
      </c>
      <c r="E813" s="2" t="s">
        <v>1930</v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 customFormat="false" ht="15" hidden="false" customHeight="false" outlineLevel="0" collapsed="false">
      <c r="A814" s="2" t="n">
        <v>4</v>
      </c>
      <c r="B814" s="2" t="s">
        <v>2008</v>
      </c>
      <c r="C814" s="2" t="s">
        <v>2009</v>
      </c>
      <c r="D814" s="2" t="s">
        <v>434</v>
      </c>
      <c r="E814" s="2" t="s">
        <v>1930</v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 customFormat="false" ht="15" hidden="false" customHeight="false" outlineLevel="0" collapsed="false">
      <c r="A815" s="2" t="n">
        <v>1</v>
      </c>
      <c r="B815" s="2" t="s">
        <v>215</v>
      </c>
      <c r="C815" s="2" t="s">
        <v>217</v>
      </c>
      <c r="D815" s="2" t="s">
        <v>2010</v>
      </c>
      <c r="E815" s="2" t="s">
        <v>2011</v>
      </c>
      <c r="F815" s="2" t="n">
        <v>1690544.87722637</v>
      </c>
      <c r="G815" s="2" t="n">
        <v>0</v>
      </c>
      <c r="H815" s="2" t="n">
        <v>1690544.87722637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9.78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69.74</v>
      </c>
      <c r="DK815" s="2" t="n">
        <v>71.51</v>
      </c>
      <c r="DL815" s="2" t="n">
        <v>0</v>
      </c>
      <c r="DM815" s="2" t="n">
        <v>77.18</v>
      </c>
      <c r="DN815" s="2" t="n">
        <v>79.36</v>
      </c>
      <c r="DO815" s="2" t="n">
        <v>0</v>
      </c>
      <c r="DP815" s="2" t="n">
        <v>85.03</v>
      </c>
      <c r="DQ815" s="2" t="n">
        <v>86.85</v>
      </c>
      <c r="DR815" s="2" t="n">
        <v>0</v>
      </c>
      <c r="DS815" s="2" t="n">
        <v>92.65</v>
      </c>
      <c r="DT815" s="2" t="n">
        <v>95.1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 customFormat="false" ht="15" hidden="false" customHeight="false" outlineLevel="0" collapsed="false">
      <c r="A816" s="2" t="n">
        <v>2</v>
      </c>
      <c r="B816" s="2" t="s">
        <v>2012</v>
      </c>
      <c r="C816" s="2" t="s">
        <v>2013</v>
      </c>
      <c r="D816" s="2" t="s">
        <v>2010</v>
      </c>
      <c r="E816" s="2" t="s">
        <v>2011</v>
      </c>
      <c r="F816" s="2" t="n">
        <v>1690544.87722637</v>
      </c>
      <c r="G816" s="2" t="n">
        <v>0</v>
      </c>
      <c r="H816" s="2" t="n">
        <v>1690544.87722637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9.78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69.74</v>
      </c>
      <c r="DK816" s="2" t="n">
        <v>71.51</v>
      </c>
      <c r="DL816" s="2" t="n">
        <v>0</v>
      </c>
      <c r="DM816" s="2" t="n">
        <v>77.18</v>
      </c>
      <c r="DN816" s="2" t="n">
        <v>79.36</v>
      </c>
      <c r="DO816" s="2" t="n">
        <v>0</v>
      </c>
      <c r="DP816" s="2" t="n">
        <v>85.03</v>
      </c>
      <c r="DQ816" s="2" t="n">
        <v>86.85</v>
      </c>
      <c r="DR816" s="2" t="n">
        <v>0</v>
      </c>
      <c r="DS816" s="2" t="n">
        <v>92.65</v>
      </c>
      <c r="DT816" s="2" t="n">
        <v>95.1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 customFormat="false" ht="15" hidden="false" customHeight="false" outlineLevel="0" collapsed="false">
      <c r="A817" s="2" t="n">
        <v>3</v>
      </c>
      <c r="B817" s="2" t="s">
        <v>2014</v>
      </c>
      <c r="C817" s="2" t="s">
        <v>2015</v>
      </c>
      <c r="D817" s="2" t="s">
        <v>2010</v>
      </c>
      <c r="E817" s="2" t="s">
        <v>2011</v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9.78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69.74</v>
      </c>
      <c r="DK817" s="2" t="n">
        <v>71.51</v>
      </c>
      <c r="DL817" s="2" t="n">
        <v>0</v>
      </c>
      <c r="DM817" s="2" t="n">
        <v>77.18</v>
      </c>
      <c r="DN817" s="2" t="n">
        <v>79.36</v>
      </c>
      <c r="DO817" s="2" t="n">
        <v>0</v>
      </c>
      <c r="DP817" s="2" t="n">
        <v>85.03</v>
      </c>
      <c r="DQ817" s="2" t="n">
        <v>86.85</v>
      </c>
      <c r="DR817" s="2" t="n">
        <v>0</v>
      </c>
      <c r="DS817" s="2" t="n">
        <v>92.65</v>
      </c>
      <c r="DT817" s="2" t="n">
        <v>95.1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 customFormat="false" ht="15" hidden="false" customHeight="false" outlineLevel="0" collapsed="false">
      <c r="A818" s="2" t="n">
        <v>3</v>
      </c>
      <c r="B818" s="2" t="s">
        <v>2016</v>
      </c>
      <c r="C818" s="2" t="s">
        <v>2017</v>
      </c>
      <c r="D818" s="2" t="s">
        <v>2010</v>
      </c>
      <c r="E818" s="2" t="s">
        <v>2011</v>
      </c>
      <c r="F818" s="2" t="n">
        <v>453.110929049066</v>
      </c>
      <c r="G818" s="2" t="n">
        <v>0</v>
      </c>
      <c r="H818" s="2" t="n">
        <v>453.110929049066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9.78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69.74</v>
      </c>
      <c r="DK818" s="2" t="n">
        <v>71.51</v>
      </c>
      <c r="DL818" s="2" t="n">
        <v>0</v>
      </c>
      <c r="DM818" s="2" t="n">
        <v>77.18</v>
      </c>
      <c r="DN818" s="2" t="n">
        <v>79.36</v>
      </c>
      <c r="DO818" s="2" t="n">
        <v>0</v>
      </c>
      <c r="DP818" s="2" t="n">
        <v>85.03</v>
      </c>
      <c r="DQ818" s="2" t="n">
        <v>86.85</v>
      </c>
      <c r="DR818" s="2" t="n">
        <v>0</v>
      </c>
      <c r="DS818" s="2" t="n">
        <v>92.65</v>
      </c>
      <c r="DT818" s="2" t="n">
        <v>95.1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 customFormat="false" ht="15" hidden="false" customHeight="false" outlineLevel="0" collapsed="false">
      <c r="A819" s="2" t="n">
        <v>3</v>
      </c>
      <c r="B819" s="2" t="s">
        <v>2018</v>
      </c>
      <c r="C819" s="2" t="s">
        <v>2019</v>
      </c>
      <c r="D819" s="2" t="s">
        <v>2010</v>
      </c>
      <c r="E819" s="2" t="s">
        <v>2011</v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9.78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69.74</v>
      </c>
      <c r="DK819" s="2" t="n">
        <v>71.51</v>
      </c>
      <c r="DL819" s="2" t="n">
        <v>0</v>
      </c>
      <c r="DM819" s="2" t="n">
        <v>77.18</v>
      </c>
      <c r="DN819" s="2" t="n">
        <v>79.36</v>
      </c>
      <c r="DO819" s="2" t="n">
        <v>0</v>
      </c>
      <c r="DP819" s="2" t="n">
        <v>85.03</v>
      </c>
      <c r="DQ819" s="2" t="n">
        <v>86.85</v>
      </c>
      <c r="DR819" s="2" t="n">
        <v>0</v>
      </c>
      <c r="DS819" s="2" t="n">
        <v>92.65</v>
      </c>
      <c r="DT819" s="2" t="n">
        <v>95.1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 customFormat="false" ht="15" hidden="false" customHeight="false" outlineLevel="0" collapsed="false">
      <c r="A820" s="2" t="n">
        <v>3</v>
      </c>
      <c r="B820" s="2" t="s">
        <v>2020</v>
      </c>
      <c r="C820" s="2" t="s">
        <v>2021</v>
      </c>
      <c r="D820" s="2" t="s">
        <v>2010</v>
      </c>
      <c r="E820" s="2" t="s">
        <v>2011</v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9.78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69.74</v>
      </c>
      <c r="DK820" s="2" t="n">
        <v>71.51</v>
      </c>
      <c r="DL820" s="2" t="n">
        <v>0</v>
      </c>
      <c r="DM820" s="2" t="n">
        <v>77.18</v>
      </c>
      <c r="DN820" s="2" t="n">
        <v>79.36</v>
      </c>
      <c r="DO820" s="2" t="n">
        <v>0</v>
      </c>
      <c r="DP820" s="2" t="n">
        <v>85.03</v>
      </c>
      <c r="DQ820" s="2" t="n">
        <v>86.85</v>
      </c>
      <c r="DR820" s="2" t="n">
        <v>0</v>
      </c>
      <c r="DS820" s="2" t="n">
        <v>92.65</v>
      </c>
      <c r="DT820" s="2" t="n">
        <v>95.1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 customFormat="false" ht="15" hidden="false" customHeight="false" outlineLevel="0" collapsed="false">
      <c r="A821" s="2" t="n">
        <v>3</v>
      </c>
      <c r="B821" s="2" t="s">
        <v>2022</v>
      </c>
      <c r="C821" s="2" t="s">
        <v>2023</v>
      </c>
      <c r="D821" s="2" t="s">
        <v>2010</v>
      </c>
      <c r="E821" s="2" t="s">
        <v>2011</v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9.78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69.74</v>
      </c>
      <c r="DK821" s="2" t="n">
        <v>71.51</v>
      </c>
      <c r="DL821" s="2" t="n">
        <v>0</v>
      </c>
      <c r="DM821" s="2" t="n">
        <v>77.18</v>
      </c>
      <c r="DN821" s="2" t="n">
        <v>79.36</v>
      </c>
      <c r="DO821" s="2" t="n">
        <v>0</v>
      </c>
      <c r="DP821" s="2" t="n">
        <v>85.03</v>
      </c>
      <c r="DQ821" s="2" t="n">
        <v>86.85</v>
      </c>
      <c r="DR821" s="2" t="n">
        <v>0</v>
      </c>
      <c r="DS821" s="2" t="n">
        <v>92.65</v>
      </c>
      <c r="DT821" s="2" t="n">
        <v>95.1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 customFormat="false" ht="15" hidden="false" customHeight="false" outlineLevel="0" collapsed="false">
      <c r="A822" s="2" t="n">
        <v>3</v>
      </c>
      <c r="B822" s="2" t="s">
        <v>2024</v>
      </c>
      <c r="C822" s="2" t="s">
        <v>2025</v>
      </c>
      <c r="D822" s="2" t="s">
        <v>2010</v>
      </c>
      <c r="E822" s="2" t="s">
        <v>2011</v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9.78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69.74</v>
      </c>
      <c r="DK822" s="2" t="n">
        <v>71.51</v>
      </c>
      <c r="DL822" s="2" t="n">
        <v>0</v>
      </c>
      <c r="DM822" s="2" t="n">
        <v>77.18</v>
      </c>
      <c r="DN822" s="2" t="n">
        <v>79.36</v>
      </c>
      <c r="DO822" s="2" t="n">
        <v>0</v>
      </c>
      <c r="DP822" s="2" t="n">
        <v>85.03</v>
      </c>
      <c r="DQ822" s="2" t="n">
        <v>86.85</v>
      </c>
      <c r="DR822" s="2" t="n">
        <v>0</v>
      </c>
      <c r="DS822" s="2" t="n">
        <v>92.65</v>
      </c>
      <c r="DT822" s="2" t="n">
        <v>95.1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 customFormat="false" ht="15" hidden="false" customHeight="false" outlineLevel="0" collapsed="false">
      <c r="A823" s="2" t="n">
        <v>1</v>
      </c>
      <c r="B823" s="2" t="s">
        <v>219</v>
      </c>
      <c r="C823" s="2" t="s">
        <v>221</v>
      </c>
      <c r="D823" s="2" t="s">
        <v>1331</v>
      </c>
      <c r="E823" s="2" t="s">
        <v>1446</v>
      </c>
      <c r="F823" s="2" t="n">
        <v>2050613.49696548</v>
      </c>
      <c r="G823" s="2" t="n">
        <v>0</v>
      </c>
      <c r="H823" s="2" t="n">
        <v>2050613.49696548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66.21</v>
      </c>
      <c r="DX823" s="2" t="n">
        <v>0</v>
      </c>
      <c r="DY823" s="2" t="n">
        <v>72.79</v>
      </c>
      <c r="DZ823" s="2" t="n">
        <v>75.18</v>
      </c>
      <c r="EA823" s="2" t="n">
        <v>0</v>
      </c>
      <c r="EB823" s="2" t="n">
        <v>80.93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 customFormat="false" ht="15" hidden="false" customHeight="false" outlineLevel="0" collapsed="false">
      <c r="A824" s="2" t="n">
        <v>2</v>
      </c>
      <c r="B824" s="2" t="s">
        <v>2026</v>
      </c>
      <c r="C824" s="2" t="s">
        <v>2027</v>
      </c>
      <c r="D824" s="2" t="s">
        <v>1331</v>
      </c>
      <c r="E824" s="2" t="s">
        <v>1446</v>
      </c>
      <c r="F824" s="2" t="n">
        <v>759214.824978242</v>
      </c>
      <c r="G824" s="2" t="n">
        <v>0</v>
      </c>
      <c r="H824" s="2" t="n">
        <v>759214.824978242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66.21</v>
      </c>
      <c r="DX824" s="2" t="n">
        <v>0</v>
      </c>
      <c r="DY824" s="2" t="n">
        <v>72.79</v>
      </c>
      <c r="DZ824" s="2" t="n">
        <v>75.18</v>
      </c>
      <c r="EA824" s="2" t="n">
        <v>0</v>
      </c>
      <c r="EB824" s="2" t="n">
        <v>80.93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 customFormat="false" ht="15" hidden="false" customHeight="false" outlineLevel="0" collapsed="false">
      <c r="A825" s="2" t="n">
        <v>3</v>
      </c>
      <c r="B825" s="2" t="s">
        <v>2028</v>
      </c>
      <c r="C825" s="2" t="s">
        <v>2029</v>
      </c>
      <c r="D825" s="2" t="s">
        <v>1331</v>
      </c>
      <c r="E825" s="2" t="s">
        <v>1446</v>
      </c>
      <c r="F825" s="2" t="n">
        <v>414156.843985855</v>
      </c>
      <c r="G825" s="2" t="n">
        <v>0</v>
      </c>
      <c r="H825" s="2" t="n">
        <v>414156.843985855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66.21</v>
      </c>
      <c r="DX825" s="2" t="n">
        <v>0</v>
      </c>
      <c r="DY825" s="2" t="n">
        <v>72.79</v>
      </c>
      <c r="DZ825" s="2" t="n">
        <v>75.18</v>
      </c>
      <c r="EA825" s="2" t="n">
        <v>0</v>
      </c>
      <c r="EB825" s="2" t="n">
        <v>80.93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 customFormat="false" ht="15" hidden="false" customHeight="false" outlineLevel="0" collapsed="false">
      <c r="A826" s="2" t="n">
        <v>3</v>
      </c>
      <c r="B826" s="2" t="s">
        <v>2030</v>
      </c>
      <c r="C826" s="2" t="s">
        <v>2031</v>
      </c>
      <c r="D826" s="2" t="s">
        <v>1331</v>
      </c>
      <c r="E826" s="2" t="s">
        <v>1446</v>
      </c>
      <c r="F826" s="2" t="n">
        <v>84463.8486525359</v>
      </c>
      <c r="G826" s="2" t="n">
        <v>0</v>
      </c>
      <c r="H826" s="2" t="n">
        <v>84463.8486525359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66.21</v>
      </c>
      <c r="DX826" s="2" t="n">
        <v>0</v>
      </c>
      <c r="DY826" s="2" t="n">
        <v>72.79</v>
      </c>
      <c r="DZ826" s="2" t="n">
        <v>75.18</v>
      </c>
      <c r="EA826" s="2" t="n">
        <v>0</v>
      </c>
      <c r="EB826" s="2" t="n">
        <v>80.93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 customFormat="false" ht="15" hidden="false" customHeight="false" outlineLevel="0" collapsed="false">
      <c r="A827" s="2" t="n">
        <v>3</v>
      </c>
      <c r="B827" s="2" t="s">
        <v>2032</v>
      </c>
      <c r="C827" s="2" t="s">
        <v>2033</v>
      </c>
      <c r="D827" s="2" t="s">
        <v>1331</v>
      </c>
      <c r="E827" s="2" t="s">
        <v>1446</v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66.21</v>
      </c>
      <c r="DX827" s="2" t="n">
        <v>0</v>
      </c>
      <c r="DY827" s="2" t="n">
        <v>72.79</v>
      </c>
      <c r="DZ827" s="2" t="n">
        <v>75.18</v>
      </c>
      <c r="EA827" s="2" t="n">
        <v>0</v>
      </c>
      <c r="EB827" s="2" t="n">
        <v>80.93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 customFormat="false" ht="15" hidden="false" customHeight="false" outlineLevel="0" collapsed="false">
      <c r="A828" s="2" t="n">
        <v>3</v>
      </c>
      <c r="B828" s="2" t="s">
        <v>2034</v>
      </c>
      <c r="C828" s="2" t="s">
        <v>2035</v>
      </c>
      <c r="D828" s="2" t="s">
        <v>1331</v>
      </c>
      <c r="E828" s="2" t="s">
        <v>1446</v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66.21</v>
      </c>
      <c r="DX828" s="2" t="n">
        <v>0</v>
      </c>
      <c r="DY828" s="2" t="n">
        <v>72.79</v>
      </c>
      <c r="DZ828" s="2" t="n">
        <v>75.18</v>
      </c>
      <c r="EA828" s="2" t="n">
        <v>0</v>
      </c>
      <c r="EB828" s="2" t="n">
        <v>80.93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 customFormat="false" ht="15" hidden="false" customHeight="false" outlineLevel="0" collapsed="false">
      <c r="A829" s="2" t="n">
        <v>3</v>
      </c>
      <c r="B829" s="2" t="s">
        <v>2036</v>
      </c>
      <c r="C829" s="2" t="s">
        <v>2037</v>
      </c>
      <c r="D829" s="2" t="s">
        <v>1331</v>
      </c>
      <c r="E829" s="2" t="s">
        <v>1446</v>
      </c>
      <c r="F829" s="2" t="n">
        <v>16065.833328911</v>
      </c>
      <c r="G829" s="2" t="n">
        <v>0</v>
      </c>
      <c r="H829" s="2" t="n">
        <v>16065.833328911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66.21</v>
      </c>
      <c r="DX829" s="2" t="n">
        <v>0</v>
      </c>
      <c r="DY829" s="2" t="n">
        <v>72.79</v>
      </c>
      <c r="DZ829" s="2" t="n">
        <v>75.18</v>
      </c>
      <c r="EA829" s="2" t="n">
        <v>0</v>
      </c>
      <c r="EB829" s="2" t="n">
        <v>80.93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 customFormat="false" ht="15" hidden="false" customHeight="false" outlineLevel="0" collapsed="false">
      <c r="A830" s="2" t="n">
        <v>3</v>
      </c>
      <c r="B830" s="2" t="s">
        <v>2038</v>
      </c>
      <c r="C830" s="2" t="s">
        <v>2039</v>
      </c>
      <c r="D830" s="2" t="s">
        <v>1331</v>
      </c>
      <c r="E830" s="2" t="s">
        <v>1446</v>
      </c>
      <c r="F830" s="2" t="n">
        <v>167713.994621288</v>
      </c>
      <c r="G830" s="2" t="n">
        <v>0</v>
      </c>
      <c r="H830" s="2" t="n">
        <v>167713.994621288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66.21</v>
      </c>
      <c r="DX830" s="2" t="n">
        <v>0</v>
      </c>
      <c r="DY830" s="2" t="n">
        <v>72.79</v>
      </c>
      <c r="DZ830" s="2" t="n">
        <v>75.18</v>
      </c>
      <c r="EA830" s="2" t="n">
        <v>0</v>
      </c>
      <c r="EB830" s="2" t="n">
        <v>80.93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 customFormat="false" ht="15" hidden="false" customHeight="false" outlineLevel="0" collapsed="false">
      <c r="A831" s="2" t="n">
        <v>3</v>
      </c>
      <c r="B831" s="2" t="s">
        <v>2040</v>
      </c>
      <c r="C831" s="2" t="s">
        <v>2041</v>
      </c>
      <c r="D831" s="2" t="s">
        <v>1331</v>
      </c>
      <c r="E831" s="2" t="s">
        <v>1446</v>
      </c>
      <c r="F831" s="2" t="n">
        <v>673.550179201959</v>
      </c>
      <c r="G831" s="2" t="n">
        <v>0</v>
      </c>
      <c r="H831" s="2" t="n">
        <v>673.550179201959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66.21</v>
      </c>
      <c r="DX831" s="2" t="n">
        <v>0</v>
      </c>
      <c r="DY831" s="2" t="n">
        <v>72.79</v>
      </c>
      <c r="DZ831" s="2" t="n">
        <v>75.18</v>
      </c>
      <c r="EA831" s="2" t="n">
        <v>0</v>
      </c>
      <c r="EB831" s="2" t="n">
        <v>80.93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 customFormat="false" ht="15" hidden="false" customHeight="false" outlineLevel="0" collapsed="false">
      <c r="A832" s="2" t="n">
        <v>3</v>
      </c>
      <c r="B832" s="2" t="s">
        <v>2042</v>
      </c>
      <c r="C832" s="2" t="s">
        <v>2039</v>
      </c>
      <c r="D832" s="2" t="s">
        <v>1331</v>
      </c>
      <c r="E832" s="2" t="s">
        <v>1446</v>
      </c>
      <c r="F832" s="2" t="n">
        <v>70049.2186370037</v>
      </c>
      <c r="G832" s="2" t="n">
        <v>0</v>
      </c>
      <c r="H832" s="2" t="n">
        <v>70049.2186370037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66.21</v>
      </c>
      <c r="DX832" s="2" t="n">
        <v>0</v>
      </c>
      <c r="DY832" s="2" t="n">
        <v>72.79</v>
      </c>
      <c r="DZ832" s="2" t="n">
        <v>75.18</v>
      </c>
      <c r="EA832" s="2" t="n">
        <v>0</v>
      </c>
      <c r="EB832" s="2" t="n">
        <v>80.93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 customFormat="false" ht="15" hidden="false" customHeight="false" outlineLevel="0" collapsed="false">
      <c r="A833" s="2" t="n">
        <v>2</v>
      </c>
      <c r="B833" s="2" t="s">
        <v>2043</v>
      </c>
      <c r="C833" s="2" t="s">
        <v>2044</v>
      </c>
      <c r="D833" s="2" t="s">
        <v>1331</v>
      </c>
      <c r="E833" s="2" t="s">
        <v>1446</v>
      </c>
      <c r="F833" s="2" t="n">
        <v>575925.024710235</v>
      </c>
      <c r="G833" s="2" t="n">
        <v>0</v>
      </c>
      <c r="H833" s="2" t="n">
        <v>575925.024710235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66.21</v>
      </c>
      <c r="DX833" s="2" t="n">
        <v>0</v>
      </c>
      <c r="DY833" s="2" t="n">
        <v>72.79</v>
      </c>
      <c r="DZ833" s="2" t="n">
        <v>75.18</v>
      </c>
      <c r="EA833" s="2" t="n">
        <v>0</v>
      </c>
      <c r="EB833" s="2" t="n">
        <v>80.93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 customFormat="false" ht="15" hidden="false" customHeight="false" outlineLevel="0" collapsed="false">
      <c r="A834" s="2" t="n">
        <v>3</v>
      </c>
      <c r="B834" s="2" t="s">
        <v>2045</v>
      </c>
      <c r="C834" s="2" t="s">
        <v>2046</v>
      </c>
      <c r="D834" s="2" t="s">
        <v>1331</v>
      </c>
      <c r="E834" s="2" t="s">
        <v>1446</v>
      </c>
      <c r="F834" s="2" t="n">
        <v>694.321146892538</v>
      </c>
      <c r="G834" s="2" t="n">
        <v>0</v>
      </c>
      <c r="H834" s="2" t="n">
        <v>694.321146892538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66.21</v>
      </c>
      <c r="DX834" s="2" t="n">
        <v>0</v>
      </c>
      <c r="DY834" s="2" t="n">
        <v>72.79</v>
      </c>
      <c r="DZ834" s="2" t="n">
        <v>75.18</v>
      </c>
      <c r="EA834" s="2" t="n">
        <v>0</v>
      </c>
      <c r="EB834" s="2" t="n">
        <v>80.93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 customFormat="false" ht="15" hidden="false" customHeight="false" outlineLevel="0" collapsed="false">
      <c r="A835" s="2" t="n">
        <v>3</v>
      </c>
      <c r="B835" s="2" t="s">
        <v>2047</v>
      </c>
      <c r="C835" s="2" t="s">
        <v>2048</v>
      </c>
      <c r="D835" s="2" t="s">
        <v>1331</v>
      </c>
      <c r="E835" s="2" t="s">
        <v>1446</v>
      </c>
      <c r="F835" s="2" t="n">
        <v>18831.7361977344</v>
      </c>
      <c r="G835" s="2" t="n">
        <v>0</v>
      </c>
      <c r="H835" s="2" t="n">
        <v>18831.7361977344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66.21</v>
      </c>
      <c r="DX835" s="2" t="n">
        <v>0</v>
      </c>
      <c r="DY835" s="2" t="n">
        <v>72.79</v>
      </c>
      <c r="DZ835" s="2" t="n">
        <v>75.18</v>
      </c>
      <c r="EA835" s="2" t="n">
        <v>0</v>
      </c>
      <c r="EB835" s="2" t="n">
        <v>80.93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 customFormat="false" ht="15" hidden="false" customHeight="false" outlineLevel="0" collapsed="false">
      <c r="A836" s="2" t="n">
        <v>3</v>
      </c>
      <c r="B836" s="2" t="s">
        <v>2049</v>
      </c>
      <c r="C836" s="2" t="s">
        <v>2050</v>
      </c>
      <c r="D836" s="2" t="s">
        <v>1331</v>
      </c>
      <c r="E836" s="2" t="s">
        <v>1446</v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66.21</v>
      </c>
      <c r="DX836" s="2" t="n">
        <v>0</v>
      </c>
      <c r="DY836" s="2" t="n">
        <v>72.79</v>
      </c>
      <c r="DZ836" s="2" t="n">
        <v>75.18</v>
      </c>
      <c r="EA836" s="2" t="n">
        <v>0</v>
      </c>
      <c r="EB836" s="2" t="n">
        <v>80.93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 customFormat="false" ht="15" hidden="false" customHeight="false" outlineLevel="0" collapsed="false">
      <c r="A837" s="2" t="n">
        <v>3</v>
      </c>
      <c r="B837" s="2" t="s">
        <v>2051</v>
      </c>
      <c r="C837" s="2" t="s">
        <v>2052</v>
      </c>
      <c r="D837" s="2" t="s">
        <v>1331</v>
      </c>
      <c r="E837" s="2" t="s">
        <v>1446</v>
      </c>
      <c r="F837" s="2" t="n">
        <v>2305.92688135523</v>
      </c>
      <c r="G837" s="2" t="n">
        <v>0</v>
      </c>
      <c r="H837" s="2" t="n">
        <v>2305.92688135523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66.21</v>
      </c>
      <c r="DX837" s="2" t="n">
        <v>0</v>
      </c>
      <c r="DY837" s="2" t="n">
        <v>72.79</v>
      </c>
      <c r="DZ837" s="2" t="n">
        <v>75.18</v>
      </c>
      <c r="EA837" s="2" t="n">
        <v>0</v>
      </c>
      <c r="EB837" s="2" t="n">
        <v>80.93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 customFormat="false" ht="15" hidden="false" customHeight="false" outlineLevel="0" collapsed="false">
      <c r="A838" s="2" t="n">
        <v>3</v>
      </c>
      <c r="B838" s="2" t="s">
        <v>2053</v>
      </c>
      <c r="C838" s="2" t="s">
        <v>2054</v>
      </c>
      <c r="D838" s="2" t="s">
        <v>1331</v>
      </c>
      <c r="E838" s="2" t="s">
        <v>1446</v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66.21</v>
      </c>
      <c r="DX838" s="2" t="n">
        <v>0</v>
      </c>
      <c r="DY838" s="2" t="n">
        <v>72.79</v>
      </c>
      <c r="DZ838" s="2" t="n">
        <v>75.18</v>
      </c>
      <c r="EA838" s="2" t="n">
        <v>0</v>
      </c>
      <c r="EB838" s="2" t="n">
        <v>80.93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 customFormat="false" ht="15" hidden="false" customHeight="false" outlineLevel="0" collapsed="false">
      <c r="A839" s="2" t="n">
        <v>3</v>
      </c>
      <c r="B839" s="2" t="s">
        <v>2055</v>
      </c>
      <c r="C839" s="2" t="s">
        <v>2056</v>
      </c>
      <c r="D839" s="2" t="s">
        <v>1331</v>
      </c>
      <c r="E839" s="2" t="s">
        <v>1446</v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66.21</v>
      </c>
      <c r="DX839" s="2" t="n">
        <v>0</v>
      </c>
      <c r="DY839" s="2" t="n">
        <v>72.79</v>
      </c>
      <c r="DZ839" s="2" t="n">
        <v>75.18</v>
      </c>
      <c r="EA839" s="2" t="n">
        <v>0</v>
      </c>
      <c r="EB839" s="2" t="n">
        <v>80.93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 customFormat="false" ht="15" hidden="false" customHeight="false" outlineLevel="0" collapsed="false">
      <c r="A840" s="2" t="n">
        <v>3</v>
      </c>
      <c r="B840" s="2" t="s">
        <v>2057</v>
      </c>
      <c r="C840" s="2" t="s">
        <v>2058</v>
      </c>
      <c r="D840" s="2" t="s">
        <v>1331</v>
      </c>
      <c r="E840" s="2" t="s">
        <v>1446</v>
      </c>
      <c r="F840" s="2" t="n">
        <v>54051.917561792</v>
      </c>
      <c r="G840" s="2" t="n">
        <v>0</v>
      </c>
      <c r="H840" s="2" t="n">
        <v>54051.917561792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66.21</v>
      </c>
      <c r="DX840" s="2" t="n">
        <v>0</v>
      </c>
      <c r="DY840" s="2" t="n">
        <v>72.79</v>
      </c>
      <c r="DZ840" s="2" t="n">
        <v>75.18</v>
      </c>
      <c r="EA840" s="2" t="n">
        <v>0</v>
      </c>
      <c r="EB840" s="2" t="n">
        <v>80.93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 customFormat="false" ht="15" hidden="false" customHeight="false" outlineLevel="0" collapsed="false">
      <c r="A841" s="2" t="n">
        <v>3</v>
      </c>
      <c r="B841" s="2" t="s">
        <v>2059</v>
      </c>
      <c r="C841" s="2" t="s">
        <v>2060</v>
      </c>
      <c r="D841" s="2" t="s">
        <v>1331</v>
      </c>
      <c r="E841" s="2" t="s">
        <v>1446</v>
      </c>
      <c r="F841" s="2" t="n">
        <v>315.550179201959</v>
      </c>
      <c r="G841" s="2" t="n">
        <v>0</v>
      </c>
      <c r="H841" s="2" t="n">
        <v>315.550179201959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66.21</v>
      </c>
      <c r="DX841" s="2" t="n">
        <v>0</v>
      </c>
      <c r="DY841" s="2" t="n">
        <v>72.79</v>
      </c>
      <c r="DZ841" s="2" t="n">
        <v>75.18</v>
      </c>
      <c r="EA841" s="2" t="n">
        <v>0</v>
      </c>
      <c r="EB841" s="2" t="n">
        <v>80.93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 customFormat="false" ht="15" hidden="false" customHeight="false" outlineLevel="0" collapsed="false">
      <c r="A842" s="2" t="n">
        <v>3</v>
      </c>
      <c r="B842" s="2" t="s">
        <v>2061</v>
      </c>
      <c r="C842" s="2" t="s">
        <v>2062</v>
      </c>
      <c r="D842" s="2" t="s">
        <v>1331</v>
      </c>
      <c r="E842" s="2" t="s">
        <v>1446</v>
      </c>
      <c r="F842" s="2" t="n">
        <v>30923.917561792</v>
      </c>
      <c r="G842" s="2" t="n">
        <v>0</v>
      </c>
      <c r="H842" s="2" t="n">
        <v>30923.917561792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66.21</v>
      </c>
      <c r="DX842" s="2" t="n">
        <v>0</v>
      </c>
      <c r="DY842" s="2" t="n">
        <v>72.79</v>
      </c>
      <c r="DZ842" s="2" t="n">
        <v>75.18</v>
      </c>
      <c r="EA842" s="2" t="n">
        <v>0</v>
      </c>
      <c r="EB842" s="2" t="n">
        <v>80.93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 customFormat="false" ht="15" hidden="false" customHeight="false" outlineLevel="0" collapsed="false">
      <c r="A843" s="2" t="n">
        <v>3</v>
      </c>
      <c r="B843" s="2" t="s">
        <v>2063</v>
      </c>
      <c r="C843" s="2" t="s">
        <v>2064</v>
      </c>
      <c r="D843" s="2" t="s">
        <v>1331</v>
      </c>
      <c r="E843" s="2" t="s">
        <v>1446</v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66.21</v>
      </c>
      <c r="DX843" s="2" t="n">
        <v>0</v>
      </c>
      <c r="DY843" s="2" t="n">
        <v>72.79</v>
      </c>
      <c r="DZ843" s="2" t="n">
        <v>75.18</v>
      </c>
      <c r="EA843" s="2" t="n">
        <v>0</v>
      </c>
      <c r="EB843" s="2" t="n">
        <v>80.93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 customFormat="false" ht="15" hidden="false" customHeight="false" outlineLevel="0" collapsed="false">
      <c r="A844" s="2" t="n">
        <v>3</v>
      </c>
      <c r="B844" s="2" t="s">
        <v>2065</v>
      </c>
      <c r="C844" s="2" t="s">
        <v>2066</v>
      </c>
      <c r="D844" s="2" t="s">
        <v>1331</v>
      </c>
      <c r="E844" s="2" t="s">
        <v>1446</v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66.21</v>
      </c>
      <c r="DX844" s="2" t="n">
        <v>0</v>
      </c>
      <c r="DY844" s="2" t="n">
        <v>72.79</v>
      </c>
      <c r="DZ844" s="2" t="n">
        <v>75.18</v>
      </c>
      <c r="EA844" s="2" t="n">
        <v>0</v>
      </c>
      <c r="EB844" s="2" t="n">
        <v>80.93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 customFormat="false" ht="15" hidden="false" customHeight="false" outlineLevel="0" collapsed="false">
      <c r="A845" s="2" t="n">
        <v>3</v>
      </c>
      <c r="B845" s="2" t="s">
        <v>2067</v>
      </c>
      <c r="C845" s="2" t="s">
        <v>2068</v>
      </c>
      <c r="D845" s="2" t="s">
        <v>1331</v>
      </c>
      <c r="E845" s="2" t="s">
        <v>1446</v>
      </c>
      <c r="F845" s="2" t="n">
        <v>119656.994621288</v>
      </c>
      <c r="G845" s="2" t="n">
        <v>0</v>
      </c>
      <c r="H845" s="2" t="n">
        <v>119656.994621288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66.21</v>
      </c>
      <c r="DX845" s="2" t="n">
        <v>0</v>
      </c>
      <c r="DY845" s="2" t="n">
        <v>72.79</v>
      </c>
      <c r="DZ845" s="2" t="n">
        <v>75.18</v>
      </c>
      <c r="EA845" s="2" t="n">
        <v>0</v>
      </c>
      <c r="EB845" s="2" t="n">
        <v>80.93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 customFormat="false" ht="15" hidden="false" customHeight="false" outlineLevel="0" collapsed="false">
      <c r="A846" s="2" t="n">
        <v>3</v>
      </c>
      <c r="B846" s="2" t="s">
        <v>2069</v>
      </c>
      <c r="C846" s="2" t="s">
        <v>2037</v>
      </c>
      <c r="D846" s="2" t="s">
        <v>1331</v>
      </c>
      <c r="E846" s="2" t="s">
        <v>1446</v>
      </c>
      <c r="F846" s="2" t="n">
        <v>16065.833328911</v>
      </c>
      <c r="G846" s="2" t="n">
        <v>0</v>
      </c>
      <c r="H846" s="2" t="n">
        <v>16065.833328911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66.21</v>
      </c>
      <c r="DX846" s="2" t="n">
        <v>0</v>
      </c>
      <c r="DY846" s="2" t="n">
        <v>72.79</v>
      </c>
      <c r="DZ846" s="2" t="n">
        <v>75.18</v>
      </c>
      <c r="EA846" s="2" t="n">
        <v>0</v>
      </c>
      <c r="EB846" s="2" t="n">
        <v>80.93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 customFormat="false" ht="15" hidden="false" customHeight="false" outlineLevel="0" collapsed="false">
      <c r="A847" s="2" t="n">
        <v>3</v>
      </c>
      <c r="B847" s="2" t="s">
        <v>2070</v>
      </c>
      <c r="C847" s="2" t="s">
        <v>2071</v>
      </c>
      <c r="D847" s="2" t="s">
        <v>1331</v>
      </c>
      <c r="E847" s="2" t="s">
        <v>1446</v>
      </c>
      <c r="F847" s="2" t="n">
        <v>53496.5322536992</v>
      </c>
      <c r="G847" s="2" t="n">
        <v>0</v>
      </c>
      <c r="H847" s="2" t="n">
        <v>53496.5322536992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66.21</v>
      </c>
      <c r="DX847" s="2" t="n">
        <v>0</v>
      </c>
      <c r="DY847" s="2" t="n">
        <v>72.79</v>
      </c>
      <c r="DZ847" s="2" t="n">
        <v>75.18</v>
      </c>
      <c r="EA847" s="2" t="n">
        <v>0</v>
      </c>
      <c r="EB847" s="2" t="n">
        <v>80.93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 customFormat="false" ht="15" hidden="false" customHeight="false" outlineLevel="0" collapsed="false">
      <c r="A848" s="2" t="n">
        <v>3</v>
      </c>
      <c r="B848" s="2" t="s">
        <v>2072</v>
      </c>
      <c r="C848" s="2" t="s">
        <v>2073</v>
      </c>
      <c r="D848" s="2" t="s">
        <v>1331</v>
      </c>
      <c r="E848" s="2" t="s">
        <v>1446</v>
      </c>
      <c r="F848" s="2" t="n">
        <v>699.301075211754</v>
      </c>
      <c r="G848" s="2" t="n">
        <v>0</v>
      </c>
      <c r="H848" s="2" t="n">
        <v>699.301075211754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66.21</v>
      </c>
      <c r="DX848" s="2" t="n">
        <v>0</v>
      </c>
      <c r="DY848" s="2" t="n">
        <v>72.79</v>
      </c>
      <c r="DZ848" s="2" t="n">
        <v>75.18</v>
      </c>
      <c r="EA848" s="2" t="n">
        <v>0</v>
      </c>
      <c r="EB848" s="2" t="n">
        <v>80.93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 customFormat="false" ht="15" hidden="false" customHeight="false" outlineLevel="0" collapsed="false">
      <c r="A849" s="2" t="n">
        <v>3</v>
      </c>
      <c r="B849" s="2" t="s">
        <v>2074</v>
      </c>
      <c r="C849" s="2" t="s">
        <v>2075</v>
      </c>
      <c r="D849" s="2" t="s">
        <v>1331</v>
      </c>
      <c r="E849" s="2" t="s">
        <v>1446</v>
      </c>
      <c r="F849" s="2" t="n">
        <v>51201.5322536992</v>
      </c>
      <c r="G849" s="2" t="n">
        <v>0</v>
      </c>
      <c r="H849" s="2" t="n">
        <v>51201.5322536992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66.21</v>
      </c>
      <c r="DX849" s="2" t="n">
        <v>0</v>
      </c>
      <c r="DY849" s="2" t="n">
        <v>72.79</v>
      </c>
      <c r="DZ849" s="2" t="n">
        <v>75.18</v>
      </c>
      <c r="EA849" s="2" t="n">
        <v>0</v>
      </c>
      <c r="EB849" s="2" t="n">
        <v>80.93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 customFormat="false" ht="15" hidden="false" customHeight="false" outlineLevel="0" collapsed="false">
      <c r="A850" s="2" t="n">
        <v>3</v>
      </c>
      <c r="B850" s="2" t="s">
        <v>2076</v>
      </c>
      <c r="C850" s="2" t="s">
        <v>2077</v>
      </c>
      <c r="D850" s="2" t="s">
        <v>1331</v>
      </c>
      <c r="E850" s="2" t="s">
        <v>1446</v>
      </c>
      <c r="F850" s="2" t="n">
        <v>669.301075211754</v>
      </c>
      <c r="G850" s="2" t="n">
        <v>0</v>
      </c>
      <c r="H850" s="2" t="n">
        <v>669.301075211754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66.21</v>
      </c>
      <c r="DX850" s="2" t="n">
        <v>0</v>
      </c>
      <c r="DY850" s="2" t="n">
        <v>72.79</v>
      </c>
      <c r="DZ850" s="2" t="n">
        <v>75.18</v>
      </c>
      <c r="EA850" s="2" t="n">
        <v>0</v>
      </c>
      <c r="EB850" s="2" t="n">
        <v>80.93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 customFormat="false" ht="15" hidden="false" customHeight="false" outlineLevel="0" collapsed="false">
      <c r="A851" s="2" t="n">
        <v>2</v>
      </c>
      <c r="B851" s="2" t="s">
        <v>2078</v>
      </c>
      <c r="C851" s="2" t="s">
        <v>2079</v>
      </c>
      <c r="D851" s="2" t="s">
        <v>1331</v>
      </c>
      <c r="E851" s="2" t="s">
        <v>1446</v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66.21</v>
      </c>
      <c r="DX851" s="2" t="n">
        <v>0</v>
      </c>
      <c r="DY851" s="2" t="n">
        <v>72.79</v>
      </c>
      <c r="DZ851" s="2" t="n">
        <v>75.18</v>
      </c>
      <c r="EA851" s="2" t="n">
        <v>0</v>
      </c>
      <c r="EB851" s="2" t="n">
        <v>80.93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 customFormat="false" ht="15" hidden="false" customHeight="false" outlineLevel="0" collapsed="false">
      <c r="A852" s="2" t="n">
        <v>3</v>
      </c>
      <c r="B852" s="2" t="s">
        <v>2080</v>
      </c>
      <c r="C852" s="2" t="s">
        <v>2081</v>
      </c>
      <c r="D852" s="2" t="s">
        <v>1331</v>
      </c>
      <c r="E852" s="2" t="s">
        <v>1446</v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66.21</v>
      </c>
      <c r="DX852" s="2" t="n">
        <v>0</v>
      </c>
      <c r="DY852" s="2" t="n">
        <v>72.79</v>
      </c>
      <c r="DZ852" s="2" t="n">
        <v>75.18</v>
      </c>
      <c r="EA852" s="2" t="n">
        <v>0</v>
      </c>
      <c r="EB852" s="2" t="n">
        <v>80.93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 customFormat="false" ht="15" hidden="false" customHeight="false" outlineLevel="0" collapsed="false">
      <c r="A853" s="2" t="n">
        <v>3</v>
      </c>
      <c r="B853" s="2" t="s">
        <v>2082</v>
      </c>
      <c r="C853" s="2" t="s">
        <v>2083</v>
      </c>
      <c r="D853" s="2" t="s">
        <v>1331</v>
      </c>
      <c r="E853" s="2" t="s">
        <v>1446</v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66.21</v>
      </c>
      <c r="DX853" s="2" t="n">
        <v>0</v>
      </c>
      <c r="DY853" s="2" t="n">
        <v>72.79</v>
      </c>
      <c r="DZ853" s="2" t="n">
        <v>75.18</v>
      </c>
      <c r="EA853" s="2" t="n">
        <v>0</v>
      </c>
      <c r="EB853" s="2" t="n">
        <v>80.93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 customFormat="false" ht="15" hidden="false" customHeight="false" outlineLevel="0" collapsed="false">
      <c r="A854" s="2" t="n">
        <v>3</v>
      </c>
      <c r="B854" s="2" t="s">
        <v>2084</v>
      </c>
      <c r="C854" s="2" t="s">
        <v>2085</v>
      </c>
      <c r="D854" s="2" t="s">
        <v>1331</v>
      </c>
      <c r="E854" s="2" t="s">
        <v>1446</v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66.21</v>
      </c>
      <c r="DX854" s="2" t="n">
        <v>0</v>
      </c>
      <c r="DY854" s="2" t="n">
        <v>72.79</v>
      </c>
      <c r="DZ854" s="2" t="n">
        <v>75.18</v>
      </c>
      <c r="EA854" s="2" t="n">
        <v>0</v>
      </c>
      <c r="EB854" s="2" t="n">
        <v>80.93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 customFormat="false" ht="15" hidden="false" customHeight="false" outlineLevel="0" collapsed="false">
      <c r="A855" s="2" t="n">
        <v>3</v>
      </c>
      <c r="B855" s="2" t="s">
        <v>2086</v>
      </c>
      <c r="C855" s="2" t="s">
        <v>2087</v>
      </c>
      <c r="D855" s="2" t="s">
        <v>1331</v>
      </c>
      <c r="E855" s="2" t="s">
        <v>1446</v>
      </c>
      <c r="F855" s="2" t="n">
        <v>51039.467740994</v>
      </c>
      <c r="G855" s="2" t="n">
        <v>0</v>
      </c>
      <c r="H855" s="2" t="n">
        <v>51039.467740994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66.21</v>
      </c>
      <c r="DX855" s="2" t="n">
        <v>0</v>
      </c>
      <c r="DY855" s="2" t="n">
        <v>72.79</v>
      </c>
      <c r="DZ855" s="2" t="n">
        <v>75.18</v>
      </c>
      <c r="EA855" s="2" t="n">
        <v>0</v>
      </c>
      <c r="EB855" s="2" t="n">
        <v>80.93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 customFormat="false" ht="15" hidden="false" customHeight="false" outlineLevel="0" collapsed="false">
      <c r="A856" s="2" t="n">
        <v>3</v>
      </c>
      <c r="B856" s="2" t="s">
        <v>2088</v>
      </c>
      <c r="C856" s="2" t="s">
        <v>2089</v>
      </c>
      <c r="D856" s="2" t="s">
        <v>1331</v>
      </c>
      <c r="E856" s="2" t="s">
        <v>1446</v>
      </c>
      <c r="F856" s="2" t="n">
        <v>415.550179201959</v>
      </c>
      <c r="G856" s="2" t="n">
        <v>0</v>
      </c>
      <c r="H856" s="2" t="n">
        <v>415.550179201959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66.21</v>
      </c>
      <c r="DX856" s="2" t="n">
        <v>0</v>
      </c>
      <c r="DY856" s="2" t="n">
        <v>72.79</v>
      </c>
      <c r="DZ856" s="2" t="n">
        <v>75.18</v>
      </c>
      <c r="EA856" s="2" t="n">
        <v>0</v>
      </c>
      <c r="EB856" s="2" t="n">
        <v>80.93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 customFormat="false" ht="15" hidden="false" customHeight="false" outlineLevel="0" collapsed="false">
      <c r="A857" s="2" t="n">
        <v>3</v>
      </c>
      <c r="B857" s="2" t="s">
        <v>2090</v>
      </c>
      <c r="C857" s="2" t="s">
        <v>2091</v>
      </c>
      <c r="D857" s="2" t="s">
        <v>1331</v>
      </c>
      <c r="E857" s="2" t="s">
        <v>1446</v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66.21</v>
      </c>
      <c r="DX857" s="2" t="n">
        <v>0</v>
      </c>
      <c r="DY857" s="2" t="n">
        <v>72.79</v>
      </c>
      <c r="DZ857" s="2" t="n">
        <v>75.18</v>
      </c>
      <c r="EA857" s="2" t="n">
        <v>0</v>
      </c>
      <c r="EB857" s="2" t="n">
        <v>80.93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 customFormat="false" ht="15" hidden="false" customHeight="false" outlineLevel="0" collapsed="false">
      <c r="A858" s="2" t="n">
        <v>3</v>
      </c>
      <c r="B858" s="2" t="s">
        <v>2092</v>
      </c>
      <c r="C858" s="2" t="s">
        <v>2037</v>
      </c>
      <c r="D858" s="2" t="s">
        <v>1331</v>
      </c>
      <c r="E858" s="2" t="s">
        <v>1446</v>
      </c>
      <c r="F858" s="2" t="n">
        <v>3627.7688162057</v>
      </c>
      <c r="G858" s="2" t="n">
        <v>0</v>
      </c>
      <c r="H858" s="2" t="n">
        <v>3627.7688162057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66.21</v>
      </c>
      <c r="DX858" s="2" t="n">
        <v>0</v>
      </c>
      <c r="DY858" s="2" t="n">
        <v>72.79</v>
      </c>
      <c r="DZ858" s="2" t="n">
        <v>75.18</v>
      </c>
      <c r="EA858" s="2" t="n">
        <v>0</v>
      </c>
      <c r="EB858" s="2" t="n">
        <v>80.93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 customFormat="false" ht="15" hidden="false" customHeight="false" outlineLevel="0" collapsed="false">
      <c r="A859" s="2" t="n">
        <v>3</v>
      </c>
      <c r="B859" s="2" t="s">
        <v>2093</v>
      </c>
      <c r="C859" s="2" t="s">
        <v>2094</v>
      </c>
      <c r="D859" s="2" t="s">
        <v>1331</v>
      </c>
      <c r="E859" s="2" t="s">
        <v>1446</v>
      </c>
      <c r="F859" s="2" t="n">
        <v>8562.7688162057</v>
      </c>
      <c r="G859" s="2" t="n">
        <v>0</v>
      </c>
      <c r="H859" s="2" t="n">
        <v>8562.7688162057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66.21</v>
      </c>
      <c r="DX859" s="2" t="n">
        <v>0</v>
      </c>
      <c r="DY859" s="2" t="n">
        <v>72.79</v>
      </c>
      <c r="DZ859" s="2" t="n">
        <v>75.18</v>
      </c>
      <c r="EA859" s="2" t="n">
        <v>0</v>
      </c>
      <c r="EB859" s="2" t="n">
        <v>80.93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 customFormat="false" ht="15" hidden="false" customHeight="false" outlineLevel="0" collapsed="false">
      <c r="A860" s="2" t="n">
        <v>3</v>
      </c>
      <c r="B860" s="2" t="s">
        <v>2095</v>
      </c>
      <c r="C860" s="2" t="s">
        <v>2096</v>
      </c>
      <c r="D860" s="2" t="s">
        <v>1331</v>
      </c>
      <c r="E860" s="2" t="s">
        <v>1446</v>
      </c>
      <c r="F860" s="2" t="n">
        <v>11155.0179201959</v>
      </c>
      <c r="G860" s="2" t="n">
        <v>0</v>
      </c>
      <c r="H860" s="2" t="n">
        <v>11155.0179201959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66.21</v>
      </c>
      <c r="DX860" s="2" t="n">
        <v>0</v>
      </c>
      <c r="DY860" s="2" t="n">
        <v>72.79</v>
      </c>
      <c r="DZ860" s="2" t="n">
        <v>75.18</v>
      </c>
      <c r="EA860" s="2" t="n">
        <v>0</v>
      </c>
      <c r="EB860" s="2" t="n">
        <v>80.93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 customFormat="false" ht="15" hidden="false" customHeight="false" outlineLevel="0" collapsed="false">
      <c r="A861" s="2" t="n">
        <v>3</v>
      </c>
      <c r="B861" s="2" t="s">
        <v>2097</v>
      </c>
      <c r="C861" s="2" t="s">
        <v>2098</v>
      </c>
      <c r="D861" s="2" t="s">
        <v>1331</v>
      </c>
      <c r="E861" s="2" t="s">
        <v>1446</v>
      </c>
      <c r="F861" s="2" t="n">
        <v>557.750896009795</v>
      </c>
      <c r="G861" s="2" t="n">
        <v>0</v>
      </c>
      <c r="H861" s="2" t="n">
        <v>557.750896009795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66.21</v>
      </c>
      <c r="DX861" s="2" t="n">
        <v>0</v>
      </c>
      <c r="DY861" s="2" t="n">
        <v>72.79</v>
      </c>
      <c r="DZ861" s="2" t="n">
        <v>75.18</v>
      </c>
      <c r="EA861" s="2" t="n">
        <v>0</v>
      </c>
      <c r="EB861" s="2" t="n">
        <v>80.93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 customFormat="false" ht="15" hidden="false" customHeight="false" outlineLevel="0" collapsed="false">
      <c r="A862" s="2" t="n">
        <v>2</v>
      </c>
      <c r="B862" s="2" t="s">
        <v>2099</v>
      </c>
      <c r="C862" s="2" t="s">
        <v>2100</v>
      </c>
      <c r="D862" s="2" t="s">
        <v>1331</v>
      </c>
      <c r="E862" s="2" t="s">
        <v>1446</v>
      </c>
      <c r="F862" s="2" t="n">
        <v>145390.412180426</v>
      </c>
      <c r="G862" s="2" t="n">
        <v>0</v>
      </c>
      <c r="H862" s="2" t="n">
        <v>145390.412180426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66.21</v>
      </c>
      <c r="DX862" s="2" t="n">
        <v>0</v>
      </c>
      <c r="DY862" s="2" t="n">
        <v>72.79</v>
      </c>
      <c r="DZ862" s="2" t="n">
        <v>75.18</v>
      </c>
      <c r="EA862" s="2" t="n">
        <v>0</v>
      </c>
      <c r="EB862" s="2" t="n">
        <v>80.93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 customFormat="false" ht="15" hidden="false" customHeight="false" outlineLevel="0" collapsed="false">
      <c r="A863" s="2" t="n">
        <v>3</v>
      </c>
      <c r="B863" s="2" t="s">
        <v>2101</v>
      </c>
      <c r="C863" s="2" t="s">
        <v>2102</v>
      </c>
      <c r="D863" s="2" t="s">
        <v>1331</v>
      </c>
      <c r="E863" s="2" t="s">
        <v>1446</v>
      </c>
      <c r="F863" s="2" t="n">
        <v>102621.736197734</v>
      </c>
      <c r="G863" s="2" t="n">
        <v>0</v>
      </c>
      <c r="H863" s="2" t="n">
        <v>102621.736197734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66.21</v>
      </c>
      <c r="DX863" s="2" t="n">
        <v>0</v>
      </c>
      <c r="DY863" s="2" t="n">
        <v>72.79</v>
      </c>
      <c r="DZ863" s="2" t="n">
        <v>75.18</v>
      </c>
      <c r="EA863" s="2" t="n">
        <v>0</v>
      </c>
      <c r="EB863" s="2" t="n">
        <v>80.93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 customFormat="false" ht="15" hidden="false" customHeight="false" outlineLevel="0" collapsed="false">
      <c r="A864" s="2" t="n">
        <v>3</v>
      </c>
      <c r="B864" s="2" t="s">
        <v>2103</v>
      </c>
      <c r="C864" s="2" t="s">
        <v>2104</v>
      </c>
      <c r="D864" s="2" t="s">
        <v>1331</v>
      </c>
      <c r="E864" s="2" t="s">
        <v>1446</v>
      </c>
      <c r="F864" s="2" t="n">
        <v>444.321146892538</v>
      </c>
      <c r="G864" s="2" t="n">
        <v>0</v>
      </c>
      <c r="H864" s="2" t="n">
        <v>444.321146892538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66.21</v>
      </c>
      <c r="DX864" s="2" t="n">
        <v>0</v>
      </c>
      <c r="DY864" s="2" t="n">
        <v>72.79</v>
      </c>
      <c r="DZ864" s="2" t="n">
        <v>75.18</v>
      </c>
      <c r="EA864" s="2" t="n">
        <v>0</v>
      </c>
      <c r="EB864" s="2" t="n">
        <v>80.93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 customFormat="false" ht="15" hidden="false" customHeight="false" outlineLevel="0" collapsed="false">
      <c r="A865" s="2" t="n">
        <v>3</v>
      </c>
      <c r="B865" s="2" t="s">
        <v>2105</v>
      </c>
      <c r="C865" s="2" t="s">
        <v>2087</v>
      </c>
      <c r="D865" s="2" t="s">
        <v>1331</v>
      </c>
      <c r="E865" s="2" t="s">
        <v>1446</v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66.21</v>
      </c>
      <c r="DX865" s="2" t="n">
        <v>0</v>
      </c>
      <c r="DY865" s="2" t="n">
        <v>72.79</v>
      </c>
      <c r="DZ865" s="2" t="n">
        <v>75.18</v>
      </c>
      <c r="EA865" s="2" t="n">
        <v>0</v>
      </c>
      <c r="EB865" s="2" t="n">
        <v>80.93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 customFormat="false" ht="15" hidden="false" customHeight="false" outlineLevel="0" collapsed="false">
      <c r="A866" s="2" t="n">
        <v>3</v>
      </c>
      <c r="B866" s="2" t="s">
        <v>2106</v>
      </c>
      <c r="C866" s="2" t="s">
        <v>2107</v>
      </c>
      <c r="D866" s="2" t="s">
        <v>1331</v>
      </c>
      <c r="E866" s="2" t="s">
        <v>1446</v>
      </c>
      <c r="F866" s="2" t="n">
        <v>203.100358403918</v>
      </c>
      <c r="G866" s="2" t="n">
        <v>0</v>
      </c>
      <c r="H866" s="2" t="n">
        <v>203.100358403918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66.21</v>
      </c>
      <c r="DX866" s="2" t="n">
        <v>0</v>
      </c>
      <c r="DY866" s="2" t="n">
        <v>72.79</v>
      </c>
      <c r="DZ866" s="2" t="n">
        <v>75.18</v>
      </c>
      <c r="EA866" s="2" t="n">
        <v>0</v>
      </c>
      <c r="EB866" s="2" t="n">
        <v>80.93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 customFormat="false" ht="15" hidden="false" customHeight="false" outlineLevel="0" collapsed="false">
      <c r="A867" s="2" t="n">
        <v>3</v>
      </c>
      <c r="B867" s="2" t="s">
        <v>2108</v>
      </c>
      <c r="C867" s="2" t="s">
        <v>2109</v>
      </c>
      <c r="D867" s="2" t="s">
        <v>1331</v>
      </c>
      <c r="E867" s="2" t="s">
        <v>1446</v>
      </c>
      <c r="F867" s="2" t="n">
        <v>4238.11827859983</v>
      </c>
      <c r="G867" s="2" t="n">
        <v>0</v>
      </c>
      <c r="H867" s="2" t="n">
        <v>4238.11827859983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66.21</v>
      </c>
      <c r="DX867" s="2" t="n">
        <v>0</v>
      </c>
      <c r="DY867" s="2" t="n">
        <v>72.79</v>
      </c>
      <c r="DZ867" s="2" t="n">
        <v>75.18</v>
      </c>
      <c r="EA867" s="2" t="n">
        <v>0</v>
      </c>
      <c r="EB867" s="2" t="n">
        <v>80.93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 customFormat="false" ht="15" hidden="false" customHeight="false" outlineLevel="0" collapsed="false">
      <c r="A868" s="2" t="n">
        <v>3</v>
      </c>
      <c r="B868" s="2" t="s">
        <v>2110</v>
      </c>
      <c r="C868" s="2" t="s">
        <v>2111</v>
      </c>
      <c r="D868" s="2" t="s">
        <v>1331</v>
      </c>
      <c r="E868" s="2" t="s">
        <v>1446</v>
      </c>
      <c r="F868" s="2" t="n">
        <v>11155.0179201959</v>
      </c>
      <c r="G868" s="2" t="n">
        <v>0</v>
      </c>
      <c r="H868" s="2" t="n">
        <v>11155.0179201959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66.21</v>
      </c>
      <c r="DX868" s="2" t="n">
        <v>0</v>
      </c>
      <c r="DY868" s="2" t="n">
        <v>72.79</v>
      </c>
      <c r="DZ868" s="2" t="n">
        <v>75.18</v>
      </c>
      <c r="EA868" s="2" t="n">
        <v>0</v>
      </c>
      <c r="EB868" s="2" t="n">
        <v>80.93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 customFormat="false" ht="15" hidden="false" customHeight="false" outlineLevel="0" collapsed="false">
      <c r="A869" s="2" t="n">
        <v>3</v>
      </c>
      <c r="B869" s="2" t="s">
        <v>2112</v>
      </c>
      <c r="C869" s="2" t="s">
        <v>2098</v>
      </c>
      <c r="D869" s="2" t="s">
        <v>1331</v>
      </c>
      <c r="E869" s="2" t="s">
        <v>1446</v>
      </c>
      <c r="F869" s="2" t="n">
        <v>73.1003584039181</v>
      </c>
      <c r="G869" s="2" t="n">
        <v>0</v>
      </c>
      <c r="H869" s="2" t="n">
        <v>73.1003584039181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66.21</v>
      </c>
      <c r="DX869" s="2" t="n">
        <v>0</v>
      </c>
      <c r="DY869" s="2" t="n">
        <v>72.79</v>
      </c>
      <c r="DZ869" s="2" t="n">
        <v>75.18</v>
      </c>
      <c r="EA869" s="2" t="n">
        <v>0</v>
      </c>
      <c r="EB869" s="2" t="n">
        <v>80.93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 customFormat="false" ht="15" hidden="false" customHeight="false" outlineLevel="0" collapsed="false">
      <c r="A870" s="2" t="n">
        <v>2</v>
      </c>
      <c r="B870" s="2" t="s">
        <v>2113</v>
      </c>
      <c r="C870" s="2" t="s">
        <v>2114</v>
      </c>
      <c r="D870" s="2" t="s">
        <v>1331</v>
      </c>
      <c r="E870" s="2" t="s">
        <v>1446</v>
      </c>
      <c r="F870" s="2" t="n">
        <v>163811.126771711</v>
      </c>
      <c r="G870" s="2" t="n">
        <v>0</v>
      </c>
      <c r="H870" s="2" t="n">
        <v>163811.126771711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66.21</v>
      </c>
      <c r="DX870" s="2" t="n">
        <v>0</v>
      </c>
      <c r="DY870" s="2" t="n">
        <v>72.79</v>
      </c>
      <c r="DZ870" s="2" t="n">
        <v>75.18</v>
      </c>
      <c r="EA870" s="2" t="n">
        <v>0</v>
      </c>
      <c r="EB870" s="2" t="n">
        <v>80.93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 customFormat="false" ht="15" hidden="false" customHeight="false" outlineLevel="0" collapsed="false">
      <c r="A871" s="2" t="n">
        <v>3</v>
      </c>
      <c r="B871" s="2" t="s">
        <v>2115</v>
      </c>
      <c r="C871" s="2" t="s">
        <v>2116</v>
      </c>
      <c r="D871" s="2" t="s">
        <v>1331</v>
      </c>
      <c r="E871" s="2" t="s">
        <v>1446</v>
      </c>
      <c r="F871" s="2" t="n">
        <v>306.550179201959</v>
      </c>
      <c r="G871" s="2" t="n">
        <v>0</v>
      </c>
      <c r="H871" s="2" t="n">
        <v>306.550179201959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66.21</v>
      </c>
      <c r="DX871" s="2" t="n">
        <v>0</v>
      </c>
      <c r="DY871" s="2" t="n">
        <v>72.79</v>
      </c>
      <c r="DZ871" s="2" t="n">
        <v>75.18</v>
      </c>
      <c r="EA871" s="2" t="n">
        <v>0</v>
      </c>
      <c r="EB871" s="2" t="n">
        <v>80.93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 customFormat="false" ht="15" hidden="false" customHeight="false" outlineLevel="0" collapsed="false">
      <c r="A872" s="2" t="n">
        <v>3</v>
      </c>
      <c r="B872" s="2" t="s">
        <v>2117</v>
      </c>
      <c r="C872" s="2" t="s">
        <v>2118</v>
      </c>
      <c r="D872" s="2" t="s">
        <v>1331</v>
      </c>
      <c r="E872" s="2" t="s">
        <v>1446</v>
      </c>
      <c r="F872" s="2" t="n">
        <v>657.750896009795</v>
      </c>
      <c r="G872" s="2" t="n">
        <v>0</v>
      </c>
      <c r="H872" s="2" t="n">
        <v>657.750896009795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66.21</v>
      </c>
      <c r="DX872" s="2" t="n">
        <v>0</v>
      </c>
      <c r="DY872" s="2" t="n">
        <v>72.79</v>
      </c>
      <c r="DZ872" s="2" t="n">
        <v>75.18</v>
      </c>
      <c r="EA872" s="2" t="n">
        <v>0</v>
      </c>
      <c r="EB872" s="2" t="n">
        <v>80.93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 customFormat="false" ht="15" hidden="false" customHeight="false" outlineLevel="0" collapsed="false">
      <c r="A873" s="2" t="n">
        <v>3</v>
      </c>
      <c r="B873" s="2" t="s">
        <v>2119</v>
      </c>
      <c r="C873" s="2" t="s">
        <v>2120</v>
      </c>
      <c r="D873" s="2" t="s">
        <v>1331</v>
      </c>
      <c r="E873" s="2" t="s">
        <v>1446</v>
      </c>
      <c r="F873" s="2" t="n">
        <v>369.301075211754</v>
      </c>
      <c r="G873" s="2" t="n">
        <v>0</v>
      </c>
      <c r="H873" s="2" t="n">
        <v>369.301075211754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66.21</v>
      </c>
      <c r="DX873" s="2" t="n">
        <v>0</v>
      </c>
      <c r="DY873" s="2" t="n">
        <v>72.79</v>
      </c>
      <c r="DZ873" s="2" t="n">
        <v>75.18</v>
      </c>
      <c r="EA873" s="2" t="n">
        <v>0</v>
      </c>
      <c r="EB873" s="2" t="n">
        <v>80.93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 customFormat="false" ht="15" hidden="false" customHeight="false" outlineLevel="0" collapsed="false">
      <c r="A874" s="2" t="n">
        <v>3</v>
      </c>
      <c r="B874" s="2" t="s">
        <v>2121</v>
      </c>
      <c r="C874" s="2" t="s">
        <v>2122</v>
      </c>
      <c r="D874" s="2" t="s">
        <v>1331</v>
      </c>
      <c r="E874" s="2" t="s">
        <v>1446</v>
      </c>
      <c r="F874" s="2" t="n">
        <v>162477.524621288</v>
      </c>
      <c r="G874" s="2" t="n">
        <v>0</v>
      </c>
      <c r="H874" s="2" t="n">
        <v>162477.524621288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66.21</v>
      </c>
      <c r="DX874" s="2" t="n">
        <v>0</v>
      </c>
      <c r="DY874" s="2" t="n">
        <v>72.79</v>
      </c>
      <c r="DZ874" s="2" t="n">
        <v>75.18</v>
      </c>
      <c r="EA874" s="2" t="n">
        <v>0</v>
      </c>
      <c r="EB874" s="2" t="n">
        <v>80.93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 customFormat="false" ht="15" hidden="false" customHeight="false" outlineLevel="0" collapsed="false">
      <c r="A875" s="2" t="n">
        <v>2</v>
      </c>
      <c r="B875" s="2" t="s">
        <v>2123</v>
      </c>
      <c r="C875" s="2" t="s">
        <v>2124</v>
      </c>
      <c r="D875" s="2" t="s">
        <v>1331</v>
      </c>
      <c r="E875" s="2" t="s">
        <v>1446</v>
      </c>
      <c r="F875" s="2" t="n">
        <v>25561.2891175961</v>
      </c>
      <c r="G875" s="2" t="n">
        <v>0</v>
      </c>
      <c r="H875" s="2" t="n">
        <v>25561.2891175961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66.21</v>
      </c>
      <c r="DX875" s="2" t="n">
        <v>0</v>
      </c>
      <c r="DY875" s="2" t="n">
        <v>72.79</v>
      </c>
      <c r="DZ875" s="2" t="n">
        <v>75.18</v>
      </c>
      <c r="EA875" s="2" t="n">
        <v>0</v>
      </c>
      <c r="EB875" s="2" t="n">
        <v>80.93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 customFormat="false" ht="15" hidden="false" customHeight="false" outlineLevel="0" collapsed="false">
      <c r="A876" s="2" t="n">
        <v>3</v>
      </c>
      <c r="B876" s="2" t="s">
        <v>2125</v>
      </c>
      <c r="C876" s="2" t="s">
        <v>2126</v>
      </c>
      <c r="D876" s="2" t="s">
        <v>1331</v>
      </c>
      <c r="E876" s="2" t="s">
        <v>1446</v>
      </c>
      <c r="F876" s="2" t="n">
        <v>8901.79159402301</v>
      </c>
      <c r="G876" s="2" t="n">
        <v>0</v>
      </c>
      <c r="H876" s="2" t="n">
        <v>8901.79159402301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66.21</v>
      </c>
      <c r="DX876" s="2" t="n">
        <v>0</v>
      </c>
      <c r="DY876" s="2" t="n">
        <v>72.79</v>
      </c>
      <c r="DZ876" s="2" t="n">
        <v>75.18</v>
      </c>
      <c r="EA876" s="2" t="n">
        <v>0</v>
      </c>
      <c r="EB876" s="2" t="n">
        <v>80.93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 customFormat="false" ht="15" hidden="false" customHeight="false" outlineLevel="0" collapsed="false">
      <c r="A877" s="2" t="n">
        <v>3</v>
      </c>
      <c r="B877" s="2" t="s">
        <v>2127</v>
      </c>
      <c r="C877" s="2" t="s">
        <v>2128</v>
      </c>
      <c r="D877" s="2" t="s">
        <v>1331</v>
      </c>
      <c r="E877" s="2" t="s">
        <v>1446</v>
      </c>
      <c r="F877" s="2" t="n">
        <v>5029.39044298195</v>
      </c>
      <c r="G877" s="2" t="n">
        <v>0</v>
      </c>
      <c r="H877" s="2" t="n">
        <v>5029.39044298195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66.21</v>
      </c>
      <c r="DX877" s="2" t="n">
        <v>0</v>
      </c>
      <c r="DY877" s="2" t="n">
        <v>72.79</v>
      </c>
      <c r="DZ877" s="2" t="n">
        <v>75.18</v>
      </c>
      <c r="EA877" s="2" t="n">
        <v>0</v>
      </c>
      <c r="EB877" s="2" t="n">
        <v>80.93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 customFormat="false" ht="15" hidden="false" customHeight="false" outlineLevel="0" collapsed="false">
      <c r="A878" s="2" t="n">
        <v>3</v>
      </c>
      <c r="B878" s="2" t="s">
        <v>2129</v>
      </c>
      <c r="C878" s="2" t="s">
        <v>2130</v>
      </c>
      <c r="D878" s="2" t="s">
        <v>1331</v>
      </c>
      <c r="E878" s="2" t="s">
        <v>1446</v>
      </c>
      <c r="F878" s="2" t="n">
        <v>8172.75946984567</v>
      </c>
      <c r="G878" s="2" t="n">
        <v>0</v>
      </c>
      <c r="H878" s="2" t="n">
        <v>8172.75946984567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66.21</v>
      </c>
      <c r="DX878" s="2" t="n">
        <v>0</v>
      </c>
      <c r="DY878" s="2" t="n">
        <v>72.79</v>
      </c>
      <c r="DZ878" s="2" t="n">
        <v>75.18</v>
      </c>
      <c r="EA878" s="2" t="n">
        <v>0</v>
      </c>
      <c r="EB878" s="2" t="n">
        <v>80.93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 customFormat="false" ht="15" hidden="false" customHeight="false" outlineLevel="0" collapsed="false">
      <c r="A879" s="2" t="n">
        <v>3</v>
      </c>
      <c r="B879" s="2" t="s">
        <v>2131</v>
      </c>
      <c r="C879" s="2" t="s">
        <v>2132</v>
      </c>
      <c r="D879" s="2" t="s">
        <v>1331</v>
      </c>
      <c r="E879" s="2" t="s">
        <v>1446</v>
      </c>
      <c r="F879" s="2" t="n">
        <v>3457.34761074549</v>
      </c>
      <c r="G879" s="2" t="n">
        <v>0</v>
      </c>
      <c r="H879" s="2" t="n">
        <v>3457.34761074549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66.21</v>
      </c>
      <c r="DX879" s="2" t="n">
        <v>0</v>
      </c>
      <c r="DY879" s="2" t="n">
        <v>72.79</v>
      </c>
      <c r="DZ879" s="2" t="n">
        <v>75.18</v>
      </c>
      <c r="EA879" s="2" t="n">
        <v>0</v>
      </c>
      <c r="EB879" s="2" t="n">
        <v>80.93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 customFormat="false" ht="15" hidden="false" customHeight="false" outlineLevel="0" collapsed="false">
      <c r="A880" s="2" t="n">
        <v>2</v>
      </c>
      <c r="B880" s="2" t="s">
        <v>2133</v>
      </c>
      <c r="C880" s="2" t="s">
        <v>1600</v>
      </c>
      <c r="D880" s="2" t="s">
        <v>1331</v>
      </c>
      <c r="E880" s="2" t="s">
        <v>1446</v>
      </c>
      <c r="F880" s="2" t="n">
        <v>239592.494838453</v>
      </c>
      <c r="G880" s="2" t="n">
        <v>0</v>
      </c>
      <c r="H880" s="2" t="n">
        <v>239592.494838453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66.21</v>
      </c>
      <c r="DX880" s="2" t="n">
        <v>0</v>
      </c>
      <c r="DY880" s="2" t="n">
        <v>72.79</v>
      </c>
      <c r="DZ880" s="2" t="n">
        <v>75.18</v>
      </c>
      <c r="EA880" s="2" t="n">
        <v>0</v>
      </c>
      <c r="EB880" s="2" t="n">
        <v>80.93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 customFormat="false" ht="15" hidden="false" customHeight="false" outlineLevel="0" collapsed="false">
      <c r="A881" s="2" t="n">
        <v>3</v>
      </c>
      <c r="B881" s="2" t="s">
        <v>2134</v>
      </c>
      <c r="C881" s="2" t="s">
        <v>2135</v>
      </c>
      <c r="D881" s="2" t="s">
        <v>1331</v>
      </c>
      <c r="E881" s="2" t="s">
        <v>1446</v>
      </c>
      <c r="F881" s="2" t="n">
        <v>2201.8548384529</v>
      </c>
      <c r="G881" s="2" t="n">
        <v>0</v>
      </c>
      <c r="H881" s="2" t="n">
        <v>2201.8548384529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66.21</v>
      </c>
      <c r="DX881" s="2" t="n">
        <v>0</v>
      </c>
      <c r="DY881" s="2" t="n">
        <v>72.79</v>
      </c>
      <c r="DZ881" s="2" t="n">
        <v>75.18</v>
      </c>
      <c r="EA881" s="2" t="n">
        <v>0</v>
      </c>
      <c r="EB881" s="2" t="n">
        <v>80.93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 customFormat="false" ht="15" hidden="false" customHeight="false" outlineLevel="0" collapsed="false">
      <c r="A882" s="2" t="n">
        <v>3</v>
      </c>
      <c r="B882" s="2" t="s">
        <v>2136</v>
      </c>
      <c r="C882" s="2" t="s">
        <v>2137</v>
      </c>
      <c r="D882" s="2" t="s">
        <v>1331</v>
      </c>
      <c r="E882" s="2" t="s">
        <v>1446</v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66.21</v>
      </c>
      <c r="DX882" s="2" t="n">
        <v>0</v>
      </c>
      <c r="DY882" s="2" t="n">
        <v>72.79</v>
      </c>
      <c r="DZ882" s="2" t="n">
        <v>75.18</v>
      </c>
      <c r="EA882" s="2" t="n">
        <v>0</v>
      </c>
      <c r="EB882" s="2" t="n">
        <v>80.93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 customFormat="false" ht="15" hidden="false" customHeight="false" outlineLevel="0" collapsed="false">
      <c r="A883" s="2" t="n">
        <v>3</v>
      </c>
      <c r="B883" s="2" t="s">
        <v>2138</v>
      </c>
      <c r="C883" s="2" t="s">
        <v>2139</v>
      </c>
      <c r="D883" s="2" t="s">
        <v>1331</v>
      </c>
      <c r="E883" s="2" t="s">
        <v>1446</v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66.21</v>
      </c>
      <c r="DX883" s="2" t="n">
        <v>0</v>
      </c>
      <c r="DY883" s="2" t="n">
        <v>72.79</v>
      </c>
      <c r="DZ883" s="2" t="n">
        <v>75.18</v>
      </c>
      <c r="EA883" s="2" t="n">
        <v>0</v>
      </c>
      <c r="EB883" s="2" t="n">
        <v>80.93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 customFormat="false" ht="15" hidden="false" customHeight="false" outlineLevel="0" collapsed="false">
      <c r="A884" s="2" t="n">
        <v>3</v>
      </c>
      <c r="B884" s="2" t="s">
        <v>2140</v>
      </c>
      <c r="C884" s="2" t="s">
        <v>2141</v>
      </c>
      <c r="D884" s="2" t="s">
        <v>1331</v>
      </c>
      <c r="E884" s="2" t="s">
        <v>1446</v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66.21</v>
      </c>
      <c r="DX884" s="2" t="n">
        <v>0</v>
      </c>
      <c r="DY884" s="2" t="n">
        <v>72.79</v>
      </c>
      <c r="DZ884" s="2" t="n">
        <v>75.18</v>
      </c>
      <c r="EA884" s="2" t="n">
        <v>0</v>
      </c>
      <c r="EB884" s="2" t="n">
        <v>80.93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 customFormat="false" ht="15" hidden="false" customHeight="false" outlineLevel="0" collapsed="false">
      <c r="A885" s="2" t="n">
        <v>3</v>
      </c>
      <c r="B885" s="2" t="s">
        <v>2142</v>
      </c>
      <c r="C885" s="2" t="s">
        <v>2143</v>
      </c>
      <c r="D885" s="2" t="s">
        <v>1331</v>
      </c>
      <c r="E885" s="2" t="s">
        <v>1446</v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66.21</v>
      </c>
      <c r="DX885" s="2" t="n">
        <v>0</v>
      </c>
      <c r="DY885" s="2" t="n">
        <v>72.79</v>
      </c>
      <c r="DZ885" s="2" t="n">
        <v>75.18</v>
      </c>
      <c r="EA885" s="2" t="n">
        <v>0</v>
      </c>
      <c r="EB885" s="2" t="n">
        <v>80.93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 customFormat="false" ht="15" hidden="false" customHeight="false" outlineLevel="0" collapsed="false">
      <c r="A886" s="2" t="n">
        <v>3</v>
      </c>
      <c r="B886" s="2" t="s">
        <v>2144</v>
      </c>
      <c r="C886" s="2" t="s">
        <v>2145</v>
      </c>
      <c r="D886" s="2" t="s">
        <v>1331</v>
      </c>
      <c r="E886" s="2" t="s">
        <v>1446</v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66.21</v>
      </c>
      <c r="DX886" s="2" t="n">
        <v>0</v>
      </c>
      <c r="DY886" s="2" t="n">
        <v>72.79</v>
      </c>
      <c r="DZ886" s="2" t="n">
        <v>75.18</v>
      </c>
      <c r="EA886" s="2" t="n">
        <v>0</v>
      </c>
      <c r="EB886" s="2" t="n">
        <v>80.93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 customFormat="false" ht="15" hidden="false" customHeight="false" outlineLevel="0" collapsed="false">
      <c r="A887" s="2" t="n">
        <v>3</v>
      </c>
      <c r="B887" s="2" t="s">
        <v>2146</v>
      </c>
      <c r="C887" s="2" t="s">
        <v>2147</v>
      </c>
      <c r="D887" s="2" t="s">
        <v>1331</v>
      </c>
      <c r="E887" s="2" t="s">
        <v>1446</v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66.21</v>
      </c>
      <c r="DX887" s="2" t="n">
        <v>0</v>
      </c>
      <c r="DY887" s="2" t="n">
        <v>72.79</v>
      </c>
      <c r="DZ887" s="2" t="n">
        <v>75.18</v>
      </c>
      <c r="EA887" s="2" t="n">
        <v>0</v>
      </c>
      <c r="EB887" s="2" t="n">
        <v>80.93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 customFormat="false" ht="15" hidden="false" customHeight="false" outlineLevel="0" collapsed="false">
      <c r="A888" s="2" t="n">
        <v>3</v>
      </c>
      <c r="B888" s="2" t="s">
        <v>2148</v>
      </c>
      <c r="C888" s="2" t="s">
        <v>2149</v>
      </c>
      <c r="D888" s="2" t="s">
        <v>1331</v>
      </c>
      <c r="E888" s="2" t="s">
        <v>1446</v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66.21</v>
      </c>
      <c r="DX888" s="2" t="n">
        <v>0</v>
      </c>
      <c r="DY888" s="2" t="n">
        <v>72.79</v>
      </c>
      <c r="DZ888" s="2" t="n">
        <v>75.18</v>
      </c>
      <c r="EA888" s="2" t="n">
        <v>0</v>
      </c>
      <c r="EB888" s="2" t="n">
        <v>80.93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 customFormat="false" ht="15" hidden="false" customHeight="false" outlineLevel="0" collapsed="false">
      <c r="A889" s="2" t="n">
        <v>3</v>
      </c>
      <c r="B889" s="2" t="s">
        <v>2150</v>
      </c>
      <c r="C889" s="2" t="s">
        <v>2151</v>
      </c>
      <c r="D889" s="2" t="s">
        <v>1331</v>
      </c>
      <c r="E889" s="2" t="s">
        <v>1446</v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66.21</v>
      </c>
      <c r="DX889" s="2" t="n">
        <v>0</v>
      </c>
      <c r="DY889" s="2" t="n">
        <v>72.79</v>
      </c>
      <c r="DZ889" s="2" t="n">
        <v>75.18</v>
      </c>
      <c r="EA889" s="2" t="n">
        <v>0</v>
      </c>
      <c r="EB889" s="2" t="n">
        <v>80.93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 customFormat="false" ht="15" hidden="false" customHeight="false" outlineLevel="0" collapsed="false">
      <c r="A890" s="2" t="n">
        <v>3</v>
      </c>
      <c r="B890" s="2" t="s">
        <v>2152</v>
      </c>
      <c r="C890" s="2" t="s">
        <v>2153</v>
      </c>
      <c r="D890" s="2" t="s">
        <v>1331</v>
      </c>
      <c r="E890" s="2" t="s">
        <v>1446</v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66.21</v>
      </c>
      <c r="DX890" s="2" t="n">
        <v>0</v>
      </c>
      <c r="DY890" s="2" t="n">
        <v>72.79</v>
      </c>
      <c r="DZ890" s="2" t="n">
        <v>75.18</v>
      </c>
      <c r="EA890" s="2" t="n">
        <v>0</v>
      </c>
      <c r="EB890" s="2" t="n">
        <v>80.93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 customFormat="false" ht="15" hidden="false" customHeight="false" outlineLevel="0" collapsed="false">
      <c r="A891" s="2" t="n">
        <v>3</v>
      </c>
      <c r="B891" s="2" t="s">
        <v>2154</v>
      </c>
      <c r="C891" s="2" t="s">
        <v>2155</v>
      </c>
      <c r="D891" s="2" t="s">
        <v>1331</v>
      </c>
      <c r="E891" s="2" t="s">
        <v>1446</v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66.21</v>
      </c>
      <c r="DX891" s="2" t="n">
        <v>0</v>
      </c>
      <c r="DY891" s="2" t="n">
        <v>72.79</v>
      </c>
      <c r="DZ891" s="2" t="n">
        <v>75.18</v>
      </c>
      <c r="EA891" s="2" t="n">
        <v>0</v>
      </c>
      <c r="EB891" s="2" t="n">
        <v>80.93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 customFormat="false" ht="15" hidden="false" customHeight="false" outlineLevel="0" collapsed="false">
      <c r="A892" s="2" t="n">
        <v>1</v>
      </c>
      <c r="B892" s="2" t="s">
        <v>223</v>
      </c>
      <c r="C892" s="2" t="s">
        <v>225</v>
      </c>
      <c r="D892" s="2" t="s">
        <v>949</v>
      </c>
      <c r="E892" s="2" t="s">
        <v>2156</v>
      </c>
      <c r="F892" s="2" t="n">
        <v>3676746.93263781</v>
      </c>
      <c r="G892" s="2" t="n">
        <v>0</v>
      </c>
      <c r="H892" s="2" t="n">
        <v>3676746.93263781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</v>
      </c>
      <c r="ED892" s="2" t="n">
        <v>0</v>
      </c>
      <c r="EE892" s="2" t="n">
        <v>78.14</v>
      </c>
      <c r="EF892" s="2" t="n">
        <v>81.96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98.46</v>
      </c>
      <c r="ER892" s="2" t="n">
        <v>98.46</v>
      </c>
      <c r="ES892" s="2" t="n">
        <v>0</v>
      </c>
    </row>
    <row r="893" customFormat="false" ht="15" hidden="false" customHeight="false" outlineLevel="0" collapsed="false">
      <c r="A893" s="2" t="n">
        <v>2</v>
      </c>
      <c r="B893" s="2" t="s">
        <v>2157</v>
      </c>
      <c r="C893" s="2" t="s">
        <v>2158</v>
      </c>
      <c r="D893" s="2" t="s">
        <v>2159</v>
      </c>
      <c r="E893" s="2" t="s">
        <v>2156</v>
      </c>
      <c r="F893" s="2" t="n">
        <v>2249424.42009264</v>
      </c>
      <c r="G893" s="2" t="n">
        <v>0</v>
      </c>
      <c r="H893" s="2" t="n">
        <v>2249424.42009264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8.86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</v>
      </c>
      <c r="EA893" s="2" t="n">
        <v>0</v>
      </c>
      <c r="EB893" s="2" t="n">
        <v>76.32</v>
      </c>
      <c r="EC893" s="2" t="n">
        <v>78.27</v>
      </c>
      <c r="ED893" s="2" t="n">
        <v>0</v>
      </c>
      <c r="EE893" s="2" t="n">
        <v>82.22</v>
      </c>
      <c r="EF893" s="2" t="n">
        <v>84.26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96.85</v>
      </c>
      <c r="EM893" s="2" t="n">
        <v>0</v>
      </c>
      <c r="EN893" s="2" t="n">
        <v>99.82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 customFormat="false" ht="15" hidden="false" customHeight="false" outlineLevel="0" collapsed="false">
      <c r="A894" s="2" t="n">
        <v>3</v>
      </c>
      <c r="B894" s="2" t="s">
        <v>2160</v>
      </c>
      <c r="C894" s="2" t="s">
        <v>1808</v>
      </c>
      <c r="D894" s="2" t="s">
        <v>2159</v>
      </c>
      <c r="E894" s="2" t="s">
        <v>2156</v>
      </c>
      <c r="F894" s="2" t="n">
        <v>553494.836813028</v>
      </c>
      <c r="G894" s="2" t="n">
        <v>0</v>
      </c>
      <c r="H894" s="2" t="n">
        <v>553494.836813028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8.86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</v>
      </c>
      <c r="EA894" s="2" t="n">
        <v>0</v>
      </c>
      <c r="EB894" s="2" t="n">
        <v>76.32</v>
      </c>
      <c r="EC894" s="2" t="n">
        <v>78.27</v>
      </c>
      <c r="ED894" s="2" t="n">
        <v>0</v>
      </c>
      <c r="EE894" s="2" t="n">
        <v>82.22</v>
      </c>
      <c r="EF894" s="2" t="n">
        <v>84.26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96.85</v>
      </c>
      <c r="EM894" s="2" t="n">
        <v>0</v>
      </c>
      <c r="EN894" s="2" t="n">
        <v>99.82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 customFormat="false" ht="15" hidden="false" customHeight="false" outlineLevel="0" collapsed="false">
      <c r="A895" s="2" t="n">
        <v>3</v>
      </c>
      <c r="B895" s="2" t="s">
        <v>2161</v>
      </c>
      <c r="C895" s="2" t="s">
        <v>1808</v>
      </c>
      <c r="D895" s="2" t="s">
        <v>2159</v>
      </c>
      <c r="E895" s="2" t="s">
        <v>2156</v>
      </c>
      <c r="F895" s="2" t="n">
        <v>553494.836813028</v>
      </c>
      <c r="G895" s="2" t="n">
        <v>0</v>
      </c>
      <c r="H895" s="2" t="n">
        <v>553494.836813028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8.86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</v>
      </c>
      <c r="EA895" s="2" t="n">
        <v>0</v>
      </c>
      <c r="EB895" s="2" t="n">
        <v>76.32</v>
      </c>
      <c r="EC895" s="2" t="n">
        <v>78.27</v>
      </c>
      <c r="ED895" s="2" t="n">
        <v>0</v>
      </c>
      <c r="EE895" s="2" t="n">
        <v>82.22</v>
      </c>
      <c r="EF895" s="2" t="n">
        <v>84.26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96.85</v>
      </c>
      <c r="EM895" s="2" t="n">
        <v>0</v>
      </c>
      <c r="EN895" s="2" t="n">
        <v>99.82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 customFormat="false" ht="15" hidden="false" customHeight="false" outlineLevel="0" collapsed="false">
      <c r="A896" s="2" t="n">
        <v>3</v>
      </c>
      <c r="B896" s="2" t="s">
        <v>2162</v>
      </c>
      <c r="C896" s="2" t="s">
        <v>2163</v>
      </c>
      <c r="D896" s="2" t="s">
        <v>2159</v>
      </c>
      <c r="E896" s="2" t="s">
        <v>2156</v>
      </c>
      <c r="F896" s="2" t="n">
        <v>65171.2591944181</v>
      </c>
      <c r="G896" s="2" t="n">
        <v>0</v>
      </c>
      <c r="H896" s="2" t="n">
        <v>65171.2591944181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8.86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</v>
      </c>
      <c r="EA896" s="2" t="n">
        <v>0</v>
      </c>
      <c r="EB896" s="2" t="n">
        <v>76.32</v>
      </c>
      <c r="EC896" s="2" t="n">
        <v>78.27</v>
      </c>
      <c r="ED896" s="2" t="n">
        <v>0</v>
      </c>
      <c r="EE896" s="2" t="n">
        <v>82.22</v>
      </c>
      <c r="EF896" s="2" t="n">
        <v>84.26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96.85</v>
      </c>
      <c r="EM896" s="2" t="n">
        <v>0</v>
      </c>
      <c r="EN896" s="2" t="n">
        <v>99.82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 customFormat="false" ht="15" hidden="false" customHeight="false" outlineLevel="0" collapsed="false">
      <c r="A897" s="2" t="n">
        <v>3</v>
      </c>
      <c r="B897" s="2" t="s">
        <v>2164</v>
      </c>
      <c r="C897" s="2" t="s">
        <v>2165</v>
      </c>
      <c r="D897" s="2" t="s">
        <v>2159</v>
      </c>
      <c r="E897" s="2" t="s">
        <v>2156</v>
      </c>
      <c r="F897" s="2" t="n">
        <v>267773.268185259</v>
      </c>
      <c r="G897" s="2" t="n">
        <v>0</v>
      </c>
      <c r="H897" s="2" t="n">
        <v>267773.268185259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8.86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</v>
      </c>
      <c r="EA897" s="2" t="n">
        <v>0</v>
      </c>
      <c r="EB897" s="2" t="n">
        <v>76.32</v>
      </c>
      <c r="EC897" s="2" t="n">
        <v>78.27</v>
      </c>
      <c r="ED897" s="2" t="n">
        <v>0</v>
      </c>
      <c r="EE897" s="2" t="n">
        <v>82.22</v>
      </c>
      <c r="EF897" s="2" t="n">
        <v>84.26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96.85</v>
      </c>
      <c r="EM897" s="2" t="n">
        <v>0</v>
      </c>
      <c r="EN897" s="2" t="n">
        <v>99.82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 customFormat="false" ht="15" hidden="false" customHeight="false" outlineLevel="0" collapsed="false">
      <c r="A898" s="2" t="n">
        <v>3</v>
      </c>
      <c r="B898" s="2" t="s">
        <v>2166</v>
      </c>
      <c r="C898" s="2" t="s">
        <v>2167</v>
      </c>
      <c r="D898" s="2" t="s">
        <v>2159</v>
      </c>
      <c r="E898" s="2" t="s">
        <v>2156</v>
      </c>
      <c r="F898" s="2" t="n">
        <v>461539.426822117</v>
      </c>
      <c r="G898" s="2" t="n">
        <v>0</v>
      </c>
      <c r="H898" s="2" t="n">
        <v>461539.426822117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8.86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</v>
      </c>
      <c r="EA898" s="2" t="n">
        <v>0</v>
      </c>
      <c r="EB898" s="2" t="n">
        <v>76.32</v>
      </c>
      <c r="EC898" s="2" t="n">
        <v>78.27</v>
      </c>
      <c r="ED898" s="2" t="n">
        <v>0</v>
      </c>
      <c r="EE898" s="2" t="n">
        <v>82.22</v>
      </c>
      <c r="EF898" s="2" t="n">
        <v>84.26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96.85</v>
      </c>
      <c r="EM898" s="2" t="n">
        <v>0</v>
      </c>
      <c r="EN898" s="2" t="n">
        <v>99.82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 customFormat="false" ht="15" hidden="false" customHeight="false" outlineLevel="0" collapsed="false">
      <c r="A899" s="2" t="n">
        <v>3</v>
      </c>
      <c r="B899" s="2" t="s">
        <v>2168</v>
      </c>
      <c r="C899" s="2" t="s">
        <v>2169</v>
      </c>
      <c r="D899" s="2" t="s">
        <v>2159</v>
      </c>
      <c r="E899" s="2" t="s">
        <v>2156</v>
      </c>
      <c r="F899" s="2" t="n">
        <v>51391.6537527863</v>
      </c>
      <c r="G899" s="2" t="n">
        <v>0</v>
      </c>
      <c r="H899" s="2" t="n">
        <v>51391.6537527863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8.86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</v>
      </c>
      <c r="EA899" s="2" t="n">
        <v>0</v>
      </c>
      <c r="EB899" s="2" t="n">
        <v>76.32</v>
      </c>
      <c r="EC899" s="2" t="n">
        <v>78.27</v>
      </c>
      <c r="ED899" s="2" t="n">
        <v>0</v>
      </c>
      <c r="EE899" s="2" t="n">
        <v>82.22</v>
      </c>
      <c r="EF899" s="2" t="n">
        <v>84.26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96.85</v>
      </c>
      <c r="EM899" s="2" t="n">
        <v>0</v>
      </c>
      <c r="EN899" s="2" t="n">
        <v>99.82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 customFormat="false" ht="15" hidden="false" customHeight="false" outlineLevel="0" collapsed="false">
      <c r="A900" s="2" t="n">
        <v>3</v>
      </c>
      <c r="B900" s="2" t="s">
        <v>2170</v>
      </c>
      <c r="C900" s="2" t="s">
        <v>2171</v>
      </c>
      <c r="D900" s="2" t="s">
        <v>2159</v>
      </c>
      <c r="E900" s="2" t="s">
        <v>2156</v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8.86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</v>
      </c>
      <c r="EA900" s="2" t="n">
        <v>0</v>
      </c>
      <c r="EB900" s="2" t="n">
        <v>76.32</v>
      </c>
      <c r="EC900" s="2" t="n">
        <v>78.27</v>
      </c>
      <c r="ED900" s="2" t="n">
        <v>0</v>
      </c>
      <c r="EE900" s="2" t="n">
        <v>82.22</v>
      </c>
      <c r="EF900" s="2" t="n">
        <v>84.26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96.85</v>
      </c>
      <c r="EM900" s="2" t="n">
        <v>0</v>
      </c>
      <c r="EN900" s="2" t="n">
        <v>99.82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 customFormat="false" ht="15" hidden="false" customHeight="false" outlineLevel="0" collapsed="false">
      <c r="A901" s="2" t="n">
        <v>3</v>
      </c>
      <c r="B901" s="2" t="s">
        <v>2172</v>
      </c>
      <c r="C901" s="2" t="s">
        <v>2173</v>
      </c>
      <c r="D901" s="2" t="s">
        <v>2159</v>
      </c>
      <c r="E901" s="2" t="s">
        <v>2156</v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8.86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</v>
      </c>
      <c r="EA901" s="2" t="n">
        <v>0</v>
      </c>
      <c r="EB901" s="2" t="n">
        <v>76.32</v>
      </c>
      <c r="EC901" s="2" t="n">
        <v>78.27</v>
      </c>
      <c r="ED901" s="2" t="n">
        <v>0</v>
      </c>
      <c r="EE901" s="2" t="n">
        <v>82.22</v>
      </c>
      <c r="EF901" s="2" t="n">
        <v>84.26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96.85</v>
      </c>
      <c r="EM901" s="2" t="n">
        <v>0</v>
      </c>
      <c r="EN901" s="2" t="n">
        <v>99.82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 customFormat="false" ht="15" hidden="false" customHeight="false" outlineLevel="0" collapsed="false">
      <c r="A902" s="2" t="n">
        <v>2</v>
      </c>
      <c r="B902" s="2" t="s">
        <v>2174</v>
      </c>
      <c r="C902" s="2" t="s">
        <v>2175</v>
      </c>
      <c r="D902" s="2" t="s">
        <v>2176</v>
      </c>
      <c r="E902" s="2" t="s">
        <v>2177</v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70.57</v>
      </c>
      <c r="EC902" s="2" t="n">
        <v>82.91</v>
      </c>
      <c r="ED902" s="2" t="n">
        <v>0</v>
      </c>
      <c r="EE902" s="2" t="n">
        <v>78.17</v>
      </c>
      <c r="EF902" s="2" t="n">
        <v>90.51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 customFormat="false" ht="15" hidden="false" customHeight="false" outlineLevel="0" collapsed="false">
      <c r="A903" s="2" t="n">
        <v>3</v>
      </c>
      <c r="B903" s="2" t="s">
        <v>2178</v>
      </c>
      <c r="C903" s="2" t="s">
        <v>2179</v>
      </c>
      <c r="D903" s="2" t="s">
        <v>2180</v>
      </c>
      <c r="E903" s="2" t="s">
        <v>1442</v>
      </c>
      <c r="F903" s="2" t="n">
        <v>56263.5590914807</v>
      </c>
      <c r="G903" s="2" t="n">
        <v>0</v>
      </c>
      <c r="H903" s="2" t="n">
        <v>56263.5590914807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 customFormat="false" ht="15" hidden="false" customHeight="false" outlineLevel="0" collapsed="false">
      <c r="A904" s="2" t="n">
        <v>3</v>
      </c>
      <c r="B904" s="2" t="s">
        <v>2181</v>
      </c>
      <c r="C904" s="2" t="s">
        <v>2182</v>
      </c>
      <c r="D904" s="2" t="s">
        <v>2176</v>
      </c>
      <c r="E904" s="2" t="s">
        <v>2177</v>
      </c>
      <c r="F904" s="2" t="n">
        <v>205944.008066164</v>
      </c>
      <c r="G904" s="2" t="n">
        <v>0</v>
      </c>
      <c r="H904" s="2" t="n">
        <v>205944.008066164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78.24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 customFormat="false" ht="15" hidden="false" customHeight="false" outlineLevel="0" collapsed="false">
      <c r="A905" s="2" t="n">
        <v>2</v>
      </c>
      <c r="B905" s="2" t="s">
        <v>2183</v>
      </c>
      <c r="C905" s="2" t="s">
        <v>2184</v>
      </c>
      <c r="D905" s="2" t="s">
        <v>2176</v>
      </c>
      <c r="E905" s="2" t="s">
        <v>2185</v>
      </c>
      <c r="F905" s="2" t="n">
        <v>170242.556070503</v>
      </c>
      <c r="G905" s="2" t="n">
        <v>0</v>
      </c>
      <c r="H905" s="2" t="n">
        <v>170242.556070503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 customFormat="false" ht="15" hidden="false" customHeight="false" outlineLevel="0" collapsed="false">
      <c r="A906" s="2" t="n">
        <v>3</v>
      </c>
      <c r="B906" s="2" t="s">
        <v>2186</v>
      </c>
      <c r="C906" s="2" t="s">
        <v>2187</v>
      </c>
      <c r="D906" s="2" t="s">
        <v>2176</v>
      </c>
      <c r="E906" s="2" t="s">
        <v>2185</v>
      </c>
      <c r="F906" s="2" t="n">
        <v>135146.813370503</v>
      </c>
      <c r="G906" s="2" t="n">
        <v>0</v>
      </c>
      <c r="H906" s="2" t="n">
        <v>135146.813370503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 customFormat="false" ht="15" hidden="false" customHeight="false" outlineLevel="0" collapsed="false">
      <c r="A907" s="2" t="n">
        <v>3</v>
      </c>
      <c r="B907" s="2" t="s">
        <v>2188</v>
      </c>
      <c r="C907" s="2" t="s">
        <v>2189</v>
      </c>
      <c r="D907" s="2" t="s">
        <v>2176</v>
      </c>
      <c r="E907" s="2" t="s">
        <v>2185</v>
      </c>
      <c r="F907" s="2" t="n">
        <v>30991.3242</v>
      </c>
      <c r="G907" s="2" t="n">
        <v>0</v>
      </c>
      <c r="H907" s="2" t="n">
        <v>30991.3242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 customFormat="false" ht="15" hidden="false" customHeight="false" outlineLevel="0" collapsed="false">
      <c r="A908" s="2" t="n">
        <v>3</v>
      </c>
      <c r="B908" s="2" t="s">
        <v>2190</v>
      </c>
      <c r="C908" s="2" t="s">
        <v>2191</v>
      </c>
      <c r="D908" s="2" t="s">
        <v>2176</v>
      </c>
      <c r="E908" s="2" t="s">
        <v>2185</v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 customFormat="false" ht="15" hidden="false" customHeight="false" outlineLevel="0" collapsed="false">
      <c r="A909" s="2" t="n">
        <v>2</v>
      </c>
      <c r="B909" s="2" t="s">
        <v>2192</v>
      </c>
      <c r="C909" s="2" t="s">
        <v>2193</v>
      </c>
      <c r="D909" s="2" t="s">
        <v>1461</v>
      </c>
      <c r="E909" s="2" t="s">
        <v>2194</v>
      </c>
      <c r="F909" s="2" t="n">
        <v>121225.172471232</v>
      </c>
      <c r="G909" s="2" t="n">
        <v>0</v>
      </c>
      <c r="H909" s="2" t="n">
        <v>121225.172471232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</v>
      </c>
      <c r="EG909" s="2" t="n">
        <v>0</v>
      </c>
      <c r="EH909" s="2" t="n">
        <v>66.46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 customFormat="false" ht="15" hidden="false" customHeight="false" outlineLevel="0" collapsed="false">
      <c r="A910" s="2" t="n">
        <v>3</v>
      </c>
      <c r="B910" s="2" t="s">
        <v>2195</v>
      </c>
      <c r="C910" s="2" t="s">
        <v>2196</v>
      </c>
      <c r="D910" s="2" t="s">
        <v>1461</v>
      </c>
      <c r="E910" s="2" t="s">
        <v>2194</v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</v>
      </c>
      <c r="EG910" s="2" t="n">
        <v>0</v>
      </c>
      <c r="EH910" s="2" t="n">
        <v>66.46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 customFormat="false" ht="15" hidden="false" customHeight="false" outlineLevel="0" collapsed="false">
      <c r="A911" s="2" t="n">
        <v>3</v>
      </c>
      <c r="B911" s="2" t="s">
        <v>2197</v>
      </c>
      <c r="C911" s="2" t="s">
        <v>2198</v>
      </c>
      <c r="D911" s="2" t="s">
        <v>1461</v>
      </c>
      <c r="E911" s="2" t="s">
        <v>2194</v>
      </c>
      <c r="F911" s="2" t="n">
        <v>38106.4224712322</v>
      </c>
      <c r="G911" s="2" t="n">
        <v>0</v>
      </c>
      <c r="H911" s="2" t="n">
        <v>38106.4224712322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</v>
      </c>
      <c r="EG911" s="2" t="n">
        <v>0</v>
      </c>
      <c r="EH911" s="2" t="n">
        <v>66.46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 customFormat="false" ht="15" hidden="false" customHeight="false" outlineLevel="0" collapsed="false">
      <c r="A912" s="2" t="n">
        <v>2</v>
      </c>
      <c r="B912" s="2" t="s">
        <v>2199</v>
      </c>
      <c r="C912" s="2" t="s">
        <v>2200</v>
      </c>
      <c r="D912" s="2" t="s">
        <v>1461</v>
      </c>
      <c r="E912" s="2" t="s">
        <v>1521</v>
      </c>
      <c r="F912" s="2" t="n">
        <v>46607.9987841015</v>
      </c>
      <c r="G912" s="2" t="n">
        <v>0</v>
      </c>
      <c r="H912" s="2" t="n">
        <v>46607.9987841015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73.74</v>
      </c>
      <c r="DU912" s="2" t="n">
        <v>0</v>
      </c>
      <c r="DV912" s="2" t="n">
        <v>81.82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 customFormat="false" ht="15" hidden="false" customHeight="false" outlineLevel="0" collapsed="false">
      <c r="A913" s="2" t="n">
        <v>3</v>
      </c>
      <c r="B913" s="2" t="s">
        <v>2201</v>
      </c>
      <c r="C913" s="2" t="s">
        <v>2202</v>
      </c>
      <c r="D913" s="2" t="s">
        <v>1461</v>
      </c>
      <c r="E913" s="2" t="s">
        <v>1521</v>
      </c>
      <c r="F913" s="2" t="n">
        <v>46607.9987841015</v>
      </c>
      <c r="G913" s="2" t="n">
        <v>0</v>
      </c>
      <c r="H913" s="2" t="n">
        <v>46607.9987841015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73.74</v>
      </c>
      <c r="DU913" s="2" t="n">
        <v>0</v>
      </c>
      <c r="DV913" s="2" t="n">
        <v>81.82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 customFormat="false" ht="15" hidden="false" customHeight="false" outlineLevel="0" collapsed="false">
      <c r="A914" s="2" t="n">
        <v>2</v>
      </c>
      <c r="B914" s="2" t="s">
        <v>2203</v>
      </c>
      <c r="C914" s="2" t="s">
        <v>2204</v>
      </c>
      <c r="D914" s="2" t="s">
        <v>949</v>
      </c>
      <c r="E914" s="2" t="s">
        <v>2205</v>
      </c>
      <c r="F914" s="2" t="n">
        <v>551081.820587944</v>
      </c>
      <c r="G914" s="2" t="n">
        <v>0</v>
      </c>
      <c r="H914" s="2" t="n">
        <v>551081.820587944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</v>
      </c>
      <c r="BV914" s="2" t="n">
        <v>0</v>
      </c>
      <c r="BW914" s="2" t="n">
        <v>92.75</v>
      </c>
      <c r="BX914" s="2" t="n">
        <v>94.82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 customFormat="false" ht="15" hidden="false" customHeight="false" outlineLevel="0" collapsed="false">
      <c r="A915" s="2" t="n">
        <v>3</v>
      </c>
      <c r="B915" s="2" t="s">
        <v>2206</v>
      </c>
      <c r="C915" s="2" t="s">
        <v>1990</v>
      </c>
      <c r="D915" s="2" t="s">
        <v>949</v>
      </c>
      <c r="E915" s="2" t="s">
        <v>2205</v>
      </c>
      <c r="F915" s="2" t="n">
        <v>551081.820587944</v>
      </c>
      <c r="G915" s="2" t="n">
        <v>0</v>
      </c>
      <c r="H915" s="2" t="n">
        <v>551081.820587944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</v>
      </c>
      <c r="BV915" s="2" t="n">
        <v>0</v>
      </c>
      <c r="BW915" s="2" t="n">
        <v>92.75</v>
      </c>
      <c r="BX915" s="2" t="n">
        <v>94.82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 customFormat="false" ht="15" hidden="false" customHeight="false" outlineLevel="0" collapsed="false">
      <c r="A916" s="2" t="n">
        <v>2</v>
      </c>
      <c r="B916" s="2" t="s">
        <v>2207</v>
      </c>
      <c r="C916" s="2" t="s">
        <v>2208</v>
      </c>
      <c r="D916" s="2" t="s">
        <v>2209</v>
      </c>
      <c r="E916" s="2" t="s">
        <v>2185</v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</v>
      </c>
      <c r="EJ916" s="2" t="n">
        <v>0</v>
      </c>
      <c r="EK916" s="2" t="n">
        <v>69.18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 customFormat="false" ht="15" hidden="false" customHeight="false" outlineLevel="0" collapsed="false">
      <c r="A917" s="2" t="n">
        <v>3</v>
      </c>
      <c r="B917" s="2" t="s">
        <v>2210</v>
      </c>
      <c r="C917" s="2" t="s">
        <v>2211</v>
      </c>
      <c r="D917" s="2" t="s">
        <v>2209</v>
      </c>
      <c r="E917" s="2" t="s">
        <v>2185</v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</v>
      </c>
      <c r="EJ917" s="2" t="n">
        <v>0</v>
      </c>
      <c r="EK917" s="2" t="n">
        <v>69.18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 customFormat="false" ht="15" hidden="false" customHeight="false" outlineLevel="0" collapsed="false">
      <c r="A918" s="2" t="n">
        <v>3</v>
      </c>
      <c r="B918" s="2" t="s">
        <v>2212</v>
      </c>
      <c r="C918" s="2" t="s">
        <v>2213</v>
      </c>
      <c r="D918" s="2" t="s">
        <v>2209</v>
      </c>
      <c r="E918" s="2" t="s">
        <v>2185</v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</v>
      </c>
      <c r="EJ918" s="2" t="n">
        <v>0</v>
      </c>
      <c r="EK918" s="2" t="n">
        <v>69.18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 customFormat="false" ht="15" hidden="false" customHeight="false" outlineLevel="0" collapsed="false">
      <c r="A919" s="2" t="n">
        <v>1</v>
      </c>
      <c r="B919" s="2" t="s">
        <v>227</v>
      </c>
      <c r="C919" s="2" t="s">
        <v>228</v>
      </c>
      <c r="D919" s="2" t="s">
        <v>2214</v>
      </c>
      <c r="E919" s="2" t="s">
        <v>2215</v>
      </c>
      <c r="F919" s="2" t="n">
        <v>1116999.59818417</v>
      </c>
      <c r="G919" s="2" t="n">
        <v>0</v>
      </c>
      <c r="H919" s="2" t="n">
        <v>1116999.59818417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98.1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 customFormat="false" ht="15" hidden="false" customHeight="false" outlineLevel="0" collapsed="false">
      <c r="A920" s="2" t="n">
        <v>2</v>
      </c>
      <c r="B920" s="2" t="s">
        <v>2216</v>
      </c>
      <c r="C920" s="2" t="s">
        <v>2217</v>
      </c>
      <c r="D920" s="2" t="s">
        <v>2214</v>
      </c>
      <c r="E920" s="2" t="s">
        <v>2215</v>
      </c>
      <c r="F920" s="2" t="n">
        <v>1116999.59818417</v>
      </c>
      <c r="G920" s="2" t="n">
        <v>0</v>
      </c>
      <c r="H920" s="2" t="n">
        <v>1116999.59818417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98.1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 customFormat="false" ht="15" hidden="false" customHeight="false" outlineLevel="0" collapsed="false">
      <c r="A921" s="2" t="n">
        <v>3</v>
      </c>
      <c r="B921" s="2" t="s">
        <v>2218</v>
      </c>
      <c r="C921" s="2" t="s">
        <v>2219</v>
      </c>
      <c r="D921" s="2" t="s">
        <v>2214</v>
      </c>
      <c r="E921" s="2" t="s">
        <v>2215</v>
      </c>
      <c r="F921" s="2" t="n">
        <v>40149.5981841665</v>
      </c>
      <c r="G921" s="2" t="n">
        <v>0</v>
      </c>
      <c r="H921" s="2" t="n">
        <v>40149.5981841665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87.24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 customFormat="false" ht="15" hidden="false" customHeight="false" outlineLevel="0" collapsed="false">
      <c r="A922" s="2" t="n">
        <v>3</v>
      </c>
      <c r="B922" s="2" t="s">
        <v>2220</v>
      </c>
      <c r="C922" s="2" t="s">
        <v>2221</v>
      </c>
      <c r="D922" s="2" t="s">
        <v>2214</v>
      </c>
      <c r="E922" s="2" t="s">
        <v>2215</v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87.24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 customFormat="false" ht="15" hidden="false" customHeight="false" outlineLevel="0" collapsed="false">
      <c r="A923" s="2" t="n">
        <v>3</v>
      </c>
      <c r="B923" s="2" t="s">
        <v>2222</v>
      </c>
      <c r="C923" s="2" t="s">
        <v>2223</v>
      </c>
      <c r="D923" s="2" t="s">
        <v>2214</v>
      </c>
      <c r="E923" s="2" t="s">
        <v>2215</v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87.24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 customFormat="false" ht="15" hidden="false" customHeight="false" outlineLevel="0" collapsed="false">
      <c r="A924" s="2" t="n">
        <v>3</v>
      </c>
      <c r="B924" s="2" t="s">
        <v>2224</v>
      </c>
      <c r="C924" s="2" t="s">
        <v>2225</v>
      </c>
      <c r="D924" s="2" t="s">
        <v>2226</v>
      </c>
      <c r="E924" s="2" t="s">
        <v>1342</v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 customFormat="false" ht="15" hidden="false" customHeight="false" outlineLevel="0" collapsed="false">
      <c r="A925" s="2" t="n">
        <v>3</v>
      </c>
      <c r="B925" s="2" t="s">
        <v>2227</v>
      </c>
      <c r="C925" s="2" t="s">
        <v>2228</v>
      </c>
      <c r="D925" s="2" t="s">
        <v>2214</v>
      </c>
      <c r="E925" s="2" t="s">
        <v>2215</v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87.24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 customFormat="false" ht="15" hidden="false" customHeight="false" outlineLevel="0" collapsed="false">
      <c r="A926" s="2" t="n">
        <v>3</v>
      </c>
      <c r="B926" s="2" t="s">
        <v>2229</v>
      </c>
      <c r="C926" s="2" t="s">
        <v>2230</v>
      </c>
      <c r="D926" s="2" t="s">
        <v>2214</v>
      </c>
      <c r="E926" s="2" t="s">
        <v>2215</v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87.24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 customFormat="false" ht="15" hidden="false" customHeight="false" outlineLevel="0" collapsed="false">
      <c r="A927" s="2" t="n">
        <v>1</v>
      </c>
      <c r="B927" s="2" t="s">
        <v>230</v>
      </c>
      <c r="C927" s="2" t="s">
        <v>231</v>
      </c>
      <c r="D927" s="2" t="s">
        <v>2231</v>
      </c>
      <c r="E927" s="2" t="s">
        <v>2232</v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</v>
      </c>
      <c r="EJ927" s="2" t="n">
        <v>0</v>
      </c>
      <c r="EK927" s="2" t="n">
        <v>88.23</v>
      </c>
      <c r="EL927" s="2" t="n">
        <v>91.26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 customFormat="false" ht="15" hidden="false" customHeight="false" outlineLevel="0" collapsed="false">
      <c r="A928" s="2" t="n">
        <v>2</v>
      </c>
      <c r="B928" s="2" t="s">
        <v>2233</v>
      </c>
      <c r="C928" s="2" t="s">
        <v>2234</v>
      </c>
      <c r="D928" s="2" t="s">
        <v>445</v>
      </c>
      <c r="E928" s="2" t="s">
        <v>2232</v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</v>
      </c>
      <c r="EO928" s="2" t="n">
        <v>91.76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 customFormat="false" ht="15" hidden="false" customHeight="false" outlineLevel="0" collapsed="false">
      <c r="A929" s="2" t="n">
        <v>3</v>
      </c>
      <c r="B929" s="2" t="s">
        <v>2235</v>
      </c>
      <c r="C929" s="2" t="s">
        <v>2236</v>
      </c>
      <c r="D929" s="2" t="s">
        <v>445</v>
      </c>
      <c r="E929" s="2" t="s">
        <v>2232</v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</v>
      </c>
      <c r="EO929" s="2" t="n">
        <v>91.76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 customFormat="false" ht="15" hidden="false" customHeight="false" outlineLevel="0" collapsed="false">
      <c r="A930" s="2" t="n">
        <v>3</v>
      </c>
      <c r="B930" s="2" t="s">
        <v>2237</v>
      </c>
      <c r="C930" s="2" t="s">
        <v>2238</v>
      </c>
      <c r="D930" s="2" t="s">
        <v>445</v>
      </c>
      <c r="E930" s="2" t="s">
        <v>2232</v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</v>
      </c>
      <c r="EO930" s="2" t="n">
        <v>91.76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 customFormat="false" ht="15" hidden="false" customHeight="false" outlineLevel="0" collapsed="false">
      <c r="A931" s="2" t="n">
        <v>3</v>
      </c>
      <c r="B931" s="2" t="s">
        <v>2239</v>
      </c>
      <c r="C931" s="2" t="s">
        <v>2240</v>
      </c>
      <c r="D931" s="2" t="s">
        <v>445</v>
      </c>
      <c r="E931" s="2" t="s">
        <v>2232</v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</v>
      </c>
      <c r="EO931" s="2" t="n">
        <v>91.76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 customFormat="false" ht="15" hidden="false" customHeight="false" outlineLevel="0" collapsed="false">
      <c r="A932" s="2" t="n">
        <v>2</v>
      </c>
      <c r="B932" s="2" t="s">
        <v>2241</v>
      </c>
      <c r="C932" s="2" t="s">
        <v>2242</v>
      </c>
      <c r="D932" s="2" t="s">
        <v>2243</v>
      </c>
      <c r="E932" s="2" t="s">
        <v>2244</v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66.57</v>
      </c>
      <c r="EC932" s="2" t="n">
        <v>68.84</v>
      </c>
      <c r="ED932" s="2" t="n">
        <v>0</v>
      </c>
      <c r="EE932" s="2" t="n">
        <v>72.46</v>
      </c>
      <c r="EF932" s="2" t="n">
        <v>75.79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 customFormat="false" ht="15" hidden="false" customHeight="false" outlineLevel="0" collapsed="false">
      <c r="A933" s="2" t="n">
        <v>3</v>
      </c>
      <c r="B933" s="2" t="s">
        <v>2245</v>
      </c>
      <c r="C933" s="2" t="s">
        <v>2246</v>
      </c>
      <c r="D933" s="2" t="s">
        <v>2243</v>
      </c>
      <c r="E933" s="2" t="s">
        <v>2244</v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66.57</v>
      </c>
      <c r="EC933" s="2" t="n">
        <v>68.84</v>
      </c>
      <c r="ED933" s="2" t="n">
        <v>0</v>
      </c>
      <c r="EE933" s="2" t="n">
        <v>72.46</v>
      </c>
      <c r="EF933" s="2" t="n">
        <v>75.79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 customFormat="false" ht="15" hidden="false" customHeight="false" outlineLevel="0" collapsed="false">
      <c r="A934" s="2" t="n">
        <v>3</v>
      </c>
      <c r="B934" s="2" t="s">
        <v>2247</v>
      </c>
      <c r="C934" s="2" t="s">
        <v>2248</v>
      </c>
      <c r="D934" s="2" t="s">
        <v>2243</v>
      </c>
      <c r="E934" s="2" t="s">
        <v>2244</v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66.57</v>
      </c>
      <c r="EC934" s="2" t="n">
        <v>68.84</v>
      </c>
      <c r="ED934" s="2" t="n">
        <v>0</v>
      </c>
      <c r="EE934" s="2" t="n">
        <v>72.46</v>
      </c>
      <c r="EF934" s="2" t="n">
        <v>75.79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 customFormat="false" ht="15" hidden="false" customHeight="false" outlineLevel="0" collapsed="false">
      <c r="A935" s="2" t="n">
        <v>3</v>
      </c>
      <c r="B935" s="2" t="s">
        <v>2249</v>
      </c>
      <c r="C935" s="2" t="s">
        <v>2250</v>
      </c>
      <c r="D935" s="2" t="s">
        <v>2243</v>
      </c>
      <c r="E935" s="2" t="s">
        <v>2244</v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66.57</v>
      </c>
      <c r="EC935" s="2" t="n">
        <v>68.84</v>
      </c>
      <c r="ED935" s="2" t="n">
        <v>0</v>
      </c>
      <c r="EE935" s="2" t="n">
        <v>72.46</v>
      </c>
      <c r="EF935" s="2" t="n">
        <v>75.79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 customFormat="false" ht="15" hidden="false" customHeight="false" outlineLevel="0" collapsed="false">
      <c r="A936" s="2" t="n">
        <v>3</v>
      </c>
      <c r="B936" s="2" t="s">
        <v>2251</v>
      </c>
      <c r="C936" s="2" t="s">
        <v>2252</v>
      </c>
      <c r="D936" s="2" t="s">
        <v>2243</v>
      </c>
      <c r="E936" s="2" t="s">
        <v>2244</v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66.57</v>
      </c>
      <c r="EC936" s="2" t="n">
        <v>68.84</v>
      </c>
      <c r="ED936" s="2" t="n">
        <v>0</v>
      </c>
      <c r="EE936" s="2" t="n">
        <v>72.46</v>
      </c>
      <c r="EF936" s="2" t="n">
        <v>75.79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 customFormat="false" ht="15" hidden="false" customHeight="false" outlineLevel="0" collapsed="false">
      <c r="A937" s="2" t="n">
        <v>3</v>
      </c>
      <c r="B937" s="2" t="s">
        <v>2253</v>
      </c>
      <c r="C937" s="2" t="s">
        <v>2254</v>
      </c>
      <c r="D937" s="2" t="s">
        <v>2243</v>
      </c>
      <c r="E937" s="2" t="s">
        <v>2244</v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66.57</v>
      </c>
      <c r="EC937" s="2" t="n">
        <v>68.84</v>
      </c>
      <c r="ED937" s="2" t="n">
        <v>0</v>
      </c>
      <c r="EE937" s="2" t="n">
        <v>72.46</v>
      </c>
      <c r="EF937" s="2" t="n">
        <v>75.79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 customFormat="false" ht="15" hidden="false" customHeight="false" outlineLevel="0" collapsed="false">
      <c r="A938" s="2" t="n">
        <v>2</v>
      </c>
      <c r="B938" s="2" t="s">
        <v>2255</v>
      </c>
      <c r="C938" s="2" t="s">
        <v>2256</v>
      </c>
      <c r="D938" s="2" t="s">
        <v>2231</v>
      </c>
      <c r="E938" s="2" t="s">
        <v>2232</v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</v>
      </c>
      <c r="EA938" s="2" t="n">
        <v>0</v>
      </c>
      <c r="EB938" s="2" t="n">
        <v>71.21</v>
      </c>
      <c r="EC938" s="2" t="n">
        <v>73.67</v>
      </c>
      <c r="ED938" s="2" t="n">
        <v>0</v>
      </c>
      <c r="EE938" s="2" t="n">
        <v>77.6</v>
      </c>
      <c r="EF938" s="2" t="n">
        <v>80.43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 customFormat="false" ht="15" hidden="false" customHeight="false" outlineLevel="0" collapsed="false">
      <c r="A939" s="2" t="n">
        <v>3</v>
      </c>
      <c r="B939" s="2" t="s">
        <v>2257</v>
      </c>
      <c r="C939" s="2" t="s">
        <v>2258</v>
      </c>
      <c r="D939" s="2" t="s">
        <v>2231</v>
      </c>
      <c r="E939" s="2" t="s">
        <v>2232</v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</v>
      </c>
      <c r="EA939" s="2" t="n">
        <v>0</v>
      </c>
      <c r="EB939" s="2" t="n">
        <v>71.21</v>
      </c>
      <c r="EC939" s="2" t="n">
        <v>73.67</v>
      </c>
      <c r="ED939" s="2" t="n">
        <v>0</v>
      </c>
      <c r="EE939" s="2" t="n">
        <v>77.6</v>
      </c>
      <c r="EF939" s="2" t="n">
        <v>80.43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 customFormat="false" ht="15" hidden="false" customHeight="false" outlineLevel="0" collapsed="false">
      <c r="A940" s="2" t="n">
        <v>3</v>
      </c>
      <c r="B940" s="2" t="s">
        <v>2259</v>
      </c>
      <c r="C940" s="2" t="s">
        <v>2260</v>
      </c>
      <c r="D940" s="2" t="s">
        <v>2231</v>
      </c>
      <c r="E940" s="2" t="s">
        <v>2232</v>
      </c>
      <c r="F940" s="2" t="n">
        <v>162790.2082</v>
      </c>
      <c r="G940" s="2" t="n">
        <v>0</v>
      </c>
      <c r="H940" s="2" t="n">
        <v>162790.2082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</v>
      </c>
      <c r="EA940" s="2" t="n">
        <v>0</v>
      </c>
      <c r="EB940" s="2" t="n">
        <v>71.21</v>
      </c>
      <c r="EC940" s="2" t="n">
        <v>73.67</v>
      </c>
      <c r="ED940" s="2" t="n">
        <v>0</v>
      </c>
      <c r="EE940" s="2" t="n">
        <v>77.6</v>
      </c>
      <c r="EF940" s="2" t="n">
        <v>80.43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 customFormat="false" ht="15" hidden="false" customHeight="false" outlineLevel="0" collapsed="false">
      <c r="A941" s="2" t="n">
        <v>3</v>
      </c>
      <c r="B941" s="2" t="s">
        <v>2261</v>
      </c>
      <c r="C941" s="2" t="s">
        <v>1952</v>
      </c>
      <c r="D941" s="2" t="s">
        <v>2231</v>
      </c>
      <c r="E941" s="2" t="s">
        <v>2232</v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</v>
      </c>
      <c r="EA941" s="2" t="n">
        <v>0</v>
      </c>
      <c r="EB941" s="2" t="n">
        <v>71.21</v>
      </c>
      <c r="EC941" s="2" t="n">
        <v>73.67</v>
      </c>
      <c r="ED941" s="2" t="n">
        <v>0</v>
      </c>
      <c r="EE941" s="2" t="n">
        <v>77.6</v>
      </c>
      <c r="EF941" s="2" t="n">
        <v>80.43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 customFormat="false" ht="15" hidden="false" customHeight="false" outlineLevel="0" collapsed="false">
      <c r="A942" s="2" t="n">
        <v>3</v>
      </c>
      <c r="B942" s="2" t="s">
        <v>2262</v>
      </c>
      <c r="C942" s="2" t="s">
        <v>2263</v>
      </c>
      <c r="D942" s="2" t="s">
        <v>2231</v>
      </c>
      <c r="E942" s="2" t="s">
        <v>2232</v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</v>
      </c>
      <c r="EA942" s="2" t="n">
        <v>0</v>
      </c>
      <c r="EB942" s="2" t="n">
        <v>71.21</v>
      </c>
      <c r="EC942" s="2" t="n">
        <v>73.67</v>
      </c>
      <c r="ED942" s="2" t="n">
        <v>0</v>
      </c>
      <c r="EE942" s="2" t="n">
        <v>77.6</v>
      </c>
      <c r="EF942" s="2" t="n">
        <v>80.43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 customFormat="false" ht="15" hidden="false" customHeight="false" outlineLevel="0" collapsed="false">
      <c r="A943" s="2" t="n">
        <v>3</v>
      </c>
      <c r="B943" s="2" t="s">
        <v>2264</v>
      </c>
      <c r="C943" s="2" t="s">
        <v>2265</v>
      </c>
      <c r="D943" s="2" t="s">
        <v>2231</v>
      </c>
      <c r="E943" s="2" t="s">
        <v>2232</v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</v>
      </c>
      <c r="EA943" s="2" t="n">
        <v>0</v>
      </c>
      <c r="EB943" s="2" t="n">
        <v>71.21</v>
      </c>
      <c r="EC943" s="2" t="n">
        <v>73.67</v>
      </c>
      <c r="ED943" s="2" t="n">
        <v>0</v>
      </c>
      <c r="EE943" s="2" t="n">
        <v>77.6</v>
      </c>
      <c r="EF943" s="2" t="n">
        <v>80.43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 customFormat="false" ht="15" hidden="false" customHeight="false" outlineLevel="0" collapsed="false">
      <c r="A944" s="2" t="n">
        <v>3</v>
      </c>
      <c r="B944" s="2" t="s">
        <v>2266</v>
      </c>
      <c r="C944" s="2" t="s">
        <v>2267</v>
      </c>
      <c r="D944" s="2" t="s">
        <v>2231</v>
      </c>
      <c r="E944" s="2" t="s">
        <v>2232</v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</v>
      </c>
      <c r="EA944" s="2" t="n">
        <v>0</v>
      </c>
      <c r="EB944" s="2" t="n">
        <v>71.21</v>
      </c>
      <c r="EC944" s="2" t="n">
        <v>73.67</v>
      </c>
      <c r="ED944" s="2" t="n">
        <v>0</v>
      </c>
      <c r="EE944" s="2" t="n">
        <v>77.6</v>
      </c>
      <c r="EF944" s="2" t="n">
        <v>80.43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 customFormat="false" ht="15" hidden="false" customHeight="false" outlineLevel="0" collapsed="false">
      <c r="A945" s="2" t="n">
        <v>2</v>
      </c>
      <c r="B945" s="2" t="s">
        <v>2268</v>
      </c>
      <c r="C945" s="2" t="s">
        <v>2269</v>
      </c>
      <c r="D945" s="2" t="s">
        <v>2270</v>
      </c>
      <c r="E945" s="2" t="s">
        <v>2156</v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 customFormat="false" ht="15" hidden="false" customHeight="false" outlineLevel="0" collapsed="false">
      <c r="A946" s="2" t="n">
        <v>3</v>
      </c>
      <c r="B946" s="2" t="s">
        <v>2271</v>
      </c>
      <c r="C946" s="2" t="s">
        <v>2272</v>
      </c>
      <c r="D946" s="2" t="s">
        <v>2270</v>
      </c>
      <c r="E946" s="2" t="s">
        <v>2156</v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A6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3" style="0" width="40"/>
    <col collapsed="false" customWidth="true" hidden="false" outlineLevel="0" max="5" min="5" style="0" width="28"/>
    <col collapsed="false" customWidth="true" hidden="false" outlineLevel="0" max="13" min="13" style="0" width="6"/>
    <col collapsed="false" customWidth="true" hidden="false" outlineLevel="0" max="14" min="14" style="0" width="7"/>
    <col collapsed="false" customWidth="true" hidden="false" outlineLevel="0" max="15" min="15" style="0" width="15"/>
    <col collapsed="false" customWidth="true" hidden="false" outlineLevel="0" max="17" min="16" style="0" width="2"/>
    <col collapsed="false" customWidth="true" hidden="false" outlineLevel="0" max="18" min="18" style="0" width="44"/>
    <col collapsed="false" customWidth="true" hidden="false" outlineLevel="0" max="19" min="19" style="0" width="6"/>
    <col collapsed="false" customWidth="true" hidden="false" outlineLevel="0" max="20" min="20" style="0" width="30"/>
    <col collapsed="false" customWidth="true" hidden="false" outlineLevel="0" max="22" min="21" style="0" width="8"/>
    <col collapsed="false" customWidth="true" hidden="false" outlineLevel="0" max="26" min="23" style="0" width="10"/>
    <col collapsed="false" customWidth="true" hidden="false" outlineLevel="0" max="27" min="27" style="0" width="60"/>
  </cols>
  <sheetData>
    <row r="1" customFormat="false" ht="15" hidden="false" customHeight="false" outlineLevel="0" collapsed="false">
      <c r="A1" s="4" t="s">
        <v>2273</v>
      </c>
      <c r="M1" s="123" t="s">
        <v>2274</v>
      </c>
    </row>
    <row r="2" customFormat="false" ht="15" hidden="false" customHeight="false" outlineLevel="0" collapsed="false">
      <c r="A2" s="4" t="s">
        <v>2275</v>
      </c>
      <c r="M2" s="2" t="s">
        <v>2276</v>
      </c>
      <c r="O2" s="63" t="n">
        <f aca="false">COUNTIF(M5:M6004,"?")</f>
        <v>0</v>
      </c>
    </row>
    <row r="3" customFormat="false" ht="15" hidden="false" customHeight="false" outlineLevel="0" collapsed="false">
      <c r="I3" s="4" t="s">
        <v>2277</v>
      </c>
      <c r="M3" s="5" t="str">
        <f aca="false">"Data do retrato: "&amp;TEXT(DAY('RETRATO 2027'!$K$5),"00")&amp;"/"&amp;TEXT(MONTH('RETRATO 2027'!$K$5),"00")&amp;"/"&amp;YEAR('RETRATO 2027'!$K$5)</f>
        <v>Data do retrato: 31/12/2027</v>
      </c>
      <c r="R3" s="3" t="s">
        <v>2278</v>
      </c>
    </row>
    <row r="4" customFormat="false" ht="31.5" hidden="false" customHeight="true" outlineLevel="0" collapsed="false">
      <c r="B4" s="4" t="s">
        <v>2279</v>
      </c>
      <c r="C4" s="4" t="s">
        <v>2280</v>
      </c>
      <c r="D4" s="4" t="s">
        <v>2281</v>
      </c>
      <c r="E4" s="4" t="s">
        <v>2282</v>
      </c>
      <c r="F4" s="4" t="s">
        <v>2283</v>
      </c>
      <c r="G4" s="4" t="s">
        <v>2284</v>
      </c>
      <c r="H4" s="4" t="s">
        <v>2285</v>
      </c>
      <c r="I4" s="4" t="s">
        <v>460</v>
      </c>
      <c r="J4" s="4" t="s">
        <v>461</v>
      </c>
      <c r="K4" s="4" t="s">
        <v>462</v>
      </c>
      <c r="M4" s="54" t="s">
        <v>115</v>
      </c>
      <c r="N4" s="54" t="s">
        <v>2286</v>
      </c>
      <c r="O4" s="54" t="s">
        <v>2287</v>
      </c>
      <c r="R4" s="54" t="s">
        <v>2288</v>
      </c>
      <c r="S4" s="54" t="s">
        <v>115</v>
      </c>
      <c r="T4" s="54" t="s">
        <v>2289</v>
      </c>
      <c r="U4" s="54" t="s">
        <v>2290</v>
      </c>
      <c r="V4" s="54" t="s">
        <v>2291</v>
      </c>
      <c r="W4" s="54" t="s">
        <v>2292</v>
      </c>
      <c r="X4" s="54" t="s">
        <v>2293</v>
      </c>
      <c r="Y4" s="54" t="s">
        <v>2294</v>
      </c>
      <c r="Z4" s="54" t="s">
        <v>2295</v>
      </c>
      <c r="AA4" s="54" t="s">
        <v>2296</v>
      </c>
    </row>
    <row r="5" customFormat="false" ht="15" hidden="false" customHeight="false" outlineLevel="0" collapsed="false">
      <c r="B5" s="4" t="n">
        <v>33897908</v>
      </c>
      <c r="C5" s="4" t="s">
        <v>2297</v>
      </c>
      <c r="D5" s="4" t="s">
        <v>463</v>
      </c>
      <c r="E5" s="4" t="s">
        <v>81</v>
      </c>
      <c r="F5" s="127" t="n">
        <v>45831</v>
      </c>
      <c r="G5" s="127" t="n">
        <v>45842</v>
      </c>
      <c r="H5" s="127" t="n">
        <v>46289</v>
      </c>
      <c r="I5" s="4" t="n">
        <v>100</v>
      </c>
      <c r="J5" s="4" t="n">
        <v>100</v>
      </c>
      <c r="K5" s="4" t="n">
        <v>100</v>
      </c>
      <c r="M5" s="2" t="str">
        <f aca="false">IF(C5="","",IFERROR(INDEX($S$5:$S$304,MATCH(C5,$R$5:$R$304,0))&amp;"","?"))</f>
        <v>12</v>
      </c>
      <c r="N5" s="2" t="str">
        <f aca="false">IF(E5="","",IF(ISNUMBER(SEARCH("SUBSOLO",E5)),IFERROR(-VALUE(LEFT(E5,FIND("º",SUBSTITUTE(E5,"°","º"))-1)),-1),IF(LEFT(E5,6)="TÉRREO",0,IFERROR(VALUE(LEFT(E5,FIND("º",SUBSTITUTE(E5,"°","º"))-1)),""))))</f>
        <v/>
      </c>
      <c r="O5" s="2" t="str">
        <f aca="false">IF(OR(F5="",G5=""),"",IF(G5&lt;='RETRATO 2027'!$K$5,"CONCLUÍDA",IF(F5&lt;='RETRATO 2027'!$K$5,"EM ANDAMENTO","A INICIAR")))</f>
        <v>CONCLUÍDA</v>
      </c>
      <c r="R5" s="4" t="s">
        <v>2297</v>
      </c>
      <c r="S5" s="4" t="s">
        <v>153</v>
      </c>
      <c r="T5" s="4" t="s">
        <v>2298</v>
      </c>
      <c r="U5" s="4" t="s">
        <v>2299</v>
      </c>
      <c r="V5" s="2" t="n">
        <f aca="false">IF(R5="","",COUNTIF($C$5:$C$6004,R5))</f>
        <v>1</v>
      </c>
      <c r="W5" s="2" t="n">
        <f aca="false">IF(R5="","",COUNTIFS($C$5:$C$6004,R5,$O$5:$O$6004,"CONCLUÍDA"))</f>
        <v>1</v>
      </c>
      <c r="X5" s="2" t="n">
        <f aca="false">IF(R5="","",COUNTIFS($C$5:$C$6004,R5,$O$5:$O$6004,"EM ANDAMENTO"))</f>
        <v>0</v>
      </c>
      <c r="Y5" s="2" t="str">
        <f aca="false">IF(R5="","",IF(COUNTIFS($C$5:$C$6004,R5,$O$5:$O$6004,"CONCLUÍDA",$N$5:$N$6004,"&gt;=-99")=0,"",_xlfn.MAXIFS($N$5:$N$6004,$C$5:$C$6004,R5,$O$5:$O$6004,"CONCLUÍDA")))</f>
        <v/>
      </c>
      <c r="Z5" s="2" t="str">
        <f aca="false">IF(R5="","",IF(COUNTIFS($C$5:$C$6004,R5,$O$5:$O$6004,"EM ANDAMENTO",$N$5:$N$6004,"&gt;=-99")=0,"",_xlfn.MAXIFS($N$5:$N$6004,$C$5:$C$6004,R5,$O$5:$O$6004,"EM ANDAMENTO")))</f>
        <v/>
      </c>
      <c r="AA5" s="2" t="str">
        <f aca="false"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>Locação de obra: concluído</v>
      </c>
    </row>
    <row r="6" customFormat="false" ht="15" hidden="false" customHeight="false" outlineLevel="0" collapsed="false">
      <c r="B6" s="4" t="n">
        <v>33897907</v>
      </c>
      <c r="C6" s="4" t="s">
        <v>312</v>
      </c>
      <c r="D6" s="4" t="s">
        <v>463</v>
      </c>
      <c r="E6" s="4" t="s">
        <v>81</v>
      </c>
      <c r="F6" s="127" t="n">
        <v>45845</v>
      </c>
      <c r="G6" s="127" t="n">
        <v>45863</v>
      </c>
      <c r="H6" s="127" t="n">
        <v>46289</v>
      </c>
      <c r="I6" s="4" t="n">
        <v>100</v>
      </c>
      <c r="J6" s="4" t="n">
        <v>100</v>
      </c>
      <c r="K6" s="4" t="n">
        <v>100</v>
      </c>
      <c r="M6" s="2" t="str">
        <f aca="false">IF(C6="","",IFERROR(INDEX($S$5:$S$304,MATCH(C6,$R$5:$R$304,0))&amp;"","?"))</f>
        <v>12</v>
      </c>
      <c r="N6" s="2" t="str">
        <f aca="false">IF(E6="","",IF(ISNUMBER(SEARCH("SUBSOLO",E6)),IFERROR(-VALUE(LEFT(E6,FIND("º",SUBSTITUTE(E6,"°","º"))-1)),-1),IF(LEFT(E6,6)="TÉRREO",0,IFERROR(VALUE(LEFT(E6,FIND("º",SUBSTITUTE(E6,"°","º"))-1)),""))))</f>
        <v/>
      </c>
      <c r="O6" s="2" t="str">
        <f aca="false">IF(OR(F6="",G6=""),"",IF(G6&lt;='RETRATO 2027'!$K$5,"CONCLUÍDA",IF(F6&lt;='RETRATO 2027'!$K$5,"EM ANDAMENTO","A INICIAR")))</f>
        <v>CONCLUÍDA</v>
      </c>
      <c r="R6" s="4" t="s">
        <v>312</v>
      </c>
      <c r="S6" s="4" t="s">
        <v>153</v>
      </c>
      <c r="T6" s="4" t="s">
        <v>2300</v>
      </c>
      <c r="U6" s="4" t="s">
        <v>2299</v>
      </c>
      <c r="V6" s="2" t="n">
        <f aca="false">IF(R6="","",COUNTIF($C$5:$C$6004,R6))</f>
        <v>1</v>
      </c>
      <c r="W6" s="2" t="n">
        <f aca="false">IF(R6="","",COUNTIFS($C$5:$C$6004,R6,$O$5:$O$6004,"CONCLUÍDA"))</f>
        <v>1</v>
      </c>
      <c r="X6" s="2" t="n">
        <f aca="false">IF(R6="","",COUNTIFS($C$5:$C$6004,R6,$O$5:$O$6004,"EM ANDAMENTO"))</f>
        <v>0</v>
      </c>
      <c r="Y6" s="2" t="str">
        <f aca="false">IF(R6="","",IF(COUNTIFS($C$5:$C$6004,R6,$O$5:$O$6004,"CONCLUÍDA",$N$5:$N$6004,"&gt;=-99")=0,"",_xlfn.MAXIFS($N$5:$N$6004,$C$5:$C$6004,R6,$O$5:$O$6004,"CONCLUÍDA")))</f>
        <v/>
      </c>
      <c r="Z6" s="2" t="str">
        <f aca="false">IF(R6="","",IF(COUNTIFS($C$5:$C$6004,R6,$O$5:$O$6004,"EM ANDAMENTO",$N$5:$N$6004,"&gt;=-99")=0,"",_xlfn.MAXIFS($N$5:$N$6004,$C$5:$C$6004,R6,$O$5:$O$6004,"EM ANDAMENTO")))</f>
        <v/>
      </c>
      <c r="AA6" s="2" t="str">
        <f aca="false"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>Demolição: concluído</v>
      </c>
    </row>
    <row r="7" customFormat="false" ht="15" hidden="false" customHeight="false" outlineLevel="0" collapsed="false">
      <c r="B7" s="4" t="n">
        <v>29933153</v>
      </c>
      <c r="C7" s="4" t="s">
        <v>2301</v>
      </c>
      <c r="D7" s="4" t="s">
        <v>463</v>
      </c>
      <c r="E7" s="4" t="s">
        <v>81</v>
      </c>
      <c r="F7" s="127" t="n">
        <v>45859</v>
      </c>
      <c r="G7" s="127" t="n">
        <v>45883</v>
      </c>
      <c r="H7" s="127" t="n">
        <v>46289</v>
      </c>
      <c r="I7" s="4" t="n">
        <v>100</v>
      </c>
      <c r="J7" s="4" t="n">
        <v>100</v>
      </c>
      <c r="K7" s="4" t="n">
        <v>97</v>
      </c>
      <c r="M7" s="2" t="str">
        <f aca="false">IF(C7="","",IFERROR(INDEX($S$5:$S$304,MATCH(C7,$R$5:$R$304,0))&amp;"","?"))</f>
        <v>13</v>
      </c>
      <c r="N7" s="2" t="str">
        <f aca="false">IF(E7="","",IF(ISNUMBER(SEARCH("SUBSOLO",E7)),IFERROR(-VALUE(LEFT(E7,FIND("º",SUBSTITUTE(E7,"°","º"))-1)),-1),IF(LEFT(E7,6)="TÉRREO",0,IFERROR(VALUE(LEFT(E7,FIND("º",SUBSTITUTE(E7,"°","º"))-1)),""))))</f>
        <v/>
      </c>
      <c r="O7" s="2" t="str">
        <f aca="false">IF(OR(F7="",G7=""),"",IF(G7&lt;='RETRATO 2027'!$K$5,"CONCLUÍDA",IF(F7&lt;='RETRATO 2027'!$K$5,"EM ANDAMENTO","A INICIAR")))</f>
        <v>CONCLUÍDA</v>
      </c>
      <c r="R7" s="4" t="s">
        <v>2301</v>
      </c>
      <c r="S7" s="4" t="s">
        <v>156</v>
      </c>
      <c r="T7" s="4" t="s">
        <v>2302</v>
      </c>
      <c r="U7" s="4" t="s">
        <v>2299</v>
      </c>
      <c r="V7" s="2" t="n">
        <f aca="false">IF(R7="","",COUNTIF($C$5:$C$6004,R7))</f>
        <v>1</v>
      </c>
      <c r="W7" s="2" t="n">
        <f aca="false">IF(R7="","",COUNTIFS($C$5:$C$6004,R7,$O$5:$O$6004,"CONCLUÍDA"))</f>
        <v>1</v>
      </c>
      <c r="X7" s="2" t="n">
        <f aca="false">IF(R7="","",COUNTIFS($C$5:$C$6004,R7,$O$5:$O$6004,"EM ANDAMENTO"))</f>
        <v>0</v>
      </c>
      <c r="Y7" s="2" t="str">
        <f aca="false">IF(R7="","",IF(COUNTIFS($C$5:$C$6004,R7,$O$5:$O$6004,"CONCLUÍDA",$N$5:$N$6004,"&gt;=-99")=0,"",_xlfn.MAXIFS($N$5:$N$6004,$C$5:$C$6004,R7,$O$5:$O$6004,"CONCLUÍDA")))</f>
        <v/>
      </c>
      <c r="Z7" s="2" t="str">
        <f aca="false">IF(R7="","",IF(COUNTIFS($C$5:$C$6004,R7,$O$5:$O$6004,"EM ANDAMENTO",$N$5:$N$6004,"&gt;=-99")=0,"",_xlfn.MAXIFS($N$5:$N$6004,$C$5:$C$6004,R7,$O$5:$O$6004,"EM ANDAMENTO")))</f>
        <v/>
      </c>
      <c r="AA7" s="2" t="str">
        <f aca="false"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>Contenções em estacas: concluído</v>
      </c>
    </row>
    <row r="8" customFormat="false" ht="15" hidden="false" customHeight="false" outlineLevel="0" collapsed="false">
      <c r="B8" s="4" t="n">
        <v>33143217</v>
      </c>
      <c r="C8" s="4" t="s">
        <v>2303</v>
      </c>
      <c r="D8" s="4" t="s">
        <v>463</v>
      </c>
      <c r="E8" s="4" t="s">
        <v>81</v>
      </c>
      <c r="F8" s="127" t="n">
        <v>45901</v>
      </c>
      <c r="G8" s="127" t="n">
        <v>45918</v>
      </c>
      <c r="H8" s="127" t="n">
        <v>46289</v>
      </c>
      <c r="I8" s="4" t="n">
        <v>100</v>
      </c>
      <c r="J8" s="4" t="n">
        <v>100</v>
      </c>
      <c r="K8" s="4" t="n">
        <v>100</v>
      </c>
      <c r="M8" s="2" t="str">
        <f aca="false">IF(C8="","",IFERROR(INDEX($S$5:$S$304,MATCH(C8,$R$5:$R$304,0))&amp;"","?"))</f>
        <v>15</v>
      </c>
      <c r="N8" s="2" t="str">
        <f aca="false">IF(E8="","",IF(ISNUMBER(SEARCH("SUBSOLO",E8)),IFERROR(-VALUE(LEFT(E8,FIND("º",SUBSTITUTE(E8,"°","º"))-1)),-1),IF(LEFT(E8,6)="TÉRREO",0,IFERROR(VALUE(LEFT(E8,FIND("º",SUBSTITUTE(E8,"°","º"))-1)),""))))</f>
        <v/>
      </c>
      <c r="O8" s="2" t="str">
        <f aca="false">IF(OR(F8="",G8=""),"",IF(G8&lt;='RETRATO 2027'!$K$5,"CONCLUÍDA",IF(F8&lt;='RETRATO 2027'!$K$5,"EM ANDAMENTO","A INICIAR")))</f>
        <v>CONCLUÍDA</v>
      </c>
      <c r="R8" s="4" t="s">
        <v>2303</v>
      </c>
      <c r="S8" s="4" t="s">
        <v>161</v>
      </c>
      <c r="T8" s="4" t="s">
        <v>2304</v>
      </c>
      <c r="U8" s="4" t="s">
        <v>2305</v>
      </c>
      <c r="V8" s="2" t="n">
        <f aca="false">IF(R8="","",COUNTIF($C$5:$C$6004,R8))</f>
        <v>6</v>
      </c>
      <c r="W8" s="2" t="n">
        <f aca="false">IF(R8="","",COUNTIFS($C$5:$C$6004,R8,$O$5:$O$6004,"CONCLUÍDA"))</f>
        <v>6</v>
      </c>
      <c r="X8" s="2" t="n">
        <f aca="false">IF(R8="","",COUNTIFS($C$5:$C$6004,R8,$O$5:$O$6004,"EM ANDAMENTO"))</f>
        <v>0</v>
      </c>
      <c r="Y8" s="2" t="str">
        <f aca="false">IF(R8="","",IF(COUNTIFS($C$5:$C$6004,R8,$O$5:$O$6004,"CONCLUÍDA",$N$5:$N$6004,"&gt;=-99")=0,"",_xlfn.MAXIFS($N$5:$N$6004,$C$5:$C$6004,R8,$O$5:$O$6004,"CONCLUÍDA")))</f>
        <v/>
      </c>
      <c r="Z8" s="2" t="str">
        <f aca="false">IF(R8="","",IF(COUNTIFS($C$5:$C$6004,R8,$O$5:$O$6004,"EM ANDAMENTO",$N$5:$N$6004,"&gt;=-99")=0,"",_xlfn.MAXIFS($N$5:$N$6004,$C$5:$C$6004,R8,$O$5:$O$6004,"EM ANDAMENTO")))</f>
        <v/>
      </c>
      <c r="AA8" s="2" t="str">
        <f aca="false"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 customFormat="false" ht="15" hidden="false" customHeight="false" outlineLevel="0" collapsed="false">
      <c r="B9" s="4" t="n">
        <v>13543135</v>
      </c>
      <c r="C9" s="4" t="s">
        <v>2303</v>
      </c>
      <c r="D9" s="4" t="s">
        <v>2306</v>
      </c>
      <c r="E9" s="4" t="s">
        <v>81</v>
      </c>
      <c r="F9" s="127" t="n">
        <v>45901</v>
      </c>
      <c r="G9" s="127" t="n">
        <v>45905</v>
      </c>
      <c r="H9" s="127" t="n">
        <v>46289</v>
      </c>
      <c r="I9" s="4" t="n">
        <v>100</v>
      </c>
      <c r="J9" s="4" t="n">
        <v>100</v>
      </c>
      <c r="K9" s="4" t="n">
        <v>100</v>
      </c>
      <c r="M9" s="2" t="str">
        <f aca="false">IF(C9="","",IFERROR(INDEX($S$5:$S$304,MATCH(C9,$R$5:$R$304,0))&amp;"","?"))</f>
        <v>15</v>
      </c>
      <c r="N9" s="2" t="str">
        <f aca="false">IF(E9="","",IF(ISNUMBER(SEARCH("SUBSOLO",E9)),IFERROR(-VALUE(LEFT(E9,FIND("º",SUBSTITUTE(E9,"°","º"))-1)),-1),IF(LEFT(E9,6)="TÉRREO",0,IFERROR(VALUE(LEFT(E9,FIND("º",SUBSTITUTE(E9,"°","º"))-1)),""))))</f>
        <v/>
      </c>
      <c r="O9" s="2" t="str">
        <f aca="false">IF(OR(F9="",G9=""),"",IF(G9&lt;='RETRATO 2027'!$K$5,"CONCLUÍDA",IF(F9&lt;='RETRATO 2027'!$K$5,"EM ANDAMENTO","A INICIAR")))</f>
        <v>CONCLUÍDA</v>
      </c>
      <c r="R9" s="4" t="s">
        <v>2307</v>
      </c>
      <c r="S9" s="4" t="s">
        <v>161</v>
      </c>
      <c r="T9" s="4" t="s">
        <v>2308</v>
      </c>
      <c r="U9" s="4" t="s">
        <v>2305</v>
      </c>
      <c r="V9" s="2" t="n">
        <f aca="false">IF(R9="","",COUNTIF($C$5:$C$6004,R9))</f>
        <v>6</v>
      </c>
      <c r="W9" s="2" t="n">
        <f aca="false">IF(R9="","",COUNTIFS($C$5:$C$6004,R9,$O$5:$O$6004,"CONCLUÍDA"))</f>
        <v>6</v>
      </c>
      <c r="X9" s="2" t="n">
        <f aca="false">IF(R9="","",COUNTIFS($C$5:$C$6004,R9,$O$5:$O$6004,"EM ANDAMENTO"))</f>
        <v>0</v>
      </c>
      <c r="Y9" s="2" t="str">
        <f aca="false">IF(R9="","",IF(COUNTIFS($C$5:$C$6004,R9,$O$5:$O$6004,"CONCLUÍDA",$N$5:$N$6004,"&gt;=-99")=0,"",_xlfn.MAXIFS($N$5:$N$6004,$C$5:$C$6004,R9,$O$5:$O$6004,"CONCLUÍDA")))</f>
        <v/>
      </c>
      <c r="Z9" s="2" t="str">
        <f aca="false">IF(R9="","",IF(COUNTIFS($C$5:$C$6004,R9,$O$5:$O$6004,"EM ANDAMENTO",$N$5:$N$6004,"&gt;=-99")=0,"",_xlfn.MAXIFS($N$5:$N$6004,$C$5:$C$6004,R9,$O$5:$O$6004,"EM ANDAMENTO")))</f>
        <v/>
      </c>
      <c r="AA9" s="2" t="str">
        <f aca="false"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 customFormat="false" ht="15" hidden="false" customHeight="false" outlineLevel="0" collapsed="false">
      <c r="B10" s="4" t="n">
        <v>13543136</v>
      </c>
      <c r="C10" s="4" t="s">
        <v>2303</v>
      </c>
      <c r="D10" s="4" t="s">
        <v>2309</v>
      </c>
      <c r="E10" s="4" t="s">
        <v>81</v>
      </c>
      <c r="F10" s="127" t="n">
        <v>45911</v>
      </c>
      <c r="G10" s="127" t="n">
        <v>45915</v>
      </c>
      <c r="H10" s="127" t="n">
        <v>46289</v>
      </c>
      <c r="I10" s="4" t="n">
        <v>100</v>
      </c>
      <c r="J10" s="4" t="n">
        <v>100</v>
      </c>
      <c r="K10" s="4" t="n">
        <v>100</v>
      </c>
      <c r="M10" s="2" t="str">
        <f aca="false">IF(C10="","",IFERROR(INDEX($S$5:$S$304,MATCH(C10,$R$5:$R$304,0))&amp;"","?"))</f>
        <v>15</v>
      </c>
      <c r="N10" s="2" t="str">
        <f aca="false">IF(E10="","",IF(ISNUMBER(SEARCH("SUBSOLO",E10)),IFERROR(-VALUE(LEFT(E10,FIND("º",SUBSTITUTE(E10,"°","º"))-1)),-1),IF(LEFT(E10,6)="TÉRREO",0,IFERROR(VALUE(LEFT(E10,FIND("º",SUBSTITUTE(E10,"°","º"))-1)),""))))</f>
        <v/>
      </c>
      <c r="O10" s="2" t="str">
        <f aca="false">IF(OR(F10="",G10=""),"",IF(G10&lt;='RETRATO 2027'!$K$5,"CONCLUÍDA",IF(F10&lt;='RETRATO 2027'!$K$5,"EM ANDAMENTO","A INICIAR")))</f>
        <v>CONCLUÍDA</v>
      </c>
      <c r="R10" s="4" t="s">
        <v>2310</v>
      </c>
      <c r="S10" s="4" t="s">
        <v>161</v>
      </c>
      <c r="T10" s="4" t="s">
        <v>2311</v>
      </c>
      <c r="U10" s="4" t="s">
        <v>2305</v>
      </c>
      <c r="V10" s="2" t="n">
        <f aca="false">IF(R10="","",COUNTIF($C$5:$C$6004,R10))</f>
        <v>6</v>
      </c>
      <c r="W10" s="2" t="n">
        <f aca="false">IF(R10="","",COUNTIFS($C$5:$C$6004,R10,$O$5:$O$6004,"CONCLUÍDA"))</f>
        <v>6</v>
      </c>
      <c r="X10" s="2" t="n">
        <f aca="false">IF(R10="","",COUNTIFS($C$5:$C$6004,R10,$O$5:$O$6004,"EM ANDAMENTO"))</f>
        <v>0</v>
      </c>
      <c r="Y10" s="2" t="str">
        <f aca="false">IF(R10="","",IF(COUNTIFS($C$5:$C$6004,R10,$O$5:$O$6004,"CONCLUÍDA",$N$5:$N$6004,"&gt;=-99")=0,"",_xlfn.MAXIFS($N$5:$N$6004,$C$5:$C$6004,R10,$O$5:$O$6004,"CONCLUÍDA")))</f>
        <v/>
      </c>
      <c r="Z10" s="2" t="str">
        <f aca="false">IF(R10="","",IF(COUNTIFS($C$5:$C$6004,R10,$O$5:$O$6004,"EM ANDAMENTO",$N$5:$N$6004,"&gt;=-99")=0,"",_xlfn.MAXIFS($N$5:$N$6004,$C$5:$C$6004,R10,$O$5:$O$6004,"EM ANDAMENTO")))</f>
        <v/>
      </c>
      <c r="AA10" s="2" t="str">
        <f aca="false"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 customFormat="false" ht="15" hidden="false" customHeight="false" outlineLevel="0" collapsed="false">
      <c r="B11" s="4" t="n">
        <v>13543137</v>
      </c>
      <c r="C11" s="4" t="s">
        <v>2303</v>
      </c>
      <c r="D11" s="4" t="s">
        <v>2312</v>
      </c>
      <c r="E11" s="4" t="s">
        <v>81</v>
      </c>
      <c r="F11" s="127" t="n">
        <v>45915</v>
      </c>
      <c r="G11" s="127" t="n">
        <v>45916</v>
      </c>
      <c r="H11" s="127" t="n">
        <v>46289</v>
      </c>
      <c r="I11" s="4" t="n">
        <v>100</v>
      </c>
      <c r="J11" s="4" t="n">
        <v>100</v>
      </c>
      <c r="K11" s="4" t="n">
        <v>100</v>
      </c>
      <c r="M11" s="2" t="str">
        <f aca="false">IF(C11="","",IFERROR(INDEX($S$5:$S$304,MATCH(C11,$R$5:$R$304,0))&amp;"","?"))</f>
        <v>15</v>
      </c>
      <c r="N11" s="2" t="str">
        <f aca="false">IF(E11="","",IF(ISNUMBER(SEARCH("SUBSOLO",E11)),IFERROR(-VALUE(LEFT(E11,FIND("º",SUBSTITUTE(E11,"°","º"))-1)),-1),IF(LEFT(E11,6)="TÉRREO",0,IFERROR(VALUE(LEFT(E11,FIND("º",SUBSTITUTE(E11,"°","º"))-1)),""))))</f>
        <v/>
      </c>
      <c r="O11" s="2" t="str">
        <f aca="false">IF(OR(F11="",G11=""),"",IF(G11&lt;='RETRATO 2027'!$K$5,"CONCLUÍDA",IF(F11&lt;='RETRATO 2027'!$K$5,"EM ANDAMENTO","A INICIAR")))</f>
        <v>CONCLUÍDA</v>
      </c>
      <c r="R11" s="4" t="s">
        <v>73</v>
      </c>
      <c r="S11" s="4" t="s">
        <v>161</v>
      </c>
      <c r="T11" s="4" t="s">
        <v>2313</v>
      </c>
      <c r="U11" s="4" t="s">
        <v>2299</v>
      </c>
      <c r="V11" s="2" t="n">
        <f aca="false">IF(R11="","",COUNTIF($C$5:$C$6004,R11))</f>
        <v>91</v>
      </c>
      <c r="W11" s="2" t="n">
        <f aca="false">IF(R11="","",COUNTIFS($C$5:$C$6004,R11,$O$5:$O$6004,"CONCLUÍDA"))</f>
        <v>91</v>
      </c>
      <c r="X11" s="2" t="n">
        <f aca="false">IF(R11="","",COUNTIFS($C$5:$C$6004,R11,$O$5:$O$6004,"EM ANDAMENTO"))</f>
        <v>0</v>
      </c>
      <c r="Y11" s="2" t="str">
        <f aca="false">IF(R11="","",IF(COUNTIFS($C$5:$C$6004,R11,$O$5:$O$6004,"CONCLUÍDA",$N$5:$N$6004,"&gt;=-99")=0,"",_xlfn.MAXIFS($N$5:$N$6004,$C$5:$C$6004,R11,$O$5:$O$6004,"CONCLUÍDA")))</f>
        <v/>
      </c>
      <c r="Z11" s="2" t="str">
        <f aca="false">IF(R11="","",IF(COUNTIFS($C$5:$C$6004,R11,$O$5:$O$6004,"EM ANDAMENTO",$N$5:$N$6004,"&gt;=-99")=0,"",_xlfn.MAXIFS($N$5:$N$6004,$C$5:$C$6004,R11,$O$5:$O$6004,"EM ANDAMENTO")))</f>
        <v/>
      </c>
      <c r="AA11" s="2" t="str">
        <f aca="false"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>Fundação profunda: concluído</v>
      </c>
    </row>
    <row r="12" customFormat="false" ht="15" hidden="false" customHeight="false" outlineLevel="0" collapsed="false">
      <c r="B12" s="4" t="n">
        <v>13543138</v>
      </c>
      <c r="C12" s="4" t="s">
        <v>2303</v>
      </c>
      <c r="D12" s="4" t="s">
        <v>2314</v>
      </c>
      <c r="E12" s="4" t="s">
        <v>81</v>
      </c>
      <c r="F12" s="127" t="n">
        <v>45917</v>
      </c>
      <c r="G12" s="127" t="n">
        <v>45917</v>
      </c>
      <c r="H12" s="127" t="n">
        <v>46289</v>
      </c>
      <c r="I12" s="4" t="n">
        <v>100</v>
      </c>
      <c r="J12" s="4" t="n">
        <v>100</v>
      </c>
      <c r="K12" s="4" t="n">
        <v>100</v>
      </c>
      <c r="M12" s="2" t="str">
        <f aca="false">IF(C12="","",IFERROR(INDEX($S$5:$S$304,MATCH(C12,$R$5:$R$304,0))&amp;"","?"))</f>
        <v>15</v>
      </c>
      <c r="N12" s="2" t="str">
        <f aca="false">IF(E12="","",IF(ISNUMBER(SEARCH("SUBSOLO",E12)),IFERROR(-VALUE(LEFT(E12,FIND("º",SUBSTITUTE(E12,"°","º"))-1)),-1),IF(LEFT(E12,6)="TÉRREO",0,IFERROR(VALUE(LEFT(E12,FIND("º",SUBSTITUTE(E12,"°","º"))-1)),""))))</f>
        <v/>
      </c>
      <c r="O12" s="2" t="str">
        <f aca="false">IF(OR(F12="",G12=""),"",IF(G12&lt;='RETRATO 2027'!$K$5,"CONCLUÍDA",IF(F12&lt;='RETRATO 2027'!$K$5,"EM ANDAMENTO","A INICIAR")))</f>
        <v>CONCLUÍDA</v>
      </c>
      <c r="R12" s="4" t="s">
        <v>2315</v>
      </c>
      <c r="S12" s="4" t="s">
        <v>161</v>
      </c>
      <c r="T12" s="4" t="s">
        <v>2316</v>
      </c>
      <c r="U12" s="4" t="s">
        <v>2305</v>
      </c>
      <c r="V12" s="2" t="n">
        <f aca="false">IF(R12="","",COUNTIF($C$5:$C$6004,R12))</f>
        <v>6</v>
      </c>
      <c r="W12" s="2" t="n">
        <f aca="false">IF(R12="","",COUNTIFS($C$5:$C$6004,R12,$O$5:$O$6004,"CONCLUÍDA"))</f>
        <v>6</v>
      </c>
      <c r="X12" s="2" t="n">
        <f aca="false">IF(R12="","",COUNTIFS($C$5:$C$6004,R12,$O$5:$O$6004,"EM ANDAMENTO"))</f>
        <v>0</v>
      </c>
      <c r="Y12" s="2" t="str">
        <f aca="false">IF(R12="","",IF(COUNTIFS($C$5:$C$6004,R12,$O$5:$O$6004,"CONCLUÍDA",$N$5:$N$6004,"&gt;=-99")=0,"",_xlfn.MAXIFS($N$5:$N$6004,$C$5:$C$6004,R12,$O$5:$O$6004,"CONCLUÍDA")))</f>
        <v/>
      </c>
      <c r="Z12" s="2" t="str">
        <f aca="false">IF(R12="","",IF(COUNTIFS($C$5:$C$6004,R12,$O$5:$O$6004,"EM ANDAMENTO",$N$5:$N$6004,"&gt;=-99")=0,"",_xlfn.MAXIFS($N$5:$N$6004,$C$5:$C$6004,R12,$O$5:$O$6004,"EM ANDAMENTO")))</f>
        <v/>
      </c>
      <c r="AA12" s="2" t="str">
        <f aca="false"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 customFormat="false" ht="15" hidden="false" customHeight="false" outlineLevel="0" collapsed="false">
      <c r="B13" s="4" t="n">
        <v>13543139</v>
      </c>
      <c r="C13" s="4" t="s">
        <v>2303</v>
      </c>
      <c r="D13" s="4" t="s">
        <v>2317</v>
      </c>
      <c r="E13" s="4" t="s">
        <v>81</v>
      </c>
      <c r="F13" s="127" t="n">
        <v>45918</v>
      </c>
      <c r="G13" s="127" t="n">
        <v>45918</v>
      </c>
      <c r="H13" s="127" t="n">
        <v>46289</v>
      </c>
      <c r="I13" s="4" t="n">
        <v>100</v>
      </c>
      <c r="J13" s="4" t="n">
        <v>100</v>
      </c>
      <c r="K13" s="4" t="n">
        <v>100</v>
      </c>
      <c r="M13" s="2" t="str">
        <f aca="false">IF(C13="","",IFERROR(INDEX($S$5:$S$304,MATCH(C13,$R$5:$R$304,0))&amp;"","?"))</f>
        <v>15</v>
      </c>
      <c r="N13" s="2" t="str">
        <f aca="false">IF(E13="","",IF(ISNUMBER(SEARCH("SUBSOLO",E13)),IFERROR(-VALUE(LEFT(E13,FIND("º",SUBSTITUTE(E13,"°","º"))-1)),-1),IF(LEFT(E13,6)="TÉRREO",0,IFERROR(VALUE(LEFT(E13,FIND("º",SUBSTITUTE(E13,"°","º"))-1)),""))))</f>
        <v/>
      </c>
      <c r="O13" s="2" t="str">
        <f aca="false">IF(OR(F13="",G13=""),"",IF(G13&lt;='RETRATO 2027'!$K$5,"CONCLUÍDA",IF(F13&lt;='RETRATO 2027'!$K$5,"EM ANDAMENTO","A INICIAR")))</f>
        <v>CONCLUÍDA</v>
      </c>
      <c r="R13" s="4" t="s">
        <v>2318</v>
      </c>
      <c r="S13" s="4" t="s">
        <v>161</v>
      </c>
      <c r="T13" s="4" t="s">
        <v>2319</v>
      </c>
      <c r="U13" s="4" t="s">
        <v>2305</v>
      </c>
      <c r="V13" s="2" t="n">
        <f aca="false">IF(R13="","",COUNTIF($C$5:$C$6004,R13))</f>
        <v>6</v>
      </c>
      <c r="W13" s="2" t="n">
        <f aca="false">IF(R13="","",COUNTIFS($C$5:$C$6004,R13,$O$5:$O$6004,"CONCLUÍDA"))</f>
        <v>6</v>
      </c>
      <c r="X13" s="2" t="n">
        <f aca="false">IF(R13="","",COUNTIFS($C$5:$C$6004,R13,$O$5:$O$6004,"EM ANDAMENTO"))</f>
        <v>0</v>
      </c>
      <c r="Y13" s="2" t="str">
        <f aca="false">IF(R13="","",IF(COUNTIFS($C$5:$C$6004,R13,$O$5:$O$6004,"CONCLUÍDA",$N$5:$N$6004,"&gt;=-99")=0,"",_xlfn.MAXIFS($N$5:$N$6004,$C$5:$C$6004,R13,$O$5:$O$6004,"CONCLUÍDA")))</f>
        <v/>
      </c>
      <c r="Z13" s="2" t="str">
        <f aca="false">IF(R13="","",IF(COUNTIFS($C$5:$C$6004,R13,$O$5:$O$6004,"EM ANDAMENTO",$N$5:$N$6004,"&gt;=-99")=0,"",_xlfn.MAXIFS($N$5:$N$6004,$C$5:$C$6004,R13,$O$5:$O$6004,"EM ANDAMENTO")))</f>
        <v/>
      </c>
      <c r="AA13" s="2" t="str">
        <f aca="false"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 customFormat="false" ht="15" hidden="false" customHeight="false" outlineLevel="0" collapsed="false">
      <c r="B14" s="4" t="n">
        <v>33143218</v>
      </c>
      <c r="C14" s="4" t="s">
        <v>2307</v>
      </c>
      <c r="D14" s="4" t="s">
        <v>463</v>
      </c>
      <c r="E14" s="4" t="s">
        <v>81</v>
      </c>
      <c r="F14" s="127" t="n">
        <v>45908</v>
      </c>
      <c r="G14" s="127" t="n">
        <v>45933</v>
      </c>
      <c r="H14" s="127" t="n">
        <v>46289</v>
      </c>
      <c r="I14" s="4" t="n">
        <v>100</v>
      </c>
      <c r="J14" s="4" t="n">
        <v>100</v>
      </c>
      <c r="K14" s="4" t="n">
        <v>100</v>
      </c>
      <c r="M14" s="2" t="str">
        <f aca="false">IF(C14="","",IFERROR(INDEX($S$5:$S$304,MATCH(C14,$R$5:$R$304,0))&amp;"","?"))</f>
        <v>15</v>
      </c>
      <c r="N14" s="2" t="str">
        <f aca="false">IF(E14="","",IF(ISNUMBER(SEARCH("SUBSOLO",E14)),IFERROR(-VALUE(LEFT(E14,FIND("º",SUBSTITUTE(E14,"°","º"))-1)),-1),IF(LEFT(E14,6)="TÉRREO",0,IFERROR(VALUE(LEFT(E14,FIND("º",SUBSTITUTE(E14,"°","º"))-1)),""))))</f>
        <v/>
      </c>
      <c r="O14" s="2" t="str">
        <f aca="false">IF(OR(F14="",G14=""),"",IF(G14&lt;='RETRATO 2027'!$K$5,"CONCLUÍDA",IF(F14&lt;='RETRATO 2027'!$K$5,"EM ANDAMENTO","A INICIAR")))</f>
        <v>CONCLUÍDA</v>
      </c>
      <c r="R14" s="4" t="s">
        <v>2320</v>
      </c>
      <c r="S14" s="4" t="s">
        <v>161</v>
      </c>
      <c r="T14" s="4" t="s">
        <v>2321</v>
      </c>
      <c r="U14" s="4" t="s">
        <v>2305</v>
      </c>
      <c r="V14" s="2" t="n">
        <f aca="false">IF(R14="","",COUNTIF($C$5:$C$6004,R14))</f>
        <v>6</v>
      </c>
      <c r="W14" s="2" t="n">
        <f aca="false">IF(R14="","",COUNTIFS($C$5:$C$6004,R14,$O$5:$O$6004,"CONCLUÍDA"))</f>
        <v>6</v>
      </c>
      <c r="X14" s="2" t="n">
        <f aca="false">IF(R14="","",COUNTIFS($C$5:$C$6004,R14,$O$5:$O$6004,"EM ANDAMENTO"))</f>
        <v>0</v>
      </c>
      <c r="Y14" s="2" t="str">
        <f aca="false">IF(R14="","",IF(COUNTIFS($C$5:$C$6004,R14,$O$5:$O$6004,"CONCLUÍDA",$N$5:$N$6004,"&gt;=-99")=0,"",_xlfn.MAXIFS($N$5:$N$6004,$C$5:$C$6004,R14,$O$5:$O$6004,"CONCLUÍDA")))</f>
        <v/>
      </c>
      <c r="Z14" s="2" t="str">
        <f aca="false">IF(R14="","",IF(COUNTIFS($C$5:$C$6004,R14,$O$5:$O$6004,"EM ANDAMENTO",$N$5:$N$6004,"&gt;=-99")=0,"",_xlfn.MAXIFS($N$5:$N$6004,$C$5:$C$6004,R14,$O$5:$O$6004,"EM ANDAMENTO")))</f>
        <v/>
      </c>
      <c r="AA14" s="2" t="str">
        <f aca="false"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 customFormat="false" ht="15" hidden="false" customHeight="false" outlineLevel="0" collapsed="false">
      <c r="B15" s="4" t="n">
        <v>13543236</v>
      </c>
      <c r="C15" s="4" t="s">
        <v>2307</v>
      </c>
      <c r="D15" s="4" t="s">
        <v>2306</v>
      </c>
      <c r="E15" s="4" t="s">
        <v>81</v>
      </c>
      <c r="F15" s="127" t="n">
        <v>45908</v>
      </c>
      <c r="G15" s="127" t="n">
        <v>45912</v>
      </c>
      <c r="H15" s="127" t="n">
        <v>46289</v>
      </c>
      <c r="I15" s="4" t="n">
        <v>100</v>
      </c>
      <c r="J15" s="4" t="n">
        <v>100</v>
      </c>
      <c r="K15" s="4" t="n">
        <v>100</v>
      </c>
      <c r="M15" s="2" t="str">
        <f aca="false">IF(C15="","",IFERROR(INDEX($S$5:$S$304,MATCH(C15,$R$5:$R$304,0))&amp;"","?"))</f>
        <v>15</v>
      </c>
      <c r="N15" s="2" t="str">
        <f aca="false">IF(E15="","",IF(ISNUMBER(SEARCH("SUBSOLO",E15)),IFERROR(-VALUE(LEFT(E15,FIND("º",SUBSTITUTE(E15,"°","º"))-1)),-1),IF(LEFT(E15,6)="TÉRREO",0,IFERROR(VALUE(LEFT(E15,FIND("º",SUBSTITUTE(E15,"°","º"))-1)),""))))</f>
        <v/>
      </c>
      <c r="O15" s="2" t="str">
        <f aca="false">IF(OR(F15="",G15=""),"",IF(G15&lt;='RETRATO 2027'!$K$5,"CONCLUÍDA",IF(F15&lt;='RETRATO 2027'!$K$5,"EM ANDAMENTO","A INICIAR")))</f>
        <v>CONCLUÍDA</v>
      </c>
      <c r="R15" s="4" t="s">
        <v>2322</v>
      </c>
      <c r="S15" s="4" t="s">
        <v>161</v>
      </c>
      <c r="T15" s="4" t="s">
        <v>2323</v>
      </c>
      <c r="U15" s="4" t="s">
        <v>2305</v>
      </c>
      <c r="V15" s="2" t="n">
        <f aca="false">IF(R15="","",COUNTIF($C$5:$C$6004,R15))</f>
        <v>1</v>
      </c>
      <c r="W15" s="2" t="n">
        <f aca="false">IF(R15="","",COUNTIFS($C$5:$C$6004,R15,$O$5:$O$6004,"CONCLUÍDA"))</f>
        <v>1</v>
      </c>
      <c r="X15" s="2" t="n">
        <f aca="false">IF(R15="","",COUNTIFS($C$5:$C$6004,R15,$O$5:$O$6004,"EM ANDAMENTO"))</f>
        <v>0</v>
      </c>
      <c r="Y15" s="2" t="str">
        <f aca="false">IF(R15="","",IF(COUNTIFS($C$5:$C$6004,R15,$O$5:$O$6004,"CONCLUÍDA",$N$5:$N$6004,"&gt;=-99")=0,"",_xlfn.MAXIFS($N$5:$N$6004,$C$5:$C$6004,R15,$O$5:$O$6004,"CONCLUÍDA")))</f>
        <v/>
      </c>
      <c r="Z15" s="2" t="str">
        <f aca="false">IF(R15="","",IF(COUNTIFS($C$5:$C$6004,R15,$O$5:$O$6004,"EM ANDAMENTO",$N$5:$N$6004,"&gt;=-99")=0,"",_xlfn.MAXIFS($N$5:$N$6004,$C$5:$C$6004,R15,$O$5:$O$6004,"EM ANDAMENTO")))</f>
        <v/>
      </c>
      <c r="AA15" s="2" t="str">
        <f aca="false"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 customFormat="false" ht="15" hidden="false" customHeight="false" outlineLevel="0" collapsed="false">
      <c r="B16" s="4" t="n">
        <v>13543237</v>
      </c>
      <c r="C16" s="4" t="s">
        <v>2307</v>
      </c>
      <c r="D16" s="4" t="s">
        <v>2309</v>
      </c>
      <c r="E16" s="4" t="s">
        <v>81</v>
      </c>
      <c r="F16" s="127" t="n">
        <v>45916</v>
      </c>
      <c r="G16" s="127" t="n">
        <v>45919</v>
      </c>
      <c r="H16" s="127" t="n">
        <v>46289</v>
      </c>
      <c r="I16" s="4" t="n">
        <v>100</v>
      </c>
      <c r="J16" s="4" t="n">
        <v>100</v>
      </c>
      <c r="K16" s="4" t="n">
        <v>100</v>
      </c>
      <c r="M16" s="2" t="str">
        <f aca="false">IF(C16="","",IFERROR(INDEX($S$5:$S$304,MATCH(C16,$R$5:$R$304,0))&amp;"","?"))</f>
        <v>15</v>
      </c>
      <c r="N16" s="2" t="str">
        <f aca="false">IF(E16="","",IF(ISNUMBER(SEARCH("SUBSOLO",E16)),IFERROR(-VALUE(LEFT(E16,FIND("º",SUBSTITUTE(E16,"°","º"))-1)),-1),IF(LEFT(E16,6)="TÉRREO",0,IFERROR(VALUE(LEFT(E16,FIND("º",SUBSTITUTE(E16,"°","º"))-1)),""))))</f>
        <v/>
      </c>
      <c r="O16" s="2" t="str">
        <f aca="false">IF(OR(F16="",G16=""),"",IF(G16&lt;='RETRATO 2027'!$K$5,"CONCLUÍDA",IF(F16&lt;='RETRATO 2027'!$K$5,"EM ANDAMENTO","A INICIAR")))</f>
        <v>CONCLUÍDA</v>
      </c>
      <c r="R16" s="4" t="s">
        <v>2324</v>
      </c>
      <c r="S16" s="4" t="s">
        <v>161</v>
      </c>
      <c r="T16" s="4" t="s">
        <v>2325</v>
      </c>
      <c r="U16" s="4" t="s">
        <v>2305</v>
      </c>
      <c r="V16" s="2" t="n">
        <f aca="false">IF(R16="","",COUNTIF($C$5:$C$6004,R16))</f>
        <v>5</v>
      </c>
      <c r="W16" s="2" t="n">
        <f aca="false">IF(R16="","",COUNTIFS($C$5:$C$6004,R16,$O$5:$O$6004,"CONCLUÍDA"))</f>
        <v>5</v>
      </c>
      <c r="X16" s="2" t="n">
        <f aca="false">IF(R16="","",COUNTIFS($C$5:$C$6004,R16,$O$5:$O$6004,"EM ANDAMENTO"))</f>
        <v>0</v>
      </c>
      <c r="Y16" s="2" t="str">
        <f aca="false">IF(R16="","",IF(COUNTIFS($C$5:$C$6004,R16,$O$5:$O$6004,"CONCLUÍDA",$N$5:$N$6004,"&gt;=-99")=0,"",_xlfn.MAXIFS($N$5:$N$6004,$C$5:$C$6004,R16,$O$5:$O$6004,"CONCLUÍDA")))</f>
        <v/>
      </c>
      <c r="Z16" s="2" t="str">
        <f aca="false">IF(R16="","",IF(COUNTIFS($C$5:$C$6004,R16,$O$5:$O$6004,"EM ANDAMENTO",$N$5:$N$6004,"&gt;=-99")=0,"",_xlfn.MAXIFS($N$5:$N$6004,$C$5:$C$6004,R16,$O$5:$O$6004,"EM ANDAMENTO")))</f>
        <v/>
      </c>
      <c r="AA16" s="2" t="str">
        <f aca="false"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 customFormat="false" ht="15" hidden="false" customHeight="false" outlineLevel="0" collapsed="false">
      <c r="B17" s="4" t="n">
        <v>13543238</v>
      </c>
      <c r="C17" s="4" t="s">
        <v>2307</v>
      </c>
      <c r="D17" s="4" t="s">
        <v>2312</v>
      </c>
      <c r="E17" s="4" t="s">
        <v>81</v>
      </c>
      <c r="F17" s="127" t="n">
        <v>45917</v>
      </c>
      <c r="G17" s="127" t="n">
        <v>45919</v>
      </c>
      <c r="H17" s="127" t="n">
        <v>46289</v>
      </c>
      <c r="I17" s="4" t="n">
        <v>100</v>
      </c>
      <c r="J17" s="4" t="n">
        <v>100</v>
      </c>
      <c r="K17" s="4" t="n">
        <v>100</v>
      </c>
      <c r="M17" s="2" t="str">
        <f aca="false">IF(C17="","",IFERROR(INDEX($S$5:$S$304,MATCH(C17,$R$5:$R$304,0))&amp;"","?"))</f>
        <v>15</v>
      </c>
      <c r="N17" s="2" t="str">
        <f aca="false">IF(E17="","",IF(ISNUMBER(SEARCH("SUBSOLO",E17)),IFERROR(-VALUE(LEFT(E17,FIND("º",SUBSTITUTE(E17,"°","º"))-1)),-1),IF(LEFT(E17,6)="TÉRREO",0,IFERROR(VALUE(LEFT(E17,FIND("º",SUBSTITUTE(E17,"°","º"))-1)),""))))</f>
        <v/>
      </c>
      <c r="O17" s="2" t="str">
        <f aca="false">IF(OR(F17="",G17=""),"",IF(G17&lt;='RETRATO 2027'!$K$5,"CONCLUÍDA",IF(F17&lt;='RETRATO 2027'!$K$5,"EM ANDAMENTO","A INICIAR")))</f>
        <v>CONCLUÍDA</v>
      </c>
      <c r="R17" s="4" t="s">
        <v>2326</v>
      </c>
      <c r="S17" s="4" t="s">
        <v>159</v>
      </c>
      <c r="T17" s="4" t="s">
        <v>2327</v>
      </c>
      <c r="U17" s="4" t="s">
        <v>2299</v>
      </c>
      <c r="V17" s="2" t="n">
        <f aca="false">IF(R17="","",COUNTIF($C$5:$C$6004,R17))</f>
        <v>1</v>
      </c>
      <c r="W17" s="2" t="n">
        <f aca="false">IF(R17="","",COUNTIFS($C$5:$C$6004,R17,$O$5:$O$6004,"CONCLUÍDA"))</f>
        <v>1</v>
      </c>
      <c r="X17" s="2" t="n">
        <f aca="false">IF(R17="","",COUNTIFS($C$5:$C$6004,R17,$O$5:$O$6004,"EM ANDAMENTO"))</f>
        <v>0</v>
      </c>
      <c r="Y17" s="2" t="str">
        <f aca="false">IF(R17="","",IF(COUNTIFS($C$5:$C$6004,R17,$O$5:$O$6004,"CONCLUÍDA",$N$5:$N$6004,"&gt;=-99")=0,"",_xlfn.MAXIFS($N$5:$N$6004,$C$5:$C$6004,R17,$O$5:$O$6004,"CONCLUÍDA")))</f>
        <v/>
      </c>
      <c r="Z17" s="2" t="str">
        <f aca="false">IF(R17="","",IF(COUNTIFS($C$5:$C$6004,R17,$O$5:$O$6004,"EM ANDAMENTO",$N$5:$N$6004,"&gt;=-99")=0,"",_xlfn.MAXIFS($N$5:$N$6004,$C$5:$C$6004,R17,$O$5:$O$6004,"EM ANDAMENTO")))</f>
        <v/>
      </c>
      <c r="AA17" s="2" t="str">
        <f aca="false"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>Terraplenagem (fase 1): concluído</v>
      </c>
    </row>
    <row r="18" customFormat="false" ht="15" hidden="false" customHeight="false" outlineLevel="0" collapsed="false">
      <c r="B18" s="4" t="n">
        <v>13543239</v>
      </c>
      <c r="C18" s="4" t="s">
        <v>2307</v>
      </c>
      <c r="D18" s="4" t="s">
        <v>2314</v>
      </c>
      <c r="E18" s="4" t="s">
        <v>81</v>
      </c>
      <c r="F18" s="127" t="n">
        <v>45922</v>
      </c>
      <c r="G18" s="127" t="n">
        <v>45922</v>
      </c>
      <c r="H18" s="127" t="n">
        <v>46289</v>
      </c>
      <c r="I18" s="4" t="n">
        <v>100</v>
      </c>
      <c r="J18" s="4" t="n">
        <v>100</v>
      </c>
      <c r="K18" s="4" t="n">
        <v>100</v>
      </c>
      <c r="M18" s="2" t="str">
        <f aca="false">IF(C18="","",IFERROR(INDEX($S$5:$S$304,MATCH(C18,$R$5:$R$304,0))&amp;"","?"))</f>
        <v>15</v>
      </c>
      <c r="N18" s="2" t="str">
        <f aca="false">IF(E18="","",IF(ISNUMBER(SEARCH("SUBSOLO",E18)),IFERROR(-VALUE(LEFT(E18,FIND("º",SUBSTITUTE(E18,"°","º"))-1)),-1),IF(LEFT(E18,6)="TÉRREO",0,IFERROR(VALUE(LEFT(E18,FIND("º",SUBSTITUTE(E18,"°","º"))-1)),""))))</f>
        <v/>
      </c>
      <c r="O18" s="2" t="str">
        <f aca="false">IF(OR(F18="",G18=""),"",IF(G18&lt;='RETRATO 2027'!$K$5,"CONCLUÍDA",IF(F18&lt;='RETRATO 2027'!$K$5,"EM ANDAMENTO","A INICIAR")))</f>
        <v>CONCLUÍDA</v>
      </c>
      <c r="R18" s="4" t="s">
        <v>74</v>
      </c>
      <c r="S18" s="4" t="s">
        <v>163</v>
      </c>
      <c r="T18" s="4" t="s">
        <v>2328</v>
      </c>
      <c r="U18" s="4" t="s">
        <v>2305</v>
      </c>
      <c r="V18" s="2" t="n">
        <f aca="false">IF(R18="","",COUNTIF($C$5:$C$6004,R18))</f>
        <v>1</v>
      </c>
      <c r="W18" s="2" t="n">
        <f aca="false">IF(R18="","",COUNTIFS($C$5:$C$6004,R18,$O$5:$O$6004,"CONCLUÍDA"))</f>
        <v>1</v>
      </c>
      <c r="X18" s="2" t="n">
        <f aca="false">IF(R18="","",COUNTIFS($C$5:$C$6004,R18,$O$5:$O$6004,"EM ANDAMENTO"))</f>
        <v>0</v>
      </c>
      <c r="Y18" s="2" t="str">
        <f aca="false">IF(R18="","",IF(COUNTIFS($C$5:$C$6004,R18,$O$5:$O$6004,"CONCLUÍDA",$N$5:$N$6004,"&gt;=-99")=0,"",_xlfn.MAXIFS($N$5:$N$6004,$C$5:$C$6004,R18,$O$5:$O$6004,"CONCLUÍDA")))</f>
        <v/>
      </c>
      <c r="Z18" s="2" t="str">
        <f aca="false">IF(R18="","",IF(COUNTIFS($C$5:$C$6004,R18,$O$5:$O$6004,"EM ANDAMENTO",$N$5:$N$6004,"&gt;=-99")=0,"",_xlfn.MAXIFS($N$5:$N$6004,$C$5:$C$6004,R18,$O$5:$O$6004,"EM ANDAMENTO")))</f>
        <v/>
      </c>
      <c r="AA18" s="2" t="str">
        <f aca="false"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 customFormat="false" ht="15" hidden="false" customHeight="false" outlineLevel="0" collapsed="false">
      <c r="B19" s="4" t="n">
        <v>13543240</v>
      </c>
      <c r="C19" s="4" t="s">
        <v>2307</v>
      </c>
      <c r="D19" s="4" t="s">
        <v>2317</v>
      </c>
      <c r="E19" s="4" t="s">
        <v>81</v>
      </c>
      <c r="F19" s="127" t="n">
        <v>45933</v>
      </c>
      <c r="G19" s="127" t="n">
        <v>45933</v>
      </c>
      <c r="H19" s="127" t="n">
        <v>46289</v>
      </c>
      <c r="I19" s="4" t="n">
        <v>100</v>
      </c>
      <c r="J19" s="4" t="n">
        <v>100</v>
      </c>
      <c r="K19" s="4" t="n">
        <v>100</v>
      </c>
      <c r="M19" s="2" t="str">
        <f aca="false">IF(C19="","",IFERROR(INDEX($S$5:$S$304,MATCH(C19,$R$5:$R$304,0))&amp;"","?"))</f>
        <v>15</v>
      </c>
      <c r="N19" s="2" t="str">
        <f aca="false">IF(E19="","",IF(ISNUMBER(SEARCH("SUBSOLO",E19)),IFERROR(-VALUE(LEFT(E19,FIND("º",SUBSTITUTE(E19,"°","º"))-1)),-1),IF(LEFT(E19,6)="TÉRREO",0,IFERROR(VALUE(LEFT(E19,FIND("º",SUBSTITUTE(E19,"°","º"))-1)),""))))</f>
        <v/>
      </c>
      <c r="O19" s="2" t="str">
        <f aca="false">IF(OR(F19="",G19=""),"",IF(G19&lt;='RETRATO 2027'!$K$5,"CONCLUÍDA",IF(F19&lt;='RETRATO 2027'!$K$5,"EM ANDAMENTO","A INICIAR")))</f>
        <v>CONCLUÍDA</v>
      </c>
      <c r="R19" s="4" t="s">
        <v>2329</v>
      </c>
      <c r="S19" s="4" t="s">
        <v>163</v>
      </c>
      <c r="T19" s="4" t="s">
        <v>2330</v>
      </c>
      <c r="U19" s="4" t="s">
        <v>2305</v>
      </c>
      <c r="V19" s="2" t="n">
        <f aca="false">IF(R19="","",COUNTIF($C$5:$C$6004,R19))</f>
        <v>6</v>
      </c>
      <c r="W19" s="2" t="n">
        <f aca="false">IF(R19="","",COUNTIFS($C$5:$C$6004,R19,$O$5:$O$6004,"CONCLUÍDA"))</f>
        <v>6</v>
      </c>
      <c r="X19" s="2" t="n">
        <f aca="false">IF(R19="","",COUNTIFS($C$5:$C$6004,R19,$O$5:$O$6004,"EM ANDAMENTO"))</f>
        <v>0</v>
      </c>
      <c r="Y19" s="2" t="str">
        <f aca="false">IF(R19="","",IF(COUNTIFS($C$5:$C$6004,R19,$O$5:$O$6004,"CONCLUÍDA",$N$5:$N$6004,"&gt;=-99")=0,"",_xlfn.MAXIFS($N$5:$N$6004,$C$5:$C$6004,R19,$O$5:$O$6004,"CONCLUÍDA")))</f>
        <v/>
      </c>
      <c r="Z19" s="2" t="str">
        <f aca="false">IF(R19="","",IF(COUNTIFS($C$5:$C$6004,R19,$O$5:$O$6004,"EM ANDAMENTO",$N$5:$N$6004,"&gt;=-99")=0,"",_xlfn.MAXIFS($N$5:$N$6004,$C$5:$C$6004,R19,$O$5:$O$6004,"EM ANDAMENTO")))</f>
        <v/>
      </c>
      <c r="AA19" s="2" t="str">
        <f aca="false"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 customFormat="false" ht="15" hidden="false" customHeight="false" outlineLevel="0" collapsed="false">
      <c r="B20" s="4" t="n">
        <v>33143219</v>
      </c>
      <c r="C20" s="4" t="s">
        <v>2310</v>
      </c>
      <c r="D20" s="4" t="s">
        <v>463</v>
      </c>
      <c r="E20" s="4" t="s">
        <v>81</v>
      </c>
      <c r="F20" s="127" t="n">
        <v>45915</v>
      </c>
      <c r="G20" s="127" t="n">
        <v>45936</v>
      </c>
      <c r="H20" s="127" t="n">
        <v>46289</v>
      </c>
      <c r="I20" s="4" t="n">
        <v>100</v>
      </c>
      <c r="J20" s="4" t="n">
        <v>100</v>
      </c>
      <c r="K20" s="4" t="n">
        <v>100</v>
      </c>
      <c r="M20" s="2" t="str">
        <f aca="false">IF(C20="","",IFERROR(INDEX($S$5:$S$304,MATCH(C20,$R$5:$R$304,0))&amp;"","?"))</f>
        <v>15</v>
      </c>
      <c r="N20" s="2" t="str">
        <f aca="false">IF(E20="","",IF(ISNUMBER(SEARCH("SUBSOLO",E20)),IFERROR(-VALUE(LEFT(E20,FIND("º",SUBSTITUTE(E20,"°","º"))-1)),-1),IF(LEFT(E20,6)="TÉRREO",0,IFERROR(VALUE(LEFT(E20,FIND("º",SUBSTITUTE(E20,"°","º"))-1)),""))))</f>
        <v/>
      </c>
      <c r="O20" s="2" t="str">
        <f aca="false">IF(OR(F20="",G20=""),"",IF(G20&lt;='RETRATO 2027'!$K$5,"CONCLUÍDA",IF(F20&lt;='RETRATO 2027'!$K$5,"EM ANDAMENTO","A INICIAR")))</f>
        <v>CONCLUÍDA</v>
      </c>
      <c r="R20" s="4" t="s">
        <v>2331</v>
      </c>
      <c r="S20" s="4" t="s">
        <v>163</v>
      </c>
      <c r="T20" s="4" t="s">
        <v>2332</v>
      </c>
      <c r="U20" s="4" t="s">
        <v>2299</v>
      </c>
      <c r="V20" s="2" t="n">
        <f aca="false">IF(R20="","",COUNTIF($C$5:$C$6004,R20))</f>
        <v>12</v>
      </c>
      <c r="W20" s="2" t="n">
        <f aca="false">IF(R20="","",COUNTIFS($C$5:$C$6004,R20,$O$5:$O$6004,"CONCLUÍDA"))</f>
        <v>12</v>
      </c>
      <c r="X20" s="2" t="n">
        <f aca="false">IF(R20="","",COUNTIFS($C$5:$C$6004,R20,$O$5:$O$6004,"EM ANDAMENTO"))</f>
        <v>0</v>
      </c>
      <c r="Y20" s="2" t="str">
        <f aca="false">IF(R20="","",IF(COUNTIFS($C$5:$C$6004,R20,$O$5:$O$6004,"CONCLUÍDA",$N$5:$N$6004,"&gt;=-99")=0,"",_xlfn.MAXIFS($N$5:$N$6004,$C$5:$C$6004,R20,$O$5:$O$6004,"CONCLUÍDA")))</f>
        <v/>
      </c>
      <c r="Z20" s="2" t="str">
        <f aca="false">IF(R20="","",IF(COUNTIFS($C$5:$C$6004,R20,$O$5:$O$6004,"EM ANDAMENTO",$N$5:$N$6004,"&gt;=-99")=0,"",_xlfn.MAXIFS($N$5:$N$6004,$C$5:$C$6004,R20,$O$5:$O$6004,"EM ANDAMENTO")))</f>
        <v/>
      </c>
      <c r="AA20" s="2" t="str">
        <f aca="false"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>Fundação superficial - fase 2: concluído</v>
      </c>
    </row>
    <row r="21" customFormat="false" ht="15" hidden="false" customHeight="false" outlineLevel="0" collapsed="false">
      <c r="B21" s="4" t="n">
        <v>13543287</v>
      </c>
      <c r="C21" s="4" t="s">
        <v>2310</v>
      </c>
      <c r="D21" s="4" t="s">
        <v>2306</v>
      </c>
      <c r="E21" s="4" t="s">
        <v>81</v>
      </c>
      <c r="F21" s="127" t="n">
        <v>45915</v>
      </c>
      <c r="G21" s="127" t="n">
        <v>45919</v>
      </c>
      <c r="H21" s="127" t="n">
        <v>46289</v>
      </c>
      <c r="I21" s="4" t="n">
        <v>100</v>
      </c>
      <c r="J21" s="4" t="n">
        <v>100</v>
      </c>
      <c r="K21" s="4" t="n">
        <v>100</v>
      </c>
      <c r="M21" s="2" t="str">
        <f aca="false">IF(C21="","",IFERROR(INDEX($S$5:$S$304,MATCH(C21,$R$5:$R$304,0))&amp;"","?"))</f>
        <v>15</v>
      </c>
      <c r="N21" s="2" t="str">
        <f aca="false">IF(E21="","",IF(ISNUMBER(SEARCH("SUBSOLO",E21)),IFERROR(-VALUE(LEFT(E21,FIND("º",SUBSTITUTE(E21,"°","º"))-1)),-1),IF(LEFT(E21,6)="TÉRREO",0,IFERROR(VALUE(LEFT(E21,FIND("º",SUBSTITUTE(E21,"°","º"))-1)),""))))</f>
        <v/>
      </c>
      <c r="O21" s="2" t="str">
        <f aca="false">IF(OR(F21="",G21=""),"",IF(G21&lt;='RETRATO 2027'!$K$5,"CONCLUÍDA",IF(F21&lt;='RETRATO 2027'!$K$5,"EM ANDAMENTO","A INICIAR")))</f>
        <v>CONCLUÍDA</v>
      </c>
      <c r="R21" s="4" t="s">
        <v>2333</v>
      </c>
      <c r="S21" s="4" t="s">
        <v>156</v>
      </c>
      <c r="T21" s="4" t="s">
        <v>2334</v>
      </c>
      <c r="U21" s="4" t="s">
        <v>2299</v>
      </c>
      <c r="V21" s="2" t="n">
        <f aca="false">IF(R21="","",COUNTIF($C$5:$C$6004,R21))</f>
        <v>1</v>
      </c>
      <c r="W21" s="2" t="n">
        <f aca="false">IF(R21="","",COUNTIFS($C$5:$C$6004,R21,$O$5:$O$6004,"CONCLUÍDA"))</f>
        <v>1</v>
      </c>
      <c r="X21" s="2" t="n">
        <f aca="false">IF(R21="","",COUNTIFS($C$5:$C$6004,R21,$O$5:$O$6004,"EM ANDAMENTO"))</f>
        <v>0</v>
      </c>
      <c r="Y21" s="2" t="str">
        <f aca="false">IF(R21="","",IF(COUNTIFS($C$5:$C$6004,R21,$O$5:$O$6004,"CONCLUÍDA",$N$5:$N$6004,"&gt;=-99")=0,"",_xlfn.MAXIFS($N$5:$N$6004,$C$5:$C$6004,R21,$O$5:$O$6004,"CONCLUÍDA")))</f>
        <v/>
      </c>
      <c r="Z21" s="2" t="str">
        <f aca="false">IF(R21="","",IF(COUNTIFS($C$5:$C$6004,R21,$O$5:$O$6004,"EM ANDAMENTO",$N$5:$N$6004,"&gt;=-99")=0,"",_xlfn.MAXIFS($N$5:$N$6004,$C$5:$C$6004,R21,$O$5:$O$6004,"EM ANDAMENTO")))</f>
        <v/>
      </c>
      <c r="AA21" s="2" t="str">
        <f aca="false"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>Contenção - bloco do elevador: concluído</v>
      </c>
    </row>
    <row r="22" customFormat="false" ht="15" hidden="false" customHeight="false" outlineLevel="0" collapsed="false">
      <c r="B22" s="4" t="n">
        <v>13543288</v>
      </c>
      <c r="C22" s="4" t="s">
        <v>2310</v>
      </c>
      <c r="D22" s="4" t="s">
        <v>2309</v>
      </c>
      <c r="E22" s="4" t="s">
        <v>81</v>
      </c>
      <c r="F22" s="127" t="n">
        <v>45922</v>
      </c>
      <c r="G22" s="127" t="n">
        <v>45925</v>
      </c>
      <c r="H22" s="127" t="n">
        <v>46289</v>
      </c>
      <c r="I22" s="4" t="n">
        <v>100</v>
      </c>
      <c r="J22" s="4" t="n">
        <v>100</v>
      </c>
      <c r="K22" s="4" t="n">
        <v>100</v>
      </c>
      <c r="M22" s="2" t="str">
        <f aca="false">IF(C22="","",IFERROR(INDEX($S$5:$S$304,MATCH(C22,$R$5:$R$304,0))&amp;"","?"))</f>
        <v>15</v>
      </c>
      <c r="N22" s="2" t="str">
        <f aca="false">IF(E22="","",IF(ISNUMBER(SEARCH("SUBSOLO",E22)),IFERROR(-VALUE(LEFT(E22,FIND("º",SUBSTITUTE(E22,"°","º"))-1)),-1),IF(LEFT(E22,6)="TÉRREO",0,IFERROR(VALUE(LEFT(E22,FIND("º",SUBSTITUTE(E22,"°","º"))-1)),""))))</f>
        <v/>
      </c>
      <c r="O22" s="2" t="str">
        <f aca="false">IF(OR(F22="",G22=""),"",IF(G22&lt;='RETRATO 2027'!$K$5,"CONCLUÍDA",IF(F22&lt;='RETRATO 2027'!$K$5,"EM ANDAMENTO","A INICIAR")))</f>
        <v>CONCLUÍDA</v>
      </c>
      <c r="R22" s="4" t="s">
        <v>2335</v>
      </c>
      <c r="S22" s="4" t="s">
        <v>163</v>
      </c>
      <c r="T22" s="4" t="s">
        <v>2336</v>
      </c>
      <c r="U22" s="4" t="s">
        <v>2299</v>
      </c>
      <c r="V22" s="2" t="n">
        <f aca="false">IF(R22="","",COUNTIF($C$5:$C$6004,R22))</f>
        <v>11</v>
      </c>
      <c r="W22" s="2" t="n">
        <f aca="false">IF(R22="","",COUNTIFS($C$5:$C$6004,R22,$O$5:$O$6004,"CONCLUÍDA"))</f>
        <v>11</v>
      </c>
      <c r="X22" s="2" t="n">
        <f aca="false">IF(R22="","",COUNTIFS($C$5:$C$6004,R22,$O$5:$O$6004,"EM ANDAMENTO"))</f>
        <v>0</v>
      </c>
      <c r="Y22" s="2" t="str">
        <f aca="false">IF(R22="","",IF(COUNTIFS($C$5:$C$6004,R22,$O$5:$O$6004,"CONCLUÍDA",$N$5:$N$6004,"&gt;=-99")=0,"",_xlfn.MAXIFS($N$5:$N$6004,$C$5:$C$6004,R22,$O$5:$O$6004,"CONCLUÍDA")))</f>
        <v/>
      </c>
      <c r="Z22" s="2" t="str">
        <f aca="false">IF(R22="","",IF(COUNTIFS($C$5:$C$6004,R22,$O$5:$O$6004,"EM ANDAMENTO",$N$5:$N$6004,"&gt;=-99")=0,"",_xlfn.MAXIFS($N$5:$N$6004,$C$5:$C$6004,R22,$O$5:$O$6004,"EM ANDAMENTO")))</f>
        <v/>
      </c>
      <c r="AA22" s="2" t="str">
        <f aca="false"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>Fundação superficial - fase 3: concluído</v>
      </c>
    </row>
    <row r="23" customFormat="false" ht="15" hidden="false" customHeight="false" outlineLevel="0" collapsed="false">
      <c r="B23" s="4" t="n">
        <v>13543289</v>
      </c>
      <c r="C23" s="4" t="s">
        <v>2310</v>
      </c>
      <c r="D23" s="4" t="s">
        <v>2312</v>
      </c>
      <c r="E23" s="4" t="s">
        <v>81</v>
      </c>
      <c r="F23" s="127" t="n">
        <v>45923</v>
      </c>
      <c r="G23" s="127" t="n">
        <v>45925</v>
      </c>
      <c r="H23" s="127" t="n">
        <v>46289</v>
      </c>
      <c r="I23" s="4" t="n">
        <v>100</v>
      </c>
      <c r="J23" s="4" t="n">
        <v>100</v>
      </c>
      <c r="K23" s="4" t="n">
        <v>100</v>
      </c>
      <c r="M23" s="2" t="str">
        <f aca="false">IF(C23="","",IFERROR(INDEX($S$5:$S$304,MATCH(C23,$R$5:$R$304,0))&amp;"","?"))</f>
        <v>15</v>
      </c>
      <c r="N23" s="2" t="str">
        <f aca="false">IF(E23="","",IF(ISNUMBER(SEARCH("SUBSOLO",E23)),IFERROR(-VALUE(LEFT(E23,FIND("º",SUBSTITUTE(E23,"°","º"))-1)),-1),IF(LEFT(E23,6)="TÉRREO",0,IFERROR(VALUE(LEFT(E23,FIND("º",SUBSTITUTE(E23,"°","º"))-1)),""))))</f>
        <v/>
      </c>
      <c r="O23" s="2" t="str">
        <f aca="false">IF(OR(F23="",G23=""),"",IF(G23&lt;='RETRATO 2027'!$K$5,"CONCLUÍDA",IF(F23&lt;='RETRATO 2027'!$K$5,"EM ANDAMENTO","A INICIAR")))</f>
        <v>CONCLUÍDA</v>
      </c>
      <c r="R23" s="4" t="s">
        <v>2337</v>
      </c>
      <c r="S23" s="4" t="s">
        <v>163</v>
      </c>
      <c r="T23" s="4" t="s">
        <v>2338</v>
      </c>
      <c r="U23" s="4" t="s">
        <v>2305</v>
      </c>
      <c r="V23" s="2" t="n">
        <f aca="false">IF(R23="","",COUNTIF($C$5:$C$6004,R23))</f>
        <v>6</v>
      </c>
      <c r="W23" s="2" t="n">
        <f aca="false">IF(R23="","",COUNTIFS($C$5:$C$6004,R23,$O$5:$O$6004,"CONCLUÍDA"))</f>
        <v>6</v>
      </c>
      <c r="X23" s="2" t="n">
        <f aca="false">IF(R23="","",COUNTIFS($C$5:$C$6004,R23,$O$5:$O$6004,"EM ANDAMENTO"))</f>
        <v>0</v>
      </c>
      <c r="Y23" s="2" t="n">
        <f aca="false">IF(R23="","",IF(COUNTIFS($C$5:$C$6004,R23,$O$5:$O$6004,"CONCLUÍDA",$N$5:$N$6004,"&gt;=-99")=0,"",_xlfn.MAXIFS($N$5:$N$6004,$C$5:$C$6004,R23,$O$5:$O$6004,"CONCLUÍDA")))</f>
        <v>-1</v>
      </c>
      <c r="Z23" s="2" t="str">
        <f aca="false">IF(R23="","",IF(COUNTIFS($C$5:$C$6004,R23,$O$5:$O$6004,"EM ANDAMENTO",$N$5:$N$6004,"&gt;=-99")=0,"",_xlfn.MAXIFS($N$5:$N$6004,$C$5:$C$6004,R23,$O$5:$O$6004,"EM ANDAMENTO")))</f>
        <v/>
      </c>
      <c r="AA23" s="2" t="str">
        <f aca="false"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 customFormat="false" ht="15" hidden="false" customHeight="false" outlineLevel="0" collapsed="false">
      <c r="B24" s="4" t="n">
        <v>13543290</v>
      </c>
      <c r="C24" s="4" t="s">
        <v>2310</v>
      </c>
      <c r="D24" s="4" t="s">
        <v>2314</v>
      </c>
      <c r="E24" s="4" t="s">
        <v>81</v>
      </c>
      <c r="F24" s="127" t="n">
        <v>45926</v>
      </c>
      <c r="G24" s="127" t="n">
        <v>45933</v>
      </c>
      <c r="H24" s="127" t="n">
        <v>46289</v>
      </c>
      <c r="I24" s="4" t="n">
        <v>100</v>
      </c>
      <c r="J24" s="4" t="n">
        <v>100</v>
      </c>
      <c r="K24" s="4" t="n">
        <v>100</v>
      </c>
      <c r="M24" s="2" t="str">
        <f aca="false">IF(C24="","",IFERROR(INDEX($S$5:$S$304,MATCH(C24,$R$5:$R$304,0))&amp;"","?"))</f>
        <v>15</v>
      </c>
      <c r="N24" s="2" t="str">
        <f aca="false">IF(E24="","",IF(ISNUMBER(SEARCH("SUBSOLO",E24)),IFERROR(-VALUE(LEFT(E24,FIND("º",SUBSTITUTE(E24,"°","º"))-1)),-1),IF(LEFT(E24,6)="TÉRREO",0,IFERROR(VALUE(LEFT(E24,FIND("º",SUBSTITUTE(E24,"°","º"))-1)),""))))</f>
        <v/>
      </c>
      <c r="O24" s="2" t="str">
        <f aca="false">IF(OR(F24="",G24=""),"",IF(G24&lt;='RETRATO 2027'!$K$5,"CONCLUÍDA",IF(F24&lt;='RETRATO 2027'!$K$5,"EM ANDAMENTO","A INICIAR")))</f>
        <v>CONCLUÍDA</v>
      </c>
      <c r="R24" s="4" t="s">
        <v>2339</v>
      </c>
      <c r="S24" s="4" t="s">
        <v>163</v>
      </c>
      <c r="T24" s="4" t="s">
        <v>2340</v>
      </c>
      <c r="U24" s="4" t="s">
        <v>2305</v>
      </c>
      <c r="V24" s="2" t="n">
        <f aca="false">IF(R24="","",COUNTIF($C$5:$C$6004,R24))</f>
        <v>8</v>
      </c>
      <c r="W24" s="2" t="n">
        <f aca="false">IF(R24="","",COUNTIFS($C$5:$C$6004,R24,$O$5:$O$6004,"CONCLUÍDA"))</f>
        <v>8</v>
      </c>
      <c r="X24" s="2" t="n">
        <f aca="false">IF(R24="","",COUNTIFS($C$5:$C$6004,R24,$O$5:$O$6004,"EM ANDAMENTO"))</f>
        <v>0</v>
      </c>
      <c r="Y24" s="2" t="str">
        <f aca="false">IF(R24="","",IF(COUNTIFS($C$5:$C$6004,R24,$O$5:$O$6004,"CONCLUÍDA",$N$5:$N$6004,"&gt;=-99")=0,"",_xlfn.MAXIFS($N$5:$N$6004,$C$5:$C$6004,R24,$O$5:$O$6004,"CONCLUÍDA")))</f>
        <v/>
      </c>
      <c r="Z24" s="2" t="str">
        <f aca="false">IF(R24="","",IF(COUNTIFS($C$5:$C$6004,R24,$O$5:$O$6004,"EM ANDAMENTO",$N$5:$N$6004,"&gt;=-99")=0,"",_xlfn.MAXIFS($N$5:$N$6004,$C$5:$C$6004,R24,$O$5:$O$6004,"EM ANDAMENTO")))</f>
        <v/>
      </c>
      <c r="AA24" s="2" t="str">
        <f aca="false"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 customFormat="false" ht="15" hidden="false" customHeight="false" outlineLevel="0" collapsed="false">
      <c r="B25" s="4" t="n">
        <v>13543291</v>
      </c>
      <c r="C25" s="4" t="s">
        <v>2310</v>
      </c>
      <c r="D25" s="4" t="s">
        <v>2317</v>
      </c>
      <c r="E25" s="4" t="s">
        <v>81</v>
      </c>
      <c r="F25" s="127" t="n">
        <v>45936</v>
      </c>
      <c r="G25" s="127" t="n">
        <v>45936</v>
      </c>
      <c r="H25" s="127" t="n">
        <v>46289</v>
      </c>
      <c r="I25" s="4" t="n">
        <v>100</v>
      </c>
      <c r="J25" s="4" t="n">
        <v>100</v>
      </c>
      <c r="K25" s="4" t="n">
        <v>100</v>
      </c>
      <c r="M25" s="2" t="str">
        <f aca="false">IF(C25="","",IFERROR(INDEX($S$5:$S$304,MATCH(C25,$R$5:$R$304,0))&amp;"","?"))</f>
        <v>15</v>
      </c>
      <c r="N25" s="2" t="str">
        <f aca="false">IF(E25="","",IF(ISNUMBER(SEARCH("SUBSOLO",E25)),IFERROR(-VALUE(LEFT(E25,FIND("º",SUBSTITUTE(E25,"°","º"))-1)),-1),IF(LEFT(E25,6)="TÉRREO",0,IFERROR(VALUE(LEFT(E25,FIND("º",SUBSTITUTE(E25,"°","º"))-1)),""))))</f>
        <v/>
      </c>
      <c r="O25" s="2" t="str">
        <f aca="false">IF(OR(F25="",G25=""),"",IF(G25&lt;='RETRATO 2027'!$K$5,"CONCLUÍDA",IF(F25&lt;='RETRATO 2027'!$K$5,"EM ANDAMENTO","A INICIAR")))</f>
        <v>CONCLUÍDA</v>
      </c>
      <c r="R25" s="4" t="s">
        <v>2341</v>
      </c>
      <c r="S25" s="4" t="s">
        <v>165</v>
      </c>
      <c r="T25" s="4" t="s">
        <v>2342</v>
      </c>
      <c r="U25" s="4" t="s">
        <v>2299</v>
      </c>
      <c r="V25" s="2" t="n">
        <f aca="false">IF(R25="","",COUNTIF($C$5:$C$6004,R25))</f>
        <v>175</v>
      </c>
      <c r="W25" s="2" t="n">
        <f aca="false">IF(R25="","",COUNTIFS($C$5:$C$6004,R25,$O$5:$O$6004,"CONCLUÍDA"))</f>
        <v>161</v>
      </c>
      <c r="X25" s="2" t="n">
        <f aca="false">IF(R25="","",COUNTIFS($C$5:$C$6004,R25,$O$5:$O$6004,"EM ANDAMENTO"))</f>
        <v>2</v>
      </c>
      <c r="Y25" s="2" t="n">
        <f aca="false">IF(R25="","",IF(COUNTIFS($C$5:$C$6004,R25,$O$5:$O$6004,"CONCLUÍDA",$N$5:$N$6004,"&gt;=-99")=0,"",_xlfn.MAXIFS($N$5:$N$6004,$C$5:$C$6004,R25,$O$5:$O$6004,"CONCLUÍDA")))</f>
        <v>32</v>
      </c>
      <c r="Z25" s="2" t="n">
        <f aca="false">IF(R25="","",IF(COUNTIFS($C$5:$C$6004,R25,$O$5:$O$6004,"EM ANDAMENTO",$N$5:$N$6004,"&gt;=-99")=0,"",_xlfn.MAXIFS($N$5:$N$6004,$C$5:$C$6004,R25,$O$5:$O$6004,"EM ANDAMENTO")))</f>
        <v>32</v>
      </c>
      <c r="AA25" s="2" t="str">
        <f aca="false"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>Estrutura: até 32º pav. (restam serviços no 32º pav.)</v>
      </c>
    </row>
    <row r="26" customFormat="false" ht="15" hidden="false" customHeight="false" outlineLevel="0" collapsed="false">
      <c r="B26" s="4" t="n">
        <v>29933210</v>
      </c>
      <c r="C26" s="4" t="s">
        <v>73</v>
      </c>
      <c r="D26" s="4" t="s">
        <v>463</v>
      </c>
      <c r="E26" s="4" t="s">
        <v>81</v>
      </c>
      <c r="F26" s="127" t="n">
        <v>45918</v>
      </c>
      <c r="G26" s="127" t="n">
        <v>46083</v>
      </c>
      <c r="H26" s="127" t="n">
        <v>46289</v>
      </c>
      <c r="I26" s="4" t="n">
        <v>100</v>
      </c>
      <c r="J26" s="4" t="n">
        <v>100</v>
      </c>
      <c r="K26" s="4" t="n">
        <v>100</v>
      </c>
      <c r="M26" s="2" t="str">
        <f aca="false">IF(C26="","",IFERROR(INDEX($S$5:$S$304,MATCH(C26,$R$5:$R$304,0))&amp;"","?"))</f>
        <v>15</v>
      </c>
      <c r="N26" s="2" t="str">
        <f aca="false">IF(E26="","",IF(ISNUMBER(SEARCH("SUBSOLO",E26)),IFERROR(-VALUE(LEFT(E26,FIND("º",SUBSTITUTE(E26,"°","º"))-1)),-1),IF(LEFT(E26,6)="TÉRREO",0,IFERROR(VALUE(LEFT(E26,FIND("º",SUBSTITUTE(E26,"°","º"))-1)),""))))</f>
        <v/>
      </c>
      <c r="O26" s="2" t="str">
        <f aca="false">IF(OR(F26="",G26=""),"",IF(G26&lt;='RETRATO 2027'!$K$5,"CONCLUÍDA",IF(F26&lt;='RETRATO 2027'!$K$5,"EM ANDAMENTO","A INICIAR")))</f>
        <v>CONCLUÍDA</v>
      </c>
      <c r="R26" s="4" t="s">
        <v>2343</v>
      </c>
      <c r="S26" s="4" t="s">
        <v>163</v>
      </c>
      <c r="T26" s="4" t="s">
        <v>2344</v>
      </c>
      <c r="U26" s="4" t="s">
        <v>2299</v>
      </c>
      <c r="V26" s="2" t="n">
        <f aca="false">IF(R26="","",COUNTIF($C$5:$C$6004,R26))</f>
        <v>11</v>
      </c>
      <c r="W26" s="2" t="n">
        <f aca="false">IF(R26="","",COUNTIFS($C$5:$C$6004,R26,$O$5:$O$6004,"CONCLUÍDA"))</f>
        <v>11</v>
      </c>
      <c r="X26" s="2" t="n">
        <f aca="false">IF(R26="","",COUNTIFS($C$5:$C$6004,R26,$O$5:$O$6004,"EM ANDAMENTO"))</f>
        <v>0</v>
      </c>
      <c r="Y26" s="2" t="str">
        <f aca="false">IF(R26="","",IF(COUNTIFS($C$5:$C$6004,R26,$O$5:$O$6004,"CONCLUÍDA",$N$5:$N$6004,"&gt;=-99")=0,"",_xlfn.MAXIFS($N$5:$N$6004,$C$5:$C$6004,R26,$O$5:$O$6004,"CONCLUÍDA")))</f>
        <v/>
      </c>
      <c r="Z26" s="2" t="str">
        <f aca="false">IF(R26="","",IF(COUNTIFS($C$5:$C$6004,R26,$O$5:$O$6004,"EM ANDAMENTO",$N$5:$N$6004,"&gt;=-99")=0,"",_xlfn.MAXIFS($N$5:$N$6004,$C$5:$C$6004,R26,$O$5:$O$6004,"EM ANDAMENTO")))</f>
        <v/>
      </c>
      <c r="AA26" s="2" t="str">
        <f aca="false"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>Fundação superficial - fase 5: concluído</v>
      </c>
    </row>
    <row r="27" customFormat="false" ht="15" hidden="false" customHeight="false" outlineLevel="0" collapsed="false">
      <c r="B27" s="4" t="n">
        <v>13543844</v>
      </c>
      <c r="C27" s="4" t="s">
        <v>73</v>
      </c>
      <c r="D27" s="4" t="s">
        <v>2345</v>
      </c>
      <c r="E27" s="4" t="s">
        <v>81</v>
      </c>
      <c r="F27" s="127" t="n">
        <v>45918</v>
      </c>
      <c r="G27" s="127" t="n">
        <v>45918</v>
      </c>
      <c r="H27" s="127" t="n">
        <v>46289</v>
      </c>
      <c r="I27" s="4" t="n">
        <v>100</v>
      </c>
      <c r="J27" s="4" t="n">
        <v>100</v>
      </c>
      <c r="K27" s="4" t="n">
        <v>100</v>
      </c>
      <c r="M27" s="2" t="str">
        <f aca="false">IF(C27="","",IFERROR(INDEX($S$5:$S$304,MATCH(C27,$R$5:$R$304,0))&amp;"","?"))</f>
        <v>15</v>
      </c>
      <c r="N27" s="2" t="str">
        <f aca="false">IF(E27="","",IF(ISNUMBER(SEARCH("SUBSOLO",E27)),IFERROR(-VALUE(LEFT(E27,FIND("º",SUBSTITUTE(E27,"°","º"))-1)),-1),IF(LEFT(E27,6)="TÉRREO",0,IFERROR(VALUE(LEFT(E27,FIND("º",SUBSTITUTE(E27,"°","º"))-1)),""))))</f>
        <v/>
      </c>
      <c r="O27" s="2" t="str">
        <f aca="false">IF(OR(F27="",G27=""),"",IF(G27&lt;='RETRATO 2027'!$K$5,"CONCLUÍDA",IF(F27&lt;='RETRATO 2027'!$K$5,"EM ANDAMENTO","A INICIAR")))</f>
        <v>CONCLUÍDA</v>
      </c>
      <c r="R27" s="4" t="s">
        <v>2346</v>
      </c>
      <c r="S27" s="4" t="s">
        <v>163</v>
      </c>
      <c r="T27" s="4" t="s">
        <v>2347</v>
      </c>
      <c r="U27" s="4" t="s">
        <v>2305</v>
      </c>
      <c r="V27" s="2" t="n">
        <f aca="false">IF(R27="","",COUNTIF($C$5:$C$6004,R27))</f>
        <v>6</v>
      </c>
      <c r="W27" s="2" t="n">
        <f aca="false">IF(R27="","",COUNTIFS($C$5:$C$6004,R27,$O$5:$O$6004,"CONCLUÍDA"))</f>
        <v>6</v>
      </c>
      <c r="X27" s="2" t="n">
        <f aca="false">IF(R27="","",COUNTIFS($C$5:$C$6004,R27,$O$5:$O$6004,"EM ANDAMENTO"))</f>
        <v>0</v>
      </c>
      <c r="Y27" s="2" t="str">
        <f aca="false">IF(R27="","",IF(COUNTIFS($C$5:$C$6004,R27,$O$5:$O$6004,"CONCLUÍDA",$N$5:$N$6004,"&gt;=-99")=0,"",_xlfn.MAXIFS($N$5:$N$6004,$C$5:$C$6004,R27,$O$5:$O$6004,"CONCLUÍDA")))</f>
        <v/>
      </c>
      <c r="Z27" s="2" t="str">
        <f aca="false">IF(R27="","",IF(COUNTIFS($C$5:$C$6004,R27,$O$5:$O$6004,"EM ANDAMENTO",$N$5:$N$6004,"&gt;=-99")=0,"",_xlfn.MAXIFS($N$5:$N$6004,$C$5:$C$6004,R27,$O$5:$O$6004,"EM ANDAMENTO")))</f>
        <v/>
      </c>
      <c r="AA27" s="2" t="str">
        <f aca="false"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 customFormat="false" ht="15" hidden="false" customHeight="false" outlineLevel="0" collapsed="false">
      <c r="B28" s="4" t="n">
        <v>13543845</v>
      </c>
      <c r="C28" s="4" t="s">
        <v>73</v>
      </c>
      <c r="D28" s="4" t="s">
        <v>2348</v>
      </c>
      <c r="E28" s="4" t="s">
        <v>81</v>
      </c>
      <c r="F28" s="127" t="n">
        <v>45929</v>
      </c>
      <c r="G28" s="127" t="n">
        <v>45929</v>
      </c>
      <c r="H28" s="127" t="n">
        <v>46289</v>
      </c>
      <c r="I28" s="4" t="n">
        <v>100</v>
      </c>
      <c r="J28" s="4" t="n">
        <v>100</v>
      </c>
      <c r="K28" s="4" t="n">
        <v>100</v>
      </c>
      <c r="M28" s="2" t="str">
        <f aca="false">IF(C28="","",IFERROR(INDEX($S$5:$S$304,MATCH(C28,$R$5:$R$304,0))&amp;"","?"))</f>
        <v>15</v>
      </c>
      <c r="N28" s="2" t="str">
        <f aca="false">IF(E28="","",IF(ISNUMBER(SEARCH("SUBSOLO",E28)),IFERROR(-VALUE(LEFT(E28,FIND("º",SUBSTITUTE(E28,"°","º"))-1)),-1),IF(LEFT(E28,6)="TÉRREO",0,IFERROR(VALUE(LEFT(E28,FIND("º",SUBSTITUTE(E28,"°","º"))-1)),""))))</f>
        <v/>
      </c>
      <c r="O28" s="2" t="str">
        <f aca="false">IF(OR(F28="",G28=""),"",IF(G28&lt;='RETRATO 2027'!$K$5,"CONCLUÍDA",IF(F28&lt;='RETRATO 2027'!$K$5,"EM ANDAMENTO","A INICIAR")))</f>
        <v>CONCLUÍDA</v>
      </c>
      <c r="R28" s="4" t="s">
        <v>2349</v>
      </c>
      <c r="S28" s="4" t="s">
        <v>165</v>
      </c>
      <c r="T28" s="4" t="s">
        <v>2350</v>
      </c>
      <c r="U28" s="4" t="s">
        <v>2305</v>
      </c>
      <c r="V28" s="2" t="n">
        <f aca="false">IF(R28="","",COUNTIF($C$5:$C$6004,R28))</f>
        <v>6</v>
      </c>
      <c r="W28" s="2" t="n">
        <f aca="false">IF(R28="","",COUNTIFS($C$5:$C$6004,R28,$O$5:$O$6004,"CONCLUÍDA"))</f>
        <v>6</v>
      </c>
      <c r="X28" s="2" t="n">
        <f aca="false">IF(R28="","",COUNTIFS($C$5:$C$6004,R28,$O$5:$O$6004,"EM ANDAMENTO"))</f>
        <v>0</v>
      </c>
      <c r="Y28" s="2" t="n">
        <f aca="false">IF(R28="","",IF(COUNTIFS($C$5:$C$6004,R28,$O$5:$O$6004,"CONCLUÍDA",$N$5:$N$6004,"&gt;=-99")=0,"",_xlfn.MAXIFS($N$5:$N$6004,$C$5:$C$6004,R28,$O$5:$O$6004,"CONCLUÍDA")))</f>
        <v>0</v>
      </c>
      <c r="Z28" s="2" t="str">
        <f aca="false">IF(R28="","",IF(COUNTIFS($C$5:$C$6004,R28,$O$5:$O$6004,"EM ANDAMENTO",$N$5:$N$6004,"&gt;=-99")=0,"",_xlfn.MAXIFS($N$5:$N$6004,$C$5:$C$6004,R28,$O$5:$O$6004,"EM ANDAMENTO")))</f>
        <v/>
      </c>
      <c r="AA28" s="2" t="str">
        <f aca="false"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 customFormat="false" ht="15" hidden="false" customHeight="false" outlineLevel="0" collapsed="false">
      <c r="B29" s="4" t="n">
        <v>13543846</v>
      </c>
      <c r="C29" s="4" t="s">
        <v>73</v>
      </c>
      <c r="D29" s="4" t="s">
        <v>2351</v>
      </c>
      <c r="E29" s="4" t="s">
        <v>81</v>
      </c>
      <c r="F29" s="127" t="n">
        <v>45930</v>
      </c>
      <c r="G29" s="127" t="n">
        <v>45930</v>
      </c>
      <c r="H29" s="127" t="n">
        <v>46289</v>
      </c>
      <c r="I29" s="4" t="n">
        <v>100</v>
      </c>
      <c r="J29" s="4" t="n">
        <v>100</v>
      </c>
      <c r="K29" s="4" t="n">
        <v>100</v>
      </c>
      <c r="M29" s="2" t="str">
        <f aca="false">IF(C29="","",IFERROR(INDEX($S$5:$S$304,MATCH(C29,$R$5:$R$304,0))&amp;"","?"))</f>
        <v>15</v>
      </c>
      <c r="N29" s="2" t="str">
        <f aca="false">IF(E29="","",IF(ISNUMBER(SEARCH("SUBSOLO",E29)),IFERROR(-VALUE(LEFT(E29,FIND("º",SUBSTITUTE(E29,"°","º"))-1)),-1),IF(LEFT(E29,6)="TÉRREO",0,IFERROR(VALUE(LEFT(E29,FIND("º",SUBSTITUTE(E29,"°","º"))-1)),""))))</f>
        <v/>
      </c>
      <c r="O29" s="2" t="str">
        <f aca="false">IF(OR(F29="",G29=""),"",IF(G29&lt;='RETRATO 2027'!$K$5,"CONCLUÍDA",IF(F29&lt;='RETRATO 2027'!$K$5,"EM ANDAMENTO","A INICIAR")))</f>
        <v>CONCLUÍDA</v>
      </c>
      <c r="R29" s="4" t="s">
        <v>2352</v>
      </c>
      <c r="S29" s="4" t="s">
        <v>165</v>
      </c>
      <c r="T29" s="4" t="s">
        <v>2353</v>
      </c>
      <c r="U29" s="4" t="s">
        <v>2305</v>
      </c>
      <c r="V29" s="2" t="n">
        <f aca="false">IF(R29="","",COUNTIF($C$5:$C$6004,R29))</f>
        <v>6</v>
      </c>
      <c r="W29" s="2" t="n">
        <f aca="false">IF(R29="","",COUNTIFS($C$5:$C$6004,R29,$O$5:$O$6004,"CONCLUÍDA"))</f>
        <v>6</v>
      </c>
      <c r="X29" s="2" t="n">
        <f aca="false">IF(R29="","",COUNTIFS($C$5:$C$6004,R29,$O$5:$O$6004,"EM ANDAMENTO"))</f>
        <v>0</v>
      </c>
      <c r="Y29" s="2" t="n">
        <f aca="false">IF(R29="","",IF(COUNTIFS($C$5:$C$6004,R29,$O$5:$O$6004,"CONCLUÍDA",$N$5:$N$6004,"&gt;=-99")=0,"",_xlfn.MAXIFS($N$5:$N$6004,$C$5:$C$6004,R29,$O$5:$O$6004,"CONCLUÍDA")))</f>
        <v>0</v>
      </c>
      <c r="Z29" s="2" t="str">
        <f aca="false">IF(R29="","",IF(COUNTIFS($C$5:$C$6004,R29,$O$5:$O$6004,"EM ANDAMENTO",$N$5:$N$6004,"&gt;=-99")=0,"",_xlfn.MAXIFS($N$5:$N$6004,$C$5:$C$6004,R29,$O$5:$O$6004,"EM ANDAMENTO")))</f>
        <v/>
      </c>
      <c r="AA29" s="2" t="str">
        <f aca="false"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 customFormat="false" ht="15" hidden="false" customHeight="false" outlineLevel="0" collapsed="false">
      <c r="B30" s="4" t="n">
        <v>13543847</v>
      </c>
      <c r="C30" s="4" t="s">
        <v>73</v>
      </c>
      <c r="D30" s="4" t="s">
        <v>2354</v>
      </c>
      <c r="E30" s="4" t="s">
        <v>81</v>
      </c>
      <c r="F30" s="127" t="n">
        <v>45931</v>
      </c>
      <c r="G30" s="127" t="n">
        <v>45931</v>
      </c>
      <c r="H30" s="127" t="n">
        <v>46289</v>
      </c>
      <c r="I30" s="4" t="n">
        <v>100</v>
      </c>
      <c r="J30" s="4" t="n">
        <v>100</v>
      </c>
      <c r="K30" s="4" t="n">
        <v>100</v>
      </c>
      <c r="M30" s="2" t="str">
        <f aca="false">IF(C30="","",IFERROR(INDEX($S$5:$S$304,MATCH(C30,$R$5:$R$304,0))&amp;"","?"))</f>
        <v>15</v>
      </c>
      <c r="N30" s="2" t="str">
        <f aca="false">IF(E30="","",IF(ISNUMBER(SEARCH("SUBSOLO",E30)),IFERROR(-VALUE(LEFT(E30,FIND("º",SUBSTITUTE(E30,"°","º"))-1)),-1),IF(LEFT(E30,6)="TÉRREO",0,IFERROR(VALUE(LEFT(E30,FIND("º",SUBSTITUTE(E30,"°","º"))-1)),""))))</f>
        <v/>
      </c>
      <c r="O30" s="2" t="str">
        <f aca="false">IF(OR(F30="",G30=""),"",IF(G30&lt;='RETRATO 2027'!$K$5,"CONCLUÍDA",IF(F30&lt;='RETRATO 2027'!$K$5,"EM ANDAMENTO","A INICIAR")))</f>
        <v>CONCLUÍDA</v>
      </c>
      <c r="R30" s="4" t="s">
        <v>2355</v>
      </c>
      <c r="S30" s="4" t="s">
        <v>165</v>
      </c>
      <c r="T30" s="4" t="s">
        <v>2356</v>
      </c>
      <c r="U30" s="4" t="s">
        <v>2305</v>
      </c>
      <c r="V30" s="2" t="n">
        <f aca="false">IF(R30="","",COUNTIF($C$5:$C$6004,R30))</f>
        <v>8</v>
      </c>
      <c r="W30" s="2" t="n">
        <f aca="false">IF(R30="","",COUNTIFS($C$5:$C$6004,R30,$O$5:$O$6004,"CONCLUÍDA"))</f>
        <v>8</v>
      </c>
      <c r="X30" s="2" t="n">
        <f aca="false">IF(R30="","",COUNTIFS($C$5:$C$6004,R30,$O$5:$O$6004,"EM ANDAMENTO"))</f>
        <v>0</v>
      </c>
      <c r="Y30" s="2" t="n">
        <f aca="false">IF(R30="","",IF(COUNTIFS($C$5:$C$6004,R30,$O$5:$O$6004,"CONCLUÍDA",$N$5:$N$6004,"&gt;=-99")=0,"",_xlfn.MAXIFS($N$5:$N$6004,$C$5:$C$6004,R30,$O$5:$O$6004,"CONCLUÍDA")))</f>
        <v>0</v>
      </c>
      <c r="Z30" s="2" t="str">
        <f aca="false">IF(R30="","",IF(COUNTIFS($C$5:$C$6004,R30,$O$5:$O$6004,"EM ANDAMENTO",$N$5:$N$6004,"&gt;=-99")=0,"",_xlfn.MAXIFS($N$5:$N$6004,$C$5:$C$6004,R30,$O$5:$O$6004,"EM ANDAMENTO")))</f>
        <v/>
      </c>
      <c r="AA30" s="2" t="str">
        <f aca="false"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 customFormat="false" ht="15" hidden="false" customHeight="false" outlineLevel="0" collapsed="false">
      <c r="B31" s="4" t="n">
        <v>13543848</v>
      </c>
      <c r="C31" s="4" t="s">
        <v>73</v>
      </c>
      <c r="D31" s="4" t="s">
        <v>2357</v>
      </c>
      <c r="E31" s="4" t="s">
        <v>81</v>
      </c>
      <c r="F31" s="127" t="n">
        <v>45932</v>
      </c>
      <c r="G31" s="127" t="n">
        <v>45932</v>
      </c>
      <c r="H31" s="127" t="n">
        <v>46289</v>
      </c>
      <c r="I31" s="4" t="n">
        <v>100</v>
      </c>
      <c r="J31" s="4" t="n">
        <v>100</v>
      </c>
      <c r="K31" s="4" t="n">
        <v>100</v>
      </c>
      <c r="M31" s="2" t="str">
        <f aca="false">IF(C31="","",IFERROR(INDEX($S$5:$S$304,MATCH(C31,$R$5:$R$304,0))&amp;"","?"))</f>
        <v>15</v>
      </c>
      <c r="N31" s="2" t="str">
        <f aca="false">IF(E31="","",IF(ISNUMBER(SEARCH("SUBSOLO",E31)),IFERROR(-VALUE(LEFT(E31,FIND("º",SUBSTITUTE(E31,"°","º"))-1)),-1),IF(LEFT(E31,6)="TÉRREO",0,IFERROR(VALUE(LEFT(E31,FIND("º",SUBSTITUTE(E31,"°","º"))-1)),""))))</f>
        <v/>
      </c>
      <c r="O31" s="2" t="str">
        <f aca="false">IF(OR(F31="",G31=""),"",IF(G31&lt;='RETRATO 2027'!$K$5,"CONCLUÍDA",IF(F31&lt;='RETRATO 2027'!$K$5,"EM ANDAMENTO","A INICIAR")))</f>
        <v>CONCLUÍDA</v>
      </c>
      <c r="R31" s="4" t="s">
        <v>2358</v>
      </c>
      <c r="S31" s="4" t="s">
        <v>165</v>
      </c>
      <c r="T31" s="4" t="s">
        <v>2359</v>
      </c>
      <c r="U31" s="4" t="s">
        <v>2305</v>
      </c>
      <c r="V31" s="2" t="n">
        <f aca="false">IF(R31="","",COUNTIF($C$5:$C$6004,R31))</f>
        <v>8</v>
      </c>
      <c r="W31" s="2" t="n">
        <f aca="false">IF(R31="","",COUNTIFS($C$5:$C$6004,R31,$O$5:$O$6004,"CONCLUÍDA"))</f>
        <v>8</v>
      </c>
      <c r="X31" s="2" t="n">
        <f aca="false">IF(R31="","",COUNTIFS($C$5:$C$6004,R31,$O$5:$O$6004,"EM ANDAMENTO"))</f>
        <v>0</v>
      </c>
      <c r="Y31" s="2" t="n">
        <f aca="false">IF(R31="","",IF(COUNTIFS($C$5:$C$6004,R31,$O$5:$O$6004,"CONCLUÍDA",$N$5:$N$6004,"&gt;=-99")=0,"",_xlfn.MAXIFS($N$5:$N$6004,$C$5:$C$6004,R31,$O$5:$O$6004,"CONCLUÍDA")))</f>
        <v>1</v>
      </c>
      <c r="Z31" s="2" t="str">
        <f aca="false">IF(R31="","",IF(COUNTIFS($C$5:$C$6004,R31,$O$5:$O$6004,"EM ANDAMENTO",$N$5:$N$6004,"&gt;=-99")=0,"",_xlfn.MAXIFS($N$5:$N$6004,$C$5:$C$6004,R31,$O$5:$O$6004,"EM ANDAMENTO")))</f>
        <v/>
      </c>
      <c r="AA31" s="2" t="str">
        <f aca="false"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 customFormat="false" ht="15" hidden="false" customHeight="false" outlineLevel="0" collapsed="false">
      <c r="B32" s="4" t="n">
        <v>13543849</v>
      </c>
      <c r="C32" s="4" t="s">
        <v>73</v>
      </c>
      <c r="D32" s="4" t="s">
        <v>2360</v>
      </c>
      <c r="E32" s="4" t="s">
        <v>81</v>
      </c>
      <c r="F32" s="127" t="n">
        <v>45933</v>
      </c>
      <c r="G32" s="127" t="n">
        <v>45933</v>
      </c>
      <c r="H32" s="127" t="n">
        <v>46289</v>
      </c>
      <c r="I32" s="4" t="n">
        <v>100</v>
      </c>
      <c r="J32" s="4" t="n">
        <v>100</v>
      </c>
      <c r="K32" s="4" t="n">
        <v>100</v>
      </c>
      <c r="M32" s="2" t="str">
        <f aca="false">IF(C32="","",IFERROR(INDEX($S$5:$S$304,MATCH(C32,$R$5:$R$304,0))&amp;"","?"))</f>
        <v>15</v>
      </c>
      <c r="N32" s="2" t="str">
        <f aca="false">IF(E32="","",IF(ISNUMBER(SEARCH("SUBSOLO",E32)),IFERROR(-VALUE(LEFT(E32,FIND("º",SUBSTITUTE(E32,"°","º"))-1)),-1),IF(LEFT(E32,6)="TÉRREO",0,IFERROR(VALUE(LEFT(E32,FIND("º",SUBSTITUTE(E32,"°","º"))-1)),""))))</f>
        <v/>
      </c>
      <c r="O32" s="2" t="str">
        <f aca="false">IF(OR(F32="",G32=""),"",IF(G32&lt;='RETRATO 2027'!$K$5,"CONCLUÍDA",IF(F32&lt;='RETRATO 2027'!$K$5,"EM ANDAMENTO","A INICIAR")))</f>
        <v>CONCLUÍDA</v>
      </c>
      <c r="R32" s="4" t="s">
        <v>2361</v>
      </c>
      <c r="S32" s="4" t="s">
        <v>165</v>
      </c>
      <c r="T32" s="4" t="s">
        <v>2362</v>
      </c>
      <c r="U32" s="4" t="s">
        <v>2305</v>
      </c>
      <c r="V32" s="2" t="n">
        <f aca="false">IF(R32="","",COUNTIF($C$5:$C$6004,R32))</f>
        <v>7</v>
      </c>
      <c r="W32" s="2" t="n">
        <f aca="false">IF(R32="","",COUNTIFS($C$5:$C$6004,R32,$O$5:$O$6004,"CONCLUÍDA"))</f>
        <v>7</v>
      </c>
      <c r="X32" s="2" t="n">
        <f aca="false">IF(R32="","",COUNTIFS($C$5:$C$6004,R32,$O$5:$O$6004,"EM ANDAMENTO"))</f>
        <v>0</v>
      </c>
      <c r="Y32" s="2" t="n">
        <f aca="false">IF(R32="","",IF(COUNTIFS($C$5:$C$6004,R32,$O$5:$O$6004,"CONCLUÍDA",$N$5:$N$6004,"&gt;=-99")=0,"",_xlfn.MAXIFS($N$5:$N$6004,$C$5:$C$6004,R32,$O$5:$O$6004,"CONCLUÍDA")))</f>
        <v>2</v>
      </c>
      <c r="Z32" s="2" t="str">
        <f aca="false">IF(R32="","",IF(COUNTIFS($C$5:$C$6004,R32,$O$5:$O$6004,"EM ANDAMENTO",$N$5:$N$6004,"&gt;=-99")=0,"",_xlfn.MAXIFS($N$5:$N$6004,$C$5:$C$6004,R32,$O$5:$O$6004,"EM ANDAMENTO")))</f>
        <v/>
      </c>
      <c r="AA32" s="2" t="str">
        <f aca="false"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 customFormat="false" ht="15" hidden="false" customHeight="false" outlineLevel="0" collapsed="false">
      <c r="B33" s="4" t="n">
        <v>13543850</v>
      </c>
      <c r="C33" s="4" t="s">
        <v>73</v>
      </c>
      <c r="D33" s="4" t="s">
        <v>2363</v>
      </c>
      <c r="E33" s="4" t="s">
        <v>81</v>
      </c>
      <c r="F33" s="127" t="n">
        <v>45936</v>
      </c>
      <c r="G33" s="127" t="n">
        <v>45936</v>
      </c>
      <c r="H33" s="127" t="n">
        <v>46289</v>
      </c>
      <c r="I33" s="4" t="n">
        <v>100</v>
      </c>
      <c r="J33" s="4" t="n">
        <v>100</v>
      </c>
      <c r="K33" s="4" t="n">
        <v>100</v>
      </c>
      <c r="M33" s="2" t="str">
        <f aca="false">IF(C33="","",IFERROR(INDEX($S$5:$S$304,MATCH(C33,$R$5:$R$304,0))&amp;"","?"))</f>
        <v>15</v>
      </c>
      <c r="N33" s="2" t="str">
        <f aca="false">IF(E33="","",IF(ISNUMBER(SEARCH("SUBSOLO",E33)),IFERROR(-VALUE(LEFT(E33,FIND("º",SUBSTITUTE(E33,"°","º"))-1)),-1),IF(LEFT(E33,6)="TÉRREO",0,IFERROR(VALUE(LEFT(E33,FIND("º",SUBSTITUTE(E33,"°","º"))-1)),""))))</f>
        <v/>
      </c>
      <c r="O33" s="2" t="str">
        <f aca="false">IF(OR(F33="",G33=""),"",IF(G33&lt;='RETRATO 2027'!$K$5,"CONCLUÍDA",IF(F33&lt;='RETRATO 2027'!$K$5,"EM ANDAMENTO","A INICIAR")))</f>
        <v>CONCLUÍDA</v>
      </c>
      <c r="R33" s="4" t="s">
        <v>2364</v>
      </c>
      <c r="S33" s="4" t="s">
        <v>159</v>
      </c>
      <c r="T33" s="4" t="s">
        <v>2365</v>
      </c>
      <c r="U33" s="4" t="s">
        <v>2299</v>
      </c>
      <c r="V33" s="2" t="n">
        <f aca="false">IF(R33="","",COUNTIF($C$5:$C$6004,R33))</f>
        <v>1</v>
      </c>
      <c r="W33" s="2" t="n">
        <f aca="false">IF(R33="","",COUNTIFS($C$5:$C$6004,R33,$O$5:$O$6004,"CONCLUÍDA"))</f>
        <v>1</v>
      </c>
      <c r="X33" s="2" t="n">
        <f aca="false">IF(R33="","",COUNTIFS($C$5:$C$6004,R33,$O$5:$O$6004,"EM ANDAMENTO"))</f>
        <v>0</v>
      </c>
      <c r="Y33" s="2" t="str">
        <f aca="false">IF(R33="","",IF(COUNTIFS($C$5:$C$6004,R33,$O$5:$O$6004,"CONCLUÍDA",$N$5:$N$6004,"&gt;=-99")=0,"",_xlfn.MAXIFS($N$5:$N$6004,$C$5:$C$6004,R33,$O$5:$O$6004,"CONCLUÍDA")))</f>
        <v/>
      </c>
      <c r="Z33" s="2" t="str">
        <f aca="false">IF(R33="","",IF(COUNTIFS($C$5:$C$6004,R33,$O$5:$O$6004,"EM ANDAMENTO",$N$5:$N$6004,"&gt;=-99")=0,"",_xlfn.MAXIFS($N$5:$N$6004,$C$5:$C$6004,R33,$O$5:$O$6004,"EM ANDAMENTO")))</f>
        <v/>
      </c>
      <c r="AA33" s="2" t="str">
        <f aca="false"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>Terraplenagem (fase 2): concluído</v>
      </c>
    </row>
    <row r="34" customFormat="false" ht="15" hidden="false" customHeight="false" outlineLevel="0" collapsed="false">
      <c r="B34" s="4" t="n">
        <v>13543851</v>
      </c>
      <c r="C34" s="4" t="s">
        <v>73</v>
      </c>
      <c r="D34" s="4" t="s">
        <v>2366</v>
      </c>
      <c r="E34" s="4" t="s">
        <v>81</v>
      </c>
      <c r="F34" s="127" t="n">
        <v>45937</v>
      </c>
      <c r="G34" s="127" t="n">
        <v>45937</v>
      </c>
      <c r="H34" s="127" t="n">
        <v>46289</v>
      </c>
      <c r="I34" s="4" t="n">
        <v>100</v>
      </c>
      <c r="J34" s="4" t="n">
        <v>100</v>
      </c>
      <c r="K34" s="4" t="n">
        <v>100</v>
      </c>
      <c r="M34" s="2" t="str">
        <f aca="false">IF(C34="","",IFERROR(INDEX($S$5:$S$304,MATCH(C34,$R$5:$R$304,0))&amp;"","?"))</f>
        <v>15</v>
      </c>
      <c r="N34" s="2" t="str">
        <f aca="false">IF(E34="","",IF(ISNUMBER(SEARCH("SUBSOLO",E34)),IFERROR(-VALUE(LEFT(E34,FIND("º",SUBSTITUTE(E34,"°","º"))-1)),-1),IF(LEFT(E34,6)="TÉRREO",0,IFERROR(VALUE(LEFT(E34,FIND("º",SUBSTITUTE(E34,"°","º"))-1)),""))))</f>
        <v/>
      </c>
      <c r="O34" s="2" t="str">
        <f aca="false">IF(OR(F34="",G34=""),"",IF(G34&lt;='RETRATO 2027'!$K$5,"CONCLUÍDA",IF(F34&lt;='RETRATO 2027'!$K$5,"EM ANDAMENTO","A INICIAR")))</f>
        <v>CONCLUÍDA</v>
      </c>
      <c r="R34" s="4" t="s">
        <v>2367</v>
      </c>
      <c r="S34" s="4" t="s">
        <v>163</v>
      </c>
      <c r="T34" s="4" t="s">
        <v>2368</v>
      </c>
      <c r="U34" s="4" t="s">
        <v>2305</v>
      </c>
      <c r="V34" s="2" t="n">
        <f aca="false">IF(R34="","",COUNTIF($C$5:$C$6004,R34))</f>
        <v>4</v>
      </c>
      <c r="W34" s="2" t="n">
        <f aca="false">IF(R34="","",COUNTIFS($C$5:$C$6004,R34,$O$5:$O$6004,"CONCLUÍDA"))</f>
        <v>4</v>
      </c>
      <c r="X34" s="2" t="n">
        <f aca="false">IF(R34="","",COUNTIFS($C$5:$C$6004,R34,$O$5:$O$6004,"EM ANDAMENTO"))</f>
        <v>0</v>
      </c>
      <c r="Y34" s="2" t="str">
        <f aca="false">IF(R34="","",IF(COUNTIFS($C$5:$C$6004,R34,$O$5:$O$6004,"CONCLUÍDA",$N$5:$N$6004,"&gt;=-99")=0,"",_xlfn.MAXIFS($N$5:$N$6004,$C$5:$C$6004,R34,$O$5:$O$6004,"CONCLUÍDA")))</f>
        <v/>
      </c>
      <c r="Z34" s="2" t="str">
        <f aca="false">IF(R34="","",IF(COUNTIFS($C$5:$C$6004,R34,$O$5:$O$6004,"EM ANDAMENTO",$N$5:$N$6004,"&gt;=-99")=0,"",_xlfn.MAXIFS($N$5:$N$6004,$C$5:$C$6004,R34,$O$5:$O$6004,"EM ANDAMENTO")))</f>
        <v/>
      </c>
      <c r="AA34" s="2" t="str">
        <f aca="false"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 customFormat="false" ht="15" hidden="false" customHeight="false" outlineLevel="0" collapsed="false">
      <c r="B35" s="4" t="n">
        <v>13543852</v>
      </c>
      <c r="C35" s="4" t="s">
        <v>73</v>
      </c>
      <c r="D35" s="4" t="s">
        <v>2369</v>
      </c>
      <c r="E35" s="4" t="s">
        <v>81</v>
      </c>
      <c r="F35" s="127" t="n">
        <v>45938</v>
      </c>
      <c r="G35" s="127" t="n">
        <v>45938</v>
      </c>
      <c r="H35" s="127" t="n">
        <v>46289</v>
      </c>
      <c r="I35" s="4" t="n">
        <v>100</v>
      </c>
      <c r="J35" s="4" t="n">
        <v>100</v>
      </c>
      <c r="K35" s="4" t="n">
        <v>100</v>
      </c>
      <c r="M35" s="2" t="str">
        <f aca="false">IF(C35="","",IFERROR(INDEX($S$5:$S$304,MATCH(C35,$R$5:$R$304,0))&amp;"","?"))</f>
        <v>15</v>
      </c>
      <c r="N35" s="2" t="str">
        <f aca="false">IF(E35="","",IF(ISNUMBER(SEARCH("SUBSOLO",E35)),IFERROR(-VALUE(LEFT(E35,FIND("º",SUBSTITUTE(E35,"°","º"))-1)),-1),IF(LEFT(E35,6)="TÉRREO",0,IFERROR(VALUE(LEFT(E35,FIND("º",SUBSTITUTE(E35,"°","º"))-1)),""))))</f>
        <v/>
      </c>
      <c r="O35" s="2" t="str">
        <f aca="false">IF(OR(F35="",G35=""),"",IF(G35&lt;='RETRATO 2027'!$K$5,"CONCLUÍDA",IF(F35&lt;='RETRATO 2027'!$K$5,"EM ANDAMENTO","A INICIAR")))</f>
        <v>CONCLUÍDA</v>
      </c>
      <c r="R35" s="4" t="s">
        <v>2370</v>
      </c>
      <c r="S35" s="4" t="s">
        <v>163</v>
      </c>
      <c r="T35" s="4" t="s">
        <v>2371</v>
      </c>
      <c r="U35" s="4" t="s">
        <v>2305</v>
      </c>
      <c r="V35" s="2" t="n">
        <f aca="false">IF(R35="","",COUNTIF($C$5:$C$6004,R35))</f>
        <v>4</v>
      </c>
      <c r="W35" s="2" t="n">
        <f aca="false">IF(R35="","",COUNTIFS($C$5:$C$6004,R35,$O$5:$O$6004,"CONCLUÍDA"))</f>
        <v>4</v>
      </c>
      <c r="X35" s="2" t="n">
        <f aca="false">IF(R35="","",COUNTIFS($C$5:$C$6004,R35,$O$5:$O$6004,"EM ANDAMENTO"))</f>
        <v>0</v>
      </c>
      <c r="Y35" s="2" t="str">
        <f aca="false">IF(R35="","",IF(COUNTIFS($C$5:$C$6004,R35,$O$5:$O$6004,"CONCLUÍDA",$N$5:$N$6004,"&gt;=-99")=0,"",_xlfn.MAXIFS($N$5:$N$6004,$C$5:$C$6004,R35,$O$5:$O$6004,"CONCLUÍDA")))</f>
        <v/>
      </c>
      <c r="Z35" s="2" t="str">
        <f aca="false">IF(R35="","",IF(COUNTIFS($C$5:$C$6004,R35,$O$5:$O$6004,"EM ANDAMENTO",$N$5:$N$6004,"&gt;=-99")=0,"",_xlfn.MAXIFS($N$5:$N$6004,$C$5:$C$6004,R35,$O$5:$O$6004,"EM ANDAMENTO")))</f>
        <v/>
      </c>
      <c r="AA35" s="2" t="str">
        <f aca="false"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 customFormat="false" ht="15" hidden="false" customHeight="false" outlineLevel="0" collapsed="false">
      <c r="B36" s="4" t="n">
        <v>13543853</v>
      </c>
      <c r="C36" s="4" t="s">
        <v>73</v>
      </c>
      <c r="D36" s="4" t="s">
        <v>2372</v>
      </c>
      <c r="E36" s="4" t="s">
        <v>81</v>
      </c>
      <c r="F36" s="127" t="n">
        <v>45939</v>
      </c>
      <c r="G36" s="127" t="n">
        <v>45939</v>
      </c>
      <c r="H36" s="127" t="n">
        <v>46289</v>
      </c>
      <c r="I36" s="4" t="n">
        <v>100</v>
      </c>
      <c r="J36" s="4" t="n">
        <v>100</v>
      </c>
      <c r="K36" s="4" t="n">
        <v>100</v>
      </c>
      <c r="M36" s="2" t="str">
        <f aca="false">IF(C36="","",IFERROR(INDEX($S$5:$S$304,MATCH(C36,$R$5:$R$304,0))&amp;"","?"))</f>
        <v>15</v>
      </c>
      <c r="N36" s="2" t="str">
        <f aca="false">IF(E36="","",IF(ISNUMBER(SEARCH("SUBSOLO",E36)),IFERROR(-VALUE(LEFT(E36,FIND("º",SUBSTITUTE(E36,"°","º"))-1)),-1),IF(LEFT(E36,6)="TÉRREO",0,IFERROR(VALUE(LEFT(E36,FIND("º",SUBSTITUTE(E36,"°","º"))-1)),""))))</f>
        <v/>
      </c>
      <c r="O36" s="2" t="str">
        <f aca="false">IF(OR(F36="",G36=""),"",IF(G36&lt;='RETRATO 2027'!$K$5,"CONCLUÍDA",IF(F36&lt;='RETRATO 2027'!$K$5,"EM ANDAMENTO","A INICIAR")))</f>
        <v>CONCLUÍDA</v>
      </c>
      <c r="R36" s="4" t="s">
        <v>2373</v>
      </c>
      <c r="S36" s="4" t="s">
        <v>156</v>
      </c>
      <c r="T36" s="4" t="s">
        <v>2374</v>
      </c>
      <c r="U36" s="4" t="s">
        <v>2299</v>
      </c>
      <c r="V36" s="2" t="n">
        <f aca="false">IF(R36="","",COUNTIF($C$5:$C$6004,R36))</f>
        <v>1</v>
      </c>
      <c r="W36" s="2" t="n">
        <f aca="false">IF(R36="","",COUNTIFS($C$5:$C$6004,R36,$O$5:$O$6004,"CONCLUÍDA"))</f>
        <v>1</v>
      </c>
      <c r="X36" s="2" t="n">
        <f aca="false">IF(R36="","",COUNTIFS($C$5:$C$6004,R36,$O$5:$O$6004,"EM ANDAMENTO"))</f>
        <v>0</v>
      </c>
      <c r="Y36" s="2" t="str">
        <f aca="false">IF(R36="","",IF(COUNTIFS($C$5:$C$6004,R36,$O$5:$O$6004,"CONCLUÍDA",$N$5:$N$6004,"&gt;=-99")=0,"",_xlfn.MAXIFS($N$5:$N$6004,$C$5:$C$6004,R36,$O$5:$O$6004,"CONCLUÍDA")))</f>
        <v/>
      </c>
      <c r="Z36" s="2" t="str">
        <f aca="false">IF(R36="","",IF(COUNTIFS($C$5:$C$6004,R36,$O$5:$O$6004,"EM ANDAMENTO",$N$5:$N$6004,"&gt;=-99")=0,"",_xlfn.MAXIFS($N$5:$N$6004,$C$5:$C$6004,R36,$O$5:$O$6004,"EM ANDAMENTO")))</f>
        <v/>
      </c>
      <c r="AA36" s="2" t="str">
        <f aca="false"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>Fechamento de cortina - contenções: concluído</v>
      </c>
    </row>
    <row r="37" customFormat="false" ht="15" hidden="false" customHeight="false" outlineLevel="0" collapsed="false">
      <c r="B37" s="4" t="n">
        <v>13543854</v>
      </c>
      <c r="C37" s="4" t="s">
        <v>73</v>
      </c>
      <c r="D37" s="4" t="s">
        <v>2375</v>
      </c>
      <c r="E37" s="4" t="s">
        <v>81</v>
      </c>
      <c r="F37" s="127" t="n">
        <v>45940</v>
      </c>
      <c r="G37" s="127" t="n">
        <v>45940</v>
      </c>
      <c r="H37" s="127" t="n">
        <v>46289</v>
      </c>
      <c r="I37" s="4" t="n">
        <v>100</v>
      </c>
      <c r="J37" s="4" t="n">
        <v>100</v>
      </c>
      <c r="K37" s="4" t="n">
        <v>100</v>
      </c>
      <c r="M37" s="2" t="str">
        <f aca="false">IF(C37="","",IFERROR(INDEX($S$5:$S$304,MATCH(C37,$R$5:$R$304,0))&amp;"","?"))</f>
        <v>15</v>
      </c>
      <c r="N37" s="2" t="str">
        <f aca="false">IF(E37="","",IF(ISNUMBER(SEARCH("SUBSOLO",E37)),IFERROR(-VALUE(LEFT(E37,FIND("º",SUBSTITUTE(E37,"°","º"))-1)),-1),IF(LEFT(E37,6)="TÉRREO",0,IFERROR(VALUE(LEFT(E37,FIND("º",SUBSTITUTE(E37,"°","º"))-1)),""))))</f>
        <v/>
      </c>
      <c r="O37" s="2" t="str">
        <f aca="false">IF(OR(F37="",G37=""),"",IF(G37&lt;='RETRATO 2027'!$K$5,"CONCLUÍDA",IF(F37&lt;='RETRATO 2027'!$K$5,"EM ANDAMENTO","A INICIAR")))</f>
        <v>CONCLUÍDA</v>
      </c>
      <c r="R37" s="4" t="s">
        <v>2376</v>
      </c>
      <c r="S37" s="4" t="s">
        <v>163</v>
      </c>
      <c r="T37" s="4" t="s">
        <v>2377</v>
      </c>
      <c r="U37" s="4" t="s">
        <v>2305</v>
      </c>
      <c r="V37" s="2" t="n">
        <f aca="false">IF(R37="","",COUNTIF($C$5:$C$6004,R37))</f>
        <v>4</v>
      </c>
      <c r="W37" s="2" t="n">
        <f aca="false">IF(R37="","",COUNTIFS($C$5:$C$6004,R37,$O$5:$O$6004,"CONCLUÍDA"))</f>
        <v>4</v>
      </c>
      <c r="X37" s="2" t="n">
        <f aca="false">IF(R37="","",COUNTIFS($C$5:$C$6004,R37,$O$5:$O$6004,"EM ANDAMENTO"))</f>
        <v>0</v>
      </c>
      <c r="Y37" s="2" t="str">
        <f aca="false">IF(R37="","",IF(COUNTIFS($C$5:$C$6004,R37,$O$5:$O$6004,"CONCLUÍDA",$N$5:$N$6004,"&gt;=-99")=0,"",_xlfn.MAXIFS($N$5:$N$6004,$C$5:$C$6004,R37,$O$5:$O$6004,"CONCLUÍDA")))</f>
        <v/>
      </c>
      <c r="Z37" s="2" t="str">
        <f aca="false">IF(R37="","",IF(COUNTIFS($C$5:$C$6004,R37,$O$5:$O$6004,"EM ANDAMENTO",$N$5:$N$6004,"&gt;=-99")=0,"",_xlfn.MAXIFS($N$5:$N$6004,$C$5:$C$6004,R37,$O$5:$O$6004,"EM ANDAMENTO")))</f>
        <v/>
      </c>
      <c r="AA37" s="2" t="str">
        <f aca="false"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 customFormat="false" ht="15" hidden="false" customHeight="false" outlineLevel="0" collapsed="false">
      <c r="B38" s="4" t="n">
        <v>13543855</v>
      </c>
      <c r="C38" s="4" t="s">
        <v>73</v>
      </c>
      <c r="D38" s="4" t="s">
        <v>2378</v>
      </c>
      <c r="E38" s="4" t="s">
        <v>81</v>
      </c>
      <c r="F38" s="127" t="n">
        <v>45943</v>
      </c>
      <c r="G38" s="127" t="n">
        <v>45943</v>
      </c>
      <c r="H38" s="127" t="n">
        <v>46289</v>
      </c>
      <c r="I38" s="4" t="n">
        <v>100</v>
      </c>
      <c r="J38" s="4" t="n">
        <v>100</v>
      </c>
      <c r="K38" s="4" t="n">
        <v>100</v>
      </c>
      <c r="M38" s="2" t="str">
        <f aca="false">IF(C38="","",IFERROR(INDEX($S$5:$S$304,MATCH(C38,$R$5:$R$304,0))&amp;"","?"))</f>
        <v>15</v>
      </c>
      <c r="N38" s="2" t="str">
        <f aca="false">IF(E38="","",IF(ISNUMBER(SEARCH("SUBSOLO",E38)),IFERROR(-VALUE(LEFT(E38,FIND("º",SUBSTITUTE(E38,"°","º"))-1)),-1),IF(LEFT(E38,6)="TÉRREO",0,IFERROR(VALUE(LEFT(E38,FIND("º",SUBSTITUTE(E38,"°","º"))-1)),""))))</f>
        <v/>
      </c>
      <c r="O38" s="2" t="str">
        <f aca="false">IF(OR(F38="",G38=""),"",IF(G38&lt;='RETRATO 2027'!$K$5,"CONCLUÍDA",IF(F38&lt;='RETRATO 2027'!$K$5,"EM ANDAMENTO","A INICIAR")))</f>
        <v>CONCLUÍDA</v>
      </c>
      <c r="R38" s="4" t="s">
        <v>2379</v>
      </c>
      <c r="S38" s="4" t="s">
        <v>163</v>
      </c>
      <c r="T38" s="4" t="s">
        <v>2380</v>
      </c>
      <c r="U38" s="4" t="s">
        <v>2305</v>
      </c>
      <c r="V38" s="2" t="n">
        <f aca="false">IF(R38="","",COUNTIF($C$5:$C$6004,R38))</f>
        <v>4</v>
      </c>
      <c r="W38" s="2" t="n">
        <f aca="false">IF(R38="","",COUNTIFS($C$5:$C$6004,R38,$O$5:$O$6004,"CONCLUÍDA"))</f>
        <v>4</v>
      </c>
      <c r="X38" s="2" t="n">
        <f aca="false">IF(R38="","",COUNTIFS($C$5:$C$6004,R38,$O$5:$O$6004,"EM ANDAMENTO"))</f>
        <v>0</v>
      </c>
      <c r="Y38" s="2" t="str">
        <f aca="false">IF(R38="","",IF(COUNTIFS($C$5:$C$6004,R38,$O$5:$O$6004,"CONCLUÍDA",$N$5:$N$6004,"&gt;=-99")=0,"",_xlfn.MAXIFS($N$5:$N$6004,$C$5:$C$6004,R38,$O$5:$O$6004,"CONCLUÍDA")))</f>
        <v/>
      </c>
      <c r="Z38" s="2" t="str">
        <f aca="false">IF(R38="","",IF(COUNTIFS($C$5:$C$6004,R38,$O$5:$O$6004,"EM ANDAMENTO",$N$5:$N$6004,"&gt;=-99")=0,"",_xlfn.MAXIFS($N$5:$N$6004,$C$5:$C$6004,R38,$O$5:$O$6004,"EM ANDAMENTO")))</f>
        <v/>
      </c>
      <c r="AA38" s="2" t="str">
        <f aca="false"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 customFormat="false" ht="15" hidden="false" customHeight="false" outlineLevel="0" collapsed="false">
      <c r="B39" s="4" t="n">
        <v>13543856</v>
      </c>
      <c r="C39" s="4" t="s">
        <v>73</v>
      </c>
      <c r="D39" s="4" t="s">
        <v>2381</v>
      </c>
      <c r="E39" s="4" t="s">
        <v>81</v>
      </c>
      <c r="F39" s="127" t="n">
        <v>45944</v>
      </c>
      <c r="G39" s="127" t="n">
        <v>45944</v>
      </c>
      <c r="H39" s="127" t="n">
        <v>46289</v>
      </c>
      <c r="I39" s="4" t="n">
        <v>100</v>
      </c>
      <c r="J39" s="4" t="n">
        <v>100</v>
      </c>
      <c r="K39" s="4" t="n">
        <v>100</v>
      </c>
      <c r="M39" s="2" t="str">
        <f aca="false">IF(C39="","",IFERROR(INDEX($S$5:$S$304,MATCH(C39,$R$5:$R$304,0))&amp;"","?"))</f>
        <v>15</v>
      </c>
      <c r="N39" s="2" t="str">
        <f aca="false">IF(E39="","",IF(ISNUMBER(SEARCH("SUBSOLO",E39)),IFERROR(-VALUE(LEFT(E39,FIND("º",SUBSTITUTE(E39,"°","º"))-1)),-1),IF(LEFT(E39,6)="TÉRREO",0,IFERROR(VALUE(LEFT(E39,FIND("º",SUBSTITUTE(E39,"°","º"))-1)),""))))</f>
        <v/>
      </c>
      <c r="O39" s="2" t="str">
        <f aca="false">IF(OR(F39="",G39=""),"",IF(G39&lt;='RETRATO 2027'!$K$5,"CONCLUÍDA",IF(F39&lt;='RETRATO 2027'!$K$5,"EM ANDAMENTO","A INICIAR")))</f>
        <v>CONCLUÍDA</v>
      </c>
      <c r="R39" s="4" t="s">
        <v>2382</v>
      </c>
      <c r="S39" s="4" t="s">
        <v>223</v>
      </c>
      <c r="T39" s="4" t="s">
        <v>2383</v>
      </c>
      <c r="U39" s="4" t="s">
        <v>2305</v>
      </c>
      <c r="V39" s="2" t="n">
        <f aca="false">IF(R39="","",COUNTIF($C$5:$C$6004,R39))</f>
        <v>5</v>
      </c>
      <c r="W39" s="2" t="n">
        <f aca="false">IF(R39="","",COUNTIFS($C$5:$C$6004,R39,$O$5:$O$6004,"CONCLUÍDA"))</f>
        <v>5</v>
      </c>
      <c r="X39" s="2" t="n">
        <f aca="false">IF(R39="","",COUNTIFS($C$5:$C$6004,R39,$O$5:$O$6004,"EM ANDAMENTO"))</f>
        <v>0</v>
      </c>
      <c r="Y39" s="2" t="n">
        <f aca="false">IF(R39="","",IF(COUNTIFS($C$5:$C$6004,R39,$O$5:$O$6004,"CONCLUÍDA",$N$5:$N$6004,"&gt;=-99")=0,"",_xlfn.MAXIFS($N$5:$N$6004,$C$5:$C$6004,R39,$O$5:$O$6004,"CONCLUÍDA")))</f>
        <v>5</v>
      </c>
      <c r="Z39" s="2" t="str">
        <f aca="false">IF(R39="","",IF(COUNTIFS($C$5:$C$6004,R39,$O$5:$O$6004,"EM ANDAMENTO",$N$5:$N$6004,"&gt;=-99")=0,"",_xlfn.MAXIFS($N$5:$N$6004,$C$5:$C$6004,R39,$O$5:$O$6004,"EM ANDAMENTO")))</f>
        <v/>
      </c>
      <c r="AA39" s="2" t="str">
        <f aca="false"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 customFormat="false" ht="15" hidden="false" customHeight="false" outlineLevel="0" collapsed="false">
      <c r="B40" s="4" t="n">
        <v>13543857</v>
      </c>
      <c r="C40" s="4" t="s">
        <v>73</v>
      </c>
      <c r="D40" s="4" t="s">
        <v>2384</v>
      </c>
      <c r="E40" s="4" t="s">
        <v>81</v>
      </c>
      <c r="F40" s="127" t="n">
        <v>45945</v>
      </c>
      <c r="G40" s="127" t="n">
        <v>45945</v>
      </c>
      <c r="H40" s="127" t="n">
        <v>46289</v>
      </c>
      <c r="I40" s="4" t="n">
        <v>100</v>
      </c>
      <c r="J40" s="4" t="n">
        <v>100</v>
      </c>
      <c r="K40" s="4" t="n">
        <v>100</v>
      </c>
      <c r="M40" s="2" t="str">
        <f aca="false">IF(C40="","",IFERROR(INDEX($S$5:$S$304,MATCH(C40,$R$5:$R$304,0))&amp;"","?"))</f>
        <v>15</v>
      </c>
      <c r="N40" s="2" t="str">
        <f aca="false">IF(E40="","",IF(ISNUMBER(SEARCH("SUBSOLO",E40)),IFERROR(-VALUE(LEFT(E40,FIND("º",SUBSTITUTE(E40,"°","º"))-1)),-1),IF(LEFT(E40,6)="TÉRREO",0,IFERROR(VALUE(LEFT(E40,FIND("º",SUBSTITUTE(E40,"°","º"))-1)),""))))</f>
        <v/>
      </c>
      <c r="O40" s="2" t="str">
        <f aca="false">IF(OR(F40="",G40=""),"",IF(G40&lt;='RETRATO 2027'!$K$5,"CONCLUÍDA",IF(F40&lt;='RETRATO 2027'!$K$5,"EM ANDAMENTO","A INICIAR")))</f>
        <v>CONCLUÍDA</v>
      </c>
      <c r="R40" s="4" t="s">
        <v>2385</v>
      </c>
      <c r="S40" s="4" t="s">
        <v>156</v>
      </c>
      <c r="T40" s="4" t="s">
        <v>955</v>
      </c>
      <c r="U40" s="4" t="s">
        <v>2299</v>
      </c>
      <c r="V40" s="2" t="n">
        <f aca="false">IF(R40="","",COUNTIF($C$5:$C$6004,R40))</f>
        <v>1</v>
      </c>
      <c r="W40" s="2" t="n">
        <f aca="false">IF(R40="","",COUNTIFS($C$5:$C$6004,R40,$O$5:$O$6004,"CONCLUÍDA"))</f>
        <v>1</v>
      </c>
      <c r="X40" s="2" t="n">
        <f aca="false">IF(R40="","",COUNTIFS($C$5:$C$6004,R40,$O$5:$O$6004,"EM ANDAMENTO"))</f>
        <v>0</v>
      </c>
      <c r="Y40" s="2" t="str">
        <f aca="false">IF(R40="","",IF(COUNTIFS($C$5:$C$6004,R40,$O$5:$O$6004,"CONCLUÍDA",$N$5:$N$6004,"&gt;=-99")=0,"",_xlfn.MAXIFS($N$5:$N$6004,$C$5:$C$6004,R40,$O$5:$O$6004,"CONCLUÍDA")))</f>
        <v/>
      </c>
      <c r="Z40" s="2" t="str">
        <f aca="false">IF(R40="","",IF(COUNTIFS($C$5:$C$6004,R40,$O$5:$O$6004,"EM ANDAMENTO",$N$5:$N$6004,"&gt;=-99")=0,"",_xlfn.MAXIFS($N$5:$N$6004,$C$5:$C$6004,R40,$O$5:$O$6004,"EM ANDAMENTO")))</f>
        <v/>
      </c>
      <c r="AA40" s="2" t="str">
        <f aca="false"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>Tratamento de contenções: concluído</v>
      </c>
    </row>
    <row r="41" customFormat="false" ht="15" hidden="false" customHeight="false" outlineLevel="0" collapsed="false">
      <c r="B41" s="4" t="n">
        <v>13543858</v>
      </c>
      <c r="C41" s="4" t="s">
        <v>73</v>
      </c>
      <c r="D41" s="4" t="s">
        <v>2386</v>
      </c>
      <c r="E41" s="4" t="s">
        <v>81</v>
      </c>
      <c r="F41" s="127" t="n">
        <v>45946</v>
      </c>
      <c r="G41" s="127" t="n">
        <v>45946</v>
      </c>
      <c r="H41" s="127" t="n">
        <v>46289</v>
      </c>
      <c r="I41" s="4" t="n">
        <v>100</v>
      </c>
      <c r="J41" s="4" t="n">
        <v>100</v>
      </c>
      <c r="K41" s="4" t="n">
        <v>100</v>
      </c>
      <c r="M41" s="2" t="str">
        <f aca="false">IF(C41="","",IFERROR(INDEX($S$5:$S$304,MATCH(C41,$R$5:$R$304,0))&amp;"","?"))</f>
        <v>15</v>
      </c>
      <c r="N41" s="2" t="str">
        <f aca="false">IF(E41="","",IF(ISNUMBER(SEARCH("SUBSOLO",E41)),IFERROR(-VALUE(LEFT(E41,FIND("º",SUBSTITUTE(E41,"°","º"))-1)),-1),IF(LEFT(E41,6)="TÉRREO",0,IFERROR(VALUE(LEFT(E41,FIND("º",SUBSTITUTE(E41,"°","º"))-1)),""))))</f>
        <v/>
      </c>
      <c r="O41" s="2" t="str">
        <f aca="false">IF(OR(F41="",G41=""),"",IF(G41&lt;='RETRATO 2027'!$K$5,"CONCLUÍDA",IF(F41&lt;='RETRATO 2027'!$K$5,"EM ANDAMENTO","A INICIAR")))</f>
        <v>CONCLUÍDA</v>
      </c>
      <c r="R41" s="4" t="s">
        <v>2387</v>
      </c>
      <c r="S41" s="4" t="s">
        <v>176</v>
      </c>
      <c r="T41" s="4" t="s">
        <v>2388</v>
      </c>
      <c r="U41" s="4" t="s">
        <v>2305</v>
      </c>
      <c r="V41" s="2" t="n">
        <f aca="false">IF(R41="","",COUNTIF($C$5:$C$6004,R41))</f>
        <v>1</v>
      </c>
      <c r="W41" s="2" t="n">
        <f aca="false">IF(R41="","",COUNTIFS($C$5:$C$6004,R41,$O$5:$O$6004,"CONCLUÍDA"))</f>
        <v>1</v>
      </c>
      <c r="X41" s="2" t="n">
        <f aca="false">IF(R41="","",COUNTIFS($C$5:$C$6004,R41,$O$5:$O$6004,"EM ANDAMENTO"))</f>
        <v>0</v>
      </c>
      <c r="Y41" s="2" t="n">
        <f aca="false">IF(R41="","",IF(COUNTIFS($C$5:$C$6004,R41,$O$5:$O$6004,"CONCLUÍDA",$N$5:$N$6004,"&gt;=-99")=0,"",_xlfn.MAXIFS($N$5:$N$6004,$C$5:$C$6004,R41,$O$5:$O$6004,"CONCLUÍDA")))</f>
        <v>-1</v>
      </c>
      <c r="Z41" s="2" t="str">
        <f aca="false">IF(R41="","",IF(COUNTIFS($C$5:$C$6004,R41,$O$5:$O$6004,"EM ANDAMENTO",$N$5:$N$6004,"&gt;=-99")=0,"",_xlfn.MAXIFS($N$5:$N$6004,$C$5:$C$6004,R41,$O$5:$O$6004,"EM ANDAMENTO")))</f>
        <v/>
      </c>
      <c r="AA41" s="2" t="str">
        <f aca="false"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 customFormat="false" ht="15" hidden="false" customHeight="false" outlineLevel="0" collapsed="false">
      <c r="B42" s="4" t="n">
        <v>13543859</v>
      </c>
      <c r="C42" s="4" t="s">
        <v>73</v>
      </c>
      <c r="D42" s="4" t="s">
        <v>2389</v>
      </c>
      <c r="E42" s="4" t="s">
        <v>81</v>
      </c>
      <c r="F42" s="127" t="n">
        <v>45947</v>
      </c>
      <c r="G42" s="127" t="n">
        <v>45950</v>
      </c>
      <c r="H42" s="127" t="n">
        <v>46289</v>
      </c>
      <c r="I42" s="4" t="n">
        <v>100</v>
      </c>
      <c r="J42" s="4" t="n">
        <v>100</v>
      </c>
      <c r="K42" s="4" t="n">
        <v>100</v>
      </c>
      <c r="M42" s="2" t="str">
        <f aca="false">IF(C42="","",IFERROR(INDEX($S$5:$S$304,MATCH(C42,$R$5:$R$304,0))&amp;"","?"))</f>
        <v>15</v>
      </c>
      <c r="N42" s="2" t="str">
        <f aca="false">IF(E42="","",IF(ISNUMBER(SEARCH("SUBSOLO",E42)),IFERROR(-VALUE(LEFT(E42,FIND("º",SUBSTITUTE(E42,"°","º"))-1)),-1),IF(LEFT(E42,6)="TÉRREO",0,IFERROR(VALUE(LEFT(E42,FIND("º",SUBSTITUTE(E42,"°","º"))-1)),""))))</f>
        <v/>
      </c>
      <c r="O42" s="2" t="str">
        <f aca="false">IF(OR(F42="",G42=""),"",IF(G42&lt;='RETRATO 2027'!$K$5,"CONCLUÍDA",IF(F42&lt;='RETRATO 2027'!$K$5,"EM ANDAMENTO","A INICIAR")))</f>
        <v>CONCLUÍDA</v>
      </c>
      <c r="R42" s="4" t="s">
        <v>2390</v>
      </c>
      <c r="S42" s="4" t="s">
        <v>173</v>
      </c>
      <c r="T42" s="4" t="s">
        <v>2391</v>
      </c>
      <c r="U42" s="4" t="s">
        <v>2305</v>
      </c>
      <c r="V42" s="2" t="n">
        <f aca="false">IF(R42="","",COUNTIF($C$5:$C$6004,R42))</f>
        <v>1</v>
      </c>
      <c r="W42" s="2" t="n">
        <f aca="false">IF(R42="","",COUNTIFS($C$5:$C$6004,R42,$O$5:$O$6004,"CONCLUÍDA"))</f>
        <v>1</v>
      </c>
      <c r="X42" s="2" t="n">
        <f aca="false">IF(R42="","",COUNTIFS($C$5:$C$6004,R42,$O$5:$O$6004,"EM ANDAMENTO"))</f>
        <v>0</v>
      </c>
      <c r="Y42" s="2" t="n">
        <f aca="false">IF(R42="","",IF(COUNTIFS($C$5:$C$6004,R42,$O$5:$O$6004,"CONCLUÍDA",$N$5:$N$6004,"&gt;=-99")=0,"",_xlfn.MAXIFS($N$5:$N$6004,$C$5:$C$6004,R42,$O$5:$O$6004,"CONCLUÍDA")))</f>
        <v>-1</v>
      </c>
      <c r="Z42" s="2" t="str">
        <f aca="false">IF(R42="","",IF(COUNTIFS($C$5:$C$6004,R42,$O$5:$O$6004,"EM ANDAMENTO",$N$5:$N$6004,"&gt;=-99")=0,"",_xlfn.MAXIFS($N$5:$N$6004,$C$5:$C$6004,R42,$O$5:$O$6004,"EM ANDAMENTO")))</f>
        <v/>
      </c>
      <c r="AA42" s="2" t="str">
        <f aca="false"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 customFormat="false" ht="15" hidden="false" customHeight="false" outlineLevel="0" collapsed="false">
      <c r="B43" s="4" t="n">
        <v>13543860</v>
      </c>
      <c r="C43" s="4" t="s">
        <v>73</v>
      </c>
      <c r="D43" s="4" t="s">
        <v>2392</v>
      </c>
      <c r="E43" s="4" t="s">
        <v>81</v>
      </c>
      <c r="F43" s="127" t="n">
        <v>45951</v>
      </c>
      <c r="G43" s="127" t="n">
        <v>45951</v>
      </c>
      <c r="H43" s="127" t="n">
        <v>46289</v>
      </c>
      <c r="I43" s="4" t="n">
        <v>100</v>
      </c>
      <c r="J43" s="4" t="n">
        <v>100</v>
      </c>
      <c r="K43" s="4" t="n">
        <v>100</v>
      </c>
      <c r="M43" s="2" t="str">
        <f aca="false">IF(C43="","",IFERROR(INDEX($S$5:$S$304,MATCH(C43,$R$5:$R$304,0))&amp;"","?"))</f>
        <v>15</v>
      </c>
      <c r="N43" s="2" t="str">
        <f aca="false">IF(E43="","",IF(ISNUMBER(SEARCH("SUBSOLO",E43)),IFERROR(-VALUE(LEFT(E43,FIND("º",SUBSTITUTE(E43,"°","º"))-1)),-1),IF(LEFT(E43,6)="TÉRREO",0,IFERROR(VALUE(LEFT(E43,FIND("º",SUBSTITUTE(E43,"°","º"))-1)),""))))</f>
        <v/>
      </c>
      <c r="O43" s="2" t="str">
        <f aca="false">IF(OR(F43="",G43=""),"",IF(G43&lt;='RETRATO 2027'!$K$5,"CONCLUÍDA",IF(F43&lt;='RETRATO 2027'!$K$5,"EM ANDAMENTO","A INICIAR")))</f>
        <v>CONCLUÍDA</v>
      </c>
      <c r="R43" s="4" t="s">
        <v>2393</v>
      </c>
      <c r="S43" s="4" t="s">
        <v>165</v>
      </c>
      <c r="T43" s="4" t="s">
        <v>2394</v>
      </c>
      <c r="U43" s="4" t="s">
        <v>2305</v>
      </c>
      <c r="V43" s="2" t="n">
        <f aca="false">IF(R43="","",COUNTIF($C$5:$C$6004,R43))</f>
        <v>6</v>
      </c>
      <c r="W43" s="2" t="n">
        <f aca="false">IF(R43="","",COUNTIFS($C$5:$C$6004,R43,$O$5:$O$6004,"CONCLUÍDA"))</f>
        <v>6</v>
      </c>
      <c r="X43" s="2" t="n">
        <f aca="false">IF(R43="","",COUNTIFS($C$5:$C$6004,R43,$O$5:$O$6004,"EM ANDAMENTO"))</f>
        <v>0</v>
      </c>
      <c r="Y43" s="2" t="n">
        <f aca="false">IF(R43="","",IF(COUNTIFS($C$5:$C$6004,R43,$O$5:$O$6004,"CONCLUÍDA",$N$5:$N$6004,"&gt;=-99")=0,"",_xlfn.MAXIFS($N$5:$N$6004,$C$5:$C$6004,R43,$O$5:$O$6004,"CONCLUÍDA")))</f>
        <v>6</v>
      </c>
      <c r="Z43" s="2" t="str">
        <f aca="false">IF(R43="","",IF(COUNTIFS($C$5:$C$6004,R43,$O$5:$O$6004,"EM ANDAMENTO",$N$5:$N$6004,"&gt;=-99")=0,"",_xlfn.MAXIFS($N$5:$N$6004,$C$5:$C$6004,R43,$O$5:$O$6004,"EM ANDAMENTO")))</f>
        <v/>
      </c>
      <c r="AA43" s="2" t="str">
        <f aca="false"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 customFormat="false" ht="15" hidden="false" customHeight="false" outlineLevel="0" collapsed="false">
      <c r="B44" s="4" t="n">
        <v>13543861</v>
      </c>
      <c r="C44" s="4" t="s">
        <v>73</v>
      </c>
      <c r="D44" s="4" t="s">
        <v>2395</v>
      </c>
      <c r="E44" s="4" t="s">
        <v>81</v>
      </c>
      <c r="F44" s="127" t="n">
        <v>45952</v>
      </c>
      <c r="G44" s="127" t="n">
        <v>45952</v>
      </c>
      <c r="H44" s="127" t="n">
        <v>46289</v>
      </c>
      <c r="I44" s="4" t="n">
        <v>100</v>
      </c>
      <c r="J44" s="4" t="n">
        <v>100</v>
      </c>
      <c r="K44" s="4" t="n">
        <v>100</v>
      </c>
      <c r="M44" s="2" t="str">
        <f aca="false">IF(C44="","",IFERROR(INDEX($S$5:$S$304,MATCH(C44,$R$5:$R$304,0))&amp;"","?"))</f>
        <v>15</v>
      </c>
      <c r="N44" s="2" t="str">
        <f aca="false">IF(E44="","",IF(ISNUMBER(SEARCH("SUBSOLO",E44)),IFERROR(-VALUE(LEFT(E44,FIND("º",SUBSTITUTE(E44,"°","º"))-1)),-1),IF(LEFT(E44,6)="TÉRREO",0,IFERROR(VALUE(LEFT(E44,FIND("º",SUBSTITUTE(E44,"°","º"))-1)),""))))</f>
        <v/>
      </c>
      <c r="O44" s="2" t="str">
        <f aca="false">IF(OR(F44="",G44=""),"",IF(G44&lt;='RETRATO 2027'!$K$5,"CONCLUÍDA",IF(F44&lt;='RETRATO 2027'!$K$5,"EM ANDAMENTO","A INICIAR")))</f>
        <v>CONCLUÍDA</v>
      </c>
      <c r="R44" s="4" t="s">
        <v>2396</v>
      </c>
      <c r="S44" s="4" t="s">
        <v>173</v>
      </c>
      <c r="T44" s="4" t="s">
        <v>2397</v>
      </c>
      <c r="U44" s="4" t="s">
        <v>2305</v>
      </c>
      <c r="V44" s="2" t="n">
        <f aca="false">IF(R44="","",COUNTIF($C$5:$C$6004,R44))</f>
        <v>5</v>
      </c>
      <c r="W44" s="2" t="n">
        <f aca="false">IF(R44="","",COUNTIFS($C$5:$C$6004,R44,$O$5:$O$6004,"CONCLUÍDA"))</f>
        <v>5</v>
      </c>
      <c r="X44" s="2" t="n">
        <f aca="false">IF(R44="","",COUNTIFS($C$5:$C$6004,R44,$O$5:$O$6004,"EM ANDAMENTO"))</f>
        <v>0</v>
      </c>
      <c r="Y44" s="2" t="n">
        <f aca="false">IF(R44="","",IF(COUNTIFS($C$5:$C$6004,R44,$O$5:$O$6004,"CONCLUÍDA",$N$5:$N$6004,"&gt;=-99")=0,"",_xlfn.MAXIFS($N$5:$N$6004,$C$5:$C$6004,R44,$O$5:$O$6004,"CONCLUÍDA")))</f>
        <v>5</v>
      </c>
      <c r="Z44" s="2" t="str">
        <f aca="false">IF(R44="","",IF(COUNTIFS($C$5:$C$6004,R44,$O$5:$O$6004,"EM ANDAMENTO",$N$5:$N$6004,"&gt;=-99")=0,"",_xlfn.MAXIFS($N$5:$N$6004,$C$5:$C$6004,R44,$O$5:$O$6004,"EM ANDAMENTO")))</f>
        <v/>
      </c>
      <c r="AA44" s="2" t="str">
        <f aca="false"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 customFormat="false" ht="15" hidden="false" customHeight="false" outlineLevel="0" collapsed="false">
      <c r="B45" s="4" t="n">
        <v>13543862</v>
      </c>
      <c r="C45" s="4" t="s">
        <v>73</v>
      </c>
      <c r="D45" s="4" t="s">
        <v>2398</v>
      </c>
      <c r="E45" s="4" t="s">
        <v>81</v>
      </c>
      <c r="F45" s="127" t="n">
        <v>45953</v>
      </c>
      <c r="G45" s="127" t="n">
        <v>45953</v>
      </c>
      <c r="H45" s="127" t="n">
        <v>46289</v>
      </c>
      <c r="I45" s="4" t="n">
        <v>100</v>
      </c>
      <c r="J45" s="4" t="n">
        <v>100</v>
      </c>
      <c r="K45" s="4" t="n">
        <v>100</v>
      </c>
      <c r="M45" s="2" t="str">
        <f aca="false">IF(C45="","",IFERROR(INDEX($S$5:$S$304,MATCH(C45,$R$5:$R$304,0))&amp;"","?"))</f>
        <v>15</v>
      </c>
      <c r="N45" s="2" t="str">
        <f aca="false">IF(E45="","",IF(ISNUMBER(SEARCH("SUBSOLO",E45)),IFERROR(-VALUE(LEFT(E45,FIND("º",SUBSTITUTE(E45,"°","º"))-1)),-1),IF(LEFT(E45,6)="TÉRREO",0,IFERROR(VALUE(LEFT(E45,FIND("º",SUBSTITUTE(E45,"°","º"))-1)),""))))</f>
        <v/>
      </c>
      <c r="O45" s="2" t="str">
        <f aca="false">IF(OR(F45="",G45=""),"",IF(G45&lt;='RETRATO 2027'!$K$5,"CONCLUÍDA",IF(F45&lt;='RETRATO 2027'!$K$5,"EM ANDAMENTO","A INICIAR")))</f>
        <v>CONCLUÍDA</v>
      </c>
      <c r="R45" s="4" t="s">
        <v>2399</v>
      </c>
      <c r="S45" s="4" t="s">
        <v>165</v>
      </c>
      <c r="T45" s="4" t="s">
        <v>2400</v>
      </c>
      <c r="U45" s="4" t="s">
        <v>2305</v>
      </c>
      <c r="V45" s="2" t="n">
        <f aca="false">IF(R45="","",COUNTIF($C$5:$C$6004,R45))</f>
        <v>1</v>
      </c>
      <c r="W45" s="2" t="n">
        <f aca="false">IF(R45="","",COUNTIFS($C$5:$C$6004,R45,$O$5:$O$6004,"CONCLUÍDA"))</f>
        <v>1</v>
      </c>
      <c r="X45" s="2" t="n">
        <f aca="false">IF(R45="","",COUNTIFS($C$5:$C$6004,R45,$O$5:$O$6004,"EM ANDAMENTO"))</f>
        <v>0</v>
      </c>
      <c r="Y45" s="2" t="n">
        <f aca="false">IF(R45="","",IF(COUNTIFS($C$5:$C$6004,R45,$O$5:$O$6004,"CONCLUÍDA",$N$5:$N$6004,"&gt;=-99")=0,"",_xlfn.MAXIFS($N$5:$N$6004,$C$5:$C$6004,R45,$O$5:$O$6004,"CONCLUÍDA")))</f>
        <v>-1</v>
      </c>
      <c r="Z45" s="2" t="str">
        <f aca="false">IF(R45="","",IF(COUNTIFS($C$5:$C$6004,R45,$O$5:$O$6004,"EM ANDAMENTO",$N$5:$N$6004,"&gt;=-99")=0,"",_xlfn.MAXIFS($N$5:$N$6004,$C$5:$C$6004,R45,$O$5:$O$6004,"EM ANDAMENTO")))</f>
        <v/>
      </c>
      <c r="AA45" s="2" t="str">
        <f aca="false"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 customFormat="false" ht="15" hidden="false" customHeight="false" outlineLevel="0" collapsed="false">
      <c r="B46" s="4" t="n">
        <v>13543863</v>
      </c>
      <c r="C46" s="4" t="s">
        <v>73</v>
      </c>
      <c r="D46" s="4" t="s">
        <v>2401</v>
      </c>
      <c r="E46" s="4" t="s">
        <v>81</v>
      </c>
      <c r="F46" s="127" t="n">
        <v>45954</v>
      </c>
      <c r="G46" s="127" t="n">
        <v>45954</v>
      </c>
      <c r="H46" s="127" t="n">
        <v>46289</v>
      </c>
      <c r="I46" s="4" t="n">
        <v>100</v>
      </c>
      <c r="J46" s="4" t="n">
        <v>100</v>
      </c>
      <c r="K46" s="4" t="n">
        <v>100</v>
      </c>
      <c r="M46" s="2" t="str">
        <f aca="false">IF(C46="","",IFERROR(INDEX($S$5:$S$304,MATCH(C46,$R$5:$R$304,0))&amp;"","?"))</f>
        <v>15</v>
      </c>
      <c r="N46" s="2" t="str">
        <f aca="false">IF(E46="","",IF(ISNUMBER(SEARCH("SUBSOLO",E46)),IFERROR(-VALUE(LEFT(E46,FIND("º",SUBSTITUTE(E46,"°","º"))-1)),-1),IF(LEFT(E46,6)="TÉRREO",0,IFERROR(VALUE(LEFT(E46,FIND("º",SUBSTITUTE(E46,"°","º"))-1)),""))))</f>
        <v/>
      </c>
      <c r="O46" s="2" t="str">
        <f aca="false">IF(OR(F46="",G46=""),"",IF(G46&lt;='RETRATO 2027'!$K$5,"CONCLUÍDA",IF(F46&lt;='RETRATO 2027'!$K$5,"EM ANDAMENTO","A INICIAR")))</f>
        <v>CONCLUÍDA</v>
      </c>
      <c r="R46" s="4" t="s">
        <v>2402</v>
      </c>
      <c r="S46" s="4" t="s">
        <v>163</v>
      </c>
      <c r="T46" s="4" t="s">
        <v>2403</v>
      </c>
      <c r="U46" s="4" t="s">
        <v>2305</v>
      </c>
      <c r="V46" s="2" t="n">
        <f aca="false">IF(R46="","",COUNTIF($C$5:$C$6004,R46))</f>
        <v>4</v>
      </c>
      <c r="W46" s="2" t="n">
        <f aca="false">IF(R46="","",COUNTIFS($C$5:$C$6004,R46,$O$5:$O$6004,"CONCLUÍDA"))</f>
        <v>4</v>
      </c>
      <c r="X46" s="2" t="n">
        <f aca="false">IF(R46="","",COUNTIFS($C$5:$C$6004,R46,$O$5:$O$6004,"EM ANDAMENTO"))</f>
        <v>0</v>
      </c>
      <c r="Y46" s="2" t="str">
        <f aca="false">IF(R46="","",IF(COUNTIFS($C$5:$C$6004,R46,$O$5:$O$6004,"CONCLUÍDA",$N$5:$N$6004,"&gt;=-99")=0,"",_xlfn.MAXIFS($N$5:$N$6004,$C$5:$C$6004,R46,$O$5:$O$6004,"CONCLUÍDA")))</f>
        <v/>
      </c>
      <c r="Z46" s="2" t="str">
        <f aca="false">IF(R46="","",IF(COUNTIFS($C$5:$C$6004,R46,$O$5:$O$6004,"EM ANDAMENTO",$N$5:$N$6004,"&gt;=-99")=0,"",_xlfn.MAXIFS($N$5:$N$6004,$C$5:$C$6004,R46,$O$5:$O$6004,"EM ANDAMENTO")))</f>
        <v/>
      </c>
      <c r="AA46" s="2" t="str">
        <f aca="false"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 customFormat="false" ht="15" hidden="false" customHeight="false" outlineLevel="0" collapsed="false">
      <c r="B47" s="4" t="n">
        <v>13543864</v>
      </c>
      <c r="C47" s="4" t="s">
        <v>73</v>
      </c>
      <c r="D47" s="4" t="s">
        <v>2404</v>
      </c>
      <c r="E47" s="4" t="s">
        <v>81</v>
      </c>
      <c r="F47" s="127" t="n">
        <v>45957</v>
      </c>
      <c r="G47" s="127" t="n">
        <v>45957</v>
      </c>
      <c r="H47" s="127" t="n">
        <v>46289</v>
      </c>
      <c r="I47" s="4" t="n">
        <v>100</v>
      </c>
      <c r="J47" s="4" t="n">
        <v>100</v>
      </c>
      <c r="K47" s="4" t="n">
        <v>100</v>
      </c>
      <c r="M47" s="2" t="str">
        <f aca="false">IF(C47="","",IFERROR(INDEX($S$5:$S$304,MATCH(C47,$R$5:$R$304,0))&amp;"","?"))</f>
        <v>15</v>
      </c>
      <c r="N47" s="2" t="str">
        <f aca="false">IF(E47="","",IF(ISNUMBER(SEARCH("SUBSOLO",E47)),IFERROR(-VALUE(LEFT(E47,FIND("º",SUBSTITUTE(E47,"°","º"))-1)),-1),IF(LEFT(E47,6)="TÉRREO",0,IFERROR(VALUE(LEFT(E47,FIND("º",SUBSTITUTE(E47,"°","º"))-1)),""))))</f>
        <v/>
      </c>
      <c r="O47" s="2" t="str">
        <f aca="false">IF(OR(F47="",G47=""),"",IF(G47&lt;='RETRATO 2027'!$K$5,"CONCLUÍDA",IF(F47&lt;='RETRATO 2027'!$K$5,"EM ANDAMENTO","A INICIAR")))</f>
        <v>CONCLUÍDA</v>
      </c>
      <c r="R47" s="4" t="s">
        <v>168</v>
      </c>
      <c r="S47" s="4" t="s">
        <v>167</v>
      </c>
      <c r="T47" s="4" t="s">
        <v>2405</v>
      </c>
      <c r="U47" s="4" t="s">
        <v>2299</v>
      </c>
      <c r="V47" s="2" t="n">
        <f aca="false">IF(R47="","",COUNTIF($C$5:$C$6004,R47))</f>
        <v>50</v>
      </c>
      <c r="W47" s="2" t="n">
        <f aca="false">IF(R47="","",COUNTIFS($C$5:$C$6004,R47,$O$5:$O$6004,"CONCLUÍDA"))</f>
        <v>36</v>
      </c>
      <c r="X47" s="2" t="n">
        <f aca="false">IF(R47="","",COUNTIFS($C$5:$C$6004,R47,$O$5:$O$6004,"EM ANDAMENTO"))</f>
        <v>7</v>
      </c>
      <c r="Y47" s="2" t="n">
        <f aca="false">IF(R47="","",IF(COUNTIFS($C$5:$C$6004,R47,$O$5:$O$6004,"CONCLUÍDA",$N$5:$N$6004,"&gt;=-99")=0,"",_xlfn.MAXIFS($N$5:$N$6004,$C$5:$C$6004,R47,$O$5:$O$6004,"CONCLUÍDA")))</f>
        <v>28</v>
      </c>
      <c r="Z47" s="2" t="n">
        <f aca="false">IF(R47="","",IF(COUNTIFS($C$5:$C$6004,R47,$O$5:$O$6004,"EM ANDAMENTO",$N$5:$N$6004,"&gt;=-99")=0,"",_xlfn.MAXIFS($N$5:$N$6004,$C$5:$C$6004,R47,$O$5:$O$6004,"EM ANDAMENTO")))</f>
        <v>29</v>
      </c>
      <c r="AA47" s="2" t="str">
        <f aca="false"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>Alvenaria: até 28º pav., executando 29º pav.</v>
      </c>
    </row>
    <row r="48" customFormat="false" ht="15" hidden="false" customHeight="false" outlineLevel="0" collapsed="false">
      <c r="B48" s="4" t="n">
        <v>13543865</v>
      </c>
      <c r="C48" s="4" t="s">
        <v>73</v>
      </c>
      <c r="D48" s="4" t="s">
        <v>2406</v>
      </c>
      <c r="E48" s="4" t="s">
        <v>81</v>
      </c>
      <c r="F48" s="127" t="n">
        <v>45958</v>
      </c>
      <c r="G48" s="127" t="n">
        <v>45958</v>
      </c>
      <c r="H48" s="127" t="n">
        <v>46289</v>
      </c>
      <c r="I48" s="4" t="n">
        <v>100</v>
      </c>
      <c r="J48" s="4" t="n">
        <v>100</v>
      </c>
      <c r="K48" s="4" t="n">
        <v>100</v>
      </c>
      <c r="M48" s="2" t="str">
        <f aca="false">IF(C48="","",IFERROR(INDEX($S$5:$S$304,MATCH(C48,$R$5:$R$304,0))&amp;"","?"))</f>
        <v>15</v>
      </c>
      <c r="N48" s="2" t="str">
        <f aca="false">IF(E48="","",IF(ISNUMBER(SEARCH("SUBSOLO",E48)),IFERROR(-VALUE(LEFT(E48,FIND("º",SUBSTITUTE(E48,"°","º"))-1)),-1),IF(LEFT(E48,6)="TÉRREO",0,IFERROR(VALUE(LEFT(E48,FIND("º",SUBSTITUTE(E48,"°","º"))-1)),""))))</f>
        <v/>
      </c>
      <c r="O48" s="2" t="str">
        <f aca="false">IF(OR(F48="",G48=""),"",IF(G48&lt;='RETRATO 2027'!$K$5,"CONCLUÍDA",IF(F48&lt;='RETRATO 2027'!$K$5,"EM ANDAMENTO","A INICIAR")))</f>
        <v>CONCLUÍDA</v>
      </c>
      <c r="R48" s="4" t="s">
        <v>2407</v>
      </c>
      <c r="S48" s="4" t="s">
        <v>163</v>
      </c>
      <c r="T48" s="4" t="s">
        <v>2408</v>
      </c>
      <c r="U48" s="4" t="s">
        <v>2305</v>
      </c>
      <c r="V48" s="2" t="n">
        <f aca="false">IF(R48="","",COUNTIF($C$5:$C$6004,R48))</f>
        <v>1</v>
      </c>
      <c r="W48" s="2" t="n">
        <f aca="false">IF(R48="","",COUNTIFS($C$5:$C$6004,R48,$O$5:$O$6004,"CONCLUÍDA"))</f>
        <v>1</v>
      </c>
      <c r="X48" s="2" t="n">
        <f aca="false">IF(R48="","",COUNTIFS($C$5:$C$6004,R48,$O$5:$O$6004,"EM ANDAMENTO"))</f>
        <v>0</v>
      </c>
      <c r="Y48" s="2" t="str">
        <f aca="false">IF(R48="","",IF(COUNTIFS($C$5:$C$6004,R48,$O$5:$O$6004,"CONCLUÍDA",$N$5:$N$6004,"&gt;=-99")=0,"",_xlfn.MAXIFS($N$5:$N$6004,$C$5:$C$6004,R48,$O$5:$O$6004,"CONCLUÍDA")))</f>
        <v/>
      </c>
      <c r="Z48" s="2" t="str">
        <f aca="false">IF(R48="","",IF(COUNTIFS($C$5:$C$6004,R48,$O$5:$O$6004,"EM ANDAMENTO",$N$5:$N$6004,"&gt;=-99")=0,"",_xlfn.MAXIFS($N$5:$N$6004,$C$5:$C$6004,R48,$O$5:$O$6004,"EM ANDAMENTO")))</f>
        <v/>
      </c>
      <c r="AA48" s="2" t="str">
        <f aca="false"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 customFormat="false" ht="15" hidden="false" customHeight="false" outlineLevel="0" collapsed="false">
      <c r="B49" s="4" t="n">
        <v>13584629</v>
      </c>
      <c r="C49" s="4" t="s">
        <v>73</v>
      </c>
      <c r="D49" s="4" t="s">
        <v>2409</v>
      </c>
      <c r="E49" s="4" t="s">
        <v>81</v>
      </c>
      <c r="F49" s="127" t="n">
        <v>45959</v>
      </c>
      <c r="G49" s="127" t="n">
        <v>45959</v>
      </c>
      <c r="H49" s="127" t="n">
        <v>46289</v>
      </c>
      <c r="I49" s="4" t="n">
        <v>100</v>
      </c>
      <c r="J49" s="4" t="n">
        <v>100</v>
      </c>
      <c r="K49" s="4" t="n">
        <v>100</v>
      </c>
      <c r="M49" s="2" t="str">
        <f aca="false">IF(C49="","",IFERROR(INDEX($S$5:$S$304,MATCH(C49,$R$5:$R$304,0))&amp;"","?"))</f>
        <v>15</v>
      </c>
      <c r="N49" s="2" t="str">
        <f aca="false">IF(E49="","",IF(ISNUMBER(SEARCH("SUBSOLO",E49)),IFERROR(-VALUE(LEFT(E49,FIND("º",SUBSTITUTE(E49,"°","º"))-1)),-1),IF(LEFT(E49,6)="TÉRREO",0,IFERROR(VALUE(LEFT(E49,FIND("º",SUBSTITUTE(E49,"°","º"))-1)),""))))</f>
        <v/>
      </c>
      <c r="O49" s="2" t="str">
        <f aca="false">IF(OR(F49="",G49=""),"",IF(G49&lt;='RETRATO 2027'!$K$5,"CONCLUÍDA",IF(F49&lt;='RETRATO 2027'!$K$5,"EM ANDAMENTO","A INICIAR")))</f>
        <v>CONCLUÍDA</v>
      </c>
      <c r="R49" s="4" t="s">
        <v>2410</v>
      </c>
      <c r="S49" s="4" t="s">
        <v>179</v>
      </c>
      <c r="T49" s="4" t="s">
        <v>2411</v>
      </c>
      <c r="U49" s="4" t="s">
        <v>2299</v>
      </c>
      <c r="V49" s="2" t="n">
        <f aca="false">IF(R49="","",COUNTIF($C$5:$C$6004,R49))</f>
        <v>35</v>
      </c>
      <c r="W49" s="2" t="n">
        <f aca="false">IF(R49="","",COUNTIFS($C$5:$C$6004,R49,$O$5:$O$6004,"CONCLUÍDA"))</f>
        <v>29</v>
      </c>
      <c r="X49" s="2" t="n">
        <f aca="false">IF(R49="","",COUNTIFS($C$5:$C$6004,R49,$O$5:$O$6004,"EM ANDAMENTO"))</f>
        <v>1</v>
      </c>
      <c r="Y49" s="2" t="n">
        <f aca="false">IF(R49="","",IF(COUNTIFS($C$5:$C$6004,R49,$O$5:$O$6004,"CONCLUÍDA",$N$5:$N$6004,"&gt;=-99")=0,"",_xlfn.MAXIFS($N$5:$N$6004,$C$5:$C$6004,R49,$O$5:$O$6004,"CONCLUÍDA")))</f>
        <v>27</v>
      </c>
      <c r="Z49" s="2" t="n">
        <f aca="false">IF(R49="","",IF(COUNTIFS($C$5:$C$6004,R49,$O$5:$O$6004,"EM ANDAMENTO",$N$5:$N$6004,"&gt;=-99")=0,"",_xlfn.MAXIFS($N$5:$N$6004,$C$5:$C$6004,R49,$O$5:$O$6004,"EM ANDAMENTO")))</f>
        <v>28</v>
      </c>
      <c r="AA49" s="2" t="str">
        <f aca="false"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>Prumada de incêndio: até 27º pav., executando 28º pav.</v>
      </c>
    </row>
    <row r="50" customFormat="false" ht="15" hidden="false" customHeight="false" outlineLevel="0" collapsed="false">
      <c r="B50" s="4" t="n">
        <v>13584630</v>
      </c>
      <c r="C50" s="4" t="s">
        <v>73</v>
      </c>
      <c r="D50" s="4" t="s">
        <v>2412</v>
      </c>
      <c r="E50" s="4" t="s">
        <v>81</v>
      </c>
      <c r="F50" s="127" t="n">
        <v>45960</v>
      </c>
      <c r="G50" s="127" t="n">
        <v>45960</v>
      </c>
      <c r="H50" s="127" t="n">
        <v>46289</v>
      </c>
      <c r="I50" s="4" t="n">
        <v>100</v>
      </c>
      <c r="J50" s="4" t="n">
        <v>100</v>
      </c>
      <c r="K50" s="4" t="n">
        <v>100</v>
      </c>
      <c r="M50" s="2" t="str">
        <f aca="false">IF(C50="","",IFERROR(INDEX($S$5:$S$304,MATCH(C50,$R$5:$R$304,0))&amp;"","?"))</f>
        <v>15</v>
      </c>
      <c r="N50" s="2" t="str">
        <f aca="false">IF(E50="","",IF(ISNUMBER(SEARCH("SUBSOLO",E50)),IFERROR(-VALUE(LEFT(E50,FIND("º",SUBSTITUTE(E50,"°","º"))-1)),-1),IF(LEFT(E50,6)="TÉRREO",0,IFERROR(VALUE(LEFT(E50,FIND("º",SUBSTITUTE(E50,"°","º"))-1)),""))))</f>
        <v/>
      </c>
      <c r="O50" s="2" t="str">
        <f aca="false">IF(OR(F50="",G50=""),"",IF(G50&lt;='RETRATO 2027'!$K$5,"CONCLUÍDA",IF(F50&lt;='RETRATO 2027'!$K$5,"EM ANDAMENTO","A INICIAR")))</f>
        <v>CONCLUÍDA</v>
      </c>
      <c r="R50" s="4" t="s">
        <v>2413</v>
      </c>
      <c r="S50" s="4" t="s">
        <v>176</v>
      </c>
      <c r="T50" s="4" t="s">
        <v>2414</v>
      </c>
      <c r="U50" s="4" t="s">
        <v>2299</v>
      </c>
      <c r="V50" s="2" t="n">
        <f aca="false">IF(R50="","",COUNTIF($C$5:$C$6004,R50))</f>
        <v>46</v>
      </c>
      <c r="W50" s="2" t="n">
        <f aca="false">IF(R50="","",COUNTIFS($C$5:$C$6004,R50,$O$5:$O$6004,"CONCLUÍDA"))</f>
        <v>32</v>
      </c>
      <c r="X50" s="2" t="n">
        <f aca="false">IF(R50="","",COUNTIFS($C$5:$C$6004,R50,$O$5:$O$6004,"EM ANDAMENTO"))</f>
        <v>2</v>
      </c>
      <c r="Y50" s="2" t="n">
        <f aca="false">IF(R50="","",IF(COUNTIFS($C$5:$C$6004,R50,$O$5:$O$6004,"CONCLUÍDA",$N$5:$N$6004,"&gt;=-99")=0,"",_xlfn.MAXIFS($N$5:$N$6004,$C$5:$C$6004,R50,$O$5:$O$6004,"CONCLUÍDA")))</f>
        <v>27</v>
      </c>
      <c r="Z50" s="2" t="n">
        <f aca="false">IF(R50="","",IF(COUNTIFS($C$5:$C$6004,R50,$O$5:$O$6004,"EM ANDAMENTO",$N$5:$N$6004,"&gt;=-99")=0,"",_xlfn.MAXIFS($N$5:$N$6004,$C$5:$C$6004,R50,$O$5:$O$6004,"EM ANDAMENTO")))</f>
        <v>28</v>
      </c>
      <c r="AA50" s="2" t="str">
        <f aca="false"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>Prumada hidrossanitária: até 27º pav., executando 28º pav.</v>
      </c>
    </row>
    <row r="51" customFormat="false" ht="15" hidden="false" customHeight="false" outlineLevel="0" collapsed="false">
      <c r="B51" s="4" t="n">
        <v>13584631</v>
      </c>
      <c r="C51" s="4" t="s">
        <v>73</v>
      </c>
      <c r="D51" s="4" t="s">
        <v>2415</v>
      </c>
      <c r="E51" s="4" t="s">
        <v>81</v>
      </c>
      <c r="F51" s="127" t="n">
        <v>45961</v>
      </c>
      <c r="G51" s="127" t="n">
        <v>45961</v>
      </c>
      <c r="H51" s="127" t="n">
        <v>46289</v>
      </c>
      <c r="I51" s="4" t="n">
        <v>100</v>
      </c>
      <c r="J51" s="4" t="n">
        <v>100</v>
      </c>
      <c r="K51" s="4" t="n">
        <v>100</v>
      </c>
      <c r="M51" s="2" t="str">
        <f aca="false">IF(C51="","",IFERROR(INDEX($S$5:$S$304,MATCH(C51,$R$5:$R$304,0))&amp;"","?"))</f>
        <v>15</v>
      </c>
      <c r="N51" s="2" t="str">
        <f aca="false">IF(E51="","",IF(ISNUMBER(SEARCH("SUBSOLO",E51)),IFERROR(-VALUE(LEFT(E51,FIND("º",SUBSTITUTE(E51,"°","º"))-1)),-1),IF(LEFT(E51,6)="TÉRREO",0,IFERROR(VALUE(LEFT(E51,FIND("º",SUBSTITUTE(E51,"°","º"))-1)),""))))</f>
        <v/>
      </c>
      <c r="O51" s="2" t="str">
        <f aca="false">IF(OR(F51="",G51=""),"",IF(G51&lt;='RETRATO 2027'!$K$5,"CONCLUÍDA",IF(F51&lt;='RETRATO 2027'!$K$5,"EM ANDAMENTO","A INICIAR")))</f>
        <v>CONCLUÍDA</v>
      </c>
      <c r="R51" s="4" t="s">
        <v>2416</v>
      </c>
      <c r="S51" s="4" t="s">
        <v>167</v>
      </c>
      <c r="T51" s="4" t="s">
        <v>2417</v>
      </c>
      <c r="U51" s="4" t="s">
        <v>2299</v>
      </c>
      <c r="V51" s="2" t="n">
        <f aca="false">IF(R51="","",COUNTIF($C$5:$C$6004,R51))</f>
        <v>46</v>
      </c>
      <c r="W51" s="2" t="n">
        <f aca="false">IF(R51="","",COUNTIFS($C$5:$C$6004,R51,$O$5:$O$6004,"CONCLUÍDA"))</f>
        <v>34</v>
      </c>
      <c r="X51" s="2" t="n">
        <f aca="false">IF(R51="","",COUNTIFS($C$5:$C$6004,R51,$O$5:$O$6004,"EM ANDAMENTO"))</f>
        <v>0</v>
      </c>
      <c r="Y51" s="2" t="n">
        <f aca="false">IF(R51="","",IF(COUNTIFS($C$5:$C$6004,R51,$O$5:$O$6004,"CONCLUÍDA",$N$5:$N$6004,"&gt;=-99")=0,"",_xlfn.MAXIFS($N$5:$N$6004,$C$5:$C$6004,R51,$O$5:$O$6004,"CONCLUÍDA")))</f>
        <v>27</v>
      </c>
      <c r="Z51" s="2" t="str">
        <f aca="false">IF(R51="","",IF(COUNTIFS($C$5:$C$6004,R51,$O$5:$O$6004,"EM ANDAMENTO",$N$5:$N$6004,"&gt;=-99")=0,"",_xlfn.MAXIFS($N$5:$N$6004,$C$5:$C$6004,R51,$O$5:$O$6004,"EM ANDAMENTO")))</f>
        <v/>
      </c>
      <c r="AA51" s="2" t="str">
        <f aca="false"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>Encunhamento: até 27º pav.</v>
      </c>
    </row>
    <row r="52" customFormat="false" ht="15" hidden="false" customHeight="false" outlineLevel="0" collapsed="false">
      <c r="B52" s="4" t="n">
        <v>13584632</v>
      </c>
      <c r="C52" s="4" t="s">
        <v>73</v>
      </c>
      <c r="D52" s="4" t="s">
        <v>2418</v>
      </c>
      <c r="E52" s="4" t="s">
        <v>81</v>
      </c>
      <c r="F52" s="127" t="n">
        <v>45964</v>
      </c>
      <c r="G52" s="127" t="n">
        <v>45964</v>
      </c>
      <c r="H52" s="127" t="n">
        <v>46289</v>
      </c>
      <c r="I52" s="4" t="n">
        <v>100</v>
      </c>
      <c r="J52" s="4" t="n">
        <v>100</v>
      </c>
      <c r="K52" s="4" t="n">
        <v>100</v>
      </c>
      <c r="M52" s="2" t="str">
        <f aca="false">IF(C52="","",IFERROR(INDEX($S$5:$S$304,MATCH(C52,$R$5:$R$304,0))&amp;"","?"))</f>
        <v>15</v>
      </c>
      <c r="N52" s="2" t="str">
        <f aca="false">IF(E52="","",IF(ISNUMBER(SEARCH("SUBSOLO",E52)),IFERROR(-VALUE(LEFT(E52,FIND("º",SUBSTITUTE(E52,"°","º"))-1)),-1),IF(LEFT(E52,6)="TÉRREO",0,IFERROR(VALUE(LEFT(E52,FIND("º",SUBSTITUTE(E52,"°","º"))-1)),""))))</f>
        <v/>
      </c>
      <c r="O52" s="2" t="str">
        <f aca="false">IF(OR(F52="",G52=""),"",IF(G52&lt;='RETRATO 2027'!$K$5,"CONCLUÍDA",IF(F52&lt;='RETRATO 2027'!$K$5,"EM ANDAMENTO","A INICIAR")))</f>
        <v>CONCLUÍDA</v>
      </c>
      <c r="R52" s="4" t="s">
        <v>2419</v>
      </c>
      <c r="S52" s="4" t="s">
        <v>167</v>
      </c>
      <c r="T52" s="4" t="s">
        <v>2420</v>
      </c>
      <c r="U52" s="4" t="s">
        <v>2305</v>
      </c>
      <c r="V52" s="2" t="n">
        <f aca="false">IF(R52="","",COUNTIF($C$5:$C$6004,R52))</f>
        <v>1</v>
      </c>
      <c r="W52" s="2" t="n">
        <f aca="false">IF(R52="","",COUNTIFS($C$5:$C$6004,R52,$O$5:$O$6004,"CONCLUÍDA"))</f>
        <v>1</v>
      </c>
      <c r="X52" s="2" t="n">
        <f aca="false">IF(R52="","",COUNTIFS($C$5:$C$6004,R52,$O$5:$O$6004,"EM ANDAMENTO"))</f>
        <v>0</v>
      </c>
      <c r="Y52" s="2" t="str">
        <f aca="false">IF(R52="","",IF(COUNTIFS($C$5:$C$6004,R52,$O$5:$O$6004,"CONCLUÍDA",$N$5:$N$6004,"&gt;=-99")=0,"",_xlfn.MAXIFS($N$5:$N$6004,$C$5:$C$6004,R52,$O$5:$O$6004,"CONCLUÍDA")))</f>
        <v/>
      </c>
      <c r="Z52" s="2" t="str">
        <f aca="false">IF(R52="","",IF(COUNTIFS($C$5:$C$6004,R52,$O$5:$O$6004,"EM ANDAMENTO",$N$5:$N$6004,"&gt;=-99")=0,"",_xlfn.MAXIFS($N$5:$N$6004,$C$5:$C$6004,R52,$O$5:$O$6004,"EM ANDAMENTO")))</f>
        <v/>
      </c>
      <c r="AA52" s="2" t="str">
        <f aca="false"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 customFormat="false" ht="15" hidden="false" customHeight="false" outlineLevel="0" collapsed="false">
      <c r="B53" s="4" t="n">
        <v>13584633</v>
      </c>
      <c r="C53" s="4" t="s">
        <v>73</v>
      </c>
      <c r="D53" s="4" t="s">
        <v>2421</v>
      </c>
      <c r="E53" s="4" t="s">
        <v>81</v>
      </c>
      <c r="F53" s="127" t="n">
        <v>45965</v>
      </c>
      <c r="G53" s="127" t="n">
        <v>45965</v>
      </c>
      <c r="H53" s="127" t="n">
        <v>46289</v>
      </c>
      <c r="I53" s="4" t="n">
        <v>100</v>
      </c>
      <c r="J53" s="4" t="n">
        <v>100</v>
      </c>
      <c r="K53" s="4" t="n">
        <v>100</v>
      </c>
      <c r="M53" s="2" t="str">
        <f aca="false">IF(C53="","",IFERROR(INDEX($S$5:$S$304,MATCH(C53,$R$5:$R$304,0))&amp;"","?"))</f>
        <v>15</v>
      </c>
      <c r="N53" s="2" t="str">
        <f aca="false">IF(E53="","",IF(ISNUMBER(SEARCH("SUBSOLO",E53)),IFERROR(-VALUE(LEFT(E53,FIND("º",SUBSTITUTE(E53,"°","º"))-1)),-1),IF(LEFT(E53,6)="TÉRREO",0,IFERROR(VALUE(LEFT(E53,FIND("º",SUBSTITUTE(E53,"°","º"))-1)),""))))</f>
        <v/>
      </c>
      <c r="O53" s="2" t="str">
        <f aca="false">IF(OR(F53="",G53=""),"",IF(G53&lt;='RETRATO 2027'!$K$5,"CONCLUÍDA",IF(F53&lt;='RETRATO 2027'!$K$5,"EM ANDAMENTO","A INICIAR")))</f>
        <v>CONCLUÍDA</v>
      </c>
      <c r="R53" s="4" t="s">
        <v>2422</v>
      </c>
      <c r="S53" s="4" t="s">
        <v>202</v>
      </c>
      <c r="T53" s="4" t="s">
        <v>2423</v>
      </c>
      <c r="U53" s="4" t="s">
        <v>2299</v>
      </c>
      <c r="V53" s="2" t="n">
        <f aca="false">IF(R53="","",COUNTIF($C$5:$C$6004,R53))</f>
        <v>46</v>
      </c>
      <c r="W53" s="2" t="n">
        <f aca="false">IF(R53="","",COUNTIFS($C$5:$C$6004,R53,$O$5:$O$6004,"CONCLUÍDA"))</f>
        <v>33</v>
      </c>
      <c r="X53" s="2" t="n">
        <f aca="false">IF(R53="","",COUNTIFS($C$5:$C$6004,R53,$O$5:$O$6004,"EM ANDAMENTO"))</f>
        <v>2</v>
      </c>
      <c r="Y53" s="2" t="n">
        <f aca="false">IF(R53="","",IF(COUNTIFS($C$5:$C$6004,R53,$O$5:$O$6004,"CONCLUÍDA",$N$5:$N$6004,"&gt;=-99")=0,"",_xlfn.MAXIFS($N$5:$N$6004,$C$5:$C$6004,R53,$O$5:$O$6004,"CONCLUÍDA")))</f>
        <v>26</v>
      </c>
      <c r="Z53" s="2" t="n">
        <f aca="false">IF(R53="","",IF(COUNTIFS($C$5:$C$6004,R53,$O$5:$O$6004,"EM ANDAMENTO",$N$5:$N$6004,"&gt;=-99")=0,"",_xlfn.MAXIFS($N$5:$N$6004,$C$5:$C$6004,R53,$O$5:$O$6004,"EM ANDAMENTO")))</f>
        <v>27</v>
      </c>
      <c r="AA53" s="2" t="str">
        <f aca="false"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>Taliscamento: até 26º pav., executando 27º pav.</v>
      </c>
    </row>
    <row r="54" customFormat="false" ht="15" hidden="false" customHeight="false" outlineLevel="0" collapsed="false">
      <c r="B54" s="4" t="n">
        <v>13584634</v>
      </c>
      <c r="C54" s="4" t="s">
        <v>73</v>
      </c>
      <c r="D54" s="4" t="s">
        <v>2424</v>
      </c>
      <c r="E54" s="4" t="s">
        <v>81</v>
      </c>
      <c r="F54" s="127" t="n">
        <v>45966</v>
      </c>
      <c r="G54" s="127" t="n">
        <v>45966</v>
      </c>
      <c r="H54" s="127" t="n">
        <v>46289</v>
      </c>
      <c r="I54" s="4" t="n">
        <v>100</v>
      </c>
      <c r="J54" s="4" t="n">
        <v>100</v>
      </c>
      <c r="K54" s="4" t="n">
        <v>100</v>
      </c>
      <c r="M54" s="2" t="str">
        <f aca="false">IF(C54="","",IFERROR(INDEX($S$5:$S$304,MATCH(C54,$R$5:$R$304,0))&amp;"","?"))</f>
        <v>15</v>
      </c>
      <c r="N54" s="2" t="str">
        <f aca="false">IF(E54="","",IF(ISNUMBER(SEARCH("SUBSOLO",E54)),IFERROR(-VALUE(LEFT(E54,FIND("º",SUBSTITUTE(E54,"°","º"))-1)),-1),IF(LEFT(E54,6)="TÉRREO",0,IFERROR(VALUE(LEFT(E54,FIND("º",SUBSTITUTE(E54,"°","º"))-1)),""))))</f>
        <v/>
      </c>
      <c r="O54" s="2" t="str">
        <f aca="false">IF(OR(F54="",G54=""),"",IF(G54&lt;='RETRATO 2027'!$K$5,"CONCLUÍDA",IF(F54&lt;='RETRATO 2027'!$K$5,"EM ANDAMENTO","A INICIAR")))</f>
        <v>CONCLUÍDA</v>
      </c>
      <c r="R54" s="4" t="s">
        <v>2425</v>
      </c>
      <c r="S54" s="4" t="s">
        <v>176</v>
      </c>
      <c r="T54" s="4" t="s">
        <v>2426</v>
      </c>
      <c r="U54" s="4" t="s">
        <v>2299</v>
      </c>
      <c r="V54" s="2" t="n">
        <f aca="false">IF(R54="","",COUNTIF($C$5:$C$6004,R54))</f>
        <v>31</v>
      </c>
      <c r="W54" s="2" t="n">
        <f aca="false">IF(R54="","",COUNTIFS($C$5:$C$6004,R54,$O$5:$O$6004,"CONCLUÍDA"))</f>
        <v>18</v>
      </c>
      <c r="X54" s="2" t="n">
        <f aca="false">IF(R54="","",COUNTIFS($C$5:$C$6004,R54,$O$5:$O$6004,"EM ANDAMENTO"))</f>
        <v>1</v>
      </c>
      <c r="Y54" s="2" t="n">
        <f aca="false">IF(R54="","",IF(COUNTIFS($C$5:$C$6004,R54,$O$5:$O$6004,"CONCLUÍDA",$N$5:$N$6004,"&gt;=-99")=0,"",_xlfn.MAXIFS($N$5:$N$6004,$C$5:$C$6004,R54,$O$5:$O$6004,"CONCLUÍDA")))</f>
        <v>25</v>
      </c>
      <c r="Z54" s="2" t="n">
        <f aca="false">IF(R54="","",IF(COUNTIFS($C$5:$C$6004,R54,$O$5:$O$6004,"EM ANDAMENTO",$N$5:$N$6004,"&gt;=-99")=0,"",_xlfn.MAXIFS($N$5:$N$6004,$C$5:$C$6004,R54,$O$5:$O$6004,"EM ANDAMENTO")))</f>
        <v>26</v>
      </c>
      <c r="AA54" s="2" t="str">
        <f aca="false"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>Distribuição hidrossanitária: até 25º pav., executando 26º pav.</v>
      </c>
    </row>
    <row r="55" customFormat="false" ht="15" hidden="false" customHeight="false" outlineLevel="0" collapsed="false">
      <c r="B55" s="4" t="n">
        <v>13584635</v>
      </c>
      <c r="C55" s="4" t="s">
        <v>73</v>
      </c>
      <c r="D55" s="4" t="s">
        <v>2427</v>
      </c>
      <c r="E55" s="4" t="s">
        <v>81</v>
      </c>
      <c r="F55" s="127" t="n">
        <v>45967</v>
      </c>
      <c r="G55" s="127" t="n">
        <v>45967</v>
      </c>
      <c r="H55" s="127" t="n">
        <v>46289</v>
      </c>
      <c r="I55" s="4" t="n">
        <v>100</v>
      </c>
      <c r="J55" s="4" t="n">
        <v>100</v>
      </c>
      <c r="K55" s="4" t="n">
        <v>100</v>
      </c>
      <c r="M55" s="2" t="str">
        <f aca="false">IF(C55="","",IFERROR(INDEX($S$5:$S$304,MATCH(C55,$R$5:$R$304,0))&amp;"","?"))</f>
        <v>15</v>
      </c>
      <c r="N55" s="2" t="str">
        <f aca="false">IF(E55="","",IF(ISNUMBER(SEARCH("SUBSOLO",E55)),IFERROR(-VALUE(LEFT(E55,FIND("º",SUBSTITUTE(E55,"°","º"))-1)),-1),IF(LEFT(E55,6)="TÉRREO",0,IFERROR(VALUE(LEFT(E55,FIND("º",SUBSTITUTE(E55,"°","º"))-1)),""))))</f>
        <v/>
      </c>
      <c r="O55" s="2" t="str">
        <f aca="false">IF(OR(F55="",G55=""),"",IF(G55&lt;='RETRATO 2027'!$K$5,"CONCLUÍDA",IF(F55&lt;='RETRATO 2027'!$K$5,"EM ANDAMENTO","A INICIAR")))</f>
        <v>CONCLUÍDA</v>
      </c>
      <c r="R55" s="4" t="s">
        <v>2428</v>
      </c>
      <c r="S55" s="4" t="s">
        <v>173</v>
      </c>
      <c r="T55" s="4" t="s">
        <v>2429</v>
      </c>
      <c r="U55" s="4" t="s">
        <v>2299</v>
      </c>
      <c r="V55" s="2" t="n">
        <f aca="false">IF(R55="","",COUNTIF($C$5:$C$6004,R55))</f>
        <v>46</v>
      </c>
      <c r="W55" s="2" t="n">
        <f aca="false">IF(R55="","",COUNTIFS($C$5:$C$6004,R55,$O$5:$O$6004,"CONCLUÍDA"))</f>
        <v>31</v>
      </c>
      <c r="X55" s="2" t="n">
        <f aca="false">IF(R55="","",COUNTIFS($C$5:$C$6004,R55,$O$5:$O$6004,"EM ANDAMENTO"))</f>
        <v>2</v>
      </c>
      <c r="Y55" s="2" t="n">
        <f aca="false">IF(R55="","",IF(COUNTIFS($C$5:$C$6004,R55,$O$5:$O$6004,"CONCLUÍDA",$N$5:$N$6004,"&gt;=-99")=0,"",_xlfn.MAXIFS($N$5:$N$6004,$C$5:$C$6004,R55,$O$5:$O$6004,"CONCLUÍDA")))</f>
        <v>25</v>
      </c>
      <c r="Z55" s="2" t="n">
        <f aca="false">IF(R55="","",IF(COUNTIFS($C$5:$C$6004,R55,$O$5:$O$6004,"EM ANDAMENTO",$N$5:$N$6004,"&gt;=-99")=0,"",_xlfn.MAXIFS($N$5:$N$6004,$C$5:$C$6004,R55,$O$5:$O$6004,"EM ANDAMENTO")))</f>
        <v>26</v>
      </c>
      <c r="AA55" s="2" t="str">
        <f aca="false"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>Distribuição elétrica / quadro: até 25º pav., executando 26º pav.</v>
      </c>
    </row>
    <row r="56" customFormat="false" ht="15" hidden="false" customHeight="false" outlineLevel="0" collapsed="false">
      <c r="B56" s="4" t="n">
        <v>13584636</v>
      </c>
      <c r="C56" s="4" t="s">
        <v>73</v>
      </c>
      <c r="D56" s="4" t="s">
        <v>2430</v>
      </c>
      <c r="E56" s="4" t="s">
        <v>81</v>
      </c>
      <c r="F56" s="127" t="n">
        <v>45968</v>
      </c>
      <c r="G56" s="127" t="n">
        <v>45968</v>
      </c>
      <c r="H56" s="127" t="n">
        <v>46289</v>
      </c>
      <c r="I56" s="4" t="n">
        <v>100</v>
      </c>
      <c r="J56" s="4" t="n">
        <v>100</v>
      </c>
      <c r="K56" s="4" t="n">
        <v>100</v>
      </c>
      <c r="M56" s="2" t="str">
        <f aca="false">IF(C56="","",IFERROR(INDEX($S$5:$S$304,MATCH(C56,$R$5:$R$304,0))&amp;"","?"))</f>
        <v>15</v>
      </c>
      <c r="N56" s="2" t="str">
        <f aca="false">IF(E56="","",IF(ISNUMBER(SEARCH("SUBSOLO",E56)),IFERROR(-VALUE(LEFT(E56,FIND("º",SUBSTITUTE(E56,"°","º"))-1)),-1),IF(LEFT(E56,6)="TÉRREO",0,IFERROR(VALUE(LEFT(E56,FIND("º",SUBSTITUTE(E56,"°","º"))-1)),""))))</f>
        <v/>
      </c>
      <c r="O56" s="2" t="str">
        <f aca="false">IF(OR(F56="",G56=""),"",IF(G56&lt;='RETRATO 2027'!$K$5,"CONCLUÍDA",IF(F56&lt;='RETRATO 2027'!$K$5,"EM ANDAMENTO","A INICIAR")))</f>
        <v>CONCLUÍDA</v>
      </c>
      <c r="R56" s="4" t="s">
        <v>2431</v>
      </c>
      <c r="S56" s="4" t="s">
        <v>176</v>
      </c>
      <c r="T56" s="4" t="s">
        <v>2432</v>
      </c>
      <c r="U56" s="4" t="s">
        <v>2299</v>
      </c>
      <c r="V56" s="2" t="n">
        <f aca="false">IF(R56="","",COUNTIF($C$5:$C$6004,R56))</f>
        <v>28</v>
      </c>
      <c r="W56" s="2" t="n">
        <f aca="false">IF(R56="","",COUNTIFS($C$5:$C$6004,R56,$O$5:$O$6004,"CONCLUÍDA"))</f>
        <v>18</v>
      </c>
      <c r="X56" s="2" t="n">
        <f aca="false">IF(R56="","",COUNTIFS($C$5:$C$6004,R56,$O$5:$O$6004,"EM ANDAMENTO"))</f>
        <v>1</v>
      </c>
      <c r="Y56" s="2" t="n">
        <f aca="false">IF(R56="","",IF(COUNTIFS($C$5:$C$6004,R56,$O$5:$O$6004,"CONCLUÍDA",$N$5:$N$6004,"&gt;=-99")=0,"",_xlfn.MAXIFS($N$5:$N$6004,$C$5:$C$6004,R56,$O$5:$O$6004,"CONCLUÍDA")))</f>
        <v>25</v>
      </c>
      <c r="Z56" s="2" t="n">
        <f aca="false">IF(R56="","",IF(COUNTIFS($C$5:$C$6004,R56,$O$5:$O$6004,"EM ANDAMENTO",$N$5:$N$6004,"&gt;=-99")=0,"",_xlfn.MAXIFS($N$5:$N$6004,$C$5:$C$6004,R56,$O$5:$O$6004,"EM ANDAMENTO")))</f>
        <v>26</v>
      </c>
      <c r="AA56" s="2" t="str">
        <f aca="false"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>Distribuição de gás: até 25º pav., executando 26º pav.</v>
      </c>
    </row>
    <row r="57" customFormat="false" ht="15" hidden="false" customHeight="false" outlineLevel="0" collapsed="false">
      <c r="B57" s="4" t="n">
        <v>13584637</v>
      </c>
      <c r="C57" s="4" t="s">
        <v>73</v>
      </c>
      <c r="D57" s="4" t="s">
        <v>2433</v>
      </c>
      <c r="E57" s="4" t="s">
        <v>81</v>
      </c>
      <c r="F57" s="127" t="n">
        <v>45971</v>
      </c>
      <c r="G57" s="127" t="n">
        <v>45971</v>
      </c>
      <c r="H57" s="127" t="n">
        <v>46289</v>
      </c>
      <c r="I57" s="4" t="n">
        <v>100</v>
      </c>
      <c r="J57" s="4" t="n">
        <v>100</v>
      </c>
      <c r="K57" s="4" t="n">
        <v>100</v>
      </c>
      <c r="M57" s="2" t="str">
        <f aca="false">IF(C57="","",IFERROR(INDEX($S$5:$S$304,MATCH(C57,$R$5:$R$304,0))&amp;"","?"))</f>
        <v>15</v>
      </c>
      <c r="N57" s="2" t="str">
        <f aca="false">IF(E57="","",IF(ISNUMBER(SEARCH("SUBSOLO",E57)),IFERROR(-VALUE(LEFT(E57,FIND("º",SUBSTITUTE(E57,"°","º"))-1)),-1),IF(LEFT(E57,6)="TÉRREO",0,IFERROR(VALUE(LEFT(E57,FIND("º",SUBSTITUTE(E57,"°","º"))-1)),""))))</f>
        <v/>
      </c>
      <c r="O57" s="2" t="str">
        <f aca="false">IF(OR(F57="",G57=""),"",IF(G57&lt;='RETRATO 2027'!$K$5,"CONCLUÍDA",IF(F57&lt;='RETRATO 2027'!$K$5,"EM ANDAMENTO","A INICIAR")))</f>
        <v>CONCLUÍDA</v>
      </c>
      <c r="R57" s="4" t="s">
        <v>2434</v>
      </c>
      <c r="S57" s="4" t="s">
        <v>189</v>
      </c>
      <c r="T57" s="4" t="s">
        <v>2435</v>
      </c>
      <c r="U57" s="4" t="s">
        <v>2299</v>
      </c>
      <c r="V57" s="2" t="n">
        <f aca="false">IF(R57="","",COUNTIF($C$5:$C$6004,R57))</f>
        <v>31</v>
      </c>
      <c r="W57" s="2" t="n">
        <f aca="false">IF(R57="","",COUNTIFS($C$5:$C$6004,R57,$O$5:$O$6004,"CONCLUÍDA"))</f>
        <v>17</v>
      </c>
      <c r="X57" s="2" t="n">
        <f aca="false">IF(R57="","",COUNTIFS($C$5:$C$6004,R57,$O$5:$O$6004,"EM ANDAMENTO"))</f>
        <v>1</v>
      </c>
      <c r="Y57" s="2" t="n">
        <f aca="false">IF(R57="","",IF(COUNTIFS($C$5:$C$6004,R57,$O$5:$O$6004,"CONCLUÍDA",$N$5:$N$6004,"&gt;=-99")=0,"",_xlfn.MAXIFS($N$5:$N$6004,$C$5:$C$6004,R57,$O$5:$O$6004,"CONCLUÍDA")))</f>
        <v>24</v>
      </c>
      <c r="Z57" s="2" t="n">
        <f aca="false">IF(R57="","",IF(COUNTIFS($C$5:$C$6004,R57,$O$5:$O$6004,"EM ANDAMENTO",$N$5:$N$6004,"&gt;=-99")=0,"",_xlfn.MAXIFS($N$5:$N$6004,$C$5:$C$6004,R57,$O$5:$O$6004,"EM ANDAMENTO")))</f>
        <v>25</v>
      </c>
      <c r="AA57" s="2" t="str">
        <f aca="false"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>Contramarco: até 24º pav., executando 25º pav.</v>
      </c>
    </row>
    <row r="58" customFormat="false" ht="15" hidden="false" customHeight="false" outlineLevel="0" collapsed="false">
      <c r="B58" s="4" t="n">
        <v>13584638</v>
      </c>
      <c r="C58" s="4" t="s">
        <v>73</v>
      </c>
      <c r="D58" s="4" t="s">
        <v>2436</v>
      </c>
      <c r="E58" s="4" t="s">
        <v>81</v>
      </c>
      <c r="F58" s="127" t="n">
        <v>45972</v>
      </c>
      <c r="G58" s="127" t="n">
        <v>45973</v>
      </c>
      <c r="H58" s="127" t="n">
        <v>46289</v>
      </c>
      <c r="I58" s="4" t="n">
        <v>100</v>
      </c>
      <c r="J58" s="4" t="n">
        <v>100</v>
      </c>
      <c r="K58" s="4" t="n">
        <v>100</v>
      </c>
      <c r="M58" s="2" t="str">
        <f aca="false">IF(C58="","",IFERROR(INDEX($S$5:$S$304,MATCH(C58,$R$5:$R$304,0))&amp;"","?"))</f>
        <v>15</v>
      </c>
      <c r="N58" s="2" t="str">
        <f aca="false">IF(E58="","",IF(ISNUMBER(SEARCH("SUBSOLO",E58)),IFERROR(-VALUE(LEFT(E58,FIND("º",SUBSTITUTE(E58,"°","º"))-1)),-1),IF(LEFT(E58,6)="TÉRREO",0,IFERROR(VALUE(LEFT(E58,FIND("º",SUBSTITUTE(E58,"°","º"))-1)),""))))</f>
        <v/>
      </c>
      <c r="O58" s="2" t="str">
        <f aca="false">IF(OR(F58="",G58=""),"",IF(G58&lt;='RETRATO 2027'!$K$5,"CONCLUÍDA",IF(F58&lt;='RETRATO 2027'!$K$5,"EM ANDAMENTO","A INICIAR")))</f>
        <v>CONCLUÍDA</v>
      </c>
      <c r="R58" s="4" t="s">
        <v>2437</v>
      </c>
      <c r="S58" s="4" t="s">
        <v>202</v>
      </c>
      <c r="T58" s="4" t="s">
        <v>2438</v>
      </c>
      <c r="U58" s="4" t="s">
        <v>2299</v>
      </c>
      <c r="V58" s="2" t="n">
        <f aca="false">IF(R58="","",COUNTIF($C$5:$C$6004,R58))</f>
        <v>50</v>
      </c>
      <c r="W58" s="2" t="n">
        <f aca="false">IF(R58="","",COUNTIFS($C$5:$C$6004,R58,$O$5:$O$6004,"CONCLUÍDA"))</f>
        <v>26</v>
      </c>
      <c r="X58" s="2" t="n">
        <f aca="false">IF(R58="","",COUNTIFS($C$5:$C$6004,R58,$O$5:$O$6004,"EM ANDAMENTO"))</f>
        <v>5</v>
      </c>
      <c r="Y58" s="2" t="n">
        <f aca="false">IF(R58="","",IF(COUNTIFS($C$5:$C$6004,R58,$O$5:$O$6004,"CONCLUÍDA",$N$5:$N$6004,"&gt;=-99")=0,"",_xlfn.MAXIFS($N$5:$N$6004,$C$5:$C$6004,R58,$O$5:$O$6004,"CONCLUÍDA")))</f>
        <v>23</v>
      </c>
      <c r="Z58" s="2" t="n">
        <f aca="false">IF(R58="","",IF(COUNTIFS($C$5:$C$6004,R58,$O$5:$O$6004,"EM ANDAMENTO",$N$5:$N$6004,"&gt;=-99")=0,"",_xlfn.MAXIFS($N$5:$N$6004,$C$5:$C$6004,R58,$O$5:$O$6004,"EM ANDAMENTO")))</f>
        <v>24</v>
      </c>
      <c r="AA58" s="2" t="str">
        <f aca="false"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>Reboco interno: até 23º pav., executando 24º pav.</v>
      </c>
    </row>
    <row r="59" customFormat="false" ht="15" hidden="false" customHeight="false" outlineLevel="0" collapsed="false">
      <c r="B59" s="4" t="n">
        <v>13584639</v>
      </c>
      <c r="C59" s="4" t="s">
        <v>73</v>
      </c>
      <c r="D59" s="4" t="s">
        <v>2439</v>
      </c>
      <c r="E59" s="4" t="s">
        <v>81</v>
      </c>
      <c r="F59" s="127" t="n">
        <v>45974</v>
      </c>
      <c r="G59" s="127" t="n">
        <v>45974</v>
      </c>
      <c r="H59" s="127" t="n">
        <v>46289</v>
      </c>
      <c r="I59" s="4" t="n">
        <v>100</v>
      </c>
      <c r="J59" s="4" t="n">
        <v>100</v>
      </c>
      <c r="K59" s="4" t="n">
        <v>100</v>
      </c>
      <c r="M59" s="2" t="str">
        <f aca="false">IF(C59="","",IFERROR(INDEX($S$5:$S$304,MATCH(C59,$R$5:$R$304,0))&amp;"","?"))</f>
        <v>15</v>
      </c>
      <c r="N59" s="2" t="str">
        <f aca="false">IF(E59="","",IF(ISNUMBER(SEARCH("SUBSOLO",E59)),IFERROR(-VALUE(LEFT(E59,FIND("º",SUBSTITUTE(E59,"°","º"))-1)),-1),IF(LEFT(E59,6)="TÉRREO",0,IFERROR(VALUE(LEFT(E59,FIND("º",SUBSTITUTE(E59,"°","º"))-1)),""))))</f>
        <v/>
      </c>
      <c r="O59" s="2" t="str">
        <f aca="false">IF(OR(F59="",G59=""),"",IF(G59&lt;='RETRATO 2027'!$K$5,"CONCLUÍDA",IF(F59&lt;='RETRATO 2027'!$K$5,"EM ANDAMENTO","A INICIAR")))</f>
        <v>CONCLUÍDA</v>
      </c>
      <c r="R59" s="4" t="s">
        <v>2440</v>
      </c>
      <c r="S59" s="4" t="s">
        <v>176</v>
      </c>
      <c r="T59" s="4" t="s">
        <v>2441</v>
      </c>
      <c r="U59" s="4" t="s">
        <v>2299</v>
      </c>
      <c r="V59" s="2" t="n">
        <f aca="false">IF(R59="","",COUNTIF($C$5:$C$6004,R59))</f>
        <v>31</v>
      </c>
      <c r="W59" s="2" t="n">
        <f aca="false">IF(R59="","",COUNTIFS($C$5:$C$6004,R59,$O$5:$O$6004,"CONCLUÍDA"))</f>
        <v>15</v>
      </c>
      <c r="X59" s="2" t="n">
        <f aca="false">IF(R59="","",COUNTIFS($C$5:$C$6004,R59,$O$5:$O$6004,"EM ANDAMENTO"))</f>
        <v>1</v>
      </c>
      <c r="Y59" s="2" t="n">
        <f aca="false">IF(R59="","",IF(COUNTIFS($C$5:$C$6004,R59,$O$5:$O$6004,"CONCLUÍDA",$N$5:$N$6004,"&gt;=-99")=0,"",_xlfn.MAXIFS($N$5:$N$6004,$C$5:$C$6004,R59,$O$5:$O$6004,"CONCLUÍDA")))</f>
        <v>22</v>
      </c>
      <c r="Z59" s="2" t="n">
        <f aca="false">IF(R59="","",IF(COUNTIFS($C$5:$C$6004,R59,$O$5:$O$6004,"EM ANDAMENTO",$N$5:$N$6004,"&gt;=-99")=0,"",_xlfn.MAXIFS($N$5:$N$6004,$C$5:$C$6004,R59,$O$5:$O$6004,"EM ANDAMENTO")))</f>
        <v>23</v>
      </c>
      <c r="AA59" s="2" t="str">
        <f aca="false"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>Shaft interno inst. hidraúlicas: até 22º pav., executando 23º pav.</v>
      </c>
    </row>
    <row r="60" customFormat="false" ht="15" hidden="false" customHeight="false" outlineLevel="0" collapsed="false">
      <c r="B60" s="4" t="n">
        <v>13584640</v>
      </c>
      <c r="C60" s="4" t="s">
        <v>73</v>
      </c>
      <c r="D60" s="4" t="s">
        <v>2442</v>
      </c>
      <c r="E60" s="4" t="s">
        <v>81</v>
      </c>
      <c r="F60" s="127" t="n">
        <v>45975</v>
      </c>
      <c r="G60" s="127" t="n">
        <v>45975</v>
      </c>
      <c r="H60" s="127" t="n">
        <v>46289</v>
      </c>
      <c r="I60" s="4" t="n">
        <v>100</v>
      </c>
      <c r="J60" s="4" t="n">
        <v>100</v>
      </c>
      <c r="K60" s="4" t="n">
        <v>100</v>
      </c>
      <c r="M60" s="2" t="str">
        <f aca="false">IF(C60="","",IFERROR(INDEX($S$5:$S$304,MATCH(C60,$R$5:$R$304,0))&amp;"","?"))</f>
        <v>15</v>
      </c>
      <c r="N60" s="2" t="str">
        <f aca="false">IF(E60="","",IF(ISNUMBER(SEARCH("SUBSOLO",E60)),IFERROR(-VALUE(LEFT(E60,FIND("º",SUBSTITUTE(E60,"°","º"))-1)),-1),IF(LEFT(E60,6)="TÉRREO",0,IFERROR(VALUE(LEFT(E60,FIND("º",SUBSTITUTE(E60,"°","º"))-1)),""))))</f>
        <v/>
      </c>
      <c r="O60" s="2" t="str">
        <f aca="false">IF(OR(F60="",G60=""),"",IF(G60&lt;='RETRATO 2027'!$K$5,"CONCLUÍDA",IF(F60&lt;='RETRATO 2027'!$K$5,"EM ANDAMENTO","A INICIAR")))</f>
        <v>CONCLUÍDA</v>
      </c>
      <c r="R60" s="4" t="s">
        <v>2443</v>
      </c>
      <c r="S60" s="4" t="s">
        <v>173</v>
      </c>
      <c r="T60" s="4" t="s">
        <v>2444</v>
      </c>
      <c r="U60" s="4" t="s">
        <v>2299</v>
      </c>
      <c r="V60" s="2" t="n">
        <f aca="false">IF(R60="","",COUNTIF($C$5:$C$6004,R60))</f>
        <v>35</v>
      </c>
      <c r="W60" s="2" t="n">
        <f aca="false">IF(R60="","",COUNTIFS($C$5:$C$6004,R60,$O$5:$O$6004,"CONCLUÍDA"))</f>
        <v>18</v>
      </c>
      <c r="X60" s="2" t="n">
        <f aca="false">IF(R60="","",COUNTIFS($C$5:$C$6004,R60,$O$5:$O$6004,"EM ANDAMENTO"))</f>
        <v>2</v>
      </c>
      <c r="Y60" s="2" t="n">
        <f aca="false">IF(R60="","",IF(COUNTIFS($C$5:$C$6004,R60,$O$5:$O$6004,"CONCLUÍDA",$N$5:$N$6004,"&gt;=-99")=0,"",_xlfn.MAXIFS($N$5:$N$6004,$C$5:$C$6004,R60,$O$5:$O$6004,"CONCLUÍDA")))</f>
        <v>22</v>
      </c>
      <c r="Z60" s="2" t="n">
        <f aca="false">IF(R60="","",IF(COUNTIFS($C$5:$C$6004,R60,$O$5:$O$6004,"EM ANDAMENTO",$N$5:$N$6004,"&gt;=-99")=0,"",_xlfn.MAXIFS($N$5:$N$6004,$C$5:$C$6004,R60,$O$5:$O$6004,"EM ANDAMENTO")))</f>
        <v>23</v>
      </c>
      <c r="AA60" s="2" t="str">
        <f aca="false"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>Prumada elétrica - infra: até 22º pav., executando 23º pav.</v>
      </c>
    </row>
    <row r="61" customFormat="false" ht="15" hidden="false" customHeight="false" outlineLevel="0" collapsed="false">
      <c r="B61" s="4" t="n">
        <v>13584641</v>
      </c>
      <c r="C61" s="4" t="s">
        <v>73</v>
      </c>
      <c r="D61" s="4" t="s">
        <v>2445</v>
      </c>
      <c r="E61" s="4" t="s">
        <v>81</v>
      </c>
      <c r="F61" s="127" t="n">
        <v>45978</v>
      </c>
      <c r="G61" s="127" t="n">
        <v>45978</v>
      </c>
      <c r="H61" s="127" t="n">
        <v>46289</v>
      </c>
      <c r="I61" s="4" t="n">
        <v>100</v>
      </c>
      <c r="J61" s="4" t="n">
        <v>100</v>
      </c>
      <c r="K61" s="4" t="n">
        <v>100</v>
      </c>
      <c r="M61" s="2" t="str">
        <f aca="false">IF(C61="","",IFERROR(INDEX($S$5:$S$304,MATCH(C61,$R$5:$R$304,0))&amp;"","?"))</f>
        <v>15</v>
      </c>
      <c r="N61" s="2" t="str">
        <f aca="false">IF(E61="","",IF(ISNUMBER(SEARCH("SUBSOLO",E61)),IFERROR(-VALUE(LEFT(E61,FIND("º",SUBSTITUTE(E61,"°","º"))-1)),-1),IF(LEFT(E61,6)="TÉRREO",0,IFERROR(VALUE(LEFT(E61,FIND("º",SUBSTITUTE(E61,"°","º"))-1)),""))))</f>
        <v/>
      </c>
      <c r="O61" s="2" t="str">
        <f aca="false">IF(OR(F61="",G61=""),"",IF(G61&lt;='RETRATO 2027'!$K$5,"CONCLUÍDA",IF(F61&lt;='RETRATO 2027'!$K$5,"EM ANDAMENTO","A INICIAR")))</f>
        <v>CONCLUÍDA</v>
      </c>
      <c r="R61" s="4" t="s">
        <v>2446</v>
      </c>
      <c r="S61" s="4" t="s">
        <v>193</v>
      </c>
      <c r="T61" s="4" t="s">
        <v>2447</v>
      </c>
      <c r="U61" s="4" t="s">
        <v>2299</v>
      </c>
      <c r="V61" s="2" t="n">
        <f aca="false">IF(R61="","",COUNTIF($C$5:$C$6004,R61))</f>
        <v>5</v>
      </c>
      <c r="W61" s="2" t="n">
        <f aca="false">IF(R61="","",COUNTIFS($C$5:$C$6004,R61,$O$5:$O$6004,"CONCLUÍDA"))</f>
        <v>4</v>
      </c>
      <c r="X61" s="2" t="n">
        <f aca="false">IF(R61="","",COUNTIFS($C$5:$C$6004,R61,$O$5:$O$6004,"EM ANDAMENTO"))</f>
        <v>1</v>
      </c>
      <c r="Y61" s="2" t="n">
        <f aca="false">IF(R61="","",IF(COUNTIFS($C$5:$C$6004,R61,$O$5:$O$6004,"CONCLUÍDA",$N$5:$N$6004,"&gt;=-99")=0,"",_xlfn.MAXIFS($N$5:$N$6004,$C$5:$C$6004,R61,$O$5:$O$6004,"CONCLUÍDA")))</f>
        <v>4</v>
      </c>
      <c r="Z61" s="2" t="n">
        <f aca="false">IF(R61="","",IF(COUNTIFS($C$5:$C$6004,R61,$O$5:$O$6004,"EM ANDAMENTO",$N$5:$N$6004,"&gt;=-99")=0,"",_xlfn.MAXIFS($N$5:$N$6004,$C$5:$C$6004,R61,$O$5:$O$6004,"EM ANDAMENTO")))</f>
        <v>5</v>
      </c>
      <c r="AA61" s="2" t="str">
        <f aca="false"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>Chumbamento de PCF: até 4º pav., executando 5º pav.</v>
      </c>
    </row>
    <row r="62" customFormat="false" ht="15" hidden="false" customHeight="false" outlineLevel="0" collapsed="false">
      <c r="B62" s="4" t="n">
        <v>13584642</v>
      </c>
      <c r="C62" s="4" t="s">
        <v>73</v>
      </c>
      <c r="D62" s="4" t="s">
        <v>2448</v>
      </c>
      <c r="E62" s="4" t="s">
        <v>81</v>
      </c>
      <c r="F62" s="127" t="n">
        <v>45979</v>
      </c>
      <c r="G62" s="127" t="n">
        <v>45979</v>
      </c>
      <c r="H62" s="127" t="n">
        <v>46289</v>
      </c>
      <c r="I62" s="4" t="n">
        <v>100</v>
      </c>
      <c r="J62" s="4" t="n">
        <v>100</v>
      </c>
      <c r="K62" s="4" t="n">
        <v>100</v>
      </c>
      <c r="M62" s="2" t="str">
        <f aca="false">IF(C62="","",IFERROR(INDEX($S$5:$S$304,MATCH(C62,$R$5:$R$304,0))&amp;"","?"))</f>
        <v>15</v>
      </c>
      <c r="N62" s="2" t="str">
        <f aca="false">IF(E62="","",IF(ISNUMBER(SEARCH("SUBSOLO",E62)),IFERROR(-VALUE(LEFT(E62,FIND("º",SUBSTITUTE(E62,"°","º"))-1)),-1),IF(LEFT(E62,6)="TÉRREO",0,IFERROR(VALUE(LEFT(E62,FIND("º",SUBSTITUTE(E62,"°","º"))-1)),""))))</f>
        <v/>
      </c>
      <c r="O62" s="2" t="str">
        <f aca="false">IF(OR(F62="",G62=""),"",IF(G62&lt;='RETRATO 2027'!$K$5,"CONCLUÍDA",IF(F62&lt;='RETRATO 2027'!$K$5,"EM ANDAMENTO","A INICIAR")))</f>
        <v>CONCLUÍDA</v>
      </c>
      <c r="R62" s="4" t="s">
        <v>2449</v>
      </c>
      <c r="S62" s="4" t="s">
        <v>199</v>
      </c>
      <c r="T62" s="4" t="s">
        <v>2450</v>
      </c>
      <c r="U62" s="4" t="s">
        <v>2299</v>
      </c>
      <c r="V62" s="2" t="n">
        <f aca="false">IF(R62="","",COUNTIF($C$5:$C$6004,R62))</f>
        <v>47</v>
      </c>
      <c r="W62" s="2" t="n">
        <f aca="false">IF(R62="","",COUNTIFS($C$5:$C$6004,R62,$O$5:$O$6004,"CONCLUÍDA"))</f>
        <v>22</v>
      </c>
      <c r="X62" s="2" t="n">
        <f aca="false">IF(R62="","",COUNTIFS($C$5:$C$6004,R62,$O$5:$O$6004,"EM ANDAMENTO"))</f>
        <v>2</v>
      </c>
      <c r="Y62" s="2" t="n">
        <f aca="false">IF(R62="","",IF(COUNTIFS($C$5:$C$6004,R62,$O$5:$O$6004,"CONCLUÍDA",$N$5:$N$6004,"&gt;=-99")=0,"",_xlfn.MAXIFS($N$5:$N$6004,$C$5:$C$6004,R62,$O$5:$O$6004,"CONCLUÍDA")))</f>
        <v>21</v>
      </c>
      <c r="Z62" s="2" t="n">
        <f aca="false">IF(R62="","",IF(COUNTIFS($C$5:$C$6004,R62,$O$5:$O$6004,"EM ANDAMENTO",$N$5:$N$6004,"&gt;=-99")=0,"",_xlfn.MAXIFS($N$5:$N$6004,$C$5:$C$6004,R62,$O$5:$O$6004,"EM ANDAMENTO")))</f>
        <v>22</v>
      </c>
      <c r="AA62" s="2" t="str">
        <f aca="false"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>Contrapiso: até 21º pav., executando 22º pav.</v>
      </c>
    </row>
    <row r="63" customFormat="false" ht="15" hidden="false" customHeight="false" outlineLevel="0" collapsed="false">
      <c r="B63" s="4" t="n">
        <v>13584643</v>
      </c>
      <c r="C63" s="4" t="s">
        <v>73</v>
      </c>
      <c r="D63" s="4" t="s">
        <v>2451</v>
      </c>
      <c r="E63" s="4" t="s">
        <v>81</v>
      </c>
      <c r="F63" s="127" t="n">
        <v>45980</v>
      </c>
      <c r="G63" s="127" t="n">
        <v>45980</v>
      </c>
      <c r="H63" s="127" t="n">
        <v>46289</v>
      </c>
      <c r="I63" s="4" t="n">
        <v>100</v>
      </c>
      <c r="J63" s="4" t="n">
        <v>100</v>
      </c>
      <c r="K63" s="4" t="n">
        <v>100</v>
      </c>
      <c r="M63" s="2" t="str">
        <f aca="false">IF(C63="","",IFERROR(INDEX($S$5:$S$304,MATCH(C63,$R$5:$R$304,0))&amp;"","?"))</f>
        <v>15</v>
      </c>
      <c r="N63" s="2" t="str">
        <f aca="false">IF(E63="","",IF(ISNUMBER(SEARCH("SUBSOLO",E63)),IFERROR(-VALUE(LEFT(E63,FIND("º",SUBSTITUTE(E63,"°","º"))-1)),-1),IF(LEFT(E63,6)="TÉRREO",0,IFERROR(VALUE(LEFT(E63,FIND("º",SUBSTITUTE(E63,"°","º"))-1)),""))))</f>
        <v/>
      </c>
      <c r="O63" s="2" t="str">
        <f aca="false">IF(OR(F63="",G63=""),"",IF(G63&lt;='RETRATO 2027'!$K$5,"CONCLUÍDA",IF(F63&lt;='RETRATO 2027'!$K$5,"EM ANDAMENTO","A INICIAR")))</f>
        <v>CONCLUÍDA</v>
      </c>
      <c r="R63" s="4" t="s">
        <v>2452</v>
      </c>
      <c r="S63" s="4" t="s">
        <v>176</v>
      </c>
      <c r="T63" s="4" t="s">
        <v>2453</v>
      </c>
      <c r="U63" s="4" t="s">
        <v>2299</v>
      </c>
      <c r="V63" s="2" t="n">
        <f aca="false">IF(R63="","",COUNTIF($C$5:$C$6004,R63))</f>
        <v>15</v>
      </c>
      <c r="W63" s="2" t="n">
        <f aca="false">IF(R63="","",COUNTIFS($C$5:$C$6004,R63,$O$5:$O$6004,"CONCLUÍDA"))</f>
        <v>13</v>
      </c>
      <c r="X63" s="2" t="n">
        <f aca="false">IF(R63="","",COUNTIFS($C$5:$C$6004,R63,$O$5:$O$6004,"EM ANDAMENTO"))</f>
        <v>1</v>
      </c>
      <c r="Y63" s="2" t="n">
        <f aca="false">IF(R63="","",IF(COUNTIFS($C$5:$C$6004,R63,$O$5:$O$6004,"CONCLUÍDA",$N$5:$N$6004,"&gt;=-99")=0,"",_xlfn.MAXIFS($N$5:$N$6004,$C$5:$C$6004,R63,$O$5:$O$6004,"CONCLUÍDA")))</f>
        <v>4</v>
      </c>
      <c r="Z63" s="2" t="n">
        <f aca="false">IF(R63="","",IF(COUNTIFS($C$5:$C$6004,R63,$O$5:$O$6004,"EM ANDAMENTO",$N$5:$N$6004,"&gt;=-99")=0,"",_xlfn.MAXIFS($N$5:$N$6004,$C$5:$C$6004,R63,$O$5:$O$6004,"EM ANDAMENTO")))</f>
        <v>1</v>
      </c>
      <c r="AA63" s="2" t="str">
        <f aca="false"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>Distribuição hidráulica: até 4º pav. (restam serviços no 1º pav.)</v>
      </c>
    </row>
    <row r="64" customFormat="false" ht="15" hidden="false" customHeight="false" outlineLevel="0" collapsed="false">
      <c r="B64" s="4" t="n">
        <v>13584644</v>
      </c>
      <c r="C64" s="4" t="s">
        <v>73</v>
      </c>
      <c r="D64" s="4" t="s">
        <v>2454</v>
      </c>
      <c r="E64" s="4" t="s">
        <v>81</v>
      </c>
      <c r="F64" s="127" t="n">
        <v>45982</v>
      </c>
      <c r="G64" s="127" t="n">
        <v>45982</v>
      </c>
      <c r="H64" s="127" t="n">
        <v>46289</v>
      </c>
      <c r="I64" s="4" t="n">
        <v>100</v>
      </c>
      <c r="J64" s="4" t="n">
        <v>100</v>
      </c>
      <c r="K64" s="4" t="n">
        <v>100</v>
      </c>
      <c r="M64" s="2" t="str">
        <f aca="false">IF(C64="","",IFERROR(INDEX($S$5:$S$304,MATCH(C64,$R$5:$R$304,0))&amp;"","?"))</f>
        <v>15</v>
      </c>
      <c r="N64" s="2" t="str">
        <f aca="false">IF(E64="","",IF(ISNUMBER(SEARCH("SUBSOLO",E64)),IFERROR(-VALUE(LEFT(E64,FIND("º",SUBSTITUTE(E64,"°","º"))-1)),-1),IF(LEFT(E64,6)="TÉRREO",0,IFERROR(VALUE(LEFT(E64,FIND("º",SUBSTITUTE(E64,"°","º"))-1)),""))))</f>
        <v/>
      </c>
      <c r="O64" s="2" t="str">
        <f aca="false">IF(OR(F64="",G64=""),"",IF(G64&lt;='RETRATO 2027'!$K$5,"CONCLUÍDA",IF(F64&lt;='RETRATO 2027'!$K$5,"EM ANDAMENTO","A INICIAR")))</f>
        <v>CONCLUÍDA</v>
      </c>
      <c r="R64" s="4" t="s">
        <v>2455</v>
      </c>
      <c r="S64" s="4" t="s">
        <v>167</v>
      </c>
      <c r="T64" s="4" t="s">
        <v>2456</v>
      </c>
      <c r="U64" s="4" t="s">
        <v>2299</v>
      </c>
      <c r="V64" s="2" t="n">
        <f aca="false">IF(R64="","",COUNTIF($C$5:$C$6004,R64))</f>
        <v>25</v>
      </c>
      <c r="W64" s="2" t="n">
        <f aca="false">IF(R64="","",COUNTIFS($C$5:$C$6004,R64,$O$5:$O$6004,"CONCLUÍDA"))</f>
        <v>13</v>
      </c>
      <c r="X64" s="2" t="n">
        <f aca="false">IF(R64="","",COUNTIFS($C$5:$C$6004,R64,$O$5:$O$6004,"EM ANDAMENTO"))</f>
        <v>1</v>
      </c>
      <c r="Y64" s="2" t="n">
        <f aca="false">IF(R64="","",IF(COUNTIFS($C$5:$C$6004,R64,$O$5:$O$6004,"CONCLUÍDA",$N$5:$N$6004,"&gt;=-99")=0,"",_xlfn.MAXIFS($N$5:$N$6004,$C$5:$C$6004,R64,$O$5:$O$6004,"CONCLUÍDA")))</f>
        <v>20</v>
      </c>
      <c r="Z64" s="2" t="n">
        <f aca="false">IF(R64="","",IF(COUNTIFS($C$5:$C$6004,R64,$O$5:$O$6004,"EM ANDAMENTO",$N$5:$N$6004,"&gt;=-99")=0,"",_xlfn.MAXIFS($N$5:$N$6004,$C$5:$C$6004,R64,$O$5:$O$6004,"EM ANDAMENTO")))</f>
        <v>21</v>
      </c>
      <c r="AA64" s="2" t="str">
        <f aca="false"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>Drywall 1ª face: até 20º pav., executando 21º pav.</v>
      </c>
    </row>
    <row r="65" customFormat="false" ht="15" hidden="false" customHeight="false" outlineLevel="0" collapsed="false">
      <c r="B65" s="4" t="n">
        <v>13584645</v>
      </c>
      <c r="C65" s="4" t="s">
        <v>73</v>
      </c>
      <c r="D65" s="4" t="s">
        <v>2457</v>
      </c>
      <c r="E65" s="4" t="s">
        <v>81</v>
      </c>
      <c r="F65" s="127" t="n">
        <v>45985</v>
      </c>
      <c r="G65" s="127" t="n">
        <v>45985</v>
      </c>
      <c r="H65" s="127" t="n">
        <v>46289</v>
      </c>
      <c r="I65" s="4" t="n">
        <v>100</v>
      </c>
      <c r="J65" s="4" t="n">
        <v>100</v>
      </c>
      <c r="K65" s="4" t="n">
        <v>100</v>
      </c>
      <c r="M65" s="2" t="str">
        <f aca="false">IF(C65="","",IFERROR(INDEX($S$5:$S$304,MATCH(C65,$R$5:$R$304,0))&amp;"","?"))</f>
        <v>15</v>
      </c>
      <c r="N65" s="2" t="str">
        <f aca="false">IF(E65="","",IF(ISNUMBER(SEARCH("SUBSOLO",E65)),IFERROR(-VALUE(LEFT(E65,FIND("º",SUBSTITUTE(E65,"°","º"))-1)),-1),IF(LEFT(E65,6)="TÉRREO",0,IFERROR(VALUE(LEFT(E65,FIND("º",SUBSTITUTE(E65,"°","º"))-1)),""))))</f>
        <v/>
      </c>
      <c r="O65" s="2" t="str">
        <f aca="false">IF(OR(F65="",G65=""),"",IF(G65&lt;='RETRATO 2027'!$K$5,"CONCLUÍDA",IF(F65&lt;='RETRATO 2027'!$K$5,"EM ANDAMENTO","A INICIAR")))</f>
        <v>CONCLUÍDA</v>
      </c>
      <c r="R65" s="4" t="s">
        <v>2458</v>
      </c>
      <c r="S65" s="4" t="s">
        <v>176</v>
      </c>
      <c r="T65" s="4" t="s">
        <v>2459</v>
      </c>
      <c r="U65" s="4" t="s">
        <v>2299</v>
      </c>
      <c r="V65" s="2" t="n">
        <f aca="false">IF(R65="","",COUNTIF($C$5:$C$6004,R65))</f>
        <v>26</v>
      </c>
      <c r="W65" s="2" t="n">
        <f aca="false">IF(R65="","",COUNTIFS($C$5:$C$6004,R65,$O$5:$O$6004,"CONCLUÍDA"))</f>
        <v>12</v>
      </c>
      <c r="X65" s="2" t="n">
        <f aca="false">IF(R65="","",COUNTIFS($C$5:$C$6004,R65,$O$5:$O$6004,"EM ANDAMENTO"))</f>
        <v>1</v>
      </c>
      <c r="Y65" s="2" t="n">
        <f aca="false">IF(R65="","",IF(COUNTIFS($C$5:$C$6004,R65,$O$5:$O$6004,"CONCLUÍDA",$N$5:$N$6004,"&gt;=-99")=0,"",_xlfn.MAXIFS($N$5:$N$6004,$C$5:$C$6004,R65,$O$5:$O$6004,"CONCLUÍDA")))</f>
        <v>18</v>
      </c>
      <c r="Z65" s="2" t="n">
        <f aca="false">IF(R65="","",IF(COUNTIFS($C$5:$C$6004,R65,$O$5:$O$6004,"EM ANDAMENTO",$N$5:$N$6004,"&gt;=-99")=0,"",_xlfn.MAXIFS($N$5:$N$6004,$C$5:$C$6004,R65,$O$5:$O$6004,"EM ANDAMENTO")))</f>
        <v>20</v>
      </c>
      <c r="AA65" s="2" t="str">
        <f aca="false"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>Distribuição de gás - drywall: até 18º pav., executando 20º pav.</v>
      </c>
    </row>
    <row r="66" customFormat="false" ht="15" hidden="false" customHeight="false" outlineLevel="0" collapsed="false">
      <c r="B66" s="4" t="n">
        <v>13584646</v>
      </c>
      <c r="C66" s="4" t="s">
        <v>73</v>
      </c>
      <c r="D66" s="4" t="s">
        <v>2460</v>
      </c>
      <c r="E66" s="4" t="s">
        <v>81</v>
      </c>
      <c r="F66" s="127" t="n">
        <v>45986</v>
      </c>
      <c r="G66" s="127" t="n">
        <v>45986</v>
      </c>
      <c r="H66" s="127" t="n">
        <v>46289</v>
      </c>
      <c r="I66" s="4" t="n">
        <v>100</v>
      </c>
      <c r="J66" s="4" t="n">
        <v>100</v>
      </c>
      <c r="K66" s="4" t="n">
        <v>100</v>
      </c>
      <c r="M66" s="2" t="str">
        <f aca="false">IF(C66="","",IFERROR(INDEX($S$5:$S$304,MATCH(C66,$R$5:$R$304,0))&amp;"","?"))</f>
        <v>15</v>
      </c>
      <c r="N66" s="2" t="str">
        <f aca="false">IF(E66="","",IF(ISNUMBER(SEARCH("SUBSOLO",E66)),IFERROR(-VALUE(LEFT(E66,FIND("º",SUBSTITUTE(E66,"°","º"))-1)),-1),IF(LEFT(E66,6)="TÉRREO",0,IFERROR(VALUE(LEFT(E66,FIND("º",SUBSTITUTE(E66,"°","º"))-1)),""))))</f>
        <v/>
      </c>
      <c r="O66" s="2" t="str">
        <f aca="false">IF(OR(F66="",G66=""),"",IF(G66&lt;='RETRATO 2027'!$K$5,"CONCLUÍDA",IF(F66&lt;='RETRATO 2027'!$K$5,"EM ANDAMENTO","A INICIAR")))</f>
        <v>CONCLUÍDA</v>
      </c>
      <c r="R66" s="4" t="s">
        <v>2461</v>
      </c>
      <c r="S66" s="4" t="s">
        <v>173</v>
      </c>
      <c r="T66" s="4" t="s">
        <v>2462</v>
      </c>
      <c r="U66" s="4" t="s">
        <v>2299</v>
      </c>
      <c r="V66" s="2" t="n">
        <f aca="false">IF(R66="","",COUNTIF($C$5:$C$6004,R66))</f>
        <v>26</v>
      </c>
      <c r="W66" s="2" t="n">
        <f aca="false">IF(R66="","",COUNTIFS($C$5:$C$6004,R66,$O$5:$O$6004,"CONCLUÍDA"))</f>
        <v>12</v>
      </c>
      <c r="X66" s="2" t="n">
        <f aca="false">IF(R66="","",COUNTIFS($C$5:$C$6004,R66,$O$5:$O$6004,"EM ANDAMENTO"))</f>
        <v>1</v>
      </c>
      <c r="Y66" s="2" t="n">
        <f aca="false">IF(R66="","",IF(COUNTIFS($C$5:$C$6004,R66,$O$5:$O$6004,"CONCLUÍDA",$N$5:$N$6004,"&gt;=-99")=0,"",_xlfn.MAXIFS($N$5:$N$6004,$C$5:$C$6004,R66,$O$5:$O$6004,"CONCLUÍDA")))</f>
        <v>18</v>
      </c>
      <c r="Z66" s="2" t="n">
        <f aca="false">IF(R66="","",IF(COUNTIFS($C$5:$C$6004,R66,$O$5:$O$6004,"EM ANDAMENTO",$N$5:$N$6004,"&gt;=-99")=0,"",_xlfn.MAXIFS($N$5:$N$6004,$C$5:$C$6004,R66,$O$5:$O$6004,"EM ANDAMENTO")))</f>
        <v>20</v>
      </c>
      <c r="AA66" s="2" t="str">
        <f aca="false"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>Distribuição elétrica/quadro - drywall: até 18º pav., executando 20º pav.</v>
      </c>
    </row>
    <row r="67" customFormat="false" ht="15" hidden="false" customHeight="false" outlineLevel="0" collapsed="false">
      <c r="B67" s="4" t="n">
        <v>13584647</v>
      </c>
      <c r="C67" s="4" t="s">
        <v>73</v>
      </c>
      <c r="D67" s="4" t="s">
        <v>2463</v>
      </c>
      <c r="E67" s="4" t="s">
        <v>81</v>
      </c>
      <c r="F67" s="127" t="n">
        <v>45987</v>
      </c>
      <c r="G67" s="127" t="n">
        <v>45987</v>
      </c>
      <c r="H67" s="127" t="n">
        <v>46289</v>
      </c>
      <c r="I67" s="4" t="n">
        <v>100</v>
      </c>
      <c r="J67" s="4" t="n">
        <v>100</v>
      </c>
      <c r="K67" s="4" t="n">
        <v>100</v>
      </c>
      <c r="M67" s="2" t="str">
        <f aca="false">IF(C67="","",IFERROR(INDEX($S$5:$S$304,MATCH(C67,$R$5:$R$304,0))&amp;"","?"))</f>
        <v>15</v>
      </c>
      <c r="N67" s="2" t="str">
        <f aca="false">IF(E67="","",IF(ISNUMBER(SEARCH("SUBSOLO",E67)),IFERROR(-VALUE(LEFT(E67,FIND("º",SUBSTITUTE(E67,"°","º"))-1)),-1),IF(LEFT(E67,6)="TÉRREO",0,IFERROR(VALUE(LEFT(E67,FIND("º",SUBSTITUTE(E67,"°","º"))-1)),""))))</f>
        <v/>
      </c>
      <c r="O67" s="2" t="str">
        <f aca="false">IF(OR(F67="",G67=""),"",IF(G67&lt;='RETRATO 2027'!$K$5,"CONCLUÍDA",IF(F67&lt;='RETRATO 2027'!$K$5,"EM ANDAMENTO","A INICIAR")))</f>
        <v>CONCLUÍDA</v>
      </c>
      <c r="R67" s="4" t="s">
        <v>2464</v>
      </c>
      <c r="S67" s="4" t="s">
        <v>176</v>
      </c>
      <c r="T67" s="4" t="s">
        <v>2465</v>
      </c>
      <c r="U67" s="4" t="s">
        <v>2299</v>
      </c>
      <c r="V67" s="2" t="n">
        <f aca="false">IF(R67="","",COUNTIF($C$5:$C$6004,R67))</f>
        <v>26</v>
      </c>
      <c r="W67" s="2" t="n">
        <f aca="false">IF(R67="","",COUNTIFS($C$5:$C$6004,R67,$O$5:$O$6004,"CONCLUÍDA"))</f>
        <v>12</v>
      </c>
      <c r="X67" s="2" t="n">
        <f aca="false">IF(R67="","",COUNTIFS($C$5:$C$6004,R67,$O$5:$O$6004,"EM ANDAMENTO"))</f>
        <v>1</v>
      </c>
      <c r="Y67" s="2" t="n">
        <f aca="false">IF(R67="","",IF(COUNTIFS($C$5:$C$6004,R67,$O$5:$O$6004,"CONCLUÍDA",$N$5:$N$6004,"&gt;=-99")=0,"",_xlfn.MAXIFS($N$5:$N$6004,$C$5:$C$6004,R67,$O$5:$O$6004,"CONCLUÍDA")))</f>
        <v>18</v>
      </c>
      <c r="Z67" s="2" t="n">
        <f aca="false">IF(R67="","",IF(COUNTIFS($C$5:$C$6004,R67,$O$5:$O$6004,"EM ANDAMENTO",$N$5:$N$6004,"&gt;=-99")=0,"",_xlfn.MAXIFS($N$5:$N$6004,$C$5:$C$6004,R67,$O$5:$O$6004,"EM ANDAMENTO")))</f>
        <v>20</v>
      </c>
      <c r="AA67" s="2" t="str">
        <f aca="false"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>Distribuição hidráulica - drywall: até 18º pav., executando 20º pav.</v>
      </c>
    </row>
    <row r="68" customFormat="false" ht="15" hidden="false" customHeight="false" outlineLevel="0" collapsed="false">
      <c r="B68" s="4" t="n">
        <v>13584648</v>
      </c>
      <c r="C68" s="4" t="s">
        <v>73</v>
      </c>
      <c r="D68" s="4" t="s">
        <v>2466</v>
      </c>
      <c r="E68" s="4" t="s">
        <v>81</v>
      </c>
      <c r="F68" s="127" t="n">
        <v>45988</v>
      </c>
      <c r="G68" s="127" t="n">
        <v>45988</v>
      </c>
      <c r="H68" s="127" t="n">
        <v>46289</v>
      </c>
      <c r="I68" s="4" t="n">
        <v>100</v>
      </c>
      <c r="J68" s="4" t="n">
        <v>100</v>
      </c>
      <c r="K68" s="4" t="n">
        <v>100</v>
      </c>
      <c r="M68" s="2" t="str">
        <f aca="false">IF(C68="","",IFERROR(INDEX($S$5:$S$304,MATCH(C68,$R$5:$R$304,0))&amp;"","?"))</f>
        <v>15</v>
      </c>
      <c r="N68" s="2" t="str">
        <f aca="false">IF(E68="","",IF(ISNUMBER(SEARCH("SUBSOLO",E68)),IFERROR(-VALUE(LEFT(E68,FIND("º",SUBSTITUTE(E68,"°","º"))-1)),-1),IF(LEFT(E68,6)="TÉRREO",0,IFERROR(VALUE(LEFT(E68,FIND("º",SUBSTITUTE(E68,"°","º"))-1)),""))))</f>
        <v/>
      </c>
      <c r="O68" s="2" t="str">
        <f aca="false">IF(OR(F68="",G68=""),"",IF(G68&lt;='RETRATO 2027'!$K$5,"CONCLUÍDA",IF(F68&lt;='RETRATO 2027'!$K$5,"EM ANDAMENTO","A INICIAR")))</f>
        <v>CONCLUÍDA</v>
      </c>
      <c r="R68" s="4" t="s">
        <v>2467</v>
      </c>
      <c r="S68" s="4" t="s">
        <v>182</v>
      </c>
      <c r="T68" s="4" t="s">
        <v>2468</v>
      </c>
      <c r="U68" s="4" t="s">
        <v>2299</v>
      </c>
      <c r="V68" s="2" t="n">
        <f aca="false">IF(R68="","",COUNTIF($C$5:$C$6004,R68))</f>
        <v>28</v>
      </c>
      <c r="W68" s="2" t="n">
        <f aca="false">IF(R68="","",COUNTIFS($C$5:$C$6004,R68,$O$5:$O$6004,"CONCLUÍDA"))</f>
        <v>12</v>
      </c>
      <c r="X68" s="2" t="n">
        <f aca="false">IF(R68="","",COUNTIFS($C$5:$C$6004,R68,$O$5:$O$6004,"EM ANDAMENTO"))</f>
        <v>1</v>
      </c>
      <c r="Y68" s="2" t="n">
        <f aca="false">IF(R68="","",IF(COUNTIFS($C$5:$C$6004,R68,$O$5:$O$6004,"CONCLUÍDA",$N$5:$N$6004,"&gt;=-99")=0,"",_xlfn.MAXIFS($N$5:$N$6004,$C$5:$C$6004,R68,$O$5:$O$6004,"CONCLUÍDA")))</f>
        <v>18</v>
      </c>
      <c r="Z68" s="2" t="n">
        <f aca="false">IF(R68="","",IF(COUNTIFS($C$5:$C$6004,R68,$O$5:$O$6004,"EM ANDAMENTO",$N$5:$N$6004,"&gt;=-99")=0,"",_xlfn.MAXIFS($N$5:$N$6004,$C$5:$C$6004,R68,$O$5:$O$6004,"EM ANDAMENTO")))</f>
        <v>20</v>
      </c>
      <c r="AA68" s="2" t="str">
        <f aca="false"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>Infraestrutura - ar condicionado: até 18º pav., executando 20º pav.</v>
      </c>
    </row>
    <row r="69" customFormat="false" ht="15" hidden="false" customHeight="false" outlineLevel="0" collapsed="false">
      <c r="B69" s="4" t="n">
        <v>13584649</v>
      </c>
      <c r="C69" s="4" t="s">
        <v>73</v>
      </c>
      <c r="D69" s="4" t="s">
        <v>2469</v>
      </c>
      <c r="E69" s="4" t="s">
        <v>81</v>
      </c>
      <c r="F69" s="127" t="n">
        <v>45989</v>
      </c>
      <c r="G69" s="127" t="n">
        <v>45989</v>
      </c>
      <c r="H69" s="127" t="n">
        <v>46289</v>
      </c>
      <c r="I69" s="4" t="n">
        <v>100</v>
      </c>
      <c r="J69" s="4" t="n">
        <v>100</v>
      </c>
      <c r="K69" s="4" t="n">
        <v>100</v>
      </c>
      <c r="M69" s="2" t="str">
        <f aca="false">IF(C69="","",IFERROR(INDEX($S$5:$S$304,MATCH(C69,$R$5:$R$304,0))&amp;"","?"))</f>
        <v>15</v>
      </c>
      <c r="N69" s="2" t="str">
        <f aca="false">IF(E69="","",IF(ISNUMBER(SEARCH("SUBSOLO",E69)),IFERROR(-VALUE(LEFT(E69,FIND("º",SUBSTITUTE(E69,"°","º"))-1)),-1),IF(LEFT(E69,6)="TÉRREO",0,IFERROR(VALUE(LEFT(E69,FIND("º",SUBSTITUTE(E69,"°","º"))-1)),""))))</f>
        <v/>
      </c>
      <c r="O69" s="2" t="str">
        <f aca="false">IF(OR(F69="",G69=""),"",IF(G69&lt;='RETRATO 2027'!$K$5,"CONCLUÍDA",IF(F69&lt;='RETRATO 2027'!$K$5,"EM ANDAMENTO","A INICIAR")))</f>
        <v>CONCLUÍDA</v>
      </c>
      <c r="R69" s="4" t="s">
        <v>2470</v>
      </c>
      <c r="S69" s="4" t="s">
        <v>167</v>
      </c>
      <c r="T69" s="4" t="s">
        <v>2471</v>
      </c>
      <c r="U69" s="4" t="s">
        <v>2299</v>
      </c>
      <c r="V69" s="2" t="n">
        <f aca="false">IF(R69="","",COUNTIF($C$5:$C$6004,R69))</f>
        <v>26</v>
      </c>
      <c r="W69" s="2" t="n">
        <f aca="false">IF(R69="","",COUNTIFS($C$5:$C$6004,R69,$O$5:$O$6004,"CONCLUÍDA"))</f>
        <v>11</v>
      </c>
      <c r="X69" s="2" t="n">
        <f aca="false">IF(R69="","",COUNTIFS($C$5:$C$6004,R69,$O$5:$O$6004,"EM ANDAMENTO"))</f>
        <v>1</v>
      </c>
      <c r="Y69" s="2" t="n">
        <f aca="false">IF(R69="","",IF(COUNTIFS($C$5:$C$6004,R69,$O$5:$O$6004,"CONCLUÍDA",$N$5:$N$6004,"&gt;=-99")=0,"",_xlfn.MAXIFS($N$5:$N$6004,$C$5:$C$6004,R69,$O$5:$O$6004,"CONCLUÍDA")))</f>
        <v>17</v>
      </c>
      <c r="Z69" s="2" t="n">
        <f aca="false">IF(R69="","",IF(COUNTIFS($C$5:$C$6004,R69,$O$5:$O$6004,"EM ANDAMENTO",$N$5:$N$6004,"&gt;=-99")=0,"",_xlfn.MAXIFS($N$5:$N$6004,$C$5:$C$6004,R69,$O$5:$O$6004,"EM ANDAMENTO")))</f>
        <v>18</v>
      </c>
      <c r="AA69" s="2" t="str">
        <f aca="false"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>Drywall 2ª face: até 17º pav., executando 18º pav.</v>
      </c>
    </row>
    <row r="70" customFormat="false" ht="15" hidden="false" customHeight="false" outlineLevel="0" collapsed="false">
      <c r="B70" s="4" t="n">
        <v>13584650</v>
      </c>
      <c r="C70" s="4" t="s">
        <v>73</v>
      </c>
      <c r="D70" s="4" t="s">
        <v>2472</v>
      </c>
      <c r="E70" s="4" t="s">
        <v>81</v>
      </c>
      <c r="F70" s="127" t="n">
        <v>45992</v>
      </c>
      <c r="G70" s="127" t="n">
        <v>45992</v>
      </c>
      <c r="H70" s="127" t="n">
        <v>46289</v>
      </c>
      <c r="I70" s="4" t="n">
        <v>100</v>
      </c>
      <c r="J70" s="4" t="n">
        <v>100</v>
      </c>
      <c r="K70" s="4" t="n">
        <v>100</v>
      </c>
      <c r="M70" s="2" t="str">
        <f aca="false">IF(C70="","",IFERROR(INDEX($S$5:$S$304,MATCH(C70,$R$5:$R$304,0))&amp;"","?"))</f>
        <v>15</v>
      </c>
      <c r="N70" s="2" t="str">
        <f aca="false">IF(E70="","",IF(ISNUMBER(SEARCH("SUBSOLO",E70)),IFERROR(-VALUE(LEFT(E70,FIND("º",SUBSTITUTE(E70,"°","º"))-1)),-1),IF(LEFT(E70,6)="TÉRREO",0,IFERROR(VALUE(LEFT(E70,FIND("º",SUBSTITUTE(E70,"°","º"))-1)),""))))</f>
        <v/>
      </c>
      <c r="O70" s="2" t="str">
        <f aca="false">IF(OR(F70="",G70=""),"",IF(G70&lt;='RETRATO 2027'!$K$5,"CONCLUÍDA",IF(F70&lt;='RETRATO 2027'!$K$5,"EM ANDAMENTO","A INICIAR")))</f>
        <v>CONCLUÍDA</v>
      </c>
      <c r="R70" s="4" t="s">
        <v>194</v>
      </c>
      <c r="S70" s="4" t="s">
        <v>193</v>
      </c>
      <c r="T70" s="4" t="s">
        <v>2473</v>
      </c>
      <c r="U70" s="4" t="s">
        <v>2299</v>
      </c>
      <c r="V70" s="2" t="n">
        <f aca="false">IF(R70="","",COUNTIF($C$5:$C$6004,R70))</f>
        <v>8</v>
      </c>
      <c r="W70" s="2" t="n">
        <f aca="false">IF(R70="","",COUNTIFS($C$5:$C$6004,R70,$O$5:$O$6004,"CONCLUÍDA"))</f>
        <v>3</v>
      </c>
      <c r="X70" s="2" t="n">
        <f aca="false">IF(R70="","",COUNTIFS($C$5:$C$6004,R70,$O$5:$O$6004,"EM ANDAMENTO"))</f>
        <v>1</v>
      </c>
      <c r="Y70" s="2" t="n">
        <f aca="false">IF(R70="","",IF(COUNTIFS($C$5:$C$6004,R70,$O$5:$O$6004,"CONCLUÍDA",$N$5:$N$6004,"&gt;=-99")=0,"",_xlfn.MAXIFS($N$5:$N$6004,$C$5:$C$6004,R70,$O$5:$O$6004,"CONCLUÍDA")))</f>
        <v>3</v>
      </c>
      <c r="Z70" s="2" t="n">
        <f aca="false">IF(R70="","",IF(COUNTIFS($C$5:$C$6004,R70,$O$5:$O$6004,"EM ANDAMENTO",$N$5:$N$6004,"&gt;=-99")=0,"",_xlfn.MAXIFS($N$5:$N$6004,$C$5:$C$6004,R70,$O$5:$O$6004,"EM ANDAMENTO")))</f>
        <v>4</v>
      </c>
      <c r="AA70" s="2" t="str">
        <f aca="false"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>Serralheria: até 3º pav., executando 4º pav.</v>
      </c>
    </row>
    <row r="71" customFormat="false" ht="15" hidden="false" customHeight="false" outlineLevel="0" collapsed="false">
      <c r="B71" s="4" t="n">
        <v>13584651</v>
      </c>
      <c r="C71" s="4" t="s">
        <v>73</v>
      </c>
      <c r="D71" s="4" t="s">
        <v>2474</v>
      </c>
      <c r="E71" s="4" t="s">
        <v>81</v>
      </c>
      <c r="F71" s="127" t="n">
        <v>45993</v>
      </c>
      <c r="G71" s="127" t="n">
        <v>45993</v>
      </c>
      <c r="H71" s="127" t="n">
        <v>46289</v>
      </c>
      <c r="I71" s="4" t="n">
        <v>100</v>
      </c>
      <c r="J71" s="4" t="n">
        <v>100</v>
      </c>
      <c r="K71" s="4" t="n">
        <v>100</v>
      </c>
      <c r="M71" s="2" t="str">
        <f aca="false">IF(C71="","",IFERROR(INDEX($S$5:$S$304,MATCH(C71,$R$5:$R$304,0))&amp;"","?"))</f>
        <v>15</v>
      </c>
      <c r="N71" s="2" t="str">
        <f aca="false">IF(E71="","",IF(ISNUMBER(SEARCH("SUBSOLO",E71)),IFERROR(-VALUE(LEFT(E71,FIND("º",SUBSTITUTE(E71,"°","º"))-1)),-1),IF(LEFT(E71,6)="TÉRREO",0,IFERROR(VALUE(LEFT(E71,FIND("º",SUBSTITUTE(E71,"°","º"))-1)),""))))</f>
        <v/>
      </c>
      <c r="O71" s="2" t="str">
        <f aca="false">IF(OR(F71="",G71=""),"",IF(G71&lt;='RETRATO 2027'!$K$5,"CONCLUÍDA",IF(F71&lt;='RETRATO 2027'!$K$5,"EM ANDAMENTO","A INICIAR")))</f>
        <v>CONCLUÍDA</v>
      </c>
      <c r="R71" s="4" t="s">
        <v>171</v>
      </c>
      <c r="S71" s="4" t="s">
        <v>170</v>
      </c>
      <c r="T71" s="4" t="s">
        <v>2475</v>
      </c>
      <c r="U71" s="4" t="s">
        <v>2299</v>
      </c>
      <c r="V71" s="2" t="n">
        <f aca="false">IF(R71="","",COUNTIF($C$5:$C$6004,R71))</f>
        <v>44</v>
      </c>
      <c r="W71" s="2" t="n">
        <f aca="false">IF(R71="","",COUNTIFS($C$5:$C$6004,R71,$O$5:$O$6004,"CONCLUÍDA"))</f>
        <v>12</v>
      </c>
      <c r="X71" s="2" t="n">
        <f aca="false">IF(R71="","",COUNTIFS($C$5:$C$6004,R71,$O$5:$O$6004,"EM ANDAMENTO"))</f>
        <v>2</v>
      </c>
      <c r="Y71" s="2" t="n">
        <f aca="false">IF(R71="","",IF(COUNTIFS($C$5:$C$6004,R71,$O$5:$O$6004,"CONCLUÍDA",$N$5:$N$6004,"&gt;=-99")=0,"",_xlfn.MAXIFS($N$5:$N$6004,$C$5:$C$6004,R71,$O$5:$O$6004,"CONCLUÍDA")))</f>
        <v>16</v>
      </c>
      <c r="Z71" s="2" t="n">
        <f aca="false">IF(R71="","",IF(COUNTIFS($C$5:$C$6004,R71,$O$5:$O$6004,"EM ANDAMENTO",$N$5:$N$6004,"&gt;=-99")=0,"",_xlfn.MAXIFS($N$5:$N$6004,$C$5:$C$6004,R71,$O$5:$O$6004,"EM ANDAMENTO")))</f>
        <v>17</v>
      </c>
      <c r="AA71" s="2" t="str">
        <f aca="false"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>Impermeabilização: até 16º pav., executando 17º pav.</v>
      </c>
    </row>
    <row r="72" customFormat="false" ht="15" hidden="false" customHeight="false" outlineLevel="0" collapsed="false">
      <c r="B72" s="4" t="n">
        <v>13584652</v>
      </c>
      <c r="C72" s="4" t="s">
        <v>73</v>
      </c>
      <c r="D72" s="4" t="s">
        <v>2476</v>
      </c>
      <c r="E72" s="4" t="s">
        <v>81</v>
      </c>
      <c r="F72" s="127" t="n">
        <v>45994</v>
      </c>
      <c r="G72" s="127" t="n">
        <v>45994</v>
      </c>
      <c r="H72" s="127" t="n">
        <v>46289</v>
      </c>
      <c r="I72" s="4" t="n">
        <v>100</v>
      </c>
      <c r="J72" s="4" t="n">
        <v>100</v>
      </c>
      <c r="K72" s="4" t="n">
        <v>100</v>
      </c>
      <c r="M72" s="2" t="str">
        <f aca="false">IF(C72="","",IFERROR(INDEX($S$5:$S$304,MATCH(C72,$R$5:$R$304,0))&amp;"","?"))</f>
        <v>15</v>
      </c>
      <c r="N72" s="2" t="str">
        <f aca="false">IF(E72="","",IF(ISNUMBER(SEARCH("SUBSOLO",E72)),IFERROR(-VALUE(LEFT(E72,FIND("º",SUBSTITUTE(E72,"°","º"))-1)),-1),IF(LEFT(E72,6)="TÉRREO",0,IFERROR(VALUE(LEFT(E72,FIND("º",SUBSTITUTE(E72,"°","º"))-1)),""))))</f>
        <v/>
      </c>
      <c r="O72" s="2" t="str">
        <f aca="false">IF(OR(F72="",G72=""),"",IF(G72&lt;='RETRATO 2027'!$K$5,"CONCLUÍDA",IF(F72&lt;='RETRATO 2027'!$K$5,"EM ANDAMENTO","A INICIAR")))</f>
        <v>CONCLUÍDA</v>
      </c>
      <c r="R72" s="4" t="s">
        <v>2477</v>
      </c>
      <c r="S72" s="4" t="s">
        <v>212</v>
      </c>
      <c r="T72" s="4" t="s">
        <v>2478</v>
      </c>
      <c r="U72" s="4" t="s">
        <v>2299</v>
      </c>
      <c r="V72" s="2" t="n">
        <f aca="false">IF(R72="","",COUNTIF($C$5:$C$6004,R72))</f>
        <v>1</v>
      </c>
      <c r="W72" s="2" t="n">
        <f aca="false">IF(R72="","",COUNTIFS($C$5:$C$6004,R72,$O$5:$O$6004,"CONCLUÍDA"))</f>
        <v>1</v>
      </c>
      <c r="X72" s="2" t="n">
        <f aca="false">IF(R72="","",COUNTIFS($C$5:$C$6004,R72,$O$5:$O$6004,"EM ANDAMENTO"))</f>
        <v>0</v>
      </c>
      <c r="Y72" s="2" t="str">
        <f aca="false">IF(R72="","",IF(COUNTIFS($C$5:$C$6004,R72,$O$5:$O$6004,"CONCLUÍDA",$N$5:$N$6004,"&gt;=-99")=0,"",_xlfn.MAXIFS($N$5:$N$6004,$C$5:$C$6004,R72,$O$5:$O$6004,"CONCLUÍDA")))</f>
        <v/>
      </c>
      <c r="Z72" s="2" t="str">
        <f aca="false">IF(R72="","",IF(COUNTIFS($C$5:$C$6004,R72,$O$5:$O$6004,"EM ANDAMENTO",$N$5:$N$6004,"&gt;=-99")=0,"",_xlfn.MAXIFS($N$5:$N$6004,$C$5:$C$6004,R72,$O$5:$O$6004,"EM ANDAMENTO")))</f>
        <v/>
      </c>
      <c r="AA72" s="2" t="str">
        <f aca="false"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>Preparação para fachada aerada - F1 + F2 (1º etapa): concluído</v>
      </c>
    </row>
    <row r="73" customFormat="false" ht="15" hidden="false" customHeight="false" outlineLevel="0" collapsed="false">
      <c r="B73" s="4" t="n">
        <v>13584653</v>
      </c>
      <c r="C73" s="4" t="s">
        <v>73</v>
      </c>
      <c r="D73" s="4" t="s">
        <v>2479</v>
      </c>
      <c r="E73" s="4" t="s">
        <v>81</v>
      </c>
      <c r="F73" s="127" t="n">
        <v>45995</v>
      </c>
      <c r="G73" s="127" t="n">
        <v>45995</v>
      </c>
      <c r="H73" s="127" t="n">
        <v>46289</v>
      </c>
      <c r="I73" s="4" t="n">
        <v>100</v>
      </c>
      <c r="J73" s="4" t="n">
        <v>100</v>
      </c>
      <c r="K73" s="4" t="n">
        <v>100</v>
      </c>
      <c r="M73" s="2" t="str">
        <f aca="false">IF(C73="","",IFERROR(INDEX($S$5:$S$304,MATCH(C73,$R$5:$R$304,0))&amp;"","?"))</f>
        <v>15</v>
      </c>
      <c r="N73" s="2" t="str">
        <f aca="false">IF(E73="","",IF(ISNUMBER(SEARCH("SUBSOLO",E73)),IFERROR(-VALUE(LEFT(E73,FIND("º",SUBSTITUTE(E73,"°","º"))-1)),-1),IF(LEFT(E73,6)="TÉRREO",0,IFERROR(VALUE(LEFT(E73,FIND("º",SUBSTITUTE(E73,"°","º"))-1)),""))))</f>
        <v/>
      </c>
      <c r="O73" s="2" t="str">
        <f aca="false">IF(OR(F73="",G73=""),"",IF(G73&lt;='RETRATO 2027'!$K$5,"CONCLUÍDA",IF(F73&lt;='RETRATO 2027'!$K$5,"EM ANDAMENTO","A INICIAR")))</f>
        <v>CONCLUÍDA</v>
      </c>
      <c r="R73" s="4" t="s">
        <v>2480</v>
      </c>
      <c r="S73" s="4" t="s">
        <v>205</v>
      </c>
      <c r="T73" s="4" t="s">
        <v>2481</v>
      </c>
      <c r="U73" s="4" t="s">
        <v>2299</v>
      </c>
      <c r="V73" s="2" t="n">
        <f aca="false">IF(R73="","",COUNTIF($C$5:$C$6004,R73))</f>
        <v>41</v>
      </c>
      <c r="W73" s="2" t="n">
        <f aca="false">IF(R73="","",COUNTIFS($C$5:$C$6004,R73,$O$5:$O$6004,"CONCLUÍDA"))</f>
        <v>16</v>
      </c>
      <c r="X73" s="2" t="n">
        <f aca="false">IF(R73="","",COUNTIFS($C$5:$C$6004,R73,$O$5:$O$6004,"EM ANDAMENTO"))</f>
        <v>2</v>
      </c>
      <c r="Y73" s="2" t="n">
        <f aca="false">IF(R73="","",IF(COUNTIFS($C$5:$C$6004,R73,$O$5:$O$6004,"CONCLUÍDA",$N$5:$N$6004,"&gt;=-99")=0,"",_xlfn.MAXIFS($N$5:$N$6004,$C$5:$C$6004,R73,$O$5:$O$6004,"CONCLUÍDA")))</f>
        <v>15</v>
      </c>
      <c r="Z73" s="2" t="n">
        <f aca="false">IF(R73="","",IF(COUNTIFS($C$5:$C$6004,R73,$O$5:$O$6004,"EM ANDAMENTO",$N$5:$N$6004,"&gt;=-99")=0,"",_xlfn.MAXIFS($N$5:$N$6004,$C$5:$C$6004,R73,$O$5:$O$6004,"EM ANDAMENTO")))</f>
        <v>16</v>
      </c>
      <c r="AA73" s="2" t="str">
        <f aca="false"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>Revestimento porcelanato parede: até 15º pav., executando 16º pav.</v>
      </c>
    </row>
    <row r="74" customFormat="false" ht="15" hidden="false" customHeight="false" outlineLevel="0" collapsed="false">
      <c r="B74" s="4" t="n">
        <v>13584654</v>
      </c>
      <c r="C74" s="4" t="s">
        <v>73</v>
      </c>
      <c r="D74" s="4" t="s">
        <v>2482</v>
      </c>
      <c r="E74" s="4" t="s">
        <v>81</v>
      </c>
      <c r="F74" s="127" t="n">
        <v>45996</v>
      </c>
      <c r="G74" s="127" t="n">
        <v>45996</v>
      </c>
      <c r="H74" s="127" t="n">
        <v>46289</v>
      </c>
      <c r="I74" s="4" t="n">
        <v>100</v>
      </c>
      <c r="J74" s="4" t="n">
        <v>100</v>
      </c>
      <c r="K74" s="4" t="n">
        <v>100</v>
      </c>
      <c r="M74" s="2" t="str">
        <f aca="false">IF(C74="","",IFERROR(INDEX($S$5:$S$304,MATCH(C74,$R$5:$R$304,0))&amp;"","?"))</f>
        <v>15</v>
      </c>
      <c r="N74" s="2" t="str">
        <f aca="false">IF(E74="","",IF(ISNUMBER(SEARCH("SUBSOLO",E74)),IFERROR(-VALUE(LEFT(E74,FIND("º",SUBSTITUTE(E74,"°","º"))-1)),-1),IF(LEFT(E74,6)="TÉRREO",0,IFERROR(VALUE(LEFT(E74,FIND("º",SUBSTITUTE(E74,"°","º"))-1)),""))))</f>
        <v/>
      </c>
      <c r="O74" s="2" t="str">
        <f aca="false">IF(OR(F74="",G74=""),"",IF(G74&lt;='RETRATO 2027'!$K$5,"CONCLUÍDA",IF(F74&lt;='RETRATO 2027'!$K$5,"EM ANDAMENTO","A INICIAR")))</f>
        <v>CONCLUÍDA</v>
      </c>
      <c r="R74" s="4" t="s">
        <v>2483</v>
      </c>
      <c r="S74" s="4" t="s">
        <v>212</v>
      </c>
      <c r="T74" s="4" t="s">
        <v>2484</v>
      </c>
      <c r="U74" s="4" t="s">
        <v>2299</v>
      </c>
      <c r="V74" s="2" t="n">
        <f aca="false">IF(R74="","",COUNTIF($C$5:$C$6004,R74))</f>
        <v>7</v>
      </c>
      <c r="W74" s="2" t="n">
        <f aca="false">IF(R74="","",COUNTIFS($C$5:$C$6004,R74,$O$5:$O$6004,"CONCLUÍDA"))</f>
        <v>5</v>
      </c>
      <c r="X74" s="2" t="n">
        <f aca="false">IF(R74="","",COUNTIFS($C$5:$C$6004,R74,$O$5:$O$6004,"EM ANDAMENTO"))</f>
        <v>2</v>
      </c>
      <c r="Y74" s="2" t="n">
        <f aca="false">IF(R74="","",IF(COUNTIFS($C$5:$C$6004,R74,$O$5:$O$6004,"CONCLUÍDA",$N$5:$N$6004,"&gt;=-99")=0,"",_xlfn.MAXIFS($N$5:$N$6004,$C$5:$C$6004,R74,$O$5:$O$6004,"CONCLUÍDA")))</f>
        <v>0</v>
      </c>
      <c r="Z74" s="2" t="n">
        <f aca="false">IF(R74="","",IF(COUNTIFS($C$5:$C$6004,R74,$O$5:$O$6004,"EM ANDAMENTO",$N$5:$N$6004,"&gt;=-99")=0,"",_xlfn.MAXIFS($N$5:$N$6004,$C$5:$C$6004,R74,$O$5:$O$6004,"EM ANDAMENTO")))</f>
        <v>0</v>
      </c>
      <c r="AA74" s="2" t="str">
        <f aca="false"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>Fachada loja: até térreo (restam serviços no térreo)</v>
      </c>
    </row>
    <row r="75" customFormat="false" ht="15" hidden="false" customHeight="false" outlineLevel="0" collapsed="false">
      <c r="B75" s="4" t="n">
        <v>13584655</v>
      </c>
      <c r="C75" s="4" t="s">
        <v>73</v>
      </c>
      <c r="D75" s="4" t="s">
        <v>2485</v>
      </c>
      <c r="E75" s="4" t="s">
        <v>81</v>
      </c>
      <c r="F75" s="127" t="n">
        <v>46000</v>
      </c>
      <c r="G75" s="127" t="n">
        <v>46000</v>
      </c>
      <c r="H75" s="127" t="n">
        <v>46289</v>
      </c>
      <c r="I75" s="4" t="n">
        <v>100</v>
      </c>
      <c r="J75" s="4" t="n">
        <v>100</v>
      </c>
      <c r="K75" s="4" t="n">
        <v>100</v>
      </c>
      <c r="M75" s="2" t="str">
        <f aca="false">IF(C75="","",IFERROR(INDEX($S$5:$S$304,MATCH(C75,$R$5:$R$304,0))&amp;"","?"))</f>
        <v>15</v>
      </c>
      <c r="N75" s="2" t="str">
        <f aca="false">IF(E75="","",IF(ISNUMBER(SEARCH("SUBSOLO",E75)),IFERROR(-VALUE(LEFT(E75,FIND("º",SUBSTITUTE(E75,"°","º"))-1)),-1),IF(LEFT(E75,6)="TÉRREO",0,IFERROR(VALUE(LEFT(E75,FIND("º",SUBSTITUTE(E75,"°","º"))-1)),""))))</f>
        <v/>
      </c>
      <c r="O75" s="2" t="str">
        <f aca="false">IF(OR(F75="",G75=""),"",IF(G75&lt;='RETRATO 2027'!$K$5,"CONCLUÍDA",IF(F75&lt;='RETRATO 2027'!$K$5,"EM ANDAMENTO","A INICIAR")))</f>
        <v>CONCLUÍDA</v>
      </c>
      <c r="R75" s="4" t="s">
        <v>2486</v>
      </c>
      <c r="S75" s="4" t="s">
        <v>205</v>
      </c>
      <c r="T75" s="4" t="s">
        <v>2487</v>
      </c>
      <c r="U75" s="4" t="s">
        <v>2299</v>
      </c>
      <c r="V75" s="2" t="n">
        <f aca="false">IF(R75="","",COUNTIF($C$5:$C$6004,R75))</f>
        <v>42</v>
      </c>
      <c r="W75" s="2" t="n">
        <f aca="false">IF(R75="","",COUNTIFS($C$5:$C$6004,R75,$O$5:$O$6004,"CONCLUÍDA"))</f>
        <v>13</v>
      </c>
      <c r="X75" s="2" t="n">
        <f aca="false">IF(R75="","",COUNTIFS($C$5:$C$6004,R75,$O$5:$O$6004,"EM ANDAMENTO"))</f>
        <v>3</v>
      </c>
      <c r="Y75" s="2" t="n">
        <f aca="false">IF(R75="","",IF(COUNTIFS($C$5:$C$6004,R75,$O$5:$O$6004,"CONCLUÍDA",$N$5:$N$6004,"&gt;=-99")=0,"",_xlfn.MAXIFS($N$5:$N$6004,$C$5:$C$6004,R75,$O$5:$O$6004,"CONCLUÍDA")))</f>
        <v>14</v>
      </c>
      <c r="Z75" s="2" t="n">
        <f aca="false">IF(R75="","",IF(COUNTIFS($C$5:$C$6004,R75,$O$5:$O$6004,"EM ANDAMENTO",$N$5:$N$6004,"&gt;=-99")=0,"",_xlfn.MAXIFS($N$5:$N$6004,$C$5:$C$6004,R75,$O$5:$O$6004,"EM ANDAMENTO")))</f>
        <v>15</v>
      </c>
      <c r="AA75" s="2" t="str">
        <f aca="false"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>Revestimentos porcelanato piso: até 14º pav., executando 15º pav.</v>
      </c>
    </row>
    <row r="76" customFormat="false" ht="15" hidden="false" customHeight="false" outlineLevel="0" collapsed="false">
      <c r="B76" s="4" t="n">
        <v>13584656</v>
      </c>
      <c r="C76" s="4" t="s">
        <v>73</v>
      </c>
      <c r="D76" s="4" t="s">
        <v>2488</v>
      </c>
      <c r="E76" s="4" t="s">
        <v>81</v>
      </c>
      <c r="F76" s="127" t="n">
        <v>46001</v>
      </c>
      <c r="G76" s="127" t="n">
        <v>46001</v>
      </c>
      <c r="H76" s="127" t="n">
        <v>46289</v>
      </c>
      <c r="I76" s="4" t="n">
        <v>100</v>
      </c>
      <c r="J76" s="4" t="n">
        <v>100</v>
      </c>
      <c r="K76" s="4" t="n">
        <v>100</v>
      </c>
      <c r="M76" s="2" t="str">
        <f aca="false">IF(C76="","",IFERROR(INDEX($S$5:$S$304,MATCH(C76,$R$5:$R$304,0))&amp;"","?"))</f>
        <v>15</v>
      </c>
      <c r="N76" s="2" t="str">
        <f aca="false">IF(E76="","",IF(ISNUMBER(SEARCH("SUBSOLO",E76)),IFERROR(-VALUE(LEFT(E76,FIND("º",SUBSTITUTE(E76,"°","º"))-1)),-1),IF(LEFT(E76,6)="TÉRREO",0,IFERROR(VALUE(LEFT(E76,FIND("º",SUBSTITUTE(E76,"°","º"))-1)),""))))</f>
        <v/>
      </c>
      <c r="O76" s="2" t="str">
        <f aca="false">IF(OR(F76="",G76=""),"",IF(G76&lt;='RETRATO 2027'!$K$5,"CONCLUÍDA",IF(F76&lt;='RETRATO 2027'!$K$5,"EM ANDAMENTO","A INICIAR")))</f>
        <v>CONCLUÍDA</v>
      </c>
      <c r="R76" s="4" t="s">
        <v>2489</v>
      </c>
      <c r="S76" s="4" t="s">
        <v>212</v>
      </c>
      <c r="T76" s="4" t="s">
        <v>2490</v>
      </c>
      <c r="U76" s="4" t="s">
        <v>2299</v>
      </c>
      <c r="V76" s="2" t="n">
        <f aca="false">IF(R76="","",COUNTIF($C$5:$C$6004,R76))</f>
        <v>1</v>
      </c>
      <c r="W76" s="2" t="n">
        <f aca="false">IF(R76="","",COUNTIFS($C$5:$C$6004,R76,$O$5:$O$6004,"CONCLUÍDA"))</f>
        <v>1</v>
      </c>
      <c r="X76" s="2" t="n">
        <f aca="false">IF(R76="","",COUNTIFS($C$5:$C$6004,R76,$O$5:$O$6004,"EM ANDAMENTO"))</f>
        <v>0</v>
      </c>
      <c r="Y76" s="2" t="str">
        <f aca="false">IF(R76="","",IF(COUNTIFS($C$5:$C$6004,R76,$O$5:$O$6004,"CONCLUÍDA",$N$5:$N$6004,"&gt;=-99")=0,"",_xlfn.MAXIFS($N$5:$N$6004,$C$5:$C$6004,R76,$O$5:$O$6004,"CONCLUÍDA")))</f>
        <v/>
      </c>
      <c r="Z76" s="2" t="str">
        <f aca="false">IF(R76="","",IF(COUNTIFS($C$5:$C$6004,R76,$O$5:$O$6004,"EM ANDAMENTO",$N$5:$N$6004,"&gt;=-99")=0,"",_xlfn.MAXIFS($N$5:$N$6004,$C$5:$C$6004,R76,$O$5:$O$6004,"EM ANDAMENTO")))</f>
        <v/>
      </c>
      <c r="AA76" s="2" t="str">
        <f aca="false"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>Fachada aerada - F1 + F2 (1º etapa): concluído</v>
      </c>
    </row>
    <row r="77" customFormat="false" ht="15" hidden="false" customHeight="false" outlineLevel="0" collapsed="false">
      <c r="B77" s="4" t="n">
        <v>13584657</v>
      </c>
      <c r="C77" s="4" t="s">
        <v>73</v>
      </c>
      <c r="D77" s="4" t="s">
        <v>2491</v>
      </c>
      <c r="E77" s="4" t="s">
        <v>81</v>
      </c>
      <c r="F77" s="127" t="n">
        <v>46002</v>
      </c>
      <c r="G77" s="127" t="n">
        <v>46002</v>
      </c>
      <c r="H77" s="127" t="n">
        <v>46289</v>
      </c>
      <c r="I77" s="4" t="n">
        <v>100</v>
      </c>
      <c r="J77" s="4" t="n">
        <v>100</v>
      </c>
      <c r="K77" s="4" t="n">
        <v>100</v>
      </c>
      <c r="M77" s="2" t="str">
        <f aca="false">IF(C77="","",IFERROR(INDEX($S$5:$S$304,MATCH(C77,$R$5:$R$304,0))&amp;"","?"))</f>
        <v>15</v>
      </c>
      <c r="N77" s="2" t="str">
        <f aca="false">IF(E77="","",IF(ISNUMBER(SEARCH("SUBSOLO",E77)),IFERROR(-VALUE(LEFT(E77,FIND("º",SUBSTITUTE(E77,"°","º"))-1)),-1),IF(LEFT(E77,6)="TÉRREO",0,IFERROR(VALUE(LEFT(E77,FIND("º",SUBSTITUTE(E77,"°","º"))-1)),""))))</f>
        <v/>
      </c>
      <c r="O77" s="2" t="str">
        <f aca="false">IF(OR(F77="",G77=""),"",IF(G77&lt;='RETRATO 2027'!$K$5,"CONCLUÍDA",IF(F77&lt;='RETRATO 2027'!$K$5,"EM ANDAMENTO","A INICIAR")))</f>
        <v>CONCLUÍDA</v>
      </c>
      <c r="R77" s="4" t="s">
        <v>2492</v>
      </c>
      <c r="S77" s="4" t="s">
        <v>167</v>
      </c>
      <c r="T77" s="4" t="s">
        <v>2493</v>
      </c>
      <c r="U77" s="4" t="s">
        <v>2299</v>
      </c>
      <c r="V77" s="2" t="n">
        <f aca="false">IF(R77="","",COUNTIF($C$5:$C$6004,R77))</f>
        <v>10</v>
      </c>
      <c r="W77" s="2" t="n">
        <f aca="false">IF(R77="","",COUNTIFS($C$5:$C$6004,R77,$O$5:$O$6004,"CONCLUÍDA"))</f>
        <v>7</v>
      </c>
      <c r="X77" s="2" t="n">
        <f aca="false">IF(R77="","",COUNTIFS($C$5:$C$6004,R77,$O$5:$O$6004,"EM ANDAMENTO"))</f>
        <v>0</v>
      </c>
      <c r="Y77" s="2" t="n">
        <f aca="false">IF(R77="","",IF(COUNTIFS($C$5:$C$6004,R77,$O$5:$O$6004,"CONCLUÍDA",$N$5:$N$6004,"&gt;=-99")=0,"",_xlfn.MAXIFS($N$5:$N$6004,$C$5:$C$6004,R77,$O$5:$O$6004,"CONCLUÍDA")))</f>
        <v>0</v>
      </c>
      <c r="Z77" s="2" t="str">
        <f aca="false">IF(R77="","",IF(COUNTIFS($C$5:$C$6004,R77,$O$5:$O$6004,"EM ANDAMENTO",$N$5:$N$6004,"&gt;=-99")=0,"",_xlfn.MAXIFS($N$5:$N$6004,$C$5:$C$6004,R77,$O$5:$O$6004,"EM ANDAMENTO")))</f>
        <v/>
      </c>
      <c r="AA77" s="2" t="str">
        <f aca="false"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>Drywall: até térreo</v>
      </c>
    </row>
    <row r="78" customFormat="false" ht="15" hidden="false" customHeight="false" outlineLevel="0" collapsed="false">
      <c r="B78" s="4" t="n">
        <v>13584658</v>
      </c>
      <c r="C78" s="4" t="s">
        <v>73</v>
      </c>
      <c r="D78" s="4" t="s">
        <v>2494</v>
      </c>
      <c r="E78" s="4" t="s">
        <v>81</v>
      </c>
      <c r="F78" s="127" t="n">
        <v>46003</v>
      </c>
      <c r="G78" s="127" t="n">
        <v>46003</v>
      </c>
      <c r="H78" s="127" t="n">
        <v>46289</v>
      </c>
      <c r="I78" s="4" t="n">
        <v>100</v>
      </c>
      <c r="J78" s="4" t="n">
        <v>100</v>
      </c>
      <c r="K78" s="4" t="n">
        <v>100</v>
      </c>
      <c r="M78" s="2" t="str">
        <f aca="false">IF(C78="","",IFERROR(INDEX($S$5:$S$304,MATCH(C78,$R$5:$R$304,0))&amp;"","?"))</f>
        <v>15</v>
      </c>
      <c r="N78" s="2" t="str">
        <f aca="false">IF(E78="","",IF(ISNUMBER(SEARCH("SUBSOLO",E78)),IFERROR(-VALUE(LEFT(E78,FIND("º",SUBSTITUTE(E78,"°","º"))-1)),-1),IF(LEFT(E78,6)="TÉRREO",0,IFERROR(VALUE(LEFT(E78,FIND("º",SUBSTITUTE(E78,"°","º"))-1)),""))))</f>
        <v/>
      </c>
      <c r="O78" s="2" t="str">
        <f aca="false">IF(OR(F78="",G78=""),"",IF(G78&lt;='RETRATO 2027'!$K$5,"CONCLUÍDA",IF(F78&lt;='RETRATO 2027'!$K$5,"EM ANDAMENTO","A INICIAR")))</f>
        <v>CONCLUÍDA</v>
      </c>
      <c r="R78" s="4" t="s">
        <v>2495</v>
      </c>
      <c r="S78" s="4" t="s">
        <v>185</v>
      </c>
      <c r="T78" s="4" t="s">
        <v>2496</v>
      </c>
      <c r="U78" s="4" t="s">
        <v>2299</v>
      </c>
      <c r="V78" s="2" t="n">
        <f aca="false">IF(R78="","",COUNTIF($C$5:$C$6004,R78))</f>
        <v>2</v>
      </c>
      <c r="W78" s="2" t="n">
        <f aca="false">IF(R78="","",COUNTIFS($C$5:$C$6004,R78,$O$5:$O$6004,"CONCLUÍDA"))</f>
        <v>0</v>
      </c>
      <c r="X78" s="2" t="n">
        <f aca="false">IF(R78="","",COUNTIFS($C$5:$C$6004,R78,$O$5:$O$6004,"EM ANDAMENTO"))</f>
        <v>1</v>
      </c>
      <c r="Y78" s="2" t="str">
        <f aca="false">IF(R78="","",IF(COUNTIFS($C$5:$C$6004,R78,$O$5:$O$6004,"CONCLUÍDA",$N$5:$N$6004,"&gt;=-99")=0,"",_xlfn.MAXIFS($N$5:$N$6004,$C$5:$C$6004,R78,$O$5:$O$6004,"CONCLUÍDA")))</f>
        <v/>
      </c>
      <c r="Z78" s="2" t="str">
        <f aca="false">IF(R78="","",IF(COUNTIFS($C$5:$C$6004,R78,$O$5:$O$6004,"EM ANDAMENTO",$N$5:$N$6004,"&gt;=-99")=0,"",_xlfn.MAXIFS($N$5:$N$6004,$C$5:$C$6004,R78,$O$5:$O$6004,"EM ANDAMENTO")))</f>
        <v/>
      </c>
      <c r="AA78" s="2" t="str">
        <f aca="false"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>Aduelas (elevadores): em execução</v>
      </c>
    </row>
    <row r="79" customFormat="false" ht="15" hidden="false" customHeight="false" outlineLevel="0" collapsed="false">
      <c r="B79" s="4" t="n">
        <v>13584659</v>
      </c>
      <c r="C79" s="4" t="s">
        <v>73</v>
      </c>
      <c r="D79" s="4" t="s">
        <v>2497</v>
      </c>
      <c r="E79" s="4" t="s">
        <v>81</v>
      </c>
      <c r="F79" s="127" t="n">
        <v>46006</v>
      </c>
      <c r="G79" s="127" t="n">
        <v>46006</v>
      </c>
      <c r="H79" s="127" t="n">
        <v>46289</v>
      </c>
      <c r="I79" s="4" t="n">
        <v>100</v>
      </c>
      <c r="J79" s="4" t="n">
        <v>100</v>
      </c>
      <c r="K79" s="4" t="n">
        <v>100</v>
      </c>
      <c r="M79" s="2" t="str">
        <f aca="false">IF(C79="","",IFERROR(INDEX($S$5:$S$304,MATCH(C79,$R$5:$R$304,0))&amp;"","?"))</f>
        <v>15</v>
      </c>
      <c r="N79" s="2" t="str">
        <f aca="false">IF(E79="","",IF(ISNUMBER(SEARCH("SUBSOLO",E79)),IFERROR(-VALUE(LEFT(E79,FIND("º",SUBSTITUTE(E79,"°","º"))-1)),-1),IF(LEFT(E79,6)="TÉRREO",0,IFERROR(VALUE(LEFT(E79,FIND("º",SUBSTITUTE(E79,"°","º"))-1)),""))))</f>
        <v/>
      </c>
      <c r="O79" s="2" t="str">
        <f aca="false">IF(OR(F79="",G79=""),"",IF(G79&lt;='RETRATO 2027'!$K$5,"CONCLUÍDA",IF(F79&lt;='RETRATO 2027'!$K$5,"EM ANDAMENTO","A INICIAR")))</f>
        <v>CONCLUÍDA</v>
      </c>
      <c r="R79" s="4" t="s">
        <v>2498</v>
      </c>
      <c r="S79" s="4" t="s">
        <v>205</v>
      </c>
      <c r="T79" s="4" t="s">
        <v>2499</v>
      </c>
      <c r="U79" s="4" t="s">
        <v>2305</v>
      </c>
      <c r="V79" s="2" t="n">
        <f aca="false">IF(R79="","",COUNTIF($C$5:$C$6004,R79))</f>
        <v>1</v>
      </c>
      <c r="W79" s="2" t="n">
        <f aca="false">IF(R79="","",COUNTIFS($C$5:$C$6004,R79,$O$5:$O$6004,"CONCLUÍDA"))</f>
        <v>0</v>
      </c>
      <c r="X79" s="2" t="n">
        <f aca="false">IF(R79="","",COUNTIFS($C$5:$C$6004,R79,$O$5:$O$6004,"EM ANDAMENTO"))</f>
        <v>1</v>
      </c>
      <c r="Y79" s="2" t="str">
        <f aca="false">IF(R79="","",IF(COUNTIFS($C$5:$C$6004,R79,$O$5:$O$6004,"CONCLUÍDA",$N$5:$N$6004,"&gt;=-99")=0,"",_xlfn.MAXIFS($N$5:$N$6004,$C$5:$C$6004,R79,$O$5:$O$6004,"CONCLUÍDA")))</f>
        <v/>
      </c>
      <c r="Z79" s="2" t="str">
        <f aca="false">IF(R79="","",IF(COUNTIFS($C$5:$C$6004,R79,$O$5:$O$6004,"EM ANDAMENTO",$N$5:$N$6004,"&gt;=-99")=0,"",_xlfn.MAXIFS($N$5:$N$6004,$C$5:$C$6004,R79,$O$5:$O$6004,"EM ANDAMENTO")))</f>
        <v/>
      </c>
      <c r="AA79" s="2" t="str">
        <f aca="false"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 customFormat="false" ht="15" hidden="false" customHeight="false" outlineLevel="0" collapsed="false">
      <c r="B80" s="4" t="n">
        <v>13584660</v>
      </c>
      <c r="C80" s="4" t="s">
        <v>73</v>
      </c>
      <c r="D80" s="4" t="s">
        <v>2500</v>
      </c>
      <c r="E80" s="4" t="s">
        <v>81</v>
      </c>
      <c r="F80" s="127" t="n">
        <v>46007</v>
      </c>
      <c r="G80" s="127" t="n">
        <v>46007</v>
      </c>
      <c r="H80" s="127" t="n">
        <v>46289</v>
      </c>
      <c r="I80" s="4" t="n">
        <v>100</v>
      </c>
      <c r="J80" s="4" t="n">
        <v>100</v>
      </c>
      <c r="K80" s="4" t="n">
        <v>100</v>
      </c>
      <c r="M80" s="2" t="str">
        <f aca="false">IF(C80="","",IFERROR(INDEX($S$5:$S$304,MATCH(C80,$R$5:$R$304,0))&amp;"","?"))</f>
        <v>15</v>
      </c>
      <c r="N80" s="2" t="str">
        <f aca="false">IF(E80="","",IF(ISNUMBER(SEARCH("SUBSOLO",E80)),IFERROR(-VALUE(LEFT(E80,FIND("º",SUBSTITUTE(E80,"°","º"))-1)),-1),IF(LEFT(E80,6)="TÉRREO",0,IFERROR(VALUE(LEFT(E80,FIND("º",SUBSTITUTE(E80,"°","º"))-1)),""))))</f>
        <v/>
      </c>
      <c r="O80" s="2" t="str">
        <f aca="false">IF(OR(F80="",G80=""),"",IF(G80&lt;='RETRATO 2027'!$K$5,"CONCLUÍDA",IF(F80&lt;='RETRATO 2027'!$K$5,"EM ANDAMENTO","A INICIAR")))</f>
        <v>CONCLUÍDA</v>
      </c>
      <c r="R80" s="4" t="s">
        <v>2501</v>
      </c>
      <c r="S80" s="4" t="s">
        <v>205</v>
      </c>
      <c r="T80" s="4" t="s">
        <v>1815</v>
      </c>
      <c r="U80" s="4" t="s">
        <v>2299</v>
      </c>
      <c r="V80" s="2" t="n">
        <f aca="false">IF(R80="","",COUNTIF($C$5:$C$6004,R80))</f>
        <v>40</v>
      </c>
      <c r="W80" s="2" t="n">
        <f aca="false">IF(R80="","",COUNTIFS($C$5:$C$6004,R80,$O$5:$O$6004,"CONCLUÍDA"))</f>
        <v>11</v>
      </c>
      <c r="X80" s="2" t="n">
        <f aca="false">IF(R80="","",COUNTIFS($C$5:$C$6004,R80,$O$5:$O$6004,"EM ANDAMENTO"))</f>
        <v>2</v>
      </c>
      <c r="Y80" s="2" t="n">
        <f aca="false">IF(R80="","",IF(COUNTIFS($C$5:$C$6004,R80,$O$5:$O$6004,"CONCLUÍDA",$N$5:$N$6004,"&gt;=-99")=0,"",_xlfn.MAXIFS($N$5:$N$6004,$C$5:$C$6004,R80,$O$5:$O$6004,"CONCLUÍDA")))</f>
        <v>13</v>
      </c>
      <c r="Z80" s="2" t="n">
        <f aca="false">IF(R80="","",IF(COUNTIFS($C$5:$C$6004,R80,$O$5:$O$6004,"EM ANDAMENTO",$N$5:$N$6004,"&gt;=-99")=0,"",_xlfn.MAXIFS($N$5:$N$6004,$C$5:$C$6004,R80,$O$5:$O$6004,"EM ANDAMENTO")))</f>
        <v>14</v>
      </c>
      <c r="AA80" s="2" t="str">
        <f aca="false"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>Bancadas: até 13º pav., executando 14º pav.</v>
      </c>
    </row>
    <row r="81" customFormat="false" ht="15" hidden="false" customHeight="false" outlineLevel="0" collapsed="false">
      <c r="B81" s="4" t="n">
        <v>13584661</v>
      </c>
      <c r="C81" s="4" t="s">
        <v>73</v>
      </c>
      <c r="D81" s="4" t="s">
        <v>2502</v>
      </c>
      <c r="E81" s="4" t="s">
        <v>81</v>
      </c>
      <c r="F81" s="127" t="n">
        <v>46008</v>
      </c>
      <c r="G81" s="127" t="n">
        <v>46010</v>
      </c>
      <c r="H81" s="127" t="n">
        <v>46289</v>
      </c>
      <c r="I81" s="4" t="n">
        <v>100</v>
      </c>
      <c r="J81" s="4" t="n">
        <v>100</v>
      </c>
      <c r="K81" s="4" t="n">
        <v>100</v>
      </c>
      <c r="M81" s="2" t="str">
        <f aca="false">IF(C81="","",IFERROR(INDEX($S$5:$S$304,MATCH(C81,$R$5:$R$304,0))&amp;"","?"))</f>
        <v>15</v>
      </c>
      <c r="N81" s="2" t="str">
        <f aca="false">IF(E81="","",IF(ISNUMBER(SEARCH("SUBSOLO",E81)),IFERROR(-VALUE(LEFT(E81,FIND("º",SUBSTITUTE(E81,"°","º"))-1)),-1),IF(LEFT(E81,6)="TÉRREO",0,IFERROR(VALUE(LEFT(E81,FIND("º",SUBSTITUTE(E81,"°","º"))-1)),""))))</f>
        <v/>
      </c>
      <c r="O81" s="2" t="str">
        <f aca="false">IF(OR(F81="",G81=""),"",IF(G81&lt;='RETRATO 2027'!$K$5,"CONCLUÍDA",IF(F81&lt;='RETRATO 2027'!$K$5,"EM ANDAMENTO","A INICIAR")))</f>
        <v>CONCLUÍDA</v>
      </c>
      <c r="R81" s="4" t="s">
        <v>77</v>
      </c>
      <c r="S81" s="4" t="s">
        <v>173</v>
      </c>
      <c r="T81" s="4" t="s">
        <v>2503</v>
      </c>
      <c r="U81" s="4" t="s">
        <v>2305</v>
      </c>
      <c r="V81" s="2" t="n">
        <f aca="false">IF(R81="","",COUNTIF($C$5:$C$6004,R81))</f>
        <v>5</v>
      </c>
      <c r="W81" s="2" t="n">
        <f aca="false">IF(R81="","",COUNTIFS($C$5:$C$6004,R81,$O$5:$O$6004,"CONCLUÍDA"))</f>
        <v>2</v>
      </c>
      <c r="X81" s="2" t="n">
        <f aca="false">IF(R81="","",COUNTIFS($C$5:$C$6004,R81,$O$5:$O$6004,"EM ANDAMENTO"))</f>
        <v>0</v>
      </c>
      <c r="Y81" s="2" t="n">
        <f aca="false">IF(R81="","",IF(COUNTIFS($C$5:$C$6004,R81,$O$5:$O$6004,"CONCLUÍDA",$N$5:$N$6004,"&gt;=-99")=0,"",_xlfn.MAXIFS($N$5:$N$6004,$C$5:$C$6004,R81,$O$5:$O$6004,"CONCLUÍDA")))</f>
        <v>0</v>
      </c>
      <c r="Z81" s="2" t="str">
        <f aca="false">IF(R81="","",IF(COUNTIFS($C$5:$C$6004,R81,$O$5:$O$6004,"EM ANDAMENTO",$N$5:$N$6004,"&gt;=-99")=0,"",_xlfn.MAXIFS($N$5:$N$6004,$C$5:$C$6004,R81,$O$5:$O$6004,"EM ANDAMENTO")))</f>
        <v/>
      </c>
      <c r="AA81" s="2" t="str">
        <f aca="false"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 customFormat="false" ht="15" hidden="false" customHeight="false" outlineLevel="0" collapsed="false">
      <c r="B82" s="4" t="n">
        <v>13584662</v>
      </c>
      <c r="C82" s="4" t="s">
        <v>73</v>
      </c>
      <c r="D82" s="4" t="s">
        <v>2504</v>
      </c>
      <c r="E82" s="4" t="s">
        <v>81</v>
      </c>
      <c r="F82" s="127" t="n">
        <v>46027</v>
      </c>
      <c r="G82" s="127" t="n">
        <v>46027</v>
      </c>
      <c r="H82" s="127" t="n">
        <v>46289</v>
      </c>
      <c r="I82" s="4" t="n">
        <v>100</v>
      </c>
      <c r="J82" s="4" t="n">
        <v>100</v>
      </c>
      <c r="K82" s="4" t="n">
        <v>100</v>
      </c>
      <c r="M82" s="2" t="str">
        <f aca="false">IF(C82="","",IFERROR(INDEX($S$5:$S$304,MATCH(C82,$R$5:$R$304,0))&amp;"","?"))</f>
        <v>15</v>
      </c>
      <c r="N82" s="2" t="str">
        <f aca="false">IF(E82="","",IF(ISNUMBER(SEARCH("SUBSOLO",E82)),IFERROR(-VALUE(LEFT(E82,FIND("º",SUBSTITUTE(E82,"°","º"))-1)),-1),IF(LEFT(E82,6)="TÉRREO",0,IFERROR(VALUE(LEFT(E82,FIND("º",SUBSTITUTE(E82,"°","º"))-1)),""))))</f>
        <v/>
      </c>
      <c r="O82" s="2" t="str">
        <f aca="false">IF(OR(F82="",G82=""),"",IF(G82&lt;='RETRATO 2027'!$K$5,"CONCLUÍDA",IF(F82&lt;='RETRATO 2027'!$K$5,"EM ANDAMENTO","A INICIAR")))</f>
        <v>CONCLUÍDA</v>
      </c>
      <c r="R82" s="4" t="s">
        <v>2505</v>
      </c>
      <c r="S82" s="4" t="s">
        <v>176</v>
      </c>
      <c r="T82" s="4" t="s">
        <v>2506</v>
      </c>
      <c r="U82" s="4" t="s">
        <v>2305</v>
      </c>
      <c r="V82" s="2" t="n">
        <f aca="false">IF(R82="","",COUNTIF($C$5:$C$6004,R82))</f>
        <v>6</v>
      </c>
      <c r="W82" s="2" t="n">
        <f aca="false">IF(R82="","",COUNTIFS($C$5:$C$6004,R82,$O$5:$O$6004,"CONCLUÍDA"))</f>
        <v>2</v>
      </c>
      <c r="X82" s="2" t="n">
        <f aca="false">IF(R82="","",COUNTIFS($C$5:$C$6004,R82,$O$5:$O$6004,"EM ANDAMENTO"))</f>
        <v>0</v>
      </c>
      <c r="Y82" s="2" t="n">
        <f aca="false">IF(R82="","",IF(COUNTIFS($C$5:$C$6004,R82,$O$5:$O$6004,"CONCLUÍDA",$N$5:$N$6004,"&gt;=-99")=0,"",_xlfn.MAXIFS($N$5:$N$6004,$C$5:$C$6004,R82,$O$5:$O$6004,"CONCLUÍDA")))</f>
        <v>0</v>
      </c>
      <c r="Z82" s="2" t="str">
        <f aca="false">IF(R82="","",IF(COUNTIFS($C$5:$C$6004,R82,$O$5:$O$6004,"EM ANDAMENTO",$N$5:$N$6004,"&gt;=-99")=0,"",_xlfn.MAXIFS($N$5:$N$6004,$C$5:$C$6004,R82,$O$5:$O$6004,"EM ANDAMENTO")))</f>
        <v/>
      </c>
      <c r="AA82" s="2" t="str">
        <f aca="false"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 customFormat="false" ht="15" hidden="false" customHeight="false" outlineLevel="0" collapsed="false">
      <c r="B83" s="4" t="n">
        <v>13584663</v>
      </c>
      <c r="C83" s="4" t="s">
        <v>73</v>
      </c>
      <c r="D83" s="4" t="s">
        <v>2507</v>
      </c>
      <c r="E83" s="4" t="s">
        <v>81</v>
      </c>
      <c r="F83" s="127" t="n">
        <v>46028</v>
      </c>
      <c r="G83" s="127" t="n">
        <v>46028</v>
      </c>
      <c r="H83" s="127" t="n">
        <v>46289</v>
      </c>
      <c r="I83" s="4" t="n">
        <v>100</v>
      </c>
      <c r="J83" s="4" t="n">
        <v>100</v>
      </c>
      <c r="K83" s="4" t="n">
        <v>100</v>
      </c>
      <c r="M83" s="2" t="str">
        <f aca="false">IF(C83="","",IFERROR(INDEX($S$5:$S$304,MATCH(C83,$R$5:$R$304,0))&amp;"","?"))</f>
        <v>15</v>
      </c>
      <c r="N83" s="2" t="str">
        <f aca="false">IF(E83="","",IF(ISNUMBER(SEARCH("SUBSOLO",E83)),IFERROR(-VALUE(LEFT(E83,FIND("º",SUBSTITUTE(E83,"°","º"))-1)),-1),IF(LEFT(E83,6)="TÉRREO",0,IFERROR(VALUE(LEFT(E83,FIND("º",SUBSTITUTE(E83,"°","º"))-1)),""))))</f>
        <v/>
      </c>
      <c r="O83" s="2" t="str">
        <f aca="false">IF(OR(F83="",G83=""),"",IF(G83&lt;='RETRATO 2027'!$K$5,"CONCLUÍDA",IF(F83&lt;='RETRATO 2027'!$K$5,"EM ANDAMENTO","A INICIAR")))</f>
        <v>CONCLUÍDA</v>
      </c>
      <c r="R83" s="4" t="s">
        <v>2508</v>
      </c>
      <c r="S83" s="4" t="s">
        <v>173</v>
      </c>
      <c r="T83" s="4" t="s">
        <v>2509</v>
      </c>
      <c r="U83" s="4" t="s">
        <v>2299</v>
      </c>
      <c r="V83" s="2" t="n">
        <f aca="false">IF(R83="","",COUNTIF($C$5:$C$6004,R83))</f>
        <v>41</v>
      </c>
      <c r="W83" s="2" t="n">
        <f aca="false">IF(R83="","",COUNTIFS($C$5:$C$6004,R83,$O$5:$O$6004,"CONCLUÍDA"))</f>
        <v>6</v>
      </c>
      <c r="X83" s="2" t="n">
        <f aca="false">IF(R83="","",COUNTIFS($C$5:$C$6004,R83,$O$5:$O$6004,"EM ANDAMENTO"))</f>
        <v>2</v>
      </c>
      <c r="Y83" s="2" t="n">
        <f aca="false">IF(R83="","",IF(COUNTIFS($C$5:$C$6004,R83,$O$5:$O$6004,"CONCLUÍDA",$N$5:$N$6004,"&gt;=-99")=0,"",_xlfn.MAXIFS($N$5:$N$6004,$C$5:$C$6004,R83,$O$5:$O$6004,"CONCLUÍDA")))</f>
        <v>12</v>
      </c>
      <c r="Z83" s="2" t="n">
        <f aca="false">IF(R83="","",IF(COUNTIFS($C$5:$C$6004,R83,$O$5:$O$6004,"EM ANDAMENTO",$N$5:$N$6004,"&gt;=-99")=0,"",_xlfn.MAXIFS($N$5:$N$6004,$C$5:$C$6004,R83,$O$5:$O$6004,"EM ANDAMENTO")))</f>
        <v>13</v>
      </c>
      <c r="AA83" s="2" t="str">
        <f aca="false"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>Fiação elétrica: até 12º pav., executando 13º pav.</v>
      </c>
    </row>
    <row r="84" customFormat="false" ht="15" hidden="false" customHeight="false" outlineLevel="0" collapsed="false">
      <c r="B84" s="4" t="n">
        <v>13584664</v>
      </c>
      <c r="C84" s="4" t="s">
        <v>73</v>
      </c>
      <c r="D84" s="4" t="s">
        <v>2510</v>
      </c>
      <c r="E84" s="4" t="s">
        <v>81</v>
      </c>
      <c r="F84" s="127" t="n">
        <v>46029</v>
      </c>
      <c r="G84" s="127" t="n">
        <v>46029</v>
      </c>
      <c r="H84" s="127" t="n">
        <v>46289</v>
      </c>
      <c r="I84" s="4" t="n">
        <v>100</v>
      </c>
      <c r="J84" s="4" t="n">
        <v>100</v>
      </c>
      <c r="K84" s="4" t="n">
        <v>100</v>
      </c>
      <c r="M84" s="2" t="str">
        <f aca="false">IF(C84="","",IFERROR(INDEX($S$5:$S$304,MATCH(C84,$R$5:$R$304,0))&amp;"","?"))</f>
        <v>15</v>
      </c>
      <c r="N84" s="2" t="str">
        <f aca="false">IF(E84="","",IF(ISNUMBER(SEARCH("SUBSOLO",E84)),IFERROR(-VALUE(LEFT(E84,FIND("º",SUBSTITUTE(E84,"°","º"))-1)),-1),IF(LEFT(E84,6)="TÉRREO",0,IFERROR(VALUE(LEFT(E84,FIND("º",SUBSTITUTE(E84,"°","º"))-1)),""))))</f>
        <v/>
      </c>
      <c r="O84" s="2" t="str">
        <f aca="false">IF(OR(F84="",G84=""),"",IF(G84&lt;='RETRATO 2027'!$K$5,"CONCLUÍDA",IF(F84&lt;='RETRATO 2027'!$K$5,"EM ANDAMENTO","A INICIAR")))</f>
        <v>CONCLUÍDA</v>
      </c>
      <c r="R84" s="4" t="s">
        <v>2511</v>
      </c>
      <c r="S84" s="4" t="s">
        <v>173</v>
      </c>
      <c r="T84" s="4" t="s">
        <v>2512</v>
      </c>
      <c r="U84" s="4" t="s">
        <v>2299</v>
      </c>
      <c r="V84" s="2" t="n">
        <f aca="false">IF(R84="","",COUNTIF($C$5:$C$6004,R84))</f>
        <v>35</v>
      </c>
      <c r="W84" s="2" t="n">
        <f aca="false">IF(R84="","",COUNTIFS($C$5:$C$6004,R84,$O$5:$O$6004,"CONCLUÍDA"))</f>
        <v>6</v>
      </c>
      <c r="X84" s="2" t="n">
        <f aca="false">IF(R84="","",COUNTIFS($C$5:$C$6004,R84,$O$5:$O$6004,"EM ANDAMENTO"))</f>
        <v>2</v>
      </c>
      <c r="Y84" s="2" t="n">
        <f aca="false">IF(R84="","",IF(COUNTIFS($C$5:$C$6004,R84,$O$5:$O$6004,"CONCLUÍDA",$N$5:$N$6004,"&gt;=-99")=0,"",_xlfn.MAXIFS($N$5:$N$6004,$C$5:$C$6004,R84,$O$5:$O$6004,"CONCLUÍDA")))</f>
        <v>12</v>
      </c>
      <c r="Z84" s="2" t="n">
        <f aca="false">IF(R84="","",IF(COUNTIFS($C$5:$C$6004,R84,$O$5:$O$6004,"EM ANDAMENTO",$N$5:$N$6004,"&gt;=-99")=0,"",_xlfn.MAXIFS($N$5:$N$6004,$C$5:$C$6004,R84,$O$5:$O$6004,"EM ANDAMENTO")))</f>
        <v>13</v>
      </c>
      <c r="AA84" s="2" t="str">
        <f aca="false"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>Prumada elétrica - cabos: até 12º pav., executando 13º pav.</v>
      </c>
    </row>
    <row r="85" customFormat="false" ht="15" hidden="false" customHeight="false" outlineLevel="0" collapsed="false">
      <c r="B85" s="4" t="n">
        <v>13584665</v>
      </c>
      <c r="C85" s="4" t="s">
        <v>73</v>
      </c>
      <c r="D85" s="4" t="s">
        <v>2513</v>
      </c>
      <c r="E85" s="4" t="s">
        <v>81</v>
      </c>
      <c r="F85" s="127" t="n">
        <v>46030</v>
      </c>
      <c r="G85" s="127" t="n">
        <v>46030</v>
      </c>
      <c r="H85" s="127" t="n">
        <v>46289</v>
      </c>
      <c r="I85" s="4" t="n">
        <v>100</v>
      </c>
      <c r="J85" s="4" t="n">
        <v>100</v>
      </c>
      <c r="K85" s="4" t="n">
        <v>100</v>
      </c>
      <c r="M85" s="2" t="str">
        <f aca="false">IF(C85="","",IFERROR(INDEX($S$5:$S$304,MATCH(C85,$R$5:$R$304,0))&amp;"","?"))</f>
        <v>15</v>
      </c>
      <c r="N85" s="2" t="str">
        <f aca="false">IF(E85="","",IF(ISNUMBER(SEARCH("SUBSOLO",E85)),IFERROR(-VALUE(LEFT(E85,FIND("º",SUBSTITUTE(E85,"°","º"))-1)),-1),IF(LEFT(E85,6)="TÉRREO",0,IFERROR(VALUE(LEFT(E85,FIND("º",SUBSTITUTE(E85,"°","º"))-1)),""))))</f>
        <v/>
      </c>
      <c r="O85" s="2" t="str">
        <f aca="false">IF(OR(F85="",G85=""),"",IF(G85&lt;='RETRATO 2027'!$K$5,"CONCLUÍDA",IF(F85&lt;='RETRATO 2027'!$K$5,"EM ANDAMENTO","A INICIAR")))</f>
        <v>CONCLUÍDA</v>
      </c>
      <c r="R85" s="4" t="s">
        <v>2514</v>
      </c>
      <c r="S85" s="4" t="s">
        <v>173</v>
      </c>
      <c r="T85" s="4" t="s">
        <v>2515</v>
      </c>
      <c r="U85" s="4" t="s">
        <v>2299</v>
      </c>
      <c r="V85" s="2" t="n">
        <f aca="false">IF(R85="","",COUNTIF($C$5:$C$6004,R85))</f>
        <v>39</v>
      </c>
      <c r="W85" s="2" t="n">
        <f aca="false">IF(R85="","",COUNTIFS($C$5:$C$6004,R85,$O$5:$O$6004,"CONCLUÍDA"))</f>
        <v>7</v>
      </c>
      <c r="X85" s="2" t="n">
        <f aca="false">IF(R85="","",COUNTIFS($C$5:$C$6004,R85,$O$5:$O$6004,"EM ANDAMENTO"))</f>
        <v>2</v>
      </c>
      <c r="Y85" s="2" t="n">
        <f aca="false">IF(R85="","",IF(COUNTIFS($C$5:$C$6004,R85,$O$5:$O$6004,"CONCLUÍDA",$N$5:$N$6004,"&gt;=-99")=0,"",_xlfn.MAXIFS($N$5:$N$6004,$C$5:$C$6004,R85,$O$5:$O$6004,"CONCLUÍDA")))</f>
        <v>12</v>
      </c>
      <c r="Z85" s="2" t="n">
        <f aca="false">IF(R85="","",IF(COUNTIFS($C$5:$C$6004,R85,$O$5:$O$6004,"EM ANDAMENTO",$N$5:$N$6004,"&gt;=-99")=0,"",_xlfn.MAXIFS($N$5:$N$6004,$C$5:$C$6004,R85,$O$5:$O$6004,"EM ANDAMENTO")))</f>
        <v>13</v>
      </c>
      <c r="AA85" s="2" t="str">
        <f aca="false"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>Fiação telecom/dados: até 12º pav., executando 13º pav.</v>
      </c>
    </row>
    <row r="86" customFormat="false" ht="15" hidden="false" customHeight="false" outlineLevel="0" collapsed="false">
      <c r="B86" s="4" t="n">
        <v>13584666</v>
      </c>
      <c r="C86" s="4" t="s">
        <v>73</v>
      </c>
      <c r="D86" s="4" t="s">
        <v>2516</v>
      </c>
      <c r="E86" s="4" t="s">
        <v>81</v>
      </c>
      <c r="F86" s="127" t="n">
        <v>46031</v>
      </c>
      <c r="G86" s="127" t="n">
        <v>46031</v>
      </c>
      <c r="H86" s="127" t="n">
        <v>46289</v>
      </c>
      <c r="I86" s="4" t="n">
        <v>100</v>
      </c>
      <c r="J86" s="4" t="n">
        <v>100</v>
      </c>
      <c r="K86" s="4" t="n">
        <v>100</v>
      </c>
      <c r="M86" s="2" t="str">
        <f aca="false">IF(C86="","",IFERROR(INDEX($S$5:$S$304,MATCH(C86,$R$5:$R$304,0))&amp;"","?"))</f>
        <v>15</v>
      </c>
      <c r="N86" s="2" t="str">
        <f aca="false">IF(E86="","",IF(ISNUMBER(SEARCH("SUBSOLO",E86)),IFERROR(-VALUE(LEFT(E86,FIND("º",SUBSTITUTE(E86,"°","º"))-1)),-1),IF(LEFT(E86,6)="TÉRREO",0,IFERROR(VALUE(LEFT(E86,FIND("º",SUBSTITUTE(E86,"°","º"))-1)),""))))</f>
        <v/>
      </c>
      <c r="O86" s="2" t="str">
        <f aca="false">IF(OR(F86="",G86=""),"",IF(G86&lt;='RETRATO 2027'!$K$5,"CONCLUÍDA",IF(F86&lt;='RETRATO 2027'!$K$5,"EM ANDAMENTO","A INICIAR")))</f>
        <v>CONCLUÍDA</v>
      </c>
      <c r="R86" s="4" t="s">
        <v>2517</v>
      </c>
      <c r="S86" s="4" t="s">
        <v>179</v>
      </c>
      <c r="T86" s="4" t="s">
        <v>2518</v>
      </c>
      <c r="U86" s="4" t="s">
        <v>2305</v>
      </c>
      <c r="V86" s="2" t="n">
        <f aca="false">IF(R86="","",COUNTIF($C$5:$C$6004,R86))</f>
        <v>6</v>
      </c>
      <c r="W86" s="2" t="n">
        <f aca="false">IF(R86="","",COUNTIFS($C$5:$C$6004,R86,$O$5:$O$6004,"CONCLUÍDA"))</f>
        <v>3</v>
      </c>
      <c r="X86" s="2" t="n">
        <f aca="false">IF(R86="","",COUNTIFS($C$5:$C$6004,R86,$O$5:$O$6004,"EM ANDAMENTO"))</f>
        <v>1</v>
      </c>
      <c r="Y86" s="2" t="n">
        <f aca="false">IF(R86="","",IF(COUNTIFS($C$5:$C$6004,R86,$O$5:$O$6004,"CONCLUÍDA",$N$5:$N$6004,"&gt;=-99")=0,"",_xlfn.MAXIFS($N$5:$N$6004,$C$5:$C$6004,R86,$O$5:$O$6004,"CONCLUÍDA")))</f>
        <v>2</v>
      </c>
      <c r="Z86" s="2" t="n">
        <f aca="false">IF(R86="","",IF(COUNTIFS($C$5:$C$6004,R86,$O$5:$O$6004,"EM ANDAMENTO",$N$5:$N$6004,"&gt;=-99")=0,"",_xlfn.MAXIFS($N$5:$N$6004,$C$5:$C$6004,R86,$O$5:$O$6004,"EM ANDAMENTO")))</f>
        <v>3</v>
      </c>
      <c r="AA86" s="2" t="str">
        <f aca="false"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 customFormat="false" ht="15" hidden="false" customHeight="false" outlineLevel="0" collapsed="false">
      <c r="B87" s="4" t="n">
        <v>13584667</v>
      </c>
      <c r="C87" s="4" t="s">
        <v>73</v>
      </c>
      <c r="D87" s="4" t="s">
        <v>2519</v>
      </c>
      <c r="E87" s="4" t="s">
        <v>81</v>
      </c>
      <c r="F87" s="127" t="n">
        <v>46034</v>
      </c>
      <c r="G87" s="127" t="n">
        <v>46034</v>
      </c>
      <c r="H87" s="127" t="n">
        <v>46289</v>
      </c>
      <c r="I87" s="4" t="n">
        <v>100</v>
      </c>
      <c r="J87" s="4" t="n">
        <v>100</v>
      </c>
      <c r="K87" s="4" t="n">
        <v>100</v>
      </c>
      <c r="M87" s="2" t="str">
        <f aca="false">IF(C87="","",IFERROR(INDEX($S$5:$S$304,MATCH(C87,$R$5:$R$304,0))&amp;"","?"))</f>
        <v>15</v>
      </c>
      <c r="N87" s="2" t="str">
        <f aca="false">IF(E87="","",IF(ISNUMBER(SEARCH("SUBSOLO",E87)),IFERROR(-VALUE(LEFT(E87,FIND("º",SUBSTITUTE(E87,"°","º"))-1)),-1),IF(LEFT(E87,6)="TÉRREO",0,IFERROR(VALUE(LEFT(E87,FIND("º",SUBSTITUTE(E87,"°","º"))-1)),""))))</f>
        <v/>
      </c>
      <c r="O87" s="2" t="str">
        <f aca="false">IF(OR(F87="",G87=""),"",IF(G87&lt;='RETRATO 2027'!$K$5,"CONCLUÍDA",IF(F87&lt;='RETRATO 2027'!$K$5,"EM ANDAMENTO","A INICIAR")))</f>
        <v>CONCLUÍDA</v>
      </c>
      <c r="R87" s="4" t="s">
        <v>2520</v>
      </c>
      <c r="S87" s="4" t="s">
        <v>212</v>
      </c>
      <c r="T87" s="4" t="s">
        <v>2521</v>
      </c>
      <c r="U87" s="4" t="s">
        <v>2299</v>
      </c>
      <c r="V87" s="2" t="n">
        <f aca="false">IF(R87="","",COUNTIF($C$5:$C$6004,R87))</f>
        <v>1</v>
      </c>
      <c r="W87" s="2" t="n">
        <f aca="false">IF(R87="","",COUNTIFS($C$5:$C$6004,R87,$O$5:$O$6004,"CONCLUÍDA"))</f>
        <v>1</v>
      </c>
      <c r="X87" s="2" t="n">
        <f aca="false">IF(R87="","",COUNTIFS($C$5:$C$6004,R87,$O$5:$O$6004,"EM ANDAMENTO"))</f>
        <v>0</v>
      </c>
      <c r="Y87" s="2" t="str">
        <f aca="false">IF(R87="","",IF(COUNTIFS($C$5:$C$6004,R87,$O$5:$O$6004,"CONCLUÍDA",$N$5:$N$6004,"&gt;=-99")=0,"",_xlfn.MAXIFS($N$5:$N$6004,$C$5:$C$6004,R87,$O$5:$O$6004,"CONCLUÍDA")))</f>
        <v/>
      </c>
      <c r="Z87" s="2" t="str">
        <f aca="false">IF(R87="","",IF(COUNTIFS($C$5:$C$6004,R87,$O$5:$O$6004,"EM ANDAMENTO",$N$5:$N$6004,"&gt;=-99")=0,"",_xlfn.MAXIFS($N$5:$N$6004,$C$5:$C$6004,R87,$O$5:$O$6004,"EM ANDAMENTO")))</f>
        <v/>
      </c>
      <c r="AA87" s="2" t="str">
        <f aca="false"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>Preparação para fachada aerada - F3 + F4 (1º etapa): concluído</v>
      </c>
    </row>
    <row r="88" customFormat="false" ht="15" hidden="false" customHeight="false" outlineLevel="0" collapsed="false">
      <c r="B88" s="4" t="n">
        <v>13584668</v>
      </c>
      <c r="C88" s="4" t="s">
        <v>73</v>
      </c>
      <c r="D88" s="4" t="s">
        <v>2522</v>
      </c>
      <c r="E88" s="4" t="s">
        <v>81</v>
      </c>
      <c r="F88" s="127" t="n">
        <v>46035</v>
      </c>
      <c r="G88" s="127" t="n">
        <v>46035</v>
      </c>
      <c r="H88" s="127" t="n">
        <v>46289</v>
      </c>
      <c r="I88" s="4" t="n">
        <v>100</v>
      </c>
      <c r="J88" s="4" t="n">
        <v>100</v>
      </c>
      <c r="K88" s="4" t="n">
        <v>100</v>
      </c>
      <c r="M88" s="2" t="str">
        <f aca="false">IF(C88="","",IFERROR(INDEX($S$5:$S$304,MATCH(C88,$R$5:$R$304,0))&amp;"","?"))</f>
        <v>15</v>
      </c>
      <c r="N88" s="2" t="str">
        <f aca="false">IF(E88="","",IF(ISNUMBER(SEARCH("SUBSOLO",E88)),IFERROR(-VALUE(LEFT(E88,FIND("º",SUBSTITUTE(E88,"°","º"))-1)),-1),IF(LEFT(E88,6)="TÉRREO",0,IFERROR(VALUE(LEFT(E88,FIND("º",SUBSTITUTE(E88,"°","º"))-1)),""))))</f>
        <v/>
      </c>
      <c r="O88" s="2" t="str">
        <f aca="false">IF(OR(F88="",G88=""),"",IF(G88&lt;='RETRATO 2027'!$K$5,"CONCLUÍDA",IF(F88&lt;='RETRATO 2027'!$K$5,"EM ANDAMENTO","A INICIAR")))</f>
        <v>CONCLUÍDA</v>
      </c>
      <c r="R88" s="4" t="s">
        <v>216</v>
      </c>
      <c r="S88" s="4" t="s">
        <v>215</v>
      </c>
      <c r="T88" s="4" t="s">
        <v>2523</v>
      </c>
      <c r="U88" s="4" t="s">
        <v>2299</v>
      </c>
      <c r="V88" s="2" t="n">
        <f aca="false">IF(R88="","",COUNTIF($C$5:$C$6004,R88))</f>
        <v>44</v>
      </c>
      <c r="W88" s="2" t="n">
        <f aca="false">IF(R88="","",COUNTIFS($C$5:$C$6004,R88,$O$5:$O$6004,"CONCLUÍDA"))</f>
        <v>8</v>
      </c>
      <c r="X88" s="2" t="n">
        <f aca="false">IF(R88="","",COUNTIFS($C$5:$C$6004,R88,$O$5:$O$6004,"EM ANDAMENTO"))</f>
        <v>3</v>
      </c>
      <c r="Y88" s="2" t="n">
        <f aca="false">IF(R88="","",IF(COUNTIFS($C$5:$C$6004,R88,$O$5:$O$6004,"CONCLUÍDA",$N$5:$N$6004,"&gt;=-99")=0,"",_xlfn.MAXIFS($N$5:$N$6004,$C$5:$C$6004,R88,$O$5:$O$6004,"CONCLUÍDA")))</f>
        <v>11</v>
      </c>
      <c r="Z88" s="2" t="n">
        <f aca="false">IF(R88="","",IF(COUNTIFS($C$5:$C$6004,R88,$O$5:$O$6004,"EM ANDAMENTO",$N$5:$N$6004,"&gt;=-99")=0,"",_xlfn.MAXIFS($N$5:$N$6004,$C$5:$C$6004,R88,$O$5:$O$6004,"EM ANDAMENTO")))</f>
        <v>12</v>
      </c>
      <c r="AA88" s="2" t="str">
        <f aca="false"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>Forro: até 11º pav., executando 12º pav.</v>
      </c>
    </row>
    <row r="89" customFormat="false" ht="15" hidden="false" customHeight="false" outlineLevel="0" collapsed="false">
      <c r="B89" s="4" t="n">
        <v>13584669</v>
      </c>
      <c r="C89" s="4" t="s">
        <v>73</v>
      </c>
      <c r="D89" s="4" t="s">
        <v>2524</v>
      </c>
      <c r="E89" s="4" t="s">
        <v>81</v>
      </c>
      <c r="F89" s="127" t="n">
        <v>46036</v>
      </c>
      <c r="G89" s="127" t="n">
        <v>46036</v>
      </c>
      <c r="H89" s="127" t="n">
        <v>46289</v>
      </c>
      <c r="I89" s="4" t="n">
        <v>100</v>
      </c>
      <c r="J89" s="4" t="n">
        <v>100</v>
      </c>
      <c r="K89" s="4" t="n">
        <v>100</v>
      </c>
      <c r="M89" s="2" t="str">
        <f aca="false">IF(C89="","",IFERROR(INDEX($S$5:$S$304,MATCH(C89,$R$5:$R$304,0))&amp;"","?"))</f>
        <v>15</v>
      </c>
      <c r="N89" s="2" t="str">
        <f aca="false">IF(E89="","",IF(ISNUMBER(SEARCH("SUBSOLO",E89)),IFERROR(-VALUE(LEFT(E89,FIND("º",SUBSTITUTE(E89,"°","º"))-1)),-1),IF(LEFT(E89,6)="TÉRREO",0,IFERROR(VALUE(LEFT(E89,FIND("º",SUBSTITUTE(E89,"°","º"))-1)),""))))</f>
        <v/>
      </c>
      <c r="O89" s="2" t="str">
        <f aca="false">IF(OR(F89="",G89=""),"",IF(G89&lt;='RETRATO 2027'!$K$5,"CONCLUÍDA",IF(F89&lt;='RETRATO 2027'!$K$5,"EM ANDAMENTO","A INICIAR")))</f>
        <v>CONCLUÍDA</v>
      </c>
      <c r="R89" s="4" t="s">
        <v>2525</v>
      </c>
      <c r="S89" s="4" t="s">
        <v>167</v>
      </c>
      <c r="T89" s="4" t="s">
        <v>2526</v>
      </c>
      <c r="U89" s="4" t="s">
        <v>2305</v>
      </c>
      <c r="V89" s="2" t="n">
        <f aca="false">IF(R89="","",COUNTIF($C$5:$C$6004,R89))</f>
        <v>5</v>
      </c>
      <c r="W89" s="2" t="n">
        <f aca="false">IF(R89="","",COUNTIFS($C$5:$C$6004,R89,$O$5:$O$6004,"CONCLUÍDA"))</f>
        <v>2</v>
      </c>
      <c r="X89" s="2" t="n">
        <f aca="false">IF(R89="","",COUNTIFS($C$5:$C$6004,R89,$O$5:$O$6004,"EM ANDAMENTO"))</f>
        <v>0</v>
      </c>
      <c r="Y89" s="2" t="n">
        <f aca="false">IF(R89="","",IF(COUNTIFS($C$5:$C$6004,R89,$O$5:$O$6004,"CONCLUÍDA",$N$5:$N$6004,"&gt;=-99")=0,"",_xlfn.MAXIFS($N$5:$N$6004,$C$5:$C$6004,R89,$O$5:$O$6004,"CONCLUÍDA")))</f>
        <v>2</v>
      </c>
      <c r="Z89" s="2" t="str">
        <f aca="false">IF(R89="","",IF(COUNTIFS($C$5:$C$6004,R89,$O$5:$O$6004,"EM ANDAMENTO",$N$5:$N$6004,"&gt;=-99")=0,"",_xlfn.MAXIFS($N$5:$N$6004,$C$5:$C$6004,R89,$O$5:$O$6004,"EM ANDAMENTO")))</f>
        <v/>
      </c>
      <c r="AA89" s="2" t="str">
        <f aca="false"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 customFormat="false" ht="15" hidden="false" customHeight="false" outlineLevel="0" collapsed="false">
      <c r="B90" s="4" t="n">
        <v>13584670</v>
      </c>
      <c r="C90" s="4" t="s">
        <v>73</v>
      </c>
      <c r="D90" s="4" t="s">
        <v>2527</v>
      </c>
      <c r="E90" s="4" t="s">
        <v>81</v>
      </c>
      <c r="F90" s="127" t="n">
        <v>46037</v>
      </c>
      <c r="G90" s="127" t="n">
        <v>46037</v>
      </c>
      <c r="H90" s="127" t="n">
        <v>46289</v>
      </c>
      <c r="I90" s="4" t="n">
        <v>100</v>
      </c>
      <c r="J90" s="4" t="n">
        <v>100</v>
      </c>
      <c r="K90" s="4" t="n">
        <v>100</v>
      </c>
      <c r="M90" s="2" t="str">
        <f aca="false">IF(C90="","",IFERROR(INDEX($S$5:$S$304,MATCH(C90,$R$5:$R$304,0))&amp;"","?"))</f>
        <v>15</v>
      </c>
      <c r="N90" s="2" t="str">
        <f aca="false">IF(E90="","",IF(ISNUMBER(SEARCH("SUBSOLO",E90)),IFERROR(-VALUE(LEFT(E90,FIND("º",SUBSTITUTE(E90,"°","º"))-1)),-1),IF(LEFT(E90,6)="TÉRREO",0,IFERROR(VALUE(LEFT(E90,FIND("º",SUBSTITUTE(E90,"°","º"))-1)),""))))</f>
        <v/>
      </c>
      <c r="O90" s="2" t="str">
        <f aca="false">IF(OR(F90="",G90=""),"",IF(G90&lt;='RETRATO 2027'!$K$5,"CONCLUÍDA",IF(F90&lt;='RETRATO 2027'!$K$5,"EM ANDAMENTO","A INICIAR")))</f>
        <v>CONCLUÍDA</v>
      </c>
      <c r="R90" s="4" t="s">
        <v>2528</v>
      </c>
      <c r="S90" s="4" t="s">
        <v>182</v>
      </c>
      <c r="T90" s="4" t="s">
        <v>2529</v>
      </c>
      <c r="U90" s="4" t="s">
        <v>2305</v>
      </c>
      <c r="V90" s="2" t="n">
        <f aca="false">IF(R90="","",COUNTIF($C$5:$C$6004,R90))</f>
        <v>1</v>
      </c>
      <c r="W90" s="2" t="n">
        <f aca="false">IF(R90="","",COUNTIFS($C$5:$C$6004,R90,$O$5:$O$6004,"CONCLUÍDA"))</f>
        <v>1</v>
      </c>
      <c r="X90" s="2" t="n">
        <f aca="false">IF(R90="","",COUNTIFS($C$5:$C$6004,R90,$O$5:$O$6004,"EM ANDAMENTO"))</f>
        <v>0</v>
      </c>
      <c r="Y90" s="2" t="n">
        <f aca="false">IF(R90="","",IF(COUNTIFS($C$5:$C$6004,R90,$O$5:$O$6004,"CONCLUÍDA",$N$5:$N$6004,"&gt;=-99")=0,"",_xlfn.MAXIFS($N$5:$N$6004,$C$5:$C$6004,R90,$O$5:$O$6004,"CONCLUÍDA")))</f>
        <v>-1</v>
      </c>
      <c r="Z90" s="2" t="str">
        <f aca="false">IF(R90="","",IF(COUNTIFS($C$5:$C$6004,R90,$O$5:$O$6004,"EM ANDAMENTO",$N$5:$N$6004,"&gt;=-99")=0,"",_xlfn.MAXIFS($N$5:$N$6004,$C$5:$C$6004,R90,$O$5:$O$6004,"EM ANDAMENTO")))</f>
        <v/>
      </c>
      <c r="AA90" s="2" t="str">
        <f aca="false"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 customFormat="false" ht="15" hidden="false" customHeight="false" outlineLevel="0" collapsed="false">
      <c r="B91" s="4" t="n">
        <v>13584671</v>
      </c>
      <c r="C91" s="4" t="s">
        <v>73</v>
      </c>
      <c r="D91" s="4" t="s">
        <v>2530</v>
      </c>
      <c r="E91" s="4" t="s">
        <v>81</v>
      </c>
      <c r="F91" s="127" t="n">
        <v>46038</v>
      </c>
      <c r="G91" s="127" t="n">
        <v>46038</v>
      </c>
      <c r="H91" s="127" t="n">
        <v>46289</v>
      </c>
      <c r="I91" s="4" t="n">
        <v>100</v>
      </c>
      <c r="J91" s="4" t="n">
        <v>100</v>
      </c>
      <c r="K91" s="4" t="n">
        <v>100</v>
      </c>
      <c r="M91" s="2" t="str">
        <f aca="false">IF(C91="","",IFERROR(INDEX($S$5:$S$304,MATCH(C91,$R$5:$R$304,0))&amp;"","?"))</f>
        <v>15</v>
      </c>
      <c r="N91" s="2" t="str">
        <f aca="false">IF(E91="","",IF(ISNUMBER(SEARCH("SUBSOLO",E91)),IFERROR(-VALUE(LEFT(E91,FIND("º",SUBSTITUTE(E91,"°","º"))-1)),-1),IF(LEFT(E91,6)="TÉRREO",0,IFERROR(VALUE(LEFT(E91,FIND("º",SUBSTITUTE(E91,"°","º"))-1)),""))))</f>
        <v/>
      </c>
      <c r="O91" s="2" t="str">
        <f aca="false">IF(OR(F91="",G91=""),"",IF(G91&lt;='RETRATO 2027'!$K$5,"CONCLUÍDA",IF(F91&lt;='RETRATO 2027'!$K$5,"EM ANDAMENTO","A INICIAR")))</f>
        <v>CONCLUÍDA</v>
      </c>
      <c r="R91" s="4" t="s">
        <v>2531</v>
      </c>
      <c r="S91" s="4" t="s">
        <v>176</v>
      </c>
      <c r="T91" s="4" t="s">
        <v>1288</v>
      </c>
      <c r="U91" s="4" t="s">
        <v>2305</v>
      </c>
      <c r="V91" s="2" t="n">
        <f aca="false">IF(R91="","",COUNTIF($C$5:$C$6004,R91))</f>
        <v>2</v>
      </c>
      <c r="W91" s="2" t="n">
        <f aca="false">IF(R91="","",COUNTIFS($C$5:$C$6004,R91,$O$5:$O$6004,"CONCLUÍDA"))</f>
        <v>1</v>
      </c>
      <c r="X91" s="2" t="n">
        <f aca="false">IF(R91="","",COUNTIFS($C$5:$C$6004,R91,$O$5:$O$6004,"EM ANDAMENTO"))</f>
        <v>0</v>
      </c>
      <c r="Y91" s="2" t="n">
        <f aca="false">IF(R91="","",IF(COUNTIFS($C$5:$C$6004,R91,$O$5:$O$6004,"CONCLUÍDA",$N$5:$N$6004,"&gt;=-99")=0,"",_xlfn.MAXIFS($N$5:$N$6004,$C$5:$C$6004,R91,$O$5:$O$6004,"CONCLUÍDA")))</f>
        <v>-1</v>
      </c>
      <c r="Z91" s="2" t="str">
        <f aca="false">IF(R91="","",IF(COUNTIFS($C$5:$C$6004,R91,$O$5:$O$6004,"EM ANDAMENTO",$N$5:$N$6004,"&gt;=-99")=0,"",_xlfn.MAXIFS($N$5:$N$6004,$C$5:$C$6004,R91,$O$5:$O$6004,"EM ANDAMENTO")))</f>
        <v/>
      </c>
      <c r="AA91" s="2" t="str">
        <f aca="false"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 customFormat="false" ht="15" hidden="false" customHeight="false" outlineLevel="0" collapsed="false">
      <c r="B92" s="4" t="n">
        <v>13584672</v>
      </c>
      <c r="C92" s="4" t="s">
        <v>73</v>
      </c>
      <c r="D92" s="4" t="s">
        <v>2532</v>
      </c>
      <c r="E92" s="4" t="s">
        <v>81</v>
      </c>
      <c r="F92" s="127" t="n">
        <v>46041</v>
      </c>
      <c r="G92" s="127" t="n">
        <v>46041</v>
      </c>
      <c r="H92" s="127" t="n">
        <v>46289</v>
      </c>
      <c r="I92" s="4" t="n">
        <v>100</v>
      </c>
      <c r="J92" s="4" t="n">
        <v>100</v>
      </c>
      <c r="K92" s="4" t="n">
        <v>100</v>
      </c>
      <c r="M92" s="2" t="str">
        <f aca="false">IF(C92="","",IFERROR(INDEX($S$5:$S$304,MATCH(C92,$R$5:$R$304,0))&amp;"","?"))</f>
        <v>15</v>
      </c>
      <c r="N92" s="2" t="str">
        <f aca="false">IF(E92="","",IF(ISNUMBER(SEARCH("SUBSOLO",E92)),IFERROR(-VALUE(LEFT(E92,FIND("º",SUBSTITUTE(E92,"°","º"))-1)),-1),IF(LEFT(E92,6)="TÉRREO",0,IFERROR(VALUE(LEFT(E92,FIND("º",SUBSTITUTE(E92,"°","º"))-1)),""))))</f>
        <v/>
      </c>
      <c r="O92" s="2" t="str">
        <f aca="false">IF(OR(F92="",G92=""),"",IF(G92&lt;='RETRATO 2027'!$K$5,"CONCLUÍDA",IF(F92&lt;='RETRATO 2027'!$K$5,"EM ANDAMENTO","A INICIAR")))</f>
        <v>CONCLUÍDA</v>
      </c>
      <c r="R92" s="4" t="s">
        <v>2533</v>
      </c>
      <c r="S92" s="4" t="s">
        <v>212</v>
      </c>
      <c r="T92" s="4" t="s">
        <v>2534</v>
      </c>
      <c r="U92" s="4" t="s">
        <v>2299</v>
      </c>
      <c r="V92" s="2" t="n">
        <f aca="false">IF(R92="","",COUNTIF($C$5:$C$6004,R92))</f>
        <v>1</v>
      </c>
      <c r="W92" s="2" t="n">
        <f aca="false">IF(R92="","",COUNTIFS($C$5:$C$6004,R92,$O$5:$O$6004,"CONCLUÍDA"))</f>
        <v>0</v>
      </c>
      <c r="X92" s="2" t="n">
        <f aca="false">IF(R92="","",COUNTIFS($C$5:$C$6004,R92,$O$5:$O$6004,"EM ANDAMENTO"))</f>
        <v>1</v>
      </c>
      <c r="Y92" s="2" t="str">
        <f aca="false">IF(R92="","",IF(COUNTIFS($C$5:$C$6004,R92,$O$5:$O$6004,"CONCLUÍDA",$N$5:$N$6004,"&gt;=-99")=0,"",_xlfn.MAXIFS($N$5:$N$6004,$C$5:$C$6004,R92,$O$5:$O$6004,"CONCLUÍDA")))</f>
        <v/>
      </c>
      <c r="Z92" s="2" t="str">
        <f aca="false">IF(R92="","",IF(COUNTIFS($C$5:$C$6004,R92,$O$5:$O$6004,"EM ANDAMENTO",$N$5:$N$6004,"&gt;=-99")=0,"",_xlfn.MAXIFS($N$5:$N$6004,$C$5:$C$6004,R92,$O$5:$O$6004,"EM ANDAMENTO")))</f>
        <v/>
      </c>
      <c r="AA92" s="2" t="str">
        <f aca="false"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>Fachada aerada - F3 + F4 (1º etapa): em execução</v>
      </c>
    </row>
    <row r="93" customFormat="false" ht="15" hidden="false" customHeight="false" outlineLevel="0" collapsed="false">
      <c r="B93" s="4" t="n">
        <v>13584673</v>
      </c>
      <c r="C93" s="4" t="s">
        <v>73</v>
      </c>
      <c r="D93" s="4" t="s">
        <v>2535</v>
      </c>
      <c r="E93" s="4" t="s">
        <v>81</v>
      </c>
      <c r="F93" s="127" t="n">
        <v>46042</v>
      </c>
      <c r="G93" s="127" t="n">
        <v>46042</v>
      </c>
      <c r="H93" s="127" t="n">
        <v>46289</v>
      </c>
      <c r="I93" s="4" t="n">
        <v>100</v>
      </c>
      <c r="J93" s="4" t="n">
        <v>100</v>
      </c>
      <c r="K93" s="4" t="n">
        <v>100</v>
      </c>
      <c r="M93" s="2" t="str">
        <f aca="false">IF(C93="","",IFERROR(INDEX($S$5:$S$304,MATCH(C93,$R$5:$R$304,0))&amp;"","?"))</f>
        <v>15</v>
      </c>
      <c r="N93" s="2" t="str">
        <f aca="false">IF(E93="","",IF(ISNUMBER(SEARCH("SUBSOLO",E93)),IFERROR(-VALUE(LEFT(E93,FIND("º",SUBSTITUTE(E93,"°","º"))-1)),-1),IF(LEFT(E93,6)="TÉRREO",0,IFERROR(VALUE(LEFT(E93,FIND("º",SUBSTITUTE(E93,"°","º"))-1)),""))))</f>
        <v/>
      </c>
      <c r="O93" s="2" t="str">
        <f aca="false">IF(OR(F93="",G93=""),"",IF(G93&lt;='RETRATO 2027'!$K$5,"CONCLUÍDA",IF(F93&lt;='RETRATO 2027'!$K$5,"EM ANDAMENTO","A INICIAR")))</f>
        <v>CONCLUÍDA</v>
      </c>
      <c r="R93" s="4" t="s">
        <v>2536</v>
      </c>
      <c r="S93" s="4" t="s">
        <v>212</v>
      </c>
      <c r="T93" s="4" t="s">
        <v>2537</v>
      </c>
      <c r="U93" s="4" t="s">
        <v>2299</v>
      </c>
      <c r="V93" s="2" t="n">
        <f aca="false">IF(R93="","",COUNTIF($C$5:$C$6004,R93))</f>
        <v>1</v>
      </c>
      <c r="W93" s="2" t="n">
        <f aca="false">IF(R93="","",COUNTIFS($C$5:$C$6004,R93,$O$5:$O$6004,"CONCLUÍDA"))</f>
        <v>1</v>
      </c>
      <c r="X93" s="2" t="n">
        <f aca="false">IF(R93="","",COUNTIFS($C$5:$C$6004,R93,$O$5:$O$6004,"EM ANDAMENTO"))</f>
        <v>0</v>
      </c>
      <c r="Y93" s="2" t="str">
        <f aca="false">IF(R93="","",IF(COUNTIFS($C$5:$C$6004,R93,$O$5:$O$6004,"CONCLUÍDA",$N$5:$N$6004,"&gt;=-99")=0,"",_xlfn.MAXIFS($N$5:$N$6004,$C$5:$C$6004,R93,$O$5:$O$6004,"CONCLUÍDA")))</f>
        <v/>
      </c>
      <c r="Z93" s="2" t="str">
        <f aca="false">IF(R93="","",IF(COUNTIFS($C$5:$C$6004,R93,$O$5:$O$6004,"EM ANDAMENTO",$N$5:$N$6004,"&gt;=-99")=0,"",_xlfn.MAXIFS($N$5:$N$6004,$C$5:$C$6004,R93,$O$5:$O$6004,"EM ANDAMENTO")))</f>
        <v/>
      </c>
      <c r="AA93" s="2" t="str">
        <f aca="false"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>Peitoris e requadros de fachada - F1 + F2 (1º etapa): concluído</v>
      </c>
    </row>
    <row r="94" customFormat="false" ht="15" hidden="false" customHeight="false" outlineLevel="0" collapsed="false">
      <c r="B94" s="4" t="n">
        <v>13584674</v>
      </c>
      <c r="C94" s="4" t="s">
        <v>73</v>
      </c>
      <c r="D94" s="4" t="s">
        <v>2538</v>
      </c>
      <c r="E94" s="4" t="s">
        <v>81</v>
      </c>
      <c r="F94" s="127" t="n">
        <v>46043</v>
      </c>
      <c r="G94" s="127" t="n">
        <v>46043</v>
      </c>
      <c r="H94" s="127" t="n">
        <v>46289</v>
      </c>
      <c r="I94" s="4" t="n">
        <v>100</v>
      </c>
      <c r="J94" s="4" t="n">
        <v>100</v>
      </c>
      <c r="K94" s="4" t="n">
        <v>100</v>
      </c>
      <c r="M94" s="2" t="str">
        <f aca="false">IF(C94="","",IFERROR(INDEX($S$5:$S$304,MATCH(C94,$R$5:$R$304,0))&amp;"","?"))</f>
        <v>15</v>
      </c>
      <c r="N94" s="2" t="str">
        <f aca="false">IF(E94="","",IF(ISNUMBER(SEARCH("SUBSOLO",E94)),IFERROR(-VALUE(LEFT(E94,FIND("º",SUBSTITUTE(E94,"°","º"))-1)),-1),IF(LEFT(E94,6)="TÉRREO",0,IFERROR(VALUE(LEFT(E94,FIND("º",SUBSTITUTE(E94,"°","º"))-1)),""))))</f>
        <v/>
      </c>
      <c r="O94" s="2" t="str">
        <f aca="false">IF(OR(F94="",G94=""),"",IF(G94&lt;='RETRATO 2027'!$K$5,"CONCLUÍDA",IF(F94&lt;='RETRATO 2027'!$K$5,"EM ANDAMENTO","A INICIAR")))</f>
        <v>CONCLUÍDA</v>
      </c>
      <c r="R94" s="4" t="s">
        <v>2539</v>
      </c>
      <c r="S94" s="4" t="s">
        <v>223</v>
      </c>
      <c r="T94" s="4" t="s">
        <v>2540</v>
      </c>
      <c r="U94" s="4" t="s">
        <v>2299</v>
      </c>
      <c r="V94" s="2" t="n">
        <f aca="false">IF(R94="","",COUNTIF($C$5:$C$6004,R94))</f>
        <v>43</v>
      </c>
      <c r="W94" s="2" t="n">
        <f aca="false">IF(R94="","",COUNTIFS($C$5:$C$6004,R94,$O$5:$O$6004,"CONCLUÍDA"))</f>
        <v>2</v>
      </c>
      <c r="X94" s="2" t="n">
        <f aca="false">IF(R94="","",COUNTIFS($C$5:$C$6004,R94,$O$5:$O$6004,"EM ANDAMENTO"))</f>
        <v>2</v>
      </c>
      <c r="Y94" s="2" t="n">
        <f aca="false">IF(R94="","",IF(COUNTIFS($C$5:$C$6004,R94,$O$5:$O$6004,"CONCLUÍDA",$N$5:$N$6004,"&gt;=-99")=0,"",_xlfn.MAXIFS($N$5:$N$6004,$C$5:$C$6004,R94,$O$5:$O$6004,"CONCLUÍDA")))</f>
        <v>0</v>
      </c>
      <c r="Z94" s="2" t="n">
        <f aca="false">IF(R94="","",IF(COUNTIFS($C$5:$C$6004,R94,$O$5:$O$6004,"EM ANDAMENTO",$N$5:$N$6004,"&gt;=-99")=0,"",_xlfn.MAXIFS($N$5:$N$6004,$C$5:$C$6004,R94,$O$5:$O$6004,"EM ANDAMENTO")))</f>
        <v>7</v>
      </c>
      <c r="AA94" s="2" t="str">
        <f aca="false"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>Massa corrida: até térreo, executando 7º pav.</v>
      </c>
    </row>
    <row r="95" customFormat="false" ht="15" hidden="false" customHeight="false" outlineLevel="0" collapsed="false">
      <c r="B95" s="4" t="n">
        <v>13584675</v>
      </c>
      <c r="C95" s="4" t="s">
        <v>73</v>
      </c>
      <c r="D95" s="4" t="s">
        <v>2541</v>
      </c>
      <c r="E95" s="4" t="s">
        <v>81</v>
      </c>
      <c r="F95" s="127" t="n">
        <v>46044</v>
      </c>
      <c r="G95" s="127" t="n">
        <v>46044</v>
      </c>
      <c r="H95" s="127" t="n">
        <v>46289</v>
      </c>
      <c r="I95" s="4" t="n">
        <v>100</v>
      </c>
      <c r="J95" s="4" t="n">
        <v>100</v>
      </c>
      <c r="K95" s="4" t="n">
        <v>100</v>
      </c>
      <c r="M95" s="2" t="str">
        <f aca="false">IF(C95="","",IFERROR(INDEX($S$5:$S$304,MATCH(C95,$R$5:$R$304,0))&amp;"","?"))</f>
        <v>15</v>
      </c>
      <c r="N95" s="2" t="str">
        <f aca="false">IF(E95="","",IF(ISNUMBER(SEARCH("SUBSOLO",E95)),IFERROR(-VALUE(LEFT(E95,FIND("º",SUBSTITUTE(E95,"°","º"))-1)),-1),IF(LEFT(E95,6)="TÉRREO",0,IFERROR(VALUE(LEFT(E95,FIND("º",SUBSTITUTE(E95,"°","º"))-1)),""))))</f>
        <v/>
      </c>
      <c r="O95" s="2" t="str">
        <f aca="false">IF(OR(F95="",G95=""),"",IF(G95&lt;='RETRATO 2027'!$K$5,"CONCLUÍDA",IF(F95&lt;='RETRATO 2027'!$K$5,"EM ANDAMENTO","A INICIAR")))</f>
        <v>CONCLUÍDA</v>
      </c>
      <c r="R95" s="4" t="s">
        <v>2542</v>
      </c>
      <c r="S95" s="4" t="s">
        <v>208</v>
      </c>
      <c r="T95" s="4" t="s">
        <v>2543</v>
      </c>
      <c r="U95" s="4" t="s">
        <v>2299</v>
      </c>
      <c r="V95" s="2" t="n">
        <f aca="false">IF(R95="","",COUNTIF($C$5:$C$6004,R95))</f>
        <v>2</v>
      </c>
      <c r="W95" s="2" t="n">
        <f aca="false">IF(R95="","",COUNTIFS($C$5:$C$6004,R95,$O$5:$O$6004,"CONCLUÍDA"))</f>
        <v>0</v>
      </c>
      <c r="X95" s="2" t="n">
        <f aca="false">IF(R95="","",COUNTIFS($C$5:$C$6004,R95,$O$5:$O$6004,"EM ANDAMENTO"))</f>
        <v>2</v>
      </c>
      <c r="Y95" s="2" t="str">
        <f aca="false">IF(R95="","",IF(COUNTIFS($C$5:$C$6004,R95,$O$5:$O$6004,"CONCLUÍDA",$N$5:$N$6004,"&gt;=-99")=0,"",_xlfn.MAXIFS($N$5:$N$6004,$C$5:$C$6004,R95,$O$5:$O$6004,"CONCLUÍDA")))</f>
        <v/>
      </c>
      <c r="Z95" s="2" t="n">
        <f aca="false">IF(R95="","",IF(COUNTIFS($C$5:$C$6004,R95,$O$5:$O$6004,"EM ANDAMENTO",$N$5:$N$6004,"&gt;=-99")=0,"",_xlfn.MAXIFS($N$5:$N$6004,$C$5:$C$6004,R95,$O$5:$O$6004,"EM ANDAMENTO")))</f>
        <v>0</v>
      </c>
      <c r="AA95" s="2" t="str">
        <f aca="false"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>Passeios, muretas e rampas: em execução (térreo)</v>
      </c>
    </row>
    <row r="96" customFormat="false" ht="15" hidden="false" customHeight="false" outlineLevel="0" collapsed="false">
      <c r="B96" s="4" t="n">
        <v>13584676</v>
      </c>
      <c r="C96" s="4" t="s">
        <v>73</v>
      </c>
      <c r="D96" s="4" t="s">
        <v>2544</v>
      </c>
      <c r="E96" s="4" t="s">
        <v>81</v>
      </c>
      <c r="F96" s="127" t="n">
        <v>46045</v>
      </c>
      <c r="G96" s="127" t="n">
        <v>46048</v>
      </c>
      <c r="H96" s="127" t="n">
        <v>46289</v>
      </c>
      <c r="I96" s="4" t="n">
        <v>100</v>
      </c>
      <c r="J96" s="4" t="n">
        <v>100</v>
      </c>
      <c r="K96" s="4" t="n">
        <v>100</v>
      </c>
      <c r="M96" s="2" t="str">
        <f aca="false">IF(C96="","",IFERROR(INDEX($S$5:$S$304,MATCH(C96,$R$5:$R$304,0))&amp;"","?"))</f>
        <v>15</v>
      </c>
      <c r="N96" s="2" t="str">
        <f aca="false">IF(E96="","",IF(ISNUMBER(SEARCH("SUBSOLO",E96)),IFERROR(-VALUE(LEFT(E96,FIND("º",SUBSTITUTE(E96,"°","º"))-1)),-1),IF(LEFT(E96,6)="TÉRREO",0,IFERROR(VALUE(LEFT(E96,FIND("º",SUBSTITUTE(E96,"°","º"))-1)),""))))</f>
        <v/>
      </c>
      <c r="O96" s="2" t="str">
        <f aca="false">IF(OR(F96="",G96=""),"",IF(G96&lt;='RETRATO 2027'!$K$5,"CONCLUÍDA",IF(F96&lt;='RETRATO 2027'!$K$5,"EM ANDAMENTO","A INICIAR")))</f>
        <v>CONCLUÍDA</v>
      </c>
      <c r="R96" s="4" t="s">
        <v>2545</v>
      </c>
      <c r="S96" s="4" t="s">
        <v>189</v>
      </c>
      <c r="T96" s="4" t="s">
        <v>2546</v>
      </c>
      <c r="U96" s="4" t="s">
        <v>2299</v>
      </c>
      <c r="V96" s="2" t="n">
        <f aca="false">IF(R96="","",COUNTIF($C$5:$C$6004,R96))</f>
        <v>41</v>
      </c>
      <c r="W96" s="2" t="n">
        <f aca="false">IF(R96="","",COUNTIFS($C$5:$C$6004,R96,$O$5:$O$6004,"CONCLUÍDA"))</f>
        <v>1</v>
      </c>
      <c r="X96" s="2" t="n">
        <f aca="false">IF(R96="","",COUNTIFS($C$5:$C$6004,R96,$O$5:$O$6004,"EM ANDAMENTO"))</f>
        <v>1</v>
      </c>
      <c r="Y96" s="2" t="n">
        <f aca="false">IF(R96="","",IF(COUNTIFS($C$5:$C$6004,R96,$O$5:$O$6004,"CONCLUÍDA",$N$5:$N$6004,"&gt;=-99")=0,"",_xlfn.MAXIFS($N$5:$N$6004,$C$5:$C$6004,R96,$O$5:$O$6004,"CONCLUÍDA")))</f>
        <v>7</v>
      </c>
      <c r="Z96" s="2" t="n">
        <f aca="false">IF(R96="","",IF(COUNTIFS($C$5:$C$6004,R96,$O$5:$O$6004,"EM ANDAMENTO",$N$5:$N$6004,"&gt;=-99")=0,"",_xlfn.MAXIFS($N$5:$N$6004,$C$5:$C$6004,R96,$O$5:$O$6004,"EM ANDAMENTO")))</f>
        <v>8</v>
      </c>
      <c r="AA96" s="2" t="str">
        <f aca="false"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>Esquadria de alumínio: até 7º pav., executando 8º pav.</v>
      </c>
    </row>
    <row r="97" customFormat="false" ht="15" hidden="false" customHeight="false" outlineLevel="0" collapsed="false">
      <c r="B97" s="4" t="n">
        <v>13584677</v>
      </c>
      <c r="C97" s="4" t="s">
        <v>73</v>
      </c>
      <c r="D97" s="4" t="s">
        <v>2547</v>
      </c>
      <c r="E97" s="4" t="s">
        <v>81</v>
      </c>
      <c r="F97" s="127" t="n">
        <v>46049</v>
      </c>
      <c r="G97" s="127" t="n">
        <v>46052</v>
      </c>
      <c r="H97" s="127" t="n">
        <v>46289</v>
      </c>
      <c r="I97" s="4" t="n">
        <v>100</v>
      </c>
      <c r="J97" s="4" t="n">
        <v>100</v>
      </c>
      <c r="K97" s="4" t="n">
        <v>100</v>
      </c>
      <c r="M97" s="2" t="str">
        <f aca="false">IF(C97="","",IFERROR(INDEX($S$5:$S$304,MATCH(C97,$R$5:$R$304,0))&amp;"","?"))</f>
        <v>15</v>
      </c>
      <c r="N97" s="2" t="str">
        <f aca="false">IF(E97="","",IF(ISNUMBER(SEARCH("SUBSOLO",E97)),IFERROR(-VALUE(LEFT(E97,FIND("º",SUBSTITUTE(E97,"°","º"))-1)),-1),IF(LEFT(E97,6)="TÉRREO",0,IFERROR(VALUE(LEFT(E97,FIND("º",SUBSTITUTE(E97,"°","º"))-1)),""))))</f>
        <v/>
      </c>
      <c r="O97" s="2" t="str">
        <f aca="false">IF(OR(F97="",G97=""),"",IF(G97&lt;='RETRATO 2027'!$K$5,"CONCLUÍDA",IF(F97&lt;='RETRATO 2027'!$K$5,"EM ANDAMENTO","A INICIAR")))</f>
        <v>CONCLUÍDA</v>
      </c>
      <c r="R97" s="4" t="s">
        <v>2548</v>
      </c>
      <c r="S97" s="4" t="s">
        <v>212</v>
      </c>
      <c r="T97" s="4" t="s">
        <v>2549</v>
      </c>
      <c r="U97" s="4" t="s">
        <v>2299</v>
      </c>
      <c r="V97" s="2" t="n">
        <f aca="false">IF(R97="","",COUNTIF($C$5:$C$6004,R97))</f>
        <v>1</v>
      </c>
      <c r="W97" s="2" t="n">
        <f aca="false">IF(R97="","",COUNTIFS($C$5:$C$6004,R97,$O$5:$O$6004,"CONCLUÍDA"))</f>
        <v>0</v>
      </c>
      <c r="X97" s="2" t="n">
        <f aca="false">IF(R97="","",COUNTIFS($C$5:$C$6004,R97,$O$5:$O$6004,"EM ANDAMENTO"))</f>
        <v>1</v>
      </c>
      <c r="Y97" s="2" t="str">
        <f aca="false">IF(R97="","",IF(COUNTIFS($C$5:$C$6004,R97,$O$5:$O$6004,"CONCLUÍDA",$N$5:$N$6004,"&gt;=-99")=0,"",_xlfn.MAXIFS($N$5:$N$6004,$C$5:$C$6004,R97,$O$5:$O$6004,"CONCLUÍDA")))</f>
        <v/>
      </c>
      <c r="Z97" s="2" t="str">
        <f aca="false">IF(R97="","",IF(COUNTIFS($C$5:$C$6004,R97,$O$5:$O$6004,"EM ANDAMENTO",$N$5:$N$6004,"&gt;=-99")=0,"",_xlfn.MAXIFS($N$5:$N$6004,$C$5:$C$6004,R97,$O$5:$O$6004,"EM ANDAMENTO")))</f>
        <v/>
      </c>
      <c r="AA97" s="2" t="str">
        <f aca="false"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>Preparação para fachada aerada - F5 (1º etapa): em execução</v>
      </c>
    </row>
    <row r="98" customFormat="false" ht="15" hidden="false" customHeight="false" outlineLevel="0" collapsed="false">
      <c r="B98" s="4" t="n">
        <v>13584678</v>
      </c>
      <c r="C98" s="4" t="s">
        <v>73</v>
      </c>
      <c r="D98" s="4" t="s">
        <v>2550</v>
      </c>
      <c r="E98" s="4" t="s">
        <v>81</v>
      </c>
      <c r="F98" s="127" t="n">
        <v>46055</v>
      </c>
      <c r="G98" s="127" t="n">
        <v>46055</v>
      </c>
      <c r="H98" s="127" t="n">
        <v>46289</v>
      </c>
      <c r="I98" s="4" t="n">
        <v>100</v>
      </c>
      <c r="J98" s="4" t="n">
        <v>100</v>
      </c>
      <c r="K98" s="4" t="n">
        <v>100</v>
      </c>
      <c r="M98" s="2" t="str">
        <f aca="false">IF(C98="","",IFERROR(INDEX($S$5:$S$304,MATCH(C98,$R$5:$R$304,0))&amp;"","?"))</f>
        <v>15</v>
      </c>
      <c r="N98" s="2" t="str">
        <f aca="false">IF(E98="","",IF(ISNUMBER(SEARCH("SUBSOLO",E98)),IFERROR(-VALUE(LEFT(E98,FIND("º",SUBSTITUTE(E98,"°","º"))-1)),-1),IF(LEFT(E98,6)="TÉRREO",0,IFERROR(VALUE(LEFT(E98,FIND("º",SUBSTITUTE(E98,"°","º"))-1)),""))))</f>
        <v/>
      </c>
      <c r="O98" s="2" t="str">
        <f aca="false">IF(OR(F98="",G98=""),"",IF(G98&lt;='RETRATO 2027'!$K$5,"CONCLUÍDA",IF(F98&lt;='RETRATO 2027'!$K$5,"EM ANDAMENTO","A INICIAR")))</f>
        <v>CONCLUÍDA</v>
      </c>
      <c r="R98" s="4" t="s">
        <v>2551</v>
      </c>
      <c r="S98" s="4" t="s">
        <v>212</v>
      </c>
      <c r="T98" s="4" t="s">
        <v>2552</v>
      </c>
      <c r="U98" s="4" t="s">
        <v>2299</v>
      </c>
      <c r="V98" s="2" t="n">
        <f aca="false">IF(R98="","",COUNTIF($C$5:$C$6004,R98))</f>
        <v>1</v>
      </c>
      <c r="W98" s="2" t="n">
        <f aca="false">IF(R98="","",COUNTIFS($C$5:$C$6004,R98,$O$5:$O$6004,"CONCLUÍDA"))</f>
        <v>0</v>
      </c>
      <c r="X98" s="2" t="n">
        <f aca="false">IF(R98="","",COUNTIFS($C$5:$C$6004,R98,$O$5:$O$6004,"EM ANDAMENTO"))</f>
        <v>0</v>
      </c>
      <c r="Y98" s="2" t="str">
        <f aca="false">IF(R98="","",IF(COUNTIFS($C$5:$C$6004,R98,$O$5:$O$6004,"CONCLUÍDA",$N$5:$N$6004,"&gt;=-99")=0,"",_xlfn.MAXIFS($N$5:$N$6004,$C$5:$C$6004,R98,$O$5:$O$6004,"CONCLUÍDA")))</f>
        <v/>
      </c>
      <c r="Z98" s="2" t="str">
        <f aca="false">IF(R98="","",IF(COUNTIFS($C$5:$C$6004,R98,$O$5:$O$6004,"EM ANDAMENTO",$N$5:$N$6004,"&gt;=-99")=0,"",_xlfn.MAXIFS($N$5:$N$6004,$C$5:$C$6004,R98,$O$5:$O$6004,"EM ANDAMENTO")))</f>
        <v/>
      </c>
      <c r="AA98" s="2" t="str">
        <f aca="false"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 customFormat="false" ht="15" hidden="false" customHeight="false" outlineLevel="0" collapsed="false">
      <c r="B99" s="4" t="n">
        <v>13584679</v>
      </c>
      <c r="C99" s="4" t="s">
        <v>73</v>
      </c>
      <c r="D99" s="4" t="s">
        <v>2553</v>
      </c>
      <c r="E99" s="4" t="s">
        <v>81</v>
      </c>
      <c r="F99" s="127" t="n">
        <v>46056</v>
      </c>
      <c r="G99" s="127" t="n">
        <v>46056</v>
      </c>
      <c r="H99" s="127" t="n">
        <v>46289</v>
      </c>
      <c r="I99" s="4" t="n">
        <v>100</v>
      </c>
      <c r="J99" s="4" t="n">
        <v>100</v>
      </c>
      <c r="K99" s="4" t="n">
        <v>100</v>
      </c>
      <c r="M99" s="2" t="str">
        <f aca="false">IF(C99="","",IFERROR(INDEX($S$5:$S$304,MATCH(C99,$R$5:$R$304,0))&amp;"","?"))</f>
        <v>15</v>
      </c>
      <c r="N99" s="2" t="str">
        <f aca="false">IF(E99="","",IF(ISNUMBER(SEARCH("SUBSOLO",E99)),IFERROR(-VALUE(LEFT(E99,FIND("º",SUBSTITUTE(E99,"°","º"))-1)),-1),IF(LEFT(E99,6)="TÉRREO",0,IFERROR(VALUE(LEFT(E99,FIND("º",SUBSTITUTE(E99,"°","º"))-1)),""))))</f>
        <v/>
      </c>
      <c r="O99" s="2" t="str">
        <f aca="false">IF(OR(F99="",G99=""),"",IF(G99&lt;='RETRATO 2027'!$K$5,"CONCLUÍDA",IF(F99&lt;='RETRATO 2027'!$K$5,"EM ANDAMENTO","A INICIAR")))</f>
        <v>CONCLUÍDA</v>
      </c>
      <c r="R99" s="4" t="s">
        <v>2554</v>
      </c>
      <c r="S99" s="4" t="s">
        <v>223</v>
      </c>
      <c r="T99" s="4" t="s">
        <v>2555</v>
      </c>
      <c r="U99" s="4" t="s">
        <v>2299</v>
      </c>
      <c r="V99" s="2" t="n">
        <f aca="false">IF(R99="","",COUNTIF($C$5:$C$6004,R99))</f>
        <v>44</v>
      </c>
      <c r="W99" s="2" t="n">
        <f aca="false">IF(R99="","",COUNTIFS($C$5:$C$6004,R99,$O$5:$O$6004,"CONCLUÍDA"))</f>
        <v>0</v>
      </c>
      <c r="X99" s="2" t="n">
        <f aca="false">IF(R99="","",COUNTIFS($C$5:$C$6004,R99,$O$5:$O$6004,"EM ANDAMENTO"))</f>
        <v>0</v>
      </c>
      <c r="Y99" s="2" t="str">
        <f aca="false">IF(R99="","",IF(COUNTIFS($C$5:$C$6004,R99,$O$5:$O$6004,"CONCLUÍDA",$N$5:$N$6004,"&gt;=-99")=0,"",_xlfn.MAXIFS($N$5:$N$6004,$C$5:$C$6004,R99,$O$5:$O$6004,"CONCLUÍDA")))</f>
        <v/>
      </c>
      <c r="Z99" s="2" t="str">
        <f aca="false">IF(R99="","",IF(COUNTIFS($C$5:$C$6004,R99,$O$5:$O$6004,"EM ANDAMENTO",$N$5:$N$6004,"&gt;=-99")=0,"",_xlfn.MAXIFS($N$5:$N$6004,$C$5:$C$6004,R99,$O$5:$O$6004,"EM ANDAMENTO")))</f>
        <v/>
      </c>
      <c r="AA99" s="2" t="str">
        <f aca="false"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 customFormat="false" ht="15" hidden="false" customHeight="false" outlineLevel="0" collapsed="false">
      <c r="B100" s="4" t="n">
        <v>13584680</v>
      </c>
      <c r="C100" s="4" t="s">
        <v>73</v>
      </c>
      <c r="D100" s="4" t="s">
        <v>2556</v>
      </c>
      <c r="E100" s="4" t="s">
        <v>81</v>
      </c>
      <c r="F100" s="127" t="n">
        <v>46057</v>
      </c>
      <c r="G100" s="127" t="n">
        <v>46057</v>
      </c>
      <c r="H100" s="127" t="n">
        <v>46289</v>
      </c>
      <c r="I100" s="4" t="n">
        <v>100</v>
      </c>
      <c r="J100" s="4" t="n">
        <v>100</v>
      </c>
      <c r="K100" s="4" t="n">
        <v>100</v>
      </c>
      <c r="M100" s="2" t="str">
        <f aca="false">IF(C100="","",IFERROR(INDEX($S$5:$S$304,MATCH(C100,$R$5:$R$304,0))&amp;"","?"))</f>
        <v>15</v>
      </c>
      <c r="N100" s="2" t="str">
        <f aca="false">IF(E100="","",IF(ISNUMBER(SEARCH("SUBSOLO",E100)),IFERROR(-VALUE(LEFT(E100,FIND("º",SUBSTITUTE(E100,"°","º"))-1)),-1),IF(LEFT(E100,6)="TÉRREO",0,IFERROR(VALUE(LEFT(E100,FIND("º",SUBSTITUTE(E100,"°","º"))-1)),""))))</f>
        <v/>
      </c>
      <c r="O100" s="2" t="str">
        <f aca="false">IF(OR(F100="",G100=""),"",IF(G100&lt;='RETRATO 2027'!$K$5,"CONCLUÍDA",IF(F100&lt;='RETRATO 2027'!$K$5,"EM ANDAMENTO","A INICIAR")))</f>
        <v>CONCLUÍDA</v>
      </c>
      <c r="R100" s="4" t="s">
        <v>2557</v>
      </c>
      <c r="S100" s="4" t="s">
        <v>212</v>
      </c>
      <c r="T100" s="4" t="s">
        <v>2558</v>
      </c>
      <c r="U100" s="4" t="s">
        <v>2299</v>
      </c>
      <c r="V100" s="2" t="n">
        <f aca="false">IF(R100="","",COUNTIF($C$5:$C$6004,R100))</f>
        <v>1</v>
      </c>
      <c r="W100" s="2" t="n">
        <f aca="false">IF(R100="","",COUNTIFS($C$5:$C$6004,R100,$O$5:$O$6004,"CONCLUÍDA"))</f>
        <v>0</v>
      </c>
      <c r="X100" s="2" t="n">
        <f aca="false">IF(R100="","",COUNTIFS($C$5:$C$6004,R100,$O$5:$O$6004,"EM ANDAMENTO"))</f>
        <v>0</v>
      </c>
      <c r="Y100" s="2" t="str">
        <f aca="false">IF(R100="","",IF(COUNTIFS($C$5:$C$6004,R100,$O$5:$O$6004,"CONCLUÍDA",$N$5:$N$6004,"&gt;=-99")=0,"",_xlfn.MAXIFS($N$5:$N$6004,$C$5:$C$6004,R100,$O$5:$O$6004,"CONCLUÍDA")))</f>
        <v/>
      </c>
      <c r="Z100" s="2" t="str">
        <f aca="false">IF(R100="","",IF(COUNTIFS($C$5:$C$6004,R100,$O$5:$O$6004,"EM ANDAMENTO",$N$5:$N$6004,"&gt;=-99")=0,"",_xlfn.MAXIFS($N$5:$N$6004,$C$5:$C$6004,R100,$O$5:$O$6004,"EM ANDAMENTO")))</f>
        <v/>
      </c>
      <c r="AA100" s="2" t="str">
        <f aca="false"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 customFormat="false" ht="15" hidden="false" customHeight="false" outlineLevel="0" collapsed="false">
      <c r="B101" s="4" t="n">
        <v>13584682</v>
      </c>
      <c r="C101" s="4" t="s">
        <v>73</v>
      </c>
      <c r="D101" s="4" t="s">
        <v>2559</v>
      </c>
      <c r="E101" s="4" t="s">
        <v>81</v>
      </c>
      <c r="F101" s="127" t="n">
        <v>46058</v>
      </c>
      <c r="G101" s="127" t="n">
        <v>46058</v>
      </c>
      <c r="H101" s="127" t="n">
        <v>46289</v>
      </c>
      <c r="I101" s="4" t="n">
        <v>100</v>
      </c>
      <c r="J101" s="4" t="n">
        <v>100</v>
      </c>
      <c r="K101" s="4" t="n">
        <v>100</v>
      </c>
      <c r="M101" s="2" t="str">
        <f aca="false">IF(C101="","",IFERROR(INDEX($S$5:$S$304,MATCH(C101,$R$5:$R$304,0))&amp;"","?"))</f>
        <v>15</v>
      </c>
      <c r="N101" s="2" t="str">
        <f aca="false">IF(E101="","",IF(ISNUMBER(SEARCH("SUBSOLO",E101)),IFERROR(-VALUE(LEFT(E101,FIND("º",SUBSTITUTE(E101,"°","º"))-1)),-1),IF(LEFT(E101,6)="TÉRREO",0,IFERROR(VALUE(LEFT(E101,FIND("º",SUBSTITUTE(E101,"°","º"))-1)),""))))</f>
        <v/>
      </c>
      <c r="O101" s="2" t="str">
        <f aca="false">IF(OR(F101="",G101=""),"",IF(G101&lt;='RETRATO 2027'!$K$5,"CONCLUÍDA",IF(F101&lt;='RETRATO 2027'!$K$5,"EM ANDAMENTO","A INICIAR")))</f>
        <v>CONCLUÍDA</v>
      </c>
      <c r="R101" s="4" t="s">
        <v>2560</v>
      </c>
      <c r="S101" s="4" t="s">
        <v>173</v>
      </c>
      <c r="T101" s="4" t="s">
        <v>2561</v>
      </c>
      <c r="U101" s="4" t="s">
        <v>2305</v>
      </c>
      <c r="V101" s="2" t="n">
        <f aca="false">IF(R101="","",COUNTIF($C$5:$C$6004,R101))</f>
        <v>1</v>
      </c>
      <c r="W101" s="2" t="n">
        <f aca="false">IF(R101="","",COUNTIFS($C$5:$C$6004,R101,$O$5:$O$6004,"CONCLUÍDA"))</f>
        <v>0</v>
      </c>
      <c r="X101" s="2" t="n">
        <f aca="false">IF(R101="","",COUNTIFS($C$5:$C$6004,R101,$O$5:$O$6004,"EM ANDAMENTO"))</f>
        <v>0</v>
      </c>
      <c r="Y101" s="2" t="str">
        <f aca="false">IF(R101="","",IF(COUNTIFS($C$5:$C$6004,R101,$O$5:$O$6004,"CONCLUÍDA",$N$5:$N$6004,"&gt;=-99")=0,"",_xlfn.MAXIFS($N$5:$N$6004,$C$5:$C$6004,R101,$O$5:$O$6004,"CONCLUÍDA")))</f>
        <v/>
      </c>
      <c r="Z101" s="2" t="str">
        <f aca="false">IF(R101="","",IF(COUNTIFS($C$5:$C$6004,R101,$O$5:$O$6004,"EM ANDAMENTO",$N$5:$N$6004,"&gt;=-99")=0,"",_xlfn.MAXIFS($N$5:$N$6004,$C$5:$C$6004,R101,$O$5:$O$6004,"EM ANDAMENTO")))</f>
        <v/>
      </c>
      <c r="AA101" s="2" t="str">
        <f aca="false"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 customFormat="false" ht="15" hidden="false" customHeight="false" outlineLevel="0" collapsed="false">
      <c r="B102" s="4" t="n">
        <v>14668329</v>
      </c>
      <c r="C102" s="4" t="s">
        <v>73</v>
      </c>
      <c r="D102" s="4" t="s">
        <v>2562</v>
      </c>
      <c r="E102" s="4" t="s">
        <v>81</v>
      </c>
      <c r="F102" s="127" t="n">
        <v>46059</v>
      </c>
      <c r="G102" s="127" t="n">
        <v>46059</v>
      </c>
      <c r="H102" s="127" t="n">
        <v>46289</v>
      </c>
      <c r="I102" s="4" t="n">
        <v>100</v>
      </c>
      <c r="J102" s="4" t="n">
        <v>100</v>
      </c>
      <c r="K102" s="4" t="n">
        <v>100</v>
      </c>
      <c r="M102" s="2" t="str">
        <f aca="false">IF(C102="","",IFERROR(INDEX($S$5:$S$304,MATCH(C102,$R$5:$R$304,0))&amp;"","?"))</f>
        <v>15</v>
      </c>
      <c r="N102" s="2" t="str">
        <f aca="false">IF(E102="","",IF(ISNUMBER(SEARCH("SUBSOLO",E102)),IFERROR(-VALUE(LEFT(E102,FIND("º",SUBSTITUTE(E102,"°","º"))-1)),-1),IF(LEFT(E102,6)="TÉRREO",0,IFERROR(VALUE(LEFT(E102,FIND("º",SUBSTITUTE(E102,"°","º"))-1)),""))))</f>
        <v/>
      </c>
      <c r="O102" s="2" t="str">
        <f aca="false">IF(OR(F102="",G102=""),"",IF(G102&lt;='RETRATO 2027'!$K$5,"CONCLUÍDA",IF(F102&lt;='RETRATO 2027'!$K$5,"EM ANDAMENTO","A INICIAR")))</f>
        <v>CONCLUÍDA</v>
      </c>
      <c r="R102" s="4" t="s">
        <v>2563</v>
      </c>
      <c r="S102" s="4" t="s">
        <v>173</v>
      </c>
      <c r="T102" s="4" t="s">
        <v>2564</v>
      </c>
      <c r="U102" s="4" t="s">
        <v>2299</v>
      </c>
      <c r="V102" s="2" t="n">
        <f aca="false">IF(R102="","",COUNTIF($C$5:$C$6004,R102))</f>
        <v>46</v>
      </c>
      <c r="W102" s="2" t="n">
        <f aca="false">IF(R102="","",COUNTIFS($C$5:$C$6004,R102,$O$5:$O$6004,"CONCLUÍDA"))</f>
        <v>0</v>
      </c>
      <c r="X102" s="2" t="n">
        <f aca="false">IF(R102="","",COUNTIFS($C$5:$C$6004,R102,$O$5:$O$6004,"EM ANDAMENTO"))</f>
        <v>0</v>
      </c>
      <c r="Y102" s="2" t="str">
        <f aca="false">IF(R102="","",IF(COUNTIFS($C$5:$C$6004,R102,$O$5:$O$6004,"CONCLUÍDA",$N$5:$N$6004,"&gt;=-99")=0,"",_xlfn.MAXIFS($N$5:$N$6004,$C$5:$C$6004,R102,$O$5:$O$6004,"CONCLUÍDA")))</f>
        <v/>
      </c>
      <c r="Z102" s="2" t="str">
        <f aca="false">IF(R102="","",IF(COUNTIFS($C$5:$C$6004,R102,$O$5:$O$6004,"EM ANDAMENTO",$N$5:$N$6004,"&gt;=-99")=0,"",_xlfn.MAXIFS($N$5:$N$6004,$C$5:$C$6004,R102,$O$5:$O$6004,"EM ANDAMENTO")))</f>
        <v/>
      </c>
      <c r="AA102" s="2" t="str">
        <f aca="false"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 customFormat="false" ht="15" hidden="false" customHeight="false" outlineLevel="0" collapsed="false">
      <c r="B103" s="4" t="n">
        <v>14668330</v>
      </c>
      <c r="C103" s="4" t="s">
        <v>73</v>
      </c>
      <c r="D103" s="4" t="s">
        <v>2565</v>
      </c>
      <c r="E103" s="4" t="s">
        <v>81</v>
      </c>
      <c r="F103" s="127" t="n">
        <v>46062</v>
      </c>
      <c r="G103" s="127" t="n">
        <v>46062</v>
      </c>
      <c r="H103" s="127" t="n">
        <v>46289</v>
      </c>
      <c r="I103" s="4" t="n">
        <v>100</v>
      </c>
      <c r="J103" s="4" t="n">
        <v>100</v>
      </c>
      <c r="K103" s="4" t="n">
        <v>100</v>
      </c>
      <c r="M103" s="2" t="str">
        <f aca="false">IF(C103="","",IFERROR(INDEX($S$5:$S$304,MATCH(C103,$R$5:$R$304,0))&amp;"","?"))</f>
        <v>15</v>
      </c>
      <c r="N103" s="2" t="str">
        <f aca="false">IF(E103="","",IF(ISNUMBER(SEARCH("SUBSOLO",E103)),IFERROR(-VALUE(LEFT(E103,FIND("º",SUBSTITUTE(E103,"°","º"))-1)),-1),IF(LEFT(E103,6)="TÉRREO",0,IFERROR(VALUE(LEFT(E103,FIND("º",SUBSTITUTE(E103,"°","º"))-1)),""))))</f>
        <v/>
      </c>
      <c r="O103" s="2" t="str">
        <f aca="false">IF(OR(F103="",G103=""),"",IF(G103&lt;='RETRATO 2027'!$K$5,"CONCLUÍDA",IF(F103&lt;='RETRATO 2027'!$K$5,"EM ANDAMENTO","A INICIAR")))</f>
        <v>CONCLUÍDA</v>
      </c>
      <c r="R103" s="4" t="s">
        <v>2566</v>
      </c>
      <c r="S103" s="4" t="s">
        <v>173</v>
      </c>
      <c r="T103" s="4" t="s">
        <v>2567</v>
      </c>
      <c r="U103" s="4" t="s">
        <v>2305</v>
      </c>
      <c r="V103" s="2" t="n">
        <f aca="false">IF(R103="","",COUNTIF($C$5:$C$6004,R103))</f>
        <v>5</v>
      </c>
      <c r="W103" s="2" t="n">
        <f aca="false">IF(R103="","",COUNTIFS($C$5:$C$6004,R103,$O$5:$O$6004,"CONCLUÍDA"))</f>
        <v>0</v>
      </c>
      <c r="X103" s="2" t="n">
        <f aca="false">IF(R103="","",COUNTIFS($C$5:$C$6004,R103,$O$5:$O$6004,"EM ANDAMENTO"))</f>
        <v>0</v>
      </c>
      <c r="Y103" s="2" t="str">
        <f aca="false">IF(R103="","",IF(COUNTIFS($C$5:$C$6004,R103,$O$5:$O$6004,"CONCLUÍDA",$N$5:$N$6004,"&gt;=-99")=0,"",_xlfn.MAXIFS($N$5:$N$6004,$C$5:$C$6004,R103,$O$5:$O$6004,"CONCLUÍDA")))</f>
        <v/>
      </c>
      <c r="Z103" s="2" t="str">
        <f aca="false">IF(R103="","",IF(COUNTIFS($C$5:$C$6004,R103,$O$5:$O$6004,"EM ANDAMENTO",$N$5:$N$6004,"&gt;=-99")=0,"",_xlfn.MAXIFS($N$5:$N$6004,$C$5:$C$6004,R103,$O$5:$O$6004,"EM ANDAMENTO")))</f>
        <v/>
      </c>
      <c r="AA103" s="2" t="str">
        <f aca="false"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 customFormat="false" ht="15" hidden="false" customHeight="false" outlineLevel="0" collapsed="false">
      <c r="B104" s="4" t="n">
        <v>14668331</v>
      </c>
      <c r="C104" s="4" t="s">
        <v>73</v>
      </c>
      <c r="D104" s="4" t="s">
        <v>2568</v>
      </c>
      <c r="E104" s="4" t="s">
        <v>81</v>
      </c>
      <c r="F104" s="127" t="n">
        <v>46063</v>
      </c>
      <c r="G104" s="127" t="n">
        <v>46063</v>
      </c>
      <c r="H104" s="127" t="n">
        <v>46289</v>
      </c>
      <c r="I104" s="4" t="n">
        <v>100</v>
      </c>
      <c r="J104" s="4" t="n">
        <v>100</v>
      </c>
      <c r="K104" s="4" t="n">
        <v>100</v>
      </c>
      <c r="M104" s="2" t="str">
        <f aca="false">IF(C104="","",IFERROR(INDEX($S$5:$S$304,MATCH(C104,$R$5:$R$304,0))&amp;"","?"))</f>
        <v>15</v>
      </c>
      <c r="N104" s="2" t="str">
        <f aca="false">IF(E104="","",IF(ISNUMBER(SEARCH("SUBSOLO",E104)),IFERROR(-VALUE(LEFT(E104,FIND("º",SUBSTITUTE(E104,"°","º"))-1)),-1),IF(LEFT(E104,6)="TÉRREO",0,IFERROR(VALUE(LEFT(E104,FIND("º",SUBSTITUTE(E104,"°","º"))-1)),""))))</f>
        <v/>
      </c>
      <c r="O104" s="2" t="str">
        <f aca="false">IF(OR(F104="",G104=""),"",IF(G104&lt;='RETRATO 2027'!$K$5,"CONCLUÍDA",IF(F104&lt;='RETRATO 2027'!$K$5,"EM ANDAMENTO","A INICIAR")))</f>
        <v>CONCLUÍDA</v>
      </c>
      <c r="R104" s="4" t="s">
        <v>2569</v>
      </c>
      <c r="S104" s="4" t="s">
        <v>205</v>
      </c>
      <c r="T104" s="4" t="s">
        <v>2570</v>
      </c>
      <c r="U104" s="4" t="s">
        <v>2299</v>
      </c>
      <c r="V104" s="2" t="n">
        <f aca="false">IF(R104="","",COUNTIF($C$5:$C$6004,R104))</f>
        <v>26</v>
      </c>
      <c r="W104" s="2" t="n">
        <f aca="false">IF(R104="","",COUNTIFS($C$5:$C$6004,R104,$O$5:$O$6004,"CONCLUÍDA"))</f>
        <v>0</v>
      </c>
      <c r="X104" s="2" t="n">
        <f aca="false">IF(R104="","",COUNTIFS($C$5:$C$6004,R104,$O$5:$O$6004,"EM ANDAMENTO"))</f>
        <v>0</v>
      </c>
      <c r="Y104" s="2" t="str">
        <f aca="false">IF(R104="","",IF(COUNTIFS($C$5:$C$6004,R104,$O$5:$O$6004,"CONCLUÍDA",$N$5:$N$6004,"&gt;=-99")=0,"",_xlfn.MAXIFS($N$5:$N$6004,$C$5:$C$6004,R104,$O$5:$O$6004,"CONCLUÍDA")))</f>
        <v/>
      </c>
      <c r="Z104" s="2" t="str">
        <f aca="false">IF(R104="","",IF(COUNTIFS($C$5:$C$6004,R104,$O$5:$O$6004,"EM ANDAMENTO",$N$5:$N$6004,"&gt;=-99")=0,"",_xlfn.MAXIFS($N$5:$N$6004,$C$5:$C$6004,R104,$O$5:$O$6004,"EM ANDAMENTO")))</f>
        <v/>
      </c>
      <c r="AA104" s="2" t="str">
        <f aca="false"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 customFormat="false" ht="15" hidden="false" customHeight="false" outlineLevel="0" collapsed="false">
      <c r="B105" s="4" t="n">
        <v>14668332</v>
      </c>
      <c r="C105" s="4" t="s">
        <v>73</v>
      </c>
      <c r="D105" s="4" t="s">
        <v>2571</v>
      </c>
      <c r="E105" s="4" t="s">
        <v>81</v>
      </c>
      <c r="F105" s="127" t="n">
        <v>46064</v>
      </c>
      <c r="G105" s="127" t="n">
        <v>46064</v>
      </c>
      <c r="H105" s="127" t="n">
        <v>46289</v>
      </c>
      <c r="I105" s="4" t="n">
        <v>100</v>
      </c>
      <c r="J105" s="4" t="n">
        <v>100</v>
      </c>
      <c r="K105" s="4" t="n">
        <v>100</v>
      </c>
      <c r="M105" s="2" t="str">
        <f aca="false">IF(C105="","",IFERROR(INDEX($S$5:$S$304,MATCH(C105,$R$5:$R$304,0))&amp;"","?"))</f>
        <v>15</v>
      </c>
      <c r="N105" s="2" t="str">
        <f aca="false">IF(E105="","",IF(ISNUMBER(SEARCH("SUBSOLO",E105)),IFERROR(-VALUE(LEFT(E105,FIND("º",SUBSTITUTE(E105,"°","º"))-1)),-1),IF(LEFT(E105,6)="TÉRREO",0,IFERROR(VALUE(LEFT(E105,FIND("º",SUBSTITUTE(E105,"°","º"))-1)),""))))</f>
        <v/>
      </c>
      <c r="O105" s="2" t="str">
        <f aca="false">IF(OR(F105="",G105=""),"",IF(G105&lt;='RETRATO 2027'!$K$5,"CONCLUÍDA",IF(F105&lt;='RETRATO 2027'!$K$5,"EM ANDAMENTO","A INICIAR")))</f>
        <v>CONCLUÍDA</v>
      </c>
      <c r="R105" s="4" t="s">
        <v>2572</v>
      </c>
      <c r="S105" s="4" t="s">
        <v>179</v>
      </c>
      <c r="T105" s="4" t="s">
        <v>2573</v>
      </c>
      <c r="U105" s="4" t="s">
        <v>2305</v>
      </c>
      <c r="V105" s="2" t="n">
        <f aca="false">IF(R105="","",COUNTIF($C$5:$C$6004,R105))</f>
        <v>1</v>
      </c>
      <c r="W105" s="2" t="n">
        <f aca="false">IF(R105="","",COUNTIFS($C$5:$C$6004,R105,$O$5:$O$6004,"CONCLUÍDA"))</f>
        <v>0</v>
      </c>
      <c r="X105" s="2" t="n">
        <f aca="false">IF(R105="","",COUNTIFS($C$5:$C$6004,R105,$O$5:$O$6004,"EM ANDAMENTO"))</f>
        <v>0</v>
      </c>
      <c r="Y105" s="2" t="str">
        <f aca="false">IF(R105="","",IF(COUNTIFS($C$5:$C$6004,R105,$O$5:$O$6004,"CONCLUÍDA",$N$5:$N$6004,"&gt;=-99")=0,"",_xlfn.MAXIFS($N$5:$N$6004,$C$5:$C$6004,R105,$O$5:$O$6004,"CONCLUÍDA")))</f>
        <v/>
      </c>
      <c r="Z105" s="2" t="str">
        <f aca="false">IF(R105="","",IF(COUNTIFS($C$5:$C$6004,R105,$O$5:$O$6004,"EM ANDAMENTO",$N$5:$N$6004,"&gt;=-99")=0,"",_xlfn.MAXIFS($N$5:$N$6004,$C$5:$C$6004,R105,$O$5:$O$6004,"EM ANDAMENTO")))</f>
        <v/>
      </c>
      <c r="AA105" s="2" t="str">
        <f aca="false"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 customFormat="false" ht="15" hidden="false" customHeight="false" outlineLevel="0" collapsed="false">
      <c r="B106" s="4" t="n">
        <v>14668333</v>
      </c>
      <c r="C106" s="4" t="s">
        <v>73</v>
      </c>
      <c r="D106" s="4" t="s">
        <v>2574</v>
      </c>
      <c r="E106" s="4" t="s">
        <v>81</v>
      </c>
      <c r="F106" s="127" t="n">
        <v>46065</v>
      </c>
      <c r="G106" s="127" t="n">
        <v>46065</v>
      </c>
      <c r="H106" s="127" t="n">
        <v>46289</v>
      </c>
      <c r="I106" s="4" t="n">
        <v>100</v>
      </c>
      <c r="J106" s="4" t="n">
        <v>100</v>
      </c>
      <c r="K106" s="4" t="n">
        <v>100</v>
      </c>
      <c r="M106" s="2" t="str">
        <f aca="false">IF(C106="","",IFERROR(INDEX($S$5:$S$304,MATCH(C106,$R$5:$R$304,0))&amp;"","?"))</f>
        <v>15</v>
      </c>
      <c r="N106" s="2" t="str">
        <f aca="false">IF(E106="","",IF(ISNUMBER(SEARCH("SUBSOLO",E106)),IFERROR(-VALUE(LEFT(E106,FIND("º",SUBSTITUTE(E106,"°","º"))-1)),-1),IF(LEFT(E106,6)="TÉRREO",0,IFERROR(VALUE(LEFT(E106,FIND("º",SUBSTITUTE(E106,"°","º"))-1)),""))))</f>
        <v/>
      </c>
      <c r="O106" s="2" t="str">
        <f aca="false">IF(OR(F106="",G106=""),"",IF(G106&lt;='RETRATO 2027'!$K$5,"CONCLUÍDA",IF(F106&lt;='RETRATO 2027'!$K$5,"EM ANDAMENTO","A INICIAR")))</f>
        <v>CONCLUÍDA</v>
      </c>
      <c r="R106" s="4" t="s">
        <v>2575</v>
      </c>
      <c r="S106" s="4" t="s">
        <v>182</v>
      </c>
      <c r="T106" s="4" t="s">
        <v>2576</v>
      </c>
      <c r="U106" s="4" t="s">
        <v>2305</v>
      </c>
      <c r="V106" s="2" t="n">
        <f aca="false">IF(R106="","",COUNTIF($C$5:$C$6004,R106))</f>
        <v>1</v>
      </c>
      <c r="W106" s="2" t="n">
        <f aca="false">IF(R106="","",COUNTIFS($C$5:$C$6004,R106,$O$5:$O$6004,"CONCLUÍDA"))</f>
        <v>0</v>
      </c>
      <c r="X106" s="2" t="n">
        <f aca="false">IF(R106="","",COUNTIFS($C$5:$C$6004,R106,$O$5:$O$6004,"EM ANDAMENTO"))</f>
        <v>0</v>
      </c>
      <c r="Y106" s="2" t="str">
        <f aca="false">IF(R106="","",IF(COUNTIFS($C$5:$C$6004,R106,$O$5:$O$6004,"CONCLUÍDA",$N$5:$N$6004,"&gt;=-99")=0,"",_xlfn.MAXIFS($N$5:$N$6004,$C$5:$C$6004,R106,$O$5:$O$6004,"CONCLUÍDA")))</f>
        <v/>
      </c>
      <c r="Z106" s="2" t="str">
        <f aca="false">IF(R106="","",IF(COUNTIFS($C$5:$C$6004,R106,$O$5:$O$6004,"EM ANDAMENTO",$N$5:$N$6004,"&gt;=-99")=0,"",_xlfn.MAXIFS($N$5:$N$6004,$C$5:$C$6004,R106,$O$5:$O$6004,"EM ANDAMENTO")))</f>
        <v/>
      </c>
      <c r="AA106" s="2" t="str">
        <f aca="false"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 customFormat="false" ht="15" hidden="false" customHeight="false" outlineLevel="0" collapsed="false">
      <c r="B107" s="4" t="n">
        <v>14668334</v>
      </c>
      <c r="C107" s="4" t="s">
        <v>73</v>
      </c>
      <c r="D107" s="4" t="s">
        <v>2577</v>
      </c>
      <c r="E107" s="4" t="s">
        <v>81</v>
      </c>
      <c r="F107" s="127" t="n">
        <v>46066</v>
      </c>
      <c r="G107" s="127" t="n">
        <v>46066</v>
      </c>
      <c r="H107" s="127" t="n">
        <v>46289</v>
      </c>
      <c r="I107" s="4" t="n">
        <v>100</v>
      </c>
      <c r="J107" s="4" t="n">
        <v>100</v>
      </c>
      <c r="K107" s="4" t="n">
        <v>100</v>
      </c>
      <c r="M107" s="2" t="str">
        <f aca="false">IF(C107="","",IFERROR(INDEX($S$5:$S$304,MATCH(C107,$R$5:$R$304,0))&amp;"","?"))</f>
        <v>15</v>
      </c>
      <c r="N107" s="2" t="str">
        <f aca="false">IF(E107="","",IF(ISNUMBER(SEARCH("SUBSOLO",E107)),IFERROR(-VALUE(LEFT(E107,FIND("º",SUBSTITUTE(E107,"°","º"))-1)),-1),IF(LEFT(E107,6)="TÉRREO",0,IFERROR(VALUE(LEFT(E107,FIND("º",SUBSTITUTE(E107,"°","º"))-1)),""))))</f>
        <v/>
      </c>
      <c r="O107" s="2" t="str">
        <f aca="false">IF(OR(F107="",G107=""),"",IF(G107&lt;='RETRATO 2027'!$K$5,"CONCLUÍDA",IF(F107&lt;='RETRATO 2027'!$K$5,"EM ANDAMENTO","A INICIAR")))</f>
        <v>CONCLUÍDA</v>
      </c>
      <c r="R107" s="4" t="s">
        <v>2578</v>
      </c>
      <c r="S107" s="4" t="s">
        <v>189</v>
      </c>
      <c r="T107" s="4" t="s">
        <v>2579</v>
      </c>
      <c r="U107" s="4" t="s">
        <v>2299</v>
      </c>
      <c r="V107" s="2" t="n">
        <f aca="false">IF(R107="","",COUNTIF($C$5:$C$6004,R107))</f>
        <v>39</v>
      </c>
      <c r="W107" s="2" t="n">
        <f aca="false">IF(R107="","",COUNTIFS($C$5:$C$6004,R107,$O$5:$O$6004,"CONCLUÍDA"))</f>
        <v>0</v>
      </c>
      <c r="X107" s="2" t="n">
        <f aca="false">IF(R107="","",COUNTIFS($C$5:$C$6004,R107,$O$5:$O$6004,"EM ANDAMENTO"))</f>
        <v>0</v>
      </c>
      <c r="Y107" s="2" t="str">
        <f aca="false">IF(R107="","",IF(COUNTIFS($C$5:$C$6004,R107,$O$5:$O$6004,"CONCLUÍDA",$N$5:$N$6004,"&gt;=-99")=0,"",_xlfn.MAXIFS($N$5:$N$6004,$C$5:$C$6004,R107,$O$5:$O$6004,"CONCLUÍDA")))</f>
        <v/>
      </c>
      <c r="Z107" s="2" t="str">
        <f aca="false">IF(R107="","",IF(COUNTIFS($C$5:$C$6004,R107,$O$5:$O$6004,"EM ANDAMENTO",$N$5:$N$6004,"&gt;=-99")=0,"",_xlfn.MAXIFS($N$5:$N$6004,$C$5:$C$6004,R107,$O$5:$O$6004,"EM ANDAMENTO")))</f>
        <v/>
      </c>
      <c r="AA107" s="2" t="str">
        <f aca="false"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 customFormat="false" ht="15" hidden="false" customHeight="false" outlineLevel="0" collapsed="false">
      <c r="B108" s="4" t="n">
        <v>14668335</v>
      </c>
      <c r="C108" s="4" t="s">
        <v>73</v>
      </c>
      <c r="D108" s="4" t="s">
        <v>2580</v>
      </c>
      <c r="E108" s="4" t="s">
        <v>81</v>
      </c>
      <c r="F108" s="127" t="n">
        <v>46071</v>
      </c>
      <c r="G108" s="127" t="n">
        <v>46071</v>
      </c>
      <c r="H108" s="127" t="n">
        <v>46289</v>
      </c>
      <c r="I108" s="4" t="n">
        <v>100</v>
      </c>
      <c r="J108" s="4" t="n">
        <v>100</v>
      </c>
      <c r="K108" s="4" t="n">
        <v>100</v>
      </c>
      <c r="M108" s="2" t="str">
        <f aca="false">IF(C108="","",IFERROR(INDEX($S$5:$S$304,MATCH(C108,$R$5:$R$304,0))&amp;"","?"))</f>
        <v>15</v>
      </c>
      <c r="N108" s="2" t="str">
        <f aca="false">IF(E108="","",IF(ISNUMBER(SEARCH("SUBSOLO",E108)),IFERROR(-VALUE(LEFT(E108,FIND("º",SUBSTITUTE(E108,"°","º"))-1)),-1),IF(LEFT(E108,6)="TÉRREO",0,IFERROR(VALUE(LEFT(E108,FIND("º",SUBSTITUTE(E108,"°","º"))-1)),""))))</f>
        <v/>
      </c>
      <c r="O108" s="2" t="str">
        <f aca="false">IF(OR(F108="",G108=""),"",IF(G108&lt;='RETRATO 2027'!$K$5,"CONCLUÍDA",IF(F108&lt;='RETRATO 2027'!$K$5,"EM ANDAMENTO","A INICIAR")))</f>
        <v>CONCLUÍDA</v>
      </c>
      <c r="R108" s="4" t="s">
        <v>2581</v>
      </c>
      <c r="S108" s="4"/>
      <c r="T108" s="4" t="s">
        <v>2582</v>
      </c>
      <c r="U108" s="4" t="s">
        <v>2305</v>
      </c>
      <c r="V108" s="2" t="n">
        <f aca="false">IF(R108="","",COUNTIF($C$5:$C$6004,R108))</f>
        <v>8</v>
      </c>
      <c r="W108" s="2" t="n">
        <f aca="false">IF(R108="","",COUNTIFS($C$5:$C$6004,R108,$O$5:$O$6004,"CONCLUÍDA"))</f>
        <v>0</v>
      </c>
      <c r="X108" s="2" t="n">
        <f aca="false">IF(R108="","",COUNTIFS($C$5:$C$6004,R108,$O$5:$O$6004,"EM ANDAMENTO"))</f>
        <v>0</v>
      </c>
      <c r="Y108" s="2" t="str">
        <f aca="false">IF(R108="","",IF(COUNTIFS($C$5:$C$6004,R108,$O$5:$O$6004,"CONCLUÍDA",$N$5:$N$6004,"&gt;=-99")=0,"",_xlfn.MAXIFS($N$5:$N$6004,$C$5:$C$6004,R108,$O$5:$O$6004,"CONCLUÍDA")))</f>
        <v/>
      </c>
      <c r="Z108" s="2" t="str">
        <f aca="false">IF(R108="","",IF(COUNTIFS($C$5:$C$6004,R108,$O$5:$O$6004,"EM ANDAMENTO",$N$5:$N$6004,"&gt;=-99")=0,"",_xlfn.MAXIFS($N$5:$N$6004,$C$5:$C$6004,R108,$O$5:$O$6004,"EM ANDAMENTO")))</f>
        <v/>
      </c>
      <c r="AA108" s="2" t="str">
        <f aca="false"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 customFormat="false" ht="15" hidden="false" customHeight="false" outlineLevel="0" collapsed="false">
      <c r="B109" s="4" t="n">
        <v>14668336</v>
      </c>
      <c r="C109" s="4" t="s">
        <v>73</v>
      </c>
      <c r="D109" s="4" t="s">
        <v>2583</v>
      </c>
      <c r="E109" s="4" t="s">
        <v>81</v>
      </c>
      <c r="F109" s="127" t="n">
        <v>46072</v>
      </c>
      <c r="G109" s="127" t="n">
        <v>46072</v>
      </c>
      <c r="H109" s="127" t="n">
        <v>46289</v>
      </c>
      <c r="I109" s="4" t="n">
        <v>100</v>
      </c>
      <c r="J109" s="4" t="n">
        <v>100</v>
      </c>
      <c r="K109" s="4" t="n">
        <v>100</v>
      </c>
      <c r="M109" s="2" t="str">
        <f aca="false">IF(C109="","",IFERROR(INDEX($S$5:$S$304,MATCH(C109,$R$5:$R$304,0))&amp;"","?"))</f>
        <v>15</v>
      </c>
      <c r="N109" s="2" t="str">
        <f aca="false">IF(E109="","",IF(ISNUMBER(SEARCH("SUBSOLO",E109)),IFERROR(-VALUE(LEFT(E109,FIND("º",SUBSTITUTE(E109,"°","º"))-1)),-1),IF(LEFT(E109,6)="TÉRREO",0,IFERROR(VALUE(LEFT(E109,FIND("º",SUBSTITUTE(E109,"°","º"))-1)),""))))</f>
        <v/>
      </c>
      <c r="O109" s="2" t="str">
        <f aca="false">IF(OR(F109="",G109=""),"",IF(G109&lt;='RETRATO 2027'!$K$5,"CONCLUÍDA",IF(F109&lt;='RETRATO 2027'!$K$5,"EM ANDAMENTO","A INICIAR")))</f>
        <v>CONCLUÍDA</v>
      </c>
      <c r="R109" s="4" t="s">
        <v>2584</v>
      </c>
      <c r="S109" s="4" t="s">
        <v>173</v>
      </c>
      <c r="T109" s="4" t="s">
        <v>2585</v>
      </c>
      <c r="U109" s="4" t="s">
        <v>2299</v>
      </c>
      <c r="V109" s="2" t="n">
        <f aca="false">IF(R109="","",COUNTIF($C$5:$C$6004,R109))</f>
        <v>12</v>
      </c>
      <c r="W109" s="2" t="n">
        <f aca="false">IF(R109="","",COUNTIFS($C$5:$C$6004,R109,$O$5:$O$6004,"CONCLUÍDA"))</f>
        <v>0</v>
      </c>
      <c r="X109" s="2" t="n">
        <f aca="false">IF(R109="","",COUNTIFS($C$5:$C$6004,R109,$O$5:$O$6004,"EM ANDAMENTO"))</f>
        <v>0</v>
      </c>
      <c r="Y109" s="2" t="str">
        <f aca="false">IF(R109="","",IF(COUNTIFS($C$5:$C$6004,R109,$O$5:$O$6004,"CONCLUÍDA",$N$5:$N$6004,"&gt;=-99")=0,"",_xlfn.MAXIFS($N$5:$N$6004,$C$5:$C$6004,R109,$O$5:$O$6004,"CONCLUÍDA")))</f>
        <v/>
      </c>
      <c r="Z109" s="2" t="str">
        <f aca="false">IF(R109="","",IF(COUNTIFS($C$5:$C$6004,R109,$O$5:$O$6004,"EM ANDAMENTO",$N$5:$N$6004,"&gt;=-99")=0,"",_xlfn.MAXIFS($N$5:$N$6004,$C$5:$C$6004,R109,$O$5:$O$6004,"EM ANDAMENTO")))</f>
        <v/>
      </c>
      <c r="AA109" s="2" t="str">
        <f aca="false"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 customFormat="false" ht="15" hidden="false" customHeight="false" outlineLevel="0" collapsed="false">
      <c r="B110" s="4" t="n">
        <v>14668337</v>
      </c>
      <c r="C110" s="4" t="s">
        <v>73</v>
      </c>
      <c r="D110" s="4" t="s">
        <v>2586</v>
      </c>
      <c r="E110" s="4" t="s">
        <v>81</v>
      </c>
      <c r="F110" s="127" t="n">
        <v>46073</v>
      </c>
      <c r="G110" s="127" t="n">
        <v>46073</v>
      </c>
      <c r="H110" s="127" t="n">
        <v>46289</v>
      </c>
      <c r="I110" s="4" t="n">
        <v>100</v>
      </c>
      <c r="J110" s="4" t="n">
        <v>100</v>
      </c>
      <c r="K110" s="4" t="n">
        <v>100</v>
      </c>
      <c r="M110" s="2" t="str">
        <f aca="false">IF(C110="","",IFERROR(INDEX($S$5:$S$304,MATCH(C110,$R$5:$R$304,0))&amp;"","?"))</f>
        <v>15</v>
      </c>
      <c r="N110" s="2" t="str">
        <f aca="false">IF(E110="","",IF(ISNUMBER(SEARCH("SUBSOLO",E110)),IFERROR(-VALUE(LEFT(E110,FIND("º",SUBSTITUTE(E110,"°","º"))-1)),-1),IF(LEFT(E110,6)="TÉRREO",0,IFERROR(VALUE(LEFT(E110,FIND("º",SUBSTITUTE(E110,"°","º"))-1)),""))))</f>
        <v/>
      </c>
      <c r="O110" s="2" t="str">
        <f aca="false">IF(OR(F110="",G110=""),"",IF(G110&lt;='RETRATO 2027'!$K$5,"CONCLUÍDA",IF(F110&lt;='RETRATO 2027'!$K$5,"EM ANDAMENTO","A INICIAR")))</f>
        <v>CONCLUÍDA</v>
      </c>
      <c r="R110" s="4" t="s">
        <v>2587</v>
      </c>
      <c r="S110" s="4" t="s">
        <v>193</v>
      </c>
      <c r="T110" s="4" t="s">
        <v>2588</v>
      </c>
      <c r="U110" s="4" t="s">
        <v>2299</v>
      </c>
      <c r="V110" s="2" t="n">
        <f aca="false">IF(R110="","",COUNTIF($C$5:$C$6004,R110))</f>
        <v>2</v>
      </c>
      <c r="W110" s="2" t="n">
        <f aca="false">IF(R110="","",COUNTIFS($C$5:$C$6004,R110,$O$5:$O$6004,"CONCLUÍDA"))</f>
        <v>0</v>
      </c>
      <c r="X110" s="2" t="n">
        <f aca="false">IF(R110="","",COUNTIFS($C$5:$C$6004,R110,$O$5:$O$6004,"EM ANDAMENTO"))</f>
        <v>0</v>
      </c>
      <c r="Y110" s="2" t="str">
        <f aca="false">IF(R110="","",IF(COUNTIFS($C$5:$C$6004,R110,$O$5:$O$6004,"CONCLUÍDA",$N$5:$N$6004,"&gt;=-99")=0,"",_xlfn.MAXIFS($N$5:$N$6004,$C$5:$C$6004,R110,$O$5:$O$6004,"CONCLUÍDA")))</f>
        <v/>
      </c>
      <c r="Z110" s="2" t="str">
        <f aca="false">IF(R110="","",IF(COUNTIFS($C$5:$C$6004,R110,$O$5:$O$6004,"EM ANDAMENTO",$N$5:$N$6004,"&gt;=-99")=0,"",_xlfn.MAXIFS($N$5:$N$6004,$C$5:$C$6004,R110,$O$5:$O$6004,"EM ANDAMENTO")))</f>
        <v/>
      </c>
      <c r="AA110" s="2" t="str">
        <f aca="false"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 customFormat="false" ht="15" hidden="false" customHeight="false" outlineLevel="0" collapsed="false">
      <c r="B111" s="4" t="n">
        <v>14668338</v>
      </c>
      <c r="C111" s="4" t="s">
        <v>73</v>
      </c>
      <c r="D111" s="4" t="s">
        <v>2589</v>
      </c>
      <c r="E111" s="4" t="s">
        <v>81</v>
      </c>
      <c r="F111" s="127" t="n">
        <v>46076</v>
      </c>
      <c r="G111" s="127" t="n">
        <v>46076</v>
      </c>
      <c r="H111" s="127" t="n">
        <v>46289</v>
      </c>
      <c r="I111" s="4" t="n">
        <v>100</v>
      </c>
      <c r="J111" s="4" t="n">
        <v>100</v>
      </c>
      <c r="K111" s="4" t="n">
        <v>100</v>
      </c>
      <c r="M111" s="2" t="str">
        <f aca="false">IF(C111="","",IFERROR(INDEX($S$5:$S$304,MATCH(C111,$R$5:$R$304,0))&amp;"","?"))</f>
        <v>15</v>
      </c>
      <c r="N111" s="2" t="str">
        <f aca="false">IF(E111="","",IF(ISNUMBER(SEARCH("SUBSOLO",E111)),IFERROR(-VALUE(LEFT(E111,FIND("º",SUBSTITUTE(E111,"°","º"))-1)),-1),IF(LEFT(E111,6)="TÉRREO",0,IFERROR(VALUE(LEFT(E111,FIND("º",SUBSTITUTE(E111,"°","º"))-1)),""))))</f>
        <v/>
      </c>
      <c r="O111" s="2" t="str">
        <f aca="false">IF(OR(F111="",G111=""),"",IF(G111&lt;='RETRATO 2027'!$K$5,"CONCLUÍDA",IF(F111&lt;='RETRATO 2027'!$K$5,"EM ANDAMENTO","A INICIAR")))</f>
        <v>CONCLUÍDA</v>
      </c>
      <c r="R111" s="4" t="s">
        <v>2590</v>
      </c>
      <c r="S111" s="4" t="s">
        <v>196</v>
      </c>
      <c r="T111" s="4" t="s">
        <v>2591</v>
      </c>
      <c r="U111" s="4" t="s">
        <v>2299</v>
      </c>
      <c r="V111" s="2" t="n">
        <f aca="false">IF(R111="","",COUNTIF($C$5:$C$6004,R111))</f>
        <v>2</v>
      </c>
      <c r="W111" s="2" t="n">
        <f aca="false">IF(R111="","",COUNTIFS($C$5:$C$6004,R111,$O$5:$O$6004,"CONCLUÍDA"))</f>
        <v>0</v>
      </c>
      <c r="X111" s="2" t="n">
        <f aca="false">IF(R111="","",COUNTIFS($C$5:$C$6004,R111,$O$5:$O$6004,"EM ANDAMENTO"))</f>
        <v>0</v>
      </c>
      <c r="Y111" s="2" t="str">
        <f aca="false">IF(R111="","",IF(COUNTIFS($C$5:$C$6004,R111,$O$5:$O$6004,"CONCLUÍDA",$N$5:$N$6004,"&gt;=-99")=0,"",_xlfn.MAXIFS($N$5:$N$6004,$C$5:$C$6004,R111,$O$5:$O$6004,"CONCLUÍDA")))</f>
        <v/>
      </c>
      <c r="Z111" s="2" t="str">
        <f aca="false">IF(R111="","",IF(COUNTIFS($C$5:$C$6004,R111,$O$5:$O$6004,"EM ANDAMENTO",$N$5:$N$6004,"&gt;=-99")=0,"",_xlfn.MAXIFS($N$5:$N$6004,$C$5:$C$6004,R111,$O$5:$O$6004,"EM ANDAMENTO")))</f>
        <v/>
      </c>
      <c r="AA111" s="2" t="str">
        <f aca="false"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 customFormat="false" ht="15" hidden="false" customHeight="false" outlineLevel="0" collapsed="false">
      <c r="B112" s="4" t="n">
        <v>14668339</v>
      </c>
      <c r="C112" s="4" t="s">
        <v>73</v>
      </c>
      <c r="D112" s="4" t="s">
        <v>2592</v>
      </c>
      <c r="E112" s="4" t="s">
        <v>81</v>
      </c>
      <c r="F112" s="127" t="n">
        <v>46077</v>
      </c>
      <c r="G112" s="127" t="n">
        <v>46077</v>
      </c>
      <c r="H112" s="127" t="n">
        <v>46289</v>
      </c>
      <c r="I112" s="4" t="n">
        <v>100</v>
      </c>
      <c r="J112" s="4" t="n">
        <v>100</v>
      </c>
      <c r="K112" s="4" t="n">
        <v>100</v>
      </c>
      <c r="M112" s="2" t="str">
        <f aca="false">IF(C112="","",IFERROR(INDEX($S$5:$S$304,MATCH(C112,$R$5:$R$304,0))&amp;"","?"))</f>
        <v>15</v>
      </c>
      <c r="N112" s="2" t="str">
        <f aca="false">IF(E112="","",IF(ISNUMBER(SEARCH("SUBSOLO",E112)),IFERROR(-VALUE(LEFT(E112,FIND("º",SUBSTITUTE(E112,"°","º"))-1)),-1),IF(LEFT(E112,6)="TÉRREO",0,IFERROR(VALUE(LEFT(E112,FIND("º",SUBSTITUTE(E112,"°","º"))-1)),""))))</f>
        <v/>
      </c>
      <c r="O112" s="2" t="str">
        <f aca="false">IF(OR(F112="",G112=""),"",IF(G112&lt;='RETRATO 2027'!$K$5,"CONCLUÍDA",IF(F112&lt;='RETRATO 2027'!$K$5,"EM ANDAMENTO","A INICIAR")))</f>
        <v>CONCLUÍDA</v>
      </c>
      <c r="R112" s="4" t="s">
        <v>2593</v>
      </c>
      <c r="S112" s="4" t="s">
        <v>185</v>
      </c>
      <c r="T112" s="4" t="s">
        <v>2594</v>
      </c>
      <c r="U112" s="4" t="s">
        <v>2299</v>
      </c>
      <c r="V112" s="2" t="n">
        <f aca="false">IF(R112="","",COUNTIF($C$5:$C$6004,R112))</f>
        <v>1</v>
      </c>
      <c r="W112" s="2" t="n">
        <f aca="false">IF(R112="","",COUNTIFS($C$5:$C$6004,R112,$O$5:$O$6004,"CONCLUÍDA"))</f>
        <v>0</v>
      </c>
      <c r="X112" s="2" t="n">
        <f aca="false">IF(R112="","",COUNTIFS($C$5:$C$6004,R112,$O$5:$O$6004,"EM ANDAMENTO"))</f>
        <v>0</v>
      </c>
      <c r="Y112" s="2" t="str">
        <f aca="false">IF(R112="","",IF(COUNTIFS($C$5:$C$6004,R112,$O$5:$O$6004,"CONCLUÍDA",$N$5:$N$6004,"&gt;=-99")=0,"",_xlfn.MAXIFS($N$5:$N$6004,$C$5:$C$6004,R112,$O$5:$O$6004,"CONCLUÍDA")))</f>
        <v/>
      </c>
      <c r="Z112" s="2" t="str">
        <f aca="false">IF(R112="","",IF(COUNTIFS($C$5:$C$6004,R112,$O$5:$O$6004,"EM ANDAMENTO",$N$5:$N$6004,"&gt;=-99")=0,"",_xlfn.MAXIFS($N$5:$N$6004,$C$5:$C$6004,R112,$O$5:$O$6004,"EM ANDAMENTO")))</f>
        <v/>
      </c>
      <c r="AA112" s="2" t="str">
        <f aca="false"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 customFormat="false" ht="15" hidden="false" customHeight="false" outlineLevel="0" collapsed="false">
      <c r="B113" s="4" t="n">
        <v>14668340</v>
      </c>
      <c r="C113" s="4" t="s">
        <v>73</v>
      </c>
      <c r="D113" s="4" t="s">
        <v>2595</v>
      </c>
      <c r="E113" s="4" t="s">
        <v>81</v>
      </c>
      <c r="F113" s="127" t="n">
        <v>46078</v>
      </c>
      <c r="G113" s="127" t="n">
        <v>46078</v>
      </c>
      <c r="H113" s="127" t="n">
        <v>46289</v>
      </c>
      <c r="I113" s="4" t="n">
        <v>100</v>
      </c>
      <c r="J113" s="4" t="n">
        <v>100</v>
      </c>
      <c r="K113" s="4" t="n">
        <v>100</v>
      </c>
      <c r="M113" s="2" t="str">
        <f aca="false">IF(C113="","",IFERROR(INDEX($S$5:$S$304,MATCH(C113,$R$5:$R$304,0))&amp;"","?"))</f>
        <v>15</v>
      </c>
      <c r="N113" s="2" t="str">
        <f aca="false">IF(E113="","",IF(ISNUMBER(SEARCH("SUBSOLO",E113)),IFERROR(-VALUE(LEFT(E113,FIND("º",SUBSTITUTE(E113,"°","º"))-1)),-1),IF(LEFT(E113,6)="TÉRREO",0,IFERROR(VALUE(LEFT(E113,FIND("º",SUBSTITUTE(E113,"°","º"))-1)),""))))</f>
        <v/>
      </c>
      <c r="O113" s="2" t="str">
        <f aca="false">IF(OR(F113="",G113=""),"",IF(G113&lt;='RETRATO 2027'!$K$5,"CONCLUÍDA",IF(F113&lt;='RETRATO 2027'!$K$5,"EM ANDAMENTO","A INICIAR")))</f>
        <v>CONCLUÍDA</v>
      </c>
      <c r="R113" s="4" t="s">
        <v>2596</v>
      </c>
      <c r="S113" s="4" t="s">
        <v>212</v>
      </c>
      <c r="T113" s="4" t="s">
        <v>2597</v>
      </c>
      <c r="U113" s="4" t="s">
        <v>2299</v>
      </c>
      <c r="V113" s="2" t="n">
        <f aca="false">IF(R113="","",COUNTIF($C$5:$C$6004,R113))</f>
        <v>1</v>
      </c>
      <c r="W113" s="2" t="n">
        <f aca="false">IF(R113="","",COUNTIFS($C$5:$C$6004,R113,$O$5:$O$6004,"CONCLUÍDA"))</f>
        <v>0</v>
      </c>
      <c r="X113" s="2" t="n">
        <f aca="false">IF(R113="","",COUNTIFS($C$5:$C$6004,R113,$O$5:$O$6004,"EM ANDAMENTO"))</f>
        <v>0</v>
      </c>
      <c r="Y113" s="2" t="str">
        <f aca="false">IF(R113="","",IF(COUNTIFS($C$5:$C$6004,R113,$O$5:$O$6004,"CONCLUÍDA",$N$5:$N$6004,"&gt;=-99")=0,"",_xlfn.MAXIFS($N$5:$N$6004,$C$5:$C$6004,R113,$O$5:$O$6004,"CONCLUÍDA")))</f>
        <v/>
      </c>
      <c r="Z113" s="2" t="str">
        <f aca="false">IF(R113="","",IF(COUNTIFS($C$5:$C$6004,R113,$O$5:$O$6004,"EM ANDAMENTO",$N$5:$N$6004,"&gt;=-99")=0,"",_xlfn.MAXIFS($N$5:$N$6004,$C$5:$C$6004,R113,$O$5:$O$6004,"EM ANDAMENTO")))</f>
        <v/>
      </c>
      <c r="AA113" s="2" t="str">
        <f aca="false"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 customFormat="false" ht="15" hidden="false" customHeight="false" outlineLevel="0" collapsed="false">
      <c r="B114" s="4" t="n">
        <v>14668341</v>
      </c>
      <c r="C114" s="4" t="s">
        <v>73</v>
      </c>
      <c r="D114" s="4" t="s">
        <v>2598</v>
      </c>
      <c r="E114" s="4" t="s">
        <v>81</v>
      </c>
      <c r="F114" s="127" t="n">
        <v>46079</v>
      </c>
      <c r="G114" s="127" t="n">
        <v>46079</v>
      </c>
      <c r="H114" s="127" t="n">
        <v>46289</v>
      </c>
      <c r="I114" s="4" t="n">
        <v>100</v>
      </c>
      <c r="J114" s="4" t="n">
        <v>100</v>
      </c>
      <c r="K114" s="4" t="n">
        <v>100</v>
      </c>
      <c r="M114" s="2" t="str">
        <f aca="false">IF(C114="","",IFERROR(INDEX($S$5:$S$304,MATCH(C114,$R$5:$R$304,0))&amp;"","?"))</f>
        <v>15</v>
      </c>
      <c r="N114" s="2" t="str">
        <f aca="false">IF(E114="","",IF(ISNUMBER(SEARCH("SUBSOLO",E114)),IFERROR(-VALUE(LEFT(E114,FIND("º",SUBSTITUTE(E114,"°","º"))-1)),-1),IF(LEFT(E114,6)="TÉRREO",0,IFERROR(VALUE(LEFT(E114,FIND("º",SUBSTITUTE(E114,"°","º"))-1)),""))))</f>
        <v/>
      </c>
      <c r="O114" s="2" t="str">
        <f aca="false">IF(OR(F114="",G114=""),"",IF(G114&lt;='RETRATO 2027'!$K$5,"CONCLUÍDA",IF(F114&lt;='RETRATO 2027'!$K$5,"EM ANDAMENTO","A INICIAR")))</f>
        <v>CONCLUÍDA</v>
      </c>
      <c r="R114" s="4" t="s">
        <v>2599</v>
      </c>
      <c r="S114" s="4" t="s">
        <v>205</v>
      </c>
      <c r="T114" s="4" t="s">
        <v>2600</v>
      </c>
      <c r="U114" s="4" t="s">
        <v>2299</v>
      </c>
      <c r="V114" s="2" t="n">
        <f aca="false">IF(R114="","",COUNTIF($C$5:$C$6004,R114))</f>
        <v>26</v>
      </c>
      <c r="W114" s="2" t="n">
        <f aca="false">IF(R114="","",COUNTIFS($C$5:$C$6004,R114,$O$5:$O$6004,"CONCLUÍDA"))</f>
        <v>0</v>
      </c>
      <c r="X114" s="2" t="n">
        <f aca="false">IF(R114="","",COUNTIFS($C$5:$C$6004,R114,$O$5:$O$6004,"EM ANDAMENTO"))</f>
        <v>0</v>
      </c>
      <c r="Y114" s="2" t="str">
        <f aca="false">IF(R114="","",IF(COUNTIFS($C$5:$C$6004,R114,$O$5:$O$6004,"CONCLUÍDA",$N$5:$N$6004,"&gt;=-99")=0,"",_xlfn.MAXIFS($N$5:$N$6004,$C$5:$C$6004,R114,$O$5:$O$6004,"CONCLUÍDA")))</f>
        <v/>
      </c>
      <c r="Z114" s="2" t="str">
        <f aca="false">IF(R114="","",IF(COUNTIFS($C$5:$C$6004,R114,$O$5:$O$6004,"EM ANDAMENTO",$N$5:$N$6004,"&gt;=-99")=0,"",_xlfn.MAXIFS($N$5:$N$6004,$C$5:$C$6004,R114,$O$5:$O$6004,"EM ANDAMENTO")))</f>
        <v/>
      </c>
      <c r="AA114" s="2" t="str">
        <f aca="false"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 customFormat="false" ht="15" hidden="false" customHeight="false" outlineLevel="0" collapsed="false">
      <c r="B115" s="4" t="n">
        <v>14668342</v>
      </c>
      <c r="C115" s="4" t="s">
        <v>73</v>
      </c>
      <c r="D115" s="4" t="s">
        <v>2601</v>
      </c>
      <c r="E115" s="4" t="s">
        <v>81</v>
      </c>
      <c r="F115" s="127" t="n">
        <v>46080</v>
      </c>
      <c r="G115" s="127" t="n">
        <v>46080</v>
      </c>
      <c r="H115" s="127" t="n">
        <v>46289</v>
      </c>
      <c r="I115" s="4" t="n">
        <v>100</v>
      </c>
      <c r="J115" s="4" t="n">
        <v>100</v>
      </c>
      <c r="K115" s="4" t="n">
        <v>100</v>
      </c>
      <c r="M115" s="2" t="str">
        <f aca="false">IF(C115="","",IFERROR(INDEX($S$5:$S$304,MATCH(C115,$R$5:$R$304,0))&amp;"","?"))</f>
        <v>15</v>
      </c>
      <c r="N115" s="2" t="str">
        <f aca="false">IF(E115="","",IF(ISNUMBER(SEARCH("SUBSOLO",E115)),IFERROR(-VALUE(LEFT(E115,FIND("º",SUBSTITUTE(E115,"°","º"))-1)),-1),IF(LEFT(E115,6)="TÉRREO",0,IFERROR(VALUE(LEFT(E115,FIND("º",SUBSTITUTE(E115,"°","º"))-1)),""))))</f>
        <v/>
      </c>
      <c r="O115" s="2" t="str">
        <f aca="false">IF(OR(F115="",G115=""),"",IF(G115&lt;='RETRATO 2027'!$K$5,"CONCLUÍDA",IF(F115&lt;='RETRATO 2027'!$K$5,"EM ANDAMENTO","A INICIAR")))</f>
        <v>CONCLUÍDA</v>
      </c>
      <c r="R115" s="4" t="s">
        <v>2602</v>
      </c>
      <c r="S115" s="4" t="s">
        <v>193</v>
      </c>
      <c r="T115" s="4" t="s">
        <v>2603</v>
      </c>
      <c r="U115" s="4" t="s">
        <v>2299</v>
      </c>
      <c r="V115" s="2" t="n">
        <f aca="false">IF(R115="","",COUNTIF($C$5:$C$6004,R115))</f>
        <v>1</v>
      </c>
      <c r="W115" s="2" t="n">
        <f aca="false">IF(R115="","",COUNTIFS($C$5:$C$6004,R115,$O$5:$O$6004,"CONCLUÍDA"))</f>
        <v>0</v>
      </c>
      <c r="X115" s="2" t="n">
        <f aca="false">IF(R115="","",COUNTIFS($C$5:$C$6004,R115,$O$5:$O$6004,"EM ANDAMENTO"))</f>
        <v>0</v>
      </c>
      <c r="Y115" s="2" t="str">
        <f aca="false">IF(R115="","",IF(COUNTIFS($C$5:$C$6004,R115,$O$5:$O$6004,"CONCLUÍDA",$N$5:$N$6004,"&gt;=-99")=0,"",_xlfn.MAXIFS($N$5:$N$6004,$C$5:$C$6004,R115,$O$5:$O$6004,"CONCLUÍDA")))</f>
        <v/>
      </c>
      <c r="Z115" s="2" t="str">
        <f aca="false">IF(R115="","",IF(COUNTIFS($C$5:$C$6004,R115,$O$5:$O$6004,"EM ANDAMENTO",$N$5:$N$6004,"&gt;=-99")=0,"",_xlfn.MAXIFS($N$5:$N$6004,$C$5:$C$6004,R115,$O$5:$O$6004,"EM ANDAMENTO")))</f>
        <v/>
      </c>
      <c r="AA115" s="2" t="str">
        <f aca="false"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 customFormat="false" ht="15" hidden="false" customHeight="false" outlineLevel="0" collapsed="false">
      <c r="B116" s="4" t="n">
        <v>14668343</v>
      </c>
      <c r="C116" s="4" t="s">
        <v>73</v>
      </c>
      <c r="D116" s="4" t="s">
        <v>2604</v>
      </c>
      <c r="E116" s="4" t="s">
        <v>81</v>
      </c>
      <c r="F116" s="127" t="n">
        <v>46083</v>
      </c>
      <c r="G116" s="127" t="n">
        <v>46083</v>
      </c>
      <c r="H116" s="127" t="n">
        <v>46289</v>
      </c>
      <c r="I116" s="4" t="n">
        <v>100</v>
      </c>
      <c r="J116" s="4" t="n">
        <v>100</v>
      </c>
      <c r="K116" s="4" t="n">
        <v>100</v>
      </c>
      <c r="M116" s="2" t="str">
        <f aca="false">IF(C116="","",IFERROR(INDEX($S$5:$S$304,MATCH(C116,$R$5:$R$304,0))&amp;"","?"))</f>
        <v>15</v>
      </c>
      <c r="N116" s="2" t="str">
        <f aca="false">IF(E116="","",IF(ISNUMBER(SEARCH("SUBSOLO",E116)),IFERROR(-VALUE(LEFT(E116,FIND("º",SUBSTITUTE(E116,"°","º"))-1)),-1),IF(LEFT(E116,6)="TÉRREO",0,IFERROR(VALUE(LEFT(E116,FIND("º",SUBSTITUTE(E116,"°","º"))-1)),""))))</f>
        <v/>
      </c>
      <c r="O116" s="2" t="str">
        <f aca="false">IF(OR(F116="",G116=""),"",IF(G116&lt;='RETRATO 2027'!$K$5,"CONCLUÍDA",IF(F116&lt;='RETRATO 2027'!$K$5,"EM ANDAMENTO","A INICIAR")))</f>
        <v>CONCLUÍDA</v>
      </c>
      <c r="R116" s="4" t="s">
        <v>2605</v>
      </c>
      <c r="S116" s="4" t="s">
        <v>219</v>
      </c>
      <c r="T116" s="4" t="s">
        <v>2606</v>
      </c>
      <c r="U116" s="4" t="s">
        <v>2299</v>
      </c>
      <c r="V116" s="2" t="n">
        <f aca="false">IF(R116="","",COUNTIF($C$5:$C$6004,R116))</f>
        <v>39</v>
      </c>
      <c r="W116" s="2" t="n">
        <f aca="false">IF(R116="","",COUNTIFS($C$5:$C$6004,R116,$O$5:$O$6004,"CONCLUÍDA"))</f>
        <v>0</v>
      </c>
      <c r="X116" s="2" t="n">
        <f aca="false">IF(R116="","",COUNTIFS($C$5:$C$6004,R116,$O$5:$O$6004,"EM ANDAMENTO"))</f>
        <v>0</v>
      </c>
      <c r="Y116" s="2" t="str">
        <f aca="false">IF(R116="","",IF(COUNTIFS($C$5:$C$6004,R116,$O$5:$O$6004,"CONCLUÍDA",$N$5:$N$6004,"&gt;=-99")=0,"",_xlfn.MAXIFS($N$5:$N$6004,$C$5:$C$6004,R116,$O$5:$O$6004,"CONCLUÍDA")))</f>
        <v/>
      </c>
      <c r="Z116" s="2" t="str">
        <f aca="false">IF(R116="","",IF(COUNTIFS($C$5:$C$6004,R116,$O$5:$O$6004,"EM ANDAMENTO",$N$5:$N$6004,"&gt;=-99")=0,"",_xlfn.MAXIFS($N$5:$N$6004,$C$5:$C$6004,R116,$O$5:$O$6004,"EM ANDAMENTO")))</f>
        <v/>
      </c>
      <c r="AA116" s="2" t="str">
        <f aca="false"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 customFormat="false" ht="15" hidden="false" customHeight="false" outlineLevel="0" collapsed="false">
      <c r="B117" s="4" t="n">
        <v>33143226</v>
      </c>
      <c r="C117" s="4" t="s">
        <v>2315</v>
      </c>
      <c r="D117" s="4" t="s">
        <v>463</v>
      </c>
      <c r="E117" s="4" t="s">
        <v>81</v>
      </c>
      <c r="F117" s="127" t="n">
        <v>45922</v>
      </c>
      <c r="G117" s="127" t="n">
        <v>45943</v>
      </c>
      <c r="H117" s="127" t="n">
        <v>46289</v>
      </c>
      <c r="I117" s="4" t="n">
        <v>100</v>
      </c>
      <c r="J117" s="4" t="n">
        <v>100</v>
      </c>
      <c r="K117" s="4" t="n">
        <v>100</v>
      </c>
      <c r="M117" s="2" t="str">
        <f aca="false">IF(C117="","",IFERROR(INDEX($S$5:$S$304,MATCH(C117,$R$5:$R$304,0))&amp;"","?"))</f>
        <v>15</v>
      </c>
      <c r="N117" s="2" t="str">
        <f aca="false">IF(E117="","",IF(ISNUMBER(SEARCH("SUBSOLO",E117)),IFERROR(-VALUE(LEFT(E117,FIND("º",SUBSTITUTE(E117,"°","º"))-1)),-1),IF(LEFT(E117,6)="TÉRREO",0,IFERROR(VALUE(LEFT(E117,FIND("º",SUBSTITUTE(E117,"°","º"))-1)),""))))</f>
        <v/>
      </c>
      <c r="O117" s="2" t="str">
        <f aca="false">IF(OR(F117="",G117=""),"",IF(G117&lt;='RETRATO 2027'!$K$5,"CONCLUÍDA",IF(F117&lt;='RETRATO 2027'!$K$5,"EM ANDAMENTO","A INICIAR")))</f>
        <v>CONCLUÍDA</v>
      </c>
      <c r="R117" s="4" t="s">
        <v>2607</v>
      </c>
      <c r="S117" s="4" t="s">
        <v>219</v>
      </c>
      <c r="T117" s="4" t="s">
        <v>2608</v>
      </c>
      <c r="U117" s="4" t="s">
        <v>2299</v>
      </c>
      <c r="V117" s="2" t="n">
        <f aca="false">IF(R117="","",COUNTIF($C$5:$C$6004,R117))</f>
        <v>40</v>
      </c>
      <c r="W117" s="2" t="n">
        <f aca="false">IF(R117="","",COUNTIFS($C$5:$C$6004,R117,$O$5:$O$6004,"CONCLUÍDA"))</f>
        <v>0</v>
      </c>
      <c r="X117" s="2" t="n">
        <f aca="false">IF(R117="","",COUNTIFS($C$5:$C$6004,R117,$O$5:$O$6004,"EM ANDAMENTO"))</f>
        <v>0</v>
      </c>
      <c r="Y117" s="2" t="str">
        <f aca="false">IF(R117="","",IF(COUNTIFS($C$5:$C$6004,R117,$O$5:$O$6004,"CONCLUÍDA",$N$5:$N$6004,"&gt;=-99")=0,"",_xlfn.MAXIFS($N$5:$N$6004,$C$5:$C$6004,R117,$O$5:$O$6004,"CONCLUÍDA")))</f>
        <v/>
      </c>
      <c r="Z117" s="2" t="str">
        <f aca="false">IF(R117="","",IF(COUNTIFS($C$5:$C$6004,R117,$O$5:$O$6004,"EM ANDAMENTO",$N$5:$N$6004,"&gt;=-99")=0,"",_xlfn.MAXIFS($N$5:$N$6004,$C$5:$C$6004,R117,$O$5:$O$6004,"EM ANDAMENTO")))</f>
        <v/>
      </c>
      <c r="AA117" s="2" t="str">
        <f aca="false"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 customFormat="false" ht="15" hidden="false" customHeight="false" outlineLevel="0" collapsed="false">
      <c r="B118" s="4" t="n">
        <v>13543293</v>
      </c>
      <c r="C118" s="4" t="s">
        <v>2315</v>
      </c>
      <c r="D118" s="4" t="s">
        <v>2306</v>
      </c>
      <c r="E118" s="4" t="s">
        <v>81</v>
      </c>
      <c r="F118" s="127" t="n">
        <v>45922</v>
      </c>
      <c r="G118" s="127" t="n">
        <v>45938</v>
      </c>
      <c r="H118" s="127" t="n">
        <v>46289</v>
      </c>
      <c r="I118" s="4" t="n">
        <v>100</v>
      </c>
      <c r="J118" s="4" t="n">
        <v>100</v>
      </c>
      <c r="K118" s="4" t="n">
        <v>100</v>
      </c>
      <c r="M118" s="2" t="str">
        <f aca="false">IF(C118="","",IFERROR(INDEX($S$5:$S$304,MATCH(C118,$R$5:$R$304,0))&amp;"","?"))</f>
        <v>15</v>
      </c>
      <c r="N118" s="2" t="str">
        <f aca="false">IF(E118="","",IF(ISNUMBER(SEARCH("SUBSOLO",E118)),IFERROR(-VALUE(LEFT(E118,FIND("º",SUBSTITUTE(E118,"°","º"))-1)),-1),IF(LEFT(E118,6)="TÉRREO",0,IFERROR(VALUE(LEFT(E118,FIND("º",SUBSTITUTE(E118,"°","º"))-1)),""))))</f>
        <v/>
      </c>
      <c r="O118" s="2" t="str">
        <f aca="false">IF(OR(F118="",G118=""),"",IF(G118&lt;='RETRATO 2027'!$K$5,"CONCLUÍDA",IF(F118&lt;='RETRATO 2027'!$K$5,"EM ANDAMENTO","A INICIAR")))</f>
        <v>CONCLUÍDA</v>
      </c>
      <c r="R118" s="4" t="s">
        <v>2609</v>
      </c>
      <c r="S118" s="4" t="s">
        <v>182</v>
      </c>
      <c r="T118" s="4" t="s">
        <v>2610</v>
      </c>
      <c r="U118" s="4" t="s">
        <v>2299</v>
      </c>
      <c r="V118" s="2" t="n">
        <f aca="false">IF(R118="","",COUNTIF($C$5:$C$6004,R118))</f>
        <v>31</v>
      </c>
      <c r="W118" s="2" t="n">
        <f aca="false">IF(R118="","",COUNTIFS($C$5:$C$6004,R118,$O$5:$O$6004,"CONCLUÍDA"))</f>
        <v>0</v>
      </c>
      <c r="X118" s="2" t="n">
        <f aca="false">IF(R118="","",COUNTIFS($C$5:$C$6004,R118,$O$5:$O$6004,"EM ANDAMENTO"))</f>
        <v>0</v>
      </c>
      <c r="Y118" s="2" t="str">
        <f aca="false">IF(R118="","",IF(COUNTIFS($C$5:$C$6004,R118,$O$5:$O$6004,"CONCLUÍDA",$N$5:$N$6004,"&gt;=-99")=0,"",_xlfn.MAXIFS($N$5:$N$6004,$C$5:$C$6004,R118,$O$5:$O$6004,"CONCLUÍDA")))</f>
        <v/>
      </c>
      <c r="Z118" s="2" t="str">
        <f aca="false">IF(R118="","",IF(COUNTIFS($C$5:$C$6004,R118,$O$5:$O$6004,"EM ANDAMENTO",$N$5:$N$6004,"&gt;=-99")=0,"",_xlfn.MAXIFS($N$5:$N$6004,$C$5:$C$6004,R118,$O$5:$O$6004,"EM ANDAMENTO")))</f>
        <v/>
      </c>
      <c r="AA118" s="2" t="str">
        <f aca="false"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 customFormat="false" ht="15" hidden="false" customHeight="false" outlineLevel="0" collapsed="false">
      <c r="B119" s="4" t="n">
        <v>13543294</v>
      </c>
      <c r="C119" s="4" t="s">
        <v>2315</v>
      </c>
      <c r="D119" s="4" t="s">
        <v>2309</v>
      </c>
      <c r="E119" s="4" t="s">
        <v>81</v>
      </c>
      <c r="F119" s="127" t="n">
        <v>45926</v>
      </c>
      <c r="G119" s="127" t="n">
        <v>45936</v>
      </c>
      <c r="H119" s="127" t="n">
        <v>46289</v>
      </c>
      <c r="I119" s="4" t="n">
        <v>100</v>
      </c>
      <c r="J119" s="4" t="n">
        <v>100</v>
      </c>
      <c r="K119" s="4" t="n">
        <v>100</v>
      </c>
      <c r="M119" s="2" t="str">
        <f aca="false">IF(C119="","",IFERROR(INDEX($S$5:$S$304,MATCH(C119,$R$5:$R$304,0))&amp;"","?"))</f>
        <v>15</v>
      </c>
      <c r="N119" s="2" t="str">
        <f aca="false">IF(E119="","",IF(ISNUMBER(SEARCH("SUBSOLO",E119)),IFERROR(-VALUE(LEFT(E119,FIND("º",SUBSTITUTE(E119,"°","º"))-1)),-1),IF(LEFT(E119,6)="TÉRREO",0,IFERROR(VALUE(LEFT(E119,FIND("º",SUBSTITUTE(E119,"°","º"))-1)),""))))</f>
        <v/>
      </c>
      <c r="O119" s="2" t="str">
        <f aca="false">IF(OR(F119="",G119=""),"",IF(G119&lt;='RETRATO 2027'!$K$5,"CONCLUÍDA",IF(F119&lt;='RETRATO 2027'!$K$5,"EM ANDAMENTO","A INICIAR")))</f>
        <v>CONCLUÍDA</v>
      </c>
      <c r="R119" s="4" t="s">
        <v>2611</v>
      </c>
      <c r="S119" s="4" t="s">
        <v>212</v>
      </c>
      <c r="T119" s="4" t="s">
        <v>2612</v>
      </c>
      <c r="U119" s="4" t="s">
        <v>2299</v>
      </c>
      <c r="V119" s="2" t="n">
        <f aca="false">IF(R119="","",COUNTIF($C$5:$C$6004,R119))</f>
        <v>3</v>
      </c>
      <c r="W119" s="2" t="n">
        <f aca="false">IF(R119="","",COUNTIFS($C$5:$C$6004,R119,$O$5:$O$6004,"CONCLUÍDA"))</f>
        <v>0</v>
      </c>
      <c r="X119" s="2" t="n">
        <f aca="false">IF(R119="","",COUNTIFS($C$5:$C$6004,R119,$O$5:$O$6004,"EM ANDAMENTO"))</f>
        <v>0</v>
      </c>
      <c r="Y119" s="2" t="str">
        <f aca="false">IF(R119="","",IF(COUNTIFS($C$5:$C$6004,R119,$O$5:$O$6004,"CONCLUÍDA",$N$5:$N$6004,"&gt;=-99")=0,"",_xlfn.MAXIFS($N$5:$N$6004,$C$5:$C$6004,R119,$O$5:$O$6004,"CONCLUÍDA")))</f>
        <v/>
      </c>
      <c r="Z119" s="2" t="str">
        <f aca="false">IF(R119="","",IF(COUNTIFS($C$5:$C$6004,R119,$O$5:$O$6004,"EM ANDAMENTO",$N$5:$N$6004,"&gt;=-99")=0,"",_xlfn.MAXIFS($N$5:$N$6004,$C$5:$C$6004,R119,$O$5:$O$6004,"EM ANDAMENTO")))</f>
        <v/>
      </c>
      <c r="AA119" s="2" t="str">
        <f aca="false"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 customFormat="false" ht="15" hidden="false" customHeight="false" outlineLevel="0" collapsed="false">
      <c r="B120" s="4" t="n">
        <v>13543297</v>
      </c>
      <c r="C120" s="4" t="s">
        <v>2315</v>
      </c>
      <c r="D120" s="4" t="s">
        <v>2312</v>
      </c>
      <c r="E120" s="4" t="s">
        <v>81</v>
      </c>
      <c r="F120" s="127" t="n">
        <v>45937</v>
      </c>
      <c r="G120" s="127" t="n">
        <v>45939</v>
      </c>
      <c r="H120" s="127" t="n">
        <v>46289</v>
      </c>
      <c r="I120" s="4" t="n">
        <v>100</v>
      </c>
      <c r="J120" s="4" t="n">
        <v>100</v>
      </c>
      <c r="K120" s="4" t="n">
        <v>100</v>
      </c>
      <c r="M120" s="2" t="str">
        <f aca="false">IF(C120="","",IFERROR(INDEX($S$5:$S$304,MATCH(C120,$R$5:$R$304,0))&amp;"","?"))</f>
        <v>15</v>
      </c>
      <c r="N120" s="2" t="str">
        <f aca="false">IF(E120="","",IF(ISNUMBER(SEARCH("SUBSOLO",E120)),IFERROR(-VALUE(LEFT(E120,FIND("º",SUBSTITUTE(E120,"°","º"))-1)),-1),IF(LEFT(E120,6)="TÉRREO",0,IFERROR(VALUE(LEFT(E120,FIND("º",SUBSTITUTE(E120,"°","º"))-1)),""))))</f>
        <v/>
      </c>
      <c r="O120" s="2" t="str">
        <f aca="false">IF(OR(F120="",G120=""),"",IF(G120&lt;='RETRATO 2027'!$K$5,"CONCLUÍDA",IF(F120&lt;='RETRATO 2027'!$K$5,"EM ANDAMENTO","A INICIAR")))</f>
        <v>CONCLUÍDA</v>
      </c>
      <c r="R120" s="4" t="s">
        <v>2613</v>
      </c>
      <c r="S120" s="4" t="s">
        <v>212</v>
      </c>
      <c r="T120" s="4" t="s">
        <v>2614</v>
      </c>
      <c r="U120" s="4" t="s">
        <v>2299</v>
      </c>
      <c r="V120" s="2" t="n">
        <f aca="false">IF(R120="","",COUNTIF($C$5:$C$6004,R120))</f>
        <v>1</v>
      </c>
      <c r="W120" s="2" t="n">
        <f aca="false">IF(R120="","",COUNTIFS($C$5:$C$6004,R120,$O$5:$O$6004,"CONCLUÍDA"))</f>
        <v>0</v>
      </c>
      <c r="X120" s="2" t="n">
        <f aca="false">IF(R120="","",COUNTIFS($C$5:$C$6004,R120,$O$5:$O$6004,"EM ANDAMENTO"))</f>
        <v>0</v>
      </c>
      <c r="Y120" s="2" t="str">
        <f aca="false">IF(R120="","",IF(COUNTIFS($C$5:$C$6004,R120,$O$5:$O$6004,"CONCLUÍDA",$N$5:$N$6004,"&gt;=-99")=0,"",_xlfn.MAXIFS($N$5:$N$6004,$C$5:$C$6004,R120,$O$5:$O$6004,"CONCLUÍDA")))</f>
        <v/>
      </c>
      <c r="Z120" s="2" t="str">
        <f aca="false">IF(R120="","",IF(COUNTIFS($C$5:$C$6004,R120,$O$5:$O$6004,"EM ANDAMENTO",$N$5:$N$6004,"&gt;=-99")=0,"",_xlfn.MAXIFS($N$5:$N$6004,$C$5:$C$6004,R120,$O$5:$O$6004,"EM ANDAMENTO")))</f>
        <v/>
      </c>
      <c r="AA120" s="2" t="str">
        <f aca="false"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 customFormat="false" ht="15" hidden="false" customHeight="false" outlineLevel="0" collapsed="false">
      <c r="B121" s="4" t="n">
        <v>13543298</v>
      </c>
      <c r="C121" s="4" t="s">
        <v>2315</v>
      </c>
      <c r="D121" s="4" t="s">
        <v>2314</v>
      </c>
      <c r="E121" s="4" t="s">
        <v>81</v>
      </c>
      <c r="F121" s="127" t="n">
        <v>45940</v>
      </c>
      <c r="G121" s="127" t="n">
        <v>45940</v>
      </c>
      <c r="H121" s="127" t="n">
        <v>46289</v>
      </c>
      <c r="I121" s="4" t="n">
        <v>100</v>
      </c>
      <c r="J121" s="4" t="n">
        <v>100</v>
      </c>
      <c r="K121" s="4" t="n">
        <v>100</v>
      </c>
      <c r="M121" s="2" t="str">
        <f aca="false">IF(C121="","",IFERROR(INDEX($S$5:$S$304,MATCH(C121,$R$5:$R$304,0))&amp;"","?"))</f>
        <v>15</v>
      </c>
      <c r="N121" s="2" t="str">
        <f aca="false">IF(E121="","",IF(ISNUMBER(SEARCH("SUBSOLO",E121)),IFERROR(-VALUE(LEFT(E121,FIND("º",SUBSTITUTE(E121,"°","º"))-1)),-1),IF(LEFT(E121,6)="TÉRREO",0,IFERROR(VALUE(LEFT(E121,FIND("º",SUBSTITUTE(E121,"°","º"))-1)),""))))</f>
        <v/>
      </c>
      <c r="O121" s="2" t="str">
        <f aca="false">IF(OR(F121="",G121=""),"",IF(G121&lt;='RETRATO 2027'!$K$5,"CONCLUÍDA",IF(F121&lt;='RETRATO 2027'!$K$5,"EM ANDAMENTO","A INICIAR")))</f>
        <v>CONCLUÍDA</v>
      </c>
      <c r="R121" s="4" t="s">
        <v>2615</v>
      </c>
      <c r="S121" s="4" t="s">
        <v>230</v>
      </c>
      <c r="T121" s="4" t="s">
        <v>2616</v>
      </c>
      <c r="U121" s="4" t="s">
        <v>2299</v>
      </c>
      <c r="V121" s="2" t="n">
        <f aca="false">IF(R121="","",COUNTIF($C$5:$C$6004,R121))</f>
        <v>41</v>
      </c>
      <c r="W121" s="2" t="n">
        <f aca="false">IF(R121="","",COUNTIFS($C$5:$C$6004,R121,$O$5:$O$6004,"CONCLUÍDA"))</f>
        <v>0</v>
      </c>
      <c r="X121" s="2" t="n">
        <f aca="false">IF(R121="","",COUNTIFS($C$5:$C$6004,R121,$O$5:$O$6004,"EM ANDAMENTO"))</f>
        <v>0</v>
      </c>
      <c r="Y121" s="2" t="str">
        <f aca="false">IF(R121="","",IF(COUNTIFS($C$5:$C$6004,R121,$O$5:$O$6004,"CONCLUÍDA",$N$5:$N$6004,"&gt;=-99")=0,"",_xlfn.MAXIFS($N$5:$N$6004,$C$5:$C$6004,R121,$O$5:$O$6004,"CONCLUÍDA")))</f>
        <v/>
      </c>
      <c r="Z121" s="2" t="str">
        <f aca="false">IF(R121="","",IF(COUNTIFS($C$5:$C$6004,R121,$O$5:$O$6004,"EM ANDAMENTO",$N$5:$N$6004,"&gt;=-99")=0,"",_xlfn.MAXIFS($N$5:$N$6004,$C$5:$C$6004,R121,$O$5:$O$6004,"EM ANDAMENTO")))</f>
        <v/>
      </c>
      <c r="AA121" s="2" t="str">
        <f aca="false"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 customFormat="false" ht="15" hidden="false" customHeight="false" outlineLevel="0" collapsed="false">
      <c r="B122" s="4" t="n">
        <v>13543299</v>
      </c>
      <c r="C122" s="4" t="s">
        <v>2315</v>
      </c>
      <c r="D122" s="4" t="s">
        <v>2317</v>
      </c>
      <c r="E122" s="4" t="s">
        <v>81</v>
      </c>
      <c r="F122" s="127" t="n">
        <v>45943</v>
      </c>
      <c r="G122" s="127" t="n">
        <v>45943</v>
      </c>
      <c r="H122" s="127" t="n">
        <v>46289</v>
      </c>
      <c r="I122" s="4" t="n">
        <v>100</v>
      </c>
      <c r="J122" s="4" t="n">
        <v>100</v>
      </c>
      <c r="K122" s="4" t="n">
        <v>100</v>
      </c>
      <c r="M122" s="2" t="str">
        <f aca="false">IF(C122="","",IFERROR(INDEX($S$5:$S$304,MATCH(C122,$R$5:$R$304,0))&amp;"","?"))</f>
        <v>15</v>
      </c>
      <c r="N122" s="2" t="str">
        <f aca="false">IF(E122="","",IF(ISNUMBER(SEARCH("SUBSOLO",E122)),IFERROR(-VALUE(LEFT(E122,FIND("º",SUBSTITUTE(E122,"°","º"))-1)),-1),IF(LEFT(E122,6)="TÉRREO",0,IFERROR(VALUE(LEFT(E122,FIND("º",SUBSTITUTE(E122,"°","º"))-1)),""))))</f>
        <v/>
      </c>
      <c r="O122" s="2" t="str">
        <f aca="false">IF(OR(F122="",G122=""),"",IF(G122&lt;='RETRATO 2027'!$K$5,"CONCLUÍDA",IF(F122&lt;='RETRATO 2027'!$K$5,"EM ANDAMENTO","A INICIAR")))</f>
        <v>CONCLUÍDA</v>
      </c>
      <c r="R122" s="4" t="s">
        <v>2617</v>
      </c>
      <c r="S122" s="4" t="s">
        <v>212</v>
      </c>
      <c r="T122" s="4" t="s">
        <v>2618</v>
      </c>
      <c r="U122" s="4" t="s">
        <v>2299</v>
      </c>
      <c r="V122" s="2" t="n">
        <f aca="false">IF(R122="","",COUNTIF($C$5:$C$6004,R122))</f>
        <v>1</v>
      </c>
      <c r="W122" s="2" t="n">
        <f aca="false">IF(R122="","",COUNTIFS($C$5:$C$6004,R122,$O$5:$O$6004,"CONCLUÍDA"))</f>
        <v>0</v>
      </c>
      <c r="X122" s="2" t="n">
        <f aca="false">IF(R122="","",COUNTIFS($C$5:$C$6004,R122,$O$5:$O$6004,"EM ANDAMENTO"))</f>
        <v>0</v>
      </c>
      <c r="Y122" s="2" t="str">
        <f aca="false">IF(R122="","",IF(COUNTIFS($C$5:$C$6004,R122,$O$5:$O$6004,"CONCLUÍDA",$N$5:$N$6004,"&gt;=-99")=0,"",_xlfn.MAXIFS($N$5:$N$6004,$C$5:$C$6004,R122,$O$5:$O$6004,"CONCLUÍDA")))</f>
        <v/>
      </c>
      <c r="Z122" s="2" t="str">
        <f aca="false">IF(R122="","",IF(COUNTIFS($C$5:$C$6004,R122,$O$5:$O$6004,"EM ANDAMENTO",$N$5:$N$6004,"&gt;=-99")=0,"",_xlfn.MAXIFS($N$5:$N$6004,$C$5:$C$6004,R122,$O$5:$O$6004,"EM ANDAMENTO")))</f>
        <v/>
      </c>
      <c r="AA122" s="2" t="str">
        <f aca="false"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 customFormat="false" ht="15" hidden="false" customHeight="false" outlineLevel="0" collapsed="false">
      <c r="B123" s="4" t="n">
        <v>33143599</v>
      </c>
      <c r="C123" s="4" t="s">
        <v>2318</v>
      </c>
      <c r="D123" s="4" t="s">
        <v>463</v>
      </c>
      <c r="E123" s="4" t="s">
        <v>81</v>
      </c>
      <c r="F123" s="127" t="n">
        <v>45936</v>
      </c>
      <c r="G123" s="127" t="n">
        <v>45947</v>
      </c>
      <c r="H123" s="127" t="n">
        <v>46289</v>
      </c>
      <c r="I123" s="4" t="n">
        <v>100</v>
      </c>
      <c r="J123" s="4" t="n">
        <v>100</v>
      </c>
      <c r="K123" s="4" t="n">
        <v>100</v>
      </c>
      <c r="M123" s="2" t="str">
        <f aca="false">IF(C123="","",IFERROR(INDEX($S$5:$S$304,MATCH(C123,$R$5:$R$304,0))&amp;"","?"))</f>
        <v>15</v>
      </c>
      <c r="N123" s="2" t="str">
        <f aca="false">IF(E123="","",IF(ISNUMBER(SEARCH("SUBSOLO",E123)),IFERROR(-VALUE(LEFT(E123,FIND("º",SUBSTITUTE(E123,"°","º"))-1)),-1),IF(LEFT(E123,6)="TÉRREO",0,IFERROR(VALUE(LEFT(E123,FIND("º",SUBSTITUTE(E123,"°","º"))-1)),""))))</f>
        <v/>
      </c>
      <c r="O123" s="2" t="str">
        <f aca="false">IF(OR(F123="",G123=""),"",IF(G123&lt;='RETRATO 2027'!$K$5,"CONCLUÍDA",IF(F123&lt;='RETRATO 2027'!$K$5,"EM ANDAMENTO","A INICIAR")))</f>
        <v>CONCLUÍDA</v>
      </c>
      <c r="R123" s="4" t="s">
        <v>2619</v>
      </c>
      <c r="S123" s="4" t="s">
        <v>205</v>
      </c>
      <c r="T123" s="4" t="s">
        <v>2620</v>
      </c>
      <c r="U123" s="4" t="s">
        <v>2305</v>
      </c>
      <c r="V123" s="2" t="n">
        <f aca="false">IF(R123="","",COUNTIF($C$5:$C$6004,R123))</f>
        <v>5</v>
      </c>
      <c r="W123" s="2" t="n">
        <f aca="false">IF(R123="","",COUNTIFS($C$5:$C$6004,R123,$O$5:$O$6004,"CONCLUÍDA"))</f>
        <v>0</v>
      </c>
      <c r="X123" s="2" t="n">
        <f aca="false">IF(R123="","",COUNTIFS($C$5:$C$6004,R123,$O$5:$O$6004,"EM ANDAMENTO"))</f>
        <v>0</v>
      </c>
      <c r="Y123" s="2" t="str">
        <f aca="false">IF(R123="","",IF(COUNTIFS($C$5:$C$6004,R123,$O$5:$O$6004,"CONCLUÍDA",$N$5:$N$6004,"&gt;=-99")=0,"",_xlfn.MAXIFS($N$5:$N$6004,$C$5:$C$6004,R123,$O$5:$O$6004,"CONCLUÍDA")))</f>
        <v/>
      </c>
      <c r="Z123" s="2" t="str">
        <f aca="false">IF(R123="","",IF(COUNTIFS($C$5:$C$6004,R123,$O$5:$O$6004,"EM ANDAMENTO",$N$5:$N$6004,"&gt;=-99")=0,"",_xlfn.MAXIFS($N$5:$N$6004,$C$5:$C$6004,R123,$O$5:$O$6004,"EM ANDAMENTO")))</f>
        <v/>
      </c>
      <c r="AA123" s="2" t="str">
        <f aca="false"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 customFormat="false" ht="15" hidden="false" customHeight="false" outlineLevel="0" collapsed="false">
      <c r="B124" s="4" t="n">
        <v>13543429</v>
      </c>
      <c r="C124" s="4" t="s">
        <v>2318</v>
      </c>
      <c r="D124" s="4" t="s">
        <v>2306</v>
      </c>
      <c r="E124" s="4" t="s">
        <v>81</v>
      </c>
      <c r="F124" s="127" t="n">
        <v>45936</v>
      </c>
      <c r="G124" s="127" t="n">
        <v>45938</v>
      </c>
      <c r="H124" s="127" t="n">
        <v>46289</v>
      </c>
      <c r="I124" s="4" t="n">
        <v>100</v>
      </c>
      <c r="J124" s="4" t="n">
        <v>100</v>
      </c>
      <c r="K124" s="4" t="n">
        <v>100</v>
      </c>
      <c r="M124" s="2" t="str">
        <f aca="false">IF(C124="","",IFERROR(INDEX($S$5:$S$304,MATCH(C124,$R$5:$R$304,0))&amp;"","?"))</f>
        <v>15</v>
      </c>
      <c r="N124" s="2" t="str">
        <f aca="false">IF(E124="","",IF(ISNUMBER(SEARCH("SUBSOLO",E124)),IFERROR(-VALUE(LEFT(E124,FIND("º",SUBSTITUTE(E124,"°","º"))-1)),-1),IF(LEFT(E124,6)="TÉRREO",0,IFERROR(VALUE(LEFT(E124,FIND("º",SUBSTITUTE(E124,"°","º"))-1)),""))))</f>
        <v/>
      </c>
      <c r="O124" s="2" t="str">
        <f aca="false">IF(OR(F124="",G124=""),"",IF(G124&lt;='RETRATO 2027'!$K$5,"CONCLUÍDA",IF(F124&lt;='RETRATO 2027'!$K$5,"EM ANDAMENTO","A INICIAR")))</f>
        <v>CONCLUÍDA</v>
      </c>
      <c r="R124" s="4" t="s">
        <v>2621</v>
      </c>
      <c r="S124" s="4" t="s">
        <v>212</v>
      </c>
      <c r="T124" s="4" t="s">
        <v>2622</v>
      </c>
      <c r="U124" s="4" t="s">
        <v>2299</v>
      </c>
      <c r="V124" s="2" t="n">
        <f aca="false">IF(R124="","",COUNTIF($C$5:$C$6004,R124))</f>
        <v>1</v>
      </c>
      <c r="W124" s="2" t="n">
        <f aca="false">IF(R124="","",COUNTIFS($C$5:$C$6004,R124,$O$5:$O$6004,"CONCLUÍDA"))</f>
        <v>0</v>
      </c>
      <c r="X124" s="2" t="n">
        <f aca="false">IF(R124="","",COUNTIFS($C$5:$C$6004,R124,$O$5:$O$6004,"EM ANDAMENTO"))</f>
        <v>0</v>
      </c>
      <c r="Y124" s="2" t="str">
        <f aca="false">IF(R124="","",IF(COUNTIFS($C$5:$C$6004,R124,$O$5:$O$6004,"CONCLUÍDA",$N$5:$N$6004,"&gt;=-99")=0,"",_xlfn.MAXIFS($N$5:$N$6004,$C$5:$C$6004,R124,$O$5:$O$6004,"CONCLUÍDA")))</f>
        <v/>
      </c>
      <c r="Z124" s="2" t="str">
        <f aca="false">IF(R124="","",IF(COUNTIFS($C$5:$C$6004,R124,$O$5:$O$6004,"EM ANDAMENTO",$N$5:$N$6004,"&gt;=-99")=0,"",_xlfn.MAXIFS($N$5:$N$6004,$C$5:$C$6004,R124,$O$5:$O$6004,"EM ANDAMENTO")))</f>
        <v/>
      </c>
      <c r="AA124" s="2" t="str">
        <f aca="false"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 customFormat="false" ht="15" hidden="false" customHeight="false" outlineLevel="0" collapsed="false">
      <c r="B125" s="4" t="n">
        <v>13543430</v>
      </c>
      <c r="C125" s="4" t="s">
        <v>2318</v>
      </c>
      <c r="D125" s="4" t="s">
        <v>2309</v>
      </c>
      <c r="E125" s="4" t="s">
        <v>81</v>
      </c>
      <c r="F125" s="127" t="n">
        <v>45939</v>
      </c>
      <c r="G125" s="127" t="n">
        <v>45944</v>
      </c>
      <c r="H125" s="127" t="n">
        <v>46289</v>
      </c>
      <c r="I125" s="4" t="n">
        <v>100</v>
      </c>
      <c r="J125" s="4" t="n">
        <v>100</v>
      </c>
      <c r="K125" s="4" t="n">
        <v>100</v>
      </c>
      <c r="M125" s="2" t="str">
        <f aca="false">IF(C125="","",IFERROR(INDEX($S$5:$S$304,MATCH(C125,$R$5:$R$304,0))&amp;"","?"))</f>
        <v>15</v>
      </c>
      <c r="N125" s="2" t="str">
        <f aca="false">IF(E125="","",IF(ISNUMBER(SEARCH("SUBSOLO",E125)),IFERROR(-VALUE(LEFT(E125,FIND("º",SUBSTITUTE(E125,"°","º"))-1)),-1),IF(LEFT(E125,6)="TÉRREO",0,IFERROR(VALUE(LEFT(E125,FIND("º",SUBSTITUTE(E125,"°","º"))-1)),""))))</f>
        <v/>
      </c>
      <c r="O125" s="2" t="str">
        <f aca="false">IF(OR(F125="",G125=""),"",IF(G125&lt;='RETRATO 2027'!$K$5,"CONCLUÍDA",IF(F125&lt;='RETRATO 2027'!$K$5,"EM ANDAMENTO","A INICIAR")))</f>
        <v>CONCLUÍDA</v>
      </c>
      <c r="R125" s="4" t="s">
        <v>2623</v>
      </c>
      <c r="S125" s="4" t="s">
        <v>223</v>
      </c>
      <c r="T125" s="4" t="s">
        <v>2624</v>
      </c>
      <c r="U125" s="4" t="s">
        <v>2299</v>
      </c>
      <c r="V125" s="2" t="n">
        <f aca="false">IF(R125="","",COUNTIF($C$5:$C$6004,R125))</f>
        <v>44</v>
      </c>
      <c r="W125" s="2" t="n">
        <f aca="false">IF(R125="","",COUNTIFS($C$5:$C$6004,R125,$O$5:$O$6004,"CONCLUÍDA"))</f>
        <v>0</v>
      </c>
      <c r="X125" s="2" t="n">
        <f aca="false">IF(R125="","",COUNTIFS($C$5:$C$6004,R125,$O$5:$O$6004,"EM ANDAMENTO"))</f>
        <v>0</v>
      </c>
      <c r="Y125" s="2" t="str">
        <f aca="false">IF(R125="","",IF(COUNTIFS($C$5:$C$6004,R125,$O$5:$O$6004,"CONCLUÍDA",$N$5:$N$6004,"&gt;=-99")=0,"",_xlfn.MAXIFS($N$5:$N$6004,$C$5:$C$6004,R125,$O$5:$O$6004,"CONCLUÍDA")))</f>
        <v/>
      </c>
      <c r="Z125" s="2" t="str">
        <f aca="false">IF(R125="","",IF(COUNTIFS($C$5:$C$6004,R125,$O$5:$O$6004,"EM ANDAMENTO",$N$5:$N$6004,"&gt;=-99")=0,"",_xlfn.MAXIFS($N$5:$N$6004,$C$5:$C$6004,R125,$O$5:$O$6004,"EM ANDAMENTO")))</f>
        <v/>
      </c>
      <c r="AA125" s="2" t="str">
        <f aca="false"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 customFormat="false" ht="15" hidden="false" customHeight="false" outlineLevel="0" collapsed="false">
      <c r="B126" s="4" t="n">
        <v>13543451</v>
      </c>
      <c r="C126" s="4" t="s">
        <v>2318</v>
      </c>
      <c r="D126" s="4" t="s">
        <v>2312</v>
      </c>
      <c r="E126" s="4" t="s">
        <v>81</v>
      </c>
      <c r="F126" s="127" t="n">
        <v>45943</v>
      </c>
      <c r="G126" s="127" t="n">
        <v>45945</v>
      </c>
      <c r="H126" s="127" t="n">
        <v>46289</v>
      </c>
      <c r="I126" s="4" t="n">
        <v>100</v>
      </c>
      <c r="J126" s="4" t="n">
        <v>100</v>
      </c>
      <c r="K126" s="4" t="n">
        <v>100</v>
      </c>
      <c r="M126" s="2" t="str">
        <f aca="false">IF(C126="","",IFERROR(INDEX($S$5:$S$304,MATCH(C126,$R$5:$R$304,0))&amp;"","?"))</f>
        <v>15</v>
      </c>
      <c r="N126" s="2" t="str">
        <f aca="false">IF(E126="","",IF(ISNUMBER(SEARCH("SUBSOLO",E126)),IFERROR(-VALUE(LEFT(E126,FIND("º",SUBSTITUTE(E126,"°","º"))-1)),-1),IF(LEFT(E126,6)="TÉRREO",0,IFERROR(VALUE(LEFT(E126,FIND("º",SUBSTITUTE(E126,"°","º"))-1)),""))))</f>
        <v/>
      </c>
      <c r="O126" s="2" t="str">
        <f aca="false">IF(OR(F126="",G126=""),"",IF(G126&lt;='RETRATO 2027'!$K$5,"CONCLUÍDA",IF(F126&lt;='RETRATO 2027'!$K$5,"EM ANDAMENTO","A INICIAR")))</f>
        <v>CONCLUÍDA</v>
      </c>
      <c r="R126" s="4" t="s">
        <v>2625</v>
      </c>
      <c r="S126" s="4" t="s">
        <v>212</v>
      </c>
      <c r="T126" s="4" t="s">
        <v>2626</v>
      </c>
      <c r="U126" s="4" t="s">
        <v>2299</v>
      </c>
      <c r="V126" s="2" t="n">
        <f aca="false">IF(R126="","",COUNTIF($C$5:$C$6004,R126))</f>
        <v>26</v>
      </c>
      <c r="W126" s="2" t="n">
        <f aca="false">IF(R126="","",COUNTIFS($C$5:$C$6004,R126,$O$5:$O$6004,"CONCLUÍDA"))</f>
        <v>0</v>
      </c>
      <c r="X126" s="2" t="n">
        <f aca="false">IF(R126="","",COUNTIFS($C$5:$C$6004,R126,$O$5:$O$6004,"EM ANDAMENTO"))</f>
        <v>0</v>
      </c>
      <c r="Y126" s="2" t="str">
        <f aca="false">IF(R126="","",IF(COUNTIFS($C$5:$C$6004,R126,$O$5:$O$6004,"CONCLUÍDA",$N$5:$N$6004,"&gt;=-99")=0,"",_xlfn.MAXIFS($N$5:$N$6004,$C$5:$C$6004,R126,$O$5:$O$6004,"CONCLUÍDA")))</f>
        <v/>
      </c>
      <c r="Z126" s="2" t="str">
        <f aca="false">IF(R126="","",IF(COUNTIFS($C$5:$C$6004,R126,$O$5:$O$6004,"EM ANDAMENTO",$N$5:$N$6004,"&gt;=-99")=0,"",_xlfn.MAXIFS($N$5:$N$6004,$C$5:$C$6004,R126,$O$5:$O$6004,"EM ANDAMENTO")))</f>
        <v/>
      </c>
      <c r="AA126" s="2" t="str">
        <f aca="false"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 customFormat="false" ht="15" hidden="false" customHeight="false" outlineLevel="0" collapsed="false">
      <c r="B127" s="4" t="n">
        <v>13543452</v>
      </c>
      <c r="C127" s="4" t="s">
        <v>2318</v>
      </c>
      <c r="D127" s="4" t="s">
        <v>2314</v>
      </c>
      <c r="E127" s="4" t="s">
        <v>81</v>
      </c>
      <c r="F127" s="127" t="n">
        <v>45946</v>
      </c>
      <c r="G127" s="127" t="n">
        <v>45946</v>
      </c>
      <c r="H127" s="127" t="n">
        <v>46289</v>
      </c>
      <c r="I127" s="4" t="n">
        <v>100</v>
      </c>
      <c r="J127" s="4" t="n">
        <v>100</v>
      </c>
      <c r="K127" s="4" t="n">
        <v>100</v>
      </c>
      <c r="M127" s="2" t="str">
        <f aca="false">IF(C127="","",IFERROR(INDEX($S$5:$S$304,MATCH(C127,$R$5:$R$304,0))&amp;"","?"))</f>
        <v>15</v>
      </c>
      <c r="N127" s="2" t="str">
        <f aca="false">IF(E127="","",IF(ISNUMBER(SEARCH("SUBSOLO",E127)),IFERROR(-VALUE(LEFT(E127,FIND("º",SUBSTITUTE(E127,"°","º"))-1)),-1),IF(LEFT(E127,6)="TÉRREO",0,IFERROR(VALUE(LEFT(E127,FIND("º",SUBSTITUTE(E127,"°","º"))-1)),""))))</f>
        <v/>
      </c>
      <c r="O127" s="2" t="str">
        <f aca="false">IF(OR(F127="",G127=""),"",IF(G127&lt;='RETRATO 2027'!$K$5,"CONCLUÍDA",IF(F127&lt;='RETRATO 2027'!$K$5,"EM ANDAMENTO","A INICIAR")))</f>
        <v>CONCLUÍDA</v>
      </c>
      <c r="R127" s="4" t="s">
        <v>2627</v>
      </c>
      <c r="S127" s="4" t="s">
        <v>193</v>
      </c>
      <c r="T127" s="4" t="s">
        <v>2628</v>
      </c>
      <c r="U127" s="4" t="s">
        <v>2299</v>
      </c>
      <c r="V127" s="2" t="n">
        <f aca="false">IF(R127="","",COUNTIF($C$5:$C$6004,R127))</f>
        <v>1</v>
      </c>
      <c r="W127" s="2" t="n">
        <f aca="false">IF(R127="","",COUNTIFS($C$5:$C$6004,R127,$O$5:$O$6004,"CONCLUÍDA"))</f>
        <v>0</v>
      </c>
      <c r="X127" s="2" t="n">
        <f aca="false">IF(R127="","",COUNTIFS($C$5:$C$6004,R127,$O$5:$O$6004,"EM ANDAMENTO"))</f>
        <v>0</v>
      </c>
      <c r="Y127" s="2" t="str">
        <f aca="false">IF(R127="","",IF(COUNTIFS($C$5:$C$6004,R127,$O$5:$O$6004,"CONCLUÍDA",$N$5:$N$6004,"&gt;=-99")=0,"",_xlfn.MAXIFS($N$5:$N$6004,$C$5:$C$6004,R127,$O$5:$O$6004,"CONCLUÍDA")))</f>
        <v/>
      </c>
      <c r="Z127" s="2" t="str">
        <f aca="false">IF(R127="","",IF(COUNTIFS($C$5:$C$6004,R127,$O$5:$O$6004,"EM ANDAMENTO",$N$5:$N$6004,"&gt;=-99")=0,"",_xlfn.MAXIFS($N$5:$N$6004,$C$5:$C$6004,R127,$O$5:$O$6004,"EM ANDAMENTO")))</f>
        <v/>
      </c>
      <c r="AA127" s="2" t="str">
        <f aca="false"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 customFormat="false" ht="15" hidden="false" customHeight="false" outlineLevel="0" collapsed="false">
      <c r="B128" s="4" t="n">
        <v>13543453</v>
      </c>
      <c r="C128" s="4" t="s">
        <v>2318</v>
      </c>
      <c r="D128" s="4" t="s">
        <v>2317</v>
      </c>
      <c r="E128" s="4" t="s">
        <v>81</v>
      </c>
      <c r="F128" s="127" t="n">
        <v>45947</v>
      </c>
      <c r="G128" s="127" t="n">
        <v>45947</v>
      </c>
      <c r="H128" s="127" t="n">
        <v>46289</v>
      </c>
      <c r="I128" s="4" t="n">
        <v>100</v>
      </c>
      <c r="J128" s="4" t="n">
        <v>100</v>
      </c>
      <c r="K128" s="4" t="n">
        <v>100</v>
      </c>
      <c r="M128" s="2" t="str">
        <f aca="false">IF(C128="","",IFERROR(INDEX($S$5:$S$304,MATCH(C128,$R$5:$R$304,0))&amp;"","?"))</f>
        <v>15</v>
      </c>
      <c r="N128" s="2" t="str">
        <f aca="false">IF(E128="","",IF(ISNUMBER(SEARCH("SUBSOLO",E128)),IFERROR(-VALUE(LEFT(E128,FIND("º",SUBSTITUTE(E128,"°","º"))-1)),-1),IF(LEFT(E128,6)="TÉRREO",0,IFERROR(VALUE(LEFT(E128,FIND("º",SUBSTITUTE(E128,"°","º"))-1)),""))))</f>
        <v/>
      </c>
      <c r="O128" s="2" t="str">
        <f aca="false">IF(OR(F128="",G128=""),"",IF(G128&lt;='RETRATO 2027'!$K$5,"CONCLUÍDA",IF(F128&lt;='RETRATO 2027'!$K$5,"EM ANDAMENTO","A INICIAR")))</f>
        <v>CONCLUÍDA</v>
      </c>
      <c r="R128" s="4" t="s">
        <v>2629</v>
      </c>
      <c r="S128" s="4" t="s">
        <v>173</v>
      </c>
      <c r="T128" s="4" t="s">
        <v>2630</v>
      </c>
      <c r="U128" s="4" t="s">
        <v>2299</v>
      </c>
      <c r="V128" s="2" t="n">
        <f aca="false">IF(R128="","",COUNTIF($C$5:$C$6004,R128))</f>
        <v>49</v>
      </c>
      <c r="W128" s="2" t="n">
        <f aca="false">IF(R128="","",COUNTIFS($C$5:$C$6004,R128,$O$5:$O$6004,"CONCLUÍDA"))</f>
        <v>0</v>
      </c>
      <c r="X128" s="2" t="n">
        <f aca="false">IF(R128="","",COUNTIFS($C$5:$C$6004,R128,$O$5:$O$6004,"EM ANDAMENTO"))</f>
        <v>0</v>
      </c>
      <c r="Y128" s="2" t="str">
        <f aca="false">IF(R128="","",IF(COUNTIFS($C$5:$C$6004,R128,$O$5:$O$6004,"CONCLUÍDA",$N$5:$N$6004,"&gt;=-99")=0,"",_xlfn.MAXIFS($N$5:$N$6004,$C$5:$C$6004,R128,$O$5:$O$6004,"CONCLUÍDA")))</f>
        <v/>
      </c>
      <c r="Z128" s="2" t="str">
        <f aca="false">IF(R128="","",IF(COUNTIFS($C$5:$C$6004,R128,$O$5:$O$6004,"EM ANDAMENTO",$N$5:$N$6004,"&gt;=-99")=0,"",_xlfn.MAXIFS($N$5:$N$6004,$C$5:$C$6004,R128,$O$5:$O$6004,"EM ANDAMENTO")))</f>
        <v/>
      </c>
      <c r="AA128" s="2" t="str">
        <f aca="false"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 customFormat="false" ht="15" hidden="false" customHeight="false" outlineLevel="0" collapsed="false">
      <c r="B129" s="4" t="n">
        <v>33143640</v>
      </c>
      <c r="C129" s="4" t="s">
        <v>2320</v>
      </c>
      <c r="D129" s="4" t="s">
        <v>463</v>
      </c>
      <c r="E129" s="4" t="s">
        <v>81</v>
      </c>
      <c r="F129" s="127" t="n">
        <v>45943</v>
      </c>
      <c r="G129" s="127" t="n">
        <v>45957</v>
      </c>
      <c r="H129" s="127" t="n">
        <v>46289</v>
      </c>
      <c r="I129" s="4" t="n">
        <v>100</v>
      </c>
      <c r="J129" s="4" t="n">
        <v>100</v>
      </c>
      <c r="K129" s="4" t="n">
        <v>100</v>
      </c>
      <c r="M129" s="2" t="str">
        <f aca="false">IF(C129="","",IFERROR(INDEX($S$5:$S$304,MATCH(C129,$R$5:$R$304,0))&amp;"","?"))</f>
        <v>15</v>
      </c>
      <c r="N129" s="2" t="str">
        <f aca="false">IF(E129="","",IF(ISNUMBER(SEARCH("SUBSOLO",E129)),IFERROR(-VALUE(LEFT(E129,FIND("º",SUBSTITUTE(E129,"°","º"))-1)),-1),IF(LEFT(E129,6)="TÉRREO",0,IFERROR(VALUE(LEFT(E129,FIND("º",SUBSTITUTE(E129,"°","º"))-1)),""))))</f>
        <v/>
      </c>
      <c r="O129" s="2" t="str">
        <f aca="false">IF(OR(F129="",G129=""),"",IF(G129&lt;='RETRATO 2027'!$K$5,"CONCLUÍDA",IF(F129&lt;='RETRATO 2027'!$K$5,"EM ANDAMENTO","A INICIAR")))</f>
        <v>CONCLUÍDA</v>
      </c>
      <c r="R129" s="4" t="s">
        <v>2631</v>
      </c>
      <c r="S129" s="4" t="s">
        <v>223</v>
      </c>
      <c r="T129" s="4" t="s">
        <v>2632</v>
      </c>
      <c r="U129" s="4" t="s">
        <v>2305</v>
      </c>
      <c r="V129" s="2" t="n">
        <f aca="false">IF(R129="","",COUNTIF($C$5:$C$6004,R129))</f>
        <v>5</v>
      </c>
      <c r="W129" s="2" t="n">
        <f aca="false">IF(R129="","",COUNTIFS($C$5:$C$6004,R129,$O$5:$O$6004,"CONCLUÍDA"))</f>
        <v>0</v>
      </c>
      <c r="X129" s="2" t="n">
        <f aca="false">IF(R129="","",COUNTIFS($C$5:$C$6004,R129,$O$5:$O$6004,"EM ANDAMENTO"))</f>
        <v>0</v>
      </c>
      <c r="Y129" s="2" t="str">
        <f aca="false">IF(R129="","",IF(COUNTIFS($C$5:$C$6004,R129,$O$5:$O$6004,"CONCLUÍDA",$N$5:$N$6004,"&gt;=-99")=0,"",_xlfn.MAXIFS($N$5:$N$6004,$C$5:$C$6004,R129,$O$5:$O$6004,"CONCLUÍDA")))</f>
        <v/>
      </c>
      <c r="Z129" s="2" t="str">
        <f aca="false">IF(R129="","",IF(COUNTIFS($C$5:$C$6004,R129,$O$5:$O$6004,"EM ANDAMENTO",$N$5:$N$6004,"&gt;=-99")=0,"",_xlfn.MAXIFS($N$5:$N$6004,$C$5:$C$6004,R129,$O$5:$O$6004,"EM ANDAMENTO")))</f>
        <v/>
      </c>
      <c r="AA129" s="2" t="str">
        <f aca="false"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 customFormat="false" ht="15" hidden="false" customHeight="false" outlineLevel="0" collapsed="false">
      <c r="B130" s="4" t="n">
        <v>13543499</v>
      </c>
      <c r="C130" s="4" t="s">
        <v>2320</v>
      </c>
      <c r="D130" s="4" t="s">
        <v>2306</v>
      </c>
      <c r="E130" s="4" t="s">
        <v>81</v>
      </c>
      <c r="F130" s="127" t="n">
        <v>45943</v>
      </c>
      <c r="G130" s="127" t="n">
        <v>45946</v>
      </c>
      <c r="H130" s="127" t="n">
        <v>46289</v>
      </c>
      <c r="I130" s="4" t="n">
        <v>100</v>
      </c>
      <c r="J130" s="4" t="n">
        <v>100</v>
      </c>
      <c r="K130" s="4" t="n">
        <v>100</v>
      </c>
      <c r="M130" s="2" t="str">
        <f aca="false">IF(C130="","",IFERROR(INDEX($S$5:$S$304,MATCH(C130,$R$5:$R$304,0))&amp;"","?"))</f>
        <v>15</v>
      </c>
      <c r="N130" s="2" t="str">
        <f aca="false">IF(E130="","",IF(ISNUMBER(SEARCH("SUBSOLO",E130)),IFERROR(-VALUE(LEFT(E130,FIND("º",SUBSTITUTE(E130,"°","º"))-1)),-1),IF(LEFT(E130,6)="TÉRREO",0,IFERROR(VALUE(LEFT(E130,FIND("º",SUBSTITUTE(E130,"°","º"))-1)),""))))</f>
        <v/>
      </c>
      <c r="O130" s="2" t="str">
        <f aca="false">IF(OR(F130="",G130=""),"",IF(G130&lt;='RETRATO 2027'!$K$5,"CONCLUÍDA",IF(F130&lt;='RETRATO 2027'!$K$5,"EM ANDAMENTO","A INICIAR")))</f>
        <v>CONCLUÍDA</v>
      </c>
      <c r="R130" s="4" t="s">
        <v>2633</v>
      </c>
      <c r="S130" s="4" t="s">
        <v>223</v>
      </c>
      <c r="T130" s="4" t="s">
        <v>2634</v>
      </c>
      <c r="U130" s="4" t="s">
        <v>2305</v>
      </c>
      <c r="V130" s="2" t="n">
        <f aca="false">IF(R130="","",COUNTIF($C$5:$C$6004,R130))</f>
        <v>5</v>
      </c>
      <c r="W130" s="2" t="n">
        <f aca="false">IF(R130="","",COUNTIFS($C$5:$C$6004,R130,$O$5:$O$6004,"CONCLUÍDA"))</f>
        <v>0</v>
      </c>
      <c r="X130" s="2" t="n">
        <f aca="false">IF(R130="","",COUNTIFS($C$5:$C$6004,R130,$O$5:$O$6004,"EM ANDAMENTO"))</f>
        <v>0</v>
      </c>
      <c r="Y130" s="2" t="str">
        <f aca="false">IF(R130="","",IF(COUNTIFS($C$5:$C$6004,R130,$O$5:$O$6004,"CONCLUÍDA",$N$5:$N$6004,"&gt;=-99")=0,"",_xlfn.MAXIFS($N$5:$N$6004,$C$5:$C$6004,R130,$O$5:$O$6004,"CONCLUÍDA")))</f>
        <v/>
      </c>
      <c r="Z130" s="2" t="str">
        <f aca="false">IF(R130="","",IF(COUNTIFS($C$5:$C$6004,R130,$O$5:$O$6004,"EM ANDAMENTO",$N$5:$N$6004,"&gt;=-99")=0,"",_xlfn.MAXIFS($N$5:$N$6004,$C$5:$C$6004,R130,$O$5:$O$6004,"EM ANDAMENTO")))</f>
        <v/>
      </c>
      <c r="AA130" s="2" t="str">
        <f aca="false"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 customFormat="false" ht="15" hidden="false" customHeight="false" outlineLevel="0" collapsed="false">
      <c r="B131" s="4" t="n">
        <v>13543500</v>
      </c>
      <c r="C131" s="4" t="s">
        <v>2320</v>
      </c>
      <c r="D131" s="4" t="s">
        <v>2309</v>
      </c>
      <c r="E131" s="4" t="s">
        <v>81</v>
      </c>
      <c r="F131" s="127" t="n">
        <v>45950</v>
      </c>
      <c r="G131" s="127" t="n">
        <v>45953</v>
      </c>
      <c r="H131" s="127" t="n">
        <v>46289</v>
      </c>
      <c r="I131" s="4" t="n">
        <v>100</v>
      </c>
      <c r="J131" s="4" t="n">
        <v>100</v>
      </c>
      <c r="K131" s="4" t="n">
        <v>100</v>
      </c>
      <c r="M131" s="2" t="str">
        <f aca="false">IF(C131="","",IFERROR(INDEX($S$5:$S$304,MATCH(C131,$R$5:$R$304,0))&amp;"","?"))</f>
        <v>15</v>
      </c>
      <c r="N131" s="2" t="str">
        <f aca="false">IF(E131="","",IF(ISNUMBER(SEARCH("SUBSOLO",E131)),IFERROR(-VALUE(LEFT(E131,FIND("º",SUBSTITUTE(E131,"°","º"))-1)),-1),IF(LEFT(E131,6)="TÉRREO",0,IFERROR(VALUE(LEFT(E131,FIND("º",SUBSTITUTE(E131,"°","º"))-1)),""))))</f>
        <v/>
      </c>
      <c r="O131" s="2" t="str">
        <f aca="false">IF(OR(F131="",G131=""),"",IF(G131&lt;='RETRATO 2027'!$K$5,"CONCLUÍDA",IF(F131&lt;='RETRATO 2027'!$K$5,"EM ANDAMENTO","A INICIAR")))</f>
        <v>CONCLUÍDA</v>
      </c>
      <c r="R131" s="4" t="s">
        <v>2635</v>
      </c>
      <c r="S131" s="4" t="s">
        <v>212</v>
      </c>
      <c r="T131" s="4" t="s">
        <v>2636</v>
      </c>
      <c r="U131" s="4" t="s">
        <v>2299</v>
      </c>
      <c r="V131" s="2" t="n">
        <f aca="false">IF(R131="","",COUNTIF($C$5:$C$6004,R131))</f>
        <v>1</v>
      </c>
      <c r="W131" s="2" t="n">
        <f aca="false">IF(R131="","",COUNTIFS($C$5:$C$6004,R131,$O$5:$O$6004,"CONCLUÍDA"))</f>
        <v>0</v>
      </c>
      <c r="X131" s="2" t="n">
        <f aca="false">IF(R131="","",COUNTIFS($C$5:$C$6004,R131,$O$5:$O$6004,"EM ANDAMENTO"))</f>
        <v>0</v>
      </c>
      <c r="Y131" s="2" t="str">
        <f aca="false">IF(R131="","",IF(COUNTIFS($C$5:$C$6004,R131,$O$5:$O$6004,"CONCLUÍDA",$N$5:$N$6004,"&gt;=-99")=0,"",_xlfn.MAXIFS($N$5:$N$6004,$C$5:$C$6004,R131,$O$5:$O$6004,"CONCLUÍDA")))</f>
        <v/>
      </c>
      <c r="Z131" s="2" t="str">
        <f aca="false">IF(R131="","",IF(COUNTIFS($C$5:$C$6004,R131,$O$5:$O$6004,"EM ANDAMENTO",$N$5:$N$6004,"&gt;=-99")=0,"",_xlfn.MAXIFS($N$5:$N$6004,$C$5:$C$6004,R131,$O$5:$O$6004,"EM ANDAMENTO")))</f>
        <v/>
      </c>
      <c r="AA131" s="2" t="str">
        <f aca="false"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 customFormat="false" ht="15" hidden="false" customHeight="false" outlineLevel="0" collapsed="false">
      <c r="B132" s="4" t="n">
        <v>13543501</v>
      </c>
      <c r="C132" s="4" t="s">
        <v>2320</v>
      </c>
      <c r="D132" s="4" t="s">
        <v>2312</v>
      </c>
      <c r="E132" s="4" t="s">
        <v>81</v>
      </c>
      <c r="F132" s="127" t="n">
        <v>45951</v>
      </c>
      <c r="G132" s="127" t="n">
        <v>45953</v>
      </c>
      <c r="H132" s="127" t="n">
        <v>46289</v>
      </c>
      <c r="I132" s="4" t="n">
        <v>100</v>
      </c>
      <c r="J132" s="4" t="n">
        <v>100</v>
      </c>
      <c r="K132" s="4" t="n">
        <v>100</v>
      </c>
      <c r="M132" s="2" t="str">
        <f aca="false">IF(C132="","",IFERROR(INDEX($S$5:$S$304,MATCH(C132,$R$5:$R$304,0))&amp;"","?"))</f>
        <v>15</v>
      </c>
      <c r="N132" s="2" t="str">
        <f aca="false">IF(E132="","",IF(ISNUMBER(SEARCH("SUBSOLO",E132)),IFERROR(-VALUE(LEFT(E132,FIND("º",SUBSTITUTE(E132,"°","º"))-1)),-1),IF(LEFT(E132,6)="TÉRREO",0,IFERROR(VALUE(LEFT(E132,FIND("º",SUBSTITUTE(E132,"°","º"))-1)),""))))</f>
        <v/>
      </c>
      <c r="O132" s="2" t="str">
        <f aca="false">IF(OR(F132="",G132=""),"",IF(G132&lt;='RETRATO 2027'!$K$5,"CONCLUÍDA",IF(F132&lt;='RETRATO 2027'!$K$5,"EM ANDAMENTO","A INICIAR")))</f>
        <v>CONCLUÍDA</v>
      </c>
      <c r="R132" s="4" t="s">
        <v>2637</v>
      </c>
      <c r="S132" s="4"/>
      <c r="T132" s="4" t="s">
        <v>2638</v>
      </c>
      <c r="U132" s="4" t="s">
        <v>2299</v>
      </c>
      <c r="V132" s="2" t="n">
        <f aca="false">IF(R132="","",COUNTIF($C$5:$C$6004,R132))</f>
        <v>41</v>
      </c>
      <c r="W132" s="2" t="n">
        <f aca="false">IF(R132="","",COUNTIFS($C$5:$C$6004,R132,$O$5:$O$6004,"CONCLUÍDA"))</f>
        <v>0</v>
      </c>
      <c r="X132" s="2" t="n">
        <f aca="false">IF(R132="","",COUNTIFS($C$5:$C$6004,R132,$O$5:$O$6004,"EM ANDAMENTO"))</f>
        <v>0</v>
      </c>
      <c r="Y132" s="2" t="str">
        <f aca="false">IF(R132="","",IF(COUNTIFS($C$5:$C$6004,R132,$O$5:$O$6004,"CONCLUÍDA",$N$5:$N$6004,"&gt;=-99")=0,"",_xlfn.MAXIFS($N$5:$N$6004,$C$5:$C$6004,R132,$O$5:$O$6004,"CONCLUÍDA")))</f>
        <v/>
      </c>
      <c r="Z132" s="2" t="str">
        <f aca="false">IF(R132="","",IF(COUNTIFS($C$5:$C$6004,R132,$O$5:$O$6004,"EM ANDAMENTO",$N$5:$N$6004,"&gt;=-99")=0,"",_xlfn.MAXIFS($N$5:$N$6004,$C$5:$C$6004,R132,$O$5:$O$6004,"EM ANDAMENTO")))</f>
        <v/>
      </c>
      <c r="AA132" s="2" t="str">
        <f aca="false"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 customFormat="false" ht="15" hidden="false" customHeight="false" outlineLevel="0" collapsed="false">
      <c r="B133" s="4" t="n">
        <v>13543502</v>
      </c>
      <c r="C133" s="4" t="s">
        <v>2320</v>
      </c>
      <c r="D133" s="4" t="s">
        <v>2314</v>
      </c>
      <c r="E133" s="4" t="s">
        <v>81</v>
      </c>
      <c r="F133" s="127" t="n">
        <v>45954</v>
      </c>
      <c r="G133" s="127" t="n">
        <v>45954</v>
      </c>
      <c r="H133" s="127" t="n">
        <v>46289</v>
      </c>
      <c r="I133" s="4" t="n">
        <v>100</v>
      </c>
      <c r="J133" s="4" t="n">
        <v>100</v>
      </c>
      <c r="K133" s="4" t="n">
        <v>100</v>
      </c>
      <c r="M133" s="2" t="str">
        <f aca="false">IF(C133="","",IFERROR(INDEX($S$5:$S$304,MATCH(C133,$R$5:$R$304,0))&amp;"","?"))</f>
        <v>15</v>
      </c>
      <c r="N133" s="2" t="str">
        <f aca="false">IF(E133="","",IF(ISNUMBER(SEARCH("SUBSOLO",E133)),IFERROR(-VALUE(LEFT(E133,FIND("º",SUBSTITUTE(E133,"°","º"))-1)),-1),IF(LEFT(E133,6)="TÉRREO",0,IFERROR(VALUE(LEFT(E133,FIND("º",SUBSTITUTE(E133,"°","º"))-1)),""))))</f>
        <v/>
      </c>
      <c r="O133" s="2" t="str">
        <f aca="false">IF(OR(F133="",G133=""),"",IF(G133&lt;='RETRATO 2027'!$K$5,"CONCLUÍDA",IF(F133&lt;='RETRATO 2027'!$K$5,"EM ANDAMENTO","A INICIAR")))</f>
        <v>CONCLUÍDA</v>
      </c>
      <c r="R133" s="4" t="s">
        <v>2639</v>
      </c>
      <c r="S133" s="4" t="s">
        <v>212</v>
      </c>
      <c r="T133" s="4" t="s">
        <v>2640</v>
      </c>
      <c r="U133" s="4" t="s">
        <v>2299</v>
      </c>
      <c r="V133" s="2" t="n">
        <f aca="false">IF(R133="","",COUNTIF($C$5:$C$6004,R133))</f>
        <v>1</v>
      </c>
      <c r="W133" s="2" t="n">
        <f aca="false">IF(R133="","",COUNTIFS($C$5:$C$6004,R133,$O$5:$O$6004,"CONCLUÍDA"))</f>
        <v>0</v>
      </c>
      <c r="X133" s="2" t="n">
        <f aca="false">IF(R133="","",COUNTIFS($C$5:$C$6004,R133,$O$5:$O$6004,"EM ANDAMENTO"))</f>
        <v>0</v>
      </c>
      <c r="Y133" s="2" t="str">
        <f aca="false">IF(R133="","",IF(COUNTIFS($C$5:$C$6004,R133,$O$5:$O$6004,"CONCLUÍDA",$N$5:$N$6004,"&gt;=-99")=0,"",_xlfn.MAXIFS($N$5:$N$6004,$C$5:$C$6004,R133,$O$5:$O$6004,"CONCLUÍDA")))</f>
        <v/>
      </c>
      <c r="Z133" s="2" t="str">
        <f aca="false">IF(R133="","",IF(COUNTIFS($C$5:$C$6004,R133,$O$5:$O$6004,"EM ANDAMENTO",$N$5:$N$6004,"&gt;=-99")=0,"",_xlfn.MAXIFS($N$5:$N$6004,$C$5:$C$6004,R133,$O$5:$O$6004,"EM ANDAMENTO")))</f>
        <v/>
      </c>
      <c r="AA133" s="2" t="str">
        <f aca="false"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 customFormat="false" ht="15" hidden="false" customHeight="false" outlineLevel="0" collapsed="false">
      <c r="B134" s="4" t="n">
        <v>13543503</v>
      </c>
      <c r="C134" s="4" t="s">
        <v>2320</v>
      </c>
      <c r="D134" s="4" t="s">
        <v>2317</v>
      </c>
      <c r="E134" s="4" t="s">
        <v>81</v>
      </c>
      <c r="F134" s="127" t="n">
        <v>45957</v>
      </c>
      <c r="G134" s="127" t="n">
        <v>45957</v>
      </c>
      <c r="H134" s="127" t="n">
        <v>46289</v>
      </c>
      <c r="I134" s="4" t="n">
        <v>100</v>
      </c>
      <c r="J134" s="4" t="n">
        <v>100</v>
      </c>
      <c r="K134" s="4" t="n">
        <v>100</v>
      </c>
      <c r="M134" s="2" t="str">
        <f aca="false">IF(C134="","",IFERROR(INDEX($S$5:$S$304,MATCH(C134,$R$5:$R$304,0))&amp;"","?"))</f>
        <v>15</v>
      </c>
      <c r="N134" s="2" t="str">
        <f aca="false">IF(E134="","",IF(ISNUMBER(SEARCH("SUBSOLO",E134)),IFERROR(-VALUE(LEFT(E134,FIND("º",SUBSTITUTE(E134,"°","º"))-1)),-1),IF(LEFT(E134,6)="TÉRREO",0,IFERROR(VALUE(LEFT(E134,FIND("º",SUBSTITUTE(E134,"°","º"))-1)),""))))</f>
        <v/>
      </c>
      <c r="O134" s="2" t="str">
        <f aca="false">IF(OR(F134="",G134=""),"",IF(G134&lt;='RETRATO 2027'!$K$5,"CONCLUÍDA",IF(F134&lt;='RETRATO 2027'!$K$5,"EM ANDAMENTO","A INICIAR")))</f>
        <v>CONCLUÍDA</v>
      </c>
      <c r="R134" s="4" t="s">
        <v>2641</v>
      </c>
      <c r="S134" s="4" t="s">
        <v>223</v>
      </c>
      <c r="T134" s="4" t="s">
        <v>2642</v>
      </c>
      <c r="U134" s="4" t="s">
        <v>2299</v>
      </c>
      <c r="V134" s="2" t="n">
        <f aca="false">IF(R134="","",COUNTIF($C$5:$C$6004,R134))</f>
        <v>34</v>
      </c>
      <c r="W134" s="2" t="n">
        <f aca="false">IF(R134="","",COUNTIFS($C$5:$C$6004,R134,$O$5:$O$6004,"CONCLUÍDA"))</f>
        <v>0</v>
      </c>
      <c r="X134" s="2" t="n">
        <f aca="false">IF(R134="","",COUNTIFS($C$5:$C$6004,R134,$O$5:$O$6004,"EM ANDAMENTO"))</f>
        <v>0</v>
      </c>
      <c r="Y134" s="2" t="str">
        <f aca="false">IF(R134="","",IF(COUNTIFS($C$5:$C$6004,R134,$O$5:$O$6004,"CONCLUÍDA",$N$5:$N$6004,"&gt;=-99")=0,"",_xlfn.MAXIFS($N$5:$N$6004,$C$5:$C$6004,R134,$O$5:$O$6004,"CONCLUÍDA")))</f>
        <v/>
      </c>
      <c r="Z134" s="2" t="str">
        <f aca="false">IF(R134="","",IF(COUNTIFS($C$5:$C$6004,R134,$O$5:$O$6004,"EM ANDAMENTO",$N$5:$N$6004,"&gt;=-99")=0,"",_xlfn.MAXIFS($N$5:$N$6004,$C$5:$C$6004,R134,$O$5:$O$6004,"EM ANDAMENTO")))</f>
        <v/>
      </c>
      <c r="AA134" s="2" t="str">
        <f aca="false"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 customFormat="false" ht="15" hidden="false" customHeight="false" outlineLevel="0" collapsed="false">
      <c r="B135" s="4" t="n">
        <v>35364375</v>
      </c>
      <c r="C135" s="4" t="s">
        <v>2322</v>
      </c>
      <c r="D135" s="4" t="s">
        <v>463</v>
      </c>
      <c r="E135" s="4" t="s">
        <v>81</v>
      </c>
      <c r="F135" s="127" t="n">
        <v>45943</v>
      </c>
      <c r="G135" s="127" t="n">
        <v>46084</v>
      </c>
      <c r="H135" s="127" t="n">
        <v>46289</v>
      </c>
      <c r="I135" s="4" t="n">
        <v>100</v>
      </c>
      <c r="J135" s="4" t="n">
        <v>100</v>
      </c>
      <c r="K135" s="4" t="n">
        <v>99.53</v>
      </c>
      <c r="M135" s="2" t="str">
        <f aca="false">IF(C135="","",IFERROR(INDEX($S$5:$S$304,MATCH(C135,$R$5:$R$304,0))&amp;"","?"))</f>
        <v>15</v>
      </c>
      <c r="N135" s="2" t="str">
        <f aca="false">IF(E135="","",IF(ISNUMBER(SEARCH("SUBSOLO",E135)),IFERROR(-VALUE(LEFT(E135,FIND("º",SUBSTITUTE(E135,"°","º"))-1)),-1),IF(LEFT(E135,6)="TÉRREO",0,IFERROR(VALUE(LEFT(E135,FIND("º",SUBSTITUTE(E135,"°","º"))-1)),""))))</f>
        <v/>
      </c>
      <c r="O135" s="2" t="str">
        <f aca="false">IF(OR(F135="",G135=""),"",IF(G135&lt;='RETRATO 2027'!$K$5,"CONCLUÍDA",IF(F135&lt;='RETRATO 2027'!$K$5,"EM ANDAMENTO","A INICIAR")))</f>
        <v>CONCLUÍDA</v>
      </c>
      <c r="R135" s="4" t="s">
        <v>2643</v>
      </c>
      <c r="S135" s="4" t="s">
        <v>223</v>
      </c>
      <c r="T135" s="4" t="s">
        <v>2644</v>
      </c>
      <c r="U135" s="4" t="s">
        <v>2305</v>
      </c>
      <c r="V135" s="2" t="n">
        <f aca="false">IF(R135="","",COUNTIF($C$5:$C$6004,R135))</f>
        <v>1</v>
      </c>
      <c r="W135" s="2" t="n">
        <f aca="false">IF(R135="","",COUNTIFS($C$5:$C$6004,R135,$O$5:$O$6004,"CONCLUÍDA"))</f>
        <v>0</v>
      </c>
      <c r="X135" s="2" t="n">
        <f aca="false">IF(R135="","",COUNTIFS($C$5:$C$6004,R135,$O$5:$O$6004,"EM ANDAMENTO"))</f>
        <v>0</v>
      </c>
      <c r="Y135" s="2" t="str">
        <f aca="false">IF(R135="","",IF(COUNTIFS($C$5:$C$6004,R135,$O$5:$O$6004,"CONCLUÍDA",$N$5:$N$6004,"&gt;=-99")=0,"",_xlfn.MAXIFS($N$5:$N$6004,$C$5:$C$6004,R135,$O$5:$O$6004,"CONCLUÍDA")))</f>
        <v/>
      </c>
      <c r="Z135" s="2" t="str">
        <f aca="false">IF(R135="","",IF(COUNTIFS($C$5:$C$6004,R135,$O$5:$O$6004,"EM ANDAMENTO",$N$5:$N$6004,"&gt;=-99")=0,"",_xlfn.MAXIFS($N$5:$N$6004,$C$5:$C$6004,R135,$O$5:$O$6004,"EM ANDAMENTO")))</f>
        <v/>
      </c>
      <c r="AA135" s="2" t="str">
        <f aca="false"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 customFormat="false" ht="15" hidden="false" customHeight="false" outlineLevel="0" collapsed="false">
      <c r="B136" s="4" t="n">
        <v>35051204</v>
      </c>
      <c r="C136" s="4" t="s">
        <v>2324</v>
      </c>
      <c r="D136" s="4" t="s">
        <v>463</v>
      </c>
      <c r="E136" s="4" t="s">
        <v>81</v>
      </c>
      <c r="F136" s="127" t="n">
        <v>45951</v>
      </c>
      <c r="G136" s="127" t="n">
        <v>45964</v>
      </c>
      <c r="H136" s="127" t="n">
        <v>46289</v>
      </c>
      <c r="I136" s="4" t="n">
        <v>100</v>
      </c>
      <c r="J136" s="4" t="n">
        <v>100</v>
      </c>
      <c r="K136" s="4" t="n">
        <v>100</v>
      </c>
      <c r="M136" s="2" t="str">
        <f aca="false">IF(C136="","",IFERROR(INDEX($S$5:$S$304,MATCH(C136,$R$5:$R$304,0))&amp;"","?"))</f>
        <v>15</v>
      </c>
      <c r="N136" s="2" t="str">
        <f aca="false">IF(E136="","",IF(ISNUMBER(SEARCH("SUBSOLO",E136)),IFERROR(-VALUE(LEFT(E136,FIND("º",SUBSTITUTE(E136,"°","º"))-1)),-1),IF(LEFT(E136,6)="TÉRREO",0,IFERROR(VALUE(LEFT(E136,FIND("º",SUBSTITUTE(E136,"°","º"))-1)),""))))</f>
        <v/>
      </c>
      <c r="O136" s="2" t="str">
        <f aca="false">IF(OR(F136="",G136=""),"",IF(G136&lt;='RETRATO 2027'!$K$5,"CONCLUÍDA",IF(F136&lt;='RETRATO 2027'!$K$5,"EM ANDAMENTO","A INICIAR")))</f>
        <v>CONCLUÍDA</v>
      </c>
      <c r="R136" s="4" t="s">
        <v>2645</v>
      </c>
      <c r="S136" s="4" t="s">
        <v>212</v>
      </c>
      <c r="T136" s="4" t="s">
        <v>2646</v>
      </c>
      <c r="U136" s="4" t="s">
        <v>2299</v>
      </c>
      <c r="V136" s="2" t="n">
        <f aca="false">IF(R136="","",COUNTIF($C$5:$C$6004,R136))</f>
        <v>1</v>
      </c>
      <c r="W136" s="2" t="n">
        <f aca="false">IF(R136="","",COUNTIFS($C$5:$C$6004,R136,$O$5:$O$6004,"CONCLUÍDA"))</f>
        <v>0</v>
      </c>
      <c r="X136" s="2" t="n">
        <f aca="false">IF(R136="","",COUNTIFS($C$5:$C$6004,R136,$O$5:$O$6004,"EM ANDAMENTO"))</f>
        <v>0</v>
      </c>
      <c r="Y136" s="2" t="str">
        <f aca="false">IF(R136="","",IF(COUNTIFS($C$5:$C$6004,R136,$O$5:$O$6004,"CONCLUÍDA",$N$5:$N$6004,"&gt;=-99")=0,"",_xlfn.MAXIFS($N$5:$N$6004,$C$5:$C$6004,R136,$O$5:$O$6004,"CONCLUÍDA")))</f>
        <v/>
      </c>
      <c r="Z136" s="2" t="str">
        <f aca="false">IF(R136="","",IF(COUNTIFS($C$5:$C$6004,R136,$O$5:$O$6004,"EM ANDAMENTO",$N$5:$N$6004,"&gt;=-99")=0,"",_xlfn.MAXIFS($N$5:$N$6004,$C$5:$C$6004,R136,$O$5:$O$6004,"EM ANDAMENTO")))</f>
        <v/>
      </c>
      <c r="AA136" s="2" t="str">
        <f aca="false"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 customFormat="false" ht="15" hidden="false" customHeight="false" outlineLevel="0" collapsed="false">
      <c r="B137" s="4" t="n">
        <v>14338681</v>
      </c>
      <c r="C137" s="4" t="s">
        <v>2324</v>
      </c>
      <c r="D137" s="4" t="s">
        <v>2306</v>
      </c>
      <c r="E137" s="4" t="s">
        <v>81</v>
      </c>
      <c r="F137" s="127" t="n">
        <v>45951</v>
      </c>
      <c r="G137" s="127" t="n">
        <v>45957</v>
      </c>
      <c r="H137" s="127" t="n">
        <v>46289</v>
      </c>
      <c r="I137" s="4" t="n">
        <v>100</v>
      </c>
      <c r="J137" s="4" t="n">
        <v>100</v>
      </c>
      <c r="K137" s="4" t="n">
        <v>100</v>
      </c>
      <c r="M137" s="2" t="str">
        <f aca="false">IF(C137="","",IFERROR(INDEX($S$5:$S$304,MATCH(C137,$R$5:$R$304,0))&amp;"","?"))</f>
        <v>15</v>
      </c>
      <c r="N137" s="2" t="str">
        <f aca="false">IF(E137="","",IF(ISNUMBER(SEARCH("SUBSOLO",E137)),IFERROR(-VALUE(LEFT(E137,FIND("º",SUBSTITUTE(E137,"°","º"))-1)),-1),IF(LEFT(E137,6)="TÉRREO",0,IFERROR(VALUE(LEFT(E137,FIND("º",SUBSTITUTE(E137,"°","º"))-1)),""))))</f>
        <v/>
      </c>
      <c r="O137" s="2" t="str">
        <f aca="false">IF(OR(F137="",G137=""),"",IF(G137&lt;='RETRATO 2027'!$K$5,"CONCLUÍDA",IF(F137&lt;='RETRATO 2027'!$K$5,"EM ANDAMENTO","A INICIAR")))</f>
        <v>CONCLUÍDA</v>
      </c>
      <c r="R137" s="4" t="s">
        <v>2647</v>
      </c>
      <c r="S137" s="4" t="s">
        <v>189</v>
      </c>
      <c r="T137" s="4" t="s">
        <v>2648</v>
      </c>
      <c r="U137" s="4" t="s">
        <v>2305</v>
      </c>
      <c r="V137" s="2" t="n">
        <f aca="false">IF(R137="","",COUNTIF($C$5:$C$6004,R137))</f>
        <v>1</v>
      </c>
      <c r="W137" s="2" t="n">
        <f aca="false">IF(R137="","",COUNTIFS($C$5:$C$6004,R137,$O$5:$O$6004,"CONCLUÍDA"))</f>
        <v>0</v>
      </c>
      <c r="X137" s="2" t="n">
        <f aca="false">IF(R137="","",COUNTIFS($C$5:$C$6004,R137,$O$5:$O$6004,"EM ANDAMENTO"))</f>
        <v>0</v>
      </c>
      <c r="Y137" s="2" t="str">
        <f aca="false">IF(R137="","",IF(COUNTIFS($C$5:$C$6004,R137,$O$5:$O$6004,"CONCLUÍDA",$N$5:$N$6004,"&gt;=-99")=0,"",_xlfn.MAXIFS($N$5:$N$6004,$C$5:$C$6004,R137,$O$5:$O$6004,"CONCLUÍDA")))</f>
        <v/>
      </c>
      <c r="Z137" s="2" t="str">
        <f aca="false">IF(R137="","",IF(COUNTIFS($C$5:$C$6004,R137,$O$5:$O$6004,"EM ANDAMENTO",$N$5:$N$6004,"&gt;=-99")=0,"",_xlfn.MAXIFS($N$5:$N$6004,$C$5:$C$6004,R137,$O$5:$O$6004,"EM ANDAMENTO")))</f>
        <v/>
      </c>
      <c r="AA137" s="2" t="str">
        <f aca="false"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 customFormat="false" ht="15" hidden="false" customHeight="false" outlineLevel="0" collapsed="false">
      <c r="B138" s="4" t="n">
        <v>14338682</v>
      </c>
      <c r="C138" s="4" t="s">
        <v>2324</v>
      </c>
      <c r="D138" s="4" t="s">
        <v>2309</v>
      </c>
      <c r="E138" s="4" t="s">
        <v>81</v>
      </c>
      <c r="F138" s="127" t="n">
        <v>45958</v>
      </c>
      <c r="G138" s="127" t="n">
        <v>45959</v>
      </c>
      <c r="H138" s="127" t="n">
        <v>46289</v>
      </c>
      <c r="I138" s="4" t="n">
        <v>100</v>
      </c>
      <c r="J138" s="4" t="n">
        <v>100</v>
      </c>
      <c r="K138" s="4" t="n">
        <v>100</v>
      </c>
      <c r="M138" s="2" t="str">
        <f aca="false">IF(C138="","",IFERROR(INDEX($S$5:$S$304,MATCH(C138,$R$5:$R$304,0))&amp;"","?"))</f>
        <v>15</v>
      </c>
      <c r="N138" s="2" t="str">
        <f aca="false">IF(E138="","",IF(ISNUMBER(SEARCH("SUBSOLO",E138)),IFERROR(-VALUE(LEFT(E138,FIND("º",SUBSTITUTE(E138,"°","º"))-1)),-1),IF(LEFT(E138,6)="TÉRREO",0,IFERROR(VALUE(LEFT(E138,FIND("º",SUBSTITUTE(E138,"°","º"))-1)),""))))</f>
        <v/>
      </c>
      <c r="O138" s="2" t="str">
        <f aca="false">IF(OR(F138="",G138=""),"",IF(G138&lt;='RETRATO 2027'!$K$5,"CONCLUÍDA",IF(F138&lt;='RETRATO 2027'!$K$5,"EM ANDAMENTO","A INICIAR")))</f>
        <v>CONCLUÍDA</v>
      </c>
      <c r="R138" s="4" t="s">
        <v>2649</v>
      </c>
      <c r="S138" s="4" t="s">
        <v>230</v>
      </c>
      <c r="T138" s="4" t="s">
        <v>2650</v>
      </c>
      <c r="U138" s="4" t="s">
        <v>2299</v>
      </c>
      <c r="V138" s="2" t="n">
        <f aca="false">IF(R138="","",COUNTIF($C$5:$C$6004,R138))</f>
        <v>41</v>
      </c>
      <c r="W138" s="2" t="n">
        <f aca="false">IF(R138="","",COUNTIFS($C$5:$C$6004,R138,$O$5:$O$6004,"CONCLUÍDA"))</f>
        <v>0</v>
      </c>
      <c r="X138" s="2" t="n">
        <f aca="false">IF(R138="","",COUNTIFS($C$5:$C$6004,R138,$O$5:$O$6004,"EM ANDAMENTO"))</f>
        <v>0</v>
      </c>
      <c r="Y138" s="2" t="str">
        <f aca="false">IF(R138="","",IF(COUNTIFS($C$5:$C$6004,R138,$O$5:$O$6004,"CONCLUÍDA",$N$5:$N$6004,"&gt;=-99")=0,"",_xlfn.MAXIFS($N$5:$N$6004,$C$5:$C$6004,R138,$O$5:$O$6004,"CONCLUÍDA")))</f>
        <v/>
      </c>
      <c r="Z138" s="2" t="str">
        <f aca="false">IF(R138="","",IF(COUNTIFS($C$5:$C$6004,R138,$O$5:$O$6004,"EM ANDAMENTO",$N$5:$N$6004,"&gt;=-99")=0,"",_xlfn.MAXIFS($N$5:$N$6004,$C$5:$C$6004,R138,$O$5:$O$6004,"EM ANDAMENTO")))</f>
        <v/>
      </c>
      <c r="AA138" s="2" t="str">
        <f aca="false"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 customFormat="false" ht="15" hidden="false" customHeight="false" outlineLevel="0" collapsed="false">
      <c r="B139" s="4" t="n">
        <v>14338683</v>
      </c>
      <c r="C139" s="4" t="s">
        <v>2324</v>
      </c>
      <c r="D139" s="4" t="s">
        <v>2312</v>
      </c>
      <c r="E139" s="4" t="s">
        <v>81</v>
      </c>
      <c r="F139" s="127" t="n">
        <v>45960</v>
      </c>
      <c r="G139" s="127" t="n">
        <v>45961</v>
      </c>
      <c r="H139" s="127" t="n">
        <v>46289</v>
      </c>
      <c r="I139" s="4" t="n">
        <v>100</v>
      </c>
      <c r="J139" s="4" t="n">
        <v>100</v>
      </c>
      <c r="K139" s="4" t="n">
        <v>100</v>
      </c>
      <c r="M139" s="2" t="str">
        <f aca="false">IF(C139="","",IFERROR(INDEX($S$5:$S$304,MATCH(C139,$R$5:$R$304,0))&amp;"","?"))</f>
        <v>15</v>
      </c>
      <c r="N139" s="2" t="str">
        <f aca="false">IF(E139="","",IF(ISNUMBER(SEARCH("SUBSOLO",E139)),IFERROR(-VALUE(LEFT(E139,FIND("º",SUBSTITUTE(E139,"°","º"))-1)),-1),IF(LEFT(E139,6)="TÉRREO",0,IFERROR(VALUE(LEFT(E139,FIND("º",SUBSTITUTE(E139,"°","º"))-1)),""))))</f>
        <v/>
      </c>
      <c r="O139" s="2" t="str">
        <f aca="false">IF(OR(F139="",G139=""),"",IF(G139&lt;='RETRATO 2027'!$K$5,"CONCLUÍDA",IF(F139&lt;='RETRATO 2027'!$K$5,"EM ANDAMENTO","A INICIAR")))</f>
        <v>CONCLUÍDA</v>
      </c>
      <c r="R139" s="4" t="s">
        <v>2651</v>
      </c>
      <c r="S139" s="4" t="s">
        <v>205</v>
      </c>
      <c r="T139" s="4" t="s">
        <v>2652</v>
      </c>
      <c r="U139" s="4" t="s">
        <v>2305</v>
      </c>
      <c r="V139" s="2" t="n">
        <f aca="false">IF(R139="","",COUNTIF($C$5:$C$6004,R139))</f>
        <v>1</v>
      </c>
      <c r="W139" s="2" t="n">
        <f aca="false">IF(R139="","",COUNTIFS($C$5:$C$6004,R139,$O$5:$O$6004,"CONCLUÍDA"))</f>
        <v>0</v>
      </c>
      <c r="X139" s="2" t="n">
        <f aca="false">IF(R139="","",COUNTIFS($C$5:$C$6004,R139,$O$5:$O$6004,"EM ANDAMENTO"))</f>
        <v>0</v>
      </c>
      <c r="Y139" s="2" t="str">
        <f aca="false">IF(R139="","",IF(COUNTIFS($C$5:$C$6004,R139,$O$5:$O$6004,"CONCLUÍDA",$N$5:$N$6004,"&gt;=-99")=0,"",_xlfn.MAXIFS($N$5:$N$6004,$C$5:$C$6004,R139,$O$5:$O$6004,"CONCLUÍDA")))</f>
        <v/>
      </c>
      <c r="Z139" s="2" t="str">
        <f aca="false">IF(R139="","",IF(COUNTIFS($C$5:$C$6004,R139,$O$5:$O$6004,"EM ANDAMENTO",$N$5:$N$6004,"&gt;=-99")=0,"",_xlfn.MAXIFS($N$5:$N$6004,$C$5:$C$6004,R139,$O$5:$O$6004,"EM ANDAMENTO")))</f>
        <v/>
      </c>
      <c r="AA139" s="2" t="str">
        <f aca="false"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 customFormat="false" ht="15" hidden="false" customHeight="false" outlineLevel="0" collapsed="false">
      <c r="B140" s="4" t="n">
        <v>14338684</v>
      </c>
      <c r="C140" s="4" t="s">
        <v>2324</v>
      </c>
      <c r="D140" s="4" t="s">
        <v>2314</v>
      </c>
      <c r="E140" s="4" t="s">
        <v>81</v>
      </c>
      <c r="F140" s="127" t="n">
        <v>45964</v>
      </c>
      <c r="G140" s="127" t="n">
        <v>45964</v>
      </c>
      <c r="H140" s="127" t="n">
        <v>46289</v>
      </c>
      <c r="I140" s="4" t="n">
        <v>100</v>
      </c>
      <c r="J140" s="4" t="n">
        <v>100</v>
      </c>
      <c r="K140" s="4" t="n">
        <v>100</v>
      </c>
      <c r="M140" s="2" t="str">
        <f aca="false">IF(C140="","",IFERROR(INDEX($S$5:$S$304,MATCH(C140,$R$5:$R$304,0))&amp;"","?"))</f>
        <v>15</v>
      </c>
      <c r="N140" s="2" t="str">
        <f aca="false">IF(E140="","",IF(ISNUMBER(SEARCH("SUBSOLO",E140)),IFERROR(-VALUE(LEFT(E140,FIND("º",SUBSTITUTE(E140,"°","º"))-1)),-1),IF(LEFT(E140,6)="TÉRREO",0,IFERROR(VALUE(LEFT(E140,FIND("º",SUBSTITUTE(E140,"°","º"))-1)),""))))</f>
        <v/>
      </c>
      <c r="O140" s="2" t="str">
        <f aca="false">IF(OR(F140="",G140=""),"",IF(G140&lt;='RETRATO 2027'!$K$5,"CONCLUÍDA",IF(F140&lt;='RETRATO 2027'!$K$5,"EM ANDAMENTO","A INICIAR")))</f>
        <v>CONCLUÍDA</v>
      </c>
      <c r="R140" s="4" t="s">
        <v>2653</v>
      </c>
      <c r="S140" s="4" t="s">
        <v>208</v>
      </c>
      <c r="T140" s="4" t="s">
        <v>2654</v>
      </c>
      <c r="U140" s="4" t="s">
        <v>2299</v>
      </c>
      <c r="V140" s="2" t="n">
        <f aca="false">IF(R140="","",COUNTIF($C$5:$C$6004,R140))</f>
        <v>6</v>
      </c>
      <c r="W140" s="2" t="n">
        <f aca="false">IF(R140="","",COUNTIFS($C$5:$C$6004,R140,$O$5:$O$6004,"CONCLUÍDA"))</f>
        <v>0</v>
      </c>
      <c r="X140" s="2" t="n">
        <f aca="false">IF(R140="","",COUNTIFS($C$5:$C$6004,R140,$O$5:$O$6004,"EM ANDAMENTO"))</f>
        <v>0</v>
      </c>
      <c r="Y140" s="2" t="str">
        <f aca="false">IF(R140="","",IF(COUNTIFS($C$5:$C$6004,R140,$O$5:$O$6004,"CONCLUÍDA",$N$5:$N$6004,"&gt;=-99")=0,"",_xlfn.MAXIFS($N$5:$N$6004,$C$5:$C$6004,R140,$O$5:$O$6004,"CONCLUÍDA")))</f>
        <v/>
      </c>
      <c r="Z140" s="2" t="str">
        <f aca="false">IF(R140="","",IF(COUNTIFS($C$5:$C$6004,R140,$O$5:$O$6004,"EM ANDAMENTO",$N$5:$N$6004,"&gt;=-99")=0,"",_xlfn.MAXIFS($N$5:$N$6004,$C$5:$C$6004,R140,$O$5:$O$6004,"EM ANDAMENTO")))</f>
        <v/>
      </c>
      <c r="AA140" s="2" t="str">
        <f aca="false"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 customFormat="false" ht="15" hidden="false" customHeight="false" outlineLevel="0" collapsed="false">
      <c r="B141" s="4" t="n">
        <v>30203719</v>
      </c>
      <c r="C141" s="4" t="s">
        <v>2326</v>
      </c>
      <c r="D141" s="4" t="s">
        <v>463</v>
      </c>
      <c r="E141" s="4" t="s">
        <v>81</v>
      </c>
      <c r="F141" s="127" t="n">
        <v>46084</v>
      </c>
      <c r="G141" s="127" t="n">
        <v>46139</v>
      </c>
      <c r="H141" s="127" t="n">
        <v>46289</v>
      </c>
      <c r="I141" s="4" t="n">
        <v>100</v>
      </c>
      <c r="J141" s="4" t="n">
        <v>100</v>
      </c>
      <c r="K141" s="4" t="n">
        <v>100</v>
      </c>
      <c r="M141" s="2" t="str">
        <f aca="false">IF(C141="","",IFERROR(INDEX($S$5:$S$304,MATCH(C141,$R$5:$R$304,0))&amp;"","?"))</f>
        <v>14</v>
      </c>
      <c r="N141" s="2" t="str">
        <f aca="false">IF(E141="","",IF(ISNUMBER(SEARCH("SUBSOLO",E141)),IFERROR(-VALUE(LEFT(E141,FIND("º",SUBSTITUTE(E141,"°","º"))-1)),-1),IF(LEFT(E141,6)="TÉRREO",0,IFERROR(VALUE(LEFT(E141,FIND("º",SUBSTITUTE(E141,"°","º"))-1)),""))))</f>
        <v/>
      </c>
      <c r="O141" s="2" t="str">
        <f aca="false">IF(OR(F141="",G141=""),"",IF(G141&lt;='RETRATO 2027'!$K$5,"CONCLUÍDA",IF(F141&lt;='RETRATO 2027'!$K$5,"EM ANDAMENTO","A INICIAR")))</f>
        <v>CONCLUÍDA</v>
      </c>
      <c r="R141" s="4" t="s">
        <v>2655</v>
      </c>
      <c r="S141" s="4" t="s">
        <v>219</v>
      </c>
      <c r="T141" s="4" t="s">
        <v>2608</v>
      </c>
      <c r="U141" s="4" t="s">
        <v>2305</v>
      </c>
      <c r="V141" s="2" t="n">
        <f aca="false">IF(R141="","",COUNTIF($C$5:$C$6004,R141))</f>
        <v>5</v>
      </c>
      <c r="W141" s="2" t="n">
        <f aca="false">IF(R141="","",COUNTIFS($C$5:$C$6004,R141,$O$5:$O$6004,"CONCLUÍDA"))</f>
        <v>0</v>
      </c>
      <c r="X141" s="2" t="n">
        <f aca="false">IF(R141="","",COUNTIFS($C$5:$C$6004,R141,$O$5:$O$6004,"EM ANDAMENTO"))</f>
        <v>0</v>
      </c>
      <c r="Y141" s="2" t="str">
        <f aca="false">IF(R141="","",IF(COUNTIFS($C$5:$C$6004,R141,$O$5:$O$6004,"CONCLUÍDA",$N$5:$N$6004,"&gt;=-99")=0,"",_xlfn.MAXIFS($N$5:$N$6004,$C$5:$C$6004,R141,$O$5:$O$6004,"CONCLUÍDA")))</f>
        <v/>
      </c>
      <c r="Z141" s="2" t="str">
        <f aca="false">IF(R141="","",IF(COUNTIFS($C$5:$C$6004,R141,$O$5:$O$6004,"EM ANDAMENTO",$N$5:$N$6004,"&gt;=-99")=0,"",_xlfn.MAXIFS($N$5:$N$6004,$C$5:$C$6004,R141,$O$5:$O$6004,"EM ANDAMENTO")))</f>
        <v/>
      </c>
      <c r="AA141" s="2" t="str">
        <f aca="false"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 customFormat="false" ht="15" hidden="false" customHeight="false" outlineLevel="0" collapsed="false">
      <c r="B142" s="4" t="n">
        <v>29933217</v>
      </c>
      <c r="C142" s="4" t="s">
        <v>74</v>
      </c>
      <c r="D142" s="4" t="s">
        <v>463</v>
      </c>
      <c r="E142" s="4" t="s">
        <v>81</v>
      </c>
      <c r="F142" s="127" t="n">
        <v>46125</v>
      </c>
      <c r="G142" s="127" t="n">
        <v>46241</v>
      </c>
      <c r="H142" s="127" t="n">
        <v>46289</v>
      </c>
      <c r="I142" s="4" t="n">
        <v>100</v>
      </c>
      <c r="J142" s="4" t="n">
        <v>100</v>
      </c>
      <c r="K142" s="4" t="n">
        <v>99</v>
      </c>
      <c r="M142" s="2" t="str">
        <f aca="false">IF(C142="","",IFERROR(INDEX($S$5:$S$304,MATCH(C142,$R$5:$R$304,0))&amp;"","?"))</f>
        <v>16</v>
      </c>
      <c r="N142" s="2" t="str">
        <f aca="false">IF(E142="","",IF(ISNUMBER(SEARCH("SUBSOLO",E142)),IFERROR(-VALUE(LEFT(E142,FIND("º",SUBSTITUTE(E142,"°","º"))-1)),-1),IF(LEFT(E142,6)="TÉRREO",0,IFERROR(VALUE(LEFT(E142,FIND("º",SUBSTITUTE(E142,"°","º"))-1)),""))))</f>
        <v/>
      </c>
      <c r="O142" s="2" t="str">
        <f aca="false">IF(OR(F142="",G142=""),"",IF(G142&lt;='RETRATO 2027'!$K$5,"CONCLUÍDA",IF(F142&lt;='RETRATO 2027'!$K$5,"EM ANDAMENTO","A INICIAR")))</f>
        <v>CONCLUÍDA</v>
      </c>
      <c r="R142" s="4" t="s">
        <v>2656</v>
      </c>
      <c r="S142" s="4" t="s">
        <v>173</v>
      </c>
      <c r="T142" s="4" t="s">
        <v>2657</v>
      </c>
      <c r="U142" s="4" t="s">
        <v>2305</v>
      </c>
      <c r="V142" s="2" t="n">
        <f aca="false">IF(R142="","",COUNTIF($C$5:$C$6004,R142))</f>
        <v>5</v>
      </c>
      <c r="W142" s="2" t="n">
        <f aca="false">IF(R142="","",COUNTIFS($C$5:$C$6004,R142,$O$5:$O$6004,"CONCLUÍDA"))</f>
        <v>0</v>
      </c>
      <c r="X142" s="2" t="n">
        <f aca="false">IF(R142="","",COUNTIFS($C$5:$C$6004,R142,$O$5:$O$6004,"EM ANDAMENTO"))</f>
        <v>0</v>
      </c>
      <c r="Y142" s="2" t="str">
        <f aca="false">IF(R142="","",IF(COUNTIFS($C$5:$C$6004,R142,$O$5:$O$6004,"CONCLUÍDA",$N$5:$N$6004,"&gt;=-99")=0,"",_xlfn.MAXIFS($N$5:$N$6004,$C$5:$C$6004,R142,$O$5:$O$6004,"CONCLUÍDA")))</f>
        <v/>
      </c>
      <c r="Z142" s="2" t="str">
        <f aca="false">IF(R142="","",IF(COUNTIFS($C$5:$C$6004,R142,$O$5:$O$6004,"EM ANDAMENTO",$N$5:$N$6004,"&gt;=-99")=0,"",_xlfn.MAXIFS($N$5:$N$6004,$C$5:$C$6004,R142,$O$5:$O$6004,"EM ANDAMENTO")))</f>
        <v/>
      </c>
      <c r="AA142" s="2" t="str">
        <f aca="false"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 customFormat="false" ht="15" hidden="false" customHeight="false" outlineLevel="0" collapsed="false">
      <c r="B143" s="4" t="n">
        <v>44503348</v>
      </c>
      <c r="C143" s="4" t="s">
        <v>2329</v>
      </c>
      <c r="D143" s="4" t="s">
        <v>463</v>
      </c>
      <c r="E143" s="4" t="s">
        <v>81</v>
      </c>
      <c r="F143" s="127" t="n">
        <v>46125</v>
      </c>
      <c r="G143" s="127" t="n">
        <v>46139</v>
      </c>
      <c r="H143" s="127" t="n">
        <v>46289</v>
      </c>
      <c r="I143" s="4" t="n">
        <v>0</v>
      </c>
      <c r="J143" s="4" t="n">
        <v>100</v>
      </c>
      <c r="K143" s="4" t="n">
        <v>100</v>
      </c>
      <c r="M143" s="2" t="str">
        <f aca="false">IF(C143="","",IFERROR(INDEX($S$5:$S$304,MATCH(C143,$R$5:$R$304,0))&amp;"","?"))</f>
        <v>16</v>
      </c>
      <c r="N143" s="2" t="str">
        <f aca="false">IF(E143="","",IF(ISNUMBER(SEARCH("SUBSOLO",E143)),IFERROR(-VALUE(LEFT(E143,FIND("º",SUBSTITUTE(E143,"°","º"))-1)),-1),IF(LEFT(E143,6)="TÉRREO",0,IFERROR(VALUE(LEFT(E143,FIND("º",SUBSTITUTE(E143,"°","º"))-1)),""))))</f>
        <v/>
      </c>
      <c r="O143" s="2" t="str">
        <f aca="false">IF(OR(F143="",G143=""),"",IF(G143&lt;='RETRATO 2027'!$K$5,"CONCLUÍDA",IF(F143&lt;='RETRATO 2027'!$K$5,"EM ANDAMENTO","A INICIAR")))</f>
        <v>CONCLUÍDA</v>
      </c>
      <c r="R143" s="4" t="s">
        <v>2658</v>
      </c>
      <c r="S143" s="4" t="s">
        <v>185</v>
      </c>
      <c r="T143" s="4" t="s">
        <v>2659</v>
      </c>
      <c r="U143" s="4" t="s">
        <v>2299</v>
      </c>
      <c r="V143" s="2" t="n">
        <f aca="false">IF(R143="","",COUNTIF($C$5:$C$6004,R143))</f>
        <v>1</v>
      </c>
      <c r="W143" s="2" t="n">
        <f aca="false">IF(R143="","",COUNTIFS($C$5:$C$6004,R143,$O$5:$O$6004,"CONCLUÍDA"))</f>
        <v>0</v>
      </c>
      <c r="X143" s="2" t="n">
        <f aca="false">IF(R143="","",COUNTIFS($C$5:$C$6004,R143,$O$5:$O$6004,"EM ANDAMENTO"))</f>
        <v>0</v>
      </c>
      <c r="Y143" s="2" t="str">
        <f aca="false">IF(R143="","",IF(COUNTIFS($C$5:$C$6004,R143,$O$5:$O$6004,"CONCLUÍDA",$N$5:$N$6004,"&gt;=-99")=0,"",_xlfn.MAXIFS($N$5:$N$6004,$C$5:$C$6004,R143,$O$5:$O$6004,"CONCLUÍDA")))</f>
        <v/>
      </c>
      <c r="Z143" s="2" t="str">
        <f aca="false">IF(R143="","",IF(COUNTIFS($C$5:$C$6004,R143,$O$5:$O$6004,"EM ANDAMENTO",$N$5:$N$6004,"&gt;=-99")=0,"",_xlfn.MAXIFS($N$5:$N$6004,$C$5:$C$6004,R143,$O$5:$O$6004,"EM ANDAMENTO")))</f>
        <v/>
      </c>
      <c r="AA143" s="2" t="str">
        <f aca="false"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 customFormat="false" ht="15" hidden="false" customHeight="false" outlineLevel="0" collapsed="false">
      <c r="B144" s="4" t="n">
        <v>28389396</v>
      </c>
      <c r="C144" s="4" t="s">
        <v>2329</v>
      </c>
      <c r="D144" s="4" t="s">
        <v>2660</v>
      </c>
      <c r="E144" s="4" t="s">
        <v>81</v>
      </c>
      <c r="F144" s="127" t="n">
        <v>46125</v>
      </c>
      <c r="G144" s="127" t="n">
        <v>46129</v>
      </c>
      <c r="H144" s="127" t="n">
        <v>46289</v>
      </c>
      <c r="I144" s="4" t="n">
        <v>0</v>
      </c>
      <c r="J144" s="4" t="n">
        <v>100</v>
      </c>
      <c r="K144" s="4" t="n">
        <v>100</v>
      </c>
      <c r="M144" s="2" t="str">
        <f aca="false">IF(C144="","",IFERROR(INDEX($S$5:$S$304,MATCH(C144,$R$5:$R$304,0))&amp;"","?"))</f>
        <v>16</v>
      </c>
      <c r="N144" s="2" t="str">
        <f aca="false">IF(E144="","",IF(ISNUMBER(SEARCH("SUBSOLO",E144)),IFERROR(-VALUE(LEFT(E144,FIND("º",SUBSTITUTE(E144,"°","º"))-1)),-1),IF(LEFT(E144,6)="TÉRREO",0,IFERROR(VALUE(LEFT(E144,FIND("º",SUBSTITUTE(E144,"°","º"))-1)),""))))</f>
        <v/>
      </c>
      <c r="O144" s="2" t="str">
        <f aca="false">IF(OR(F144="",G144=""),"",IF(G144&lt;='RETRATO 2027'!$K$5,"CONCLUÍDA",IF(F144&lt;='RETRATO 2027'!$K$5,"EM ANDAMENTO","A INICIAR")))</f>
        <v>CONCLUÍDA</v>
      </c>
      <c r="R144" s="4" t="s">
        <v>2661</v>
      </c>
      <c r="S144" s="4" t="s">
        <v>205</v>
      </c>
      <c r="T144" s="4" t="s">
        <v>2662</v>
      </c>
      <c r="U144" s="4" t="s">
        <v>2305</v>
      </c>
      <c r="V144" s="2" t="n">
        <f aca="false">IF(R144="","",COUNTIF($C$5:$C$6004,R144))</f>
        <v>5</v>
      </c>
      <c r="W144" s="2" t="n">
        <f aca="false">IF(R144="","",COUNTIFS($C$5:$C$6004,R144,$O$5:$O$6004,"CONCLUÍDA"))</f>
        <v>0</v>
      </c>
      <c r="X144" s="2" t="n">
        <f aca="false">IF(R144="","",COUNTIFS($C$5:$C$6004,R144,$O$5:$O$6004,"EM ANDAMENTO"))</f>
        <v>0</v>
      </c>
      <c r="Y144" s="2" t="str">
        <f aca="false">IF(R144="","",IF(COUNTIFS($C$5:$C$6004,R144,$O$5:$O$6004,"CONCLUÍDA",$N$5:$N$6004,"&gt;=-99")=0,"",_xlfn.MAXIFS($N$5:$N$6004,$C$5:$C$6004,R144,$O$5:$O$6004,"CONCLUÍDA")))</f>
        <v/>
      </c>
      <c r="Z144" s="2" t="str">
        <f aca="false">IF(R144="","",IF(COUNTIFS($C$5:$C$6004,R144,$O$5:$O$6004,"EM ANDAMENTO",$N$5:$N$6004,"&gt;=-99")=0,"",_xlfn.MAXIFS($N$5:$N$6004,$C$5:$C$6004,R144,$O$5:$O$6004,"EM ANDAMENTO")))</f>
        <v/>
      </c>
      <c r="AA144" s="2" t="str">
        <f aca="false"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 customFormat="false" ht="15" hidden="false" customHeight="false" outlineLevel="0" collapsed="false">
      <c r="B145" s="4" t="n">
        <v>28389397</v>
      </c>
      <c r="C145" s="4" t="s">
        <v>2329</v>
      </c>
      <c r="D145" s="4" t="s">
        <v>2663</v>
      </c>
      <c r="E145" s="4" t="s">
        <v>81</v>
      </c>
      <c r="F145" s="127" t="n">
        <v>46125</v>
      </c>
      <c r="G145" s="127" t="n">
        <v>46129</v>
      </c>
      <c r="H145" s="127" t="n">
        <v>46289</v>
      </c>
      <c r="I145" s="4" t="n">
        <v>0</v>
      </c>
      <c r="J145" s="4" t="n">
        <v>100</v>
      </c>
      <c r="K145" s="4" t="n">
        <v>100</v>
      </c>
      <c r="M145" s="2" t="str">
        <f aca="false">IF(C145="","",IFERROR(INDEX($S$5:$S$304,MATCH(C145,$R$5:$R$304,0))&amp;"","?"))</f>
        <v>16</v>
      </c>
      <c r="N145" s="2" t="str">
        <f aca="false">IF(E145="","",IF(ISNUMBER(SEARCH("SUBSOLO",E145)),IFERROR(-VALUE(LEFT(E145,FIND("º",SUBSTITUTE(E145,"°","º"))-1)),-1),IF(LEFT(E145,6)="TÉRREO",0,IFERROR(VALUE(LEFT(E145,FIND("º",SUBSTITUTE(E145,"°","º"))-1)),""))))</f>
        <v/>
      </c>
      <c r="O145" s="2" t="str">
        <f aca="false">IF(OR(F145="",G145=""),"",IF(G145&lt;='RETRATO 2027'!$K$5,"CONCLUÍDA",IF(F145&lt;='RETRATO 2027'!$K$5,"EM ANDAMENTO","A INICIAR")))</f>
        <v>CONCLUÍDA</v>
      </c>
      <c r="R145" s="4" t="s">
        <v>2664</v>
      </c>
      <c r="S145" s="4" t="s">
        <v>212</v>
      </c>
      <c r="T145" s="4" t="s">
        <v>2665</v>
      </c>
      <c r="U145" s="4" t="s">
        <v>2299</v>
      </c>
      <c r="V145" s="2" t="n">
        <f aca="false">IF(R145="","",COUNTIF($C$5:$C$6004,R145))</f>
        <v>1</v>
      </c>
      <c r="W145" s="2" t="n">
        <f aca="false">IF(R145="","",COUNTIFS($C$5:$C$6004,R145,$O$5:$O$6004,"CONCLUÍDA"))</f>
        <v>0</v>
      </c>
      <c r="X145" s="2" t="n">
        <f aca="false">IF(R145="","",COUNTIFS($C$5:$C$6004,R145,$O$5:$O$6004,"EM ANDAMENTO"))</f>
        <v>0</v>
      </c>
      <c r="Y145" s="2" t="str">
        <f aca="false">IF(R145="","",IF(COUNTIFS($C$5:$C$6004,R145,$O$5:$O$6004,"CONCLUÍDA",$N$5:$N$6004,"&gt;=-99")=0,"",_xlfn.MAXIFS($N$5:$N$6004,$C$5:$C$6004,R145,$O$5:$O$6004,"CONCLUÍDA")))</f>
        <v/>
      </c>
      <c r="Z145" s="2" t="str">
        <f aca="false">IF(R145="","",IF(COUNTIFS($C$5:$C$6004,R145,$O$5:$O$6004,"EM ANDAMENTO",$N$5:$N$6004,"&gt;=-99")=0,"",_xlfn.MAXIFS($N$5:$N$6004,$C$5:$C$6004,R145,$O$5:$O$6004,"EM ANDAMENTO")))</f>
        <v/>
      </c>
      <c r="AA145" s="2" t="str">
        <f aca="false"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 customFormat="false" ht="15" hidden="false" customHeight="false" outlineLevel="0" collapsed="false">
      <c r="B146" s="4" t="n">
        <v>28389398</v>
      </c>
      <c r="C146" s="4" t="s">
        <v>2329</v>
      </c>
      <c r="D146" s="4" t="s">
        <v>2666</v>
      </c>
      <c r="E146" s="4" t="s">
        <v>81</v>
      </c>
      <c r="F146" s="127" t="n">
        <v>46132</v>
      </c>
      <c r="G146" s="127" t="n">
        <v>46134</v>
      </c>
      <c r="H146" s="127" t="n">
        <v>46289</v>
      </c>
      <c r="I146" s="4" t="n">
        <v>0</v>
      </c>
      <c r="J146" s="4" t="n">
        <v>100</v>
      </c>
      <c r="K146" s="4" t="n">
        <v>100</v>
      </c>
      <c r="M146" s="2" t="str">
        <f aca="false">IF(C146="","",IFERROR(INDEX($S$5:$S$304,MATCH(C146,$R$5:$R$304,0))&amp;"","?"))</f>
        <v>16</v>
      </c>
      <c r="N146" s="2" t="str">
        <f aca="false">IF(E146="","",IF(ISNUMBER(SEARCH("SUBSOLO",E146)),IFERROR(-VALUE(LEFT(E146,FIND("º",SUBSTITUTE(E146,"°","º"))-1)),-1),IF(LEFT(E146,6)="TÉRREO",0,IFERROR(VALUE(LEFT(E146,FIND("º",SUBSTITUTE(E146,"°","º"))-1)),""))))</f>
        <v/>
      </c>
      <c r="O146" s="2" t="str">
        <f aca="false">IF(OR(F146="",G146=""),"",IF(G146&lt;='RETRATO 2027'!$K$5,"CONCLUÍDA",IF(F146&lt;='RETRATO 2027'!$K$5,"EM ANDAMENTO","A INICIAR")))</f>
        <v>CONCLUÍDA</v>
      </c>
      <c r="R146" s="4" t="s">
        <v>2667</v>
      </c>
      <c r="S146" s="4" t="s">
        <v>182</v>
      </c>
      <c r="T146" s="4" t="s">
        <v>2668</v>
      </c>
      <c r="U146" s="4" t="s">
        <v>2305</v>
      </c>
      <c r="V146" s="2" t="n">
        <f aca="false">IF(R146="","",COUNTIF($C$5:$C$6004,R146))</f>
        <v>1</v>
      </c>
      <c r="W146" s="2" t="n">
        <f aca="false">IF(R146="","",COUNTIFS($C$5:$C$6004,R146,$O$5:$O$6004,"CONCLUÍDA"))</f>
        <v>0</v>
      </c>
      <c r="X146" s="2" t="n">
        <f aca="false">IF(R146="","",COUNTIFS($C$5:$C$6004,R146,$O$5:$O$6004,"EM ANDAMENTO"))</f>
        <v>0</v>
      </c>
      <c r="Y146" s="2" t="str">
        <f aca="false">IF(R146="","",IF(COUNTIFS($C$5:$C$6004,R146,$O$5:$O$6004,"CONCLUÍDA",$N$5:$N$6004,"&gt;=-99")=0,"",_xlfn.MAXIFS($N$5:$N$6004,$C$5:$C$6004,R146,$O$5:$O$6004,"CONCLUÍDA")))</f>
        <v/>
      </c>
      <c r="Z146" s="2" t="str">
        <f aca="false">IF(R146="","",IF(COUNTIFS($C$5:$C$6004,R146,$O$5:$O$6004,"EM ANDAMENTO",$N$5:$N$6004,"&gt;=-99")=0,"",_xlfn.MAXIFS($N$5:$N$6004,$C$5:$C$6004,R146,$O$5:$O$6004,"EM ANDAMENTO")))</f>
        <v/>
      </c>
      <c r="AA146" s="2" t="str">
        <f aca="false"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 customFormat="false" ht="15" hidden="false" customHeight="false" outlineLevel="0" collapsed="false">
      <c r="B147" s="4" t="n">
        <v>28389399</v>
      </c>
      <c r="C147" s="4" t="s">
        <v>2329</v>
      </c>
      <c r="D147" s="4" t="s">
        <v>2669</v>
      </c>
      <c r="E147" s="4" t="s">
        <v>81</v>
      </c>
      <c r="F147" s="127" t="n">
        <v>46135</v>
      </c>
      <c r="G147" s="127" t="n">
        <v>46135</v>
      </c>
      <c r="H147" s="127" t="n">
        <v>46289</v>
      </c>
      <c r="I147" s="4" t="n">
        <v>0</v>
      </c>
      <c r="J147" s="4" t="n">
        <v>100</v>
      </c>
      <c r="K147" s="4" t="n">
        <v>100</v>
      </c>
      <c r="M147" s="2" t="str">
        <f aca="false">IF(C147="","",IFERROR(INDEX($S$5:$S$304,MATCH(C147,$R$5:$R$304,0))&amp;"","?"))</f>
        <v>16</v>
      </c>
      <c r="N147" s="2" t="str">
        <f aca="false">IF(E147="","",IF(ISNUMBER(SEARCH("SUBSOLO",E147)),IFERROR(-VALUE(LEFT(E147,FIND("º",SUBSTITUTE(E147,"°","º"))-1)),-1),IF(LEFT(E147,6)="TÉRREO",0,IFERROR(VALUE(LEFT(E147,FIND("º",SUBSTITUTE(E147,"°","º"))-1)),""))))</f>
        <v/>
      </c>
      <c r="O147" s="2" t="str">
        <f aca="false">IF(OR(F147="",G147=""),"",IF(G147&lt;='RETRATO 2027'!$K$5,"CONCLUÍDA",IF(F147&lt;='RETRATO 2027'!$K$5,"EM ANDAMENTO","A INICIAR")))</f>
        <v>CONCLUÍDA</v>
      </c>
      <c r="R147" s="4" t="s">
        <v>2670</v>
      </c>
      <c r="S147" s="4" t="s">
        <v>227</v>
      </c>
      <c r="T147" s="4" t="s">
        <v>2225</v>
      </c>
      <c r="U147" s="4" t="s">
        <v>2299</v>
      </c>
      <c r="V147" s="2" t="n">
        <f aca="false">IF(R147="","",COUNTIF($C$5:$C$6004,R147))</f>
        <v>2</v>
      </c>
      <c r="W147" s="2" t="n">
        <f aca="false">IF(R147="","",COUNTIFS($C$5:$C$6004,R147,$O$5:$O$6004,"CONCLUÍDA"))</f>
        <v>0</v>
      </c>
      <c r="X147" s="2" t="n">
        <f aca="false">IF(R147="","",COUNTIFS($C$5:$C$6004,R147,$O$5:$O$6004,"EM ANDAMENTO"))</f>
        <v>0</v>
      </c>
      <c r="Y147" s="2" t="str">
        <f aca="false">IF(R147="","",IF(COUNTIFS($C$5:$C$6004,R147,$O$5:$O$6004,"CONCLUÍDA",$N$5:$N$6004,"&gt;=-99")=0,"",_xlfn.MAXIFS($N$5:$N$6004,$C$5:$C$6004,R147,$O$5:$O$6004,"CONCLUÍDA")))</f>
        <v/>
      </c>
      <c r="Z147" s="2" t="str">
        <f aca="false">IF(R147="","",IF(COUNTIFS($C$5:$C$6004,R147,$O$5:$O$6004,"EM ANDAMENTO",$N$5:$N$6004,"&gt;=-99")=0,"",_xlfn.MAXIFS($N$5:$N$6004,$C$5:$C$6004,R147,$O$5:$O$6004,"EM ANDAMENTO")))</f>
        <v/>
      </c>
      <c r="AA147" s="2" t="str">
        <f aca="false"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 customFormat="false" ht="15" hidden="false" customHeight="false" outlineLevel="0" collapsed="false">
      <c r="B148" s="4" t="n">
        <v>28389400</v>
      </c>
      <c r="C148" s="4" t="s">
        <v>2329</v>
      </c>
      <c r="D148" s="4" t="s">
        <v>2671</v>
      </c>
      <c r="E148" s="4" t="s">
        <v>81</v>
      </c>
      <c r="F148" s="127" t="n">
        <v>46136</v>
      </c>
      <c r="G148" s="127" t="n">
        <v>46139</v>
      </c>
      <c r="H148" s="127" t="n">
        <v>46289</v>
      </c>
      <c r="I148" s="4" t="n">
        <v>0</v>
      </c>
      <c r="J148" s="4" t="n">
        <v>100</v>
      </c>
      <c r="K148" s="4" t="n">
        <v>100</v>
      </c>
      <c r="M148" s="2" t="str">
        <f aca="false">IF(C148="","",IFERROR(INDEX($S$5:$S$304,MATCH(C148,$R$5:$R$304,0))&amp;"","?"))</f>
        <v>16</v>
      </c>
      <c r="N148" s="2" t="str">
        <f aca="false">IF(E148="","",IF(ISNUMBER(SEARCH("SUBSOLO",E148)),IFERROR(-VALUE(LEFT(E148,FIND("º",SUBSTITUTE(E148,"°","º"))-1)),-1),IF(LEFT(E148,6)="TÉRREO",0,IFERROR(VALUE(LEFT(E148,FIND("º",SUBSTITUTE(E148,"°","º"))-1)),""))))</f>
        <v/>
      </c>
      <c r="O148" s="2" t="str">
        <f aca="false">IF(OR(F148="",G148=""),"",IF(G148&lt;='RETRATO 2027'!$K$5,"CONCLUÍDA",IF(F148&lt;='RETRATO 2027'!$K$5,"EM ANDAMENTO","A INICIAR")))</f>
        <v>CONCLUÍDA</v>
      </c>
      <c r="R148" s="4" t="s">
        <v>2672</v>
      </c>
      <c r="S148" s="4" t="s">
        <v>212</v>
      </c>
      <c r="T148" s="4" t="s">
        <v>2673</v>
      </c>
      <c r="U148" s="4" t="s">
        <v>2299</v>
      </c>
      <c r="V148" s="2" t="n">
        <f aca="false">IF(R148="","",COUNTIF($C$5:$C$6004,R148))</f>
        <v>1</v>
      </c>
      <c r="W148" s="2" t="n">
        <f aca="false">IF(R148="","",COUNTIFS($C$5:$C$6004,R148,$O$5:$O$6004,"CONCLUÍDA"))</f>
        <v>0</v>
      </c>
      <c r="X148" s="2" t="n">
        <f aca="false">IF(R148="","",COUNTIFS($C$5:$C$6004,R148,$O$5:$O$6004,"EM ANDAMENTO"))</f>
        <v>0</v>
      </c>
      <c r="Y148" s="2" t="str">
        <f aca="false">IF(R148="","",IF(COUNTIFS($C$5:$C$6004,R148,$O$5:$O$6004,"CONCLUÍDA",$N$5:$N$6004,"&gt;=-99")=0,"",_xlfn.MAXIFS($N$5:$N$6004,$C$5:$C$6004,R148,$O$5:$O$6004,"CONCLUÍDA")))</f>
        <v/>
      </c>
      <c r="Z148" s="2" t="str">
        <f aca="false">IF(R148="","",IF(COUNTIFS($C$5:$C$6004,R148,$O$5:$O$6004,"EM ANDAMENTO",$N$5:$N$6004,"&gt;=-99")=0,"",_xlfn.MAXIFS($N$5:$N$6004,$C$5:$C$6004,R148,$O$5:$O$6004,"EM ANDAMENTO")))</f>
        <v/>
      </c>
      <c r="AA148" s="2" t="str">
        <f aca="false"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 customFormat="false" ht="15" hidden="false" customHeight="false" outlineLevel="0" collapsed="false">
      <c r="B149" s="4" t="n">
        <v>44503801</v>
      </c>
      <c r="C149" s="4" t="s">
        <v>2331</v>
      </c>
      <c r="D149" s="4" t="s">
        <v>463</v>
      </c>
      <c r="E149" s="4" t="s">
        <v>81</v>
      </c>
      <c r="F149" s="127" t="n">
        <v>46134</v>
      </c>
      <c r="G149" s="127" t="n">
        <v>46157</v>
      </c>
      <c r="H149" s="127" t="n">
        <v>46289</v>
      </c>
      <c r="I149" s="4" t="n">
        <v>0</v>
      </c>
      <c r="J149" s="4" t="n">
        <v>100</v>
      </c>
      <c r="K149" s="4" t="n">
        <v>100</v>
      </c>
      <c r="M149" s="2" t="str">
        <f aca="false">IF(C149="","",IFERROR(INDEX($S$5:$S$304,MATCH(C149,$R$5:$R$304,0))&amp;"","?"))</f>
        <v>16</v>
      </c>
      <c r="N149" s="2" t="str">
        <f aca="false">IF(E149="","",IF(ISNUMBER(SEARCH("SUBSOLO",E149)),IFERROR(-VALUE(LEFT(E149,FIND("º",SUBSTITUTE(E149,"°","º"))-1)),-1),IF(LEFT(E149,6)="TÉRREO",0,IFERROR(VALUE(LEFT(E149,FIND("º",SUBSTITUTE(E149,"°","º"))-1)),""))))</f>
        <v/>
      </c>
      <c r="O149" s="2" t="str">
        <f aca="false">IF(OR(F149="",G149=""),"",IF(G149&lt;='RETRATO 2027'!$K$5,"CONCLUÍDA",IF(F149&lt;='RETRATO 2027'!$K$5,"EM ANDAMENTO","A INICIAR")))</f>
        <v>CONCLUÍDA</v>
      </c>
      <c r="R149" s="4" t="s">
        <v>2674</v>
      </c>
      <c r="S149" s="4" t="s">
        <v>223</v>
      </c>
      <c r="T149" s="4" t="s">
        <v>2675</v>
      </c>
      <c r="U149" s="4" t="s">
        <v>2305</v>
      </c>
      <c r="V149" s="2" t="n">
        <f aca="false">IF(R149="","",COUNTIF($C$5:$C$6004,R149))</f>
        <v>5</v>
      </c>
      <c r="W149" s="2" t="n">
        <f aca="false">IF(R149="","",COUNTIFS($C$5:$C$6004,R149,$O$5:$O$6004,"CONCLUÍDA"))</f>
        <v>0</v>
      </c>
      <c r="X149" s="2" t="n">
        <f aca="false">IF(R149="","",COUNTIFS($C$5:$C$6004,R149,$O$5:$O$6004,"EM ANDAMENTO"))</f>
        <v>0</v>
      </c>
      <c r="Y149" s="2" t="str">
        <f aca="false">IF(R149="","",IF(COUNTIFS($C$5:$C$6004,R149,$O$5:$O$6004,"CONCLUÍDA",$N$5:$N$6004,"&gt;=-99")=0,"",_xlfn.MAXIFS($N$5:$N$6004,$C$5:$C$6004,R149,$O$5:$O$6004,"CONCLUÍDA")))</f>
        <v/>
      </c>
      <c r="Z149" s="2" t="str">
        <f aca="false">IF(R149="","",IF(COUNTIFS($C$5:$C$6004,R149,$O$5:$O$6004,"EM ANDAMENTO",$N$5:$N$6004,"&gt;=-99")=0,"",_xlfn.MAXIFS($N$5:$N$6004,$C$5:$C$6004,R149,$O$5:$O$6004,"EM ANDAMENTO")))</f>
        <v/>
      </c>
      <c r="AA149" s="2" t="str">
        <f aca="false"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 customFormat="false" ht="15" hidden="false" customHeight="false" outlineLevel="0" collapsed="false">
      <c r="B150" s="4" t="n">
        <v>28389424</v>
      </c>
      <c r="C150" s="4" t="s">
        <v>2331</v>
      </c>
      <c r="D150" s="4" t="s">
        <v>2676</v>
      </c>
      <c r="E150" s="4" t="s">
        <v>81</v>
      </c>
      <c r="F150" s="127" t="n">
        <v>46134</v>
      </c>
      <c r="G150" s="127" t="n">
        <v>46142</v>
      </c>
      <c r="H150" s="127" t="n">
        <v>46289</v>
      </c>
      <c r="I150" s="4" t="n">
        <v>0</v>
      </c>
      <c r="J150" s="4" t="n">
        <v>100</v>
      </c>
      <c r="K150" s="4" t="n">
        <v>100</v>
      </c>
      <c r="M150" s="2" t="str">
        <f aca="false">IF(C150="","",IFERROR(INDEX($S$5:$S$304,MATCH(C150,$R$5:$R$304,0))&amp;"","?"))</f>
        <v>16</v>
      </c>
      <c r="N150" s="2" t="str">
        <f aca="false">IF(E150="","",IF(ISNUMBER(SEARCH("SUBSOLO",E150)),IFERROR(-VALUE(LEFT(E150,FIND("º",SUBSTITUTE(E150,"°","º"))-1)),-1),IF(LEFT(E150,6)="TÉRREO",0,IFERROR(VALUE(LEFT(E150,FIND("º",SUBSTITUTE(E150,"°","º"))-1)),""))))</f>
        <v/>
      </c>
      <c r="O150" s="2" t="str">
        <f aca="false">IF(OR(F150="",G150=""),"",IF(G150&lt;='RETRATO 2027'!$K$5,"CONCLUÍDA",IF(F150&lt;='RETRATO 2027'!$K$5,"EM ANDAMENTO","A INICIAR")))</f>
        <v>CONCLUÍDA</v>
      </c>
      <c r="R150" s="4" t="s">
        <v>228</v>
      </c>
      <c r="S150" s="4" t="s">
        <v>227</v>
      </c>
      <c r="T150" s="4" t="s">
        <v>2221</v>
      </c>
      <c r="U150" s="4" t="s">
        <v>2299</v>
      </c>
      <c r="V150" s="2" t="n">
        <f aca="false">IF(R150="","",COUNTIF($C$5:$C$6004,R150))</f>
        <v>7</v>
      </c>
      <c r="W150" s="2" t="n">
        <f aca="false">IF(R150="","",COUNTIFS($C$5:$C$6004,R150,$O$5:$O$6004,"CONCLUÍDA"))</f>
        <v>0</v>
      </c>
      <c r="X150" s="2" t="n">
        <f aca="false">IF(R150="","",COUNTIFS($C$5:$C$6004,R150,$O$5:$O$6004,"EM ANDAMENTO"))</f>
        <v>0</v>
      </c>
      <c r="Y150" s="2" t="str">
        <f aca="false">IF(R150="","",IF(COUNTIFS($C$5:$C$6004,R150,$O$5:$O$6004,"CONCLUÍDA",$N$5:$N$6004,"&gt;=-99")=0,"",_xlfn.MAXIFS($N$5:$N$6004,$C$5:$C$6004,R150,$O$5:$O$6004,"CONCLUÍDA")))</f>
        <v/>
      </c>
      <c r="Z150" s="2" t="str">
        <f aca="false">IF(R150="","",IF(COUNTIFS($C$5:$C$6004,R150,$O$5:$O$6004,"EM ANDAMENTO",$N$5:$N$6004,"&gt;=-99")=0,"",_xlfn.MAXIFS($N$5:$N$6004,$C$5:$C$6004,R150,$O$5:$O$6004,"EM ANDAMENTO")))</f>
        <v/>
      </c>
      <c r="AA150" s="2" t="str">
        <f aca="false"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 customFormat="false" ht="15" hidden="false" customHeight="false" outlineLevel="0" collapsed="false">
      <c r="B151" s="4" t="n">
        <v>28389425</v>
      </c>
      <c r="C151" s="4" t="s">
        <v>2331</v>
      </c>
      <c r="D151" s="4" t="s">
        <v>2677</v>
      </c>
      <c r="E151" s="4" t="s">
        <v>81</v>
      </c>
      <c r="F151" s="127" t="n">
        <v>46134</v>
      </c>
      <c r="G151" s="127" t="n">
        <v>46142</v>
      </c>
      <c r="H151" s="127" t="n">
        <v>46289</v>
      </c>
      <c r="I151" s="4" t="n">
        <v>0</v>
      </c>
      <c r="J151" s="4" t="n">
        <v>100</v>
      </c>
      <c r="K151" s="4" t="n">
        <v>100</v>
      </c>
      <c r="M151" s="2" t="str">
        <f aca="false">IF(C151="","",IFERROR(INDEX($S$5:$S$304,MATCH(C151,$R$5:$R$304,0))&amp;"","?"))</f>
        <v>16</v>
      </c>
      <c r="N151" s="2" t="str">
        <f aca="false">IF(E151="","",IF(ISNUMBER(SEARCH("SUBSOLO",E151)),IFERROR(-VALUE(LEFT(E151,FIND("º",SUBSTITUTE(E151,"°","º"))-1)),-1),IF(LEFT(E151,6)="TÉRREO",0,IFERROR(VALUE(LEFT(E151,FIND("º",SUBSTITUTE(E151,"°","º"))-1)),""))))</f>
        <v/>
      </c>
      <c r="O151" s="2" t="str">
        <f aca="false">IF(OR(F151="",G151=""),"",IF(G151&lt;='RETRATO 2027'!$K$5,"CONCLUÍDA",IF(F151&lt;='RETRATO 2027'!$K$5,"EM ANDAMENTO","A INICIAR")))</f>
        <v>CONCLUÍDA</v>
      </c>
      <c r="R151" s="4" t="s">
        <v>2678</v>
      </c>
      <c r="S151" s="4" t="s">
        <v>212</v>
      </c>
      <c r="T151" s="4" t="s">
        <v>2679</v>
      </c>
      <c r="U151" s="4" t="s">
        <v>2299</v>
      </c>
      <c r="V151" s="2" t="n">
        <f aca="false">IF(R151="","",COUNTIF($C$5:$C$6004,R151))</f>
        <v>1</v>
      </c>
      <c r="W151" s="2" t="n">
        <f aca="false">IF(R151="","",COUNTIFS($C$5:$C$6004,R151,$O$5:$O$6004,"CONCLUÍDA"))</f>
        <v>0</v>
      </c>
      <c r="X151" s="2" t="n">
        <f aca="false">IF(R151="","",COUNTIFS($C$5:$C$6004,R151,$O$5:$O$6004,"EM ANDAMENTO"))</f>
        <v>0</v>
      </c>
      <c r="Y151" s="2" t="str">
        <f aca="false">IF(R151="","",IF(COUNTIFS($C$5:$C$6004,R151,$O$5:$O$6004,"CONCLUÍDA",$N$5:$N$6004,"&gt;=-99")=0,"",_xlfn.MAXIFS($N$5:$N$6004,$C$5:$C$6004,R151,$O$5:$O$6004,"CONCLUÍDA")))</f>
        <v/>
      </c>
      <c r="Z151" s="2" t="str">
        <f aca="false">IF(R151="","",IF(COUNTIFS($C$5:$C$6004,R151,$O$5:$O$6004,"EM ANDAMENTO",$N$5:$N$6004,"&gt;=-99")=0,"",_xlfn.MAXIFS($N$5:$N$6004,$C$5:$C$6004,R151,$O$5:$O$6004,"EM ANDAMENTO")))</f>
        <v/>
      </c>
      <c r="AA151" s="2" t="str">
        <f aca="false"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 customFormat="false" ht="15" hidden="false" customHeight="false" outlineLevel="0" collapsed="false">
      <c r="B152" s="4" t="n">
        <v>28389426</v>
      </c>
      <c r="C152" s="4" t="s">
        <v>2331</v>
      </c>
      <c r="D152" s="4" t="s">
        <v>2680</v>
      </c>
      <c r="E152" s="4" t="s">
        <v>81</v>
      </c>
      <c r="F152" s="127" t="n">
        <v>46134</v>
      </c>
      <c r="G152" s="127" t="n">
        <v>46141</v>
      </c>
      <c r="H152" s="127" t="n">
        <v>46289</v>
      </c>
      <c r="I152" s="4" t="n">
        <v>0</v>
      </c>
      <c r="J152" s="4" t="n">
        <v>100</v>
      </c>
      <c r="K152" s="4" t="n">
        <v>100</v>
      </c>
      <c r="M152" s="2" t="str">
        <f aca="false">IF(C152="","",IFERROR(INDEX($S$5:$S$304,MATCH(C152,$R$5:$R$304,0))&amp;"","?"))</f>
        <v>16</v>
      </c>
      <c r="N152" s="2" t="str">
        <f aca="false">IF(E152="","",IF(ISNUMBER(SEARCH("SUBSOLO",E152)),IFERROR(-VALUE(LEFT(E152,FIND("º",SUBSTITUTE(E152,"°","º"))-1)),-1),IF(LEFT(E152,6)="TÉRREO",0,IFERROR(VALUE(LEFT(E152,FIND("º",SUBSTITUTE(E152,"°","º"))-1)),""))))</f>
        <v/>
      </c>
      <c r="O152" s="2" t="str">
        <f aca="false">IF(OR(F152="",G152=""),"",IF(G152&lt;='RETRATO 2027'!$K$5,"CONCLUÍDA",IF(F152&lt;='RETRATO 2027'!$K$5,"EM ANDAMENTO","A INICIAR")))</f>
        <v>CONCLUÍDA</v>
      </c>
      <c r="R152" s="4" t="s">
        <v>2681</v>
      </c>
      <c r="S152" s="4" t="s">
        <v>176</v>
      </c>
      <c r="T152" s="4" t="s">
        <v>2682</v>
      </c>
      <c r="U152" s="4" t="s">
        <v>2305</v>
      </c>
      <c r="V152" s="2" t="n">
        <f aca="false">IF(R152="","",COUNTIF($C$5:$C$6004,R152))</f>
        <v>1</v>
      </c>
      <c r="W152" s="2" t="n">
        <f aca="false">IF(R152="","",COUNTIFS($C$5:$C$6004,R152,$O$5:$O$6004,"CONCLUÍDA"))</f>
        <v>0</v>
      </c>
      <c r="X152" s="2" t="n">
        <f aca="false">IF(R152="","",COUNTIFS($C$5:$C$6004,R152,$O$5:$O$6004,"EM ANDAMENTO"))</f>
        <v>0</v>
      </c>
      <c r="Y152" s="2" t="str">
        <f aca="false">IF(R152="","",IF(COUNTIFS($C$5:$C$6004,R152,$O$5:$O$6004,"CONCLUÍDA",$N$5:$N$6004,"&gt;=-99")=0,"",_xlfn.MAXIFS($N$5:$N$6004,$C$5:$C$6004,R152,$O$5:$O$6004,"CONCLUÍDA")))</f>
        <v/>
      </c>
      <c r="Z152" s="2" t="str">
        <f aca="false">IF(R152="","",IF(COUNTIFS($C$5:$C$6004,R152,$O$5:$O$6004,"EM ANDAMENTO",$N$5:$N$6004,"&gt;=-99")=0,"",_xlfn.MAXIFS($N$5:$N$6004,$C$5:$C$6004,R152,$O$5:$O$6004,"EM ANDAMENTO")))</f>
        <v/>
      </c>
      <c r="AA152" s="2" t="str">
        <f aca="false"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 customFormat="false" ht="15" hidden="false" customHeight="false" outlineLevel="0" collapsed="false">
      <c r="B153" s="4" t="n">
        <v>28389427</v>
      </c>
      <c r="C153" s="4" t="s">
        <v>2331</v>
      </c>
      <c r="D153" s="4" t="s">
        <v>2683</v>
      </c>
      <c r="E153" s="4" t="s">
        <v>81</v>
      </c>
      <c r="F153" s="127" t="n">
        <v>46142</v>
      </c>
      <c r="G153" s="127" t="n">
        <v>46142</v>
      </c>
      <c r="H153" s="127" t="n">
        <v>46289</v>
      </c>
      <c r="I153" s="4" t="n">
        <v>0</v>
      </c>
      <c r="J153" s="4" t="n">
        <v>100</v>
      </c>
      <c r="K153" s="4" t="n">
        <v>100</v>
      </c>
      <c r="M153" s="2" t="str">
        <f aca="false">IF(C153="","",IFERROR(INDEX($S$5:$S$304,MATCH(C153,$R$5:$R$304,0))&amp;"","?"))</f>
        <v>16</v>
      </c>
      <c r="N153" s="2" t="str">
        <f aca="false">IF(E153="","",IF(ISNUMBER(SEARCH("SUBSOLO",E153)),IFERROR(-VALUE(LEFT(E153,FIND("º",SUBSTITUTE(E153,"°","º"))-1)),-1),IF(LEFT(E153,6)="TÉRREO",0,IFERROR(VALUE(LEFT(E153,FIND("º",SUBSTITUTE(E153,"°","º"))-1)),""))))</f>
        <v/>
      </c>
      <c r="O153" s="2" t="str">
        <f aca="false">IF(OR(F153="",G153=""),"",IF(G153&lt;='RETRATO 2027'!$K$5,"CONCLUÍDA",IF(F153&lt;='RETRATO 2027'!$K$5,"EM ANDAMENTO","A INICIAR")))</f>
        <v>CONCLUÍDA</v>
      </c>
      <c r="R153" s="4" t="s">
        <v>2684</v>
      </c>
      <c r="S153" s="4" t="s">
        <v>189</v>
      </c>
      <c r="T153" s="4" t="s">
        <v>2685</v>
      </c>
      <c r="U153" s="4" t="s">
        <v>2305</v>
      </c>
      <c r="V153" s="2" t="n">
        <f aca="false">IF(R153="","",COUNTIF($C$5:$C$6004,R153))</f>
        <v>1</v>
      </c>
      <c r="W153" s="2" t="n">
        <f aca="false">IF(R153="","",COUNTIFS($C$5:$C$6004,R153,$O$5:$O$6004,"CONCLUÍDA"))</f>
        <v>0</v>
      </c>
      <c r="X153" s="2" t="n">
        <f aca="false">IF(R153="","",COUNTIFS($C$5:$C$6004,R153,$O$5:$O$6004,"EM ANDAMENTO"))</f>
        <v>0</v>
      </c>
      <c r="Y153" s="2" t="str">
        <f aca="false">IF(R153="","",IF(COUNTIFS($C$5:$C$6004,R153,$O$5:$O$6004,"CONCLUÍDA",$N$5:$N$6004,"&gt;=-99")=0,"",_xlfn.MAXIFS($N$5:$N$6004,$C$5:$C$6004,R153,$O$5:$O$6004,"CONCLUÍDA")))</f>
        <v/>
      </c>
      <c r="Z153" s="2" t="str">
        <f aca="false">IF(R153="","",IF(COUNTIFS($C$5:$C$6004,R153,$O$5:$O$6004,"EM ANDAMENTO",$N$5:$N$6004,"&gt;=-99")=0,"",_xlfn.MAXIFS($N$5:$N$6004,$C$5:$C$6004,R153,$O$5:$O$6004,"EM ANDAMENTO")))</f>
        <v/>
      </c>
      <c r="AA153" s="2" t="str">
        <f aca="false"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 customFormat="false" ht="15" hidden="false" customHeight="false" outlineLevel="0" collapsed="false">
      <c r="B154" s="4" t="n">
        <v>28389428</v>
      </c>
      <c r="C154" s="4" t="s">
        <v>2331</v>
      </c>
      <c r="D154" s="4" t="s">
        <v>2686</v>
      </c>
      <c r="E154" s="4" t="s">
        <v>81</v>
      </c>
      <c r="F154" s="127" t="n">
        <v>46146</v>
      </c>
      <c r="G154" s="127" t="n">
        <v>46150</v>
      </c>
      <c r="H154" s="127" t="n">
        <v>46289</v>
      </c>
      <c r="I154" s="4" t="n">
        <v>0</v>
      </c>
      <c r="J154" s="4" t="n">
        <v>100</v>
      </c>
      <c r="K154" s="4" t="n">
        <v>100</v>
      </c>
      <c r="M154" s="2" t="str">
        <f aca="false">IF(C154="","",IFERROR(INDEX($S$5:$S$304,MATCH(C154,$R$5:$R$304,0))&amp;"","?"))</f>
        <v>16</v>
      </c>
      <c r="N154" s="2" t="str">
        <f aca="false">IF(E154="","",IF(ISNUMBER(SEARCH("SUBSOLO",E154)),IFERROR(-VALUE(LEFT(E154,FIND("º",SUBSTITUTE(E154,"°","º"))-1)),-1),IF(LEFT(E154,6)="TÉRREO",0,IFERROR(VALUE(LEFT(E154,FIND("º",SUBSTITUTE(E154,"°","º"))-1)),""))))</f>
        <v/>
      </c>
      <c r="O154" s="2" t="str">
        <f aca="false">IF(OR(F154="",G154=""),"",IF(G154&lt;='RETRATO 2027'!$K$5,"CONCLUÍDA",IF(F154&lt;='RETRATO 2027'!$K$5,"EM ANDAMENTO","A INICIAR")))</f>
        <v>CONCLUÍDA</v>
      </c>
      <c r="R154" s="4" t="s">
        <v>2687</v>
      </c>
      <c r="S154" s="4" t="s">
        <v>223</v>
      </c>
      <c r="T154" s="4" t="s">
        <v>2688</v>
      </c>
      <c r="U154" s="4" t="s">
        <v>2305</v>
      </c>
      <c r="V154" s="2" t="n">
        <f aca="false">IF(R154="","",COUNTIF($C$5:$C$6004,R154))</f>
        <v>1</v>
      </c>
      <c r="W154" s="2" t="n">
        <f aca="false">IF(R154="","",COUNTIFS($C$5:$C$6004,R154,$O$5:$O$6004,"CONCLUÍDA"))</f>
        <v>0</v>
      </c>
      <c r="X154" s="2" t="n">
        <f aca="false">IF(R154="","",COUNTIFS($C$5:$C$6004,R154,$O$5:$O$6004,"EM ANDAMENTO"))</f>
        <v>0</v>
      </c>
      <c r="Y154" s="2" t="str">
        <f aca="false">IF(R154="","",IF(COUNTIFS($C$5:$C$6004,R154,$O$5:$O$6004,"CONCLUÍDA",$N$5:$N$6004,"&gt;=-99")=0,"",_xlfn.MAXIFS($N$5:$N$6004,$C$5:$C$6004,R154,$O$5:$O$6004,"CONCLUÍDA")))</f>
        <v/>
      </c>
      <c r="Z154" s="2" t="str">
        <f aca="false">IF(R154="","",IF(COUNTIFS($C$5:$C$6004,R154,$O$5:$O$6004,"EM ANDAMENTO",$N$5:$N$6004,"&gt;=-99")=0,"",_xlfn.MAXIFS($N$5:$N$6004,$C$5:$C$6004,R154,$O$5:$O$6004,"EM ANDAMENTO")))</f>
        <v/>
      </c>
      <c r="AA154" s="2" t="str">
        <f aca="false"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 customFormat="false" ht="15" hidden="false" customHeight="false" outlineLevel="0" collapsed="false">
      <c r="B155" s="4" t="n">
        <v>28645952</v>
      </c>
      <c r="C155" s="4" t="s">
        <v>2331</v>
      </c>
      <c r="D155" s="4" t="s">
        <v>2689</v>
      </c>
      <c r="E155" s="4" t="s">
        <v>81</v>
      </c>
      <c r="F155" s="127" t="n">
        <v>46142</v>
      </c>
      <c r="G155" s="127" t="n">
        <v>46150</v>
      </c>
      <c r="H155" s="127" t="n">
        <v>46289</v>
      </c>
      <c r="I155" s="4" t="n">
        <v>0</v>
      </c>
      <c r="J155" s="4" t="n">
        <v>100</v>
      </c>
      <c r="K155" s="4" t="n">
        <v>100</v>
      </c>
      <c r="M155" s="2" t="str">
        <f aca="false">IF(C155="","",IFERROR(INDEX($S$5:$S$304,MATCH(C155,$R$5:$R$304,0))&amp;"","?"))</f>
        <v>16</v>
      </c>
      <c r="N155" s="2" t="str">
        <f aca="false">IF(E155="","",IF(ISNUMBER(SEARCH("SUBSOLO",E155)),IFERROR(-VALUE(LEFT(E155,FIND("º",SUBSTITUTE(E155,"°","º"))-1)),-1),IF(LEFT(E155,6)="TÉRREO",0,IFERROR(VALUE(LEFT(E155,FIND("º",SUBSTITUTE(E155,"°","º"))-1)),""))))</f>
        <v/>
      </c>
      <c r="O155" s="2" t="str">
        <f aca="false">IF(OR(F155="",G155=""),"",IF(G155&lt;='RETRATO 2027'!$K$5,"CONCLUÍDA",IF(F155&lt;='RETRATO 2027'!$K$5,"EM ANDAMENTO","A INICIAR")))</f>
        <v>CONCLUÍDA</v>
      </c>
      <c r="R155" s="4" t="s">
        <v>2690</v>
      </c>
      <c r="S155" s="4" t="s">
        <v>230</v>
      </c>
      <c r="T155" s="4" t="s">
        <v>2691</v>
      </c>
      <c r="U155" s="4" t="s">
        <v>2299</v>
      </c>
      <c r="V155" s="2" t="n">
        <f aca="false">IF(R155="","",COUNTIF($C$5:$C$6004,R155))</f>
        <v>12</v>
      </c>
      <c r="W155" s="2" t="n">
        <f aca="false">IF(R155="","",COUNTIFS($C$5:$C$6004,R155,$O$5:$O$6004,"CONCLUÍDA"))</f>
        <v>0</v>
      </c>
      <c r="X155" s="2" t="n">
        <f aca="false">IF(R155="","",COUNTIFS($C$5:$C$6004,R155,$O$5:$O$6004,"EM ANDAMENTO"))</f>
        <v>0</v>
      </c>
      <c r="Y155" s="2" t="str">
        <f aca="false">IF(R155="","",IF(COUNTIFS($C$5:$C$6004,R155,$O$5:$O$6004,"CONCLUÍDA",$N$5:$N$6004,"&gt;=-99")=0,"",_xlfn.MAXIFS($N$5:$N$6004,$C$5:$C$6004,R155,$O$5:$O$6004,"CONCLUÍDA")))</f>
        <v/>
      </c>
      <c r="Z155" s="2" t="str">
        <f aca="false">IF(R155="","",IF(COUNTIFS($C$5:$C$6004,R155,$O$5:$O$6004,"EM ANDAMENTO",$N$5:$N$6004,"&gt;=-99")=0,"",_xlfn.MAXIFS($N$5:$N$6004,$C$5:$C$6004,R155,$O$5:$O$6004,"EM ANDAMENTO")))</f>
        <v/>
      </c>
      <c r="AA155" s="2" t="str">
        <f aca="false"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 customFormat="false" ht="15" hidden="false" customHeight="false" outlineLevel="0" collapsed="false">
      <c r="B156" s="4" t="n">
        <v>28645953</v>
      </c>
      <c r="C156" s="4" t="s">
        <v>2331</v>
      </c>
      <c r="D156" s="4" t="s">
        <v>2692</v>
      </c>
      <c r="E156" s="4" t="s">
        <v>81</v>
      </c>
      <c r="F156" s="127" t="n">
        <v>46146</v>
      </c>
      <c r="G156" s="127" t="n">
        <v>46150</v>
      </c>
      <c r="H156" s="127" t="n">
        <v>46289</v>
      </c>
      <c r="I156" s="4" t="n">
        <v>0</v>
      </c>
      <c r="J156" s="4" t="n">
        <v>100</v>
      </c>
      <c r="K156" s="4" t="n">
        <v>100</v>
      </c>
      <c r="M156" s="2" t="str">
        <f aca="false">IF(C156="","",IFERROR(INDEX($S$5:$S$304,MATCH(C156,$R$5:$R$304,0))&amp;"","?"))</f>
        <v>16</v>
      </c>
      <c r="N156" s="2" t="str">
        <f aca="false">IF(E156="","",IF(ISNUMBER(SEARCH("SUBSOLO",E156)),IFERROR(-VALUE(LEFT(E156,FIND("º",SUBSTITUTE(E156,"°","º"))-1)),-1),IF(LEFT(E156,6)="TÉRREO",0,IFERROR(VALUE(LEFT(E156,FIND("º",SUBSTITUTE(E156,"°","º"))-1)),""))))</f>
        <v/>
      </c>
      <c r="O156" s="2" t="str">
        <f aca="false">IF(OR(F156="",G156=""),"",IF(G156&lt;='RETRATO 2027'!$K$5,"CONCLUÍDA",IF(F156&lt;='RETRATO 2027'!$K$5,"EM ANDAMENTO","A INICIAR")))</f>
        <v>CONCLUÍDA</v>
      </c>
      <c r="R156" s="4" t="s">
        <v>2693</v>
      </c>
      <c r="S156" s="4" t="s">
        <v>185</v>
      </c>
      <c r="T156" s="4" t="s">
        <v>2694</v>
      </c>
      <c r="U156" s="4" t="s">
        <v>2299</v>
      </c>
      <c r="V156" s="2" t="n">
        <f aca="false">IF(R156="","",COUNTIF($C$5:$C$6004,R156))</f>
        <v>1</v>
      </c>
      <c r="W156" s="2" t="n">
        <f aca="false">IF(R156="","",COUNTIFS($C$5:$C$6004,R156,$O$5:$O$6004,"CONCLUÍDA"))</f>
        <v>0</v>
      </c>
      <c r="X156" s="2" t="n">
        <f aca="false">IF(R156="","",COUNTIFS($C$5:$C$6004,R156,$O$5:$O$6004,"EM ANDAMENTO"))</f>
        <v>0</v>
      </c>
      <c r="Y156" s="2" t="str">
        <f aca="false">IF(R156="","",IF(COUNTIFS($C$5:$C$6004,R156,$O$5:$O$6004,"CONCLUÍDA",$N$5:$N$6004,"&gt;=-99")=0,"",_xlfn.MAXIFS($N$5:$N$6004,$C$5:$C$6004,R156,$O$5:$O$6004,"CONCLUÍDA")))</f>
        <v/>
      </c>
      <c r="Z156" s="2" t="str">
        <f aca="false">IF(R156="","",IF(COUNTIFS($C$5:$C$6004,R156,$O$5:$O$6004,"EM ANDAMENTO",$N$5:$N$6004,"&gt;=-99")=0,"",_xlfn.MAXIFS($N$5:$N$6004,$C$5:$C$6004,R156,$O$5:$O$6004,"EM ANDAMENTO")))</f>
        <v/>
      </c>
      <c r="AA156" s="2" t="str">
        <f aca="false"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 customFormat="false" ht="15" hidden="false" customHeight="false" outlineLevel="0" collapsed="false">
      <c r="B157" s="4" t="n">
        <v>28645954</v>
      </c>
      <c r="C157" s="4" t="s">
        <v>2331</v>
      </c>
      <c r="D157" s="4" t="s">
        <v>2695</v>
      </c>
      <c r="E157" s="4" t="s">
        <v>81</v>
      </c>
      <c r="F157" s="127" t="n">
        <v>46150</v>
      </c>
      <c r="G157" s="127" t="n">
        <v>46150</v>
      </c>
      <c r="H157" s="127" t="n">
        <v>46289</v>
      </c>
      <c r="I157" s="4" t="n">
        <v>0</v>
      </c>
      <c r="J157" s="4" t="n">
        <v>100</v>
      </c>
      <c r="K157" s="4" t="n">
        <v>100</v>
      </c>
      <c r="M157" s="2" t="str">
        <f aca="false">IF(C157="","",IFERROR(INDEX($S$5:$S$304,MATCH(C157,$R$5:$R$304,0))&amp;"","?"))</f>
        <v>16</v>
      </c>
      <c r="N157" s="2" t="str">
        <f aca="false">IF(E157="","",IF(ISNUMBER(SEARCH("SUBSOLO",E157)),IFERROR(-VALUE(LEFT(E157,FIND("º",SUBSTITUTE(E157,"°","º"))-1)),-1),IF(LEFT(E157,6)="TÉRREO",0,IFERROR(VALUE(LEFT(E157,FIND("º",SUBSTITUTE(E157,"°","º"))-1)),""))))</f>
        <v/>
      </c>
      <c r="O157" s="2" t="str">
        <f aca="false">IF(OR(F157="",G157=""),"",IF(G157&lt;='RETRATO 2027'!$K$5,"CONCLUÍDA",IF(F157&lt;='RETRATO 2027'!$K$5,"EM ANDAMENTO","A INICIAR")))</f>
        <v>CONCLUÍDA</v>
      </c>
      <c r="R157" s="4" t="s">
        <v>2696</v>
      </c>
      <c r="S157" s="4" t="s">
        <v>212</v>
      </c>
      <c r="T157" s="4" t="s">
        <v>2697</v>
      </c>
      <c r="U157" s="4" t="s">
        <v>2299</v>
      </c>
      <c r="V157" s="2" t="n">
        <f aca="false">IF(R157="","",COUNTIF($C$5:$C$6004,R157))</f>
        <v>1</v>
      </c>
      <c r="W157" s="2" t="n">
        <f aca="false">IF(R157="","",COUNTIFS($C$5:$C$6004,R157,$O$5:$O$6004,"CONCLUÍDA"))</f>
        <v>0</v>
      </c>
      <c r="X157" s="2" t="n">
        <f aca="false">IF(R157="","",COUNTIFS($C$5:$C$6004,R157,$O$5:$O$6004,"EM ANDAMENTO"))</f>
        <v>0</v>
      </c>
      <c r="Y157" s="2" t="str">
        <f aca="false">IF(R157="","",IF(COUNTIFS($C$5:$C$6004,R157,$O$5:$O$6004,"CONCLUÍDA",$N$5:$N$6004,"&gt;=-99")=0,"",_xlfn.MAXIFS($N$5:$N$6004,$C$5:$C$6004,R157,$O$5:$O$6004,"CONCLUÍDA")))</f>
        <v/>
      </c>
      <c r="Z157" s="2" t="str">
        <f aca="false">IF(R157="","",IF(COUNTIFS($C$5:$C$6004,R157,$O$5:$O$6004,"EM ANDAMENTO",$N$5:$N$6004,"&gt;=-99")=0,"",_xlfn.MAXIFS($N$5:$N$6004,$C$5:$C$6004,R157,$O$5:$O$6004,"EM ANDAMENTO")))</f>
        <v/>
      </c>
      <c r="AA157" s="2" t="str">
        <f aca="false"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 customFormat="false" ht="15" hidden="false" customHeight="false" outlineLevel="0" collapsed="false">
      <c r="B158" s="4" t="n">
        <v>28645965</v>
      </c>
      <c r="C158" s="4" t="s">
        <v>2331</v>
      </c>
      <c r="D158" s="4" t="s">
        <v>2698</v>
      </c>
      <c r="E158" s="4" t="s">
        <v>81</v>
      </c>
      <c r="F158" s="127" t="n">
        <v>46153</v>
      </c>
      <c r="G158" s="127" t="n">
        <v>46157</v>
      </c>
      <c r="H158" s="127" t="n">
        <v>46289</v>
      </c>
      <c r="I158" s="4" t="n">
        <v>0</v>
      </c>
      <c r="J158" s="4" t="n">
        <v>100</v>
      </c>
      <c r="K158" s="4" t="n">
        <v>100</v>
      </c>
      <c r="M158" s="2" t="str">
        <f aca="false">IF(C158="","",IFERROR(INDEX($S$5:$S$304,MATCH(C158,$R$5:$R$304,0))&amp;"","?"))</f>
        <v>16</v>
      </c>
      <c r="N158" s="2" t="str">
        <f aca="false">IF(E158="","",IF(ISNUMBER(SEARCH("SUBSOLO",E158)),IFERROR(-VALUE(LEFT(E158,FIND("º",SUBSTITUTE(E158,"°","º"))-1)),-1),IF(LEFT(E158,6)="TÉRREO",0,IFERROR(VALUE(LEFT(E158,FIND("º",SUBSTITUTE(E158,"°","º"))-1)),""))))</f>
        <v/>
      </c>
      <c r="O158" s="2" t="str">
        <f aca="false">IF(OR(F158="",G158=""),"",IF(G158&lt;='RETRATO 2027'!$K$5,"CONCLUÍDA",IF(F158&lt;='RETRATO 2027'!$K$5,"EM ANDAMENTO","A INICIAR")))</f>
        <v>CONCLUÍDA</v>
      </c>
      <c r="R158" s="4" t="s">
        <v>2699</v>
      </c>
      <c r="S158" s="4" t="s">
        <v>176</v>
      </c>
      <c r="T158" s="4" t="s">
        <v>2700</v>
      </c>
      <c r="U158" s="4" t="s">
        <v>2305</v>
      </c>
      <c r="V158" s="2" t="n">
        <f aca="false">IF(R158="","",COUNTIF($C$5:$C$6004,R158))</f>
        <v>1</v>
      </c>
      <c r="W158" s="2" t="n">
        <f aca="false">IF(R158="","",COUNTIFS($C$5:$C$6004,R158,$O$5:$O$6004,"CONCLUÍDA"))</f>
        <v>0</v>
      </c>
      <c r="X158" s="2" t="n">
        <f aca="false">IF(R158="","",COUNTIFS($C$5:$C$6004,R158,$O$5:$O$6004,"EM ANDAMENTO"))</f>
        <v>0</v>
      </c>
      <c r="Y158" s="2" t="str">
        <f aca="false">IF(R158="","",IF(COUNTIFS($C$5:$C$6004,R158,$O$5:$O$6004,"CONCLUÍDA",$N$5:$N$6004,"&gt;=-99")=0,"",_xlfn.MAXIFS($N$5:$N$6004,$C$5:$C$6004,R158,$O$5:$O$6004,"CONCLUÍDA")))</f>
        <v/>
      </c>
      <c r="Z158" s="2" t="str">
        <f aca="false">IF(R158="","",IF(COUNTIFS($C$5:$C$6004,R158,$O$5:$O$6004,"EM ANDAMENTO",$N$5:$N$6004,"&gt;=-99")=0,"",_xlfn.MAXIFS($N$5:$N$6004,$C$5:$C$6004,R158,$O$5:$O$6004,"EM ANDAMENTO")))</f>
        <v/>
      </c>
      <c r="AA158" s="2" t="str">
        <f aca="false"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 customFormat="false" ht="15" hidden="false" customHeight="false" outlineLevel="0" collapsed="false">
      <c r="B159" s="4" t="n">
        <v>28645966</v>
      </c>
      <c r="C159" s="4" t="s">
        <v>2331</v>
      </c>
      <c r="D159" s="4" t="s">
        <v>2701</v>
      </c>
      <c r="E159" s="4" t="s">
        <v>81</v>
      </c>
      <c r="F159" s="127" t="n">
        <v>46153</v>
      </c>
      <c r="G159" s="127" t="n">
        <v>46157</v>
      </c>
      <c r="H159" s="127" t="n">
        <v>46289</v>
      </c>
      <c r="I159" s="4" t="n">
        <v>0</v>
      </c>
      <c r="J159" s="4" t="n">
        <v>100</v>
      </c>
      <c r="K159" s="4" t="n">
        <v>100</v>
      </c>
      <c r="M159" s="2" t="str">
        <f aca="false">IF(C159="","",IFERROR(INDEX($S$5:$S$304,MATCH(C159,$R$5:$R$304,0))&amp;"","?"))</f>
        <v>16</v>
      </c>
      <c r="N159" s="2" t="str">
        <f aca="false">IF(E159="","",IF(ISNUMBER(SEARCH("SUBSOLO",E159)),IFERROR(-VALUE(LEFT(E159,FIND("º",SUBSTITUTE(E159,"°","º"))-1)),-1),IF(LEFT(E159,6)="TÉRREO",0,IFERROR(VALUE(LEFT(E159,FIND("º",SUBSTITUTE(E159,"°","º"))-1)),""))))</f>
        <v/>
      </c>
      <c r="O159" s="2" t="str">
        <f aca="false">IF(OR(F159="",G159=""),"",IF(G159&lt;='RETRATO 2027'!$K$5,"CONCLUÍDA",IF(F159&lt;='RETRATO 2027'!$K$5,"EM ANDAMENTO","A INICIAR")))</f>
        <v>CONCLUÍDA</v>
      </c>
      <c r="R159" s="4" t="s">
        <v>2702</v>
      </c>
      <c r="S159" s="4" t="s">
        <v>189</v>
      </c>
      <c r="T159" s="4" t="s">
        <v>2703</v>
      </c>
      <c r="U159" s="4" t="s">
        <v>2305</v>
      </c>
      <c r="V159" s="2" t="n">
        <f aca="false">IF(R159="","",COUNTIF($C$5:$C$6004,R159))</f>
        <v>5</v>
      </c>
      <c r="W159" s="2" t="n">
        <f aca="false">IF(R159="","",COUNTIFS($C$5:$C$6004,R159,$O$5:$O$6004,"CONCLUÍDA"))</f>
        <v>0</v>
      </c>
      <c r="X159" s="2" t="n">
        <f aca="false">IF(R159="","",COUNTIFS($C$5:$C$6004,R159,$O$5:$O$6004,"EM ANDAMENTO"))</f>
        <v>0</v>
      </c>
      <c r="Y159" s="2" t="str">
        <f aca="false">IF(R159="","",IF(COUNTIFS($C$5:$C$6004,R159,$O$5:$O$6004,"CONCLUÍDA",$N$5:$N$6004,"&gt;=-99")=0,"",_xlfn.MAXIFS($N$5:$N$6004,$C$5:$C$6004,R159,$O$5:$O$6004,"CONCLUÍDA")))</f>
        <v/>
      </c>
      <c r="Z159" s="2" t="str">
        <f aca="false">IF(R159="","",IF(COUNTIFS($C$5:$C$6004,R159,$O$5:$O$6004,"EM ANDAMENTO",$N$5:$N$6004,"&gt;=-99")=0,"",_xlfn.MAXIFS($N$5:$N$6004,$C$5:$C$6004,R159,$O$5:$O$6004,"EM ANDAMENTO")))</f>
        <v/>
      </c>
      <c r="AA159" s="2" t="str">
        <f aca="false"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 customFormat="false" ht="15" hidden="false" customHeight="false" outlineLevel="0" collapsed="false">
      <c r="B160" s="4" t="n">
        <v>28645967</v>
      </c>
      <c r="C160" s="4" t="s">
        <v>2331</v>
      </c>
      <c r="D160" s="4" t="s">
        <v>2704</v>
      </c>
      <c r="E160" s="4" t="s">
        <v>81</v>
      </c>
      <c r="F160" s="127" t="n">
        <v>46157</v>
      </c>
      <c r="G160" s="127" t="n">
        <v>46157</v>
      </c>
      <c r="H160" s="127" t="n">
        <v>46289</v>
      </c>
      <c r="I160" s="4" t="n">
        <v>0</v>
      </c>
      <c r="J160" s="4" t="n">
        <v>100</v>
      </c>
      <c r="K160" s="4" t="n">
        <v>100</v>
      </c>
      <c r="M160" s="2" t="str">
        <f aca="false">IF(C160="","",IFERROR(INDEX($S$5:$S$304,MATCH(C160,$R$5:$R$304,0))&amp;"","?"))</f>
        <v>16</v>
      </c>
      <c r="N160" s="2" t="str">
        <f aca="false">IF(E160="","",IF(ISNUMBER(SEARCH("SUBSOLO",E160)),IFERROR(-VALUE(LEFT(E160,FIND("º",SUBSTITUTE(E160,"°","º"))-1)),-1),IF(LEFT(E160,6)="TÉRREO",0,IFERROR(VALUE(LEFT(E160,FIND("º",SUBSTITUTE(E160,"°","º"))-1)),""))))</f>
        <v/>
      </c>
      <c r="O160" s="2" t="str">
        <f aca="false">IF(OR(F160="",G160=""),"",IF(G160&lt;='RETRATO 2027'!$K$5,"CONCLUÍDA",IF(F160&lt;='RETRATO 2027'!$K$5,"EM ANDAMENTO","A INICIAR")))</f>
        <v>CONCLUÍDA</v>
      </c>
      <c r="R160" s="4" t="s">
        <v>2705</v>
      </c>
      <c r="S160" s="4" t="s">
        <v>182</v>
      </c>
      <c r="T160" s="4" t="s">
        <v>2706</v>
      </c>
      <c r="U160" s="4" t="s">
        <v>2305</v>
      </c>
      <c r="V160" s="2" t="n">
        <f aca="false">IF(R160="","",COUNTIF($C$5:$C$6004,R160))</f>
        <v>1</v>
      </c>
      <c r="W160" s="2" t="n">
        <f aca="false">IF(R160="","",COUNTIFS($C$5:$C$6004,R160,$O$5:$O$6004,"CONCLUÍDA"))</f>
        <v>0</v>
      </c>
      <c r="X160" s="2" t="n">
        <f aca="false">IF(R160="","",COUNTIFS($C$5:$C$6004,R160,$O$5:$O$6004,"EM ANDAMENTO"))</f>
        <v>0</v>
      </c>
      <c r="Y160" s="2" t="str">
        <f aca="false">IF(R160="","",IF(COUNTIFS($C$5:$C$6004,R160,$O$5:$O$6004,"CONCLUÍDA",$N$5:$N$6004,"&gt;=-99")=0,"",_xlfn.MAXIFS($N$5:$N$6004,$C$5:$C$6004,R160,$O$5:$O$6004,"CONCLUÍDA")))</f>
        <v/>
      </c>
      <c r="Z160" s="2" t="str">
        <f aca="false">IF(R160="","",IF(COUNTIFS($C$5:$C$6004,R160,$O$5:$O$6004,"EM ANDAMENTO",$N$5:$N$6004,"&gt;=-99")=0,"",_xlfn.MAXIFS($N$5:$N$6004,$C$5:$C$6004,R160,$O$5:$O$6004,"EM ANDAMENTO")))</f>
        <v/>
      </c>
      <c r="AA160" s="2" t="str">
        <f aca="false"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 customFormat="false" ht="15" hidden="false" customHeight="false" outlineLevel="0" collapsed="false">
      <c r="B161" s="4" t="n">
        <v>37080794</v>
      </c>
      <c r="C161" s="4" t="s">
        <v>2333</v>
      </c>
      <c r="D161" s="4" t="s">
        <v>463</v>
      </c>
      <c r="E161" s="4" t="s">
        <v>81</v>
      </c>
      <c r="F161" s="127" t="n">
        <v>46139</v>
      </c>
      <c r="G161" s="127" t="n">
        <v>46199</v>
      </c>
      <c r="H161" s="127" t="n">
        <v>46289</v>
      </c>
      <c r="I161" s="4" t="n">
        <v>100</v>
      </c>
      <c r="J161" s="4" t="n">
        <v>100</v>
      </c>
      <c r="K161" s="4" t="n">
        <v>100</v>
      </c>
      <c r="M161" s="2" t="str">
        <f aca="false">IF(C161="","",IFERROR(INDEX($S$5:$S$304,MATCH(C161,$R$5:$R$304,0))&amp;"","?"))</f>
        <v>13</v>
      </c>
      <c r="N161" s="2" t="str">
        <f aca="false">IF(E161="","",IF(ISNUMBER(SEARCH("SUBSOLO",E161)),IFERROR(-VALUE(LEFT(E161,FIND("º",SUBSTITUTE(E161,"°","º"))-1)),-1),IF(LEFT(E161,6)="TÉRREO",0,IFERROR(VALUE(LEFT(E161,FIND("º",SUBSTITUTE(E161,"°","º"))-1)),""))))</f>
        <v/>
      </c>
      <c r="O161" s="2" t="str">
        <f aca="false">IF(OR(F161="",G161=""),"",IF(G161&lt;='RETRATO 2027'!$K$5,"CONCLUÍDA",IF(F161&lt;='RETRATO 2027'!$K$5,"EM ANDAMENTO","A INICIAR")))</f>
        <v>CONCLUÍDA</v>
      </c>
      <c r="R161" s="4" t="s">
        <v>1367</v>
      </c>
      <c r="S161" s="4" t="s">
        <v>173</v>
      </c>
      <c r="T161" s="4" t="s">
        <v>2707</v>
      </c>
      <c r="U161" s="4" t="s">
        <v>2305</v>
      </c>
      <c r="V161" s="2" t="n">
        <f aca="false">IF(R161="","",COUNTIF($C$5:$C$6004,R161))</f>
        <v>2</v>
      </c>
      <c r="W161" s="2" t="n">
        <f aca="false">IF(R161="","",COUNTIFS($C$5:$C$6004,R161,$O$5:$O$6004,"CONCLUÍDA"))</f>
        <v>0</v>
      </c>
      <c r="X161" s="2" t="n">
        <f aca="false">IF(R161="","",COUNTIFS($C$5:$C$6004,R161,$O$5:$O$6004,"EM ANDAMENTO"))</f>
        <v>0</v>
      </c>
      <c r="Y161" s="2" t="str">
        <f aca="false">IF(R161="","",IF(COUNTIFS($C$5:$C$6004,R161,$O$5:$O$6004,"CONCLUÍDA",$N$5:$N$6004,"&gt;=-99")=0,"",_xlfn.MAXIFS($N$5:$N$6004,$C$5:$C$6004,R161,$O$5:$O$6004,"CONCLUÍDA")))</f>
        <v/>
      </c>
      <c r="Z161" s="2" t="str">
        <f aca="false">IF(R161="","",IF(COUNTIFS($C$5:$C$6004,R161,$O$5:$O$6004,"EM ANDAMENTO",$N$5:$N$6004,"&gt;=-99")=0,"",_xlfn.MAXIFS($N$5:$N$6004,$C$5:$C$6004,R161,$O$5:$O$6004,"EM ANDAMENTO")))</f>
        <v/>
      </c>
      <c r="AA161" s="2" t="str">
        <f aca="false"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 customFormat="false" ht="15" hidden="false" customHeight="false" outlineLevel="0" collapsed="false">
      <c r="B162" s="4" t="n">
        <v>44503962</v>
      </c>
      <c r="C162" s="4" t="s">
        <v>2335</v>
      </c>
      <c r="D162" s="4" t="s">
        <v>463</v>
      </c>
      <c r="E162" s="4" t="s">
        <v>81</v>
      </c>
      <c r="F162" s="127" t="n">
        <v>46150</v>
      </c>
      <c r="G162" s="127" t="n">
        <v>46213</v>
      </c>
      <c r="H162" s="127" t="n">
        <v>46289</v>
      </c>
      <c r="I162" s="4" t="n">
        <v>0</v>
      </c>
      <c r="J162" s="4" t="n">
        <v>100</v>
      </c>
      <c r="K162" s="4" t="n">
        <v>100</v>
      </c>
      <c r="M162" s="2" t="str">
        <f aca="false">IF(C162="","",IFERROR(INDEX($S$5:$S$304,MATCH(C162,$R$5:$R$304,0))&amp;"","?"))</f>
        <v>16</v>
      </c>
      <c r="N162" s="2" t="str">
        <f aca="false">IF(E162="","",IF(ISNUMBER(SEARCH("SUBSOLO",E162)),IFERROR(-VALUE(LEFT(E162,FIND("º",SUBSTITUTE(E162,"°","º"))-1)),-1),IF(LEFT(E162,6)="TÉRREO",0,IFERROR(VALUE(LEFT(E162,FIND("º",SUBSTITUTE(E162,"°","º"))-1)),""))))</f>
        <v/>
      </c>
      <c r="O162" s="2" t="str">
        <f aca="false">IF(OR(F162="",G162=""),"",IF(G162&lt;='RETRATO 2027'!$K$5,"CONCLUÍDA",IF(F162&lt;='RETRATO 2027'!$K$5,"EM ANDAMENTO","A INICIAR")))</f>
        <v>CONCLUÍDA</v>
      </c>
      <c r="R162" s="4" t="s">
        <v>2708</v>
      </c>
      <c r="S162" s="4" t="s">
        <v>223</v>
      </c>
      <c r="T162" s="4" t="s">
        <v>2709</v>
      </c>
      <c r="U162" s="4" t="s">
        <v>2305</v>
      </c>
      <c r="V162" s="2" t="n">
        <f aca="false">IF(R162="","",COUNTIF($C$5:$C$6004,R162))</f>
        <v>1</v>
      </c>
      <c r="W162" s="2" t="n">
        <f aca="false">IF(R162="","",COUNTIFS($C$5:$C$6004,R162,$O$5:$O$6004,"CONCLUÍDA"))</f>
        <v>0</v>
      </c>
      <c r="X162" s="2" t="n">
        <f aca="false">IF(R162="","",COUNTIFS($C$5:$C$6004,R162,$O$5:$O$6004,"EM ANDAMENTO"))</f>
        <v>0</v>
      </c>
      <c r="Y162" s="2" t="str">
        <f aca="false">IF(R162="","",IF(COUNTIFS($C$5:$C$6004,R162,$O$5:$O$6004,"CONCLUÍDA",$N$5:$N$6004,"&gt;=-99")=0,"",_xlfn.MAXIFS($N$5:$N$6004,$C$5:$C$6004,R162,$O$5:$O$6004,"CONCLUÍDA")))</f>
        <v/>
      </c>
      <c r="Z162" s="2" t="str">
        <f aca="false">IF(R162="","",IF(COUNTIFS($C$5:$C$6004,R162,$O$5:$O$6004,"EM ANDAMENTO",$N$5:$N$6004,"&gt;=-99")=0,"",_xlfn.MAXIFS($N$5:$N$6004,$C$5:$C$6004,R162,$O$5:$O$6004,"EM ANDAMENTO")))</f>
        <v/>
      </c>
      <c r="AA162" s="2" t="str">
        <f aca="false"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 customFormat="false" ht="15" hidden="false" customHeight="false" outlineLevel="0" collapsed="false">
      <c r="B163" s="4" t="n">
        <v>28389429</v>
      </c>
      <c r="C163" s="4" t="s">
        <v>2335</v>
      </c>
      <c r="D163" s="4" t="s">
        <v>2710</v>
      </c>
      <c r="E163" s="4" t="s">
        <v>81</v>
      </c>
      <c r="F163" s="127" t="n">
        <v>46150</v>
      </c>
      <c r="G163" s="127" t="n">
        <v>46157</v>
      </c>
      <c r="H163" s="127" t="n">
        <v>46289</v>
      </c>
      <c r="I163" s="4" t="n">
        <v>0</v>
      </c>
      <c r="J163" s="4" t="n">
        <v>100</v>
      </c>
      <c r="K163" s="4" t="n">
        <v>100</v>
      </c>
      <c r="M163" s="2" t="str">
        <f aca="false">IF(C163="","",IFERROR(INDEX($S$5:$S$304,MATCH(C163,$R$5:$R$304,0))&amp;"","?"))</f>
        <v>16</v>
      </c>
      <c r="N163" s="2" t="str">
        <f aca="false">IF(E163="","",IF(ISNUMBER(SEARCH("SUBSOLO",E163)),IFERROR(-VALUE(LEFT(E163,FIND("º",SUBSTITUTE(E163,"°","º"))-1)),-1),IF(LEFT(E163,6)="TÉRREO",0,IFERROR(VALUE(LEFT(E163,FIND("º",SUBSTITUTE(E163,"°","º"))-1)),""))))</f>
        <v/>
      </c>
      <c r="O163" s="2" t="str">
        <f aca="false">IF(OR(F163="",G163=""),"",IF(G163&lt;='RETRATO 2027'!$K$5,"CONCLUÍDA",IF(F163&lt;='RETRATO 2027'!$K$5,"EM ANDAMENTO","A INICIAR")))</f>
        <v>CONCLUÍDA</v>
      </c>
      <c r="R163" s="4" t="s">
        <v>2711</v>
      </c>
      <c r="S163" s="4" t="s">
        <v>208</v>
      </c>
      <c r="T163" s="4" t="s">
        <v>2712</v>
      </c>
      <c r="U163" s="4" t="s">
        <v>2299</v>
      </c>
      <c r="V163" s="2" t="n">
        <f aca="false">IF(R163="","",COUNTIF($C$5:$C$6004,R163))</f>
        <v>1</v>
      </c>
      <c r="W163" s="2" t="n">
        <f aca="false">IF(R163="","",COUNTIFS($C$5:$C$6004,R163,$O$5:$O$6004,"CONCLUÍDA"))</f>
        <v>0</v>
      </c>
      <c r="X163" s="2" t="n">
        <f aca="false">IF(R163="","",COUNTIFS($C$5:$C$6004,R163,$O$5:$O$6004,"EM ANDAMENTO"))</f>
        <v>0</v>
      </c>
      <c r="Y163" s="2" t="str">
        <f aca="false">IF(R163="","",IF(COUNTIFS($C$5:$C$6004,R163,$O$5:$O$6004,"CONCLUÍDA",$N$5:$N$6004,"&gt;=-99")=0,"",_xlfn.MAXIFS($N$5:$N$6004,$C$5:$C$6004,R163,$O$5:$O$6004,"CONCLUÍDA")))</f>
        <v/>
      </c>
      <c r="Z163" s="2" t="str">
        <f aca="false">IF(R163="","",IF(COUNTIFS($C$5:$C$6004,R163,$O$5:$O$6004,"EM ANDAMENTO",$N$5:$N$6004,"&gt;=-99")=0,"",_xlfn.MAXIFS($N$5:$N$6004,$C$5:$C$6004,R163,$O$5:$O$6004,"EM ANDAMENTO")))</f>
        <v/>
      </c>
      <c r="AA163" s="2" t="str">
        <f aca="false"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 customFormat="false" ht="15" hidden="false" customHeight="false" outlineLevel="0" collapsed="false">
      <c r="B164" s="4" t="n">
        <v>28389430</v>
      </c>
      <c r="C164" s="4" t="s">
        <v>2335</v>
      </c>
      <c r="D164" s="4" t="s">
        <v>2713</v>
      </c>
      <c r="E164" s="4" t="s">
        <v>81</v>
      </c>
      <c r="F164" s="127" t="n">
        <v>46150</v>
      </c>
      <c r="G164" s="127" t="n">
        <v>46157</v>
      </c>
      <c r="H164" s="127" t="n">
        <v>46289</v>
      </c>
      <c r="I164" s="4" t="n">
        <v>0</v>
      </c>
      <c r="J164" s="4" t="n">
        <v>100</v>
      </c>
      <c r="K164" s="4" t="n">
        <v>100</v>
      </c>
      <c r="M164" s="2" t="str">
        <f aca="false">IF(C164="","",IFERROR(INDEX($S$5:$S$304,MATCH(C164,$R$5:$R$304,0))&amp;"","?"))</f>
        <v>16</v>
      </c>
      <c r="N164" s="2" t="str">
        <f aca="false">IF(E164="","",IF(ISNUMBER(SEARCH("SUBSOLO",E164)),IFERROR(-VALUE(LEFT(E164,FIND("º",SUBSTITUTE(E164,"°","º"))-1)),-1),IF(LEFT(E164,6)="TÉRREO",0,IFERROR(VALUE(LEFT(E164,FIND("º",SUBSTITUTE(E164,"°","º"))-1)),""))))</f>
        <v/>
      </c>
      <c r="O164" s="2" t="str">
        <f aca="false">IF(OR(F164="",G164=""),"",IF(G164&lt;='RETRATO 2027'!$K$5,"CONCLUÍDA",IF(F164&lt;='RETRATO 2027'!$K$5,"EM ANDAMENTO","A INICIAR")))</f>
        <v>CONCLUÍDA</v>
      </c>
      <c r="R164" s="4" t="s">
        <v>2714</v>
      </c>
      <c r="S164" s="4" t="s">
        <v>189</v>
      </c>
      <c r="T164" s="4" t="s">
        <v>2715</v>
      </c>
      <c r="U164" s="4" t="s">
        <v>2305</v>
      </c>
      <c r="V164" s="2" t="n">
        <f aca="false">IF(R164="","",COUNTIF($C$5:$C$6004,R164))</f>
        <v>1</v>
      </c>
      <c r="W164" s="2" t="n">
        <f aca="false">IF(R164="","",COUNTIFS($C$5:$C$6004,R164,$O$5:$O$6004,"CONCLUÍDA"))</f>
        <v>0</v>
      </c>
      <c r="X164" s="2" t="n">
        <f aca="false">IF(R164="","",COUNTIFS($C$5:$C$6004,R164,$O$5:$O$6004,"EM ANDAMENTO"))</f>
        <v>0</v>
      </c>
      <c r="Y164" s="2" t="str">
        <f aca="false">IF(R164="","",IF(COUNTIFS($C$5:$C$6004,R164,$O$5:$O$6004,"CONCLUÍDA",$N$5:$N$6004,"&gt;=-99")=0,"",_xlfn.MAXIFS($N$5:$N$6004,$C$5:$C$6004,R164,$O$5:$O$6004,"CONCLUÍDA")))</f>
        <v/>
      </c>
      <c r="Z164" s="2" t="str">
        <f aca="false">IF(R164="","",IF(COUNTIFS($C$5:$C$6004,R164,$O$5:$O$6004,"EM ANDAMENTO",$N$5:$N$6004,"&gt;=-99")=0,"",_xlfn.MAXIFS($N$5:$N$6004,$C$5:$C$6004,R164,$O$5:$O$6004,"EM ANDAMENTO")))</f>
        <v/>
      </c>
      <c r="AA164" s="2" t="str">
        <f aca="false"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 customFormat="false" ht="15" hidden="false" customHeight="false" outlineLevel="0" collapsed="false">
      <c r="B165" s="4" t="n">
        <v>28389431</v>
      </c>
      <c r="C165" s="4" t="s">
        <v>2335</v>
      </c>
      <c r="D165" s="4" t="s">
        <v>2716</v>
      </c>
      <c r="E165" s="4" t="s">
        <v>81</v>
      </c>
      <c r="F165" s="127" t="n">
        <v>46160</v>
      </c>
      <c r="G165" s="127" t="n">
        <v>46164</v>
      </c>
      <c r="H165" s="127" t="n">
        <v>46289</v>
      </c>
      <c r="I165" s="4" t="n">
        <v>0</v>
      </c>
      <c r="J165" s="4" t="n">
        <v>100</v>
      </c>
      <c r="K165" s="4" t="n">
        <v>100</v>
      </c>
      <c r="M165" s="2" t="str">
        <f aca="false">IF(C165="","",IFERROR(INDEX($S$5:$S$304,MATCH(C165,$R$5:$R$304,0))&amp;"","?"))</f>
        <v>16</v>
      </c>
      <c r="N165" s="2" t="str">
        <f aca="false">IF(E165="","",IF(ISNUMBER(SEARCH("SUBSOLO",E165)),IFERROR(-VALUE(LEFT(E165,FIND("º",SUBSTITUTE(E165,"°","º"))-1)),-1),IF(LEFT(E165,6)="TÉRREO",0,IFERROR(VALUE(LEFT(E165,FIND("º",SUBSTITUTE(E165,"°","º"))-1)),""))))</f>
        <v/>
      </c>
      <c r="O165" s="2" t="str">
        <f aca="false">IF(OR(F165="",G165=""),"",IF(G165&lt;='RETRATO 2027'!$K$5,"CONCLUÍDA",IF(F165&lt;='RETRATO 2027'!$K$5,"EM ANDAMENTO","A INICIAR")))</f>
        <v>CONCLUÍDA</v>
      </c>
      <c r="R165" s="4" t="s">
        <v>2717</v>
      </c>
      <c r="S165" s="4" t="s">
        <v>212</v>
      </c>
      <c r="T165" s="4" t="s">
        <v>2718</v>
      </c>
      <c r="U165" s="4" t="s">
        <v>2299</v>
      </c>
      <c r="V165" s="2" t="n">
        <f aca="false">IF(R165="","",COUNTIF($C$5:$C$6004,R165))</f>
        <v>1</v>
      </c>
      <c r="W165" s="2" t="n">
        <f aca="false">IF(R165="","",COUNTIFS($C$5:$C$6004,R165,$O$5:$O$6004,"CONCLUÍDA"))</f>
        <v>0</v>
      </c>
      <c r="X165" s="2" t="n">
        <f aca="false">IF(R165="","",COUNTIFS($C$5:$C$6004,R165,$O$5:$O$6004,"EM ANDAMENTO"))</f>
        <v>0</v>
      </c>
      <c r="Y165" s="2" t="str">
        <f aca="false">IF(R165="","",IF(COUNTIFS($C$5:$C$6004,R165,$O$5:$O$6004,"CONCLUÍDA",$N$5:$N$6004,"&gt;=-99")=0,"",_xlfn.MAXIFS($N$5:$N$6004,$C$5:$C$6004,R165,$O$5:$O$6004,"CONCLUÍDA")))</f>
        <v/>
      </c>
      <c r="Z165" s="2" t="str">
        <f aca="false">IF(R165="","",IF(COUNTIFS($C$5:$C$6004,R165,$O$5:$O$6004,"EM ANDAMENTO",$N$5:$N$6004,"&gt;=-99")=0,"",_xlfn.MAXIFS($N$5:$N$6004,$C$5:$C$6004,R165,$O$5:$O$6004,"EM ANDAMENTO")))</f>
        <v/>
      </c>
      <c r="AA165" s="2" t="str">
        <f aca="false"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 customFormat="false" ht="15" hidden="false" customHeight="false" outlineLevel="0" collapsed="false">
      <c r="B166" s="4" t="n">
        <v>28389432</v>
      </c>
      <c r="C166" s="4" t="s">
        <v>2335</v>
      </c>
      <c r="D166" s="4" t="s">
        <v>2719</v>
      </c>
      <c r="E166" s="4" t="s">
        <v>81</v>
      </c>
      <c r="F166" s="127" t="n">
        <v>46160</v>
      </c>
      <c r="G166" s="127" t="n">
        <v>46164</v>
      </c>
      <c r="H166" s="127" t="n">
        <v>46289</v>
      </c>
      <c r="I166" s="4" t="n">
        <v>0</v>
      </c>
      <c r="J166" s="4" t="n">
        <v>100</v>
      </c>
      <c r="K166" s="4" t="n">
        <v>100</v>
      </c>
      <c r="M166" s="2" t="str">
        <f aca="false">IF(C166="","",IFERROR(INDEX($S$5:$S$304,MATCH(C166,$R$5:$R$304,0))&amp;"","?"))</f>
        <v>16</v>
      </c>
      <c r="N166" s="2" t="str">
        <f aca="false">IF(E166="","",IF(ISNUMBER(SEARCH("SUBSOLO",E166)),IFERROR(-VALUE(LEFT(E166,FIND("º",SUBSTITUTE(E166,"°","º"))-1)),-1),IF(LEFT(E166,6)="TÉRREO",0,IFERROR(VALUE(LEFT(E166,FIND("º",SUBSTITUTE(E166,"°","º"))-1)),""))))</f>
        <v/>
      </c>
      <c r="O166" s="2" t="str">
        <f aca="false">IF(OR(F166="",G166=""),"",IF(G166&lt;='RETRATO 2027'!$K$5,"CONCLUÍDA",IF(F166&lt;='RETRATO 2027'!$K$5,"EM ANDAMENTO","A INICIAR")))</f>
        <v>CONCLUÍDA</v>
      </c>
      <c r="R166" s="4" t="s">
        <v>2720</v>
      </c>
      <c r="S166" s="4" t="s">
        <v>185</v>
      </c>
      <c r="T166" s="4" t="s">
        <v>2721</v>
      </c>
      <c r="U166" s="4" t="s">
        <v>2299</v>
      </c>
      <c r="V166" s="2" t="n">
        <f aca="false">IF(R166="","",COUNTIF($C$5:$C$6004,R166))</f>
        <v>1</v>
      </c>
      <c r="W166" s="2" t="n">
        <f aca="false">IF(R166="","",COUNTIFS($C$5:$C$6004,R166,$O$5:$O$6004,"CONCLUÍDA"))</f>
        <v>0</v>
      </c>
      <c r="X166" s="2" t="n">
        <f aca="false">IF(R166="","",COUNTIFS($C$5:$C$6004,R166,$O$5:$O$6004,"EM ANDAMENTO"))</f>
        <v>0</v>
      </c>
      <c r="Y166" s="2" t="str">
        <f aca="false">IF(R166="","",IF(COUNTIFS($C$5:$C$6004,R166,$O$5:$O$6004,"CONCLUÍDA",$N$5:$N$6004,"&gt;=-99")=0,"",_xlfn.MAXIFS($N$5:$N$6004,$C$5:$C$6004,R166,$O$5:$O$6004,"CONCLUÍDA")))</f>
        <v/>
      </c>
      <c r="Z166" s="2" t="str">
        <f aca="false">IF(R166="","",IF(COUNTIFS($C$5:$C$6004,R166,$O$5:$O$6004,"EM ANDAMENTO",$N$5:$N$6004,"&gt;=-99")=0,"",_xlfn.MAXIFS($N$5:$N$6004,$C$5:$C$6004,R166,$O$5:$O$6004,"EM ANDAMENTO")))</f>
        <v/>
      </c>
      <c r="AA166" s="2" t="str">
        <f aca="false"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 customFormat="false" ht="15" hidden="false" customHeight="false" outlineLevel="0" collapsed="false">
      <c r="B167" s="4" t="n">
        <v>28389433</v>
      </c>
      <c r="C167" s="4" t="s">
        <v>2335</v>
      </c>
      <c r="D167" s="4" t="s">
        <v>2722</v>
      </c>
      <c r="E167" s="4" t="s">
        <v>81</v>
      </c>
      <c r="F167" s="127" t="n">
        <v>46160</v>
      </c>
      <c r="G167" s="127" t="n">
        <v>46164</v>
      </c>
      <c r="H167" s="127" t="n">
        <v>46289</v>
      </c>
      <c r="I167" s="4" t="n">
        <v>0</v>
      </c>
      <c r="J167" s="4" t="n">
        <v>100</v>
      </c>
      <c r="K167" s="4" t="n">
        <v>100</v>
      </c>
      <c r="M167" s="2" t="str">
        <f aca="false">IF(C167="","",IFERROR(INDEX($S$5:$S$304,MATCH(C167,$R$5:$R$304,0))&amp;"","?"))</f>
        <v>16</v>
      </c>
      <c r="N167" s="2" t="str">
        <f aca="false">IF(E167="","",IF(ISNUMBER(SEARCH("SUBSOLO",E167)),IFERROR(-VALUE(LEFT(E167,FIND("º",SUBSTITUTE(E167,"°","º"))-1)),-1),IF(LEFT(E167,6)="TÉRREO",0,IFERROR(VALUE(LEFT(E167,FIND("º",SUBSTITUTE(E167,"°","º"))-1)),""))))</f>
        <v/>
      </c>
      <c r="O167" s="2" t="str">
        <f aca="false">IF(OR(F167="",G167=""),"",IF(G167&lt;='RETRATO 2027'!$K$5,"CONCLUÍDA",IF(F167&lt;='RETRATO 2027'!$K$5,"EM ANDAMENTO","A INICIAR")))</f>
        <v>CONCLUÍDA</v>
      </c>
      <c r="R167" s="4" t="s">
        <v>2723</v>
      </c>
      <c r="S167" s="4" t="s">
        <v>179</v>
      </c>
      <c r="T167" s="4" t="s">
        <v>2724</v>
      </c>
      <c r="U167" s="4" t="s">
        <v>2305</v>
      </c>
      <c r="V167" s="2" t="n">
        <f aca="false">IF(R167="","",COUNTIF($C$5:$C$6004,R167))</f>
        <v>1</v>
      </c>
      <c r="W167" s="2" t="n">
        <f aca="false">IF(R167="","",COUNTIFS($C$5:$C$6004,R167,$O$5:$O$6004,"CONCLUÍDA"))</f>
        <v>0</v>
      </c>
      <c r="X167" s="2" t="n">
        <f aca="false">IF(R167="","",COUNTIFS($C$5:$C$6004,R167,$O$5:$O$6004,"EM ANDAMENTO"))</f>
        <v>0</v>
      </c>
      <c r="Y167" s="2" t="str">
        <f aca="false">IF(R167="","",IF(COUNTIFS($C$5:$C$6004,R167,$O$5:$O$6004,"CONCLUÍDA",$N$5:$N$6004,"&gt;=-99")=0,"",_xlfn.MAXIFS($N$5:$N$6004,$C$5:$C$6004,R167,$O$5:$O$6004,"CONCLUÍDA")))</f>
        <v/>
      </c>
      <c r="Z167" s="2" t="str">
        <f aca="false">IF(R167="","",IF(COUNTIFS($C$5:$C$6004,R167,$O$5:$O$6004,"EM ANDAMENTO",$N$5:$N$6004,"&gt;=-99")=0,"",_xlfn.MAXIFS($N$5:$N$6004,$C$5:$C$6004,R167,$O$5:$O$6004,"EM ANDAMENTO")))</f>
        <v/>
      </c>
      <c r="AA167" s="2" t="str">
        <f aca="false"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 customFormat="false" ht="15" hidden="false" customHeight="false" outlineLevel="0" collapsed="false">
      <c r="B168" s="4" t="n">
        <v>28645974</v>
      </c>
      <c r="C168" s="4" t="s">
        <v>2335</v>
      </c>
      <c r="D168" s="4" t="s">
        <v>2725</v>
      </c>
      <c r="E168" s="4" t="s">
        <v>81</v>
      </c>
      <c r="F168" s="127" t="n">
        <v>46164</v>
      </c>
      <c r="G168" s="127" t="n">
        <v>46164</v>
      </c>
      <c r="H168" s="127" t="n">
        <v>46289</v>
      </c>
      <c r="I168" s="4" t="n">
        <v>0</v>
      </c>
      <c r="J168" s="4" t="n">
        <v>100</v>
      </c>
      <c r="K168" s="4" t="n">
        <v>100</v>
      </c>
      <c r="M168" s="2" t="str">
        <f aca="false">IF(C168="","",IFERROR(INDEX($S$5:$S$304,MATCH(C168,$R$5:$R$304,0))&amp;"","?"))</f>
        <v>16</v>
      </c>
      <c r="N168" s="2" t="str">
        <f aca="false">IF(E168="","",IF(ISNUMBER(SEARCH("SUBSOLO",E168)),IFERROR(-VALUE(LEFT(E168,FIND("º",SUBSTITUTE(E168,"°","º"))-1)),-1),IF(LEFT(E168,6)="TÉRREO",0,IFERROR(VALUE(LEFT(E168,FIND("º",SUBSTITUTE(E168,"°","º"))-1)),""))))</f>
        <v/>
      </c>
      <c r="O168" s="2" t="str">
        <f aca="false">IF(OR(F168="",G168=""),"",IF(G168&lt;='RETRATO 2027'!$K$5,"CONCLUÍDA",IF(F168&lt;='RETRATO 2027'!$K$5,"EM ANDAMENTO","A INICIAR")))</f>
        <v>CONCLUÍDA</v>
      </c>
      <c r="R168" s="4" t="s">
        <v>2726</v>
      </c>
      <c r="S168" s="4" t="s">
        <v>205</v>
      </c>
      <c r="T168" s="4" t="s">
        <v>2727</v>
      </c>
      <c r="U168" s="4" t="s">
        <v>2305</v>
      </c>
      <c r="V168" s="2" t="n">
        <f aca="false">IF(R168="","",COUNTIF($C$5:$C$6004,R168))</f>
        <v>1</v>
      </c>
      <c r="W168" s="2" t="n">
        <f aca="false">IF(R168="","",COUNTIFS($C$5:$C$6004,R168,$O$5:$O$6004,"CONCLUÍDA"))</f>
        <v>0</v>
      </c>
      <c r="X168" s="2" t="n">
        <f aca="false">IF(R168="","",COUNTIFS($C$5:$C$6004,R168,$O$5:$O$6004,"EM ANDAMENTO"))</f>
        <v>0</v>
      </c>
      <c r="Y168" s="2" t="str">
        <f aca="false">IF(R168="","",IF(COUNTIFS($C$5:$C$6004,R168,$O$5:$O$6004,"CONCLUÍDA",$N$5:$N$6004,"&gt;=-99")=0,"",_xlfn.MAXIFS($N$5:$N$6004,$C$5:$C$6004,R168,$O$5:$O$6004,"CONCLUÍDA")))</f>
        <v/>
      </c>
      <c r="Z168" s="2" t="str">
        <f aca="false">IF(R168="","",IF(COUNTIFS($C$5:$C$6004,R168,$O$5:$O$6004,"EM ANDAMENTO",$N$5:$N$6004,"&gt;=-99")=0,"",_xlfn.MAXIFS($N$5:$N$6004,$C$5:$C$6004,R168,$O$5:$O$6004,"EM ANDAMENTO")))</f>
        <v/>
      </c>
      <c r="AA168" s="2" t="str">
        <f aca="false"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 customFormat="false" ht="15" hidden="false" customHeight="false" outlineLevel="0" collapsed="false">
      <c r="B169" s="4" t="n">
        <v>28645975</v>
      </c>
      <c r="C169" s="4" t="s">
        <v>2335</v>
      </c>
      <c r="D169" s="4" t="s">
        <v>2728</v>
      </c>
      <c r="E169" s="4" t="s">
        <v>81</v>
      </c>
      <c r="F169" s="127" t="n">
        <v>46167</v>
      </c>
      <c r="G169" s="127" t="n">
        <v>46171</v>
      </c>
      <c r="H169" s="127" t="n">
        <v>46289</v>
      </c>
      <c r="I169" s="4" t="n">
        <v>0</v>
      </c>
      <c r="J169" s="4" t="n">
        <v>100</v>
      </c>
      <c r="K169" s="4" t="n">
        <v>100</v>
      </c>
      <c r="M169" s="2" t="str">
        <f aca="false">IF(C169="","",IFERROR(INDEX($S$5:$S$304,MATCH(C169,$R$5:$R$304,0))&amp;"","?"))</f>
        <v>16</v>
      </c>
      <c r="N169" s="2" t="str">
        <f aca="false">IF(E169="","",IF(ISNUMBER(SEARCH("SUBSOLO",E169)),IFERROR(-VALUE(LEFT(E169,FIND("º",SUBSTITUTE(E169,"°","º"))-1)),-1),IF(LEFT(E169,6)="TÉRREO",0,IFERROR(VALUE(LEFT(E169,FIND("º",SUBSTITUTE(E169,"°","º"))-1)),""))))</f>
        <v/>
      </c>
      <c r="O169" s="2" t="str">
        <f aca="false">IF(OR(F169="",G169=""),"",IF(G169&lt;='RETRATO 2027'!$K$5,"CONCLUÍDA",IF(F169&lt;='RETRATO 2027'!$K$5,"EM ANDAMENTO","A INICIAR")))</f>
        <v>CONCLUÍDA</v>
      </c>
      <c r="R169" s="4" t="s">
        <v>2729</v>
      </c>
      <c r="S169" s="4" t="s">
        <v>223</v>
      </c>
      <c r="T169" s="4" t="s">
        <v>2730</v>
      </c>
      <c r="U169" s="4" t="s">
        <v>2305</v>
      </c>
      <c r="V169" s="2" t="n">
        <f aca="false">IF(R169="","",COUNTIF($C$5:$C$6004,R169))</f>
        <v>1</v>
      </c>
      <c r="W169" s="2" t="n">
        <f aca="false">IF(R169="","",COUNTIFS($C$5:$C$6004,R169,$O$5:$O$6004,"CONCLUÍDA"))</f>
        <v>0</v>
      </c>
      <c r="X169" s="2" t="n">
        <f aca="false">IF(R169="","",COUNTIFS($C$5:$C$6004,R169,$O$5:$O$6004,"EM ANDAMENTO"))</f>
        <v>0</v>
      </c>
      <c r="Y169" s="2" t="str">
        <f aca="false">IF(R169="","",IF(COUNTIFS($C$5:$C$6004,R169,$O$5:$O$6004,"CONCLUÍDA",$N$5:$N$6004,"&gt;=-99")=0,"",_xlfn.MAXIFS($N$5:$N$6004,$C$5:$C$6004,R169,$O$5:$O$6004,"CONCLUÍDA")))</f>
        <v/>
      </c>
      <c r="Z169" s="2" t="str">
        <f aca="false">IF(R169="","",IF(COUNTIFS($C$5:$C$6004,R169,$O$5:$O$6004,"EM ANDAMENTO",$N$5:$N$6004,"&gt;=-99")=0,"",_xlfn.MAXIFS($N$5:$N$6004,$C$5:$C$6004,R169,$O$5:$O$6004,"EM ANDAMENTO")))</f>
        <v/>
      </c>
      <c r="AA169" s="2" t="str">
        <f aca="false"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 customFormat="false" ht="15" hidden="false" customHeight="false" outlineLevel="0" collapsed="false">
      <c r="B170" s="4" t="n">
        <v>28645976</v>
      </c>
      <c r="C170" s="4" t="s">
        <v>2335</v>
      </c>
      <c r="D170" s="4" t="s">
        <v>2731</v>
      </c>
      <c r="E170" s="4" t="s">
        <v>81</v>
      </c>
      <c r="F170" s="127" t="n">
        <v>46167</v>
      </c>
      <c r="G170" s="127" t="n">
        <v>46188</v>
      </c>
      <c r="H170" s="127" t="n">
        <v>46289</v>
      </c>
      <c r="I170" s="4" t="n">
        <v>0</v>
      </c>
      <c r="J170" s="4" t="n">
        <v>100</v>
      </c>
      <c r="K170" s="4" t="n">
        <v>100</v>
      </c>
      <c r="M170" s="2" t="str">
        <f aca="false">IF(C170="","",IFERROR(INDEX($S$5:$S$304,MATCH(C170,$R$5:$R$304,0))&amp;"","?"))</f>
        <v>16</v>
      </c>
      <c r="N170" s="2" t="str">
        <f aca="false">IF(E170="","",IF(ISNUMBER(SEARCH("SUBSOLO",E170)),IFERROR(-VALUE(LEFT(E170,FIND("º",SUBSTITUTE(E170,"°","º"))-1)),-1),IF(LEFT(E170,6)="TÉRREO",0,IFERROR(VALUE(LEFT(E170,FIND("º",SUBSTITUTE(E170,"°","º"))-1)),""))))</f>
        <v/>
      </c>
      <c r="O170" s="2" t="str">
        <f aca="false">IF(OR(F170="",G170=""),"",IF(G170&lt;='RETRATO 2027'!$K$5,"CONCLUÍDA",IF(F170&lt;='RETRATO 2027'!$K$5,"EM ANDAMENTO","A INICIAR")))</f>
        <v>CONCLUÍDA</v>
      </c>
      <c r="R170" s="4" t="s">
        <v>2732</v>
      </c>
      <c r="S170" s="4"/>
      <c r="T170" s="4" t="s">
        <v>2733</v>
      </c>
      <c r="U170" s="4" t="s">
        <v>2299</v>
      </c>
      <c r="V170" s="2" t="n">
        <f aca="false">IF(R170="","",COUNTIF($C$5:$C$6004,R170))</f>
        <v>30</v>
      </c>
      <c r="W170" s="2" t="n">
        <f aca="false">IF(R170="","",COUNTIFS($C$5:$C$6004,R170,$O$5:$O$6004,"CONCLUÍDA"))</f>
        <v>0</v>
      </c>
      <c r="X170" s="2" t="n">
        <f aca="false">IF(R170="","",COUNTIFS($C$5:$C$6004,R170,$O$5:$O$6004,"EM ANDAMENTO"))</f>
        <v>0</v>
      </c>
      <c r="Y170" s="2" t="str">
        <f aca="false">IF(R170="","",IF(COUNTIFS($C$5:$C$6004,R170,$O$5:$O$6004,"CONCLUÍDA",$N$5:$N$6004,"&gt;=-99")=0,"",_xlfn.MAXIFS($N$5:$N$6004,$C$5:$C$6004,R170,$O$5:$O$6004,"CONCLUÍDA")))</f>
        <v/>
      </c>
      <c r="Z170" s="2" t="str">
        <f aca="false">IF(R170="","",IF(COUNTIFS($C$5:$C$6004,R170,$O$5:$O$6004,"EM ANDAMENTO",$N$5:$N$6004,"&gt;=-99")=0,"",_xlfn.MAXIFS($N$5:$N$6004,$C$5:$C$6004,R170,$O$5:$O$6004,"EM ANDAMENTO")))</f>
        <v/>
      </c>
      <c r="AA170" s="2" t="str">
        <f aca="false"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 customFormat="false" ht="15" hidden="false" customHeight="false" outlineLevel="0" collapsed="false">
      <c r="B171" s="4" t="n">
        <v>28645977</v>
      </c>
      <c r="C171" s="4" t="s">
        <v>2335</v>
      </c>
      <c r="D171" s="4" t="s">
        <v>2734</v>
      </c>
      <c r="E171" s="4" t="s">
        <v>81</v>
      </c>
      <c r="F171" s="127" t="n">
        <v>46167</v>
      </c>
      <c r="G171" s="127" t="n">
        <v>46213</v>
      </c>
      <c r="H171" s="127" t="n">
        <v>46289</v>
      </c>
      <c r="I171" s="4" t="n">
        <v>0</v>
      </c>
      <c r="J171" s="4" t="n">
        <v>100</v>
      </c>
      <c r="K171" s="4" t="n">
        <v>100</v>
      </c>
      <c r="M171" s="2" t="str">
        <f aca="false">IF(C171="","",IFERROR(INDEX($S$5:$S$304,MATCH(C171,$R$5:$R$304,0))&amp;"","?"))</f>
        <v>16</v>
      </c>
      <c r="N171" s="2" t="str">
        <f aca="false">IF(E171="","",IF(ISNUMBER(SEARCH("SUBSOLO",E171)),IFERROR(-VALUE(LEFT(E171,FIND("º",SUBSTITUTE(E171,"°","º"))-1)),-1),IF(LEFT(E171,6)="TÉRREO",0,IFERROR(VALUE(LEFT(E171,FIND("º",SUBSTITUTE(E171,"°","º"))-1)),""))))</f>
        <v/>
      </c>
      <c r="O171" s="2" t="str">
        <f aca="false">IF(OR(F171="",G171=""),"",IF(G171&lt;='RETRATO 2027'!$K$5,"CONCLUÍDA",IF(F171&lt;='RETRATO 2027'!$K$5,"EM ANDAMENTO","A INICIAR")))</f>
        <v>CONCLUÍDA</v>
      </c>
      <c r="R171" s="4" t="s">
        <v>2735</v>
      </c>
      <c r="S171" s="4"/>
      <c r="T171" s="4" t="s">
        <v>2736</v>
      </c>
      <c r="U171" s="4" t="s">
        <v>2305</v>
      </c>
      <c r="V171" s="2" t="n">
        <f aca="false">IF(R171="","",COUNTIF($C$5:$C$6004,R171))</f>
        <v>1</v>
      </c>
      <c r="W171" s="2" t="n">
        <f aca="false">IF(R171="","",COUNTIFS($C$5:$C$6004,R171,$O$5:$O$6004,"CONCLUÍDA"))</f>
        <v>0</v>
      </c>
      <c r="X171" s="2" t="n">
        <f aca="false">IF(R171="","",COUNTIFS($C$5:$C$6004,R171,$O$5:$O$6004,"EM ANDAMENTO"))</f>
        <v>0</v>
      </c>
      <c r="Y171" s="2" t="str">
        <f aca="false">IF(R171="","",IF(COUNTIFS($C$5:$C$6004,R171,$O$5:$O$6004,"CONCLUÍDA",$N$5:$N$6004,"&gt;=-99")=0,"",_xlfn.MAXIFS($N$5:$N$6004,$C$5:$C$6004,R171,$O$5:$O$6004,"CONCLUÍDA")))</f>
        <v/>
      </c>
      <c r="Z171" s="2" t="str">
        <f aca="false">IF(R171="","",IF(COUNTIFS($C$5:$C$6004,R171,$O$5:$O$6004,"EM ANDAMENTO",$N$5:$N$6004,"&gt;=-99")=0,"",_xlfn.MAXIFS($N$5:$N$6004,$C$5:$C$6004,R171,$O$5:$O$6004,"EM ANDAMENTO")))</f>
        <v/>
      </c>
      <c r="AA171" s="2" t="str">
        <f aca="false"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 customFormat="false" ht="15" hidden="false" customHeight="false" outlineLevel="0" collapsed="false">
      <c r="B172" s="4" t="n">
        <v>28645978</v>
      </c>
      <c r="C172" s="4" t="s">
        <v>2335</v>
      </c>
      <c r="D172" s="4" t="s">
        <v>2737</v>
      </c>
      <c r="E172" s="4" t="s">
        <v>81</v>
      </c>
      <c r="F172" s="127" t="n">
        <v>46213</v>
      </c>
      <c r="G172" s="127" t="n">
        <v>46213</v>
      </c>
      <c r="H172" s="127" t="n">
        <v>46289</v>
      </c>
      <c r="I172" s="4" t="n">
        <v>0</v>
      </c>
      <c r="J172" s="4" t="n">
        <v>100</v>
      </c>
      <c r="K172" s="4" t="n">
        <v>100</v>
      </c>
      <c r="M172" s="2" t="str">
        <f aca="false">IF(C172="","",IFERROR(INDEX($S$5:$S$304,MATCH(C172,$R$5:$R$304,0))&amp;"","?"))</f>
        <v>16</v>
      </c>
      <c r="N172" s="2" t="str">
        <f aca="false">IF(E172="","",IF(ISNUMBER(SEARCH("SUBSOLO",E172)),IFERROR(-VALUE(LEFT(E172,FIND("º",SUBSTITUTE(E172,"°","º"))-1)),-1),IF(LEFT(E172,6)="TÉRREO",0,IFERROR(VALUE(LEFT(E172,FIND("º",SUBSTITUTE(E172,"°","º"))-1)),""))))</f>
        <v/>
      </c>
      <c r="O172" s="2" t="str">
        <f aca="false">IF(OR(F172="",G172=""),"",IF(G172&lt;='RETRATO 2027'!$K$5,"CONCLUÍDA",IF(F172&lt;='RETRATO 2027'!$K$5,"EM ANDAMENTO","A INICIAR")))</f>
        <v>CONCLUÍDA</v>
      </c>
      <c r="R172" s="4" t="s">
        <v>2738</v>
      </c>
      <c r="S172" s="4"/>
      <c r="T172" s="4" t="s">
        <v>2739</v>
      </c>
      <c r="U172" s="4" t="s">
        <v>2299</v>
      </c>
      <c r="V172" s="2" t="n">
        <f aca="false">IF(R172="","",COUNTIF($C$5:$C$6004,R172))</f>
        <v>25</v>
      </c>
      <c r="W172" s="2" t="n">
        <f aca="false">IF(R172="","",COUNTIFS($C$5:$C$6004,R172,$O$5:$O$6004,"CONCLUÍDA"))</f>
        <v>0</v>
      </c>
      <c r="X172" s="2" t="n">
        <f aca="false">IF(R172="","",COUNTIFS($C$5:$C$6004,R172,$O$5:$O$6004,"EM ANDAMENTO"))</f>
        <v>0</v>
      </c>
      <c r="Y172" s="2" t="str">
        <f aca="false">IF(R172="","",IF(COUNTIFS($C$5:$C$6004,R172,$O$5:$O$6004,"CONCLUÍDA",$N$5:$N$6004,"&gt;=-99")=0,"",_xlfn.MAXIFS($N$5:$N$6004,$C$5:$C$6004,R172,$O$5:$O$6004,"CONCLUÍDA")))</f>
        <v/>
      </c>
      <c r="Z172" s="2" t="str">
        <f aca="false">IF(R172="","",IF(COUNTIFS($C$5:$C$6004,R172,$O$5:$O$6004,"EM ANDAMENTO",$N$5:$N$6004,"&gt;=-99")=0,"",_xlfn.MAXIFS($N$5:$N$6004,$C$5:$C$6004,R172,$O$5:$O$6004,"EM ANDAMENTO")))</f>
        <v/>
      </c>
      <c r="AA172" s="2" t="str">
        <f aca="false"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 customFormat="false" ht="15" hidden="false" customHeight="false" outlineLevel="0" collapsed="false">
      <c r="B173" s="4" t="n">
        <v>45337789</v>
      </c>
      <c r="C173" s="4" t="s">
        <v>2337</v>
      </c>
      <c r="D173" s="4" t="s">
        <v>463</v>
      </c>
      <c r="E173" s="4" t="s">
        <v>2740</v>
      </c>
      <c r="F173" s="127" t="n">
        <v>46167</v>
      </c>
      <c r="G173" s="127" t="n">
        <v>46206</v>
      </c>
      <c r="H173" s="127" t="n">
        <v>46289</v>
      </c>
      <c r="I173" s="4" t="n">
        <v>0</v>
      </c>
      <c r="J173" s="4" t="n">
        <v>100</v>
      </c>
      <c r="K173" s="4" t="n">
        <v>100</v>
      </c>
      <c r="M173" s="2" t="str">
        <f aca="false">IF(C173="","",IFERROR(INDEX($S$5:$S$304,MATCH(C173,$R$5:$R$304,0))&amp;"","?"))</f>
        <v>16</v>
      </c>
      <c r="N173" s="2" t="n">
        <f aca="false">IF(E173="","",IF(ISNUMBER(SEARCH("SUBSOLO",E173)),IFERROR(-VALUE(LEFT(E173,FIND("º",SUBSTITUTE(E173,"°","º"))-1)),-1),IF(LEFT(E173,6)="TÉRREO",0,IFERROR(VALUE(LEFT(E173,FIND("º",SUBSTITUTE(E173,"°","º"))-1)),""))))</f>
        <v>-1</v>
      </c>
      <c r="O173" s="2" t="str">
        <f aca="false">IF(OR(F173="",G173=""),"",IF(G173&lt;='RETRATO 2027'!$K$5,"CONCLUÍDA",IF(F173&lt;='RETRATO 2027'!$K$5,"EM ANDAMENTO","A INICIAR")))</f>
        <v>CONCLUÍDA</v>
      </c>
      <c r="R173" s="4" t="s">
        <v>2741</v>
      </c>
      <c r="S173" s="4"/>
      <c r="T173" s="4" t="s">
        <v>2742</v>
      </c>
      <c r="U173" s="4" t="s">
        <v>2305</v>
      </c>
      <c r="V173" s="2" t="n">
        <f aca="false">IF(R173="","",COUNTIF($C$5:$C$6004,R173))</f>
        <v>1</v>
      </c>
      <c r="W173" s="2" t="n">
        <f aca="false">IF(R173="","",COUNTIFS($C$5:$C$6004,R173,$O$5:$O$6004,"CONCLUÍDA"))</f>
        <v>0</v>
      </c>
      <c r="X173" s="2" t="n">
        <f aca="false">IF(R173="","",COUNTIFS($C$5:$C$6004,R173,$O$5:$O$6004,"EM ANDAMENTO"))</f>
        <v>0</v>
      </c>
      <c r="Y173" s="2" t="str">
        <f aca="false">IF(R173="","",IF(COUNTIFS($C$5:$C$6004,R173,$O$5:$O$6004,"CONCLUÍDA",$N$5:$N$6004,"&gt;=-99")=0,"",_xlfn.MAXIFS($N$5:$N$6004,$C$5:$C$6004,R173,$O$5:$O$6004,"CONCLUÍDA")))</f>
        <v/>
      </c>
      <c r="Z173" s="2" t="str">
        <f aca="false">IF(R173="","",IF(COUNTIFS($C$5:$C$6004,R173,$O$5:$O$6004,"EM ANDAMENTO",$N$5:$N$6004,"&gt;=-99")=0,"",_xlfn.MAXIFS($N$5:$N$6004,$C$5:$C$6004,R173,$O$5:$O$6004,"EM ANDAMENTO")))</f>
        <v/>
      </c>
      <c r="AA173" s="2" t="str">
        <f aca="false"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 customFormat="false" ht="15" hidden="false" customHeight="false" outlineLevel="0" collapsed="false">
      <c r="B174" s="4" t="n">
        <v>30973779</v>
      </c>
      <c r="C174" s="4" t="s">
        <v>2337</v>
      </c>
      <c r="D174" s="4" t="s">
        <v>2743</v>
      </c>
      <c r="E174" s="4" t="s">
        <v>2740</v>
      </c>
      <c r="F174" s="127" t="n">
        <v>46167</v>
      </c>
      <c r="G174" s="127" t="n">
        <v>46171</v>
      </c>
      <c r="H174" s="127" t="n">
        <v>46289</v>
      </c>
      <c r="I174" s="4" t="n">
        <v>0</v>
      </c>
      <c r="J174" s="4" t="n">
        <v>100</v>
      </c>
      <c r="K174" s="4" t="n">
        <v>100</v>
      </c>
      <c r="M174" s="2" t="str">
        <f aca="false">IF(C174="","",IFERROR(INDEX($S$5:$S$304,MATCH(C174,$R$5:$R$304,0))&amp;"","?"))</f>
        <v>16</v>
      </c>
      <c r="N174" s="2" t="n">
        <f aca="false">IF(E174="","",IF(ISNUMBER(SEARCH("SUBSOLO",E174)),IFERROR(-VALUE(LEFT(E174,FIND("º",SUBSTITUTE(E174,"°","º"))-1)),-1),IF(LEFT(E174,6)="TÉRREO",0,IFERROR(VALUE(LEFT(E174,FIND("º",SUBSTITUTE(E174,"°","º"))-1)),""))))</f>
        <v>-1</v>
      </c>
      <c r="O174" s="2" t="str">
        <f aca="false">IF(OR(F174="",G174=""),"",IF(G174&lt;='RETRATO 2027'!$K$5,"CONCLUÍDA",IF(F174&lt;='RETRATO 2027'!$K$5,"EM ANDAMENTO","A INICIAR")))</f>
        <v>CONCLUÍDA</v>
      </c>
      <c r="R174" s="4" t="s">
        <v>2744</v>
      </c>
      <c r="S174" s="4"/>
      <c r="T174" s="4" t="s">
        <v>2745</v>
      </c>
      <c r="U174" s="4" t="s">
        <v>2305</v>
      </c>
      <c r="V174" s="2" t="n">
        <f aca="false">IF(R174="","",COUNTIF($C$5:$C$6004,R174))</f>
        <v>1</v>
      </c>
      <c r="W174" s="2" t="n">
        <f aca="false">IF(R174="","",COUNTIFS($C$5:$C$6004,R174,$O$5:$O$6004,"CONCLUÍDA"))</f>
        <v>0</v>
      </c>
      <c r="X174" s="2" t="n">
        <f aca="false">IF(R174="","",COUNTIFS($C$5:$C$6004,R174,$O$5:$O$6004,"EM ANDAMENTO"))</f>
        <v>0</v>
      </c>
      <c r="Y174" s="2" t="str">
        <f aca="false">IF(R174="","",IF(COUNTIFS($C$5:$C$6004,R174,$O$5:$O$6004,"CONCLUÍDA",$N$5:$N$6004,"&gt;=-99")=0,"",_xlfn.MAXIFS($N$5:$N$6004,$C$5:$C$6004,R174,$O$5:$O$6004,"CONCLUÍDA")))</f>
        <v/>
      </c>
      <c r="Z174" s="2" t="str">
        <f aca="false">IF(R174="","",IF(COUNTIFS($C$5:$C$6004,R174,$O$5:$O$6004,"EM ANDAMENTO",$N$5:$N$6004,"&gt;=-99")=0,"",_xlfn.MAXIFS($N$5:$N$6004,$C$5:$C$6004,R174,$O$5:$O$6004,"EM ANDAMENTO")))</f>
        <v/>
      </c>
      <c r="AA174" s="2" t="str">
        <f aca="false"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 customFormat="false" ht="15" hidden="false" customHeight="false" outlineLevel="0" collapsed="false">
      <c r="B175" s="4" t="n">
        <v>30973780</v>
      </c>
      <c r="C175" s="4" t="s">
        <v>2337</v>
      </c>
      <c r="D175" s="4" t="s">
        <v>2746</v>
      </c>
      <c r="E175" s="4" t="s">
        <v>2740</v>
      </c>
      <c r="F175" s="127" t="n">
        <v>46174</v>
      </c>
      <c r="G175" s="127" t="n">
        <v>46181</v>
      </c>
      <c r="H175" s="127" t="n">
        <v>46289</v>
      </c>
      <c r="I175" s="4" t="n">
        <v>0</v>
      </c>
      <c r="J175" s="4" t="n">
        <v>100</v>
      </c>
      <c r="K175" s="4" t="n">
        <v>100</v>
      </c>
      <c r="M175" s="2" t="str">
        <f aca="false">IF(C175="","",IFERROR(INDEX($S$5:$S$304,MATCH(C175,$R$5:$R$304,0))&amp;"","?"))</f>
        <v>16</v>
      </c>
      <c r="N175" s="2" t="n">
        <f aca="false">IF(E175="","",IF(ISNUMBER(SEARCH("SUBSOLO",E175)),IFERROR(-VALUE(LEFT(E175,FIND("º",SUBSTITUTE(E175,"°","º"))-1)),-1),IF(LEFT(E175,6)="TÉRREO",0,IFERROR(VALUE(LEFT(E175,FIND("º",SUBSTITUTE(E175,"°","º"))-1)),""))))</f>
        <v>-1</v>
      </c>
      <c r="O175" s="2" t="str">
        <f aca="false">IF(OR(F175="",G175=""),"",IF(G175&lt;='RETRATO 2027'!$K$5,"CONCLUÍDA",IF(F175&lt;='RETRATO 2027'!$K$5,"EM ANDAMENTO","A INICIAR")))</f>
        <v>CONCLUÍDA</v>
      </c>
      <c r="R175" s="4"/>
      <c r="S175" s="4"/>
      <c r="T175" s="4"/>
      <c r="U175" s="4"/>
      <c r="V175" s="2" t="str">
        <f aca="false">IF(R175="","",COUNTIF($C$5:$C$6004,R175))</f>
        <v/>
      </c>
      <c r="W175" s="2" t="str">
        <f aca="false">IF(R175="","",COUNTIFS($C$5:$C$6004,R175,$O$5:$O$6004,"CONCLUÍDA"))</f>
        <v/>
      </c>
      <c r="X175" s="2" t="str">
        <f aca="false">IF(R175="","",COUNTIFS($C$5:$C$6004,R175,$O$5:$O$6004,"EM ANDAMENTO"))</f>
        <v/>
      </c>
      <c r="Y175" s="2" t="str">
        <f aca="false">IF(R175="","",IF(COUNTIFS($C$5:$C$6004,R175,$O$5:$O$6004,"CONCLUÍDA",$N$5:$N$6004,"&gt;=-99")=0,"",_xlfn.MAXIFS($N$5:$N$6004,$C$5:$C$6004,R175,$O$5:$O$6004,"CONCLUÍDA")))</f>
        <v/>
      </c>
      <c r="Z175" s="2" t="str">
        <f aca="false">IF(R175="","",IF(COUNTIFS($C$5:$C$6004,R175,$O$5:$O$6004,"EM ANDAMENTO",$N$5:$N$6004,"&gt;=-99")=0,"",_xlfn.MAXIFS($N$5:$N$6004,$C$5:$C$6004,R175,$O$5:$O$6004,"EM ANDAMENTO")))</f>
        <v/>
      </c>
      <c r="AA175" s="2" t="str">
        <f aca="false"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 customFormat="false" ht="15" hidden="false" customHeight="false" outlineLevel="0" collapsed="false">
      <c r="B176" s="4" t="n">
        <v>30973781</v>
      </c>
      <c r="C176" s="4" t="s">
        <v>2337</v>
      </c>
      <c r="D176" s="4" t="s">
        <v>2747</v>
      </c>
      <c r="E176" s="4" t="s">
        <v>2740</v>
      </c>
      <c r="F176" s="127" t="n">
        <v>46182</v>
      </c>
      <c r="G176" s="127" t="n">
        <v>46195</v>
      </c>
      <c r="H176" s="127" t="n">
        <v>46289</v>
      </c>
      <c r="I176" s="4" t="n">
        <v>0</v>
      </c>
      <c r="J176" s="4" t="n">
        <v>100</v>
      </c>
      <c r="K176" s="4" t="n">
        <v>100</v>
      </c>
      <c r="M176" s="2" t="str">
        <f aca="false">IF(C176="","",IFERROR(INDEX($S$5:$S$304,MATCH(C176,$R$5:$R$304,0))&amp;"","?"))</f>
        <v>16</v>
      </c>
      <c r="N176" s="2" t="n">
        <f aca="false">IF(E176="","",IF(ISNUMBER(SEARCH("SUBSOLO",E176)),IFERROR(-VALUE(LEFT(E176,FIND("º",SUBSTITUTE(E176,"°","º"))-1)),-1),IF(LEFT(E176,6)="TÉRREO",0,IFERROR(VALUE(LEFT(E176,FIND("º",SUBSTITUTE(E176,"°","º"))-1)),""))))</f>
        <v>-1</v>
      </c>
      <c r="O176" s="2" t="str">
        <f aca="false">IF(OR(F176="",G176=""),"",IF(G176&lt;='RETRATO 2027'!$K$5,"CONCLUÍDA",IF(F176&lt;='RETRATO 2027'!$K$5,"EM ANDAMENTO","A INICIAR")))</f>
        <v>CONCLUÍDA</v>
      </c>
      <c r="R176" s="4"/>
      <c r="S176" s="4"/>
      <c r="T176" s="4"/>
      <c r="U176" s="4"/>
      <c r="V176" s="2" t="str">
        <f aca="false">IF(R176="","",COUNTIF($C$5:$C$6004,R176))</f>
        <v/>
      </c>
      <c r="W176" s="2" t="str">
        <f aca="false">IF(R176="","",COUNTIFS($C$5:$C$6004,R176,$O$5:$O$6004,"CONCLUÍDA"))</f>
        <v/>
      </c>
      <c r="X176" s="2" t="str">
        <f aca="false">IF(R176="","",COUNTIFS($C$5:$C$6004,R176,$O$5:$O$6004,"EM ANDAMENTO"))</f>
        <v/>
      </c>
      <c r="Y176" s="2" t="str">
        <f aca="false">IF(R176="","",IF(COUNTIFS($C$5:$C$6004,R176,$O$5:$O$6004,"CONCLUÍDA",$N$5:$N$6004,"&gt;=-99")=0,"",_xlfn.MAXIFS($N$5:$N$6004,$C$5:$C$6004,R176,$O$5:$O$6004,"CONCLUÍDA")))</f>
        <v/>
      </c>
      <c r="Z176" s="2" t="str">
        <f aca="false">IF(R176="","",IF(COUNTIFS($C$5:$C$6004,R176,$O$5:$O$6004,"EM ANDAMENTO",$N$5:$N$6004,"&gt;=-99")=0,"",_xlfn.MAXIFS($N$5:$N$6004,$C$5:$C$6004,R176,$O$5:$O$6004,"EM ANDAMENTO")))</f>
        <v/>
      </c>
      <c r="AA176" s="2" t="str">
        <f aca="false"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 customFormat="false" ht="15" hidden="false" customHeight="false" outlineLevel="0" collapsed="false">
      <c r="B177" s="4" t="n">
        <v>30973782</v>
      </c>
      <c r="C177" s="4" t="s">
        <v>2337</v>
      </c>
      <c r="D177" s="4" t="s">
        <v>2748</v>
      </c>
      <c r="E177" s="4" t="s">
        <v>2740</v>
      </c>
      <c r="F177" s="127" t="n">
        <v>46196</v>
      </c>
      <c r="G177" s="127" t="n">
        <v>46199</v>
      </c>
      <c r="H177" s="127" t="n">
        <v>46289</v>
      </c>
      <c r="I177" s="4" t="n">
        <v>0</v>
      </c>
      <c r="J177" s="4" t="n">
        <v>100</v>
      </c>
      <c r="K177" s="4" t="n">
        <v>100</v>
      </c>
      <c r="M177" s="2" t="str">
        <f aca="false">IF(C177="","",IFERROR(INDEX($S$5:$S$304,MATCH(C177,$R$5:$R$304,0))&amp;"","?"))</f>
        <v>16</v>
      </c>
      <c r="N177" s="2" t="n">
        <f aca="false">IF(E177="","",IF(ISNUMBER(SEARCH("SUBSOLO",E177)),IFERROR(-VALUE(LEFT(E177,FIND("º",SUBSTITUTE(E177,"°","º"))-1)),-1),IF(LEFT(E177,6)="TÉRREO",0,IFERROR(VALUE(LEFT(E177,FIND("º",SUBSTITUTE(E177,"°","º"))-1)),""))))</f>
        <v>-1</v>
      </c>
      <c r="O177" s="2" t="str">
        <f aca="false">IF(OR(F177="",G177=""),"",IF(G177&lt;='RETRATO 2027'!$K$5,"CONCLUÍDA",IF(F177&lt;='RETRATO 2027'!$K$5,"EM ANDAMENTO","A INICIAR")))</f>
        <v>CONCLUÍDA</v>
      </c>
      <c r="R177" s="4"/>
      <c r="S177" s="4"/>
      <c r="T177" s="4"/>
      <c r="U177" s="4"/>
      <c r="V177" s="2" t="str">
        <f aca="false">IF(R177="","",COUNTIF($C$5:$C$6004,R177))</f>
        <v/>
      </c>
      <c r="W177" s="2" t="str">
        <f aca="false">IF(R177="","",COUNTIFS($C$5:$C$6004,R177,$O$5:$O$6004,"CONCLUÍDA"))</f>
        <v/>
      </c>
      <c r="X177" s="2" t="str">
        <f aca="false">IF(R177="","",COUNTIFS($C$5:$C$6004,R177,$O$5:$O$6004,"EM ANDAMENTO"))</f>
        <v/>
      </c>
      <c r="Y177" s="2" t="str">
        <f aca="false">IF(R177="","",IF(COUNTIFS($C$5:$C$6004,R177,$O$5:$O$6004,"CONCLUÍDA",$N$5:$N$6004,"&gt;=-99")=0,"",_xlfn.MAXIFS($N$5:$N$6004,$C$5:$C$6004,R177,$O$5:$O$6004,"CONCLUÍDA")))</f>
        <v/>
      </c>
      <c r="Z177" s="2" t="str">
        <f aca="false">IF(R177="","",IF(COUNTIFS($C$5:$C$6004,R177,$O$5:$O$6004,"EM ANDAMENTO",$N$5:$N$6004,"&gt;=-99")=0,"",_xlfn.MAXIFS($N$5:$N$6004,$C$5:$C$6004,R177,$O$5:$O$6004,"EM ANDAMENTO")))</f>
        <v/>
      </c>
      <c r="AA177" s="2" t="str">
        <f aca="false"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 customFormat="false" ht="15" hidden="false" customHeight="false" outlineLevel="0" collapsed="false">
      <c r="B178" s="4" t="n">
        <v>30973791</v>
      </c>
      <c r="C178" s="4" t="s">
        <v>2337</v>
      </c>
      <c r="D178" s="4" t="s">
        <v>2749</v>
      </c>
      <c r="E178" s="4" t="s">
        <v>2740</v>
      </c>
      <c r="F178" s="127" t="n">
        <v>46202</v>
      </c>
      <c r="G178" s="127" t="n">
        <v>46206</v>
      </c>
      <c r="H178" s="127" t="n">
        <v>46289</v>
      </c>
      <c r="I178" s="4" t="n">
        <v>0</v>
      </c>
      <c r="J178" s="4" t="n">
        <v>100</v>
      </c>
      <c r="K178" s="4" t="n">
        <v>100</v>
      </c>
      <c r="M178" s="2" t="str">
        <f aca="false">IF(C178="","",IFERROR(INDEX($S$5:$S$304,MATCH(C178,$R$5:$R$304,0))&amp;"","?"))</f>
        <v>16</v>
      </c>
      <c r="N178" s="2" t="n">
        <f aca="false">IF(E178="","",IF(ISNUMBER(SEARCH("SUBSOLO",E178)),IFERROR(-VALUE(LEFT(E178,FIND("º",SUBSTITUTE(E178,"°","º"))-1)),-1),IF(LEFT(E178,6)="TÉRREO",0,IFERROR(VALUE(LEFT(E178,FIND("º",SUBSTITUTE(E178,"°","º"))-1)),""))))</f>
        <v>-1</v>
      </c>
      <c r="O178" s="2" t="str">
        <f aca="false">IF(OR(F178="",G178=""),"",IF(G178&lt;='RETRATO 2027'!$K$5,"CONCLUÍDA",IF(F178&lt;='RETRATO 2027'!$K$5,"EM ANDAMENTO","A INICIAR")))</f>
        <v>CONCLUÍDA</v>
      </c>
      <c r="R178" s="4"/>
      <c r="S178" s="4"/>
      <c r="T178" s="4"/>
      <c r="U178" s="4"/>
      <c r="V178" s="2" t="str">
        <f aca="false">IF(R178="","",COUNTIF($C$5:$C$6004,R178))</f>
        <v/>
      </c>
      <c r="W178" s="2" t="str">
        <f aca="false">IF(R178="","",COUNTIFS($C$5:$C$6004,R178,$O$5:$O$6004,"CONCLUÍDA"))</f>
        <v/>
      </c>
      <c r="X178" s="2" t="str">
        <f aca="false">IF(R178="","",COUNTIFS($C$5:$C$6004,R178,$O$5:$O$6004,"EM ANDAMENTO"))</f>
        <v/>
      </c>
      <c r="Y178" s="2" t="str">
        <f aca="false">IF(R178="","",IF(COUNTIFS($C$5:$C$6004,R178,$O$5:$O$6004,"CONCLUÍDA",$N$5:$N$6004,"&gt;=-99")=0,"",_xlfn.MAXIFS($N$5:$N$6004,$C$5:$C$6004,R178,$O$5:$O$6004,"CONCLUÍDA")))</f>
        <v/>
      </c>
      <c r="Z178" s="2" t="str">
        <f aca="false">IF(R178="","",IF(COUNTIFS($C$5:$C$6004,R178,$O$5:$O$6004,"EM ANDAMENTO",$N$5:$N$6004,"&gt;=-99")=0,"",_xlfn.MAXIFS($N$5:$N$6004,$C$5:$C$6004,R178,$O$5:$O$6004,"EM ANDAMENTO")))</f>
        <v/>
      </c>
      <c r="AA178" s="2" t="str">
        <f aca="false"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 customFormat="false" ht="15" hidden="false" customHeight="false" outlineLevel="0" collapsed="false">
      <c r="B179" s="4" t="n">
        <v>44503963</v>
      </c>
      <c r="C179" s="4" t="s">
        <v>2339</v>
      </c>
      <c r="D179" s="4" t="s">
        <v>463</v>
      </c>
      <c r="E179" s="4" t="s">
        <v>81</v>
      </c>
      <c r="F179" s="127" t="n">
        <v>46174</v>
      </c>
      <c r="G179" s="127" t="n">
        <v>46213</v>
      </c>
      <c r="H179" s="127" t="n">
        <v>46289</v>
      </c>
      <c r="I179" s="4" t="n">
        <v>0</v>
      </c>
      <c r="J179" s="4" t="n">
        <v>100</v>
      </c>
      <c r="K179" s="4" t="n">
        <v>100</v>
      </c>
      <c r="M179" s="2" t="str">
        <f aca="false">IF(C179="","",IFERROR(INDEX($S$5:$S$304,MATCH(C179,$R$5:$R$304,0))&amp;"","?"))</f>
        <v>16</v>
      </c>
      <c r="N179" s="2" t="str">
        <f aca="false">IF(E179="","",IF(ISNUMBER(SEARCH("SUBSOLO",E179)),IFERROR(-VALUE(LEFT(E179,FIND("º",SUBSTITUTE(E179,"°","º"))-1)),-1),IF(LEFT(E179,6)="TÉRREO",0,IFERROR(VALUE(LEFT(E179,FIND("º",SUBSTITUTE(E179,"°","º"))-1)),""))))</f>
        <v/>
      </c>
      <c r="O179" s="2" t="str">
        <f aca="false">IF(OR(F179="",G179=""),"",IF(G179&lt;='RETRATO 2027'!$K$5,"CONCLUÍDA",IF(F179&lt;='RETRATO 2027'!$K$5,"EM ANDAMENTO","A INICIAR")))</f>
        <v>CONCLUÍDA</v>
      </c>
      <c r="R179" s="4"/>
      <c r="S179" s="4"/>
      <c r="T179" s="4"/>
      <c r="U179" s="4"/>
      <c r="V179" s="2" t="str">
        <f aca="false">IF(R179="","",COUNTIF($C$5:$C$6004,R179))</f>
        <v/>
      </c>
      <c r="W179" s="2" t="str">
        <f aca="false">IF(R179="","",COUNTIFS($C$5:$C$6004,R179,$O$5:$O$6004,"CONCLUÍDA"))</f>
        <v/>
      </c>
      <c r="X179" s="2" t="str">
        <f aca="false">IF(R179="","",COUNTIFS($C$5:$C$6004,R179,$O$5:$O$6004,"EM ANDAMENTO"))</f>
        <v/>
      </c>
      <c r="Y179" s="2" t="str">
        <f aca="false">IF(R179="","",IF(COUNTIFS($C$5:$C$6004,R179,$O$5:$O$6004,"CONCLUÍDA",$N$5:$N$6004,"&gt;=-99")=0,"",_xlfn.MAXIFS($N$5:$N$6004,$C$5:$C$6004,R179,$O$5:$O$6004,"CONCLUÍDA")))</f>
        <v/>
      </c>
      <c r="Z179" s="2" t="str">
        <f aca="false">IF(R179="","",IF(COUNTIFS($C$5:$C$6004,R179,$O$5:$O$6004,"EM ANDAMENTO",$N$5:$N$6004,"&gt;=-99")=0,"",_xlfn.MAXIFS($N$5:$N$6004,$C$5:$C$6004,R179,$O$5:$O$6004,"EM ANDAMENTO")))</f>
        <v/>
      </c>
      <c r="AA179" s="2" t="str">
        <f aca="false"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 customFormat="false" ht="15" hidden="false" customHeight="false" outlineLevel="0" collapsed="false">
      <c r="B180" s="4" t="n">
        <v>28389436</v>
      </c>
      <c r="C180" s="4" t="s">
        <v>2339</v>
      </c>
      <c r="D180" s="4" t="s">
        <v>2750</v>
      </c>
      <c r="E180" s="4" t="s">
        <v>81</v>
      </c>
      <c r="F180" s="127" t="n">
        <v>46174</v>
      </c>
      <c r="G180" s="127" t="n">
        <v>46184</v>
      </c>
      <c r="H180" s="127" t="n">
        <v>46289</v>
      </c>
      <c r="I180" s="4" t="n">
        <v>0</v>
      </c>
      <c r="J180" s="4" t="n">
        <v>100</v>
      </c>
      <c r="K180" s="4" t="n">
        <v>100</v>
      </c>
      <c r="M180" s="2" t="str">
        <f aca="false">IF(C180="","",IFERROR(INDEX($S$5:$S$304,MATCH(C180,$R$5:$R$304,0))&amp;"","?"))</f>
        <v>16</v>
      </c>
      <c r="N180" s="2" t="str">
        <f aca="false">IF(E180="","",IF(ISNUMBER(SEARCH("SUBSOLO",E180)),IFERROR(-VALUE(LEFT(E180,FIND("º",SUBSTITUTE(E180,"°","º"))-1)),-1),IF(LEFT(E180,6)="TÉRREO",0,IFERROR(VALUE(LEFT(E180,FIND("º",SUBSTITUTE(E180,"°","º"))-1)),""))))</f>
        <v/>
      </c>
      <c r="O180" s="2" t="str">
        <f aca="false">IF(OR(F180="",G180=""),"",IF(G180&lt;='RETRATO 2027'!$K$5,"CONCLUÍDA",IF(F180&lt;='RETRATO 2027'!$K$5,"EM ANDAMENTO","A INICIAR")))</f>
        <v>CONCLUÍDA</v>
      </c>
      <c r="R180" s="4"/>
      <c r="S180" s="4"/>
      <c r="T180" s="4"/>
      <c r="U180" s="4"/>
      <c r="V180" s="2" t="str">
        <f aca="false">IF(R180="","",COUNTIF($C$5:$C$6004,R180))</f>
        <v/>
      </c>
      <c r="W180" s="2" t="str">
        <f aca="false">IF(R180="","",COUNTIFS($C$5:$C$6004,R180,$O$5:$O$6004,"CONCLUÍDA"))</f>
        <v/>
      </c>
      <c r="X180" s="2" t="str">
        <f aca="false">IF(R180="","",COUNTIFS($C$5:$C$6004,R180,$O$5:$O$6004,"EM ANDAMENTO"))</f>
        <v/>
      </c>
      <c r="Y180" s="2" t="str">
        <f aca="false">IF(R180="","",IF(COUNTIFS($C$5:$C$6004,R180,$O$5:$O$6004,"CONCLUÍDA",$N$5:$N$6004,"&gt;=-99")=0,"",_xlfn.MAXIFS($N$5:$N$6004,$C$5:$C$6004,R180,$O$5:$O$6004,"CONCLUÍDA")))</f>
        <v/>
      </c>
      <c r="Z180" s="2" t="str">
        <f aca="false">IF(R180="","",IF(COUNTIFS($C$5:$C$6004,R180,$O$5:$O$6004,"EM ANDAMENTO",$N$5:$N$6004,"&gt;=-99")=0,"",_xlfn.MAXIFS($N$5:$N$6004,$C$5:$C$6004,R180,$O$5:$O$6004,"EM ANDAMENTO")))</f>
        <v/>
      </c>
      <c r="AA180" s="2" t="str">
        <f aca="false"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 customFormat="false" ht="15" hidden="false" customHeight="false" outlineLevel="0" collapsed="false">
      <c r="B181" s="4" t="n">
        <v>28389437</v>
      </c>
      <c r="C181" s="4" t="s">
        <v>2339</v>
      </c>
      <c r="D181" s="4" t="s">
        <v>2751</v>
      </c>
      <c r="E181" s="4" t="s">
        <v>81</v>
      </c>
      <c r="F181" s="127" t="n">
        <v>46185</v>
      </c>
      <c r="G181" s="127" t="n">
        <v>46192</v>
      </c>
      <c r="H181" s="127" t="n">
        <v>46289</v>
      </c>
      <c r="I181" s="4" t="n">
        <v>0</v>
      </c>
      <c r="J181" s="4" t="n">
        <v>100</v>
      </c>
      <c r="K181" s="4" t="n">
        <v>100</v>
      </c>
      <c r="M181" s="2" t="str">
        <f aca="false">IF(C181="","",IFERROR(INDEX($S$5:$S$304,MATCH(C181,$R$5:$R$304,0))&amp;"","?"))</f>
        <v>16</v>
      </c>
      <c r="N181" s="2" t="str">
        <f aca="false">IF(E181="","",IF(ISNUMBER(SEARCH("SUBSOLO",E181)),IFERROR(-VALUE(LEFT(E181,FIND("º",SUBSTITUTE(E181,"°","º"))-1)),-1),IF(LEFT(E181,6)="TÉRREO",0,IFERROR(VALUE(LEFT(E181,FIND("º",SUBSTITUTE(E181,"°","º"))-1)),""))))</f>
        <v/>
      </c>
      <c r="O181" s="2" t="str">
        <f aca="false">IF(OR(F181="",G181=""),"",IF(G181&lt;='RETRATO 2027'!$K$5,"CONCLUÍDA",IF(F181&lt;='RETRATO 2027'!$K$5,"EM ANDAMENTO","A INICIAR")))</f>
        <v>CONCLUÍDA</v>
      </c>
      <c r="R181" s="4"/>
      <c r="S181" s="4"/>
      <c r="T181" s="4"/>
      <c r="U181" s="4"/>
      <c r="V181" s="2" t="str">
        <f aca="false">IF(R181="","",COUNTIF($C$5:$C$6004,R181))</f>
        <v/>
      </c>
      <c r="W181" s="2" t="str">
        <f aca="false">IF(R181="","",COUNTIFS($C$5:$C$6004,R181,$O$5:$O$6004,"CONCLUÍDA"))</f>
        <v/>
      </c>
      <c r="X181" s="2" t="str">
        <f aca="false">IF(R181="","",COUNTIFS($C$5:$C$6004,R181,$O$5:$O$6004,"EM ANDAMENTO"))</f>
        <v/>
      </c>
      <c r="Y181" s="2" t="str">
        <f aca="false">IF(R181="","",IF(COUNTIFS($C$5:$C$6004,R181,$O$5:$O$6004,"CONCLUÍDA",$N$5:$N$6004,"&gt;=-99")=0,"",_xlfn.MAXIFS($N$5:$N$6004,$C$5:$C$6004,R181,$O$5:$O$6004,"CONCLUÍDA")))</f>
        <v/>
      </c>
      <c r="Z181" s="2" t="str">
        <f aca="false">IF(R181="","",IF(COUNTIFS($C$5:$C$6004,R181,$O$5:$O$6004,"EM ANDAMENTO",$N$5:$N$6004,"&gt;=-99")=0,"",_xlfn.MAXIFS($N$5:$N$6004,$C$5:$C$6004,R181,$O$5:$O$6004,"EM ANDAMENTO")))</f>
        <v/>
      </c>
      <c r="AA181" s="2" t="str">
        <f aca="false"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 customFormat="false" ht="15" hidden="false" customHeight="false" outlineLevel="0" collapsed="false">
      <c r="B182" s="4" t="n">
        <v>28389438</v>
      </c>
      <c r="C182" s="4" t="s">
        <v>2339</v>
      </c>
      <c r="D182" s="4" t="s">
        <v>2752</v>
      </c>
      <c r="E182" s="4" t="s">
        <v>81</v>
      </c>
      <c r="F182" s="127" t="n">
        <v>46185</v>
      </c>
      <c r="G182" s="127" t="n">
        <v>46188</v>
      </c>
      <c r="H182" s="127" t="n">
        <v>46289</v>
      </c>
      <c r="I182" s="4" t="n">
        <v>0</v>
      </c>
      <c r="J182" s="4" t="n">
        <v>100</v>
      </c>
      <c r="K182" s="4" t="n">
        <v>100</v>
      </c>
      <c r="M182" s="2" t="str">
        <f aca="false">IF(C182="","",IFERROR(INDEX($S$5:$S$304,MATCH(C182,$R$5:$R$304,0))&amp;"","?"))</f>
        <v>16</v>
      </c>
      <c r="N182" s="2" t="str">
        <f aca="false">IF(E182="","",IF(ISNUMBER(SEARCH("SUBSOLO",E182)),IFERROR(-VALUE(LEFT(E182,FIND("º",SUBSTITUTE(E182,"°","º"))-1)),-1),IF(LEFT(E182,6)="TÉRREO",0,IFERROR(VALUE(LEFT(E182,FIND("º",SUBSTITUTE(E182,"°","º"))-1)),""))))</f>
        <v/>
      </c>
      <c r="O182" s="2" t="str">
        <f aca="false">IF(OR(F182="",G182=""),"",IF(G182&lt;='RETRATO 2027'!$K$5,"CONCLUÍDA",IF(F182&lt;='RETRATO 2027'!$K$5,"EM ANDAMENTO","A INICIAR")))</f>
        <v>CONCLUÍDA</v>
      </c>
      <c r="R182" s="4"/>
      <c r="S182" s="4"/>
      <c r="T182" s="4"/>
      <c r="U182" s="4"/>
      <c r="V182" s="2" t="str">
        <f aca="false">IF(R182="","",COUNTIF($C$5:$C$6004,R182))</f>
        <v/>
      </c>
      <c r="W182" s="2" t="str">
        <f aca="false">IF(R182="","",COUNTIFS($C$5:$C$6004,R182,$O$5:$O$6004,"CONCLUÍDA"))</f>
        <v/>
      </c>
      <c r="X182" s="2" t="str">
        <f aca="false">IF(R182="","",COUNTIFS($C$5:$C$6004,R182,$O$5:$O$6004,"EM ANDAMENTO"))</f>
        <v/>
      </c>
      <c r="Y182" s="2" t="str">
        <f aca="false">IF(R182="","",IF(COUNTIFS($C$5:$C$6004,R182,$O$5:$O$6004,"CONCLUÍDA",$N$5:$N$6004,"&gt;=-99")=0,"",_xlfn.MAXIFS($N$5:$N$6004,$C$5:$C$6004,R182,$O$5:$O$6004,"CONCLUÍDA")))</f>
        <v/>
      </c>
      <c r="Z182" s="2" t="str">
        <f aca="false">IF(R182="","",IF(COUNTIFS($C$5:$C$6004,R182,$O$5:$O$6004,"EM ANDAMENTO",$N$5:$N$6004,"&gt;=-99")=0,"",_xlfn.MAXIFS($N$5:$N$6004,$C$5:$C$6004,R182,$O$5:$O$6004,"EM ANDAMENTO")))</f>
        <v/>
      </c>
      <c r="AA182" s="2" t="str">
        <f aca="false"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 customFormat="false" ht="15" hidden="false" customHeight="false" outlineLevel="0" collapsed="false">
      <c r="B183" s="4" t="n">
        <v>28389439</v>
      </c>
      <c r="C183" s="4" t="s">
        <v>2339</v>
      </c>
      <c r="D183" s="4" t="s">
        <v>2753</v>
      </c>
      <c r="E183" s="4" t="s">
        <v>81</v>
      </c>
      <c r="F183" s="127" t="n">
        <v>46189</v>
      </c>
      <c r="G183" s="127" t="n">
        <v>46192</v>
      </c>
      <c r="H183" s="127" t="n">
        <v>46289</v>
      </c>
      <c r="I183" s="4" t="n">
        <v>0</v>
      </c>
      <c r="J183" s="4" t="n">
        <v>100</v>
      </c>
      <c r="K183" s="4" t="n">
        <v>100</v>
      </c>
      <c r="M183" s="2" t="str">
        <f aca="false">IF(C183="","",IFERROR(INDEX($S$5:$S$304,MATCH(C183,$R$5:$R$304,0))&amp;"","?"))</f>
        <v>16</v>
      </c>
      <c r="N183" s="2" t="str">
        <f aca="false">IF(E183="","",IF(ISNUMBER(SEARCH("SUBSOLO",E183)),IFERROR(-VALUE(LEFT(E183,FIND("º",SUBSTITUTE(E183,"°","º"))-1)),-1),IF(LEFT(E183,6)="TÉRREO",0,IFERROR(VALUE(LEFT(E183,FIND("º",SUBSTITUTE(E183,"°","º"))-1)),""))))</f>
        <v/>
      </c>
      <c r="O183" s="2" t="str">
        <f aca="false">IF(OR(F183="",G183=""),"",IF(G183&lt;='RETRATO 2027'!$K$5,"CONCLUÍDA",IF(F183&lt;='RETRATO 2027'!$K$5,"EM ANDAMENTO","A INICIAR")))</f>
        <v>CONCLUÍDA</v>
      </c>
      <c r="R183" s="4"/>
      <c r="S183" s="4"/>
      <c r="T183" s="4"/>
      <c r="U183" s="4"/>
      <c r="V183" s="2" t="str">
        <f aca="false">IF(R183="","",COUNTIF($C$5:$C$6004,R183))</f>
        <v/>
      </c>
      <c r="W183" s="2" t="str">
        <f aca="false">IF(R183="","",COUNTIFS($C$5:$C$6004,R183,$O$5:$O$6004,"CONCLUÍDA"))</f>
        <v/>
      </c>
      <c r="X183" s="2" t="str">
        <f aca="false">IF(R183="","",COUNTIFS($C$5:$C$6004,R183,$O$5:$O$6004,"EM ANDAMENTO"))</f>
        <v/>
      </c>
      <c r="Y183" s="2" t="str">
        <f aca="false">IF(R183="","",IF(COUNTIFS($C$5:$C$6004,R183,$O$5:$O$6004,"CONCLUÍDA",$N$5:$N$6004,"&gt;=-99")=0,"",_xlfn.MAXIFS($N$5:$N$6004,$C$5:$C$6004,R183,$O$5:$O$6004,"CONCLUÍDA")))</f>
        <v/>
      </c>
      <c r="Z183" s="2" t="str">
        <f aca="false">IF(R183="","",IF(COUNTIFS($C$5:$C$6004,R183,$O$5:$O$6004,"EM ANDAMENTO",$N$5:$N$6004,"&gt;=-99")=0,"",_xlfn.MAXIFS($N$5:$N$6004,$C$5:$C$6004,R183,$O$5:$O$6004,"EM ANDAMENTO")))</f>
        <v/>
      </c>
      <c r="AA183" s="2" t="str">
        <f aca="false"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 customFormat="false" ht="15" hidden="false" customHeight="false" outlineLevel="0" collapsed="false">
      <c r="B184" s="4" t="n">
        <v>28389440</v>
      </c>
      <c r="C184" s="4" t="s">
        <v>2339</v>
      </c>
      <c r="D184" s="4" t="s">
        <v>2754</v>
      </c>
      <c r="E184" s="4" t="s">
        <v>81</v>
      </c>
      <c r="F184" s="127" t="n">
        <v>46192</v>
      </c>
      <c r="G184" s="127" t="n">
        <v>46192</v>
      </c>
      <c r="H184" s="127" t="n">
        <v>46289</v>
      </c>
      <c r="I184" s="4" t="n">
        <v>0</v>
      </c>
      <c r="J184" s="4" t="n">
        <v>100</v>
      </c>
      <c r="K184" s="4" t="n">
        <v>100</v>
      </c>
      <c r="M184" s="2" t="str">
        <f aca="false">IF(C184="","",IFERROR(INDEX($S$5:$S$304,MATCH(C184,$R$5:$R$304,0))&amp;"","?"))</f>
        <v>16</v>
      </c>
      <c r="N184" s="2" t="str">
        <f aca="false">IF(E184="","",IF(ISNUMBER(SEARCH("SUBSOLO",E184)),IFERROR(-VALUE(LEFT(E184,FIND("º",SUBSTITUTE(E184,"°","º"))-1)),-1),IF(LEFT(E184,6)="TÉRREO",0,IFERROR(VALUE(LEFT(E184,FIND("º",SUBSTITUTE(E184,"°","º"))-1)),""))))</f>
        <v/>
      </c>
      <c r="O184" s="2" t="str">
        <f aca="false">IF(OR(F184="",G184=""),"",IF(G184&lt;='RETRATO 2027'!$K$5,"CONCLUÍDA",IF(F184&lt;='RETRATO 2027'!$K$5,"EM ANDAMENTO","A INICIAR")))</f>
        <v>CONCLUÍDA</v>
      </c>
      <c r="R184" s="4"/>
      <c r="S184" s="4"/>
      <c r="T184" s="4"/>
      <c r="U184" s="4"/>
      <c r="V184" s="2" t="str">
        <f aca="false">IF(R184="","",COUNTIF($C$5:$C$6004,R184))</f>
        <v/>
      </c>
      <c r="W184" s="2" t="str">
        <f aca="false">IF(R184="","",COUNTIFS($C$5:$C$6004,R184,$O$5:$O$6004,"CONCLUÍDA"))</f>
        <v/>
      </c>
      <c r="X184" s="2" t="str">
        <f aca="false">IF(R184="","",COUNTIFS($C$5:$C$6004,R184,$O$5:$O$6004,"EM ANDAMENTO"))</f>
        <v/>
      </c>
      <c r="Y184" s="2" t="str">
        <f aca="false">IF(R184="","",IF(COUNTIFS($C$5:$C$6004,R184,$O$5:$O$6004,"CONCLUÍDA",$N$5:$N$6004,"&gt;=-99")=0,"",_xlfn.MAXIFS($N$5:$N$6004,$C$5:$C$6004,R184,$O$5:$O$6004,"CONCLUÍDA")))</f>
        <v/>
      </c>
      <c r="Z184" s="2" t="str">
        <f aca="false">IF(R184="","",IF(COUNTIFS($C$5:$C$6004,R184,$O$5:$O$6004,"EM ANDAMENTO",$N$5:$N$6004,"&gt;=-99")=0,"",_xlfn.MAXIFS($N$5:$N$6004,$C$5:$C$6004,R184,$O$5:$O$6004,"EM ANDAMENTO")))</f>
        <v/>
      </c>
      <c r="AA184" s="2" t="str">
        <f aca="false"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 customFormat="false" ht="15" hidden="false" customHeight="false" outlineLevel="0" collapsed="false">
      <c r="B185" s="4" t="n">
        <v>28645979</v>
      </c>
      <c r="C185" s="4" t="s">
        <v>2339</v>
      </c>
      <c r="D185" s="4" t="s">
        <v>2755</v>
      </c>
      <c r="E185" s="4" t="s">
        <v>81</v>
      </c>
      <c r="F185" s="127" t="n">
        <v>46195</v>
      </c>
      <c r="G185" s="127" t="n">
        <v>46206</v>
      </c>
      <c r="H185" s="127" t="n">
        <v>46289</v>
      </c>
      <c r="I185" s="4" t="n">
        <v>0</v>
      </c>
      <c r="J185" s="4" t="n">
        <v>100</v>
      </c>
      <c r="K185" s="4" t="n">
        <v>100</v>
      </c>
      <c r="M185" s="2" t="str">
        <f aca="false">IF(C185="","",IFERROR(INDEX($S$5:$S$304,MATCH(C185,$R$5:$R$304,0))&amp;"","?"))</f>
        <v>16</v>
      </c>
      <c r="N185" s="2" t="str">
        <f aca="false">IF(E185="","",IF(ISNUMBER(SEARCH("SUBSOLO",E185)),IFERROR(-VALUE(LEFT(E185,FIND("º",SUBSTITUTE(E185,"°","º"))-1)),-1),IF(LEFT(E185,6)="TÉRREO",0,IFERROR(VALUE(LEFT(E185,FIND("º",SUBSTITUTE(E185,"°","º"))-1)),""))))</f>
        <v/>
      </c>
      <c r="O185" s="2" t="str">
        <f aca="false">IF(OR(F185="",G185=""),"",IF(G185&lt;='RETRATO 2027'!$K$5,"CONCLUÍDA",IF(F185&lt;='RETRATO 2027'!$K$5,"EM ANDAMENTO","A INICIAR")))</f>
        <v>CONCLUÍDA</v>
      </c>
      <c r="R185" s="4"/>
      <c r="S185" s="4"/>
      <c r="T185" s="4"/>
      <c r="U185" s="4"/>
      <c r="V185" s="2" t="str">
        <f aca="false">IF(R185="","",COUNTIF($C$5:$C$6004,R185))</f>
        <v/>
      </c>
      <c r="W185" s="2" t="str">
        <f aca="false">IF(R185="","",COUNTIFS($C$5:$C$6004,R185,$O$5:$O$6004,"CONCLUÍDA"))</f>
        <v/>
      </c>
      <c r="X185" s="2" t="str">
        <f aca="false">IF(R185="","",COUNTIFS($C$5:$C$6004,R185,$O$5:$O$6004,"EM ANDAMENTO"))</f>
        <v/>
      </c>
      <c r="Y185" s="2" t="str">
        <f aca="false">IF(R185="","",IF(COUNTIFS($C$5:$C$6004,R185,$O$5:$O$6004,"CONCLUÍDA",$N$5:$N$6004,"&gt;=-99")=0,"",_xlfn.MAXIFS($N$5:$N$6004,$C$5:$C$6004,R185,$O$5:$O$6004,"CONCLUÍDA")))</f>
        <v/>
      </c>
      <c r="Z185" s="2" t="str">
        <f aca="false">IF(R185="","",IF(COUNTIFS($C$5:$C$6004,R185,$O$5:$O$6004,"EM ANDAMENTO",$N$5:$N$6004,"&gt;=-99")=0,"",_xlfn.MAXIFS($N$5:$N$6004,$C$5:$C$6004,R185,$O$5:$O$6004,"EM ANDAMENTO")))</f>
        <v/>
      </c>
      <c r="AA185" s="2" t="str">
        <f aca="false"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 customFormat="false" ht="15" hidden="false" customHeight="false" outlineLevel="0" collapsed="false">
      <c r="B186" s="4" t="n">
        <v>28645980</v>
      </c>
      <c r="C186" s="4" t="s">
        <v>2339</v>
      </c>
      <c r="D186" s="4" t="s">
        <v>2756</v>
      </c>
      <c r="E186" s="4" t="s">
        <v>81</v>
      </c>
      <c r="F186" s="127" t="n">
        <v>46209</v>
      </c>
      <c r="G186" s="127" t="n">
        <v>46213</v>
      </c>
      <c r="H186" s="127" t="n">
        <v>46289</v>
      </c>
      <c r="I186" s="4" t="n">
        <v>0</v>
      </c>
      <c r="J186" s="4" t="n">
        <v>100</v>
      </c>
      <c r="K186" s="4" t="n">
        <v>100</v>
      </c>
      <c r="M186" s="2" t="str">
        <f aca="false">IF(C186="","",IFERROR(INDEX($S$5:$S$304,MATCH(C186,$R$5:$R$304,0))&amp;"","?"))</f>
        <v>16</v>
      </c>
      <c r="N186" s="2" t="str">
        <f aca="false">IF(E186="","",IF(ISNUMBER(SEARCH("SUBSOLO",E186)),IFERROR(-VALUE(LEFT(E186,FIND("º",SUBSTITUTE(E186,"°","º"))-1)),-1),IF(LEFT(E186,6)="TÉRREO",0,IFERROR(VALUE(LEFT(E186,FIND("º",SUBSTITUTE(E186,"°","º"))-1)),""))))</f>
        <v/>
      </c>
      <c r="O186" s="2" t="str">
        <f aca="false">IF(OR(F186="",G186=""),"",IF(G186&lt;='RETRATO 2027'!$K$5,"CONCLUÍDA",IF(F186&lt;='RETRATO 2027'!$K$5,"EM ANDAMENTO","A INICIAR")))</f>
        <v>CONCLUÍDA</v>
      </c>
      <c r="R186" s="4"/>
      <c r="S186" s="4"/>
      <c r="T186" s="4"/>
      <c r="U186" s="4"/>
      <c r="V186" s="2" t="str">
        <f aca="false">IF(R186="","",COUNTIF($C$5:$C$6004,R186))</f>
        <v/>
      </c>
      <c r="W186" s="2" t="str">
        <f aca="false">IF(R186="","",COUNTIFS($C$5:$C$6004,R186,$O$5:$O$6004,"CONCLUÍDA"))</f>
        <v/>
      </c>
      <c r="X186" s="2" t="str">
        <f aca="false">IF(R186="","",COUNTIFS($C$5:$C$6004,R186,$O$5:$O$6004,"EM ANDAMENTO"))</f>
        <v/>
      </c>
      <c r="Y186" s="2" t="str">
        <f aca="false">IF(R186="","",IF(COUNTIFS($C$5:$C$6004,R186,$O$5:$O$6004,"CONCLUÍDA",$N$5:$N$6004,"&gt;=-99")=0,"",_xlfn.MAXIFS($N$5:$N$6004,$C$5:$C$6004,R186,$O$5:$O$6004,"CONCLUÍDA")))</f>
        <v/>
      </c>
      <c r="Z186" s="2" t="str">
        <f aca="false">IF(R186="","",IF(COUNTIFS($C$5:$C$6004,R186,$O$5:$O$6004,"EM ANDAMENTO",$N$5:$N$6004,"&gt;=-99")=0,"",_xlfn.MAXIFS($N$5:$N$6004,$C$5:$C$6004,R186,$O$5:$O$6004,"EM ANDAMENTO")))</f>
        <v/>
      </c>
      <c r="AA186" s="2" t="str">
        <f aca="false"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 customFormat="false" ht="15" hidden="false" customHeight="false" outlineLevel="0" collapsed="false">
      <c r="B187" s="4" t="n">
        <v>29933276</v>
      </c>
      <c r="C187" s="4" t="s">
        <v>2341</v>
      </c>
      <c r="D187" s="4" t="s">
        <v>463</v>
      </c>
      <c r="E187" s="4" t="s">
        <v>2757</v>
      </c>
      <c r="F187" s="127" t="n">
        <v>46188</v>
      </c>
      <c r="G187" s="127" t="n">
        <v>46260</v>
      </c>
      <c r="H187" s="127" t="n">
        <v>46289</v>
      </c>
      <c r="I187" s="4" t="n">
        <v>100</v>
      </c>
      <c r="J187" s="4" t="n">
        <v>100</v>
      </c>
      <c r="K187" s="4" t="n">
        <v>82.73</v>
      </c>
      <c r="M187" s="2" t="str">
        <f aca="false">IF(C187="","",IFERROR(INDEX($S$5:$S$304,MATCH(C187,$R$5:$R$304,0))&amp;"","?"))</f>
        <v>17</v>
      </c>
      <c r="N187" s="2" t="n">
        <f aca="false">IF(E187="","",IF(ISNUMBER(SEARCH("SUBSOLO",E187)),IFERROR(-VALUE(LEFT(E187,FIND("º",SUBSTITUTE(E187,"°","º"))-1)),-1),IF(LEFT(E187,6)="TÉRREO",0,IFERROR(VALUE(LEFT(E187,FIND("º",SUBSTITUTE(E187,"°","º"))-1)),""))))</f>
        <v>0</v>
      </c>
      <c r="O187" s="2" t="str">
        <f aca="false">IF(OR(F187="",G187=""),"",IF(G187&lt;='RETRATO 2027'!$K$5,"CONCLUÍDA",IF(F187&lt;='RETRATO 2027'!$K$5,"EM ANDAMENTO","A INICIAR")))</f>
        <v>CONCLUÍDA</v>
      </c>
      <c r="R187" s="4"/>
      <c r="S187" s="4"/>
      <c r="T187" s="4"/>
      <c r="U187" s="4"/>
      <c r="V187" s="2" t="str">
        <f aca="false">IF(R187="","",COUNTIF($C$5:$C$6004,R187))</f>
        <v/>
      </c>
      <c r="W187" s="2" t="str">
        <f aca="false">IF(R187="","",COUNTIFS($C$5:$C$6004,R187,$O$5:$O$6004,"CONCLUÍDA"))</f>
        <v/>
      </c>
      <c r="X187" s="2" t="str">
        <f aca="false">IF(R187="","",COUNTIFS($C$5:$C$6004,R187,$O$5:$O$6004,"EM ANDAMENTO"))</f>
        <v/>
      </c>
      <c r="Y187" s="2" t="str">
        <f aca="false">IF(R187="","",IF(COUNTIFS($C$5:$C$6004,R187,$O$5:$O$6004,"CONCLUÍDA",$N$5:$N$6004,"&gt;=-99")=0,"",_xlfn.MAXIFS($N$5:$N$6004,$C$5:$C$6004,R187,$O$5:$O$6004,"CONCLUÍDA")))</f>
        <v/>
      </c>
      <c r="Z187" s="2" t="str">
        <f aca="false">IF(R187="","",IF(COUNTIFS($C$5:$C$6004,R187,$O$5:$O$6004,"EM ANDAMENTO",$N$5:$N$6004,"&gt;=-99")=0,"",_xlfn.MAXIFS($N$5:$N$6004,$C$5:$C$6004,R187,$O$5:$O$6004,"EM ANDAMENTO")))</f>
        <v/>
      </c>
      <c r="AA187" s="2" t="str">
        <f aca="false"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 customFormat="false" ht="15" hidden="false" customHeight="false" outlineLevel="0" collapsed="false">
      <c r="B188" s="4" t="n">
        <v>31529120</v>
      </c>
      <c r="C188" s="4" t="s">
        <v>2341</v>
      </c>
      <c r="D188" s="4" t="s">
        <v>2312</v>
      </c>
      <c r="E188" s="4" t="s">
        <v>2757</v>
      </c>
      <c r="F188" s="127" t="n">
        <v>46188</v>
      </c>
      <c r="G188" s="127" t="n">
        <v>46234</v>
      </c>
      <c r="H188" s="127" t="n">
        <v>46289</v>
      </c>
      <c r="I188" s="4" t="n">
        <v>0</v>
      </c>
      <c r="J188" s="4" t="n">
        <v>100</v>
      </c>
      <c r="K188" s="4" t="n">
        <v>82.73</v>
      </c>
      <c r="M188" s="2" t="str">
        <f aca="false">IF(C188="","",IFERROR(INDEX($S$5:$S$304,MATCH(C188,$R$5:$R$304,0))&amp;"","?"))</f>
        <v>17</v>
      </c>
      <c r="N188" s="2" t="n">
        <f aca="false">IF(E188="","",IF(ISNUMBER(SEARCH("SUBSOLO",E188)),IFERROR(-VALUE(LEFT(E188,FIND("º",SUBSTITUTE(E188,"°","º"))-1)),-1),IF(LEFT(E188,6)="TÉRREO",0,IFERROR(VALUE(LEFT(E188,FIND("º",SUBSTITUTE(E188,"°","º"))-1)),""))))</f>
        <v>0</v>
      </c>
      <c r="O188" s="2" t="str">
        <f aca="false">IF(OR(F188="",G188=""),"",IF(G188&lt;='RETRATO 2027'!$K$5,"CONCLUÍDA",IF(F188&lt;='RETRATO 2027'!$K$5,"EM ANDAMENTO","A INICIAR")))</f>
        <v>CONCLUÍDA</v>
      </c>
      <c r="R188" s="4"/>
      <c r="S188" s="4"/>
      <c r="T188" s="4"/>
      <c r="U188" s="4"/>
      <c r="V188" s="2" t="str">
        <f aca="false">IF(R188="","",COUNTIF($C$5:$C$6004,R188))</f>
        <v/>
      </c>
      <c r="W188" s="2" t="str">
        <f aca="false">IF(R188="","",COUNTIFS($C$5:$C$6004,R188,$O$5:$O$6004,"CONCLUÍDA"))</f>
        <v/>
      </c>
      <c r="X188" s="2" t="str">
        <f aca="false">IF(R188="","",COUNTIFS($C$5:$C$6004,R188,$O$5:$O$6004,"EM ANDAMENTO"))</f>
        <v/>
      </c>
      <c r="Y188" s="2" t="str">
        <f aca="false">IF(R188="","",IF(COUNTIFS($C$5:$C$6004,R188,$O$5:$O$6004,"CONCLUÍDA",$N$5:$N$6004,"&gt;=-99")=0,"",_xlfn.MAXIFS($N$5:$N$6004,$C$5:$C$6004,R188,$O$5:$O$6004,"CONCLUÍDA")))</f>
        <v/>
      </c>
      <c r="Z188" s="2" t="str">
        <f aca="false">IF(R188="","",IF(COUNTIFS($C$5:$C$6004,R188,$O$5:$O$6004,"EM ANDAMENTO",$N$5:$N$6004,"&gt;=-99")=0,"",_xlfn.MAXIFS($N$5:$N$6004,$C$5:$C$6004,R188,$O$5:$O$6004,"EM ANDAMENTO")))</f>
        <v/>
      </c>
      <c r="AA188" s="2" t="str">
        <f aca="false"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 customFormat="false" ht="15" hidden="false" customHeight="false" outlineLevel="0" collapsed="false">
      <c r="B189" s="4" t="n">
        <v>31529121</v>
      </c>
      <c r="C189" s="4" t="s">
        <v>2341</v>
      </c>
      <c r="D189" s="4" t="s">
        <v>2309</v>
      </c>
      <c r="E189" s="4" t="s">
        <v>2757</v>
      </c>
      <c r="F189" s="127" t="n">
        <v>46237</v>
      </c>
      <c r="G189" s="127" t="n">
        <v>46255</v>
      </c>
      <c r="H189" s="127" t="n">
        <v>46289</v>
      </c>
      <c r="I189" s="4" t="n">
        <v>0</v>
      </c>
      <c r="J189" s="4" t="n">
        <v>100</v>
      </c>
      <c r="K189" s="4" t="n">
        <v>82.73</v>
      </c>
      <c r="M189" s="2" t="str">
        <f aca="false">IF(C189="","",IFERROR(INDEX($S$5:$S$304,MATCH(C189,$R$5:$R$304,0))&amp;"","?"))</f>
        <v>17</v>
      </c>
      <c r="N189" s="2" t="n">
        <f aca="false">IF(E189="","",IF(ISNUMBER(SEARCH("SUBSOLO",E189)),IFERROR(-VALUE(LEFT(E189,FIND("º",SUBSTITUTE(E189,"°","º"))-1)),-1),IF(LEFT(E189,6)="TÉRREO",0,IFERROR(VALUE(LEFT(E189,FIND("º",SUBSTITUTE(E189,"°","º"))-1)),""))))</f>
        <v>0</v>
      </c>
      <c r="O189" s="2" t="str">
        <f aca="false">IF(OR(F189="",G189=""),"",IF(G189&lt;='RETRATO 2027'!$K$5,"CONCLUÍDA",IF(F189&lt;='RETRATO 2027'!$K$5,"EM ANDAMENTO","A INICIAR")))</f>
        <v>CONCLUÍDA</v>
      </c>
      <c r="R189" s="4"/>
      <c r="S189" s="4"/>
      <c r="T189" s="4"/>
      <c r="U189" s="4"/>
      <c r="V189" s="2" t="str">
        <f aca="false">IF(R189="","",COUNTIF($C$5:$C$6004,R189))</f>
        <v/>
      </c>
      <c r="W189" s="2" t="str">
        <f aca="false">IF(R189="","",COUNTIFS($C$5:$C$6004,R189,$O$5:$O$6004,"CONCLUÍDA"))</f>
        <v/>
      </c>
      <c r="X189" s="2" t="str">
        <f aca="false">IF(R189="","",COUNTIFS($C$5:$C$6004,R189,$O$5:$O$6004,"EM ANDAMENTO"))</f>
        <v/>
      </c>
      <c r="Y189" s="2" t="str">
        <f aca="false">IF(R189="","",IF(COUNTIFS($C$5:$C$6004,R189,$O$5:$O$6004,"CONCLUÍDA",$N$5:$N$6004,"&gt;=-99")=0,"",_xlfn.MAXIFS($N$5:$N$6004,$C$5:$C$6004,R189,$O$5:$O$6004,"CONCLUÍDA")))</f>
        <v/>
      </c>
      <c r="Z189" s="2" t="str">
        <f aca="false">IF(R189="","",IF(COUNTIFS($C$5:$C$6004,R189,$O$5:$O$6004,"EM ANDAMENTO",$N$5:$N$6004,"&gt;=-99")=0,"",_xlfn.MAXIFS($N$5:$N$6004,$C$5:$C$6004,R189,$O$5:$O$6004,"EM ANDAMENTO")))</f>
        <v/>
      </c>
      <c r="AA189" s="2" t="str">
        <f aca="false"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 customFormat="false" ht="15" hidden="false" customHeight="false" outlineLevel="0" collapsed="false">
      <c r="B190" s="4" t="n">
        <v>31529122</v>
      </c>
      <c r="C190" s="4" t="s">
        <v>2341</v>
      </c>
      <c r="D190" s="4" t="s">
        <v>2314</v>
      </c>
      <c r="E190" s="4" t="s">
        <v>2757</v>
      </c>
      <c r="F190" s="127" t="n">
        <v>46258</v>
      </c>
      <c r="G190" s="127" t="n">
        <v>46260</v>
      </c>
      <c r="H190" s="127" t="n">
        <v>46289</v>
      </c>
      <c r="I190" s="4" t="n">
        <v>0</v>
      </c>
      <c r="J190" s="4" t="n">
        <v>100</v>
      </c>
      <c r="K190" s="4" t="n">
        <v>82.73</v>
      </c>
      <c r="M190" s="2" t="str">
        <f aca="false">IF(C190="","",IFERROR(INDEX($S$5:$S$304,MATCH(C190,$R$5:$R$304,0))&amp;"","?"))</f>
        <v>17</v>
      </c>
      <c r="N190" s="2" t="n">
        <f aca="false">IF(E190="","",IF(ISNUMBER(SEARCH("SUBSOLO",E190)),IFERROR(-VALUE(LEFT(E190,FIND("º",SUBSTITUTE(E190,"°","º"))-1)),-1),IF(LEFT(E190,6)="TÉRREO",0,IFERROR(VALUE(LEFT(E190,FIND("º",SUBSTITUTE(E190,"°","º"))-1)),""))))</f>
        <v>0</v>
      </c>
      <c r="O190" s="2" t="str">
        <f aca="false">IF(OR(F190="",G190=""),"",IF(G190&lt;='RETRATO 2027'!$K$5,"CONCLUÍDA",IF(F190&lt;='RETRATO 2027'!$K$5,"EM ANDAMENTO","A INICIAR")))</f>
        <v>CONCLUÍDA</v>
      </c>
      <c r="R190" s="4"/>
      <c r="S190" s="4"/>
      <c r="T190" s="4"/>
      <c r="U190" s="4"/>
      <c r="V190" s="2" t="str">
        <f aca="false">IF(R190="","",COUNTIF($C$5:$C$6004,R190))</f>
        <v/>
      </c>
      <c r="W190" s="2" t="str">
        <f aca="false">IF(R190="","",COUNTIFS($C$5:$C$6004,R190,$O$5:$O$6004,"CONCLUÍDA"))</f>
        <v/>
      </c>
      <c r="X190" s="2" t="str">
        <f aca="false">IF(R190="","",COUNTIFS($C$5:$C$6004,R190,$O$5:$O$6004,"EM ANDAMENTO"))</f>
        <v/>
      </c>
      <c r="Y190" s="2" t="str">
        <f aca="false">IF(R190="","",IF(COUNTIFS($C$5:$C$6004,R190,$O$5:$O$6004,"CONCLUÍDA",$N$5:$N$6004,"&gt;=-99")=0,"",_xlfn.MAXIFS($N$5:$N$6004,$C$5:$C$6004,R190,$O$5:$O$6004,"CONCLUÍDA")))</f>
        <v/>
      </c>
      <c r="Z190" s="2" t="str">
        <f aca="false">IF(R190="","",IF(COUNTIFS($C$5:$C$6004,R190,$O$5:$O$6004,"EM ANDAMENTO",$N$5:$N$6004,"&gt;=-99")=0,"",_xlfn.MAXIFS($N$5:$N$6004,$C$5:$C$6004,R190,$O$5:$O$6004,"EM ANDAMENTO")))</f>
        <v/>
      </c>
      <c r="AA190" s="2" t="str">
        <f aca="false"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 customFormat="false" ht="15" hidden="false" customHeight="false" outlineLevel="0" collapsed="false">
      <c r="B191" s="4" t="n">
        <v>31529123</v>
      </c>
      <c r="C191" s="4" t="s">
        <v>2341</v>
      </c>
      <c r="D191" s="4" t="s">
        <v>2758</v>
      </c>
      <c r="E191" s="4" t="s">
        <v>2757</v>
      </c>
      <c r="F191" s="127" t="n">
        <v>46258</v>
      </c>
      <c r="G191" s="127" t="n">
        <v>46260</v>
      </c>
      <c r="H191" s="127" t="n">
        <v>46289</v>
      </c>
      <c r="I191" s="4" t="n">
        <v>0</v>
      </c>
      <c r="J191" s="4" t="n">
        <v>100</v>
      </c>
      <c r="K191" s="4" t="n">
        <v>82.73</v>
      </c>
      <c r="M191" s="2" t="str">
        <f aca="false">IF(C191="","",IFERROR(INDEX($S$5:$S$304,MATCH(C191,$R$5:$R$304,0))&amp;"","?"))</f>
        <v>17</v>
      </c>
      <c r="N191" s="2" t="n">
        <f aca="false">IF(E191="","",IF(ISNUMBER(SEARCH("SUBSOLO",E191)),IFERROR(-VALUE(LEFT(E191,FIND("º",SUBSTITUTE(E191,"°","º"))-1)),-1),IF(LEFT(E191,6)="TÉRREO",0,IFERROR(VALUE(LEFT(E191,FIND("º",SUBSTITUTE(E191,"°","º"))-1)),""))))</f>
        <v>0</v>
      </c>
      <c r="O191" s="2" t="str">
        <f aca="false">IF(OR(F191="",G191=""),"",IF(G191&lt;='RETRATO 2027'!$K$5,"CONCLUÍDA",IF(F191&lt;='RETRATO 2027'!$K$5,"EM ANDAMENTO","A INICIAR")))</f>
        <v>CONCLUÍDA</v>
      </c>
      <c r="R191" s="4"/>
      <c r="S191" s="4"/>
      <c r="T191" s="4"/>
      <c r="U191" s="4"/>
      <c r="V191" s="2" t="str">
        <f aca="false">IF(R191="","",COUNTIF($C$5:$C$6004,R191))</f>
        <v/>
      </c>
      <c r="W191" s="2" t="str">
        <f aca="false">IF(R191="","",COUNTIFS($C$5:$C$6004,R191,$O$5:$O$6004,"CONCLUÍDA"))</f>
        <v/>
      </c>
      <c r="X191" s="2" t="str">
        <f aca="false">IF(R191="","",COUNTIFS($C$5:$C$6004,R191,$O$5:$O$6004,"EM ANDAMENTO"))</f>
        <v/>
      </c>
      <c r="Y191" s="2" t="str">
        <f aca="false">IF(R191="","",IF(COUNTIFS($C$5:$C$6004,R191,$O$5:$O$6004,"CONCLUÍDA",$N$5:$N$6004,"&gt;=-99")=0,"",_xlfn.MAXIFS($N$5:$N$6004,$C$5:$C$6004,R191,$O$5:$O$6004,"CONCLUÍDA")))</f>
        <v/>
      </c>
      <c r="Z191" s="2" t="str">
        <f aca="false">IF(R191="","",IF(COUNTIFS($C$5:$C$6004,R191,$O$5:$O$6004,"EM ANDAMENTO",$N$5:$N$6004,"&gt;=-99")=0,"",_xlfn.MAXIFS($N$5:$N$6004,$C$5:$C$6004,R191,$O$5:$O$6004,"EM ANDAMENTO")))</f>
        <v/>
      </c>
      <c r="AA191" s="2" t="str">
        <f aca="false"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 customFormat="false" ht="15" hidden="false" customHeight="false" outlineLevel="0" collapsed="false">
      <c r="B192" s="4" t="n">
        <v>44503964</v>
      </c>
      <c r="C192" s="4" t="s">
        <v>2343</v>
      </c>
      <c r="D192" s="4" t="s">
        <v>463</v>
      </c>
      <c r="E192" s="4" t="s">
        <v>81</v>
      </c>
      <c r="F192" s="127" t="n">
        <v>46189</v>
      </c>
      <c r="G192" s="127" t="n">
        <v>46220</v>
      </c>
      <c r="H192" s="127" t="n">
        <v>46289</v>
      </c>
      <c r="I192" s="4" t="n">
        <v>0</v>
      </c>
      <c r="J192" s="4" t="n">
        <v>100</v>
      </c>
      <c r="K192" s="4" t="n">
        <v>100</v>
      </c>
      <c r="M192" s="2" t="str">
        <f aca="false">IF(C192="","",IFERROR(INDEX($S$5:$S$304,MATCH(C192,$R$5:$R$304,0))&amp;"","?"))</f>
        <v>16</v>
      </c>
      <c r="N192" s="2" t="str">
        <f aca="false">IF(E192="","",IF(ISNUMBER(SEARCH("SUBSOLO",E192)),IFERROR(-VALUE(LEFT(E192,FIND("º",SUBSTITUTE(E192,"°","º"))-1)),-1),IF(LEFT(E192,6)="TÉRREO",0,IFERROR(VALUE(LEFT(E192,FIND("º",SUBSTITUTE(E192,"°","º"))-1)),""))))</f>
        <v/>
      </c>
      <c r="O192" s="2" t="str">
        <f aca="false">IF(OR(F192="",G192=""),"",IF(G192&lt;='RETRATO 2027'!$K$5,"CONCLUÍDA",IF(F192&lt;='RETRATO 2027'!$K$5,"EM ANDAMENTO","A INICIAR")))</f>
        <v>CONCLUÍDA</v>
      </c>
      <c r="R192" s="4"/>
      <c r="S192" s="4"/>
      <c r="T192" s="4"/>
      <c r="U192" s="4"/>
      <c r="V192" s="2" t="str">
        <f aca="false">IF(R192="","",COUNTIF($C$5:$C$6004,R192))</f>
        <v/>
      </c>
      <c r="W192" s="2" t="str">
        <f aca="false">IF(R192="","",COUNTIFS($C$5:$C$6004,R192,$O$5:$O$6004,"CONCLUÍDA"))</f>
        <v/>
      </c>
      <c r="X192" s="2" t="str">
        <f aca="false">IF(R192="","",COUNTIFS($C$5:$C$6004,R192,$O$5:$O$6004,"EM ANDAMENTO"))</f>
        <v/>
      </c>
      <c r="Y192" s="2" t="str">
        <f aca="false">IF(R192="","",IF(COUNTIFS($C$5:$C$6004,R192,$O$5:$O$6004,"CONCLUÍDA",$N$5:$N$6004,"&gt;=-99")=0,"",_xlfn.MAXIFS($N$5:$N$6004,$C$5:$C$6004,R192,$O$5:$O$6004,"CONCLUÍDA")))</f>
        <v/>
      </c>
      <c r="Z192" s="2" t="str">
        <f aca="false">IF(R192="","",IF(COUNTIFS($C$5:$C$6004,R192,$O$5:$O$6004,"EM ANDAMENTO",$N$5:$N$6004,"&gt;=-99")=0,"",_xlfn.MAXIFS($N$5:$N$6004,$C$5:$C$6004,R192,$O$5:$O$6004,"EM ANDAMENTO")))</f>
        <v/>
      </c>
      <c r="AA192" s="2" t="str">
        <f aca="false"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 customFormat="false" ht="15" hidden="false" customHeight="false" outlineLevel="0" collapsed="false">
      <c r="B193" s="4" t="n">
        <v>28389441</v>
      </c>
      <c r="C193" s="4" t="s">
        <v>2343</v>
      </c>
      <c r="D193" s="4" t="s">
        <v>2759</v>
      </c>
      <c r="E193" s="4" t="s">
        <v>81</v>
      </c>
      <c r="F193" s="127" t="n">
        <v>46189</v>
      </c>
      <c r="G193" s="127" t="n">
        <v>46195</v>
      </c>
      <c r="H193" s="127" t="n">
        <v>46289</v>
      </c>
      <c r="I193" s="4" t="n">
        <v>0</v>
      </c>
      <c r="J193" s="4" t="n">
        <v>100</v>
      </c>
      <c r="K193" s="4" t="n">
        <v>100</v>
      </c>
      <c r="M193" s="2" t="str">
        <f aca="false">IF(C193="","",IFERROR(INDEX($S$5:$S$304,MATCH(C193,$R$5:$R$304,0))&amp;"","?"))</f>
        <v>16</v>
      </c>
      <c r="N193" s="2" t="str">
        <f aca="false">IF(E193="","",IF(ISNUMBER(SEARCH("SUBSOLO",E193)),IFERROR(-VALUE(LEFT(E193,FIND("º",SUBSTITUTE(E193,"°","º"))-1)),-1),IF(LEFT(E193,6)="TÉRREO",0,IFERROR(VALUE(LEFT(E193,FIND("º",SUBSTITUTE(E193,"°","º"))-1)),""))))</f>
        <v/>
      </c>
      <c r="O193" s="2" t="str">
        <f aca="false">IF(OR(F193="",G193=""),"",IF(G193&lt;='RETRATO 2027'!$K$5,"CONCLUÍDA",IF(F193&lt;='RETRATO 2027'!$K$5,"EM ANDAMENTO","A INICIAR")))</f>
        <v>CONCLUÍDA</v>
      </c>
      <c r="R193" s="4"/>
      <c r="S193" s="4"/>
      <c r="T193" s="4"/>
      <c r="U193" s="4"/>
      <c r="V193" s="2" t="str">
        <f aca="false">IF(R193="","",COUNTIF($C$5:$C$6004,R193))</f>
        <v/>
      </c>
      <c r="W193" s="2" t="str">
        <f aca="false">IF(R193="","",COUNTIFS($C$5:$C$6004,R193,$O$5:$O$6004,"CONCLUÍDA"))</f>
        <v/>
      </c>
      <c r="X193" s="2" t="str">
        <f aca="false">IF(R193="","",COUNTIFS($C$5:$C$6004,R193,$O$5:$O$6004,"EM ANDAMENTO"))</f>
        <v/>
      </c>
      <c r="Y193" s="2" t="str">
        <f aca="false">IF(R193="","",IF(COUNTIFS($C$5:$C$6004,R193,$O$5:$O$6004,"CONCLUÍDA",$N$5:$N$6004,"&gt;=-99")=0,"",_xlfn.MAXIFS($N$5:$N$6004,$C$5:$C$6004,R193,$O$5:$O$6004,"CONCLUÍDA")))</f>
        <v/>
      </c>
      <c r="Z193" s="2" t="str">
        <f aca="false">IF(R193="","",IF(COUNTIFS($C$5:$C$6004,R193,$O$5:$O$6004,"EM ANDAMENTO",$N$5:$N$6004,"&gt;=-99")=0,"",_xlfn.MAXIFS($N$5:$N$6004,$C$5:$C$6004,R193,$O$5:$O$6004,"EM ANDAMENTO")))</f>
        <v/>
      </c>
      <c r="AA193" s="2" t="str">
        <f aca="false"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 customFormat="false" ht="15" hidden="false" customHeight="false" outlineLevel="0" collapsed="false">
      <c r="B194" s="4" t="n">
        <v>28389442</v>
      </c>
      <c r="C194" s="4" t="s">
        <v>2343</v>
      </c>
      <c r="D194" s="4" t="s">
        <v>2760</v>
      </c>
      <c r="E194" s="4" t="s">
        <v>81</v>
      </c>
      <c r="F194" s="127" t="n">
        <v>46196</v>
      </c>
      <c r="G194" s="127" t="n">
        <v>46202</v>
      </c>
      <c r="H194" s="127" t="n">
        <v>46289</v>
      </c>
      <c r="I194" s="4" t="n">
        <v>0</v>
      </c>
      <c r="J194" s="4" t="n">
        <v>100</v>
      </c>
      <c r="K194" s="4" t="n">
        <v>100</v>
      </c>
      <c r="M194" s="2" t="str">
        <f aca="false">IF(C194="","",IFERROR(INDEX($S$5:$S$304,MATCH(C194,$R$5:$R$304,0))&amp;"","?"))</f>
        <v>16</v>
      </c>
      <c r="N194" s="2" t="str">
        <f aca="false">IF(E194="","",IF(ISNUMBER(SEARCH("SUBSOLO",E194)),IFERROR(-VALUE(LEFT(E194,FIND("º",SUBSTITUTE(E194,"°","º"))-1)),-1),IF(LEFT(E194,6)="TÉRREO",0,IFERROR(VALUE(LEFT(E194,FIND("º",SUBSTITUTE(E194,"°","º"))-1)),""))))</f>
        <v/>
      </c>
      <c r="O194" s="2" t="str">
        <f aca="false">IF(OR(F194="",G194=""),"",IF(G194&lt;='RETRATO 2027'!$K$5,"CONCLUÍDA",IF(F194&lt;='RETRATO 2027'!$K$5,"EM ANDAMENTO","A INICIAR")))</f>
        <v>CONCLUÍDA</v>
      </c>
      <c r="R194" s="4"/>
      <c r="S194" s="4"/>
      <c r="T194" s="4"/>
      <c r="U194" s="4"/>
      <c r="V194" s="2" t="str">
        <f aca="false">IF(R194="","",COUNTIF($C$5:$C$6004,R194))</f>
        <v/>
      </c>
      <c r="W194" s="2" t="str">
        <f aca="false">IF(R194="","",COUNTIFS($C$5:$C$6004,R194,$O$5:$O$6004,"CONCLUÍDA"))</f>
        <v/>
      </c>
      <c r="X194" s="2" t="str">
        <f aca="false">IF(R194="","",COUNTIFS($C$5:$C$6004,R194,$O$5:$O$6004,"EM ANDAMENTO"))</f>
        <v/>
      </c>
      <c r="Y194" s="2" t="str">
        <f aca="false">IF(R194="","",IF(COUNTIFS($C$5:$C$6004,R194,$O$5:$O$6004,"CONCLUÍDA",$N$5:$N$6004,"&gt;=-99")=0,"",_xlfn.MAXIFS($N$5:$N$6004,$C$5:$C$6004,R194,$O$5:$O$6004,"CONCLUÍDA")))</f>
        <v/>
      </c>
      <c r="Z194" s="2" t="str">
        <f aca="false">IF(R194="","",IF(COUNTIFS($C$5:$C$6004,R194,$O$5:$O$6004,"EM ANDAMENTO",$N$5:$N$6004,"&gt;=-99")=0,"",_xlfn.MAXIFS($N$5:$N$6004,$C$5:$C$6004,R194,$O$5:$O$6004,"EM ANDAMENTO")))</f>
        <v/>
      </c>
      <c r="AA194" s="2" t="str">
        <f aca="false"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 customFormat="false" ht="15" hidden="false" customHeight="false" outlineLevel="0" collapsed="false">
      <c r="B195" s="4" t="n">
        <v>28389443</v>
      </c>
      <c r="C195" s="4" t="s">
        <v>2343</v>
      </c>
      <c r="D195" s="4" t="s">
        <v>2761</v>
      </c>
      <c r="E195" s="4" t="s">
        <v>81</v>
      </c>
      <c r="F195" s="127" t="n">
        <v>46196</v>
      </c>
      <c r="G195" s="127" t="n">
        <v>46202</v>
      </c>
      <c r="H195" s="127" t="n">
        <v>46289</v>
      </c>
      <c r="I195" s="4" t="n">
        <v>0</v>
      </c>
      <c r="J195" s="4" t="n">
        <v>100</v>
      </c>
      <c r="K195" s="4" t="n">
        <v>100</v>
      </c>
      <c r="M195" s="2" t="str">
        <f aca="false">IF(C195="","",IFERROR(INDEX($S$5:$S$304,MATCH(C195,$R$5:$R$304,0))&amp;"","?"))</f>
        <v>16</v>
      </c>
      <c r="N195" s="2" t="str">
        <f aca="false">IF(E195="","",IF(ISNUMBER(SEARCH("SUBSOLO",E195)),IFERROR(-VALUE(LEFT(E195,FIND("º",SUBSTITUTE(E195,"°","º"))-1)),-1),IF(LEFT(E195,6)="TÉRREO",0,IFERROR(VALUE(LEFT(E195,FIND("º",SUBSTITUTE(E195,"°","º"))-1)),""))))</f>
        <v/>
      </c>
      <c r="O195" s="2" t="str">
        <f aca="false">IF(OR(F195="",G195=""),"",IF(G195&lt;='RETRATO 2027'!$K$5,"CONCLUÍDA",IF(F195&lt;='RETRATO 2027'!$K$5,"EM ANDAMENTO","A INICIAR")))</f>
        <v>CONCLUÍDA</v>
      </c>
      <c r="R195" s="4"/>
      <c r="S195" s="4"/>
      <c r="T195" s="4"/>
      <c r="U195" s="4"/>
      <c r="V195" s="2" t="str">
        <f aca="false">IF(R195="","",COUNTIF($C$5:$C$6004,R195))</f>
        <v/>
      </c>
      <c r="W195" s="2" t="str">
        <f aca="false">IF(R195="","",COUNTIFS($C$5:$C$6004,R195,$O$5:$O$6004,"CONCLUÍDA"))</f>
        <v/>
      </c>
      <c r="X195" s="2" t="str">
        <f aca="false">IF(R195="","",COUNTIFS($C$5:$C$6004,R195,$O$5:$O$6004,"EM ANDAMENTO"))</f>
        <v/>
      </c>
      <c r="Y195" s="2" t="str">
        <f aca="false">IF(R195="","",IF(COUNTIFS($C$5:$C$6004,R195,$O$5:$O$6004,"CONCLUÍDA",$N$5:$N$6004,"&gt;=-99")=0,"",_xlfn.MAXIFS($N$5:$N$6004,$C$5:$C$6004,R195,$O$5:$O$6004,"CONCLUÍDA")))</f>
        <v/>
      </c>
      <c r="Z195" s="2" t="str">
        <f aca="false">IF(R195="","",IF(COUNTIFS($C$5:$C$6004,R195,$O$5:$O$6004,"EM ANDAMENTO",$N$5:$N$6004,"&gt;=-99")=0,"",_xlfn.MAXIFS($N$5:$N$6004,$C$5:$C$6004,R195,$O$5:$O$6004,"EM ANDAMENTO")))</f>
        <v/>
      </c>
      <c r="AA195" s="2" t="str">
        <f aca="false"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 customFormat="false" ht="15" hidden="false" customHeight="false" outlineLevel="0" collapsed="false">
      <c r="B196" s="4" t="n">
        <v>28389444</v>
      </c>
      <c r="C196" s="4" t="s">
        <v>2343</v>
      </c>
      <c r="D196" s="4" t="s">
        <v>2762</v>
      </c>
      <c r="E196" s="4" t="s">
        <v>81</v>
      </c>
      <c r="F196" s="127" t="n">
        <v>46203</v>
      </c>
      <c r="G196" s="127" t="n">
        <v>46209</v>
      </c>
      <c r="H196" s="127" t="n">
        <v>46289</v>
      </c>
      <c r="I196" s="4" t="n">
        <v>0</v>
      </c>
      <c r="J196" s="4" t="n">
        <v>100</v>
      </c>
      <c r="K196" s="4" t="n">
        <v>100</v>
      </c>
      <c r="M196" s="2" t="str">
        <f aca="false">IF(C196="","",IFERROR(INDEX($S$5:$S$304,MATCH(C196,$R$5:$R$304,0))&amp;"","?"))</f>
        <v>16</v>
      </c>
      <c r="N196" s="2" t="str">
        <f aca="false">IF(E196="","",IF(ISNUMBER(SEARCH("SUBSOLO",E196)),IFERROR(-VALUE(LEFT(E196,FIND("º",SUBSTITUTE(E196,"°","º"))-1)),-1),IF(LEFT(E196,6)="TÉRREO",0,IFERROR(VALUE(LEFT(E196,FIND("º",SUBSTITUTE(E196,"°","º"))-1)),""))))</f>
        <v/>
      </c>
      <c r="O196" s="2" t="str">
        <f aca="false">IF(OR(F196="",G196=""),"",IF(G196&lt;='RETRATO 2027'!$K$5,"CONCLUÍDA",IF(F196&lt;='RETRATO 2027'!$K$5,"EM ANDAMENTO","A INICIAR")))</f>
        <v>CONCLUÍDA</v>
      </c>
      <c r="R196" s="4"/>
      <c r="S196" s="4"/>
      <c r="T196" s="4"/>
      <c r="U196" s="4"/>
      <c r="V196" s="2" t="str">
        <f aca="false">IF(R196="","",COUNTIF($C$5:$C$6004,R196))</f>
        <v/>
      </c>
      <c r="W196" s="2" t="str">
        <f aca="false">IF(R196="","",COUNTIFS($C$5:$C$6004,R196,$O$5:$O$6004,"CONCLUÍDA"))</f>
        <v/>
      </c>
      <c r="X196" s="2" t="str">
        <f aca="false">IF(R196="","",COUNTIFS($C$5:$C$6004,R196,$O$5:$O$6004,"EM ANDAMENTO"))</f>
        <v/>
      </c>
      <c r="Y196" s="2" t="str">
        <f aca="false">IF(R196="","",IF(COUNTIFS($C$5:$C$6004,R196,$O$5:$O$6004,"CONCLUÍDA",$N$5:$N$6004,"&gt;=-99")=0,"",_xlfn.MAXIFS($N$5:$N$6004,$C$5:$C$6004,R196,$O$5:$O$6004,"CONCLUÍDA")))</f>
        <v/>
      </c>
      <c r="Z196" s="2" t="str">
        <f aca="false">IF(R196="","",IF(COUNTIFS($C$5:$C$6004,R196,$O$5:$O$6004,"EM ANDAMENTO",$N$5:$N$6004,"&gt;=-99")=0,"",_xlfn.MAXIFS($N$5:$N$6004,$C$5:$C$6004,R196,$O$5:$O$6004,"EM ANDAMENTO")))</f>
        <v/>
      </c>
      <c r="AA196" s="2" t="str">
        <f aca="false"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 customFormat="false" ht="15" hidden="false" customHeight="false" outlineLevel="0" collapsed="false">
      <c r="B197" s="4" t="n">
        <v>28389445</v>
      </c>
      <c r="C197" s="4" t="s">
        <v>2343</v>
      </c>
      <c r="D197" s="4" t="s">
        <v>2763</v>
      </c>
      <c r="E197" s="4" t="s">
        <v>81</v>
      </c>
      <c r="F197" s="127" t="n">
        <v>46203</v>
      </c>
      <c r="G197" s="127" t="n">
        <v>46209</v>
      </c>
      <c r="H197" s="127" t="n">
        <v>46289</v>
      </c>
      <c r="I197" s="4" t="n">
        <v>0</v>
      </c>
      <c r="J197" s="4" t="n">
        <v>100</v>
      </c>
      <c r="K197" s="4" t="n">
        <v>100</v>
      </c>
      <c r="M197" s="2" t="str">
        <f aca="false">IF(C197="","",IFERROR(INDEX($S$5:$S$304,MATCH(C197,$R$5:$R$304,0))&amp;"","?"))</f>
        <v>16</v>
      </c>
      <c r="N197" s="2" t="str">
        <f aca="false">IF(E197="","",IF(ISNUMBER(SEARCH("SUBSOLO",E197)),IFERROR(-VALUE(LEFT(E197,FIND("º",SUBSTITUTE(E197,"°","º"))-1)),-1),IF(LEFT(E197,6)="TÉRREO",0,IFERROR(VALUE(LEFT(E197,FIND("º",SUBSTITUTE(E197,"°","º"))-1)),""))))</f>
        <v/>
      </c>
      <c r="O197" s="2" t="str">
        <f aca="false">IF(OR(F197="",G197=""),"",IF(G197&lt;='RETRATO 2027'!$K$5,"CONCLUÍDA",IF(F197&lt;='RETRATO 2027'!$K$5,"EM ANDAMENTO","A INICIAR")))</f>
        <v>CONCLUÍDA</v>
      </c>
      <c r="R197" s="4"/>
      <c r="S197" s="4"/>
      <c r="T197" s="4"/>
      <c r="U197" s="4"/>
      <c r="V197" s="2" t="str">
        <f aca="false">IF(R197="","",COUNTIF($C$5:$C$6004,R197))</f>
        <v/>
      </c>
      <c r="W197" s="2" t="str">
        <f aca="false">IF(R197="","",COUNTIFS($C$5:$C$6004,R197,$O$5:$O$6004,"CONCLUÍDA"))</f>
        <v/>
      </c>
      <c r="X197" s="2" t="str">
        <f aca="false">IF(R197="","",COUNTIFS($C$5:$C$6004,R197,$O$5:$O$6004,"EM ANDAMENTO"))</f>
        <v/>
      </c>
      <c r="Y197" s="2" t="str">
        <f aca="false">IF(R197="","",IF(COUNTIFS($C$5:$C$6004,R197,$O$5:$O$6004,"CONCLUÍDA",$N$5:$N$6004,"&gt;=-99")=0,"",_xlfn.MAXIFS($N$5:$N$6004,$C$5:$C$6004,R197,$O$5:$O$6004,"CONCLUÍDA")))</f>
        <v/>
      </c>
      <c r="Z197" s="2" t="str">
        <f aca="false">IF(R197="","",IF(COUNTIFS($C$5:$C$6004,R197,$O$5:$O$6004,"EM ANDAMENTO",$N$5:$N$6004,"&gt;=-99")=0,"",_xlfn.MAXIFS($N$5:$N$6004,$C$5:$C$6004,R197,$O$5:$O$6004,"EM ANDAMENTO")))</f>
        <v/>
      </c>
      <c r="AA197" s="2" t="str">
        <f aca="false"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 customFormat="false" ht="15" hidden="false" customHeight="false" outlineLevel="0" collapsed="false">
      <c r="B198" s="4" t="n">
        <v>28645982</v>
      </c>
      <c r="C198" s="4" t="s">
        <v>2343</v>
      </c>
      <c r="D198" s="4" t="s">
        <v>2764</v>
      </c>
      <c r="E198" s="4" t="s">
        <v>81</v>
      </c>
      <c r="F198" s="127" t="n">
        <v>46203</v>
      </c>
      <c r="G198" s="127" t="n">
        <v>46209</v>
      </c>
      <c r="H198" s="127" t="n">
        <v>46289</v>
      </c>
      <c r="I198" s="4" t="n">
        <v>0</v>
      </c>
      <c r="J198" s="4" t="n">
        <v>100</v>
      </c>
      <c r="K198" s="4" t="n">
        <v>100</v>
      </c>
      <c r="M198" s="2" t="str">
        <f aca="false">IF(C198="","",IFERROR(INDEX($S$5:$S$304,MATCH(C198,$R$5:$R$304,0))&amp;"","?"))</f>
        <v>16</v>
      </c>
      <c r="N198" s="2" t="str">
        <f aca="false">IF(E198="","",IF(ISNUMBER(SEARCH("SUBSOLO",E198)),IFERROR(-VALUE(LEFT(E198,FIND("º",SUBSTITUTE(E198,"°","º"))-1)),-1),IF(LEFT(E198,6)="TÉRREO",0,IFERROR(VALUE(LEFT(E198,FIND("º",SUBSTITUTE(E198,"°","º"))-1)),""))))</f>
        <v/>
      </c>
      <c r="O198" s="2" t="str">
        <f aca="false">IF(OR(F198="",G198=""),"",IF(G198&lt;='RETRATO 2027'!$K$5,"CONCLUÍDA",IF(F198&lt;='RETRATO 2027'!$K$5,"EM ANDAMENTO","A INICIAR")))</f>
        <v>CONCLUÍDA</v>
      </c>
      <c r="R198" s="4"/>
      <c r="S198" s="4"/>
      <c r="T198" s="4"/>
      <c r="U198" s="4"/>
      <c r="V198" s="2" t="str">
        <f aca="false">IF(R198="","",COUNTIF($C$5:$C$6004,R198))</f>
        <v/>
      </c>
      <c r="W198" s="2" t="str">
        <f aca="false">IF(R198="","",COUNTIFS($C$5:$C$6004,R198,$O$5:$O$6004,"CONCLUÍDA"))</f>
        <v/>
      </c>
      <c r="X198" s="2" t="str">
        <f aca="false">IF(R198="","",COUNTIFS($C$5:$C$6004,R198,$O$5:$O$6004,"EM ANDAMENTO"))</f>
        <v/>
      </c>
      <c r="Y198" s="2" t="str">
        <f aca="false">IF(R198="","",IF(COUNTIFS($C$5:$C$6004,R198,$O$5:$O$6004,"CONCLUÍDA",$N$5:$N$6004,"&gt;=-99")=0,"",_xlfn.MAXIFS($N$5:$N$6004,$C$5:$C$6004,R198,$O$5:$O$6004,"CONCLUÍDA")))</f>
        <v/>
      </c>
      <c r="Z198" s="2" t="str">
        <f aca="false">IF(R198="","",IF(COUNTIFS($C$5:$C$6004,R198,$O$5:$O$6004,"EM ANDAMENTO",$N$5:$N$6004,"&gt;=-99")=0,"",_xlfn.MAXIFS($N$5:$N$6004,$C$5:$C$6004,R198,$O$5:$O$6004,"EM ANDAMENTO")))</f>
        <v/>
      </c>
      <c r="AA198" s="2" t="str">
        <f aca="false"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 customFormat="false" ht="15" hidden="false" customHeight="false" outlineLevel="0" collapsed="false">
      <c r="B199" s="4" t="n">
        <v>28645983</v>
      </c>
      <c r="C199" s="4" t="s">
        <v>2343</v>
      </c>
      <c r="D199" s="4" t="s">
        <v>2765</v>
      </c>
      <c r="E199" s="4" t="s">
        <v>81</v>
      </c>
      <c r="F199" s="127" t="n">
        <v>46209</v>
      </c>
      <c r="G199" s="127" t="n">
        <v>46209</v>
      </c>
      <c r="H199" s="127" t="n">
        <v>46289</v>
      </c>
      <c r="I199" s="4" t="n">
        <v>0</v>
      </c>
      <c r="J199" s="4" t="n">
        <v>100</v>
      </c>
      <c r="K199" s="4" t="n">
        <v>100</v>
      </c>
      <c r="M199" s="2" t="str">
        <f aca="false">IF(C199="","",IFERROR(INDEX($S$5:$S$304,MATCH(C199,$R$5:$R$304,0))&amp;"","?"))</f>
        <v>16</v>
      </c>
      <c r="N199" s="2" t="str">
        <f aca="false">IF(E199="","",IF(ISNUMBER(SEARCH("SUBSOLO",E199)),IFERROR(-VALUE(LEFT(E199,FIND("º",SUBSTITUTE(E199,"°","º"))-1)),-1),IF(LEFT(E199,6)="TÉRREO",0,IFERROR(VALUE(LEFT(E199,FIND("º",SUBSTITUTE(E199,"°","º"))-1)),""))))</f>
        <v/>
      </c>
      <c r="O199" s="2" t="str">
        <f aca="false">IF(OR(F199="",G199=""),"",IF(G199&lt;='RETRATO 2027'!$K$5,"CONCLUÍDA",IF(F199&lt;='RETRATO 2027'!$K$5,"EM ANDAMENTO","A INICIAR")))</f>
        <v>CONCLUÍDA</v>
      </c>
      <c r="R199" s="4"/>
      <c r="S199" s="4"/>
      <c r="T199" s="4"/>
      <c r="U199" s="4"/>
      <c r="V199" s="2" t="str">
        <f aca="false">IF(R199="","",COUNTIF($C$5:$C$6004,R199))</f>
        <v/>
      </c>
      <c r="W199" s="2" t="str">
        <f aca="false">IF(R199="","",COUNTIFS($C$5:$C$6004,R199,$O$5:$O$6004,"CONCLUÍDA"))</f>
        <v/>
      </c>
      <c r="X199" s="2" t="str">
        <f aca="false">IF(R199="","",COUNTIFS($C$5:$C$6004,R199,$O$5:$O$6004,"EM ANDAMENTO"))</f>
        <v/>
      </c>
      <c r="Y199" s="2" t="str">
        <f aca="false">IF(R199="","",IF(COUNTIFS($C$5:$C$6004,R199,$O$5:$O$6004,"CONCLUÍDA",$N$5:$N$6004,"&gt;=-99")=0,"",_xlfn.MAXIFS($N$5:$N$6004,$C$5:$C$6004,R199,$O$5:$O$6004,"CONCLUÍDA")))</f>
        <v/>
      </c>
      <c r="Z199" s="2" t="str">
        <f aca="false">IF(R199="","",IF(COUNTIFS($C$5:$C$6004,R199,$O$5:$O$6004,"EM ANDAMENTO",$N$5:$N$6004,"&gt;=-99")=0,"",_xlfn.MAXIFS($N$5:$N$6004,$C$5:$C$6004,R199,$O$5:$O$6004,"EM ANDAMENTO")))</f>
        <v/>
      </c>
      <c r="AA199" s="2" t="str">
        <f aca="false"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 customFormat="false" ht="15" hidden="false" customHeight="false" outlineLevel="0" collapsed="false">
      <c r="B200" s="4" t="n">
        <v>28645984</v>
      </c>
      <c r="C200" s="4" t="s">
        <v>2343</v>
      </c>
      <c r="D200" s="4" t="s">
        <v>2766</v>
      </c>
      <c r="E200" s="4" t="s">
        <v>81</v>
      </c>
      <c r="F200" s="127" t="n">
        <v>46210</v>
      </c>
      <c r="G200" s="127" t="n">
        <v>46216</v>
      </c>
      <c r="H200" s="127" t="n">
        <v>46289</v>
      </c>
      <c r="I200" s="4" t="n">
        <v>0</v>
      </c>
      <c r="J200" s="4" t="n">
        <v>100</v>
      </c>
      <c r="K200" s="4" t="n">
        <v>100</v>
      </c>
      <c r="M200" s="2" t="str">
        <f aca="false">IF(C200="","",IFERROR(INDEX($S$5:$S$304,MATCH(C200,$R$5:$R$304,0))&amp;"","?"))</f>
        <v>16</v>
      </c>
      <c r="N200" s="2" t="str">
        <f aca="false">IF(E200="","",IF(ISNUMBER(SEARCH("SUBSOLO",E200)),IFERROR(-VALUE(LEFT(E200,FIND("º",SUBSTITUTE(E200,"°","º"))-1)),-1),IF(LEFT(E200,6)="TÉRREO",0,IFERROR(VALUE(LEFT(E200,FIND("º",SUBSTITUTE(E200,"°","º"))-1)),""))))</f>
        <v/>
      </c>
      <c r="O200" s="2" t="str">
        <f aca="false">IF(OR(F200="",G200=""),"",IF(G200&lt;='RETRATO 2027'!$K$5,"CONCLUÍDA",IF(F200&lt;='RETRATO 2027'!$K$5,"EM ANDAMENTO","A INICIAR")))</f>
        <v>CONCLUÍDA</v>
      </c>
      <c r="R200" s="4"/>
      <c r="S200" s="4"/>
      <c r="T200" s="4"/>
      <c r="U200" s="4"/>
      <c r="V200" s="2" t="str">
        <f aca="false">IF(R200="","",COUNTIF($C$5:$C$6004,R200))</f>
        <v/>
      </c>
      <c r="W200" s="2" t="str">
        <f aca="false">IF(R200="","",COUNTIFS($C$5:$C$6004,R200,$O$5:$O$6004,"CONCLUÍDA"))</f>
        <v/>
      </c>
      <c r="X200" s="2" t="str">
        <f aca="false">IF(R200="","",COUNTIFS($C$5:$C$6004,R200,$O$5:$O$6004,"EM ANDAMENTO"))</f>
        <v/>
      </c>
      <c r="Y200" s="2" t="str">
        <f aca="false">IF(R200="","",IF(COUNTIFS($C$5:$C$6004,R200,$O$5:$O$6004,"CONCLUÍDA",$N$5:$N$6004,"&gt;=-99")=0,"",_xlfn.MAXIFS($N$5:$N$6004,$C$5:$C$6004,R200,$O$5:$O$6004,"CONCLUÍDA")))</f>
        <v/>
      </c>
      <c r="Z200" s="2" t="str">
        <f aca="false">IF(R200="","",IF(COUNTIFS($C$5:$C$6004,R200,$O$5:$O$6004,"EM ANDAMENTO",$N$5:$N$6004,"&gt;=-99")=0,"",_xlfn.MAXIFS($N$5:$N$6004,$C$5:$C$6004,R200,$O$5:$O$6004,"EM ANDAMENTO")))</f>
        <v/>
      </c>
      <c r="AA200" s="2" t="str">
        <f aca="false"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 customFormat="false" ht="15" hidden="false" customHeight="false" outlineLevel="0" collapsed="false">
      <c r="B201" s="4" t="n">
        <v>28645985</v>
      </c>
      <c r="C201" s="4" t="s">
        <v>2343</v>
      </c>
      <c r="D201" s="4" t="s">
        <v>2767</v>
      </c>
      <c r="E201" s="4" t="s">
        <v>81</v>
      </c>
      <c r="F201" s="127" t="n">
        <v>46210</v>
      </c>
      <c r="G201" s="127" t="n">
        <v>46220</v>
      </c>
      <c r="H201" s="127" t="n">
        <v>46289</v>
      </c>
      <c r="I201" s="4" t="n">
        <v>0</v>
      </c>
      <c r="J201" s="4" t="n">
        <v>100</v>
      </c>
      <c r="K201" s="4" t="n">
        <v>100</v>
      </c>
      <c r="M201" s="2" t="str">
        <f aca="false">IF(C201="","",IFERROR(INDEX($S$5:$S$304,MATCH(C201,$R$5:$R$304,0))&amp;"","?"))</f>
        <v>16</v>
      </c>
      <c r="N201" s="2" t="str">
        <f aca="false">IF(E201="","",IF(ISNUMBER(SEARCH("SUBSOLO",E201)),IFERROR(-VALUE(LEFT(E201,FIND("º",SUBSTITUTE(E201,"°","º"))-1)),-1),IF(LEFT(E201,6)="TÉRREO",0,IFERROR(VALUE(LEFT(E201,FIND("º",SUBSTITUTE(E201,"°","º"))-1)),""))))</f>
        <v/>
      </c>
      <c r="O201" s="2" t="str">
        <f aca="false">IF(OR(F201="",G201=""),"",IF(G201&lt;='RETRATO 2027'!$K$5,"CONCLUÍDA",IF(F201&lt;='RETRATO 2027'!$K$5,"EM ANDAMENTO","A INICIAR")))</f>
        <v>CONCLUÍDA</v>
      </c>
      <c r="R201" s="4"/>
      <c r="S201" s="4"/>
      <c r="T201" s="4"/>
      <c r="U201" s="4"/>
      <c r="V201" s="2" t="str">
        <f aca="false">IF(R201="","",COUNTIF($C$5:$C$6004,R201))</f>
        <v/>
      </c>
      <c r="W201" s="2" t="str">
        <f aca="false">IF(R201="","",COUNTIFS($C$5:$C$6004,R201,$O$5:$O$6004,"CONCLUÍDA"))</f>
        <v/>
      </c>
      <c r="X201" s="2" t="str">
        <f aca="false">IF(R201="","",COUNTIFS($C$5:$C$6004,R201,$O$5:$O$6004,"EM ANDAMENTO"))</f>
        <v/>
      </c>
      <c r="Y201" s="2" t="str">
        <f aca="false">IF(R201="","",IF(COUNTIFS($C$5:$C$6004,R201,$O$5:$O$6004,"CONCLUÍDA",$N$5:$N$6004,"&gt;=-99")=0,"",_xlfn.MAXIFS($N$5:$N$6004,$C$5:$C$6004,R201,$O$5:$O$6004,"CONCLUÍDA")))</f>
        <v/>
      </c>
      <c r="Z201" s="2" t="str">
        <f aca="false">IF(R201="","",IF(COUNTIFS($C$5:$C$6004,R201,$O$5:$O$6004,"EM ANDAMENTO",$N$5:$N$6004,"&gt;=-99")=0,"",_xlfn.MAXIFS($N$5:$N$6004,$C$5:$C$6004,R201,$O$5:$O$6004,"EM ANDAMENTO")))</f>
        <v/>
      </c>
      <c r="AA201" s="2" t="str">
        <f aca="false"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 customFormat="false" ht="15" hidden="false" customHeight="false" outlineLevel="0" collapsed="false">
      <c r="B202" s="4" t="n">
        <v>28645986</v>
      </c>
      <c r="C202" s="4" t="s">
        <v>2343</v>
      </c>
      <c r="D202" s="4" t="s">
        <v>2768</v>
      </c>
      <c r="E202" s="4" t="s">
        <v>81</v>
      </c>
      <c r="F202" s="127" t="n">
        <v>46220</v>
      </c>
      <c r="G202" s="127" t="n">
        <v>46220</v>
      </c>
      <c r="H202" s="127" t="n">
        <v>46289</v>
      </c>
      <c r="I202" s="4" t="n">
        <v>0</v>
      </c>
      <c r="J202" s="4" t="n">
        <v>100</v>
      </c>
      <c r="K202" s="4" t="n">
        <v>100</v>
      </c>
      <c r="M202" s="2" t="str">
        <f aca="false">IF(C202="","",IFERROR(INDEX($S$5:$S$304,MATCH(C202,$R$5:$R$304,0))&amp;"","?"))</f>
        <v>16</v>
      </c>
      <c r="N202" s="2" t="str">
        <f aca="false">IF(E202="","",IF(ISNUMBER(SEARCH("SUBSOLO",E202)),IFERROR(-VALUE(LEFT(E202,FIND("º",SUBSTITUTE(E202,"°","º"))-1)),-1),IF(LEFT(E202,6)="TÉRREO",0,IFERROR(VALUE(LEFT(E202,FIND("º",SUBSTITUTE(E202,"°","º"))-1)),""))))</f>
        <v/>
      </c>
      <c r="O202" s="2" t="str">
        <f aca="false">IF(OR(F202="",G202=""),"",IF(G202&lt;='RETRATO 2027'!$K$5,"CONCLUÍDA",IF(F202&lt;='RETRATO 2027'!$K$5,"EM ANDAMENTO","A INICIAR")))</f>
        <v>CONCLUÍDA</v>
      </c>
      <c r="R202" s="4"/>
      <c r="S202" s="4"/>
      <c r="T202" s="4"/>
      <c r="U202" s="4"/>
      <c r="V202" s="2" t="str">
        <f aca="false">IF(R202="","",COUNTIF($C$5:$C$6004,R202))</f>
        <v/>
      </c>
      <c r="W202" s="2" t="str">
        <f aca="false">IF(R202="","",COUNTIFS($C$5:$C$6004,R202,$O$5:$O$6004,"CONCLUÍDA"))</f>
        <v/>
      </c>
      <c r="X202" s="2" t="str">
        <f aca="false">IF(R202="","",COUNTIFS($C$5:$C$6004,R202,$O$5:$O$6004,"EM ANDAMENTO"))</f>
        <v/>
      </c>
      <c r="Y202" s="2" t="str">
        <f aca="false">IF(R202="","",IF(COUNTIFS($C$5:$C$6004,R202,$O$5:$O$6004,"CONCLUÍDA",$N$5:$N$6004,"&gt;=-99")=0,"",_xlfn.MAXIFS($N$5:$N$6004,$C$5:$C$6004,R202,$O$5:$O$6004,"CONCLUÍDA")))</f>
        <v/>
      </c>
      <c r="Z202" s="2" t="str">
        <f aca="false">IF(R202="","",IF(COUNTIFS($C$5:$C$6004,R202,$O$5:$O$6004,"EM ANDAMENTO",$N$5:$N$6004,"&gt;=-99")=0,"",_xlfn.MAXIFS($N$5:$N$6004,$C$5:$C$6004,R202,$O$5:$O$6004,"EM ANDAMENTO")))</f>
        <v/>
      </c>
      <c r="AA202" s="2" t="str">
        <f aca="false"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 customFormat="false" ht="15" hidden="false" customHeight="false" outlineLevel="0" collapsed="false">
      <c r="B203" s="4" t="n">
        <v>44503965</v>
      </c>
      <c r="C203" s="4" t="s">
        <v>2346</v>
      </c>
      <c r="D203" s="4" t="s">
        <v>463</v>
      </c>
      <c r="E203" s="4" t="s">
        <v>81</v>
      </c>
      <c r="F203" s="127" t="n">
        <v>46206</v>
      </c>
      <c r="G203" s="127" t="n">
        <v>46220</v>
      </c>
      <c r="H203" s="127" t="n">
        <v>46289</v>
      </c>
      <c r="I203" s="4" t="n">
        <v>0</v>
      </c>
      <c r="J203" s="4" t="n">
        <v>100</v>
      </c>
      <c r="K203" s="4" t="n">
        <v>100</v>
      </c>
      <c r="M203" s="2" t="str">
        <f aca="false">IF(C203="","",IFERROR(INDEX($S$5:$S$304,MATCH(C203,$R$5:$R$304,0))&amp;"","?"))</f>
        <v>16</v>
      </c>
      <c r="N203" s="2" t="str">
        <f aca="false">IF(E203="","",IF(ISNUMBER(SEARCH("SUBSOLO",E203)),IFERROR(-VALUE(LEFT(E203,FIND("º",SUBSTITUTE(E203,"°","º"))-1)),-1),IF(LEFT(E203,6)="TÉRREO",0,IFERROR(VALUE(LEFT(E203,FIND("º",SUBSTITUTE(E203,"°","º"))-1)),""))))</f>
        <v/>
      </c>
      <c r="O203" s="2" t="str">
        <f aca="false">IF(OR(F203="",G203=""),"",IF(G203&lt;='RETRATO 2027'!$K$5,"CONCLUÍDA",IF(F203&lt;='RETRATO 2027'!$K$5,"EM ANDAMENTO","A INICIAR")))</f>
        <v>CONCLUÍDA</v>
      </c>
      <c r="R203" s="4"/>
      <c r="S203" s="4"/>
      <c r="T203" s="4"/>
      <c r="U203" s="4"/>
      <c r="V203" s="2" t="str">
        <f aca="false">IF(R203="","",COUNTIF($C$5:$C$6004,R203))</f>
        <v/>
      </c>
      <c r="W203" s="2" t="str">
        <f aca="false">IF(R203="","",COUNTIFS($C$5:$C$6004,R203,$O$5:$O$6004,"CONCLUÍDA"))</f>
        <v/>
      </c>
      <c r="X203" s="2" t="str">
        <f aca="false">IF(R203="","",COUNTIFS($C$5:$C$6004,R203,$O$5:$O$6004,"EM ANDAMENTO"))</f>
        <v/>
      </c>
      <c r="Y203" s="2" t="str">
        <f aca="false">IF(R203="","",IF(COUNTIFS($C$5:$C$6004,R203,$O$5:$O$6004,"CONCLUÍDA",$N$5:$N$6004,"&gt;=-99")=0,"",_xlfn.MAXIFS($N$5:$N$6004,$C$5:$C$6004,R203,$O$5:$O$6004,"CONCLUÍDA")))</f>
        <v/>
      </c>
      <c r="Z203" s="2" t="str">
        <f aca="false">IF(R203="","",IF(COUNTIFS($C$5:$C$6004,R203,$O$5:$O$6004,"EM ANDAMENTO",$N$5:$N$6004,"&gt;=-99")=0,"",_xlfn.MAXIFS($N$5:$N$6004,$C$5:$C$6004,R203,$O$5:$O$6004,"EM ANDAMENTO")))</f>
        <v/>
      </c>
      <c r="AA203" s="2" t="str">
        <f aca="false"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 customFormat="false" ht="15" hidden="false" customHeight="false" outlineLevel="0" collapsed="false">
      <c r="B204" s="4" t="n">
        <v>28389446</v>
      </c>
      <c r="C204" s="4" t="s">
        <v>2346</v>
      </c>
      <c r="D204" s="4" t="s">
        <v>2769</v>
      </c>
      <c r="E204" s="4" t="s">
        <v>81</v>
      </c>
      <c r="F204" s="127" t="n">
        <v>46206</v>
      </c>
      <c r="G204" s="127" t="n">
        <v>46212</v>
      </c>
      <c r="H204" s="127" t="n">
        <v>46289</v>
      </c>
      <c r="I204" s="4" t="n">
        <v>0</v>
      </c>
      <c r="J204" s="4" t="n">
        <v>100</v>
      </c>
      <c r="K204" s="4" t="n">
        <v>100</v>
      </c>
      <c r="M204" s="2" t="str">
        <f aca="false">IF(C204="","",IFERROR(INDEX($S$5:$S$304,MATCH(C204,$R$5:$R$304,0))&amp;"","?"))</f>
        <v>16</v>
      </c>
      <c r="N204" s="2" t="str">
        <f aca="false">IF(E204="","",IF(ISNUMBER(SEARCH("SUBSOLO",E204)),IFERROR(-VALUE(LEFT(E204,FIND("º",SUBSTITUTE(E204,"°","º"))-1)),-1),IF(LEFT(E204,6)="TÉRREO",0,IFERROR(VALUE(LEFT(E204,FIND("º",SUBSTITUTE(E204,"°","º"))-1)),""))))</f>
        <v/>
      </c>
      <c r="O204" s="2" t="str">
        <f aca="false">IF(OR(F204="",G204=""),"",IF(G204&lt;='RETRATO 2027'!$K$5,"CONCLUÍDA",IF(F204&lt;='RETRATO 2027'!$K$5,"EM ANDAMENTO","A INICIAR")))</f>
        <v>CONCLUÍDA</v>
      </c>
      <c r="R204" s="4"/>
      <c r="S204" s="4"/>
      <c r="T204" s="4"/>
      <c r="U204" s="4"/>
      <c r="V204" s="2" t="str">
        <f aca="false">IF(R204="","",COUNTIF($C$5:$C$6004,R204))</f>
        <v/>
      </c>
      <c r="W204" s="2" t="str">
        <f aca="false">IF(R204="","",COUNTIFS($C$5:$C$6004,R204,$O$5:$O$6004,"CONCLUÍDA"))</f>
        <v/>
      </c>
      <c r="X204" s="2" t="str">
        <f aca="false">IF(R204="","",COUNTIFS($C$5:$C$6004,R204,$O$5:$O$6004,"EM ANDAMENTO"))</f>
        <v/>
      </c>
      <c r="Y204" s="2" t="str">
        <f aca="false">IF(R204="","",IF(COUNTIFS($C$5:$C$6004,R204,$O$5:$O$6004,"CONCLUÍDA",$N$5:$N$6004,"&gt;=-99")=0,"",_xlfn.MAXIFS($N$5:$N$6004,$C$5:$C$6004,R204,$O$5:$O$6004,"CONCLUÍDA")))</f>
        <v/>
      </c>
      <c r="Z204" s="2" t="str">
        <f aca="false">IF(R204="","",IF(COUNTIFS($C$5:$C$6004,R204,$O$5:$O$6004,"EM ANDAMENTO",$N$5:$N$6004,"&gt;=-99")=0,"",_xlfn.MAXIFS($N$5:$N$6004,$C$5:$C$6004,R204,$O$5:$O$6004,"EM ANDAMENTO")))</f>
        <v/>
      </c>
      <c r="AA204" s="2" t="str">
        <f aca="false"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 customFormat="false" ht="15" hidden="false" customHeight="false" outlineLevel="0" collapsed="false">
      <c r="B205" s="4" t="n">
        <v>28389447</v>
      </c>
      <c r="C205" s="4" t="s">
        <v>2346</v>
      </c>
      <c r="D205" s="4" t="s">
        <v>2770</v>
      </c>
      <c r="E205" s="4" t="s">
        <v>81</v>
      </c>
      <c r="F205" s="127" t="n">
        <v>46213</v>
      </c>
      <c r="G205" s="127" t="n">
        <v>46219</v>
      </c>
      <c r="H205" s="127" t="n">
        <v>46289</v>
      </c>
      <c r="I205" s="4" t="n">
        <v>0</v>
      </c>
      <c r="J205" s="4" t="n">
        <v>100</v>
      </c>
      <c r="K205" s="4" t="n">
        <v>100</v>
      </c>
      <c r="M205" s="2" t="str">
        <f aca="false">IF(C205="","",IFERROR(INDEX($S$5:$S$304,MATCH(C205,$R$5:$R$304,0))&amp;"","?"))</f>
        <v>16</v>
      </c>
      <c r="N205" s="2" t="str">
        <f aca="false">IF(E205="","",IF(ISNUMBER(SEARCH("SUBSOLO",E205)),IFERROR(-VALUE(LEFT(E205,FIND("º",SUBSTITUTE(E205,"°","º"))-1)),-1),IF(LEFT(E205,6)="TÉRREO",0,IFERROR(VALUE(LEFT(E205,FIND("º",SUBSTITUTE(E205,"°","º"))-1)),""))))</f>
        <v/>
      </c>
      <c r="O205" s="2" t="str">
        <f aca="false">IF(OR(F205="",G205=""),"",IF(G205&lt;='RETRATO 2027'!$K$5,"CONCLUÍDA",IF(F205&lt;='RETRATO 2027'!$K$5,"EM ANDAMENTO","A INICIAR")))</f>
        <v>CONCLUÍDA</v>
      </c>
      <c r="R205" s="4"/>
      <c r="S205" s="4"/>
      <c r="T205" s="4"/>
      <c r="U205" s="4"/>
      <c r="V205" s="2" t="str">
        <f aca="false">IF(R205="","",COUNTIF($C$5:$C$6004,R205))</f>
        <v/>
      </c>
      <c r="W205" s="2" t="str">
        <f aca="false">IF(R205="","",COUNTIFS($C$5:$C$6004,R205,$O$5:$O$6004,"CONCLUÍDA"))</f>
        <v/>
      </c>
      <c r="X205" s="2" t="str">
        <f aca="false">IF(R205="","",COUNTIFS($C$5:$C$6004,R205,$O$5:$O$6004,"EM ANDAMENTO"))</f>
        <v/>
      </c>
      <c r="Y205" s="2" t="str">
        <f aca="false">IF(R205="","",IF(COUNTIFS($C$5:$C$6004,R205,$O$5:$O$6004,"CONCLUÍDA",$N$5:$N$6004,"&gt;=-99")=0,"",_xlfn.MAXIFS($N$5:$N$6004,$C$5:$C$6004,R205,$O$5:$O$6004,"CONCLUÍDA")))</f>
        <v/>
      </c>
      <c r="Z205" s="2" t="str">
        <f aca="false">IF(R205="","",IF(COUNTIFS($C$5:$C$6004,R205,$O$5:$O$6004,"EM ANDAMENTO",$N$5:$N$6004,"&gt;=-99")=0,"",_xlfn.MAXIFS($N$5:$N$6004,$C$5:$C$6004,R205,$O$5:$O$6004,"EM ANDAMENTO")))</f>
        <v/>
      </c>
      <c r="AA205" s="2" t="str">
        <f aca="false"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 customFormat="false" ht="15" hidden="false" customHeight="false" outlineLevel="0" collapsed="false">
      <c r="B206" s="4" t="n">
        <v>28389448</v>
      </c>
      <c r="C206" s="4" t="s">
        <v>2346</v>
      </c>
      <c r="D206" s="4" t="s">
        <v>2771</v>
      </c>
      <c r="E206" s="4" t="s">
        <v>81</v>
      </c>
      <c r="F206" s="127" t="n">
        <v>46213</v>
      </c>
      <c r="G206" s="127" t="n">
        <v>46219</v>
      </c>
      <c r="H206" s="127" t="n">
        <v>46289</v>
      </c>
      <c r="I206" s="4" t="n">
        <v>0</v>
      </c>
      <c r="J206" s="4" t="n">
        <v>100</v>
      </c>
      <c r="K206" s="4" t="n">
        <v>100</v>
      </c>
      <c r="M206" s="2" t="str">
        <f aca="false">IF(C206="","",IFERROR(INDEX($S$5:$S$304,MATCH(C206,$R$5:$R$304,0))&amp;"","?"))</f>
        <v>16</v>
      </c>
      <c r="N206" s="2" t="str">
        <f aca="false">IF(E206="","",IF(ISNUMBER(SEARCH("SUBSOLO",E206)),IFERROR(-VALUE(LEFT(E206,FIND("º",SUBSTITUTE(E206,"°","º"))-1)),-1),IF(LEFT(E206,6)="TÉRREO",0,IFERROR(VALUE(LEFT(E206,FIND("º",SUBSTITUTE(E206,"°","º"))-1)),""))))</f>
        <v/>
      </c>
      <c r="O206" s="2" t="str">
        <f aca="false">IF(OR(F206="",G206=""),"",IF(G206&lt;='RETRATO 2027'!$K$5,"CONCLUÍDA",IF(F206&lt;='RETRATO 2027'!$K$5,"EM ANDAMENTO","A INICIAR")))</f>
        <v>CONCLUÍDA</v>
      </c>
      <c r="R206" s="4"/>
      <c r="S206" s="4"/>
      <c r="T206" s="4"/>
      <c r="U206" s="4"/>
      <c r="V206" s="2" t="str">
        <f aca="false">IF(R206="","",COUNTIF($C$5:$C$6004,R206))</f>
        <v/>
      </c>
      <c r="W206" s="2" t="str">
        <f aca="false">IF(R206="","",COUNTIFS($C$5:$C$6004,R206,$O$5:$O$6004,"CONCLUÍDA"))</f>
        <v/>
      </c>
      <c r="X206" s="2" t="str">
        <f aca="false">IF(R206="","",COUNTIFS($C$5:$C$6004,R206,$O$5:$O$6004,"EM ANDAMENTO"))</f>
        <v/>
      </c>
      <c r="Y206" s="2" t="str">
        <f aca="false">IF(R206="","",IF(COUNTIFS($C$5:$C$6004,R206,$O$5:$O$6004,"CONCLUÍDA",$N$5:$N$6004,"&gt;=-99")=0,"",_xlfn.MAXIFS($N$5:$N$6004,$C$5:$C$6004,R206,$O$5:$O$6004,"CONCLUÍDA")))</f>
        <v/>
      </c>
      <c r="Z206" s="2" t="str">
        <f aca="false">IF(R206="","",IF(COUNTIFS($C$5:$C$6004,R206,$O$5:$O$6004,"EM ANDAMENTO",$N$5:$N$6004,"&gt;=-99")=0,"",_xlfn.MAXIFS($N$5:$N$6004,$C$5:$C$6004,R206,$O$5:$O$6004,"EM ANDAMENTO")))</f>
        <v/>
      </c>
      <c r="AA206" s="2" t="str">
        <f aca="false"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 customFormat="false" ht="15" hidden="false" customHeight="false" outlineLevel="0" collapsed="false">
      <c r="B207" s="4" t="n">
        <v>28389449</v>
      </c>
      <c r="C207" s="4" t="s">
        <v>2346</v>
      </c>
      <c r="D207" s="4" t="s">
        <v>2772</v>
      </c>
      <c r="E207" s="4" t="s">
        <v>81</v>
      </c>
      <c r="F207" s="127" t="n">
        <v>46213</v>
      </c>
      <c r="G207" s="127" t="n">
        <v>46219</v>
      </c>
      <c r="H207" s="127" t="n">
        <v>46289</v>
      </c>
      <c r="I207" s="4" t="n">
        <v>0</v>
      </c>
      <c r="J207" s="4" t="n">
        <v>100</v>
      </c>
      <c r="K207" s="4" t="n">
        <v>100</v>
      </c>
      <c r="M207" s="2" t="str">
        <f aca="false">IF(C207="","",IFERROR(INDEX($S$5:$S$304,MATCH(C207,$R$5:$R$304,0))&amp;"","?"))</f>
        <v>16</v>
      </c>
      <c r="N207" s="2" t="str">
        <f aca="false">IF(E207="","",IF(ISNUMBER(SEARCH("SUBSOLO",E207)),IFERROR(-VALUE(LEFT(E207,FIND("º",SUBSTITUTE(E207,"°","º"))-1)),-1),IF(LEFT(E207,6)="TÉRREO",0,IFERROR(VALUE(LEFT(E207,FIND("º",SUBSTITUTE(E207,"°","º"))-1)),""))))</f>
        <v/>
      </c>
      <c r="O207" s="2" t="str">
        <f aca="false">IF(OR(F207="",G207=""),"",IF(G207&lt;='RETRATO 2027'!$K$5,"CONCLUÍDA",IF(F207&lt;='RETRATO 2027'!$K$5,"EM ANDAMENTO","A INICIAR")))</f>
        <v>CONCLUÍDA</v>
      </c>
      <c r="R207" s="4"/>
      <c r="S207" s="4"/>
      <c r="T207" s="4"/>
      <c r="U207" s="4"/>
      <c r="V207" s="2" t="str">
        <f aca="false">IF(R207="","",COUNTIF($C$5:$C$6004,R207))</f>
        <v/>
      </c>
      <c r="W207" s="2" t="str">
        <f aca="false">IF(R207="","",COUNTIFS($C$5:$C$6004,R207,$O$5:$O$6004,"CONCLUÍDA"))</f>
        <v/>
      </c>
      <c r="X207" s="2" t="str">
        <f aca="false">IF(R207="","",COUNTIFS($C$5:$C$6004,R207,$O$5:$O$6004,"EM ANDAMENTO"))</f>
        <v/>
      </c>
      <c r="Y207" s="2" t="str">
        <f aca="false">IF(R207="","",IF(COUNTIFS($C$5:$C$6004,R207,$O$5:$O$6004,"CONCLUÍDA",$N$5:$N$6004,"&gt;=-99")=0,"",_xlfn.MAXIFS($N$5:$N$6004,$C$5:$C$6004,R207,$O$5:$O$6004,"CONCLUÍDA")))</f>
        <v/>
      </c>
      <c r="Z207" s="2" t="str">
        <f aca="false">IF(R207="","",IF(COUNTIFS($C$5:$C$6004,R207,$O$5:$O$6004,"EM ANDAMENTO",$N$5:$N$6004,"&gt;=-99")=0,"",_xlfn.MAXIFS($N$5:$N$6004,$C$5:$C$6004,R207,$O$5:$O$6004,"EM ANDAMENTO")))</f>
        <v/>
      </c>
      <c r="AA207" s="2" t="str">
        <f aca="false"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 customFormat="false" ht="15" hidden="false" customHeight="false" outlineLevel="0" collapsed="false">
      <c r="B208" s="4" t="n">
        <v>28389450</v>
      </c>
      <c r="C208" s="4" t="s">
        <v>2346</v>
      </c>
      <c r="D208" s="4" t="s">
        <v>2773</v>
      </c>
      <c r="E208" s="4" t="s">
        <v>81</v>
      </c>
      <c r="F208" s="127" t="n">
        <v>46220</v>
      </c>
      <c r="G208" s="127" t="n">
        <v>46220</v>
      </c>
      <c r="H208" s="127" t="n">
        <v>46289</v>
      </c>
      <c r="I208" s="4" t="n">
        <v>0</v>
      </c>
      <c r="J208" s="4" t="n">
        <v>100</v>
      </c>
      <c r="K208" s="4" t="n">
        <v>100</v>
      </c>
      <c r="M208" s="2" t="str">
        <f aca="false">IF(C208="","",IFERROR(INDEX($S$5:$S$304,MATCH(C208,$R$5:$R$304,0))&amp;"","?"))</f>
        <v>16</v>
      </c>
      <c r="N208" s="2" t="str">
        <f aca="false">IF(E208="","",IF(ISNUMBER(SEARCH("SUBSOLO",E208)),IFERROR(-VALUE(LEFT(E208,FIND("º",SUBSTITUTE(E208,"°","º"))-1)),-1),IF(LEFT(E208,6)="TÉRREO",0,IFERROR(VALUE(LEFT(E208,FIND("º",SUBSTITUTE(E208,"°","º"))-1)),""))))</f>
        <v/>
      </c>
      <c r="O208" s="2" t="str">
        <f aca="false">IF(OR(F208="",G208=""),"",IF(G208&lt;='RETRATO 2027'!$K$5,"CONCLUÍDA",IF(F208&lt;='RETRATO 2027'!$K$5,"EM ANDAMENTO","A INICIAR")))</f>
        <v>CONCLUÍDA</v>
      </c>
      <c r="R208" s="4"/>
      <c r="S208" s="4"/>
      <c r="T208" s="4"/>
      <c r="U208" s="4"/>
      <c r="V208" s="2" t="str">
        <f aca="false">IF(R208="","",COUNTIF($C$5:$C$6004,R208))</f>
        <v/>
      </c>
      <c r="W208" s="2" t="str">
        <f aca="false">IF(R208="","",COUNTIFS($C$5:$C$6004,R208,$O$5:$O$6004,"CONCLUÍDA"))</f>
        <v/>
      </c>
      <c r="X208" s="2" t="str">
        <f aca="false">IF(R208="","",COUNTIFS($C$5:$C$6004,R208,$O$5:$O$6004,"EM ANDAMENTO"))</f>
        <v/>
      </c>
      <c r="Y208" s="2" t="str">
        <f aca="false">IF(R208="","",IF(COUNTIFS($C$5:$C$6004,R208,$O$5:$O$6004,"CONCLUÍDA",$N$5:$N$6004,"&gt;=-99")=0,"",_xlfn.MAXIFS($N$5:$N$6004,$C$5:$C$6004,R208,$O$5:$O$6004,"CONCLUÍDA")))</f>
        <v/>
      </c>
      <c r="Z208" s="2" t="str">
        <f aca="false">IF(R208="","",IF(COUNTIFS($C$5:$C$6004,R208,$O$5:$O$6004,"EM ANDAMENTO",$N$5:$N$6004,"&gt;=-99")=0,"",_xlfn.MAXIFS($N$5:$N$6004,$C$5:$C$6004,R208,$O$5:$O$6004,"EM ANDAMENTO")))</f>
        <v/>
      </c>
      <c r="AA208" s="2" t="str">
        <f aca="false"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 customFormat="false" ht="15" hidden="false" customHeight="false" outlineLevel="0" collapsed="false">
      <c r="B209" s="4" t="n">
        <v>48913812</v>
      </c>
      <c r="C209" s="4" t="s">
        <v>2349</v>
      </c>
      <c r="D209" s="4" t="s">
        <v>463</v>
      </c>
      <c r="E209" s="4" t="s">
        <v>2757</v>
      </c>
      <c r="F209" s="127" t="n">
        <v>46216</v>
      </c>
      <c r="G209" s="127" t="n">
        <v>46251</v>
      </c>
      <c r="H209" s="127" t="n">
        <v>46289</v>
      </c>
      <c r="I209" s="4" t="n">
        <v>0</v>
      </c>
      <c r="J209" s="4" t="n">
        <v>100</v>
      </c>
      <c r="K209" s="4" t="n">
        <v>100</v>
      </c>
      <c r="M209" s="2" t="str">
        <f aca="false">IF(C209="","",IFERROR(INDEX($S$5:$S$304,MATCH(C209,$R$5:$R$304,0))&amp;"","?"))</f>
        <v>17</v>
      </c>
      <c r="N209" s="2" t="n">
        <f aca="false">IF(E209="","",IF(ISNUMBER(SEARCH("SUBSOLO",E209)),IFERROR(-VALUE(LEFT(E209,FIND("º",SUBSTITUTE(E209,"°","º"))-1)),-1),IF(LEFT(E209,6)="TÉRREO",0,IFERROR(VALUE(LEFT(E209,FIND("º",SUBSTITUTE(E209,"°","º"))-1)),""))))</f>
        <v>0</v>
      </c>
      <c r="O209" s="2" t="str">
        <f aca="false">IF(OR(F209="",G209=""),"",IF(G209&lt;='RETRATO 2027'!$K$5,"CONCLUÍDA",IF(F209&lt;='RETRATO 2027'!$K$5,"EM ANDAMENTO","A INICIAR")))</f>
        <v>CONCLUÍDA</v>
      </c>
      <c r="R209" s="4"/>
      <c r="S209" s="4"/>
      <c r="T209" s="4"/>
      <c r="U209" s="4"/>
      <c r="V209" s="2" t="str">
        <f aca="false">IF(R209="","",COUNTIF($C$5:$C$6004,R209))</f>
        <v/>
      </c>
      <c r="W209" s="2" t="str">
        <f aca="false">IF(R209="","",COUNTIFS($C$5:$C$6004,R209,$O$5:$O$6004,"CONCLUÍDA"))</f>
        <v/>
      </c>
      <c r="X209" s="2" t="str">
        <f aca="false">IF(R209="","",COUNTIFS($C$5:$C$6004,R209,$O$5:$O$6004,"EM ANDAMENTO"))</f>
        <v/>
      </c>
      <c r="Y209" s="2" t="str">
        <f aca="false">IF(R209="","",IF(COUNTIFS($C$5:$C$6004,R209,$O$5:$O$6004,"CONCLUÍDA",$N$5:$N$6004,"&gt;=-99")=0,"",_xlfn.MAXIFS($N$5:$N$6004,$C$5:$C$6004,R209,$O$5:$O$6004,"CONCLUÍDA")))</f>
        <v/>
      </c>
      <c r="Z209" s="2" t="str">
        <f aca="false">IF(R209="","",IF(COUNTIFS($C$5:$C$6004,R209,$O$5:$O$6004,"EM ANDAMENTO",$N$5:$N$6004,"&gt;=-99")=0,"",_xlfn.MAXIFS($N$5:$N$6004,$C$5:$C$6004,R209,$O$5:$O$6004,"EM ANDAMENTO")))</f>
        <v/>
      </c>
      <c r="AA209" s="2" t="str">
        <f aca="false"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 customFormat="false" ht="15" hidden="false" customHeight="false" outlineLevel="0" collapsed="false">
      <c r="B210" s="4" t="n">
        <v>31924965</v>
      </c>
      <c r="C210" s="4" t="s">
        <v>2349</v>
      </c>
      <c r="D210" s="4" t="s">
        <v>2774</v>
      </c>
      <c r="E210" s="4" t="s">
        <v>2757</v>
      </c>
      <c r="F210" s="127" t="n">
        <v>46216</v>
      </c>
      <c r="G210" s="127" t="n">
        <v>46219</v>
      </c>
      <c r="H210" s="127" t="n">
        <v>46289</v>
      </c>
      <c r="I210" s="4" t="n">
        <v>0</v>
      </c>
      <c r="J210" s="4" t="n">
        <v>100</v>
      </c>
      <c r="K210" s="4" t="n">
        <v>100</v>
      </c>
      <c r="M210" s="2" t="str">
        <f aca="false">IF(C210="","",IFERROR(INDEX($S$5:$S$304,MATCH(C210,$R$5:$R$304,0))&amp;"","?"))</f>
        <v>17</v>
      </c>
      <c r="N210" s="2" t="n">
        <f aca="false">IF(E210="","",IF(ISNUMBER(SEARCH("SUBSOLO",E210)),IFERROR(-VALUE(LEFT(E210,FIND("º",SUBSTITUTE(E210,"°","º"))-1)),-1),IF(LEFT(E210,6)="TÉRREO",0,IFERROR(VALUE(LEFT(E210,FIND("º",SUBSTITUTE(E210,"°","º"))-1)),""))))</f>
        <v>0</v>
      </c>
      <c r="O210" s="2" t="str">
        <f aca="false">IF(OR(F210="",G210=""),"",IF(G210&lt;='RETRATO 2027'!$K$5,"CONCLUÍDA",IF(F210&lt;='RETRATO 2027'!$K$5,"EM ANDAMENTO","A INICIAR")))</f>
        <v>CONCLUÍDA</v>
      </c>
      <c r="R210" s="4"/>
      <c r="S210" s="4"/>
      <c r="T210" s="4"/>
      <c r="U210" s="4"/>
      <c r="V210" s="2" t="str">
        <f aca="false">IF(R210="","",COUNTIF($C$5:$C$6004,R210))</f>
        <v/>
      </c>
      <c r="W210" s="2" t="str">
        <f aca="false">IF(R210="","",COUNTIFS($C$5:$C$6004,R210,$O$5:$O$6004,"CONCLUÍDA"))</f>
        <v/>
      </c>
      <c r="X210" s="2" t="str">
        <f aca="false">IF(R210="","",COUNTIFS($C$5:$C$6004,R210,$O$5:$O$6004,"EM ANDAMENTO"))</f>
        <v/>
      </c>
      <c r="Y210" s="2" t="str">
        <f aca="false">IF(R210="","",IF(COUNTIFS($C$5:$C$6004,R210,$O$5:$O$6004,"CONCLUÍDA",$N$5:$N$6004,"&gt;=-99")=0,"",_xlfn.MAXIFS($N$5:$N$6004,$C$5:$C$6004,R210,$O$5:$O$6004,"CONCLUÍDA")))</f>
        <v/>
      </c>
      <c r="Z210" s="2" t="str">
        <f aca="false">IF(R210="","",IF(COUNTIFS($C$5:$C$6004,R210,$O$5:$O$6004,"EM ANDAMENTO",$N$5:$N$6004,"&gt;=-99")=0,"",_xlfn.MAXIFS($N$5:$N$6004,$C$5:$C$6004,R210,$O$5:$O$6004,"EM ANDAMENTO")))</f>
        <v/>
      </c>
      <c r="AA210" s="2" t="str">
        <f aca="false"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 customFormat="false" ht="15" hidden="false" customHeight="false" outlineLevel="0" collapsed="false">
      <c r="B211" s="4" t="n">
        <v>31924966</v>
      </c>
      <c r="C211" s="4" t="s">
        <v>2349</v>
      </c>
      <c r="D211" s="4" t="s">
        <v>2775</v>
      </c>
      <c r="E211" s="4" t="s">
        <v>2757</v>
      </c>
      <c r="F211" s="127" t="n">
        <v>46220</v>
      </c>
      <c r="G211" s="127" t="n">
        <v>46245</v>
      </c>
      <c r="H211" s="127" t="n">
        <v>46289</v>
      </c>
      <c r="I211" s="4" t="n">
        <v>0</v>
      </c>
      <c r="J211" s="4" t="n">
        <v>100</v>
      </c>
      <c r="K211" s="4" t="n">
        <v>100</v>
      </c>
      <c r="M211" s="2" t="str">
        <f aca="false">IF(C211="","",IFERROR(INDEX($S$5:$S$304,MATCH(C211,$R$5:$R$304,0))&amp;"","?"))</f>
        <v>17</v>
      </c>
      <c r="N211" s="2" t="n">
        <f aca="false">IF(E211="","",IF(ISNUMBER(SEARCH("SUBSOLO",E211)),IFERROR(-VALUE(LEFT(E211,FIND("º",SUBSTITUTE(E211,"°","º"))-1)),-1),IF(LEFT(E211,6)="TÉRREO",0,IFERROR(VALUE(LEFT(E211,FIND("º",SUBSTITUTE(E211,"°","º"))-1)),""))))</f>
        <v>0</v>
      </c>
      <c r="O211" s="2" t="str">
        <f aca="false">IF(OR(F211="",G211=""),"",IF(G211&lt;='RETRATO 2027'!$K$5,"CONCLUÍDA",IF(F211&lt;='RETRATO 2027'!$K$5,"EM ANDAMENTO","A INICIAR")))</f>
        <v>CONCLUÍDA</v>
      </c>
      <c r="R211" s="4"/>
      <c r="S211" s="4"/>
      <c r="T211" s="4"/>
      <c r="U211" s="4"/>
      <c r="V211" s="2" t="str">
        <f aca="false">IF(R211="","",COUNTIF($C$5:$C$6004,R211))</f>
        <v/>
      </c>
      <c r="W211" s="2" t="str">
        <f aca="false">IF(R211="","",COUNTIFS($C$5:$C$6004,R211,$O$5:$O$6004,"CONCLUÍDA"))</f>
        <v/>
      </c>
      <c r="X211" s="2" t="str">
        <f aca="false">IF(R211="","",COUNTIFS($C$5:$C$6004,R211,$O$5:$O$6004,"EM ANDAMENTO"))</f>
        <v/>
      </c>
      <c r="Y211" s="2" t="str">
        <f aca="false">IF(R211="","",IF(COUNTIFS($C$5:$C$6004,R211,$O$5:$O$6004,"CONCLUÍDA",$N$5:$N$6004,"&gt;=-99")=0,"",_xlfn.MAXIFS($N$5:$N$6004,$C$5:$C$6004,R211,$O$5:$O$6004,"CONCLUÍDA")))</f>
        <v/>
      </c>
      <c r="Z211" s="2" t="str">
        <f aca="false">IF(R211="","",IF(COUNTIFS($C$5:$C$6004,R211,$O$5:$O$6004,"EM ANDAMENTO",$N$5:$N$6004,"&gt;=-99")=0,"",_xlfn.MAXIFS($N$5:$N$6004,$C$5:$C$6004,R211,$O$5:$O$6004,"EM ANDAMENTO")))</f>
        <v/>
      </c>
      <c r="AA211" s="2" t="str">
        <f aca="false"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 customFormat="false" ht="15" hidden="false" customHeight="false" outlineLevel="0" collapsed="false">
      <c r="B212" s="4" t="n">
        <v>31924967</v>
      </c>
      <c r="C212" s="4" t="s">
        <v>2349</v>
      </c>
      <c r="D212" s="4" t="s">
        <v>2776</v>
      </c>
      <c r="E212" s="4" t="s">
        <v>2757</v>
      </c>
      <c r="F212" s="127" t="n">
        <v>46225</v>
      </c>
      <c r="G212" s="127" t="n">
        <v>46231</v>
      </c>
      <c r="H212" s="127" t="n">
        <v>46289</v>
      </c>
      <c r="I212" s="4" t="n">
        <v>0</v>
      </c>
      <c r="J212" s="4" t="n">
        <v>100</v>
      </c>
      <c r="K212" s="4" t="n">
        <v>100</v>
      </c>
      <c r="M212" s="2" t="str">
        <f aca="false">IF(C212="","",IFERROR(INDEX($S$5:$S$304,MATCH(C212,$R$5:$R$304,0))&amp;"","?"))</f>
        <v>17</v>
      </c>
      <c r="N212" s="2" t="n">
        <f aca="false">IF(E212="","",IF(ISNUMBER(SEARCH("SUBSOLO",E212)),IFERROR(-VALUE(LEFT(E212,FIND("º",SUBSTITUTE(E212,"°","º"))-1)),-1),IF(LEFT(E212,6)="TÉRREO",0,IFERROR(VALUE(LEFT(E212,FIND("º",SUBSTITUTE(E212,"°","º"))-1)),""))))</f>
        <v>0</v>
      </c>
      <c r="O212" s="2" t="str">
        <f aca="false">IF(OR(F212="",G212=""),"",IF(G212&lt;='RETRATO 2027'!$K$5,"CONCLUÍDA",IF(F212&lt;='RETRATO 2027'!$K$5,"EM ANDAMENTO","A INICIAR")))</f>
        <v>CONCLUÍDA</v>
      </c>
      <c r="R212" s="4"/>
      <c r="S212" s="4"/>
      <c r="T212" s="4"/>
      <c r="U212" s="4"/>
      <c r="V212" s="2" t="str">
        <f aca="false">IF(R212="","",COUNTIF($C$5:$C$6004,R212))</f>
        <v/>
      </c>
      <c r="W212" s="2" t="str">
        <f aca="false">IF(R212="","",COUNTIFS($C$5:$C$6004,R212,$O$5:$O$6004,"CONCLUÍDA"))</f>
        <v/>
      </c>
      <c r="X212" s="2" t="str">
        <f aca="false">IF(R212="","",COUNTIFS($C$5:$C$6004,R212,$O$5:$O$6004,"EM ANDAMENTO"))</f>
        <v/>
      </c>
      <c r="Y212" s="2" t="str">
        <f aca="false">IF(R212="","",IF(COUNTIFS($C$5:$C$6004,R212,$O$5:$O$6004,"CONCLUÍDA",$N$5:$N$6004,"&gt;=-99")=0,"",_xlfn.MAXIFS($N$5:$N$6004,$C$5:$C$6004,R212,$O$5:$O$6004,"CONCLUÍDA")))</f>
        <v/>
      </c>
      <c r="Z212" s="2" t="str">
        <f aca="false">IF(R212="","",IF(COUNTIFS($C$5:$C$6004,R212,$O$5:$O$6004,"EM ANDAMENTO",$N$5:$N$6004,"&gt;=-99")=0,"",_xlfn.MAXIFS($N$5:$N$6004,$C$5:$C$6004,R212,$O$5:$O$6004,"EM ANDAMENTO")))</f>
        <v/>
      </c>
      <c r="AA212" s="2" t="str">
        <f aca="false"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 customFormat="false" ht="15" hidden="false" customHeight="false" outlineLevel="0" collapsed="false">
      <c r="B213" s="4" t="n">
        <v>31924968</v>
      </c>
      <c r="C213" s="4" t="s">
        <v>2349</v>
      </c>
      <c r="D213" s="4" t="s">
        <v>2777</v>
      </c>
      <c r="E213" s="4" t="s">
        <v>2757</v>
      </c>
      <c r="F213" s="127" t="n">
        <v>46240</v>
      </c>
      <c r="G213" s="127" t="n">
        <v>46248</v>
      </c>
      <c r="H213" s="127" t="n">
        <v>46289</v>
      </c>
      <c r="I213" s="4" t="n">
        <v>0</v>
      </c>
      <c r="J213" s="4" t="n">
        <v>100</v>
      </c>
      <c r="K213" s="4" t="n">
        <v>100</v>
      </c>
      <c r="M213" s="2" t="str">
        <f aca="false">IF(C213="","",IFERROR(INDEX($S$5:$S$304,MATCH(C213,$R$5:$R$304,0))&amp;"","?"))</f>
        <v>17</v>
      </c>
      <c r="N213" s="2" t="n">
        <f aca="false">IF(E213="","",IF(ISNUMBER(SEARCH("SUBSOLO",E213)),IFERROR(-VALUE(LEFT(E213,FIND("º",SUBSTITUTE(E213,"°","º"))-1)),-1),IF(LEFT(E213,6)="TÉRREO",0,IFERROR(VALUE(LEFT(E213,FIND("º",SUBSTITUTE(E213,"°","º"))-1)),""))))</f>
        <v>0</v>
      </c>
      <c r="O213" s="2" t="str">
        <f aca="false">IF(OR(F213="",G213=""),"",IF(G213&lt;='RETRATO 2027'!$K$5,"CONCLUÍDA",IF(F213&lt;='RETRATO 2027'!$K$5,"EM ANDAMENTO","A INICIAR")))</f>
        <v>CONCLUÍDA</v>
      </c>
      <c r="R213" s="4"/>
      <c r="S213" s="4"/>
      <c r="T213" s="4"/>
      <c r="U213" s="4"/>
      <c r="V213" s="2" t="str">
        <f aca="false">IF(R213="","",COUNTIF($C$5:$C$6004,R213))</f>
        <v/>
      </c>
      <c r="W213" s="2" t="str">
        <f aca="false">IF(R213="","",COUNTIFS($C$5:$C$6004,R213,$O$5:$O$6004,"CONCLUÍDA"))</f>
        <v/>
      </c>
      <c r="X213" s="2" t="str">
        <f aca="false">IF(R213="","",COUNTIFS($C$5:$C$6004,R213,$O$5:$O$6004,"EM ANDAMENTO"))</f>
        <v/>
      </c>
      <c r="Y213" s="2" t="str">
        <f aca="false">IF(R213="","",IF(COUNTIFS($C$5:$C$6004,R213,$O$5:$O$6004,"CONCLUÍDA",$N$5:$N$6004,"&gt;=-99")=0,"",_xlfn.MAXIFS($N$5:$N$6004,$C$5:$C$6004,R213,$O$5:$O$6004,"CONCLUÍDA")))</f>
        <v/>
      </c>
      <c r="Z213" s="2" t="str">
        <f aca="false">IF(R213="","",IF(COUNTIFS($C$5:$C$6004,R213,$O$5:$O$6004,"EM ANDAMENTO",$N$5:$N$6004,"&gt;=-99")=0,"",_xlfn.MAXIFS($N$5:$N$6004,$C$5:$C$6004,R213,$O$5:$O$6004,"EM ANDAMENTO")))</f>
        <v/>
      </c>
      <c r="AA213" s="2" t="str">
        <f aca="false"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 customFormat="false" ht="15" hidden="false" customHeight="false" outlineLevel="0" collapsed="false">
      <c r="B214" s="4" t="n">
        <v>31924976</v>
      </c>
      <c r="C214" s="4" t="s">
        <v>2349</v>
      </c>
      <c r="D214" s="4" t="s">
        <v>2778</v>
      </c>
      <c r="E214" s="4" t="s">
        <v>2757</v>
      </c>
      <c r="F214" s="127" t="n">
        <v>46251</v>
      </c>
      <c r="G214" s="127" t="n">
        <v>46251</v>
      </c>
      <c r="H214" s="127" t="n">
        <v>46289</v>
      </c>
      <c r="I214" s="4" t="n">
        <v>0</v>
      </c>
      <c r="J214" s="4" t="n">
        <v>100</v>
      </c>
      <c r="K214" s="4" t="n">
        <v>100</v>
      </c>
      <c r="M214" s="2" t="str">
        <f aca="false">IF(C214="","",IFERROR(INDEX($S$5:$S$304,MATCH(C214,$R$5:$R$304,0))&amp;"","?"))</f>
        <v>17</v>
      </c>
      <c r="N214" s="2" t="n">
        <f aca="false">IF(E214="","",IF(ISNUMBER(SEARCH("SUBSOLO",E214)),IFERROR(-VALUE(LEFT(E214,FIND("º",SUBSTITUTE(E214,"°","º"))-1)),-1),IF(LEFT(E214,6)="TÉRREO",0,IFERROR(VALUE(LEFT(E214,FIND("º",SUBSTITUTE(E214,"°","º"))-1)),""))))</f>
        <v>0</v>
      </c>
      <c r="O214" s="2" t="str">
        <f aca="false">IF(OR(F214="",G214=""),"",IF(G214&lt;='RETRATO 2027'!$K$5,"CONCLUÍDA",IF(F214&lt;='RETRATO 2027'!$K$5,"EM ANDAMENTO","A INICIAR")))</f>
        <v>CONCLUÍDA</v>
      </c>
      <c r="R214" s="4"/>
      <c r="S214" s="4"/>
      <c r="T214" s="4"/>
      <c r="U214" s="4"/>
      <c r="V214" s="2" t="str">
        <f aca="false">IF(R214="","",COUNTIF($C$5:$C$6004,R214))</f>
        <v/>
      </c>
      <c r="W214" s="2" t="str">
        <f aca="false">IF(R214="","",COUNTIFS($C$5:$C$6004,R214,$O$5:$O$6004,"CONCLUÍDA"))</f>
        <v/>
      </c>
      <c r="X214" s="2" t="str">
        <f aca="false">IF(R214="","",COUNTIFS($C$5:$C$6004,R214,$O$5:$O$6004,"EM ANDAMENTO"))</f>
        <v/>
      </c>
      <c r="Y214" s="2" t="str">
        <f aca="false">IF(R214="","",IF(COUNTIFS($C$5:$C$6004,R214,$O$5:$O$6004,"CONCLUÍDA",$N$5:$N$6004,"&gt;=-99")=0,"",_xlfn.MAXIFS($N$5:$N$6004,$C$5:$C$6004,R214,$O$5:$O$6004,"CONCLUÍDA")))</f>
        <v/>
      </c>
      <c r="Z214" s="2" t="str">
        <f aca="false">IF(R214="","",IF(COUNTIFS($C$5:$C$6004,R214,$O$5:$O$6004,"EM ANDAMENTO",$N$5:$N$6004,"&gt;=-99")=0,"",_xlfn.MAXIFS($N$5:$N$6004,$C$5:$C$6004,R214,$O$5:$O$6004,"EM ANDAMENTO")))</f>
        <v/>
      </c>
      <c r="AA214" s="2" t="str">
        <f aca="false"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 customFormat="false" ht="15" hidden="false" customHeight="false" outlineLevel="0" collapsed="false">
      <c r="B215" s="4" t="n">
        <v>48913806</v>
      </c>
      <c r="C215" s="4" t="s">
        <v>2352</v>
      </c>
      <c r="D215" s="4" t="s">
        <v>463</v>
      </c>
      <c r="E215" s="4" t="s">
        <v>2757</v>
      </c>
      <c r="F215" s="127" t="n">
        <v>46224</v>
      </c>
      <c r="G215" s="127" t="n">
        <v>46241</v>
      </c>
      <c r="H215" s="127" t="n">
        <v>46289</v>
      </c>
      <c r="I215" s="4" t="n">
        <v>0</v>
      </c>
      <c r="J215" s="4" t="n">
        <v>100</v>
      </c>
      <c r="K215" s="4" t="n">
        <v>100</v>
      </c>
      <c r="M215" s="2" t="str">
        <f aca="false">IF(C215="","",IFERROR(INDEX($S$5:$S$304,MATCH(C215,$R$5:$R$304,0))&amp;"","?"))</f>
        <v>17</v>
      </c>
      <c r="N215" s="2" t="n">
        <f aca="false">IF(E215="","",IF(ISNUMBER(SEARCH("SUBSOLO",E215)),IFERROR(-VALUE(LEFT(E215,FIND("º",SUBSTITUTE(E215,"°","º"))-1)),-1),IF(LEFT(E215,6)="TÉRREO",0,IFERROR(VALUE(LEFT(E215,FIND("º",SUBSTITUTE(E215,"°","º"))-1)),""))))</f>
        <v>0</v>
      </c>
      <c r="O215" s="2" t="str">
        <f aca="false">IF(OR(F215="",G215=""),"",IF(G215&lt;='RETRATO 2027'!$K$5,"CONCLUÍDA",IF(F215&lt;='RETRATO 2027'!$K$5,"EM ANDAMENTO","A INICIAR")))</f>
        <v>CONCLUÍDA</v>
      </c>
      <c r="R215" s="4"/>
      <c r="S215" s="4"/>
      <c r="T215" s="4"/>
      <c r="U215" s="4"/>
      <c r="V215" s="2" t="str">
        <f aca="false">IF(R215="","",COUNTIF($C$5:$C$6004,R215))</f>
        <v/>
      </c>
      <c r="W215" s="2" t="str">
        <f aca="false">IF(R215="","",COUNTIFS($C$5:$C$6004,R215,$O$5:$O$6004,"CONCLUÍDA"))</f>
        <v/>
      </c>
      <c r="X215" s="2" t="str">
        <f aca="false">IF(R215="","",COUNTIFS($C$5:$C$6004,R215,$O$5:$O$6004,"EM ANDAMENTO"))</f>
        <v/>
      </c>
      <c r="Y215" s="2" t="str">
        <f aca="false">IF(R215="","",IF(COUNTIFS($C$5:$C$6004,R215,$O$5:$O$6004,"CONCLUÍDA",$N$5:$N$6004,"&gt;=-99")=0,"",_xlfn.MAXIFS($N$5:$N$6004,$C$5:$C$6004,R215,$O$5:$O$6004,"CONCLUÍDA")))</f>
        <v/>
      </c>
      <c r="Z215" s="2" t="str">
        <f aca="false">IF(R215="","",IF(COUNTIFS($C$5:$C$6004,R215,$O$5:$O$6004,"EM ANDAMENTO",$N$5:$N$6004,"&gt;=-99")=0,"",_xlfn.MAXIFS($N$5:$N$6004,$C$5:$C$6004,R215,$O$5:$O$6004,"EM ANDAMENTO")))</f>
        <v/>
      </c>
      <c r="AA215" s="2" t="str">
        <f aca="false"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 customFormat="false" ht="15" hidden="false" customHeight="false" outlineLevel="0" collapsed="false">
      <c r="B216" s="4" t="n">
        <v>31924960</v>
      </c>
      <c r="C216" s="4" t="s">
        <v>2352</v>
      </c>
      <c r="D216" s="4" t="s">
        <v>2779</v>
      </c>
      <c r="E216" s="4" t="s">
        <v>2757</v>
      </c>
      <c r="F216" s="127" t="n">
        <v>46224</v>
      </c>
      <c r="G216" s="127" t="n">
        <v>46230</v>
      </c>
      <c r="H216" s="127" t="n">
        <v>46289</v>
      </c>
      <c r="I216" s="4" t="n">
        <v>0</v>
      </c>
      <c r="J216" s="4" t="n">
        <v>100</v>
      </c>
      <c r="K216" s="4" t="n">
        <v>100</v>
      </c>
      <c r="M216" s="2" t="str">
        <f aca="false">IF(C216="","",IFERROR(INDEX($S$5:$S$304,MATCH(C216,$R$5:$R$304,0))&amp;"","?"))</f>
        <v>17</v>
      </c>
      <c r="N216" s="2" t="n">
        <f aca="false">IF(E216="","",IF(ISNUMBER(SEARCH("SUBSOLO",E216)),IFERROR(-VALUE(LEFT(E216,FIND("º",SUBSTITUTE(E216,"°","º"))-1)),-1),IF(LEFT(E216,6)="TÉRREO",0,IFERROR(VALUE(LEFT(E216,FIND("º",SUBSTITUTE(E216,"°","º"))-1)),""))))</f>
        <v>0</v>
      </c>
      <c r="O216" s="2" t="str">
        <f aca="false">IF(OR(F216="",G216=""),"",IF(G216&lt;='RETRATO 2027'!$K$5,"CONCLUÍDA",IF(F216&lt;='RETRATO 2027'!$K$5,"EM ANDAMENTO","A INICIAR")))</f>
        <v>CONCLUÍDA</v>
      </c>
      <c r="R216" s="4"/>
      <c r="S216" s="4"/>
      <c r="T216" s="4"/>
      <c r="U216" s="4"/>
      <c r="V216" s="2" t="str">
        <f aca="false">IF(R216="","",COUNTIF($C$5:$C$6004,R216))</f>
        <v/>
      </c>
      <c r="W216" s="2" t="str">
        <f aca="false">IF(R216="","",COUNTIFS($C$5:$C$6004,R216,$O$5:$O$6004,"CONCLUÍDA"))</f>
        <v/>
      </c>
      <c r="X216" s="2" t="str">
        <f aca="false">IF(R216="","",COUNTIFS($C$5:$C$6004,R216,$O$5:$O$6004,"EM ANDAMENTO"))</f>
        <v/>
      </c>
      <c r="Y216" s="2" t="str">
        <f aca="false">IF(R216="","",IF(COUNTIFS($C$5:$C$6004,R216,$O$5:$O$6004,"CONCLUÍDA",$N$5:$N$6004,"&gt;=-99")=0,"",_xlfn.MAXIFS($N$5:$N$6004,$C$5:$C$6004,R216,$O$5:$O$6004,"CONCLUÍDA")))</f>
        <v/>
      </c>
      <c r="Z216" s="2" t="str">
        <f aca="false">IF(R216="","",IF(COUNTIFS($C$5:$C$6004,R216,$O$5:$O$6004,"EM ANDAMENTO",$N$5:$N$6004,"&gt;=-99")=0,"",_xlfn.MAXIFS($N$5:$N$6004,$C$5:$C$6004,R216,$O$5:$O$6004,"EM ANDAMENTO")))</f>
        <v/>
      </c>
      <c r="AA216" s="2" t="str">
        <f aca="false"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 customFormat="false" ht="15" hidden="false" customHeight="false" outlineLevel="0" collapsed="false">
      <c r="B217" s="4" t="n">
        <v>31924961</v>
      </c>
      <c r="C217" s="4" t="s">
        <v>2352</v>
      </c>
      <c r="D217" s="4" t="s">
        <v>2775</v>
      </c>
      <c r="E217" s="4" t="s">
        <v>2757</v>
      </c>
      <c r="F217" s="127" t="n">
        <v>46231</v>
      </c>
      <c r="G217" s="127" t="n">
        <v>46237</v>
      </c>
      <c r="H217" s="127" t="n">
        <v>46289</v>
      </c>
      <c r="I217" s="4" t="n">
        <v>0</v>
      </c>
      <c r="J217" s="4" t="n">
        <v>100</v>
      </c>
      <c r="K217" s="4" t="n">
        <v>100</v>
      </c>
      <c r="M217" s="2" t="str">
        <f aca="false">IF(C217="","",IFERROR(INDEX($S$5:$S$304,MATCH(C217,$R$5:$R$304,0))&amp;"","?"))</f>
        <v>17</v>
      </c>
      <c r="N217" s="2" t="n">
        <f aca="false">IF(E217="","",IF(ISNUMBER(SEARCH("SUBSOLO",E217)),IFERROR(-VALUE(LEFT(E217,FIND("º",SUBSTITUTE(E217,"°","º"))-1)),-1),IF(LEFT(E217,6)="TÉRREO",0,IFERROR(VALUE(LEFT(E217,FIND("º",SUBSTITUTE(E217,"°","º"))-1)),""))))</f>
        <v>0</v>
      </c>
      <c r="O217" s="2" t="str">
        <f aca="false">IF(OR(F217="",G217=""),"",IF(G217&lt;='RETRATO 2027'!$K$5,"CONCLUÍDA",IF(F217&lt;='RETRATO 2027'!$K$5,"EM ANDAMENTO","A INICIAR")))</f>
        <v>CONCLUÍDA</v>
      </c>
      <c r="R217" s="4"/>
      <c r="S217" s="4"/>
      <c r="T217" s="4"/>
      <c r="U217" s="4"/>
      <c r="V217" s="2" t="str">
        <f aca="false">IF(R217="","",COUNTIF($C$5:$C$6004,R217))</f>
        <v/>
      </c>
      <c r="W217" s="2" t="str">
        <f aca="false">IF(R217="","",COUNTIFS($C$5:$C$6004,R217,$O$5:$O$6004,"CONCLUÍDA"))</f>
        <v/>
      </c>
      <c r="X217" s="2" t="str">
        <f aca="false">IF(R217="","",COUNTIFS($C$5:$C$6004,R217,$O$5:$O$6004,"EM ANDAMENTO"))</f>
        <v/>
      </c>
      <c r="Y217" s="2" t="str">
        <f aca="false">IF(R217="","",IF(COUNTIFS($C$5:$C$6004,R217,$O$5:$O$6004,"CONCLUÍDA",$N$5:$N$6004,"&gt;=-99")=0,"",_xlfn.MAXIFS($N$5:$N$6004,$C$5:$C$6004,R217,$O$5:$O$6004,"CONCLUÍDA")))</f>
        <v/>
      </c>
      <c r="Z217" s="2" t="str">
        <f aca="false">IF(R217="","",IF(COUNTIFS($C$5:$C$6004,R217,$O$5:$O$6004,"EM ANDAMENTO",$N$5:$N$6004,"&gt;=-99")=0,"",_xlfn.MAXIFS($N$5:$N$6004,$C$5:$C$6004,R217,$O$5:$O$6004,"EM ANDAMENTO")))</f>
        <v/>
      </c>
      <c r="AA217" s="2" t="str">
        <f aca="false"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 customFormat="false" ht="15" hidden="false" customHeight="false" outlineLevel="0" collapsed="false">
      <c r="B218" s="4" t="n">
        <v>31924962</v>
      </c>
      <c r="C218" s="4" t="s">
        <v>2352</v>
      </c>
      <c r="D218" s="4" t="s">
        <v>2776</v>
      </c>
      <c r="E218" s="4" t="s">
        <v>2757</v>
      </c>
      <c r="F218" s="127" t="n">
        <v>46231</v>
      </c>
      <c r="G218" s="127" t="n">
        <v>46233</v>
      </c>
      <c r="H218" s="127" t="n">
        <v>46289</v>
      </c>
      <c r="I218" s="4" t="n">
        <v>0</v>
      </c>
      <c r="J218" s="4" t="n">
        <v>100</v>
      </c>
      <c r="K218" s="4" t="n">
        <v>100</v>
      </c>
      <c r="M218" s="2" t="str">
        <f aca="false">IF(C218="","",IFERROR(INDEX($S$5:$S$304,MATCH(C218,$R$5:$R$304,0))&amp;"","?"))</f>
        <v>17</v>
      </c>
      <c r="N218" s="2" t="n">
        <f aca="false">IF(E218="","",IF(ISNUMBER(SEARCH("SUBSOLO",E218)),IFERROR(-VALUE(LEFT(E218,FIND("º",SUBSTITUTE(E218,"°","º"))-1)),-1),IF(LEFT(E218,6)="TÉRREO",0,IFERROR(VALUE(LEFT(E218,FIND("º",SUBSTITUTE(E218,"°","º"))-1)),""))))</f>
        <v>0</v>
      </c>
      <c r="O218" s="2" t="str">
        <f aca="false">IF(OR(F218="",G218=""),"",IF(G218&lt;='RETRATO 2027'!$K$5,"CONCLUÍDA",IF(F218&lt;='RETRATO 2027'!$K$5,"EM ANDAMENTO","A INICIAR")))</f>
        <v>CONCLUÍDA</v>
      </c>
      <c r="R218" s="4"/>
      <c r="S218" s="4"/>
      <c r="T218" s="4"/>
      <c r="U218" s="4"/>
      <c r="V218" s="2" t="str">
        <f aca="false">IF(R218="","",COUNTIF($C$5:$C$6004,R218))</f>
        <v/>
      </c>
      <c r="W218" s="2" t="str">
        <f aca="false">IF(R218="","",COUNTIFS($C$5:$C$6004,R218,$O$5:$O$6004,"CONCLUÍDA"))</f>
        <v/>
      </c>
      <c r="X218" s="2" t="str">
        <f aca="false">IF(R218="","",COUNTIFS($C$5:$C$6004,R218,$O$5:$O$6004,"EM ANDAMENTO"))</f>
        <v/>
      </c>
      <c r="Y218" s="2" t="str">
        <f aca="false">IF(R218="","",IF(COUNTIFS($C$5:$C$6004,R218,$O$5:$O$6004,"CONCLUÍDA",$N$5:$N$6004,"&gt;=-99")=0,"",_xlfn.MAXIFS($N$5:$N$6004,$C$5:$C$6004,R218,$O$5:$O$6004,"CONCLUÍDA")))</f>
        <v/>
      </c>
      <c r="Z218" s="2" t="str">
        <f aca="false">IF(R218="","",IF(COUNTIFS($C$5:$C$6004,R218,$O$5:$O$6004,"EM ANDAMENTO",$N$5:$N$6004,"&gt;=-99")=0,"",_xlfn.MAXIFS($N$5:$N$6004,$C$5:$C$6004,R218,$O$5:$O$6004,"EM ANDAMENTO")))</f>
        <v/>
      </c>
      <c r="AA218" s="2" t="str">
        <f aca="false"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 customFormat="false" ht="15" hidden="false" customHeight="false" outlineLevel="0" collapsed="false">
      <c r="B219" s="4" t="n">
        <v>31924963</v>
      </c>
      <c r="C219" s="4" t="s">
        <v>2352</v>
      </c>
      <c r="D219" s="4" t="s">
        <v>2777</v>
      </c>
      <c r="E219" s="4" t="s">
        <v>2757</v>
      </c>
      <c r="F219" s="127" t="n">
        <v>46234</v>
      </c>
      <c r="G219" s="127" t="n">
        <v>46240</v>
      </c>
      <c r="H219" s="127" t="n">
        <v>46289</v>
      </c>
      <c r="I219" s="4" t="n">
        <v>0</v>
      </c>
      <c r="J219" s="4" t="n">
        <v>100</v>
      </c>
      <c r="K219" s="4" t="n">
        <v>100</v>
      </c>
      <c r="M219" s="2" t="str">
        <f aca="false">IF(C219="","",IFERROR(INDEX($S$5:$S$304,MATCH(C219,$R$5:$R$304,0))&amp;"","?"))</f>
        <v>17</v>
      </c>
      <c r="N219" s="2" t="n">
        <f aca="false">IF(E219="","",IF(ISNUMBER(SEARCH("SUBSOLO",E219)),IFERROR(-VALUE(LEFT(E219,FIND("º",SUBSTITUTE(E219,"°","º"))-1)),-1),IF(LEFT(E219,6)="TÉRREO",0,IFERROR(VALUE(LEFT(E219,FIND("º",SUBSTITUTE(E219,"°","º"))-1)),""))))</f>
        <v>0</v>
      </c>
      <c r="O219" s="2" t="str">
        <f aca="false">IF(OR(F219="",G219=""),"",IF(G219&lt;='RETRATO 2027'!$K$5,"CONCLUÍDA",IF(F219&lt;='RETRATO 2027'!$K$5,"EM ANDAMENTO","A INICIAR")))</f>
        <v>CONCLUÍDA</v>
      </c>
      <c r="R219" s="4"/>
      <c r="S219" s="4"/>
      <c r="T219" s="4"/>
      <c r="U219" s="4"/>
      <c r="V219" s="2" t="str">
        <f aca="false">IF(R219="","",COUNTIF($C$5:$C$6004,R219))</f>
        <v/>
      </c>
      <c r="W219" s="2" t="str">
        <f aca="false">IF(R219="","",COUNTIFS($C$5:$C$6004,R219,$O$5:$O$6004,"CONCLUÍDA"))</f>
        <v/>
      </c>
      <c r="X219" s="2" t="str">
        <f aca="false">IF(R219="","",COUNTIFS($C$5:$C$6004,R219,$O$5:$O$6004,"EM ANDAMENTO"))</f>
        <v/>
      </c>
      <c r="Y219" s="2" t="str">
        <f aca="false">IF(R219="","",IF(COUNTIFS($C$5:$C$6004,R219,$O$5:$O$6004,"CONCLUÍDA",$N$5:$N$6004,"&gt;=-99")=0,"",_xlfn.MAXIFS($N$5:$N$6004,$C$5:$C$6004,R219,$O$5:$O$6004,"CONCLUÍDA")))</f>
        <v/>
      </c>
      <c r="Z219" s="2" t="str">
        <f aca="false">IF(R219="","",IF(COUNTIFS($C$5:$C$6004,R219,$O$5:$O$6004,"EM ANDAMENTO",$N$5:$N$6004,"&gt;=-99")=0,"",_xlfn.MAXIFS($N$5:$N$6004,$C$5:$C$6004,R219,$O$5:$O$6004,"EM ANDAMENTO")))</f>
        <v/>
      </c>
      <c r="AA219" s="2" t="str">
        <f aca="false"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 customFormat="false" ht="15" hidden="false" customHeight="false" outlineLevel="0" collapsed="false">
      <c r="B220" s="4" t="n">
        <v>31924964</v>
      </c>
      <c r="C220" s="4" t="s">
        <v>2352</v>
      </c>
      <c r="D220" s="4" t="s">
        <v>2778</v>
      </c>
      <c r="E220" s="4" t="s">
        <v>2757</v>
      </c>
      <c r="F220" s="127" t="n">
        <v>46241</v>
      </c>
      <c r="G220" s="127" t="n">
        <v>46241</v>
      </c>
      <c r="H220" s="127" t="n">
        <v>46289</v>
      </c>
      <c r="I220" s="4" t="n">
        <v>0</v>
      </c>
      <c r="J220" s="4" t="n">
        <v>100</v>
      </c>
      <c r="K220" s="4" t="n">
        <v>100</v>
      </c>
      <c r="M220" s="2" t="str">
        <f aca="false">IF(C220="","",IFERROR(INDEX($S$5:$S$304,MATCH(C220,$R$5:$R$304,0))&amp;"","?"))</f>
        <v>17</v>
      </c>
      <c r="N220" s="2" t="n">
        <f aca="false">IF(E220="","",IF(ISNUMBER(SEARCH("SUBSOLO",E220)),IFERROR(-VALUE(LEFT(E220,FIND("º",SUBSTITUTE(E220,"°","º"))-1)),-1),IF(LEFT(E220,6)="TÉRREO",0,IFERROR(VALUE(LEFT(E220,FIND("º",SUBSTITUTE(E220,"°","º"))-1)),""))))</f>
        <v>0</v>
      </c>
      <c r="O220" s="2" t="str">
        <f aca="false">IF(OR(F220="",G220=""),"",IF(G220&lt;='RETRATO 2027'!$K$5,"CONCLUÍDA",IF(F220&lt;='RETRATO 2027'!$K$5,"EM ANDAMENTO","A INICIAR")))</f>
        <v>CONCLUÍDA</v>
      </c>
      <c r="R220" s="4"/>
      <c r="S220" s="4"/>
      <c r="T220" s="4"/>
      <c r="U220" s="4"/>
      <c r="V220" s="2" t="str">
        <f aca="false">IF(R220="","",COUNTIF($C$5:$C$6004,R220))</f>
        <v/>
      </c>
      <c r="W220" s="2" t="str">
        <f aca="false">IF(R220="","",COUNTIFS($C$5:$C$6004,R220,$O$5:$O$6004,"CONCLUÍDA"))</f>
        <v/>
      </c>
      <c r="X220" s="2" t="str">
        <f aca="false">IF(R220="","",COUNTIFS($C$5:$C$6004,R220,$O$5:$O$6004,"EM ANDAMENTO"))</f>
        <v/>
      </c>
      <c r="Y220" s="2" t="str">
        <f aca="false">IF(R220="","",IF(COUNTIFS($C$5:$C$6004,R220,$O$5:$O$6004,"CONCLUÍDA",$N$5:$N$6004,"&gt;=-99")=0,"",_xlfn.MAXIFS($N$5:$N$6004,$C$5:$C$6004,R220,$O$5:$O$6004,"CONCLUÍDA")))</f>
        <v/>
      </c>
      <c r="Z220" s="2" t="str">
        <f aca="false">IF(R220="","",IF(COUNTIFS($C$5:$C$6004,R220,$O$5:$O$6004,"EM ANDAMENTO",$N$5:$N$6004,"&gt;=-99")=0,"",_xlfn.MAXIFS($N$5:$N$6004,$C$5:$C$6004,R220,$O$5:$O$6004,"EM ANDAMENTO")))</f>
        <v/>
      </c>
      <c r="AA220" s="2" t="str">
        <f aca="false"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 customFormat="false" ht="15" hidden="false" customHeight="false" outlineLevel="0" collapsed="false">
      <c r="B221" s="4" t="n">
        <v>48916741</v>
      </c>
      <c r="C221" s="4" t="s">
        <v>2355</v>
      </c>
      <c r="D221" s="4" t="s">
        <v>463</v>
      </c>
      <c r="E221" s="4" t="s">
        <v>2757</v>
      </c>
      <c r="F221" s="127" t="n">
        <v>46238</v>
      </c>
      <c r="G221" s="127" t="n">
        <v>46260</v>
      </c>
      <c r="H221" s="127" t="n">
        <v>46289</v>
      </c>
      <c r="I221" s="4" t="n">
        <v>0</v>
      </c>
      <c r="J221" s="4" t="n">
        <v>100</v>
      </c>
      <c r="K221" s="4" t="n">
        <v>100</v>
      </c>
      <c r="M221" s="2" t="str">
        <f aca="false">IF(C221="","",IFERROR(INDEX($S$5:$S$304,MATCH(C221,$R$5:$R$304,0))&amp;"","?"))</f>
        <v>17</v>
      </c>
      <c r="N221" s="2" t="n">
        <f aca="false">IF(E221="","",IF(ISNUMBER(SEARCH("SUBSOLO",E221)),IFERROR(-VALUE(LEFT(E221,FIND("º",SUBSTITUTE(E221,"°","º"))-1)),-1),IF(LEFT(E221,6)="TÉRREO",0,IFERROR(VALUE(LEFT(E221,FIND("º",SUBSTITUTE(E221,"°","º"))-1)),""))))</f>
        <v>0</v>
      </c>
      <c r="O221" s="2" t="str">
        <f aca="false">IF(OR(F221="",G221=""),"",IF(G221&lt;='RETRATO 2027'!$K$5,"CONCLUÍDA",IF(F221&lt;='RETRATO 2027'!$K$5,"EM ANDAMENTO","A INICIAR")))</f>
        <v>CONCLUÍDA</v>
      </c>
      <c r="R221" s="4"/>
      <c r="S221" s="4"/>
      <c r="T221" s="4"/>
      <c r="U221" s="4"/>
      <c r="V221" s="2" t="str">
        <f aca="false">IF(R221="","",COUNTIF($C$5:$C$6004,R221))</f>
        <v/>
      </c>
      <c r="W221" s="2" t="str">
        <f aca="false">IF(R221="","",COUNTIFS($C$5:$C$6004,R221,$O$5:$O$6004,"CONCLUÍDA"))</f>
        <v/>
      </c>
      <c r="X221" s="2" t="str">
        <f aca="false">IF(R221="","",COUNTIFS($C$5:$C$6004,R221,$O$5:$O$6004,"EM ANDAMENTO"))</f>
        <v/>
      </c>
      <c r="Y221" s="2" t="str">
        <f aca="false">IF(R221="","",IF(COUNTIFS($C$5:$C$6004,R221,$O$5:$O$6004,"CONCLUÍDA",$N$5:$N$6004,"&gt;=-99")=0,"",_xlfn.MAXIFS($N$5:$N$6004,$C$5:$C$6004,R221,$O$5:$O$6004,"CONCLUÍDA")))</f>
        <v/>
      </c>
      <c r="Z221" s="2" t="str">
        <f aca="false">IF(R221="","",IF(COUNTIFS($C$5:$C$6004,R221,$O$5:$O$6004,"EM ANDAMENTO",$N$5:$N$6004,"&gt;=-99")=0,"",_xlfn.MAXIFS($N$5:$N$6004,$C$5:$C$6004,R221,$O$5:$O$6004,"EM ANDAMENTO")))</f>
        <v/>
      </c>
      <c r="AA221" s="2" t="str">
        <f aca="false"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 customFormat="false" ht="15" hidden="false" customHeight="false" outlineLevel="0" collapsed="false">
      <c r="B222" s="4" t="n">
        <v>31924969</v>
      </c>
      <c r="C222" s="4" t="s">
        <v>2355</v>
      </c>
      <c r="D222" s="4" t="s">
        <v>2780</v>
      </c>
      <c r="E222" s="4" t="s">
        <v>2757</v>
      </c>
      <c r="F222" s="127" t="n">
        <v>46238</v>
      </c>
      <c r="G222" s="127" t="n">
        <v>46241</v>
      </c>
      <c r="H222" s="127" t="n">
        <v>46289</v>
      </c>
      <c r="I222" s="4" t="n">
        <v>0</v>
      </c>
      <c r="J222" s="4" t="n">
        <v>100</v>
      </c>
      <c r="K222" s="4" t="n">
        <v>100</v>
      </c>
      <c r="M222" s="2" t="str">
        <f aca="false">IF(C222="","",IFERROR(INDEX($S$5:$S$304,MATCH(C222,$R$5:$R$304,0))&amp;"","?"))</f>
        <v>17</v>
      </c>
      <c r="N222" s="2" t="n">
        <f aca="false">IF(E222="","",IF(ISNUMBER(SEARCH("SUBSOLO",E222)),IFERROR(-VALUE(LEFT(E222,FIND("º",SUBSTITUTE(E222,"°","º"))-1)),-1),IF(LEFT(E222,6)="TÉRREO",0,IFERROR(VALUE(LEFT(E222,FIND("º",SUBSTITUTE(E222,"°","º"))-1)),""))))</f>
        <v>0</v>
      </c>
      <c r="O222" s="2" t="str">
        <f aca="false">IF(OR(F222="",G222=""),"",IF(G222&lt;='RETRATO 2027'!$K$5,"CONCLUÍDA",IF(F222&lt;='RETRATO 2027'!$K$5,"EM ANDAMENTO","A INICIAR")))</f>
        <v>CONCLUÍDA</v>
      </c>
      <c r="R222" s="4"/>
      <c r="S222" s="4"/>
      <c r="T222" s="4"/>
      <c r="U222" s="4"/>
      <c r="V222" s="2" t="str">
        <f aca="false">IF(R222="","",COUNTIF($C$5:$C$6004,R222))</f>
        <v/>
      </c>
      <c r="W222" s="2" t="str">
        <f aca="false">IF(R222="","",COUNTIFS($C$5:$C$6004,R222,$O$5:$O$6004,"CONCLUÍDA"))</f>
        <v/>
      </c>
      <c r="X222" s="2" t="str">
        <f aca="false">IF(R222="","",COUNTIFS($C$5:$C$6004,R222,$O$5:$O$6004,"EM ANDAMENTO"))</f>
        <v/>
      </c>
      <c r="Y222" s="2" t="str">
        <f aca="false">IF(R222="","",IF(COUNTIFS($C$5:$C$6004,R222,$O$5:$O$6004,"CONCLUÍDA",$N$5:$N$6004,"&gt;=-99")=0,"",_xlfn.MAXIFS($N$5:$N$6004,$C$5:$C$6004,R222,$O$5:$O$6004,"CONCLUÍDA")))</f>
        <v/>
      </c>
      <c r="Z222" s="2" t="str">
        <f aca="false">IF(R222="","",IF(COUNTIFS($C$5:$C$6004,R222,$O$5:$O$6004,"EM ANDAMENTO",$N$5:$N$6004,"&gt;=-99")=0,"",_xlfn.MAXIFS($N$5:$N$6004,$C$5:$C$6004,R222,$O$5:$O$6004,"EM ANDAMENTO")))</f>
        <v/>
      </c>
      <c r="AA222" s="2" t="str">
        <f aca="false"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 customFormat="false" ht="15" hidden="false" customHeight="false" outlineLevel="0" collapsed="false">
      <c r="B223" s="4" t="n">
        <v>31924970</v>
      </c>
      <c r="C223" s="4" t="s">
        <v>2355</v>
      </c>
      <c r="D223" s="4" t="s">
        <v>2781</v>
      </c>
      <c r="E223" s="4" t="s">
        <v>2757</v>
      </c>
      <c r="F223" s="127" t="n">
        <v>46244</v>
      </c>
      <c r="G223" s="127" t="n">
        <v>46246</v>
      </c>
      <c r="H223" s="127" t="n">
        <v>46289</v>
      </c>
      <c r="I223" s="4" t="n">
        <v>0</v>
      </c>
      <c r="J223" s="4" t="n">
        <v>100</v>
      </c>
      <c r="K223" s="4" t="n">
        <v>100</v>
      </c>
      <c r="M223" s="2" t="str">
        <f aca="false">IF(C223="","",IFERROR(INDEX($S$5:$S$304,MATCH(C223,$R$5:$R$304,0))&amp;"","?"))</f>
        <v>17</v>
      </c>
      <c r="N223" s="2" t="n">
        <f aca="false">IF(E223="","",IF(ISNUMBER(SEARCH("SUBSOLO",E223)),IFERROR(-VALUE(LEFT(E223,FIND("º",SUBSTITUTE(E223,"°","º"))-1)),-1),IF(LEFT(E223,6)="TÉRREO",0,IFERROR(VALUE(LEFT(E223,FIND("º",SUBSTITUTE(E223,"°","º"))-1)),""))))</f>
        <v>0</v>
      </c>
      <c r="O223" s="2" t="str">
        <f aca="false">IF(OR(F223="",G223=""),"",IF(G223&lt;='RETRATO 2027'!$K$5,"CONCLUÍDA",IF(F223&lt;='RETRATO 2027'!$K$5,"EM ANDAMENTO","A INICIAR")))</f>
        <v>CONCLUÍDA</v>
      </c>
      <c r="R223" s="4"/>
      <c r="S223" s="4"/>
      <c r="T223" s="4"/>
      <c r="U223" s="4"/>
      <c r="V223" s="2" t="str">
        <f aca="false">IF(R223="","",COUNTIF($C$5:$C$6004,R223))</f>
        <v/>
      </c>
      <c r="W223" s="2" t="str">
        <f aca="false">IF(R223="","",COUNTIFS($C$5:$C$6004,R223,$O$5:$O$6004,"CONCLUÍDA"))</f>
        <v/>
      </c>
      <c r="X223" s="2" t="str">
        <f aca="false">IF(R223="","",COUNTIFS($C$5:$C$6004,R223,$O$5:$O$6004,"EM ANDAMENTO"))</f>
        <v/>
      </c>
      <c r="Y223" s="2" t="str">
        <f aca="false">IF(R223="","",IF(COUNTIFS($C$5:$C$6004,R223,$O$5:$O$6004,"CONCLUÍDA",$N$5:$N$6004,"&gt;=-99")=0,"",_xlfn.MAXIFS($N$5:$N$6004,$C$5:$C$6004,R223,$O$5:$O$6004,"CONCLUÍDA")))</f>
        <v/>
      </c>
      <c r="Z223" s="2" t="str">
        <f aca="false">IF(R223="","",IF(COUNTIFS($C$5:$C$6004,R223,$O$5:$O$6004,"EM ANDAMENTO",$N$5:$N$6004,"&gt;=-99")=0,"",_xlfn.MAXIFS($N$5:$N$6004,$C$5:$C$6004,R223,$O$5:$O$6004,"EM ANDAMENTO")))</f>
        <v/>
      </c>
      <c r="AA223" s="2" t="str">
        <f aca="false"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 customFormat="false" ht="15" hidden="false" customHeight="false" outlineLevel="0" collapsed="false">
      <c r="B224" s="4" t="n">
        <v>31924971</v>
      </c>
      <c r="C224" s="4" t="s">
        <v>2355</v>
      </c>
      <c r="D224" s="4" t="s">
        <v>2774</v>
      </c>
      <c r="E224" s="4" t="s">
        <v>2757</v>
      </c>
      <c r="F224" s="127" t="n">
        <v>46247</v>
      </c>
      <c r="G224" s="127" t="n">
        <v>46251</v>
      </c>
      <c r="H224" s="127" t="n">
        <v>46289</v>
      </c>
      <c r="I224" s="4" t="n">
        <v>0</v>
      </c>
      <c r="J224" s="4" t="n">
        <v>100</v>
      </c>
      <c r="K224" s="4" t="n">
        <v>100</v>
      </c>
      <c r="M224" s="2" t="str">
        <f aca="false">IF(C224="","",IFERROR(INDEX($S$5:$S$304,MATCH(C224,$R$5:$R$304,0))&amp;"","?"))</f>
        <v>17</v>
      </c>
      <c r="N224" s="2" t="n">
        <f aca="false">IF(E224="","",IF(ISNUMBER(SEARCH("SUBSOLO",E224)),IFERROR(-VALUE(LEFT(E224,FIND("º",SUBSTITUTE(E224,"°","º"))-1)),-1),IF(LEFT(E224,6)="TÉRREO",0,IFERROR(VALUE(LEFT(E224,FIND("º",SUBSTITUTE(E224,"°","º"))-1)),""))))</f>
        <v>0</v>
      </c>
      <c r="O224" s="2" t="str">
        <f aca="false">IF(OR(F224="",G224=""),"",IF(G224&lt;='RETRATO 2027'!$K$5,"CONCLUÍDA",IF(F224&lt;='RETRATO 2027'!$K$5,"EM ANDAMENTO","A INICIAR")))</f>
        <v>CONCLUÍDA</v>
      </c>
      <c r="R224" s="4"/>
      <c r="S224" s="4"/>
      <c r="T224" s="4"/>
      <c r="U224" s="4"/>
      <c r="V224" s="2" t="str">
        <f aca="false">IF(R224="","",COUNTIF($C$5:$C$6004,R224))</f>
        <v/>
      </c>
      <c r="W224" s="2" t="str">
        <f aca="false">IF(R224="","",COUNTIFS($C$5:$C$6004,R224,$O$5:$O$6004,"CONCLUÍDA"))</f>
        <v/>
      </c>
      <c r="X224" s="2" t="str">
        <f aca="false">IF(R224="","",COUNTIFS($C$5:$C$6004,R224,$O$5:$O$6004,"EM ANDAMENTO"))</f>
        <v/>
      </c>
      <c r="Y224" s="2" t="str">
        <f aca="false">IF(R224="","",IF(COUNTIFS($C$5:$C$6004,R224,$O$5:$O$6004,"CONCLUÍDA",$N$5:$N$6004,"&gt;=-99")=0,"",_xlfn.MAXIFS($N$5:$N$6004,$C$5:$C$6004,R224,$O$5:$O$6004,"CONCLUÍDA")))</f>
        <v/>
      </c>
      <c r="Z224" s="2" t="str">
        <f aca="false">IF(R224="","",IF(COUNTIFS($C$5:$C$6004,R224,$O$5:$O$6004,"EM ANDAMENTO",$N$5:$N$6004,"&gt;=-99")=0,"",_xlfn.MAXIFS($N$5:$N$6004,$C$5:$C$6004,R224,$O$5:$O$6004,"EM ANDAMENTO")))</f>
        <v/>
      </c>
      <c r="AA224" s="2" t="str">
        <f aca="false"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 customFormat="false" ht="15" hidden="false" customHeight="false" outlineLevel="0" collapsed="false">
      <c r="B225" s="4" t="n">
        <v>31924972</v>
      </c>
      <c r="C225" s="4" t="s">
        <v>2355</v>
      </c>
      <c r="D225" s="4" t="s">
        <v>2776</v>
      </c>
      <c r="E225" s="4" t="s">
        <v>2757</v>
      </c>
      <c r="F225" s="127" t="n">
        <v>46247</v>
      </c>
      <c r="G225" s="127" t="n">
        <v>46252</v>
      </c>
      <c r="H225" s="127" t="n">
        <v>46289</v>
      </c>
      <c r="I225" s="4" t="n">
        <v>0</v>
      </c>
      <c r="J225" s="4" t="n">
        <v>100</v>
      </c>
      <c r="K225" s="4" t="n">
        <v>100</v>
      </c>
      <c r="M225" s="2" t="str">
        <f aca="false">IF(C225="","",IFERROR(INDEX($S$5:$S$304,MATCH(C225,$R$5:$R$304,0))&amp;"","?"))</f>
        <v>17</v>
      </c>
      <c r="N225" s="2" t="n">
        <f aca="false">IF(E225="","",IF(ISNUMBER(SEARCH("SUBSOLO",E225)),IFERROR(-VALUE(LEFT(E225,FIND("º",SUBSTITUTE(E225,"°","º"))-1)),-1),IF(LEFT(E225,6)="TÉRREO",0,IFERROR(VALUE(LEFT(E225,FIND("º",SUBSTITUTE(E225,"°","º"))-1)),""))))</f>
        <v>0</v>
      </c>
      <c r="O225" s="2" t="str">
        <f aca="false">IF(OR(F225="",G225=""),"",IF(G225&lt;='RETRATO 2027'!$K$5,"CONCLUÍDA",IF(F225&lt;='RETRATO 2027'!$K$5,"EM ANDAMENTO","A INICIAR")))</f>
        <v>CONCLUÍDA</v>
      </c>
      <c r="R225" s="4"/>
      <c r="S225" s="4"/>
      <c r="T225" s="4"/>
      <c r="U225" s="4"/>
      <c r="V225" s="2" t="str">
        <f aca="false">IF(R225="","",COUNTIF($C$5:$C$6004,R225))</f>
        <v/>
      </c>
      <c r="W225" s="2" t="str">
        <f aca="false">IF(R225="","",COUNTIFS($C$5:$C$6004,R225,$O$5:$O$6004,"CONCLUÍDA"))</f>
        <v/>
      </c>
      <c r="X225" s="2" t="str">
        <f aca="false">IF(R225="","",COUNTIFS($C$5:$C$6004,R225,$O$5:$O$6004,"EM ANDAMENTO"))</f>
        <v/>
      </c>
      <c r="Y225" s="2" t="str">
        <f aca="false">IF(R225="","",IF(COUNTIFS($C$5:$C$6004,R225,$O$5:$O$6004,"CONCLUÍDA",$N$5:$N$6004,"&gt;=-99")=0,"",_xlfn.MAXIFS($N$5:$N$6004,$C$5:$C$6004,R225,$O$5:$O$6004,"CONCLUÍDA")))</f>
        <v/>
      </c>
      <c r="Z225" s="2" t="str">
        <f aca="false">IF(R225="","",IF(COUNTIFS($C$5:$C$6004,R225,$O$5:$O$6004,"EM ANDAMENTO",$N$5:$N$6004,"&gt;=-99")=0,"",_xlfn.MAXIFS($N$5:$N$6004,$C$5:$C$6004,R225,$O$5:$O$6004,"EM ANDAMENTO")))</f>
        <v/>
      </c>
      <c r="AA225" s="2" t="str">
        <f aca="false"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 customFormat="false" ht="15" hidden="false" customHeight="false" outlineLevel="0" collapsed="false">
      <c r="B226" s="4" t="n">
        <v>31924973</v>
      </c>
      <c r="C226" s="4" t="s">
        <v>2355</v>
      </c>
      <c r="D226" s="4" t="s">
        <v>2775</v>
      </c>
      <c r="E226" s="4" t="s">
        <v>2757</v>
      </c>
      <c r="F226" s="127" t="n">
        <v>46252</v>
      </c>
      <c r="G226" s="127" t="n">
        <v>46259</v>
      </c>
      <c r="H226" s="127" t="n">
        <v>46289</v>
      </c>
      <c r="I226" s="4" t="n">
        <v>0</v>
      </c>
      <c r="J226" s="4" t="n">
        <v>100</v>
      </c>
      <c r="K226" s="4" t="n">
        <v>100</v>
      </c>
      <c r="M226" s="2" t="str">
        <f aca="false">IF(C226="","",IFERROR(INDEX($S$5:$S$304,MATCH(C226,$R$5:$R$304,0))&amp;"","?"))</f>
        <v>17</v>
      </c>
      <c r="N226" s="2" t="n">
        <f aca="false">IF(E226="","",IF(ISNUMBER(SEARCH("SUBSOLO",E226)),IFERROR(-VALUE(LEFT(E226,FIND("º",SUBSTITUTE(E226,"°","º"))-1)),-1),IF(LEFT(E226,6)="TÉRREO",0,IFERROR(VALUE(LEFT(E226,FIND("º",SUBSTITUTE(E226,"°","º"))-1)),""))))</f>
        <v>0</v>
      </c>
      <c r="O226" s="2" t="str">
        <f aca="false">IF(OR(F226="",G226=""),"",IF(G226&lt;='RETRATO 2027'!$K$5,"CONCLUÍDA",IF(F226&lt;='RETRATO 2027'!$K$5,"EM ANDAMENTO","A INICIAR")))</f>
        <v>CONCLUÍDA</v>
      </c>
      <c r="R226" s="4"/>
      <c r="S226" s="4"/>
      <c r="T226" s="4"/>
      <c r="U226" s="4"/>
      <c r="V226" s="2" t="str">
        <f aca="false">IF(R226="","",COUNTIF($C$5:$C$6004,R226))</f>
        <v/>
      </c>
      <c r="W226" s="2" t="str">
        <f aca="false">IF(R226="","",COUNTIFS($C$5:$C$6004,R226,$O$5:$O$6004,"CONCLUÍDA"))</f>
        <v/>
      </c>
      <c r="X226" s="2" t="str">
        <f aca="false">IF(R226="","",COUNTIFS($C$5:$C$6004,R226,$O$5:$O$6004,"EM ANDAMENTO"))</f>
        <v/>
      </c>
      <c r="Y226" s="2" t="str">
        <f aca="false">IF(R226="","",IF(COUNTIFS($C$5:$C$6004,R226,$O$5:$O$6004,"CONCLUÍDA",$N$5:$N$6004,"&gt;=-99")=0,"",_xlfn.MAXIFS($N$5:$N$6004,$C$5:$C$6004,R226,$O$5:$O$6004,"CONCLUÍDA")))</f>
        <v/>
      </c>
      <c r="Z226" s="2" t="str">
        <f aca="false">IF(R226="","",IF(COUNTIFS($C$5:$C$6004,R226,$O$5:$O$6004,"EM ANDAMENTO",$N$5:$N$6004,"&gt;=-99")=0,"",_xlfn.MAXIFS($N$5:$N$6004,$C$5:$C$6004,R226,$O$5:$O$6004,"EM ANDAMENTO")))</f>
        <v/>
      </c>
      <c r="AA226" s="2" t="str">
        <f aca="false"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 customFormat="false" ht="15" hidden="false" customHeight="false" outlineLevel="0" collapsed="false">
      <c r="B227" s="4" t="n">
        <v>31924974</v>
      </c>
      <c r="C227" s="4" t="s">
        <v>2355</v>
      </c>
      <c r="D227" s="4" t="s">
        <v>2777</v>
      </c>
      <c r="E227" s="4" t="s">
        <v>2757</v>
      </c>
      <c r="F227" s="127" t="n">
        <v>46253</v>
      </c>
      <c r="G227" s="127" t="n">
        <v>46259</v>
      </c>
      <c r="H227" s="127" t="n">
        <v>46289</v>
      </c>
      <c r="I227" s="4" t="n">
        <v>0</v>
      </c>
      <c r="J227" s="4" t="n">
        <v>100</v>
      </c>
      <c r="K227" s="4" t="n">
        <v>100</v>
      </c>
      <c r="M227" s="2" t="str">
        <f aca="false">IF(C227="","",IFERROR(INDEX($S$5:$S$304,MATCH(C227,$R$5:$R$304,0))&amp;"","?"))</f>
        <v>17</v>
      </c>
      <c r="N227" s="2" t="n">
        <f aca="false">IF(E227="","",IF(ISNUMBER(SEARCH("SUBSOLO",E227)),IFERROR(-VALUE(LEFT(E227,FIND("º",SUBSTITUTE(E227,"°","º"))-1)),-1),IF(LEFT(E227,6)="TÉRREO",0,IFERROR(VALUE(LEFT(E227,FIND("º",SUBSTITUTE(E227,"°","º"))-1)),""))))</f>
        <v>0</v>
      </c>
      <c r="O227" s="2" t="str">
        <f aca="false">IF(OR(F227="",G227=""),"",IF(G227&lt;='RETRATO 2027'!$K$5,"CONCLUÍDA",IF(F227&lt;='RETRATO 2027'!$K$5,"EM ANDAMENTO","A INICIAR")))</f>
        <v>CONCLUÍDA</v>
      </c>
      <c r="R227" s="4"/>
      <c r="S227" s="4"/>
      <c r="T227" s="4"/>
      <c r="U227" s="4"/>
      <c r="V227" s="2" t="str">
        <f aca="false">IF(R227="","",COUNTIF($C$5:$C$6004,R227))</f>
        <v/>
      </c>
      <c r="W227" s="2" t="str">
        <f aca="false">IF(R227="","",COUNTIFS($C$5:$C$6004,R227,$O$5:$O$6004,"CONCLUÍDA"))</f>
        <v/>
      </c>
      <c r="X227" s="2" t="str">
        <f aca="false">IF(R227="","",COUNTIFS($C$5:$C$6004,R227,$O$5:$O$6004,"EM ANDAMENTO"))</f>
        <v/>
      </c>
      <c r="Y227" s="2" t="str">
        <f aca="false">IF(R227="","",IF(COUNTIFS($C$5:$C$6004,R227,$O$5:$O$6004,"CONCLUÍDA",$N$5:$N$6004,"&gt;=-99")=0,"",_xlfn.MAXIFS($N$5:$N$6004,$C$5:$C$6004,R227,$O$5:$O$6004,"CONCLUÍDA")))</f>
        <v/>
      </c>
      <c r="Z227" s="2" t="str">
        <f aca="false">IF(R227="","",IF(COUNTIFS($C$5:$C$6004,R227,$O$5:$O$6004,"EM ANDAMENTO",$N$5:$N$6004,"&gt;=-99")=0,"",_xlfn.MAXIFS($N$5:$N$6004,$C$5:$C$6004,R227,$O$5:$O$6004,"EM ANDAMENTO")))</f>
        <v/>
      </c>
      <c r="AA227" s="2" t="str">
        <f aca="false"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 customFormat="false" ht="15" hidden="false" customHeight="false" outlineLevel="0" collapsed="false">
      <c r="B228" s="4" t="n">
        <v>31924975</v>
      </c>
      <c r="C228" s="4" t="s">
        <v>2355</v>
      </c>
      <c r="D228" s="4" t="s">
        <v>2778</v>
      </c>
      <c r="E228" s="4" t="s">
        <v>2757</v>
      </c>
      <c r="F228" s="127" t="n">
        <v>46260</v>
      </c>
      <c r="G228" s="127" t="n">
        <v>46260</v>
      </c>
      <c r="H228" s="127" t="n">
        <v>46289</v>
      </c>
      <c r="I228" s="4" t="n">
        <v>0</v>
      </c>
      <c r="J228" s="4" t="n">
        <v>100</v>
      </c>
      <c r="K228" s="4" t="n">
        <v>100</v>
      </c>
      <c r="M228" s="2" t="str">
        <f aca="false">IF(C228="","",IFERROR(INDEX($S$5:$S$304,MATCH(C228,$R$5:$R$304,0))&amp;"","?"))</f>
        <v>17</v>
      </c>
      <c r="N228" s="2" t="n">
        <f aca="false">IF(E228="","",IF(ISNUMBER(SEARCH("SUBSOLO",E228)),IFERROR(-VALUE(LEFT(E228,FIND("º",SUBSTITUTE(E228,"°","º"))-1)),-1),IF(LEFT(E228,6)="TÉRREO",0,IFERROR(VALUE(LEFT(E228,FIND("º",SUBSTITUTE(E228,"°","º"))-1)),""))))</f>
        <v>0</v>
      </c>
      <c r="O228" s="2" t="str">
        <f aca="false">IF(OR(F228="",G228=""),"",IF(G228&lt;='RETRATO 2027'!$K$5,"CONCLUÍDA",IF(F228&lt;='RETRATO 2027'!$K$5,"EM ANDAMENTO","A INICIAR")))</f>
        <v>CONCLUÍDA</v>
      </c>
      <c r="R228" s="4"/>
      <c r="S228" s="4"/>
      <c r="T228" s="4"/>
      <c r="U228" s="4"/>
      <c r="V228" s="2" t="str">
        <f aca="false">IF(R228="","",COUNTIF($C$5:$C$6004,R228))</f>
        <v/>
      </c>
      <c r="W228" s="2" t="str">
        <f aca="false">IF(R228="","",COUNTIFS($C$5:$C$6004,R228,$O$5:$O$6004,"CONCLUÍDA"))</f>
        <v/>
      </c>
      <c r="X228" s="2" t="str">
        <f aca="false">IF(R228="","",COUNTIFS($C$5:$C$6004,R228,$O$5:$O$6004,"EM ANDAMENTO"))</f>
        <v/>
      </c>
      <c r="Y228" s="2" t="str">
        <f aca="false">IF(R228="","",IF(COUNTIFS($C$5:$C$6004,R228,$O$5:$O$6004,"CONCLUÍDA",$N$5:$N$6004,"&gt;=-99")=0,"",_xlfn.MAXIFS($N$5:$N$6004,$C$5:$C$6004,R228,$O$5:$O$6004,"CONCLUÍDA")))</f>
        <v/>
      </c>
      <c r="Z228" s="2" t="str">
        <f aca="false">IF(R228="","",IF(COUNTIFS($C$5:$C$6004,R228,$O$5:$O$6004,"EM ANDAMENTO",$N$5:$N$6004,"&gt;=-99")=0,"",_xlfn.MAXIFS($N$5:$N$6004,$C$5:$C$6004,R228,$O$5:$O$6004,"EM ANDAMENTO")))</f>
        <v/>
      </c>
      <c r="AA228" s="2" t="str">
        <f aca="false"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 customFormat="false" ht="15" hidden="false" customHeight="false" outlineLevel="0" collapsed="false">
      <c r="B229" s="4" t="n">
        <v>48916745</v>
      </c>
      <c r="C229" s="4" t="s">
        <v>2358</v>
      </c>
      <c r="D229" s="4" t="s">
        <v>463</v>
      </c>
      <c r="E229" s="4" t="s">
        <v>2782</v>
      </c>
      <c r="F229" s="127" t="n">
        <v>46238</v>
      </c>
      <c r="G229" s="127" t="n">
        <v>46262</v>
      </c>
      <c r="H229" s="127" t="n">
        <v>46289</v>
      </c>
      <c r="I229" s="4" t="n">
        <v>0</v>
      </c>
      <c r="J229" s="4" t="n">
        <v>100</v>
      </c>
      <c r="K229" s="4" t="n">
        <v>100</v>
      </c>
      <c r="M229" s="2" t="str">
        <f aca="false">IF(C229="","",IFERROR(INDEX($S$5:$S$304,MATCH(C229,$R$5:$R$304,0))&amp;"","?"))</f>
        <v>17</v>
      </c>
      <c r="N229" s="2" t="n">
        <f aca="false">IF(E229="","",IF(ISNUMBER(SEARCH("SUBSOLO",E229)),IFERROR(-VALUE(LEFT(E229,FIND("º",SUBSTITUTE(E229,"°","º"))-1)),-1),IF(LEFT(E229,6)="TÉRREO",0,IFERROR(VALUE(LEFT(E229,FIND("º",SUBSTITUTE(E229,"°","º"))-1)),""))))</f>
        <v>1</v>
      </c>
      <c r="O229" s="2" t="str">
        <f aca="false">IF(OR(F229="",G229=""),"",IF(G229&lt;='RETRATO 2027'!$K$5,"CONCLUÍDA",IF(F229&lt;='RETRATO 2027'!$K$5,"EM ANDAMENTO","A INICIAR")))</f>
        <v>CONCLUÍDA</v>
      </c>
      <c r="R229" s="4"/>
      <c r="S229" s="4"/>
      <c r="T229" s="4"/>
      <c r="U229" s="4"/>
      <c r="V229" s="2" t="str">
        <f aca="false">IF(R229="","",COUNTIF($C$5:$C$6004,R229))</f>
        <v/>
      </c>
      <c r="W229" s="2" t="str">
        <f aca="false">IF(R229="","",COUNTIFS($C$5:$C$6004,R229,$O$5:$O$6004,"CONCLUÍDA"))</f>
        <v/>
      </c>
      <c r="X229" s="2" t="str">
        <f aca="false">IF(R229="","",COUNTIFS($C$5:$C$6004,R229,$O$5:$O$6004,"EM ANDAMENTO"))</f>
        <v/>
      </c>
      <c r="Y229" s="2" t="str">
        <f aca="false">IF(R229="","",IF(COUNTIFS($C$5:$C$6004,R229,$O$5:$O$6004,"CONCLUÍDA",$N$5:$N$6004,"&gt;=-99")=0,"",_xlfn.MAXIFS($N$5:$N$6004,$C$5:$C$6004,R229,$O$5:$O$6004,"CONCLUÍDA")))</f>
        <v/>
      </c>
      <c r="Z229" s="2" t="str">
        <f aca="false">IF(R229="","",IF(COUNTIFS($C$5:$C$6004,R229,$O$5:$O$6004,"EM ANDAMENTO",$N$5:$N$6004,"&gt;=-99")=0,"",_xlfn.MAXIFS($N$5:$N$6004,$C$5:$C$6004,R229,$O$5:$O$6004,"EM ANDAMENTO")))</f>
        <v/>
      </c>
      <c r="AA229" s="2" t="str">
        <f aca="false"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 customFormat="false" ht="15" hidden="false" customHeight="false" outlineLevel="0" collapsed="false">
      <c r="B230" s="4" t="n">
        <v>31924977</v>
      </c>
      <c r="C230" s="4" t="s">
        <v>2358</v>
      </c>
      <c r="D230" s="4" t="s">
        <v>2783</v>
      </c>
      <c r="E230" s="4" t="s">
        <v>2782</v>
      </c>
      <c r="F230" s="127" t="n">
        <v>46238</v>
      </c>
      <c r="G230" s="127" t="n">
        <v>46245</v>
      </c>
      <c r="H230" s="127" t="n">
        <v>46289</v>
      </c>
      <c r="I230" s="4" t="n">
        <v>0</v>
      </c>
      <c r="J230" s="4" t="n">
        <v>100</v>
      </c>
      <c r="K230" s="4" t="n">
        <v>100</v>
      </c>
      <c r="M230" s="2" t="str">
        <f aca="false">IF(C230="","",IFERROR(INDEX($S$5:$S$304,MATCH(C230,$R$5:$R$304,0))&amp;"","?"))</f>
        <v>17</v>
      </c>
      <c r="N230" s="2" t="n">
        <f aca="false">IF(E230="","",IF(ISNUMBER(SEARCH("SUBSOLO",E230)),IFERROR(-VALUE(LEFT(E230,FIND("º",SUBSTITUTE(E230,"°","º"))-1)),-1),IF(LEFT(E230,6)="TÉRREO",0,IFERROR(VALUE(LEFT(E230,FIND("º",SUBSTITUTE(E230,"°","º"))-1)),""))))</f>
        <v>1</v>
      </c>
      <c r="O230" s="2" t="str">
        <f aca="false">IF(OR(F230="",G230=""),"",IF(G230&lt;='RETRATO 2027'!$K$5,"CONCLUÍDA",IF(F230&lt;='RETRATO 2027'!$K$5,"EM ANDAMENTO","A INICIAR")))</f>
        <v>CONCLUÍDA</v>
      </c>
      <c r="R230" s="4"/>
      <c r="S230" s="4"/>
      <c r="T230" s="4"/>
      <c r="U230" s="4"/>
      <c r="V230" s="2" t="str">
        <f aca="false">IF(R230="","",COUNTIF($C$5:$C$6004,R230))</f>
        <v/>
      </c>
      <c r="W230" s="2" t="str">
        <f aca="false">IF(R230="","",COUNTIFS($C$5:$C$6004,R230,$O$5:$O$6004,"CONCLUÍDA"))</f>
        <v/>
      </c>
      <c r="X230" s="2" t="str">
        <f aca="false">IF(R230="","",COUNTIFS($C$5:$C$6004,R230,$O$5:$O$6004,"EM ANDAMENTO"))</f>
        <v/>
      </c>
      <c r="Y230" s="2" t="str">
        <f aca="false">IF(R230="","",IF(COUNTIFS($C$5:$C$6004,R230,$O$5:$O$6004,"CONCLUÍDA",$N$5:$N$6004,"&gt;=-99")=0,"",_xlfn.MAXIFS($N$5:$N$6004,$C$5:$C$6004,R230,$O$5:$O$6004,"CONCLUÍDA")))</f>
        <v/>
      </c>
      <c r="Z230" s="2" t="str">
        <f aca="false">IF(R230="","",IF(COUNTIFS($C$5:$C$6004,R230,$O$5:$O$6004,"EM ANDAMENTO",$N$5:$N$6004,"&gt;=-99")=0,"",_xlfn.MAXIFS($N$5:$N$6004,$C$5:$C$6004,R230,$O$5:$O$6004,"EM ANDAMENTO")))</f>
        <v/>
      </c>
      <c r="AA230" s="2" t="str">
        <f aca="false"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 customFormat="false" ht="15" hidden="false" customHeight="false" outlineLevel="0" collapsed="false">
      <c r="B231" s="4" t="n">
        <v>31924978</v>
      </c>
      <c r="C231" s="4" t="s">
        <v>2358</v>
      </c>
      <c r="D231" s="4" t="s">
        <v>2781</v>
      </c>
      <c r="E231" s="4" t="s">
        <v>2782</v>
      </c>
      <c r="F231" s="127" t="n">
        <v>46246</v>
      </c>
      <c r="G231" s="127" t="n">
        <v>46248</v>
      </c>
      <c r="H231" s="127" t="n">
        <v>46289</v>
      </c>
      <c r="I231" s="4" t="n">
        <v>0</v>
      </c>
      <c r="J231" s="4" t="n">
        <v>100</v>
      </c>
      <c r="K231" s="4" t="n">
        <v>100</v>
      </c>
      <c r="M231" s="2" t="str">
        <f aca="false">IF(C231="","",IFERROR(INDEX($S$5:$S$304,MATCH(C231,$R$5:$R$304,0))&amp;"","?"))</f>
        <v>17</v>
      </c>
      <c r="N231" s="2" t="n">
        <f aca="false">IF(E231="","",IF(ISNUMBER(SEARCH("SUBSOLO",E231)),IFERROR(-VALUE(LEFT(E231,FIND("º",SUBSTITUTE(E231,"°","º"))-1)),-1),IF(LEFT(E231,6)="TÉRREO",0,IFERROR(VALUE(LEFT(E231,FIND("º",SUBSTITUTE(E231,"°","º"))-1)),""))))</f>
        <v>1</v>
      </c>
      <c r="O231" s="2" t="str">
        <f aca="false">IF(OR(F231="",G231=""),"",IF(G231&lt;='RETRATO 2027'!$K$5,"CONCLUÍDA",IF(F231&lt;='RETRATO 2027'!$K$5,"EM ANDAMENTO","A INICIAR")))</f>
        <v>CONCLUÍDA</v>
      </c>
      <c r="R231" s="4"/>
      <c r="S231" s="4"/>
      <c r="T231" s="4"/>
      <c r="U231" s="4"/>
      <c r="V231" s="2" t="str">
        <f aca="false">IF(R231="","",COUNTIF($C$5:$C$6004,R231))</f>
        <v/>
      </c>
      <c r="W231" s="2" t="str">
        <f aca="false">IF(R231="","",COUNTIFS($C$5:$C$6004,R231,$O$5:$O$6004,"CONCLUÍDA"))</f>
        <v/>
      </c>
      <c r="X231" s="2" t="str">
        <f aca="false">IF(R231="","",COUNTIFS($C$5:$C$6004,R231,$O$5:$O$6004,"EM ANDAMENTO"))</f>
        <v/>
      </c>
      <c r="Y231" s="2" t="str">
        <f aca="false">IF(R231="","",IF(COUNTIFS($C$5:$C$6004,R231,$O$5:$O$6004,"CONCLUÍDA",$N$5:$N$6004,"&gt;=-99")=0,"",_xlfn.MAXIFS($N$5:$N$6004,$C$5:$C$6004,R231,$O$5:$O$6004,"CONCLUÍDA")))</f>
        <v/>
      </c>
      <c r="Z231" s="2" t="str">
        <f aca="false">IF(R231="","",IF(COUNTIFS($C$5:$C$6004,R231,$O$5:$O$6004,"EM ANDAMENTO",$N$5:$N$6004,"&gt;=-99")=0,"",_xlfn.MAXIFS($N$5:$N$6004,$C$5:$C$6004,R231,$O$5:$O$6004,"EM ANDAMENTO")))</f>
        <v/>
      </c>
      <c r="AA231" s="2" t="str">
        <f aca="false"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 customFormat="false" ht="15" hidden="false" customHeight="false" outlineLevel="0" collapsed="false">
      <c r="B232" s="4" t="n">
        <v>31924979</v>
      </c>
      <c r="C232" s="4" t="s">
        <v>2358</v>
      </c>
      <c r="D232" s="4" t="s">
        <v>2774</v>
      </c>
      <c r="E232" s="4" t="s">
        <v>2782</v>
      </c>
      <c r="F232" s="127" t="n">
        <v>46251</v>
      </c>
      <c r="G232" s="127" t="n">
        <v>46254</v>
      </c>
      <c r="H232" s="127" t="n">
        <v>46289</v>
      </c>
      <c r="I232" s="4" t="n">
        <v>0</v>
      </c>
      <c r="J232" s="4" t="n">
        <v>100</v>
      </c>
      <c r="K232" s="4" t="n">
        <v>100</v>
      </c>
      <c r="M232" s="2" t="str">
        <f aca="false">IF(C232="","",IFERROR(INDEX($S$5:$S$304,MATCH(C232,$R$5:$R$304,0))&amp;"","?"))</f>
        <v>17</v>
      </c>
      <c r="N232" s="2" t="n">
        <f aca="false">IF(E232="","",IF(ISNUMBER(SEARCH("SUBSOLO",E232)),IFERROR(-VALUE(LEFT(E232,FIND("º",SUBSTITUTE(E232,"°","º"))-1)),-1),IF(LEFT(E232,6)="TÉRREO",0,IFERROR(VALUE(LEFT(E232,FIND("º",SUBSTITUTE(E232,"°","º"))-1)),""))))</f>
        <v>1</v>
      </c>
      <c r="O232" s="2" t="str">
        <f aca="false">IF(OR(F232="",G232=""),"",IF(G232&lt;='RETRATO 2027'!$K$5,"CONCLUÍDA",IF(F232&lt;='RETRATO 2027'!$K$5,"EM ANDAMENTO","A INICIAR")))</f>
        <v>CONCLUÍDA</v>
      </c>
      <c r="R232" s="4"/>
      <c r="S232" s="4"/>
      <c r="T232" s="4"/>
      <c r="U232" s="4"/>
      <c r="V232" s="2" t="str">
        <f aca="false">IF(R232="","",COUNTIF($C$5:$C$6004,R232))</f>
        <v/>
      </c>
      <c r="W232" s="2" t="str">
        <f aca="false">IF(R232="","",COUNTIFS($C$5:$C$6004,R232,$O$5:$O$6004,"CONCLUÍDA"))</f>
        <v/>
      </c>
      <c r="X232" s="2" t="str">
        <f aca="false">IF(R232="","",COUNTIFS($C$5:$C$6004,R232,$O$5:$O$6004,"EM ANDAMENTO"))</f>
        <v/>
      </c>
      <c r="Y232" s="2" t="str">
        <f aca="false">IF(R232="","",IF(COUNTIFS($C$5:$C$6004,R232,$O$5:$O$6004,"CONCLUÍDA",$N$5:$N$6004,"&gt;=-99")=0,"",_xlfn.MAXIFS($N$5:$N$6004,$C$5:$C$6004,R232,$O$5:$O$6004,"CONCLUÍDA")))</f>
        <v/>
      </c>
      <c r="Z232" s="2" t="str">
        <f aca="false">IF(R232="","",IF(COUNTIFS($C$5:$C$6004,R232,$O$5:$O$6004,"EM ANDAMENTO",$N$5:$N$6004,"&gt;=-99")=0,"",_xlfn.MAXIFS($N$5:$N$6004,$C$5:$C$6004,R232,$O$5:$O$6004,"EM ANDAMENTO")))</f>
        <v/>
      </c>
      <c r="AA232" s="2" t="str">
        <f aca="false"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 customFormat="false" ht="15" hidden="false" customHeight="false" outlineLevel="0" collapsed="false">
      <c r="B233" s="4" t="n">
        <v>31924980</v>
      </c>
      <c r="C233" s="4" t="s">
        <v>2358</v>
      </c>
      <c r="D233" s="4" t="s">
        <v>2775</v>
      </c>
      <c r="E233" s="4" t="s">
        <v>2782</v>
      </c>
      <c r="F233" s="127" t="n">
        <v>46255</v>
      </c>
      <c r="G233" s="127" t="n">
        <v>46261</v>
      </c>
      <c r="H233" s="127" t="n">
        <v>46289</v>
      </c>
      <c r="I233" s="4" t="n">
        <v>0</v>
      </c>
      <c r="J233" s="4" t="n">
        <v>100</v>
      </c>
      <c r="K233" s="4" t="n">
        <v>100</v>
      </c>
      <c r="M233" s="2" t="str">
        <f aca="false">IF(C233="","",IFERROR(INDEX($S$5:$S$304,MATCH(C233,$R$5:$R$304,0))&amp;"","?"))</f>
        <v>17</v>
      </c>
      <c r="N233" s="2" t="n">
        <f aca="false">IF(E233="","",IF(ISNUMBER(SEARCH("SUBSOLO",E233)),IFERROR(-VALUE(LEFT(E233,FIND("º",SUBSTITUTE(E233,"°","º"))-1)),-1),IF(LEFT(E233,6)="TÉRREO",0,IFERROR(VALUE(LEFT(E233,FIND("º",SUBSTITUTE(E233,"°","º"))-1)),""))))</f>
        <v>1</v>
      </c>
      <c r="O233" s="2" t="str">
        <f aca="false">IF(OR(F233="",G233=""),"",IF(G233&lt;='RETRATO 2027'!$K$5,"CONCLUÍDA",IF(F233&lt;='RETRATO 2027'!$K$5,"EM ANDAMENTO","A INICIAR")))</f>
        <v>CONCLUÍDA</v>
      </c>
      <c r="R233" s="4"/>
      <c r="S233" s="4"/>
      <c r="T233" s="4"/>
      <c r="U233" s="4"/>
      <c r="V233" s="2" t="str">
        <f aca="false">IF(R233="","",COUNTIF($C$5:$C$6004,R233))</f>
        <v/>
      </c>
      <c r="W233" s="2" t="str">
        <f aca="false">IF(R233="","",COUNTIFS($C$5:$C$6004,R233,$O$5:$O$6004,"CONCLUÍDA"))</f>
        <v/>
      </c>
      <c r="X233" s="2" t="str">
        <f aca="false">IF(R233="","",COUNTIFS($C$5:$C$6004,R233,$O$5:$O$6004,"EM ANDAMENTO"))</f>
        <v/>
      </c>
      <c r="Y233" s="2" t="str">
        <f aca="false">IF(R233="","",IF(COUNTIFS($C$5:$C$6004,R233,$O$5:$O$6004,"CONCLUÍDA",$N$5:$N$6004,"&gt;=-99")=0,"",_xlfn.MAXIFS($N$5:$N$6004,$C$5:$C$6004,R233,$O$5:$O$6004,"CONCLUÍDA")))</f>
        <v/>
      </c>
      <c r="Z233" s="2" t="str">
        <f aca="false">IF(R233="","",IF(COUNTIFS($C$5:$C$6004,R233,$O$5:$O$6004,"EM ANDAMENTO",$N$5:$N$6004,"&gt;=-99")=0,"",_xlfn.MAXIFS($N$5:$N$6004,$C$5:$C$6004,R233,$O$5:$O$6004,"EM ANDAMENTO")))</f>
        <v/>
      </c>
      <c r="AA233" s="2" t="str">
        <f aca="false"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 customFormat="false" ht="15" hidden="false" customHeight="false" outlineLevel="0" collapsed="false">
      <c r="B234" s="4" t="n">
        <v>31924981</v>
      </c>
      <c r="C234" s="4" t="s">
        <v>2358</v>
      </c>
      <c r="D234" s="4" t="s">
        <v>2776</v>
      </c>
      <c r="E234" s="4" t="s">
        <v>2782</v>
      </c>
      <c r="F234" s="127" t="n">
        <v>46253</v>
      </c>
      <c r="G234" s="127" t="n">
        <v>46255</v>
      </c>
      <c r="H234" s="127" t="n">
        <v>46289</v>
      </c>
      <c r="I234" s="4" t="n">
        <v>0</v>
      </c>
      <c r="J234" s="4" t="n">
        <v>100</v>
      </c>
      <c r="K234" s="4" t="n">
        <v>100</v>
      </c>
      <c r="M234" s="2" t="str">
        <f aca="false">IF(C234="","",IFERROR(INDEX($S$5:$S$304,MATCH(C234,$R$5:$R$304,0))&amp;"","?"))</f>
        <v>17</v>
      </c>
      <c r="N234" s="2" t="n">
        <f aca="false">IF(E234="","",IF(ISNUMBER(SEARCH("SUBSOLO",E234)),IFERROR(-VALUE(LEFT(E234,FIND("º",SUBSTITUTE(E234,"°","º"))-1)),-1),IF(LEFT(E234,6)="TÉRREO",0,IFERROR(VALUE(LEFT(E234,FIND("º",SUBSTITUTE(E234,"°","º"))-1)),""))))</f>
        <v>1</v>
      </c>
      <c r="O234" s="2" t="str">
        <f aca="false">IF(OR(F234="",G234=""),"",IF(G234&lt;='RETRATO 2027'!$K$5,"CONCLUÍDA",IF(F234&lt;='RETRATO 2027'!$K$5,"EM ANDAMENTO","A INICIAR")))</f>
        <v>CONCLUÍDA</v>
      </c>
      <c r="R234" s="4"/>
      <c r="S234" s="4"/>
      <c r="T234" s="4"/>
      <c r="U234" s="4"/>
      <c r="V234" s="2" t="str">
        <f aca="false">IF(R234="","",COUNTIF($C$5:$C$6004,R234))</f>
        <v/>
      </c>
      <c r="W234" s="2" t="str">
        <f aca="false">IF(R234="","",COUNTIFS($C$5:$C$6004,R234,$O$5:$O$6004,"CONCLUÍDA"))</f>
        <v/>
      </c>
      <c r="X234" s="2" t="str">
        <f aca="false">IF(R234="","",COUNTIFS($C$5:$C$6004,R234,$O$5:$O$6004,"EM ANDAMENTO"))</f>
        <v/>
      </c>
      <c r="Y234" s="2" t="str">
        <f aca="false">IF(R234="","",IF(COUNTIFS($C$5:$C$6004,R234,$O$5:$O$6004,"CONCLUÍDA",$N$5:$N$6004,"&gt;=-99")=0,"",_xlfn.MAXIFS($N$5:$N$6004,$C$5:$C$6004,R234,$O$5:$O$6004,"CONCLUÍDA")))</f>
        <v/>
      </c>
      <c r="Z234" s="2" t="str">
        <f aca="false">IF(R234="","",IF(COUNTIFS($C$5:$C$6004,R234,$O$5:$O$6004,"EM ANDAMENTO",$N$5:$N$6004,"&gt;=-99")=0,"",_xlfn.MAXIFS($N$5:$N$6004,$C$5:$C$6004,R234,$O$5:$O$6004,"EM ANDAMENTO")))</f>
        <v/>
      </c>
      <c r="AA234" s="2" t="str">
        <f aca="false"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 customFormat="false" ht="15" hidden="false" customHeight="false" outlineLevel="0" collapsed="false">
      <c r="B235" s="4" t="n">
        <v>31924982</v>
      </c>
      <c r="C235" s="4" t="s">
        <v>2358</v>
      </c>
      <c r="D235" s="4" t="s">
        <v>2777</v>
      </c>
      <c r="E235" s="4" t="s">
        <v>2782</v>
      </c>
      <c r="F235" s="127" t="n">
        <v>46258</v>
      </c>
      <c r="G235" s="127" t="n">
        <v>46261</v>
      </c>
      <c r="H235" s="127" t="n">
        <v>46289</v>
      </c>
      <c r="I235" s="4" t="n">
        <v>0</v>
      </c>
      <c r="J235" s="4" t="n">
        <v>100</v>
      </c>
      <c r="K235" s="4" t="n">
        <v>100</v>
      </c>
      <c r="M235" s="2" t="str">
        <f aca="false">IF(C235="","",IFERROR(INDEX($S$5:$S$304,MATCH(C235,$R$5:$R$304,0))&amp;"","?"))</f>
        <v>17</v>
      </c>
      <c r="N235" s="2" t="n">
        <f aca="false">IF(E235="","",IF(ISNUMBER(SEARCH("SUBSOLO",E235)),IFERROR(-VALUE(LEFT(E235,FIND("º",SUBSTITUTE(E235,"°","º"))-1)),-1),IF(LEFT(E235,6)="TÉRREO",0,IFERROR(VALUE(LEFT(E235,FIND("º",SUBSTITUTE(E235,"°","º"))-1)),""))))</f>
        <v>1</v>
      </c>
      <c r="O235" s="2" t="str">
        <f aca="false">IF(OR(F235="",G235=""),"",IF(G235&lt;='RETRATO 2027'!$K$5,"CONCLUÍDA",IF(F235&lt;='RETRATO 2027'!$K$5,"EM ANDAMENTO","A INICIAR")))</f>
        <v>CONCLUÍDA</v>
      </c>
      <c r="R235" s="4"/>
      <c r="S235" s="4"/>
      <c r="T235" s="4"/>
      <c r="U235" s="4"/>
      <c r="V235" s="2" t="str">
        <f aca="false">IF(R235="","",COUNTIF($C$5:$C$6004,R235))</f>
        <v/>
      </c>
      <c r="W235" s="2" t="str">
        <f aca="false">IF(R235="","",COUNTIFS($C$5:$C$6004,R235,$O$5:$O$6004,"CONCLUÍDA"))</f>
        <v/>
      </c>
      <c r="X235" s="2" t="str">
        <f aca="false">IF(R235="","",COUNTIFS($C$5:$C$6004,R235,$O$5:$O$6004,"EM ANDAMENTO"))</f>
        <v/>
      </c>
      <c r="Y235" s="2" t="str">
        <f aca="false">IF(R235="","",IF(COUNTIFS($C$5:$C$6004,R235,$O$5:$O$6004,"CONCLUÍDA",$N$5:$N$6004,"&gt;=-99")=0,"",_xlfn.MAXIFS($N$5:$N$6004,$C$5:$C$6004,R235,$O$5:$O$6004,"CONCLUÍDA")))</f>
        <v/>
      </c>
      <c r="Z235" s="2" t="str">
        <f aca="false">IF(R235="","",IF(COUNTIFS($C$5:$C$6004,R235,$O$5:$O$6004,"EM ANDAMENTO",$N$5:$N$6004,"&gt;=-99")=0,"",_xlfn.MAXIFS($N$5:$N$6004,$C$5:$C$6004,R235,$O$5:$O$6004,"EM ANDAMENTO")))</f>
        <v/>
      </c>
      <c r="AA235" s="2" t="str">
        <f aca="false"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 customFormat="false" ht="15" hidden="false" customHeight="false" outlineLevel="0" collapsed="false">
      <c r="B236" s="4" t="n">
        <v>31924983</v>
      </c>
      <c r="C236" s="4" t="s">
        <v>2358</v>
      </c>
      <c r="D236" s="4" t="s">
        <v>2778</v>
      </c>
      <c r="E236" s="4" t="s">
        <v>2782</v>
      </c>
      <c r="F236" s="127" t="n">
        <v>46262</v>
      </c>
      <c r="G236" s="127" t="n">
        <v>46262</v>
      </c>
      <c r="H236" s="127" t="n">
        <v>46289</v>
      </c>
      <c r="I236" s="4" t="n">
        <v>0</v>
      </c>
      <c r="J236" s="4" t="n">
        <v>100</v>
      </c>
      <c r="K236" s="4" t="n">
        <v>100</v>
      </c>
      <c r="M236" s="2" t="str">
        <f aca="false">IF(C236="","",IFERROR(INDEX($S$5:$S$304,MATCH(C236,$R$5:$R$304,0))&amp;"","?"))</f>
        <v>17</v>
      </c>
      <c r="N236" s="2" t="n">
        <f aca="false">IF(E236="","",IF(ISNUMBER(SEARCH("SUBSOLO",E236)),IFERROR(-VALUE(LEFT(E236,FIND("º",SUBSTITUTE(E236,"°","º"))-1)),-1),IF(LEFT(E236,6)="TÉRREO",0,IFERROR(VALUE(LEFT(E236,FIND("º",SUBSTITUTE(E236,"°","º"))-1)),""))))</f>
        <v>1</v>
      </c>
      <c r="O236" s="2" t="str">
        <f aca="false">IF(OR(F236="",G236=""),"",IF(G236&lt;='RETRATO 2027'!$K$5,"CONCLUÍDA",IF(F236&lt;='RETRATO 2027'!$K$5,"EM ANDAMENTO","A INICIAR")))</f>
        <v>CONCLUÍDA</v>
      </c>
      <c r="R236" s="4"/>
      <c r="S236" s="4"/>
      <c r="T236" s="4"/>
      <c r="U236" s="4"/>
      <c r="V236" s="2" t="str">
        <f aca="false">IF(R236="","",COUNTIF($C$5:$C$6004,R236))</f>
        <v/>
      </c>
      <c r="W236" s="2" t="str">
        <f aca="false">IF(R236="","",COUNTIFS($C$5:$C$6004,R236,$O$5:$O$6004,"CONCLUÍDA"))</f>
        <v/>
      </c>
      <c r="X236" s="2" t="str">
        <f aca="false">IF(R236="","",COUNTIFS($C$5:$C$6004,R236,$O$5:$O$6004,"EM ANDAMENTO"))</f>
        <v/>
      </c>
      <c r="Y236" s="2" t="str">
        <f aca="false">IF(R236="","",IF(COUNTIFS($C$5:$C$6004,R236,$O$5:$O$6004,"CONCLUÍDA",$N$5:$N$6004,"&gt;=-99")=0,"",_xlfn.MAXIFS($N$5:$N$6004,$C$5:$C$6004,R236,$O$5:$O$6004,"CONCLUÍDA")))</f>
        <v/>
      </c>
      <c r="Z236" s="2" t="str">
        <f aca="false">IF(R236="","",IF(COUNTIFS($C$5:$C$6004,R236,$O$5:$O$6004,"EM ANDAMENTO",$N$5:$N$6004,"&gt;=-99")=0,"",_xlfn.MAXIFS($N$5:$N$6004,$C$5:$C$6004,R236,$O$5:$O$6004,"EM ANDAMENTO")))</f>
        <v/>
      </c>
      <c r="AA236" s="2" t="str">
        <f aca="false"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 customFormat="false" ht="15" hidden="false" customHeight="false" outlineLevel="0" collapsed="false">
      <c r="B237" s="4" t="n">
        <v>29940596</v>
      </c>
      <c r="C237" s="4" t="s">
        <v>2341</v>
      </c>
      <c r="D237" s="4" t="s">
        <v>463</v>
      </c>
      <c r="E237" s="4" t="s">
        <v>2782</v>
      </c>
      <c r="F237" s="127" t="n">
        <v>46246</v>
      </c>
      <c r="G237" s="127" t="n">
        <v>46262</v>
      </c>
      <c r="H237" s="127" t="n">
        <v>46289</v>
      </c>
      <c r="I237" s="4" t="n">
        <v>100</v>
      </c>
      <c r="J237" s="4" t="n">
        <v>100</v>
      </c>
      <c r="K237" s="4" t="n">
        <v>90</v>
      </c>
      <c r="M237" s="2" t="str">
        <f aca="false">IF(C237="","",IFERROR(INDEX($S$5:$S$304,MATCH(C237,$R$5:$R$304,0))&amp;"","?"))</f>
        <v>17</v>
      </c>
      <c r="N237" s="2" t="n">
        <f aca="false">IF(E237="","",IF(ISNUMBER(SEARCH("SUBSOLO",E237)),IFERROR(-VALUE(LEFT(E237,FIND("º",SUBSTITUTE(E237,"°","º"))-1)),-1),IF(LEFT(E237,6)="TÉRREO",0,IFERROR(VALUE(LEFT(E237,FIND("º",SUBSTITUTE(E237,"°","º"))-1)),""))))</f>
        <v>1</v>
      </c>
      <c r="O237" s="2" t="str">
        <f aca="false">IF(OR(F237="",G237=""),"",IF(G237&lt;='RETRATO 2027'!$K$5,"CONCLUÍDA",IF(F237&lt;='RETRATO 2027'!$K$5,"EM ANDAMENTO","A INICIAR")))</f>
        <v>CONCLUÍDA</v>
      </c>
      <c r="R237" s="4"/>
      <c r="S237" s="4"/>
      <c r="T237" s="4"/>
      <c r="U237" s="4"/>
      <c r="V237" s="2" t="str">
        <f aca="false">IF(R237="","",COUNTIF($C$5:$C$6004,R237))</f>
        <v/>
      </c>
      <c r="W237" s="2" t="str">
        <f aca="false">IF(R237="","",COUNTIFS($C$5:$C$6004,R237,$O$5:$O$6004,"CONCLUÍDA"))</f>
        <v/>
      </c>
      <c r="X237" s="2" t="str">
        <f aca="false">IF(R237="","",COUNTIFS($C$5:$C$6004,R237,$O$5:$O$6004,"EM ANDAMENTO"))</f>
        <v/>
      </c>
      <c r="Y237" s="2" t="str">
        <f aca="false">IF(R237="","",IF(COUNTIFS($C$5:$C$6004,R237,$O$5:$O$6004,"CONCLUÍDA",$N$5:$N$6004,"&gt;=-99")=0,"",_xlfn.MAXIFS($N$5:$N$6004,$C$5:$C$6004,R237,$O$5:$O$6004,"CONCLUÍDA")))</f>
        <v/>
      </c>
      <c r="Z237" s="2" t="str">
        <f aca="false">IF(R237="","",IF(COUNTIFS($C$5:$C$6004,R237,$O$5:$O$6004,"EM ANDAMENTO",$N$5:$N$6004,"&gt;=-99")=0,"",_xlfn.MAXIFS($N$5:$N$6004,$C$5:$C$6004,R237,$O$5:$O$6004,"EM ANDAMENTO")))</f>
        <v/>
      </c>
      <c r="AA237" s="2" t="str">
        <f aca="false"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 customFormat="false" ht="15" hidden="false" customHeight="false" outlineLevel="0" collapsed="false">
      <c r="B238" s="4" t="n">
        <v>31529154</v>
      </c>
      <c r="C238" s="4" t="s">
        <v>2341</v>
      </c>
      <c r="D238" s="4" t="s">
        <v>2312</v>
      </c>
      <c r="E238" s="4" t="s">
        <v>2782</v>
      </c>
      <c r="F238" s="127" t="n">
        <v>46246</v>
      </c>
      <c r="G238" s="127" t="n">
        <v>46254</v>
      </c>
      <c r="H238" s="127" t="n">
        <v>46289</v>
      </c>
      <c r="I238" s="4" t="n">
        <v>0</v>
      </c>
      <c r="J238" s="4" t="n">
        <v>100</v>
      </c>
      <c r="K238" s="4" t="n">
        <v>100</v>
      </c>
      <c r="M238" s="2" t="str">
        <f aca="false">IF(C238="","",IFERROR(INDEX($S$5:$S$304,MATCH(C238,$R$5:$R$304,0))&amp;"","?"))</f>
        <v>17</v>
      </c>
      <c r="N238" s="2" t="n">
        <f aca="false">IF(E238="","",IF(ISNUMBER(SEARCH("SUBSOLO",E238)),IFERROR(-VALUE(LEFT(E238,FIND("º",SUBSTITUTE(E238,"°","º"))-1)),-1),IF(LEFT(E238,6)="TÉRREO",0,IFERROR(VALUE(LEFT(E238,FIND("º",SUBSTITUTE(E238,"°","º"))-1)),""))))</f>
        <v>1</v>
      </c>
      <c r="O238" s="2" t="str">
        <f aca="false">IF(OR(F238="",G238=""),"",IF(G238&lt;='RETRATO 2027'!$K$5,"CONCLUÍDA",IF(F238&lt;='RETRATO 2027'!$K$5,"EM ANDAMENTO","A INICIAR")))</f>
        <v>CONCLUÍDA</v>
      </c>
      <c r="R238" s="4"/>
      <c r="S238" s="4"/>
      <c r="T238" s="4"/>
      <c r="U238" s="4"/>
      <c r="V238" s="2" t="str">
        <f aca="false">IF(R238="","",COUNTIF($C$5:$C$6004,R238))</f>
        <v/>
      </c>
      <c r="W238" s="2" t="str">
        <f aca="false">IF(R238="","",COUNTIFS($C$5:$C$6004,R238,$O$5:$O$6004,"CONCLUÍDA"))</f>
        <v/>
      </c>
      <c r="X238" s="2" t="str">
        <f aca="false">IF(R238="","",COUNTIFS($C$5:$C$6004,R238,$O$5:$O$6004,"EM ANDAMENTO"))</f>
        <v/>
      </c>
      <c r="Y238" s="2" t="str">
        <f aca="false">IF(R238="","",IF(COUNTIFS($C$5:$C$6004,R238,$O$5:$O$6004,"CONCLUÍDA",$N$5:$N$6004,"&gt;=-99")=0,"",_xlfn.MAXIFS($N$5:$N$6004,$C$5:$C$6004,R238,$O$5:$O$6004,"CONCLUÍDA")))</f>
        <v/>
      </c>
      <c r="Z238" s="2" t="str">
        <f aca="false">IF(R238="","",IF(COUNTIFS($C$5:$C$6004,R238,$O$5:$O$6004,"EM ANDAMENTO",$N$5:$N$6004,"&gt;=-99")=0,"",_xlfn.MAXIFS($N$5:$N$6004,$C$5:$C$6004,R238,$O$5:$O$6004,"EM ANDAMENTO")))</f>
        <v/>
      </c>
      <c r="AA238" s="2" t="str">
        <f aca="false"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 customFormat="false" ht="15" hidden="false" customHeight="false" outlineLevel="0" collapsed="false">
      <c r="B239" s="4" t="n">
        <v>31529155</v>
      </c>
      <c r="C239" s="4" t="s">
        <v>2341</v>
      </c>
      <c r="D239" s="4" t="s">
        <v>2309</v>
      </c>
      <c r="E239" s="4" t="s">
        <v>2782</v>
      </c>
      <c r="F239" s="127" t="n">
        <v>46255</v>
      </c>
      <c r="G239" s="127" t="n">
        <v>46261</v>
      </c>
      <c r="H239" s="127" t="n">
        <v>46289</v>
      </c>
      <c r="I239" s="4" t="n">
        <v>0</v>
      </c>
      <c r="J239" s="4" t="n">
        <v>100</v>
      </c>
      <c r="K239" s="4" t="n">
        <v>100</v>
      </c>
      <c r="M239" s="2" t="str">
        <f aca="false">IF(C239="","",IFERROR(INDEX($S$5:$S$304,MATCH(C239,$R$5:$R$304,0))&amp;"","?"))</f>
        <v>17</v>
      </c>
      <c r="N239" s="2" t="n">
        <f aca="false">IF(E239="","",IF(ISNUMBER(SEARCH("SUBSOLO",E239)),IFERROR(-VALUE(LEFT(E239,FIND("º",SUBSTITUTE(E239,"°","º"))-1)),-1),IF(LEFT(E239,6)="TÉRREO",0,IFERROR(VALUE(LEFT(E239,FIND("º",SUBSTITUTE(E239,"°","º"))-1)),""))))</f>
        <v>1</v>
      </c>
      <c r="O239" s="2" t="str">
        <f aca="false">IF(OR(F239="",G239=""),"",IF(G239&lt;='RETRATO 2027'!$K$5,"CONCLUÍDA",IF(F239&lt;='RETRATO 2027'!$K$5,"EM ANDAMENTO","A INICIAR")))</f>
        <v>CONCLUÍDA</v>
      </c>
      <c r="R239" s="4"/>
      <c r="S239" s="4"/>
      <c r="T239" s="4"/>
      <c r="U239" s="4"/>
      <c r="V239" s="2" t="str">
        <f aca="false">IF(R239="","",COUNTIF($C$5:$C$6004,R239))</f>
        <v/>
      </c>
      <c r="W239" s="2" t="str">
        <f aca="false">IF(R239="","",COUNTIFS($C$5:$C$6004,R239,$O$5:$O$6004,"CONCLUÍDA"))</f>
        <v/>
      </c>
      <c r="X239" s="2" t="str">
        <f aca="false">IF(R239="","",COUNTIFS($C$5:$C$6004,R239,$O$5:$O$6004,"EM ANDAMENTO"))</f>
        <v/>
      </c>
      <c r="Y239" s="2" t="str">
        <f aca="false">IF(R239="","",IF(COUNTIFS($C$5:$C$6004,R239,$O$5:$O$6004,"CONCLUÍDA",$N$5:$N$6004,"&gt;=-99")=0,"",_xlfn.MAXIFS($N$5:$N$6004,$C$5:$C$6004,R239,$O$5:$O$6004,"CONCLUÍDA")))</f>
        <v/>
      </c>
      <c r="Z239" s="2" t="str">
        <f aca="false">IF(R239="","",IF(COUNTIFS($C$5:$C$6004,R239,$O$5:$O$6004,"EM ANDAMENTO",$N$5:$N$6004,"&gt;=-99")=0,"",_xlfn.MAXIFS($N$5:$N$6004,$C$5:$C$6004,R239,$O$5:$O$6004,"EM ANDAMENTO")))</f>
        <v/>
      </c>
      <c r="AA239" s="2" t="str">
        <f aca="false"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 customFormat="false" ht="15" hidden="false" customHeight="false" outlineLevel="0" collapsed="false">
      <c r="B240" s="4" t="n">
        <v>31529156</v>
      </c>
      <c r="C240" s="4" t="s">
        <v>2341</v>
      </c>
      <c r="D240" s="4" t="s">
        <v>2314</v>
      </c>
      <c r="E240" s="4" t="s">
        <v>2782</v>
      </c>
      <c r="F240" s="127" t="n">
        <v>46262</v>
      </c>
      <c r="G240" s="127" t="n">
        <v>46262</v>
      </c>
      <c r="H240" s="127" t="n">
        <v>46289</v>
      </c>
      <c r="I240" s="4" t="n">
        <v>0</v>
      </c>
      <c r="J240" s="4" t="n">
        <v>100</v>
      </c>
      <c r="K240" s="4" t="n">
        <v>30</v>
      </c>
      <c r="M240" s="2" t="str">
        <f aca="false">IF(C240="","",IFERROR(INDEX($S$5:$S$304,MATCH(C240,$R$5:$R$304,0))&amp;"","?"))</f>
        <v>17</v>
      </c>
      <c r="N240" s="2" t="n">
        <f aca="false">IF(E240="","",IF(ISNUMBER(SEARCH("SUBSOLO",E240)),IFERROR(-VALUE(LEFT(E240,FIND("º",SUBSTITUTE(E240,"°","º"))-1)),-1),IF(LEFT(E240,6)="TÉRREO",0,IFERROR(VALUE(LEFT(E240,FIND("º",SUBSTITUTE(E240,"°","º"))-1)),""))))</f>
        <v>1</v>
      </c>
      <c r="O240" s="2" t="str">
        <f aca="false">IF(OR(F240="",G240=""),"",IF(G240&lt;='RETRATO 2027'!$K$5,"CONCLUÍDA",IF(F240&lt;='RETRATO 2027'!$K$5,"EM ANDAMENTO","A INICIAR")))</f>
        <v>CONCLUÍDA</v>
      </c>
      <c r="R240" s="4"/>
      <c r="S240" s="4"/>
      <c r="T240" s="4"/>
      <c r="U240" s="4"/>
      <c r="V240" s="2" t="str">
        <f aca="false">IF(R240="","",COUNTIF($C$5:$C$6004,R240))</f>
        <v/>
      </c>
      <c r="W240" s="2" t="str">
        <f aca="false">IF(R240="","",COUNTIFS($C$5:$C$6004,R240,$O$5:$O$6004,"CONCLUÍDA"))</f>
        <v/>
      </c>
      <c r="X240" s="2" t="str">
        <f aca="false">IF(R240="","",COUNTIFS($C$5:$C$6004,R240,$O$5:$O$6004,"EM ANDAMENTO"))</f>
        <v/>
      </c>
      <c r="Y240" s="2" t="str">
        <f aca="false">IF(R240="","",IF(COUNTIFS($C$5:$C$6004,R240,$O$5:$O$6004,"CONCLUÍDA",$N$5:$N$6004,"&gt;=-99")=0,"",_xlfn.MAXIFS($N$5:$N$6004,$C$5:$C$6004,R240,$O$5:$O$6004,"CONCLUÍDA")))</f>
        <v/>
      </c>
      <c r="Z240" s="2" t="str">
        <f aca="false">IF(R240="","",IF(COUNTIFS($C$5:$C$6004,R240,$O$5:$O$6004,"EM ANDAMENTO",$N$5:$N$6004,"&gt;=-99")=0,"",_xlfn.MAXIFS($N$5:$N$6004,$C$5:$C$6004,R240,$O$5:$O$6004,"EM ANDAMENTO")))</f>
        <v/>
      </c>
      <c r="AA240" s="2" t="str">
        <f aca="false"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 customFormat="false" ht="15" hidden="false" customHeight="false" outlineLevel="0" collapsed="false">
      <c r="B241" s="4" t="n">
        <v>31529157</v>
      </c>
      <c r="C241" s="4" t="s">
        <v>2341</v>
      </c>
      <c r="D241" s="4" t="s">
        <v>2758</v>
      </c>
      <c r="E241" s="4" t="s">
        <v>2782</v>
      </c>
      <c r="F241" s="127" t="n">
        <v>46262</v>
      </c>
      <c r="G241" s="127" t="n">
        <v>46262</v>
      </c>
      <c r="H241" s="127" t="n">
        <v>46289</v>
      </c>
      <c r="I241" s="4" t="n">
        <v>0</v>
      </c>
      <c r="J241" s="4" t="n">
        <v>100</v>
      </c>
      <c r="K241" s="4" t="n">
        <v>30</v>
      </c>
      <c r="M241" s="2" t="str">
        <f aca="false">IF(C241="","",IFERROR(INDEX($S$5:$S$304,MATCH(C241,$R$5:$R$304,0))&amp;"","?"))</f>
        <v>17</v>
      </c>
      <c r="N241" s="2" t="n">
        <f aca="false">IF(E241="","",IF(ISNUMBER(SEARCH("SUBSOLO",E241)),IFERROR(-VALUE(LEFT(E241,FIND("º",SUBSTITUTE(E241,"°","º"))-1)),-1),IF(LEFT(E241,6)="TÉRREO",0,IFERROR(VALUE(LEFT(E241,FIND("º",SUBSTITUTE(E241,"°","º"))-1)),""))))</f>
        <v>1</v>
      </c>
      <c r="O241" s="2" t="str">
        <f aca="false">IF(OR(F241="",G241=""),"",IF(G241&lt;='RETRATO 2027'!$K$5,"CONCLUÍDA",IF(F241&lt;='RETRATO 2027'!$K$5,"EM ANDAMENTO","A INICIAR")))</f>
        <v>CONCLUÍDA</v>
      </c>
      <c r="R241" s="4"/>
      <c r="S241" s="4"/>
      <c r="T241" s="4"/>
      <c r="U241" s="4"/>
      <c r="V241" s="2" t="str">
        <f aca="false">IF(R241="","",COUNTIF($C$5:$C$6004,R241))</f>
        <v/>
      </c>
      <c r="W241" s="2" t="str">
        <f aca="false">IF(R241="","",COUNTIFS($C$5:$C$6004,R241,$O$5:$O$6004,"CONCLUÍDA"))</f>
        <v/>
      </c>
      <c r="X241" s="2" t="str">
        <f aca="false">IF(R241="","",COUNTIFS($C$5:$C$6004,R241,$O$5:$O$6004,"EM ANDAMENTO"))</f>
        <v/>
      </c>
      <c r="Y241" s="2" t="str">
        <f aca="false">IF(R241="","",IF(COUNTIFS($C$5:$C$6004,R241,$O$5:$O$6004,"CONCLUÍDA",$N$5:$N$6004,"&gt;=-99")=0,"",_xlfn.MAXIFS($N$5:$N$6004,$C$5:$C$6004,R241,$O$5:$O$6004,"CONCLUÍDA")))</f>
        <v/>
      </c>
      <c r="Z241" s="2" t="str">
        <f aca="false">IF(R241="","",IF(COUNTIFS($C$5:$C$6004,R241,$O$5:$O$6004,"EM ANDAMENTO",$N$5:$N$6004,"&gt;=-99")=0,"",_xlfn.MAXIFS($N$5:$N$6004,$C$5:$C$6004,R241,$O$5:$O$6004,"EM ANDAMENTO")))</f>
        <v/>
      </c>
      <c r="AA241" s="2" t="str">
        <f aca="false"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 customFormat="false" ht="15" hidden="false" customHeight="false" outlineLevel="0" collapsed="false">
      <c r="B242" s="4" t="n">
        <v>48917125</v>
      </c>
      <c r="C242" s="4" t="s">
        <v>2361</v>
      </c>
      <c r="D242" s="4" t="s">
        <v>463</v>
      </c>
      <c r="E242" s="4" t="s">
        <v>2784</v>
      </c>
      <c r="F242" s="127" t="n">
        <v>46251</v>
      </c>
      <c r="G242" s="127" t="n">
        <v>46293</v>
      </c>
      <c r="H242" s="127" t="n">
        <v>46289</v>
      </c>
      <c r="I242" s="4" t="n">
        <v>0</v>
      </c>
      <c r="J242" s="4" t="n">
        <v>89.999975</v>
      </c>
      <c r="K242" s="4" t="n">
        <v>59.625</v>
      </c>
      <c r="M242" s="2" t="str">
        <f aca="false">IF(C242="","",IFERROR(INDEX($S$5:$S$304,MATCH(C242,$R$5:$R$304,0))&amp;"","?"))</f>
        <v>17</v>
      </c>
      <c r="N242" s="2" t="n">
        <f aca="false">IF(E242="","",IF(ISNUMBER(SEARCH("SUBSOLO",E242)),IFERROR(-VALUE(LEFT(E242,FIND("º",SUBSTITUTE(E242,"°","º"))-1)),-1),IF(LEFT(E242,6)="TÉRREO",0,IFERROR(VALUE(LEFT(E242,FIND("º",SUBSTITUTE(E242,"°","º"))-1)),""))))</f>
        <v>2</v>
      </c>
      <c r="O242" s="2" t="str">
        <f aca="false">IF(OR(F242="",G242=""),"",IF(G242&lt;='RETRATO 2027'!$K$5,"CONCLUÍDA",IF(F242&lt;='RETRATO 2027'!$K$5,"EM ANDAMENTO","A INICIAR")))</f>
        <v>CONCLUÍDA</v>
      </c>
      <c r="R242" s="4"/>
      <c r="S242" s="4"/>
      <c r="T242" s="4"/>
      <c r="U242" s="4"/>
      <c r="V242" s="2" t="str">
        <f aca="false">IF(R242="","",COUNTIF($C$5:$C$6004,R242))</f>
        <v/>
      </c>
      <c r="W242" s="2" t="str">
        <f aca="false">IF(R242="","",COUNTIFS($C$5:$C$6004,R242,$O$5:$O$6004,"CONCLUÍDA"))</f>
        <v/>
      </c>
      <c r="X242" s="2" t="str">
        <f aca="false">IF(R242="","",COUNTIFS($C$5:$C$6004,R242,$O$5:$O$6004,"EM ANDAMENTO"))</f>
        <v/>
      </c>
      <c r="Y242" s="2" t="str">
        <f aca="false">IF(R242="","",IF(COUNTIFS($C$5:$C$6004,R242,$O$5:$O$6004,"CONCLUÍDA",$N$5:$N$6004,"&gt;=-99")=0,"",_xlfn.MAXIFS($N$5:$N$6004,$C$5:$C$6004,R242,$O$5:$O$6004,"CONCLUÍDA")))</f>
        <v/>
      </c>
      <c r="Z242" s="2" t="str">
        <f aca="false">IF(R242="","",IF(COUNTIFS($C$5:$C$6004,R242,$O$5:$O$6004,"EM ANDAMENTO",$N$5:$N$6004,"&gt;=-99")=0,"",_xlfn.MAXIFS($N$5:$N$6004,$C$5:$C$6004,R242,$O$5:$O$6004,"EM ANDAMENTO")))</f>
        <v/>
      </c>
      <c r="AA242" s="2" t="str">
        <f aca="false"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 customFormat="false" ht="15" hidden="false" customHeight="false" outlineLevel="0" collapsed="false">
      <c r="B243" s="4" t="n">
        <v>31924984</v>
      </c>
      <c r="C243" s="4" t="s">
        <v>2361</v>
      </c>
      <c r="D243" s="4" t="s">
        <v>2780</v>
      </c>
      <c r="E243" s="4" t="s">
        <v>2784</v>
      </c>
      <c r="F243" s="127" t="n">
        <v>46251</v>
      </c>
      <c r="G243" s="127" t="n">
        <v>46259</v>
      </c>
      <c r="H243" s="127" t="n">
        <v>46289</v>
      </c>
      <c r="I243" s="4" t="n">
        <v>0</v>
      </c>
      <c r="J243" s="4" t="n">
        <v>100</v>
      </c>
      <c r="K243" s="4" t="n">
        <v>90</v>
      </c>
      <c r="M243" s="2" t="str">
        <f aca="false">IF(C243="","",IFERROR(INDEX($S$5:$S$304,MATCH(C243,$R$5:$R$304,0))&amp;"","?"))</f>
        <v>17</v>
      </c>
      <c r="N243" s="2" t="n">
        <f aca="false">IF(E243="","",IF(ISNUMBER(SEARCH("SUBSOLO",E243)),IFERROR(-VALUE(LEFT(E243,FIND("º",SUBSTITUTE(E243,"°","º"))-1)),-1),IF(LEFT(E243,6)="TÉRREO",0,IFERROR(VALUE(LEFT(E243,FIND("º",SUBSTITUTE(E243,"°","º"))-1)),""))))</f>
        <v>2</v>
      </c>
      <c r="O243" s="2" t="str">
        <f aca="false">IF(OR(F243="",G243=""),"",IF(G243&lt;='RETRATO 2027'!$K$5,"CONCLUÍDA",IF(F243&lt;='RETRATO 2027'!$K$5,"EM ANDAMENTO","A INICIAR")))</f>
        <v>CONCLUÍDA</v>
      </c>
      <c r="R243" s="4"/>
      <c r="S243" s="4"/>
      <c r="T243" s="4"/>
      <c r="U243" s="4"/>
      <c r="V243" s="2" t="str">
        <f aca="false">IF(R243="","",COUNTIF($C$5:$C$6004,R243))</f>
        <v/>
      </c>
      <c r="W243" s="2" t="str">
        <f aca="false">IF(R243="","",COUNTIFS($C$5:$C$6004,R243,$O$5:$O$6004,"CONCLUÍDA"))</f>
        <v/>
      </c>
      <c r="X243" s="2" t="str">
        <f aca="false">IF(R243="","",COUNTIFS($C$5:$C$6004,R243,$O$5:$O$6004,"EM ANDAMENTO"))</f>
        <v/>
      </c>
      <c r="Y243" s="2" t="str">
        <f aca="false">IF(R243="","",IF(COUNTIFS($C$5:$C$6004,R243,$O$5:$O$6004,"CONCLUÍDA",$N$5:$N$6004,"&gt;=-99")=0,"",_xlfn.MAXIFS($N$5:$N$6004,$C$5:$C$6004,R243,$O$5:$O$6004,"CONCLUÍDA")))</f>
        <v/>
      </c>
      <c r="Z243" s="2" t="str">
        <f aca="false">IF(R243="","",IF(COUNTIFS($C$5:$C$6004,R243,$O$5:$O$6004,"EM ANDAMENTO",$N$5:$N$6004,"&gt;=-99")=0,"",_xlfn.MAXIFS($N$5:$N$6004,$C$5:$C$6004,R243,$O$5:$O$6004,"EM ANDAMENTO")))</f>
        <v/>
      </c>
      <c r="AA243" s="2" t="str">
        <f aca="false"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 customFormat="false" ht="15" hidden="false" customHeight="false" outlineLevel="0" collapsed="false">
      <c r="B244" s="4" t="n">
        <v>31924985</v>
      </c>
      <c r="C244" s="4" t="s">
        <v>2361</v>
      </c>
      <c r="D244" s="4" t="s">
        <v>2781</v>
      </c>
      <c r="E244" s="4" t="s">
        <v>2784</v>
      </c>
      <c r="F244" s="127" t="n">
        <v>46260</v>
      </c>
      <c r="G244" s="127" t="n">
        <v>46265</v>
      </c>
      <c r="H244" s="127" t="n">
        <v>46289</v>
      </c>
      <c r="I244" s="4" t="n">
        <v>0</v>
      </c>
      <c r="J244" s="4" t="n">
        <v>100</v>
      </c>
      <c r="K244" s="4" t="n">
        <v>90</v>
      </c>
      <c r="M244" s="2" t="str">
        <f aca="false">IF(C244="","",IFERROR(INDEX($S$5:$S$304,MATCH(C244,$R$5:$R$304,0))&amp;"","?"))</f>
        <v>17</v>
      </c>
      <c r="N244" s="2" t="n">
        <f aca="false">IF(E244="","",IF(ISNUMBER(SEARCH("SUBSOLO",E244)),IFERROR(-VALUE(LEFT(E244,FIND("º",SUBSTITUTE(E244,"°","º"))-1)),-1),IF(LEFT(E244,6)="TÉRREO",0,IFERROR(VALUE(LEFT(E244,FIND("º",SUBSTITUTE(E244,"°","º"))-1)),""))))</f>
        <v>2</v>
      </c>
      <c r="O244" s="2" t="str">
        <f aca="false">IF(OR(F244="",G244=""),"",IF(G244&lt;='RETRATO 2027'!$K$5,"CONCLUÍDA",IF(F244&lt;='RETRATO 2027'!$K$5,"EM ANDAMENTO","A INICIAR")))</f>
        <v>CONCLUÍDA</v>
      </c>
      <c r="R244" s="4"/>
      <c r="S244" s="4"/>
      <c r="T244" s="4"/>
      <c r="U244" s="4"/>
      <c r="V244" s="2" t="str">
        <f aca="false">IF(R244="","",COUNTIF($C$5:$C$6004,R244))</f>
        <v/>
      </c>
      <c r="W244" s="2" t="str">
        <f aca="false">IF(R244="","",COUNTIFS($C$5:$C$6004,R244,$O$5:$O$6004,"CONCLUÍDA"))</f>
        <v/>
      </c>
      <c r="X244" s="2" t="str">
        <f aca="false">IF(R244="","",COUNTIFS($C$5:$C$6004,R244,$O$5:$O$6004,"EM ANDAMENTO"))</f>
        <v/>
      </c>
      <c r="Y244" s="2" t="str">
        <f aca="false">IF(R244="","",IF(COUNTIFS($C$5:$C$6004,R244,$O$5:$O$6004,"CONCLUÍDA",$N$5:$N$6004,"&gt;=-99")=0,"",_xlfn.MAXIFS($N$5:$N$6004,$C$5:$C$6004,R244,$O$5:$O$6004,"CONCLUÍDA")))</f>
        <v/>
      </c>
      <c r="Z244" s="2" t="str">
        <f aca="false">IF(R244="","",IF(COUNTIFS($C$5:$C$6004,R244,$O$5:$O$6004,"EM ANDAMENTO",$N$5:$N$6004,"&gt;=-99")=0,"",_xlfn.MAXIFS($N$5:$N$6004,$C$5:$C$6004,R244,$O$5:$O$6004,"EM ANDAMENTO")))</f>
        <v/>
      </c>
      <c r="AA244" s="2" t="str">
        <f aca="false"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 customFormat="false" ht="15" hidden="false" customHeight="false" outlineLevel="0" collapsed="false">
      <c r="B245" s="4" t="n">
        <v>31924986</v>
      </c>
      <c r="C245" s="4" t="s">
        <v>2361</v>
      </c>
      <c r="D245" s="4" t="s">
        <v>2785</v>
      </c>
      <c r="E245" s="4" t="s">
        <v>2784</v>
      </c>
      <c r="F245" s="127" t="n">
        <v>46266</v>
      </c>
      <c r="G245" s="127" t="n">
        <v>46276</v>
      </c>
      <c r="H245" s="127" t="n">
        <v>46289</v>
      </c>
      <c r="I245" s="4" t="n">
        <v>0</v>
      </c>
      <c r="J245" s="4" t="n">
        <v>100</v>
      </c>
      <c r="K245" s="4" t="n">
        <v>80</v>
      </c>
      <c r="M245" s="2" t="str">
        <f aca="false">IF(C245="","",IFERROR(INDEX($S$5:$S$304,MATCH(C245,$R$5:$R$304,0))&amp;"","?"))</f>
        <v>17</v>
      </c>
      <c r="N245" s="2" t="n">
        <f aca="false">IF(E245="","",IF(ISNUMBER(SEARCH("SUBSOLO",E245)),IFERROR(-VALUE(LEFT(E245,FIND("º",SUBSTITUTE(E245,"°","º"))-1)),-1),IF(LEFT(E245,6)="TÉRREO",0,IFERROR(VALUE(LEFT(E245,FIND("º",SUBSTITUTE(E245,"°","º"))-1)),""))))</f>
        <v>2</v>
      </c>
      <c r="O245" s="2" t="str">
        <f aca="false">IF(OR(F245="",G245=""),"",IF(G245&lt;='RETRATO 2027'!$K$5,"CONCLUÍDA",IF(F245&lt;='RETRATO 2027'!$K$5,"EM ANDAMENTO","A INICIAR")))</f>
        <v>CONCLUÍDA</v>
      </c>
      <c r="R245" s="4"/>
      <c r="S245" s="4"/>
      <c r="T245" s="4"/>
      <c r="U245" s="4"/>
      <c r="V245" s="2" t="str">
        <f aca="false">IF(R245="","",COUNTIF($C$5:$C$6004,R245))</f>
        <v/>
      </c>
      <c r="W245" s="2" t="str">
        <f aca="false">IF(R245="","",COUNTIFS($C$5:$C$6004,R245,$O$5:$O$6004,"CONCLUÍDA"))</f>
        <v/>
      </c>
      <c r="X245" s="2" t="str">
        <f aca="false">IF(R245="","",COUNTIFS($C$5:$C$6004,R245,$O$5:$O$6004,"EM ANDAMENTO"))</f>
        <v/>
      </c>
      <c r="Y245" s="2" t="str">
        <f aca="false">IF(R245="","",IF(COUNTIFS($C$5:$C$6004,R245,$O$5:$O$6004,"CONCLUÍDA",$N$5:$N$6004,"&gt;=-99")=0,"",_xlfn.MAXIFS($N$5:$N$6004,$C$5:$C$6004,R245,$O$5:$O$6004,"CONCLUÍDA")))</f>
        <v/>
      </c>
      <c r="Z245" s="2" t="str">
        <f aca="false">IF(R245="","",IF(COUNTIFS($C$5:$C$6004,R245,$O$5:$O$6004,"EM ANDAMENTO",$N$5:$N$6004,"&gt;=-99")=0,"",_xlfn.MAXIFS($N$5:$N$6004,$C$5:$C$6004,R245,$O$5:$O$6004,"EM ANDAMENTO")))</f>
        <v/>
      </c>
      <c r="AA245" s="2" t="str">
        <f aca="false"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 customFormat="false" ht="15" hidden="false" customHeight="false" outlineLevel="0" collapsed="false">
      <c r="B246" s="4" t="n">
        <v>31924987</v>
      </c>
      <c r="C246" s="4" t="s">
        <v>2361</v>
      </c>
      <c r="D246" s="4" t="s">
        <v>2775</v>
      </c>
      <c r="E246" s="4" t="s">
        <v>2784</v>
      </c>
      <c r="F246" s="127" t="n">
        <v>46279</v>
      </c>
      <c r="G246" s="127" t="n">
        <v>46293</v>
      </c>
      <c r="H246" s="127" t="n">
        <v>46289</v>
      </c>
      <c r="I246" s="4" t="n">
        <v>0</v>
      </c>
      <c r="J246" s="4" t="n">
        <v>81.818</v>
      </c>
      <c r="K246" s="4" t="n">
        <v>40</v>
      </c>
      <c r="M246" s="2" t="str">
        <f aca="false">IF(C246="","",IFERROR(INDEX($S$5:$S$304,MATCH(C246,$R$5:$R$304,0))&amp;"","?"))</f>
        <v>17</v>
      </c>
      <c r="N246" s="2" t="n">
        <f aca="false">IF(E246="","",IF(ISNUMBER(SEARCH("SUBSOLO",E246)),IFERROR(-VALUE(LEFT(E246,FIND("º",SUBSTITUTE(E246,"°","º"))-1)),-1),IF(LEFT(E246,6)="TÉRREO",0,IFERROR(VALUE(LEFT(E246,FIND("º",SUBSTITUTE(E246,"°","º"))-1)),""))))</f>
        <v>2</v>
      </c>
      <c r="O246" s="2" t="str">
        <f aca="false">IF(OR(F246="",G246=""),"",IF(G246&lt;='RETRATO 2027'!$K$5,"CONCLUÍDA",IF(F246&lt;='RETRATO 2027'!$K$5,"EM ANDAMENTO","A INICIAR")))</f>
        <v>CONCLUÍDA</v>
      </c>
      <c r="R246" s="4"/>
      <c r="S246" s="4"/>
      <c r="T246" s="4"/>
      <c r="U246" s="4"/>
      <c r="V246" s="2" t="str">
        <f aca="false">IF(R246="","",COUNTIF($C$5:$C$6004,R246))</f>
        <v/>
      </c>
      <c r="W246" s="2" t="str">
        <f aca="false">IF(R246="","",COUNTIFS($C$5:$C$6004,R246,$O$5:$O$6004,"CONCLUÍDA"))</f>
        <v/>
      </c>
      <c r="X246" s="2" t="str">
        <f aca="false">IF(R246="","",COUNTIFS($C$5:$C$6004,R246,$O$5:$O$6004,"EM ANDAMENTO"))</f>
        <v/>
      </c>
      <c r="Y246" s="2" t="str">
        <f aca="false">IF(R246="","",IF(COUNTIFS($C$5:$C$6004,R246,$O$5:$O$6004,"CONCLUÍDA",$N$5:$N$6004,"&gt;=-99")=0,"",_xlfn.MAXIFS($N$5:$N$6004,$C$5:$C$6004,R246,$O$5:$O$6004,"CONCLUÍDA")))</f>
        <v/>
      </c>
      <c r="Z246" s="2" t="str">
        <f aca="false">IF(R246="","",IF(COUNTIFS($C$5:$C$6004,R246,$O$5:$O$6004,"EM ANDAMENTO",$N$5:$N$6004,"&gt;=-99")=0,"",_xlfn.MAXIFS($N$5:$N$6004,$C$5:$C$6004,R246,$O$5:$O$6004,"EM ANDAMENTO")))</f>
        <v/>
      </c>
      <c r="AA246" s="2" t="str">
        <f aca="false"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 customFormat="false" ht="15" hidden="false" customHeight="false" outlineLevel="0" collapsed="false">
      <c r="B247" s="4" t="n">
        <v>31924988</v>
      </c>
      <c r="C247" s="4" t="s">
        <v>2361</v>
      </c>
      <c r="D247" s="4" t="s">
        <v>2786</v>
      </c>
      <c r="E247" s="4" t="s">
        <v>2784</v>
      </c>
      <c r="F247" s="127" t="n">
        <v>46280</v>
      </c>
      <c r="G247" s="127" t="n">
        <v>46290</v>
      </c>
      <c r="H247" s="127" t="n">
        <v>46289</v>
      </c>
      <c r="I247" s="4" t="n">
        <v>0</v>
      </c>
      <c r="J247" s="4" t="n">
        <v>88.889</v>
      </c>
      <c r="K247" s="4" t="n">
        <v>35</v>
      </c>
      <c r="M247" s="2" t="str">
        <f aca="false">IF(C247="","",IFERROR(INDEX($S$5:$S$304,MATCH(C247,$R$5:$R$304,0))&amp;"","?"))</f>
        <v>17</v>
      </c>
      <c r="N247" s="2" t="n">
        <f aca="false">IF(E247="","",IF(ISNUMBER(SEARCH("SUBSOLO",E247)),IFERROR(-VALUE(LEFT(E247,FIND("º",SUBSTITUTE(E247,"°","º"))-1)),-1),IF(LEFT(E247,6)="TÉRREO",0,IFERROR(VALUE(LEFT(E247,FIND("º",SUBSTITUTE(E247,"°","º"))-1)),""))))</f>
        <v>2</v>
      </c>
      <c r="O247" s="2" t="str">
        <f aca="false">IF(OR(F247="",G247=""),"",IF(G247&lt;='RETRATO 2027'!$K$5,"CONCLUÍDA",IF(F247&lt;='RETRATO 2027'!$K$5,"EM ANDAMENTO","A INICIAR")))</f>
        <v>CONCLUÍDA</v>
      </c>
      <c r="R247" s="4"/>
      <c r="S247" s="4"/>
      <c r="T247" s="4"/>
      <c r="U247" s="4"/>
      <c r="V247" s="2" t="str">
        <f aca="false">IF(R247="","",COUNTIF($C$5:$C$6004,R247))</f>
        <v/>
      </c>
      <c r="W247" s="2" t="str">
        <f aca="false">IF(R247="","",COUNTIFS($C$5:$C$6004,R247,$O$5:$O$6004,"CONCLUÍDA"))</f>
        <v/>
      </c>
      <c r="X247" s="2" t="str">
        <f aca="false">IF(R247="","",COUNTIFS($C$5:$C$6004,R247,$O$5:$O$6004,"EM ANDAMENTO"))</f>
        <v/>
      </c>
      <c r="Y247" s="2" t="str">
        <f aca="false">IF(R247="","",IF(COUNTIFS($C$5:$C$6004,R247,$O$5:$O$6004,"CONCLUÍDA",$N$5:$N$6004,"&gt;=-99")=0,"",_xlfn.MAXIFS($N$5:$N$6004,$C$5:$C$6004,R247,$O$5:$O$6004,"CONCLUÍDA")))</f>
        <v/>
      </c>
      <c r="Z247" s="2" t="str">
        <f aca="false">IF(R247="","",IF(COUNTIFS($C$5:$C$6004,R247,$O$5:$O$6004,"EM ANDAMENTO",$N$5:$N$6004,"&gt;=-99")=0,"",_xlfn.MAXIFS($N$5:$N$6004,$C$5:$C$6004,R247,$O$5:$O$6004,"EM ANDAMENTO")))</f>
        <v/>
      </c>
      <c r="AA247" s="2" t="str">
        <f aca="false"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 customFormat="false" ht="15" hidden="false" customHeight="false" outlineLevel="0" collapsed="false">
      <c r="B248" s="4" t="n">
        <v>31924989</v>
      </c>
      <c r="C248" s="4" t="s">
        <v>2361</v>
      </c>
      <c r="D248" s="4" t="s">
        <v>2778</v>
      </c>
      <c r="E248" s="4" t="s">
        <v>2784</v>
      </c>
      <c r="F248" s="127" t="n">
        <v>46293</v>
      </c>
      <c r="G248" s="127" t="n">
        <v>46293</v>
      </c>
      <c r="H248" s="127" t="n">
        <v>46289</v>
      </c>
      <c r="I248" s="4" t="n">
        <v>0</v>
      </c>
      <c r="J248" s="4" t="n">
        <v>0</v>
      </c>
      <c r="K248" s="4" t="n">
        <v>0</v>
      </c>
      <c r="M248" s="2" t="str">
        <f aca="false">IF(C248="","",IFERROR(INDEX($S$5:$S$304,MATCH(C248,$R$5:$R$304,0))&amp;"","?"))</f>
        <v>17</v>
      </c>
      <c r="N248" s="2" t="n">
        <f aca="false">IF(E248="","",IF(ISNUMBER(SEARCH("SUBSOLO",E248)),IFERROR(-VALUE(LEFT(E248,FIND("º",SUBSTITUTE(E248,"°","º"))-1)),-1),IF(LEFT(E248,6)="TÉRREO",0,IFERROR(VALUE(LEFT(E248,FIND("º",SUBSTITUTE(E248,"°","º"))-1)),""))))</f>
        <v>2</v>
      </c>
      <c r="O248" s="2" t="str">
        <f aca="false">IF(OR(F248="",G248=""),"",IF(G248&lt;='RETRATO 2027'!$K$5,"CONCLUÍDA",IF(F248&lt;='RETRATO 2027'!$K$5,"EM ANDAMENTO","A INICIAR")))</f>
        <v>CONCLUÍDA</v>
      </c>
      <c r="R248" s="4"/>
      <c r="S248" s="4"/>
      <c r="T248" s="4"/>
      <c r="U248" s="4"/>
      <c r="V248" s="2" t="str">
        <f aca="false">IF(R248="","",COUNTIF($C$5:$C$6004,R248))</f>
        <v/>
      </c>
      <c r="W248" s="2" t="str">
        <f aca="false">IF(R248="","",COUNTIFS($C$5:$C$6004,R248,$O$5:$O$6004,"CONCLUÍDA"))</f>
        <v/>
      </c>
      <c r="X248" s="2" t="str">
        <f aca="false">IF(R248="","",COUNTIFS($C$5:$C$6004,R248,$O$5:$O$6004,"EM ANDAMENTO"))</f>
        <v/>
      </c>
      <c r="Y248" s="2" t="str">
        <f aca="false">IF(R248="","",IF(COUNTIFS($C$5:$C$6004,R248,$O$5:$O$6004,"CONCLUÍDA",$N$5:$N$6004,"&gt;=-99")=0,"",_xlfn.MAXIFS($N$5:$N$6004,$C$5:$C$6004,R248,$O$5:$O$6004,"CONCLUÍDA")))</f>
        <v/>
      </c>
      <c r="Z248" s="2" t="str">
        <f aca="false">IF(R248="","",IF(COUNTIFS($C$5:$C$6004,R248,$O$5:$O$6004,"EM ANDAMENTO",$N$5:$N$6004,"&gt;=-99")=0,"",_xlfn.MAXIFS($N$5:$N$6004,$C$5:$C$6004,R248,$O$5:$O$6004,"EM ANDAMENTO")))</f>
        <v/>
      </c>
      <c r="AA248" s="2" t="str">
        <f aca="false"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 customFormat="false" ht="15" hidden="false" customHeight="false" outlineLevel="0" collapsed="false">
      <c r="B249" s="4" t="n">
        <v>29940909</v>
      </c>
      <c r="C249" s="4" t="s">
        <v>2341</v>
      </c>
      <c r="D249" s="4" t="s">
        <v>463</v>
      </c>
      <c r="E249" s="4" t="s">
        <v>2784</v>
      </c>
      <c r="F249" s="127" t="n">
        <v>46259</v>
      </c>
      <c r="G249" s="127" t="n">
        <v>46293</v>
      </c>
      <c r="H249" s="127" t="n">
        <v>46289</v>
      </c>
      <c r="I249" s="4" t="n">
        <v>79.31</v>
      </c>
      <c r="J249" s="4" t="n">
        <v>87.99992</v>
      </c>
      <c r="K249" s="4" t="n">
        <v>51.088</v>
      </c>
      <c r="M249" s="2" t="str">
        <f aca="false">IF(C249="","",IFERROR(INDEX($S$5:$S$304,MATCH(C249,$R$5:$R$304,0))&amp;"","?"))</f>
        <v>17</v>
      </c>
      <c r="N249" s="2" t="n">
        <f aca="false">IF(E249="","",IF(ISNUMBER(SEARCH("SUBSOLO",E249)),IFERROR(-VALUE(LEFT(E249,FIND("º",SUBSTITUTE(E249,"°","º"))-1)),-1),IF(LEFT(E249,6)="TÉRREO",0,IFERROR(VALUE(LEFT(E249,FIND("º",SUBSTITUTE(E249,"°","º"))-1)),""))))</f>
        <v>2</v>
      </c>
      <c r="O249" s="2" t="str">
        <f aca="false">IF(OR(F249="",G249=""),"",IF(G249&lt;='RETRATO 2027'!$K$5,"CONCLUÍDA",IF(F249&lt;='RETRATO 2027'!$K$5,"EM ANDAMENTO","A INICIAR")))</f>
        <v>CONCLUÍDA</v>
      </c>
      <c r="R249" s="4"/>
      <c r="S249" s="4"/>
      <c r="T249" s="4"/>
      <c r="U249" s="4"/>
      <c r="V249" s="2" t="str">
        <f aca="false">IF(R249="","",COUNTIF($C$5:$C$6004,R249))</f>
        <v/>
      </c>
      <c r="W249" s="2" t="str">
        <f aca="false">IF(R249="","",COUNTIFS($C$5:$C$6004,R249,$O$5:$O$6004,"CONCLUÍDA"))</f>
        <v/>
      </c>
      <c r="X249" s="2" t="str">
        <f aca="false">IF(R249="","",COUNTIFS($C$5:$C$6004,R249,$O$5:$O$6004,"EM ANDAMENTO"))</f>
        <v/>
      </c>
      <c r="Y249" s="2" t="str">
        <f aca="false">IF(R249="","",IF(COUNTIFS($C$5:$C$6004,R249,$O$5:$O$6004,"CONCLUÍDA",$N$5:$N$6004,"&gt;=-99")=0,"",_xlfn.MAXIFS($N$5:$N$6004,$C$5:$C$6004,R249,$O$5:$O$6004,"CONCLUÍDA")))</f>
        <v/>
      </c>
      <c r="Z249" s="2" t="str">
        <f aca="false">IF(R249="","",IF(COUNTIFS($C$5:$C$6004,R249,$O$5:$O$6004,"EM ANDAMENTO",$N$5:$N$6004,"&gt;=-99")=0,"",_xlfn.MAXIFS($N$5:$N$6004,$C$5:$C$6004,R249,$O$5:$O$6004,"EM ANDAMENTO")))</f>
        <v/>
      </c>
      <c r="AA249" s="2" t="str">
        <f aca="false"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 customFormat="false" ht="15" hidden="false" customHeight="false" outlineLevel="0" collapsed="false">
      <c r="B250" s="4" t="n">
        <v>31528956</v>
      </c>
      <c r="C250" s="4" t="s">
        <v>2341</v>
      </c>
      <c r="D250" s="4" t="s">
        <v>2312</v>
      </c>
      <c r="E250" s="4" t="s">
        <v>2784</v>
      </c>
      <c r="F250" s="127" t="n">
        <v>46259</v>
      </c>
      <c r="G250" s="127" t="n">
        <v>46282</v>
      </c>
      <c r="H250" s="127" t="n">
        <v>46289</v>
      </c>
      <c r="I250" s="4" t="n">
        <v>0</v>
      </c>
      <c r="J250" s="4" t="n">
        <v>100</v>
      </c>
      <c r="K250" s="4" t="n">
        <v>60.6</v>
      </c>
      <c r="M250" s="2" t="str">
        <f aca="false">IF(C250="","",IFERROR(INDEX($S$5:$S$304,MATCH(C250,$R$5:$R$304,0))&amp;"","?"))</f>
        <v>17</v>
      </c>
      <c r="N250" s="2" t="n">
        <f aca="false">IF(E250="","",IF(ISNUMBER(SEARCH("SUBSOLO",E250)),IFERROR(-VALUE(LEFT(E250,FIND("º",SUBSTITUTE(E250,"°","º"))-1)),-1),IF(LEFT(E250,6)="TÉRREO",0,IFERROR(VALUE(LEFT(E250,FIND("º",SUBSTITUTE(E250,"°","º"))-1)),""))))</f>
        <v>2</v>
      </c>
      <c r="O250" s="2" t="str">
        <f aca="false">IF(OR(F250="",G250=""),"",IF(G250&lt;='RETRATO 2027'!$K$5,"CONCLUÍDA",IF(F250&lt;='RETRATO 2027'!$K$5,"EM ANDAMENTO","A INICIAR")))</f>
        <v>CONCLUÍDA</v>
      </c>
      <c r="R250" s="4"/>
      <c r="S250" s="4"/>
      <c r="T250" s="4"/>
      <c r="U250" s="4"/>
      <c r="V250" s="2" t="str">
        <f aca="false">IF(R250="","",COUNTIF($C$5:$C$6004,R250))</f>
        <v/>
      </c>
      <c r="W250" s="2" t="str">
        <f aca="false">IF(R250="","",COUNTIFS($C$5:$C$6004,R250,$O$5:$O$6004,"CONCLUÍDA"))</f>
        <v/>
      </c>
      <c r="X250" s="2" t="str">
        <f aca="false">IF(R250="","",COUNTIFS($C$5:$C$6004,R250,$O$5:$O$6004,"EM ANDAMENTO"))</f>
        <v/>
      </c>
      <c r="Y250" s="2" t="str">
        <f aca="false">IF(R250="","",IF(COUNTIFS($C$5:$C$6004,R250,$O$5:$O$6004,"CONCLUÍDA",$N$5:$N$6004,"&gt;=-99")=0,"",_xlfn.MAXIFS($N$5:$N$6004,$C$5:$C$6004,R250,$O$5:$O$6004,"CONCLUÍDA")))</f>
        <v/>
      </c>
      <c r="Z250" s="2" t="str">
        <f aca="false">IF(R250="","",IF(COUNTIFS($C$5:$C$6004,R250,$O$5:$O$6004,"EM ANDAMENTO",$N$5:$N$6004,"&gt;=-99")=0,"",_xlfn.MAXIFS($N$5:$N$6004,$C$5:$C$6004,R250,$O$5:$O$6004,"EM ANDAMENTO")))</f>
        <v/>
      </c>
      <c r="AA250" s="2" t="str">
        <f aca="false"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 customFormat="false" ht="15" hidden="false" customHeight="false" outlineLevel="0" collapsed="false">
      <c r="B251" s="4" t="n">
        <v>31528957</v>
      </c>
      <c r="C251" s="4" t="s">
        <v>2341</v>
      </c>
      <c r="D251" s="4" t="s">
        <v>2309</v>
      </c>
      <c r="E251" s="4" t="s">
        <v>2784</v>
      </c>
      <c r="F251" s="127" t="n">
        <v>46283</v>
      </c>
      <c r="G251" s="127" t="n">
        <v>46290</v>
      </c>
      <c r="H251" s="127" t="n">
        <v>46289</v>
      </c>
      <c r="I251" s="4" t="n">
        <v>0</v>
      </c>
      <c r="J251" s="4" t="n">
        <v>83.333</v>
      </c>
      <c r="K251" s="4" t="n">
        <v>35.4</v>
      </c>
      <c r="M251" s="2" t="str">
        <f aca="false">IF(C251="","",IFERROR(INDEX($S$5:$S$304,MATCH(C251,$R$5:$R$304,0))&amp;"","?"))</f>
        <v>17</v>
      </c>
      <c r="N251" s="2" t="n">
        <f aca="false">IF(E251="","",IF(ISNUMBER(SEARCH("SUBSOLO",E251)),IFERROR(-VALUE(LEFT(E251,FIND("º",SUBSTITUTE(E251,"°","º"))-1)),-1),IF(LEFT(E251,6)="TÉRREO",0,IFERROR(VALUE(LEFT(E251,FIND("º",SUBSTITUTE(E251,"°","º"))-1)),""))))</f>
        <v>2</v>
      </c>
      <c r="O251" s="2" t="str">
        <f aca="false">IF(OR(F251="",G251=""),"",IF(G251&lt;='RETRATO 2027'!$K$5,"CONCLUÍDA",IF(F251&lt;='RETRATO 2027'!$K$5,"EM ANDAMENTO","A INICIAR")))</f>
        <v>CONCLUÍDA</v>
      </c>
      <c r="R251" s="4"/>
      <c r="S251" s="4"/>
      <c r="T251" s="4"/>
      <c r="U251" s="4"/>
      <c r="V251" s="2" t="str">
        <f aca="false">IF(R251="","",COUNTIF($C$5:$C$6004,R251))</f>
        <v/>
      </c>
      <c r="W251" s="2" t="str">
        <f aca="false">IF(R251="","",COUNTIFS($C$5:$C$6004,R251,$O$5:$O$6004,"CONCLUÍDA"))</f>
        <v/>
      </c>
      <c r="X251" s="2" t="str">
        <f aca="false">IF(R251="","",COUNTIFS($C$5:$C$6004,R251,$O$5:$O$6004,"EM ANDAMENTO"))</f>
        <v/>
      </c>
      <c r="Y251" s="2" t="str">
        <f aca="false">IF(R251="","",IF(COUNTIFS($C$5:$C$6004,R251,$O$5:$O$6004,"CONCLUÍDA",$N$5:$N$6004,"&gt;=-99")=0,"",_xlfn.MAXIFS($N$5:$N$6004,$C$5:$C$6004,R251,$O$5:$O$6004,"CONCLUÍDA")))</f>
        <v/>
      </c>
      <c r="Z251" s="2" t="str">
        <f aca="false">IF(R251="","",IF(COUNTIFS($C$5:$C$6004,R251,$O$5:$O$6004,"EM ANDAMENTO",$N$5:$N$6004,"&gt;=-99")=0,"",_xlfn.MAXIFS($N$5:$N$6004,$C$5:$C$6004,R251,$O$5:$O$6004,"EM ANDAMENTO")))</f>
        <v/>
      </c>
      <c r="AA251" s="2" t="str">
        <f aca="false"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 customFormat="false" ht="15" hidden="false" customHeight="false" outlineLevel="0" collapsed="false">
      <c r="B252" s="4" t="n">
        <v>31528958</v>
      </c>
      <c r="C252" s="4" t="s">
        <v>2341</v>
      </c>
      <c r="D252" s="4" t="s">
        <v>2314</v>
      </c>
      <c r="E252" s="4" t="s">
        <v>2784</v>
      </c>
      <c r="F252" s="127" t="n">
        <v>46293</v>
      </c>
      <c r="G252" s="127" t="n">
        <v>46293</v>
      </c>
      <c r="H252" s="127" t="n">
        <v>46289</v>
      </c>
      <c r="I252" s="4" t="n">
        <v>0</v>
      </c>
      <c r="J252" s="4" t="n">
        <v>0</v>
      </c>
      <c r="K252" s="4" t="n">
        <v>17.3</v>
      </c>
      <c r="M252" s="2" t="str">
        <f aca="false">IF(C252="","",IFERROR(INDEX($S$5:$S$304,MATCH(C252,$R$5:$R$304,0))&amp;"","?"))</f>
        <v>17</v>
      </c>
      <c r="N252" s="2" t="n">
        <f aca="false">IF(E252="","",IF(ISNUMBER(SEARCH("SUBSOLO",E252)),IFERROR(-VALUE(LEFT(E252,FIND("º",SUBSTITUTE(E252,"°","º"))-1)),-1),IF(LEFT(E252,6)="TÉRREO",0,IFERROR(VALUE(LEFT(E252,FIND("º",SUBSTITUTE(E252,"°","º"))-1)),""))))</f>
        <v>2</v>
      </c>
      <c r="O252" s="2" t="str">
        <f aca="false">IF(OR(F252="",G252=""),"",IF(G252&lt;='RETRATO 2027'!$K$5,"CONCLUÍDA",IF(F252&lt;='RETRATO 2027'!$K$5,"EM ANDAMENTO","A INICIAR")))</f>
        <v>CONCLUÍDA</v>
      </c>
      <c r="R252" s="4"/>
      <c r="S252" s="4"/>
      <c r="T252" s="4"/>
      <c r="U252" s="4"/>
      <c r="V252" s="2" t="str">
        <f aca="false">IF(R252="","",COUNTIF($C$5:$C$6004,R252))</f>
        <v/>
      </c>
      <c r="W252" s="2" t="str">
        <f aca="false">IF(R252="","",COUNTIFS($C$5:$C$6004,R252,$O$5:$O$6004,"CONCLUÍDA"))</f>
        <v/>
      </c>
      <c r="X252" s="2" t="str">
        <f aca="false">IF(R252="","",COUNTIFS($C$5:$C$6004,R252,$O$5:$O$6004,"EM ANDAMENTO"))</f>
        <v/>
      </c>
      <c r="Y252" s="2" t="str">
        <f aca="false">IF(R252="","",IF(COUNTIFS($C$5:$C$6004,R252,$O$5:$O$6004,"CONCLUÍDA",$N$5:$N$6004,"&gt;=-99")=0,"",_xlfn.MAXIFS($N$5:$N$6004,$C$5:$C$6004,R252,$O$5:$O$6004,"CONCLUÍDA")))</f>
        <v/>
      </c>
      <c r="Z252" s="2" t="str">
        <f aca="false">IF(R252="","",IF(COUNTIFS($C$5:$C$6004,R252,$O$5:$O$6004,"EM ANDAMENTO",$N$5:$N$6004,"&gt;=-99")=0,"",_xlfn.MAXIFS($N$5:$N$6004,$C$5:$C$6004,R252,$O$5:$O$6004,"EM ANDAMENTO")))</f>
        <v/>
      </c>
      <c r="AA252" s="2" t="str">
        <f aca="false"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 customFormat="false" ht="15" hidden="false" customHeight="false" outlineLevel="0" collapsed="false">
      <c r="B253" s="4" t="n">
        <v>31528959</v>
      </c>
      <c r="C253" s="4" t="s">
        <v>2341</v>
      </c>
      <c r="D253" s="4" t="s">
        <v>2758</v>
      </c>
      <c r="E253" s="4" t="s">
        <v>2784</v>
      </c>
      <c r="F253" s="127" t="n">
        <v>46293</v>
      </c>
      <c r="G253" s="127" t="n">
        <v>46293</v>
      </c>
      <c r="H253" s="127" t="n">
        <v>46289</v>
      </c>
      <c r="I253" s="4" t="n">
        <v>0</v>
      </c>
      <c r="J253" s="4" t="n">
        <v>0</v>
      </c>
      <c r="K253" s="4" t="n">
        <v>17.3</v>
      </c>
      <c r="M253" s="2" t="str">
        <f aca="false">IF(C253="","",IFERROR(INDEX($S$5:$S$304,MATCH(C253,$R$5:$R$304,0))&amp;"","?"))</f>
        <v>17</v>
      </c>
      <c r="N253" s="2" t="n">
        <f aca="false">IF(E253="","",IF(ISNUMBER(SEARCH("SUBSOLO",E253)),IFERROR(-VALUE(LEFT(E253,FIND("º",SUBSTITUTE(E253,"°","º"))-1)),-1),IF(LEFT(E253,6)="TÉRREO",0,IFERROR(VALUE(LEFT(E253,FIND("º",SUBSTITUTE(E253,"°","º"))-1)),""))))</f>
        <v>2</v>
      </c>
      <c r="O253" s="2" t="str">
        <f aca="false">IF(OR(F253="",G253=""),"",IF(G253&lt;='RETRATO 2027'!$K$5,"CONCLUÍDA",IF(F253&lt;='RETRATO 2027'!$K$5,"EM ANDAMENTO","A INICIAR")))</f>
        <v>CONCLUÍDA</v>
      </c>
      <c r="R253" s="4"/>
      <c r="S253" s="4"/>
      <c r="T253" s="4"/>
      <c r="U253" s="4"/>
      <c r="V253" s="2" t="str">
        <f aca="false">IF(R253="","",COUNTIF($C$5:$C$6004,R253))</f>
        <v/>
      </c>
      <c r="W253" s="2" t="str">
        <f aca="false">IF(R253="","",COUNTIFS($C$5:$C$6004,R253,$O$5:$O$6004,"CONCLUÍDA"))</f>
        <v/>
      </c>
      <c r="X253" s="2" t="str">
        <f aca="false">IF(R253="","",COUNTIFS($C$5:$C$6004,R253,$O$5:$O$6004,"EM ANDAMENTO"))</f>
        <v/>
      </c>
      <c r="Y253" s="2" t="str">
        <f aca="false">IF(R253="","",IF(COUNTIFS($C$5:$C$6004,R253,$O$5:$O$6004,"CONCLUÍDA",$N$5:$N$6004,"&gt;=-99")=0,"",_xlfn.MAXIFS($N$5:$N$6004,$C$5:$C$6004,R253,$O$5:$O$6004,"CONCLUÍDA")))</f>
        <v/>
      </c>
      <c r="Z253" s="2" t="str">
        <f aca="false">IF(R253="","",IF(COUNTIFS($C$5:$C$6004,R253,$O$5:$O$6004,"EM ANDAMENTO",$N$5:$N$6004,"&gt;=-99")=0,"",_xlfn.MAXIFS($N$5:$N$6004,$C$5:$C$6004,R253,$O$5:$O$6004,"EM ANDAMENTO")))</f>
        <v/>
      </c>
      <c r="AA253" s="2" t="str">
        <f aca="false"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 customFormat="false" ht="15" hidden="false" customHeight="false" outlineLevel="0" collapsed="false">
      <c r="B254" s="4" t="n">
        <v>30608451</v>
      </c>
      <c r="C254" s="4" t="s">
        <v>2364</v>
      </c>
      <c r="D254" s="4" t="s">
        <v>463</v>
      </c>
      <c r="E254" s="4" t="s">
        <v>81</v>
      </c>
      <c r="F254" s="127" t="n">
        <v>46273</v>
      </c>
      <c r="G254" s="127" t="n">
        <v>46311</v>
      </c>
      <c r="H254" s="127" t="n">
        <v>46289</v>
      </c>
      <c r="I254" s="4" t="n">
        <v>0</v>
      </c>
      <c r="J254" s="4" t="n">
        <v>46.429</v>
      </c>
      <c r="K254" s="4" t="n">
        <v>0</v>
      </c>
      <c r="M254" s="2" t="str">
        <f aca="false">IF(C254="","",IFERROR(INDEX($S$5:$S$304,MATCH(C254,$R$5:$R$304,0))&amp;"","?"))</f>
        <v>14</v>
      </c>
      <c r="N254" s="2" t="str">
        <f aca="false">IF(E254="","",IF(ISNUMBER(SEARCH("SUBSOLO",E254)),IFERROR(-VALUE(LEFT(E254,FIND("º",SUBSTITUTE(E254,"°","º"))-1)),-1),IF(LEFT(E254,6)="TÉRREO",0,IFERROR(VALUE(LEFT(E254,FIND("º",SUBSTITUTE(E254,"°","º"))-1)),""))))</f>
        <v/>
      </c>
      <c r="O254" s="2" t="str">
        <f aca="false">IF(OR(F254="",G254=""),"",IF(G254&lt;='RETRATO 2027'!$K$5,"CONCLUÍDA",IF(F254&lt;='RETRATO 2027'!$K$5,"EM ANDAMENTO","A INICIAR")))</f>
        <v>CONCLUÍDA</v>
      </c>
      <c r="R254" s="4"/>
      <c r="S254" s="4"/>
      <c r="T254" s="4"/>
      <c r="U254" s="4"/>
      <c r="V254" s="2" t="str">
        <f aca="false">IF(R254="","",COUNTIF($C$5:$C$6004,R254))</f>
        <v/>
      </c>
      <c r="W254" s="2" t="str">
        <f aca="false">IF(R254="","",COUNTIFS($C$5:$C$6004,R254,$O$5:$O$6004,"CONCLUÍDA"))</f>
        <v/>
      </c>
      <c r="X254" s="2" t="str">
        <f aca="false">IF(R254="","",COUNTIFS($C$5:$C$6004,R254,$O$5:$O$6004,"EM ANDAMENTO"))</f>
        <v/>
      </c>
      <c r="Y254" s="2" t="str">
        <f aca="false">IF(R254="","",IF(COUNTIFS($C$5:$C$6004,R254,$O$5:$O$6004,"CONCLUÍDA",$N$5:$N$6004,"&gt;=-99")=0,"",_xlfn.MAXIFS($N$5:$N$6004,$C$5:$C$6004,R254,$O$5:$O$6004,"CONCLUÍDA")))</f>
        <v/>
      </c>
      <c r="Z254" s="2" t="str">
        <f aca="false">IF(R254="","",IF(COUNTIFS($C$5:$C$6004,R254,$O$5:$O$6004,"EM ANDAMENTO",$N$5:$N$6004,"&gt;=-99")=0,"",_xlfn.MAXIFS($N$5:$N$6004,$C$5:$C$6004,R254,$O$5:$O$6004,"EM ANDAMENTO")))</f>
        <v/>
      </c>
      <c r="AA254" s="2" t="str">
        <f aca="false"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 customFormat="false" ht="15" hidden="false" customHeight="false" outlineLevel="0" collapsed="false">
      <c r="B255" s="4" t="n">
        <v>46237033</v>
      </c>
      <c r="C255" s="4" t="s">
        <v>2367</v>
      </c>
      <c r="D255" s="4" t="s">
        <v>463</v>
      </c>
      <c r="E255" s="4" t="s">
        <v>81</v>
      </c>
      <c r="F255" s="127" t="n">
        <v>46286</v>
      </c>
      <c r="G255" s="127" t="n">
        <v>46296</v>
      </c>
      <c r="H255" s="127" t="n">
        <v>46289</v>
      </c>
      <c r="I255" s="4" t="n">
        <v>0</v>
      </c>
      <c r="J255" s="4" t="n">
        <v>44.44444444</v>
      </c>
      <c r="K255" s="4" t="n">
        <v>0</v>
      </c>
      <c r="M255" s="2" t="str">
        <f aca="false">IF(C255="","",IFERROR(INDEX($S$5:$S$304,MATCH(C255,$R$5:$R$304,0))&amp;"","?"))</f>
        <v>16</v>
      </c>
      <c r="N255" s="2" t="str">
        <f aca="false">IF(E255="","",IF(ISNUMBER(SEARCH("SUBSOLO",E255)),IFERROR(-VALUE(LEFT(E255,FIND("º",SUBSTITUTE(E255,"°","º"))-1)),-1),IF(LEFT(E255,6)="TÉRREO",0,IFERROR(VALUE(LEFT(E255,FIND("º",SUBSTITUTE(E255,"°","º"))-1)),""))))</f>
        <v/>
      </c>
      <c r="O255" s="2" t="str">
        <f aca="false">IF(OR(F255="",G255=""),"",IF(G255&lt;='RETRATO 2027'!$K$5,"CONCLUÍDA",IF(F255&lt;='RETRATO 2027'!$K$5,"EM ANDAMENTO","A INICIAR")))</f>
        <v>CONCLUÍDA</v>
      </c>
      <c r="R255" s="4"/>
      <c r="S255" s="4"/>
      <c r="T255" s="4"/>
      <c r="U255" s="4"/>
      <c r="V255" s="2" t="str">
        <f aca="false">IF(R255="","",COUNTIF($C$5:$C$6004,R255))</f>
        <v/>
      </c>
      <c r="W255" s="2" t="str">
        <f aca="false">IF(R255="","",COUNTIFS($C$5:$C$6004,R255,$O$5:$O$6004,"CONCLUÍDA"))</f>
        <v/>
      </c>
      <c r="X255" s="2" t="str">
        <f aca="false">IF(R255="","",COUNTIFS($C$5:$C$6004,R255,$O$5:$O$6004,"EM ANDAMENTO"))</f>
        <v/>
      </c>
      <c r="Y255" s="2" t="str">
        <f aca="false">IF(R255="","",IF(COUNTIFS($C$5:$C$6004,R255,$O$5:$O$6004,"CONCLUÍDA",$N$5:$N$6004,"&gt;=-99")=0,"",_xlfn.MAXIFS($N$5:$N$6004,$C$5:$C$6004,R255,$O$5:$O$6004,"CONCLUÍDA")))</f>
        <v/>
      </c>
      <c r="Z255" s="2" t="str">
        <f aca="false">IF(R255="","",IF(COUNTIFS($C$5:$C$6004,R255,$O$5:$O$6004,"EM ANDAMENTO",$N$5:$N$6004,"&gt;=-99")=0,"",_xlfn.MAXIFS($N$5:$N$6004,$C$5:$C$6004,R255,$O$5:$O$6004,"EM ANDAMENTO")))</f>
        <v/>
      </c>
      <c r="AA255" s="2" t="str">
        <f aca="false"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 customFormat="false" ht="15" hidden="false" customHeight="false" outlineLevel="0" collapsed="false">
      <c r="B256" s="4" t="n">
        <v>30974180</v>
      </c>
      <c r="C256" s="4" t="s">
        <v>2367</v>
      </c>
      <c r="D256" s="4" t="s">
        <v>2787</v>
      </c>
      <c r="E256" s="4" t="s">
        <v>81</v>
      </c>
      <c r="F256" s="127" t="n">
        <v>46286</v>
      </c>
      <c r="G256" s="127" t="n">
        <v>46289</v>
      </c>
      <c r="H256" s="127" t="n">
        <v>46289</v>
      </c>
      <c r="I256" s="4" t="n">
        <v>0</v>
      </c>
      <c r="J256" s="4" t="n">
        <v>100</v>
      </c>
      <c r="K256" s="4" t="n">
        <v>0</v>
      </c>
      <c r="M256" s="2" t="str">
        <f aca="false">IF(C256="","",IFERROR(INDEX($S$5:$S$304,MATCH(C256,$R$5:$R$304,0))&amp;"","?"))</f>
        <v>16</v>
      </c>
      <c r="N256" s="2" t="str">
        <f aca="false">IF(E256="","",IF(ISNUMBER(SEARCH("SUBSOLO",E256)),IFERROR(-VALUE(LEFT(E256,FIND("º",SUBSTITUTE(E256,"°","º"))-1)),-1),IF(LEFT(E256,6)="TÉRREO",0,IFERROR(VALUE(LEFT(E256,FIND("º",SUBSTITUTE(E256,"°","º"))-1)),""))))</f>
        <v/>
      </c>
      <c r="O256" s="2" t="str">
        <f aca="false">IF(OR(F256="",G256=""),"",IF(G256&lt;='RETRATO 2027'!$K$5,"CONCLUÍDA",IF(F256&lt;='RETRATO 2027'!$K$5,"EM ANDAMENTO","A INICIAR")))</f>
        <v>CONCLUÍDA</v>
      </c>
      <c r="R256" s="4"/>
      <c r="S256" s="4"/>
      <c r="T256" s="4"/>
      <c r="U256" s="4"/>
      <c r="V256" s="2" t="str">
        <f aca="false">IF(R256="","",COUNTIF($C$5:$C$6004,R256))</f>
        <v/>
      </c>
      <c r="W256" s="2" t="str">
        <f aca="false">IF(R256="","",COUNTIFS($C$5:$C$6004,R256,$O$5:$O$6004,"CONCLUÍDA"))</f>
        <v/>
      </c>
      <c r="X256" s="2" t="str">
        <f aca="false">IF(R256="","",COUNTIFS($C$5:$C$6004,R256,$O$5:$O$6004,"EM ANDAMENTO"))</f>
        <v/>
      </c>
      <c r="Y256" s="2" t="str">
        <f aca="false">IF(R256="","",IF(COUNTIFS($C$5:$C$6004,R256,$O$5:$O$6004,"CONCLUÍDA",$N$5:$N$6004,"&gt;=-99")=0,"",_xlfn.MAXIFS($N$5:$N$6004,$C$5:$C$6004,R256,$O$5:$O$6004,"CONCLUÍDA")))</f>
        <v/>
      </c>
      <c r="Z256" s="2" t="str">
        <f aca="false">IF(R256="","",IF(COUNTIFS($C$5:$C$6004,R256,$O$5:$O$6004,"EM ANDAMENTO",$N$5:$N$6004,"&gt;=-99")=0,"",_xlfn.MAXIFS($N$5:$N$6004,$C$5:$C$6004,R256,$O$5:$O$6004,"EM ANDAMENTO")))</f>
        <v/>
      </c>
      <c r="AA256" s="2" t="str">
        <f aca="false"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 customFormat="false" ht="15" hidden="false" customHeight="false" outlineLevel="0" collapsed="false">
      <c r="B257" s="4" t="n">
        <v>30974181</v>
      </c>
      <c r="C257" s="4" t="s">
        <v>2367</v>
      </c>
      <c r="D257" s="4" t="s">
        <v>2788</v>
      </c>
      <c r="E257" s="4" t="s">
        <v>81</v>
      </c>
      <c r="F257" s="127" t="n">
        <v>46290</v>
      </c>
      <c r="G257" s="127" t="n">
        <v>46295</v>
      </c>
      <c r="H257" s="127" t="n">
        <v>46289</v>
      </c>
      <c r="I257" s="4" t="n">
        <v>0</v>
      </c>
      <c r="J257" s="4" t="n">
        <v>0</v>
      </c>
      <c r="K257" s="4" t="n">
        <v>0</v>
      </c>
      <c r="M257" s="2" t="str">
        <f aca="false">IF(C257="","",IFERROR(INDEX($S$5:$S$304,MATCH(C257,$R$5:$R$304,0))&amp;"","?"))</f>
        <v>16</v>
      </c>
      <c r="N257" s="2" t="str">
        <f aca="false">IF(E257="","",IF(ISNUMBER(SEARCH("SUBSOLO",E257)),IFERROR(-VALUE(LEFT(E257,FIND("º",SUBSTITUTE(E257,"°","º"))-1)),-1),IF(LEFT(E257,6)="TÉRREO",0,IFERROR(VALUE(LEFT(E257,FIND("º",SUBSTITUTE(E257,"°","º"))-1)),""))))</f>
        <v/>
      </c>
      <c r="O257" s="2" t="str">
        <f aca="false">IF(OR(F257="",G257=""),"",IF(G257&lt;='RETRATO 2027'!$K$5,"CONCLUÍDA",IF(F257&lt;='RETRATO 2027'!$K$5,"EM ANDAMENTO","A INICIAR")))</f>
        <v>CONCLUÍDA</v>
      </c>
      <c r="R257" s="4"/>
      <c r="S257" s="4"/>
      <c r="T257" s="4"/>
      <c r="U257" s="4"/>
      <c r="V257" s="2" t="str">
        <f aca="false">IF(R257="","",COUNTIF($C$5:$C$6004,R257))</f>
        <v/>
      </c>
      <c r="W257" s="2" t="str">
        <f aca="false">IF(R257="","",COUNTIFS($C$5:$C$6004,R257,$O$5:$O$6004,"CONCLUÍDA"))</f>
        <v/>
      </c>
      <c r="X257" s="2" t="str">
        <f aca="false">IF(R257="","",COUNTIFS($C$5:$C$6004,R257,$O$5:$O$6004,"EM ANDAMENTO"))</f>
        <v/>
      </c>
      <c r="Y257" s="2" t="str">
        <f aca="false">IF(R257="","",IF(COUNTIFS($C$5:$C$6004,R257,$O$5:$O$6004,"CONCLUÍDA",$N$5:$N$6004,"&gt;=-99")=0,"",_xlfn.MAXIFS($N$5:$N$6004,$C$5:$C$6004,R257,$O$5:$O$6004,"CONCLUÍDA")))</f>
        <v/>
      </c>
      <c r="Z257" s="2" t="str">
        <f aca="false">IF(R257="","",IF(COUNTIFS($C$5:$C$6004,R257,$O$5:$O$6004,"EM ANDAMENTO",$N$5:$N$6004,"&gt;=-99")=0,"",_xlfn.MAXIFS($N$5:$N$6004,$C$5:$C$6004,R257,$O$5:$O$6004,"EM ANDAMENTO")))</f>
        <v/>
      </c>
      <c r="AA257" s="2" t="str">
        <f aca="false"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 customFormat="false" ht="15" hidden="false" customHeight="false" outlineLevel="0" collapsed="false">
      <c r="B258" s="4" t="n">
        <v>30974182</v>
      </c>
      <c r="C258" s="4" t="s">
        <v>2367</v>
      </c>
      <c r="D258" s="4" t="s">
        <v>2789</v>
      </c>
      <c r="E258" s="4" t="s">
        <v>81</v>
      </c>
      <c r="F258" s="127" t="n">
        <v>46296</v>
      </c>
      <c r="G258" s="127" t="n">
        <v>46296</v>
      </c>
      <c r="H258" s="127" t="n">
        <v>46289</v>
      </c>
      <c r="I258" s="4" t="n">
        <v>0</v>
      </c>
      <c r="J258" s="4" t="n">
        <v>0</v>
      </c>
      <c r="K258" s="4" t="n">
        <v>0</v>
      </c>
      <c r="M258" s="2" t="str">
        <f aca="false">IF(C258="","",IFERROR(INDEX($S$5:$S$304,MATCH(C258,$R$5:$R$304,0))&amp;"","?"))</f>
        <v>16</v>
      </c>
      <c r="N258" s="2" t="str">
        <f aca="false">IF(E258="","",IF(ISNUMBER(SEARCH("SUBSOLO",E258)),IFERROR(-VALUE(LEFT(E258,FIND("º",SUBSTITUTE(E258,"°","º"))-1)),-1),IF(LEFT(E258,6)="TÉRREO",0,IFERROR(VALUE(LEFT(E258,FIND("º",SUBSTITUTE(E258,"°","º"))-1)),""))))</f>
        <v/>
      </c>
      <c r="O258" s="2" t="str">
        <f aca="false">IF(OR(F258="",G258=""),"",IF(G258&lt;='RETRATO 2027'!$K$5,"CONCLUÍDA",IF(F258&lt;='RETRATO 2027'!$K$5,"EM ANDAMENTO","A INICIAR")))</f>
        <v>CONCLUÍDA</v>
      </c>
      <c r="R258" s="4"/>
      <c r="S258" s="4"/>
      <c r="T258" s="4"/>
      <c r="U258" s="4"/>
      <c r="V258" s="2" t="str">
        <f aca="false">IF(R258="","",COUNTIF($C$5:$C$6004,R258))</f>
        <v/>
      </c>
      <c r="W258" s="2" t="str">
        <f aca="false">IF(R258="","",COUNTIFS($C$5:$C$6004,R258,$O$5:$O$6004,"CONCLUÍDA"))</f>
        <v/>
      </c>
      <c r="X258" s="2" t="str">
        <f aca="false">IF(R258="","",COUNTIFS($C$5:$C$6004,R258,$O$5:$O$6004,"EM ANDAMENTO"))</f>
        <v/>
      </c>
      <c r="Y258" s="2" t="str">
        <f aca="false">IF(R258="","",IF(COUNTIFS($C$5:$C$6004,R258,$O$5:$O$6004,"CONCLUÍDA",$N$5:$N$6004,"&gt;=-99")=0,"",_xlfn.MAXIFS($N$5:$N$6004,$C$5:$C$6004,R258,$O$5:$O$6004,"CONCLUÍDA")))</f>
        <v/>
      </c>
      <c r="Z258" s="2" t="str">
        <f aca="false">IF(R258="","",IF(COUNTIFS($C$5:$C$6004,R258,$O$5:$O$6004,"EM ANDAMENTO",$N$5:$N$6004,"&gt;=-99")=0,"",_xlfn.MAXIFS($N$5:$N$6004,$C$5:$C$6004,R258,$O$5:$O$6004,"EM ANDAMENTO")))</f>
        <v/>
      </c>
      <c r="AA258" s="2" t="str">
        <f aca="false"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 customFormat="false" ht="15" hidden="false" customHeight="false" outlineLevel="0" collapsed="false">
      <c r="B259" s="4" t="n">
        <v>29940607</v>
      </c>
      <c r="C259" s="4" t="s">
        <v>2341</v>
      </c>
      <c r="D259" s="4" t="s">
        <v>463</v>
      </c>
      <c r="E259" s="4" t="s">
        <v>2790</v>
      </c>
      <c r="F259" s="127" t="n">
        <v>46294</v>
      </c>
      <c r="G259" s="127" t="n">
        <v>46321</v>
      </c>
      <c r="H259" s="127" t="n">
        <v>46289</v>
      </c>
      <c r="I259" s="4" t="n">
        <v>0</v>
      </c>
      <c r="J259" s="4" t="n">
        <v>0</v>
      </c>
      <c r="K259" s="4" t="n">
        <v>0</v>
      </c>
      <c r="M259" s="2" t="str">
        <f aca="false">IF(C259="","",IFERROR(INDEX($S$5:$S$304,MATCH(C259,$R$5:$R$304,0))&amp;"","?"))</f>
        <v>17</v>
      </c>
      <c r="N259" s="2" t="n">
        <f aca="false">IF(E259="","",IF(ISNUMBER(SEARCH("SUBSOLO",E259)),IFERROR(-VALUE(LEFT(E259,FIND("º",SUBSTITUTE(E259,"°","º"))-1)),-1),IF(LEFT(E259,6)="TÉRREO",0,IFERROR(VALUE(LEFT(E259,FIND("º",SUBSTITUTE(E259,"°","º"))-1)),""))))</f>
        <v>3</v>
      </c>
      <c r="O259" s="2" t="str">
        <f aca="false">IF(OR(F259="",G259=""),"",IF(G259&lt;='RETRATO 2027'!$K$5,"CONCLUÍDA",IF(F259&lt;='RETRATO 2027'!$K$5,"EM ANDAMENTO","A INICIAR")))</f>
        <v>CONCLUÍDA</v>
      </c>
      <c r="R259" s="4"/>
      <c r="S259" s="4"/>
      <c r="T259" s="4"/>
      <c r="U259" s="4"/>
      <c r="V259" s="2" t="str">
        <f aca="false">IF(R259="","",COUNTIF($C$5:$C$6004,R259))</f>
        <v/>
      </c>
      <c r="W259" s="2" t="str">
        <f aca="false">IF(R259="","",COUNTIFS($C$5:$C$6004,R259,$O$5:$O$6004,"CONCLUÍDA"))</f>
        <v/>
      </c>
      <c r="X259" s="2" t="str">
        <f aca="false">IF(R259="","",COUNTIFS($C$5:$C$6004,R259,$O$5:$O$6004,"EM ANDAMENTO"))</f>
        <v/>
      </c>
      <c r="Y259" s="2" t="str">
        <f aca="false">IF(R259="","",IF(COUNTIFS($C$5:$C$6004,R259,$O$5:$O$6004,"CONCLUÍDA",$N$5:$N$6004,"&gt;=-99")=0,"",_xlfn.MAXIFS($N$5:$N$6004,$C$5:$C$6004,R259,$O$5:$O$6004,"CONCLUÍDA")))</f>
        <v/>
      </c>
      <c r="Z259" s="2" t="str">
        <f aca="false">IF(R259="","",IF(COUNTIFS($C$5:$C$6004,R259,$O$5:$O$6004,"EM ANDAMENTO",$N$5:$N$6004,"&gt;=-99")=0,"",_xlfn.MAXIFS($N$5:$N$6004,$C$5:$C$6004,R259,$O$5:$O$6004,"EM ANDAMENTO")))</f>
        <v/>
      </c>
      <c r="AA259" s="2" t="str">
        <f aca="false"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 customFormat="false" ht="15" hidden="false" customHeight="false" outlineLevel="0" collapsed="false">
      <c r="B260" s="4" t="n">
        <v>31528960</v>
      </c>
      <c r="C260" s="4" t="s">
        <v>2341</v>
      </c>
      <c r="D260" s="4" t="s">
        <v>2312</v>
      </c>
      <c r="E260" s="4" t="s">
        <v>2790</v>
      </c>
      <c r="F260" s="127" t="n">
        <v>46294</v>
      </c>
      <c r="G260" s="127" t="n">
        <v>46310</v>
      </c>
      <c r="H260" s="127" t="n">
        <v>46289</v>
      </c>
      <c r="I260" s="4" t="n">
        <v>0</v>
      </c>
      <c r="J260" s="4" t="n">
        <v>0</v>
      </c>
      <c r="K260" s="4" t="n">
        <v>0</v>
      </c>
      <c r="M260" s="2" t="str">
        <f aca="false">IF(C260="","",IFERROR(INDEX($S$5:$S$304,MATCH(C260,$R$5:$R$304,0))&amp;"","?"))</f>
        <v>17</v>
      </c>
      <c r="N260" s="2" t="n">
        <f aca="false">IF(E260="","",IF(ISNUMBER(SEARCH("SUBSOLO",E260)),IFERROR(-VALUE(LEFT(E260,FIND("º",SUBSTITUTE(E260,"°","º"))-1)),-1),IF(LEFT(E260,6)="TÉRREO",0,IFERROR(VALUE(LEFT(E260,FIND("º",SUBSTITUTE(E260,"°","º"))-1)),""))))</f>
        <v>3</v>
      </c>
      <c r="O260" s="2" t="str">
        <f aca="false">IF(OR(F260="",G260=""),"",IF(G260&lt;='RETRATO 2027'!$K$5,"CONCLUÍDA",IF(F260&lt;='RETRATO 2027'!$K$5,"EM ANDAMENTO","A INICIAR")))</f>
        <v>CONCLUÍDA</v>
      </c>
      <c r="R260" s="4"/>
      <c r="S260" s="4"/>
      <c r="T260" s="4"/>
      <c r="U260" s="4"/>
      <c r="V260" s="2" t="str">
        <f aca="false">IF(R260="","",COUNTIF($C$5:$C$6004,R260))</f>
        <v/>
      </c>
      <c r="W260" s="2" t="str">
        <f aca="false">IF(R260="","",COUNTIFS($C$5:$C$6004,R260,$O$5:$O$6004,"CONCLUÍDA"))</f>
        <v/>
      </c>
      <c r="X260" s="2" t="str">
        <f aca="false">IF(R260="","",COUNTIFS($C$5:$C$6004,R260,$O$5:$O$6004,"EM ANDAMENTO"))</f>
        <v/>
      </c>
      <c r="Y260" s="2" t="str">
        <f aca="false">IF(R260="","",IF(COUNTIFS($C$5:$C$6004,R260,$O$5:$O$6004,"CONCLUÍDA",$N$5:$N$6004,"&gt;=-99")=0,"",_xlfn.MAXIFS($N$5:$N$6004,$C$5:$C$6004,R260,$O$5:$O$6004,"CONCLUÍDA")))</f>
        <v/>
      </c>
      <c r="Z260" s="2" t="str">
        <f aca="false">IF(R260="","",IF(COUNTIFS($C$5:$C$6004,R260,$O$5:$O$6004,"EM ANDAMENTO",$N$5:$N$6004,"&gt;=-99")=0,"",_xlfn.MAXIFS($N$5:$N$6004,$C$5:$C$6004,R260,$O$5:$O$6004,"EM ANDAMENTO")))</f>
        <v/>
      </c>
      <c r="AA260" s="2" t="str">
        <f aca="false"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 customFormat="false" ht="15" hidden="false" customHeight="false" outlineLevel="0" collapsed="false">
      <c r="B261" s="4" t="n">
        <v>31528961</v>
      </c>
      <c r="C261" s="4" t="s">
        <v>2341</v>
      </c>
      <c r="D261" s="4" t="s">
        <v>2309</v>
      </c>
      <c r="E261" s="4" t="s">
        <v>2790</v>
      </c>
      <c r="F261" s="127" t="n">
        <v>46311</v>
      </c>
      <c r="G261" s="127" t="n">
        <v>46318</v>
      </c>
      <c r="H261" s="127" t="n">
        <v>46289</v>
      </c>
      <c r="I261" s="4" t="n">
        <v>0</v>
      </c>
      <c r="J261" s="4" t="n">
        <v>0</v>
      </c>
      <c r="K261" s="4" t="n">
        <v>0</v>
      </c>
      <c r="M261" s="2" t="str">
        <f aca="false">IF(C261="","",IFERROR(INDEX($S$5:$S$304,MATCH(C261,$R$5:$R$304,0))&amp;"","?"))</f>
        <v>17</v>
      </c>
      <c r="N261" s="2" t="n">
        <f aca="false">IF(E261="","",IF(ISNUMBER(SEARCH("SUBSOLO",E261)),IFERROR(-VALUE(LEFT(E261,FIND("º",SUBSTITUTE(E261,"°","º"))-1)),-1),IF(LEFT(E261,6)="TÉRREO",0,IFERROR(VALUE(LEFT(E261,FIND("º",SUBSTITUTE(E261,"°","º"))-1)),""))))</f>
        <v>3</v>
      </c>
      <c r="O261" s="2" t="str">
        <f aca="false">IF(OR(F261="",G261=""),"",IF(G261&lt;='RETRATO 2027'!$K$5,"CONCLUÍDA",IF(F261&lt;='RETRATO 2027'!$K$5,"EM ANDAMENTO","A INICIAR")))</f>
        <v>CONCLUÍDA</v>
      </c>
      <c r="R261" s="4"/>
      <c r="S261" s="4"/>
      <c r="T261" s="4"/>
      <c r="U261" s="4"/>
      <c r="V261" s="2" t="str">
        <f aca="false">IF(R261="","",COUNTIF($C$5:$C$6004,R261))</f>
        <v/>
      </c>
      <c r="W261" s="2" t="str">
        <f aca="false">IF(R261="","",COUNTIFS($C$5:$C$6004,R261,$O$5:$O$6004,"CONCLUÍDA"))</f>
        <v/>
      </c>
      <c r="X261" s="2" t="str">
        <f aca="false">IF(R261="","",COUNTIFS($C$5:$C$6004,R261,$O$5:$O$6004,"EM ANDAMENTO"))</f>
        <v/>
      </c>
      <c r="Y261" s="2" t="str">
        <f aca="false">IF(R261="","",IF(COUNTIFS($C$5:$C$6004,R261,$O$5:$O$6004,"CONCLUÍDA",$N$5:$N$6004,"&gt;=-99")=0,"",_xlfn.MAXIFS($N$5:$N$6004,$C$5:$C$6004,R261,$O$5:$O$6004,"CONCLUÍDA")))</f>
        <v/>
      </c>
      <c r="Z261" s="2" t="str">
        <f aca="false">IF(R261="","",IF(COUNTIFS($C$5:$C$6004,R261,$O$5:$O$6004,"EM ANDAMENTO",$N$5:$N$6004,"&gt;=-99")=0,"",_xlfn.MAXIFS($N$5:$N$6004,$C$5:$C$6004,R261,$O$5:$O$6004,"EM ANDAMENTO")))</f>
        <v/>
      </c>
      <c r="AA261" s="2" t="str">
        <f aca="false"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 customFormat="false" ht="15" hidden="false" customHeight="false" outlineLevel="0" collapsed="false">
      <c r="B262" s="4" t="n">
        <v>31528962</v>
      </c>
      <c r="C262" s="4" t="s">
        <v>2341</v>
      </c>
      <c r="D262" s="4" t="s">
        <v>2314</v>
      </c>
      <c r="E262" s="4" t="s">
        <v>2790</v>
      </c>
      <c r="F262" s="127" t="n">
        <v>46321</v>
      </c>
      <c r="G262" s="127" t="n">
        <v>46321</v>
      </c>
      <c r="H262" s="127" t="n">
        <v>46289</v>
      </c>
      <c r="I262" s="4" t="n">
        <v>0</v>
      </c>
      <c r="J262" s="4" t="n">
        <v>0</v>
      </c>
      <c r="K262" s="4" t="n">
        <v>0</v>
      </c>
      <c r="M262" s="2" t="str">
        <f aca="false">IF(C262="","",IFERROR(INDEX($S$5:$S$304,MATCH(C262,$R$5:$R$304,0))&amp;"","?"))</f>
        <v>17</v>
      </c>
      <c r="N262" s="2" t="n">
        <f aca="false">IF(E262="","",IF(ISNUMBER(SEARCH("SUBSOLO",E262)),IFERROR(-VALUE(LEFT(E262,FIND("º",SUBSTITUTE(E262,"°","º"))-1)),-1),IF(LEFT(E262,6)="TÉRREO",0,IFERROR(VALUE(LEFT(E262,FIND("º",SUBSTITUTE(E262,"°","º"))-1)),""))))</f>
        <v>3</v>
      </c>
      <c r="O262" s="2" t="str">
        <f aca="false">IF(OR(F262="",G262=""),"",IF(G262&lt;='RETRATO 2027'!$K$5,"CONCLUÍDA",IF(F262&lt;='RETRATO 2027'!$K$5,"EM ANDAMENTO","A INICIAR")))</f>
        <v>CONCLUÍDA</v>
      </c>
      <c r="R262" s="4"/>
      <c r="S262" s="4"/>
      <c r="T262" s="4"/>
      <c r="U262" s="4"/>
      <c r="V262" s="2" t="str">
        <f aca="false">IF(R262="","",COUNTIF($C$5:$C$6004,R262))</f>
        <v/>
      </c>
      <c r="W262" s="2" t="str">
        <f aca="false">IF(R262="","",COUNTIFS($C$5:$C$6004,R262,$O$5:$O$6004,"CONCLUÍDA"))</f>
        <v/>
      </c>
      <c r="X262" s="2" t="str">
        <f aca="false">IF(R262="","",COUNTIFS($C$5:$C$6004,R262,$O$5:$O$6004,"EM ANDAMENTO"))</f>
        <v/>
      </c>
      <c r="Y262" s="2" t="str">
        <f aca="false">IF(R262="","",IF(COUNTIFS($C$5:$C$6004,R262,$O$5:$O$6004,"CONCLUÍDA",$N$5:$N$6004,"&gt;=-99")=0,"",_xlfn.MAXIFS($N$5:$N$6004,$C$5:$C$6004,R262,$O$5:$O$6004,"CONCLUÍDA")))</f>
        <v/>
      </c>
      <c r="Z262" s="2" t="str">
        <f aca="false">IF(R262="","",IF(COUNTIFS($C$5:$C$6004,R262,$O$5:$O$6004,"EM ANDAMENTO",$N$5:$N$6004,"&gt;=-99")=0,"",_xlfn.MAXIFS($N$5:$N$6004,$C$5:$C$6004,R262,$O$5:$O$6004,"EM ANDAMENTO")))</f>
        <v/>
      </c>
      <c r="AA262" s="2" t="str">
        <f aca="false"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 customFormat="false" ht="15" hidden="false" customHeight="false" outlineLevel="0" collapsed="false">
      <c r="B263" s="4" t="n">
        <v>31528963</v>
      </c>
      <c r="C263" s="4" t="s">
        <v>2341</v>
      </c>
      <c r="D263" s="4" t="s">
        <v>2758</v>
      </c>
      <c r="E263" s="4" t="s">
        <v>2790</v>
      </c>
      <c r="F263" s="127" t="n">
        <v>46321</v>
      </c>
      <c r="G263" s="127" t="n">
        <v>46321</v>
      </c>
      <c r="H263" s="127" t="n">
        <v>46289</v>
      </c>
      <c r="I263" s="4" t="n">
        <v>0</v>
      </c>
      <c r="J263" s="4" t="n">
        <v>0</v>
      </c>
      <c r="K263" s="4" t="n">
        <v>0</v>
      </c>
      <c r="M263" s="2" t="str">
        <f aca="false">IF(C263="","",IFERROR(INDEX($S$5:$S$304,MATCH(C263,$R$5:$R$304,0))&amp;"","?"))</f>
        <v>17</v>
      </c>
      <c r="N263" s="2" t="n">
        <f aca="false">IF(E263="","",IF(ISNUMBER(SEARCH("SUBSOLO",E263)),IFERROR(-VALUE(LEFT(E263,FIND("º",SUBSTITUTE(E263,"°","º"))-1)),-1),IF(LEFT(E263,6)="TÉRREO",0,IFERROR(VALUE(LEFT(E263,FIND("º",SUBSTITUTE(E263,"°","º"))-1)),""))))</f>
        <v>3</v>
      </c>
      <c r="O263" s="2" t="str">
        <f aca="false">IF(OR(F263="",G263=""),"",IF(G263&lt;='RETRATO 2027'!$K$5,"CONCLUÍDA",IF(F263&lt;='RETRATO 2027'!$K$5,"EM ANDAMENTO","A INICIAR")))</f>
        <v>CONCLUÍDA</v>
      </c>
      <c r="R263" s="4"/>
      <c r="S263" s="4"/>
      <c r="T263" s="4"/>
      <c r="U263" s="4"/>
      <c r="V263" s="2" t="str">
        <f aca="false">IF(R263="","",COUNTIF($C$5:$C$6004,R263))</f>
        <v/>
      </c>
      <c r="W263" s="2" t="str">
        <f aca="false">IF(R263="","",COUNTIFS($C$5:$C$6004,R263,$O$5:$O$6004,"CONCLUÍDA"))</f>
        <v/>
      </c>
      <c r="X263" s="2" t="str">
        <f aca="false">IF(R263="","",COUNTIFS($C$5:$C$6004,R263,$O$5:$O$6004,"EM ANDAMENTO"))</f>
        <v/>
      </c>
      <c r="Y263" s="2" t="str">
        <f aca="false">IF(R263="","",IF(COUNTIFS($C$5:$C$6004,R263,$O$5:$O$6004,"CONCLUÍDA",$N$5:$N$6004,"&gt;=-99")=0,"",_xlfn.MAXIFS($N$5:$N$6004,$C$5:$C$6004,R263,$O$5:$O$6004,"CONCLUÍDA")))</f>
        <v/>
      </c>
      <c r="Z263" s="2" t="str">
        <f aca="false">IF(R263="","",IF(COUNTIFS($C$5:$C$6004,R263,$O$5:$O$6004,"EM ANDAMENTO",$N$5:$N$6004,"&gt;=-99")=0,"",_xlfn.MAXIFS($N$5:$N$6004,$C$5:$C$6004,R263,$O$5:$O$6004,"EM ANDAMENTO")))</f>
        <v/>
      </c>
      <c r="AA263" s="2" t="str">
        <f aca="false"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 customFormat="false" ht="15" hidden="false" customHeight="false" outlineLevel="0" collapsed="false">
      <c r="B264" s="4" t="n">
        <v>46237049</v>
      </c>
      <c r="C264" s="4" t="s">
        <v>2370</v>
      </c>
      <c r="D264" s="4" t="s">
        <v>463</v>
      </c>
      <c r="E264" s="4" t="s">
        <v>81</v>
      </c>
      <c r="F264" s="127" t="n">
        <v>46297</v>
      </c>
      <c r="G264" s="127" t="n">
        <v>46311</v>
      </c>
      <c r="H264" s="127" t="n">
        <v>46289</v>
      </c>
      <c r="I264" s="4" t="n">
        <v>0</v>
      </c>
      <c r="J264" s="4" t="n">
        <v>0</v>
      </c>
      <c r="K264" s="4" t="n">
        <v>0</v>
      </c>
      <c r="M264" s="2" t="str">
        <f aca="false">IF(C264="","",IFERROR(INDEX($S$5:$S$304,MATCH(C264,$R$5:$R$304,0))&amp;"","?"))</f>
        <v>16</v>
      </c>
      <c r="N264" s="2" t="str">
        <f aca="false">IF(E264="","",IF(ISNUMBER(SEARCH("SUBSOLO",E264)),IFERROR(-VALUE(LEFT(E264,FIND("º",SUBSTITUTE(E264,"°","º"))-1)),-1),IF(LEFT(E264,6)="TÉRREO",0,IFERROR(VALUE(LEFT(E264,FIND("º",SUBSTITUTE(E264,"°","º"))-1)),""))))</f>
        <v/>
      </c>
      <c r="O264" s="2" t="str">
        <f aca="false">IF(OR(F264="",G264=""),"",IF(G264&lt;='RETRATO 2027'!$K$5,"CONCLUÍDA",IF(F264&lt;='RETRATO 2027'!$K$5,"EM ANDAMENTO","A INICIAR")))</f>
        <v>CONCLUÍDA</v>
      </c>
      <c r="R264" s="4"/>
      <c r="S264" s="4"/>
      <c r="T264" s="4"/>
      <c r="U264" s="4"/>
      <c r="V264" s="2" t="str">
        <f aca="false">IF(R264="","",COUNTIF($C$5:$C$6004,R264))</f>
        <v/>
      </c>
      <c r="W264" s="2" t="str">
        <f aca="false">IF(R264="","",COUNTIFS($C$5:$C$6004,R264,$O$5:$O$6004,"CONCLUÍDA"))</f>
        <v/>
      </c>
      <c r="X264" s="2" t="str">
        <f aca="false">IF(R264="","",COUNTIFS($C$5:$C$6004,R264,$O$5:$O$6004,"EM ANDAMENTO"))</f>
        <v/>
      </c>
      <c r="Y264" s="2" t="str">
        <f aca="false">IF(R264="","",IF(COUNTIFS($C$5:$C$6004,R264,$O$5:$O$6004,"CONCLUÍDA",$N$5:$N$6004,"&gt;=-99")=0,"",_xlfn.MAXIFS($N$5:$N$6004,$C$5:$C$6004,R264,$O$5:$O$6004,"CONCLUÍDA")))</f>
        <v/>
      </c>
      <c r="Z264" s="2" t="str">
        <f aca="false">IF(R264="","",IF(COUNTIFS($C$5:$C$6004,R264,$O$5:$O$6004,"EM ANDAMENTO",$N$5:$N$6004,"&gt;=-99")=0,"",_xlfn.MAXIFS($N$5:$N$6004,$C$5:$C$6004,R264,$O$5:$O$6004,"EM ANDAMENTO")))</f>
        <v/>
      </c>
      <c r="AA264" s="2" t="str">
        <f aca="false"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 customFormat="false" ht="15" hidden="false" customHeight="false" outlineLevel="0" collapsed="false">
      <c r="B265" s="4" t="n">
        <v>30974183</v>
      </c>
      <c r="C265" s="4" t="s">
        <v>2370</v>
      </c>
      <c r="D265" s="4" t="s">
        <v>2791</v>
      </c>
      <c r="E265" s="4" t="s">
        <v>81</v>
      </c>
      <c r="F265" s="127" t="n">
        <v>46297</v>
      </c>
      <c r="G265" s="127" t="n">
        <v>46302</v>
      </c>
      <c r="H265" s="127" t="n">
        <v>46289</v>
      </c>
      <c r="I265" s="4" t="n">
        <v>0</v>
      </c>
      <c r="J265" s="4" t="n">
        <v>0</v>
      </c>
      <c r="K265" s="4" t="n">
        <v>0</v>
      </c>
      <c r="M265" s="2" t="str">
        <f aca="false">IF(C265="","",IFERROR(INDEX($S$5:$S$304,MATCH(C265,$R$5:$R$304,0))&amp;"","?"))</f>
        <v>16</v>
      </c>
      <c r="N265" s="2" t="str">
        <f aca="false">IF(E265="","",IF(ISNUMBER(SEARCH("SUBSOLO",E265)),IFERROR(-VALUE(LEFT(E265,FIND("º",SUBSTITUTE(E265,"°","º"))-1)),-1),IF(LEFT(E265,6)="TÉRREO",0,IFERROR(VALUE(LEFT(E265,FIND("º",SUBSTITUTE(E265,"°","º"))-1)),""))))</f>
        <v/>
      </c>
      <c r="O265" s="2" t="str">
        <f aca="false">IF(OR(F265="",G265=""),"",IF(G265&lt;='RETRATO 2027'!$K$5,"CONCLUÍDA",IF(F265&lt;='RETRATO 2027'!$K$5,"EM ANDAMENTO","A INICIAR")))</f>
        <v>CONCLUÍDA</v>
      </c>
      <c r="R265" s="4"/>
      <c r="S265" s="4"/>
      <c r="T265" s="4"/>
      <c r="U265" s="4"/>
      <c r="V265" s="2" t="str">
        <f aca="false">IF(R265="","",COUNTIF($C$5:$C$6004,R265))</f>
        <v/>
      </c>
      <c r="W265" s="2" t="str">
        <f aca="false">IF(R265="","",COUNTIFS($C$5:$C$6004,R265,$O$5:$O$6004,"CONCLUÍDA"))</f>
        <v/>
      </c>
      <c r="X265" s="2" t="str">
        <f aca="false">IF(R265="","",COUNTIFS($C$5:$C$6004,R265,$O$5:$O$6004,"EM ANDAMENTO"))</f>
        <v/>
      </c>
      <c r="Y265" s="2" t="str">
        <f aca="false">IF(R265="","",IF(COUNTIFS($C$5:$C$6004,R265,$O$5:$O$6004,"CONCLUÍDA",$N$5:$N$6004,"&gt;=-99")=0,"",_xlfn.MAXIFS($N$5:$N$6004,$C$5:$C$6004,R265,$O$5:$O$6004,"CONCLUÍDA")))</f>
        <v/>
      </c>
      <c r="Z265" s="2" t="str">
        <f aca="false">IF(R265="","",IF(COUNTIFS($C$5:$C$6004,R265,$O$5:$O$6004,"EM ANDAMENTO",$N$5:$N$6004,"&gt;=-99")=0,"",_xlfn.MAXIFS($N$5:$N$6004,$C$5:$C$6004,R265,$O$5:$O$6004,"EM ANDAMENTO")))</f>
        <v/>
      </c>
      <c r="AA265" s="2" t="str">
        <f aca="false"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 customFormat="false" ht="15" hidden="false" customHeight="false" outlineLevel="0" collapsed="false">
      <c r="B266" s="4" t="n">
        <v>30974184</v>
      </c>
      <c r="C266" s="4" t="s">
        <v>2370</v>
      </c>
      <c r="D266" s="4" t="s">
        <v>2792</v>
      </c>
      <c r="E266" s="4" t="s">
        <v>81</v>
      </c>
      <c r="F266" s="127" t="n">
        <v>46303</v>
      </c>
      <c r="G266" s="127" t="n">
        <v>46309</v>
      </c>
      <c r="H266" s="127" t="n">
        <v>46289</v>
      </c>
      <c r="I266" s="4" t="n">
        <v>0</v>
      </c>
      <c r="J266" s="4" t="n">
        <v>0</v>
      </c>
      <c r="K266" s="4" t="n">
        <v>0</v>
      </c>
      <c r="M266" s="2" t="str">
        <f aca="false">IF(C266="","",IFERROR(INDEX($S$5:$S$304,MATCH(C266,$R$5:$R$304,0))&amp;"","?"))</f>
        <v>16</v>
      </c>
      <c r="N266" s="2" t="str">
        <f aca="false">IF(E266="","",IF(ISNUMBER(SEARCH("SUBSOLO",E266)),IFERROR(-VALUE(LEFT(E266,FIND("º",SUBSTITUTE(E266,"°","º"))-1)),-1),IF(LEFT(E266,6)="TÉRREO",0,IFERROR(VALUE(LEFT(E266,FIND("º",SUBSTITUTE(E266,"°","º"))-1)),""))))</f>
        <v/>
      </c>
      <c r="O266" s="2" t="str">
        <f aca="false">IF(OR(F266="",G266=""),"",IF(G266&lt;='RETRATO 2027'!$K$5,"CONCLUÍDA",IF(F266&lt;='RETRATO 2027'!$K$5,"EM ANDAMENTO","A INICIAR")))</f>
        <v>CONCLUÍDA</v>
      </c>
      <c r="R266" s="4"/>
      <c r="S266" s="4"/>
      <c r="T266" s="4"/>
      <c r="U266" s="4"/>
      <c r="V266" s="2" t="str">
        <f aca="false">IF(R266="","",COUNTIF($C$5:$C$6004,R266))</f>
        <v/>
      </c>
      <c r="W266" s="2" t="str">
        <f aca="false">IF(R266="","",COUNTIFS($C$5:$C$6004,R266,$O$5:$O$6004,"CONCLUÍDA"))</f>
        <v/>
      </c>
      <c r="X266" s="2" t="str">
        <f aca="false">IF(R266="","",COUNTIFS($C$5:$C$6004,R266,$O$5:$O$6004,"EM ANDAMENTO"))</f>
        <v/>
      </c>
      <c r="Y266" s="2" t="str">
        <f aca="false">IF(R266="","",IF(COUNTIFS($C$5:$C$6004,R266,$O$5:$O$6004,"CONCLUÍDA",$N$5:$N$6004,"&gt;=-99")=0,"",_xlfn.MAXIFS($N$5:$N$6004,$C$5:$C$6004,R266,$O$5:$O$6004,"CONCLUÍDA")))</f>
        <v/>
      </c>
      <c r="Z266" s="2" t="str">
        <f aca="false">IF(R266="","",IF(COUNTIFS($C$5:$C$6004,R266,$O$5:$O$6004,"EM ANDAMENTO",$N$5:$N$6004,"&gt;=-99")=0,"",_xlfn.MAXIFS($N$5:$N$6004,$C$5:$C$6004,R266,$O$5:$O$6004,"EM ANDAMENTO")))</f>
        <v/>
      </c>
      <c r="AA266" s="2" t="str">
        <f aca="false"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 customFormat="false" ht="15" hidden="false" customHeight="false" outlineLevel="0" collapsed="false">
      <c r="B267" s="4" t="n">
        <v>30974185</v>
      </c>
      <c r="C267" s="4" t="s">
        <v>2370</v>
      </c>
      <c r="D267" s="4" t="s">
        <v>2793</v>
      </c>
      <c r="E267" s="4" t="s">
        <v>81</v>
      </c>
      <c r="F267" s="127" t="n">
        <v>46310</v>
      </c>
      <c r="G267" s="127" t="n">
        <v>46311</v>
      </c>
      <c r="H267" s="127" t="n">
        <v>46289</v>
      </c>
      <c r="I267" s="4" t="n">
        <v>0</v>
      </c>
      <c r="J267" s="4" t="n">
        <v>0</v>
      </c>
      <c r="K267" s="4" t="n">
        <v>0</v>
      </c>
      <c r="M267" s="2" t="str">
        <f aca="false">IF(C267="","",IFERROR(INDEX($S$5:$S$304,MATCH(C267,$R$5:$R$304,0))&amp;"","?"))</f>
        <v>16</v>
      </c>
      <c r="N267" s="2" t="str">
        <f aca="false">IF(E267="","",IF(ISNUMBER(SEARCH("SUBSOLO",E267)),IFERROR(-VALUE(LEFT(E267,FIND("º",SUBSTITUTE(E267,"°","º"))-1)),-1),IF(LEFT(E267,6)="TÉRREO",0,IFERROR(VALUE(LEFT(E267,FIND("º",SUBSTITUTE(E267,"°","º"))-1)),""))))</f>
        <v/>
      </c>
      <c r="O267" s="2" t="str">
        <f aca="false">IF(OR(F267="",G267=""),"",IF(G267&lt;='RETRATO 2027'!$K$5,"CONCLUÍDA",IF(F267&lt;='RETRATO 2027'!$K$5,"EM ANDAMENTO","A INICIAR")))</f>
        <v>CONCLUÍDA</v>
      </c>
      <c r="R267" s="4"/>
      <c r="S267" s="4"/>
      <c r="T267" s="4"/>
      <c r="U267" s="4"/>
      <c r="V267" s="2" t="str">
        <f aca="false">IF(R267="","",COUNTIF($C$5:$C$6004,R267))</f>
        <v/>
      </c>
      <c r="W267" s="2" t="str">
        <f aca="false">IF(R267="","",COUNTIFS($C$5:$C$6004,R267,$O$5:$O$6004,"CONCLUÍDA"))</f>
        <v/>
      </c>
      <c r="X267" s="2" t="str">
        <f aca="false">IF(R267="","",COUNTIFS($C$5:$C$6004,R267,$O$5:$O$6004,"EM ANDAMENTO"))</f>
        <v/>
      </c>
      <c r="Y267" s="2" t="str">
        <f aca="false">IF(R267="","",IF(COUNTIFS($C$5:$C$6004,R267,$O$5:$O$6004,"CONCLUÍDA",$N$5:$N$6004,"&gt;=-99")=0,"",_xlfn.MAXIFS($N$5:$N$6004,$C$5:$C$6004,R267,$O$5:$O$6004,"CONCLUÍDA")))</f>
        <v/>
      </c>
      <c r="Z267" s="2" t="str">
        <f aca="false">IF(R267="","",IF(COUNTIFS($C$5:$C$6004,R267,$O$5:$O$6004,"EM ANDAMENTO",$N$5:$N$6004,"&gt;=-99")=0,"",_xlfn.MAXIFS($N$5:$N$6004,$C$5:$C$6004,R267,$O$5:$O$6004,"EM ANDAMENTO")))</f>
        <v/>
      </c>
      <c r="AA267" s="2" t="str">
        <f aca="false"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 customFormat="false" ht="15" hidden="false" customHeight="false" outlineLevel="0" collapsed="false">
      <c r="B268" s="4" t="n">
        <v>35594308</v>
      </c>
      <c r="C268" s="4" t="s">
        <v>2373</v>
      </c>
      <c r="D268" s="4" t="s">
        <v>463</v>
      </c>
      <c r="E268" s="4" t="s">
        <v>81</v>
      </c>
      <c r="F268" s="127" t="n">
        <v>46314</v>
      </c>
      <c r="G268" s="127" t="n">
        <v>46356</v>
      </c>
      <c r="H268" s="127" t="n">
        <v>46289</v>
      </c>
      <c r="I268" s="4" t="n">
        <v>0</v>
      </c>
      <c r="J268" s="4" t="n">
        <v>0</v>
      </c>
      <c r="K268" s="4" t="n">
        <v>0</v>
      </c>
      <c r="M268" s="2" t="str">
        <f aca="false">IF(C268="","",IFERROR(INDEX($S$5:$S$304,MATCH(C268,$R$5:$R$304,0))&amp;"","?"))</f>
        <v>13</v>
      </c>
      <c r="N268" s="2" t="str">
        <f aca="false">IF(E268="","",IF(ISNUMBER(SEARCH("SUBSOLO",E268)),IFERROR(-VALUE(LEFT(E268,FIND("º",SUBSTITUTE(E268,"°","º"))-1)),-1),IF(LEFT(E268,6)="TÉRREO",0,IFERROR(VALUE(LEFT(E268,FIND("º",SUBSTITUTE(E268,"°","º"))-1)),""))))</f>
        <v/>
      </c>
      <c r="O268" s="2" t="str">
        <f aca="false">IF(OR(F268="",G268=""),"",IF(G268&lt;='RETRATO 2027'!$K$5,"CONCLUÍDA",IF(F268&lt;='RETRATO 2027'!$K$5,"EM ANDAMENTO","A INICIAR")))</f>
        <v>CONCLUÍDA</v>
      </c>
      <c r="R268" s="4"/>
      <c r="S268" s="4"/>
      <c r="T268" s="4"/>
      <c r="U268" s="4"/>
      <c r="V268" s="2" t="str">
        <f aca="false">IF(R268="","",COUNTIF($C$5:$C$6004,R268))</f>
        <v/>
      </c>
      <c r="W268" s="2" t="str">
        <f aca="false">IF(R268="","",COUNTIFS($C$5:$C$6004,R268,$O$5:$O$6004,"CONCLUÍDA"))</f>
        <v/>
      </c>
      <c r="X268" s="2" t="str">
        <f aca="false">IF(R268="","",COUNTIFS($C$5:$C$6004,R268,$O$5:$O$6004,"EM ANDAMENTO"))</f>
        <v/>
      </c>
      <c r="Y268" s="2" t="str">
        <f aca="false">IF(R268="","",IF(COUNTIFS($C$5:$C$6004,R268,$O$5:$O$6004,"CONCLUÍDA",$N$5:$N$6004,"&gt;=-99")=0,"",_xlfn.MAXIFS($N$5:$N$6004,$C$5:$C$6004,R268,$O$5:$O$6004,"CONCLUÍDA")))</f>
        <v/>
      </c>
      <c r="Z268" s="2" t="str">
        <f aca="false">IF(R268="","",IF(COUNTIFS($C$5:$C$6004,R268,$O$5:$O$6004,"EM ANDAMENTO",$N$5:$N$6004,"&gt;=-99")=0,"",_xlfn.MAXIFS($N$5:$N$6004,$C$5:$C$6004,R268,$O$5:$O$6004,"EM ANDAMENTO")))</f>
        <v/>
      </c>
      <c r="AA268" s="2" t="str">
        <f aca="false"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 customFormat="false" ht="15" hidden="false" customHeight="false" outlineLevel="0" collapsed="false">
      <c r="B269" s="4" t="n">
        <v>46237078</v>
      </c>
      <c r="C269" s="4" t="s">
        <v>2376</v>
      </c>
      <c r="D269" s="4" t="s">
        <v>463</v>
      </c>
      <c r="E269" s="4" t="s">
        <v>81</v>
      </c>
      <c r="F269" s="127" t="n">
        <v>46314</v>
      </c>
      <c r="G269" s="127" t="n">
        <v>46325</v>
      </c>
      <c r="H269" s="127" t="n">
        <v>46289</v>
      </c>
      <c r="I269" s="4" t="n">
        <v>0</v>
      </c>
      <c r="J269" s="4" t="n">
        <v>0</v>
      </c>
      <c r="K269" s="4" t="n">
        <v>0</v>
      </c>
      <c r="M269" s="2" t="str">
        <f aca="false">IF(C269="","",IFERROR(INDEX($S$5:$S$304,MATCH(C269,$R$5:$R$304,0))&amp;"","?"))</f>
        <v>16</v>
      </c>
      <c r="N269" s="2" t="str">
        <f aca="false">IF(E269="","",IF(ISNUMBER(SEARCH("SUBSOLO",E269)),IFERROR(-VALUE(LEFT(E269,FIND("º",SUBSTITUTE(E269,"°","º"))-1)),-1),IF(LEFT(E269,6)="TÉRREO",0,IFERROR(VALUE(LEFT(E269,FIND("º",SUBSTITUTE(E269,"°","º"))-1)),""))))</f>
        <v/>
      </c>
      <c r="O269" s="2" t="str">
        <f aca="false">IF(OR(F269="",G269=""),"",IF(G269&lt;='RETRATO 2027'!$K$5,"CONCLUÍDA",IF(F269&lt;='RETRATO 2027'!$K$5,"EM ANDAMENTO","A INICIAR")))</f>
        <v>CONCLUÍDA</v>
      </c>
      <c r="R269" s="4"/>
      <c r="S269" s="4"/>
      <c r="T269" s="4"/>
      <c r="U269" s="4"/>
      <c r="V269" s="2" t="str">
        <f aca="false">IF(R269="","",COUNTIF($C$5:$C$6004,R269))</f>
        <v/>
      </c>
      <c r="W269" s="2" t="str">
        <f aca="false">IF(R269="","",COUNTIFS($C$5:$C$6004,R269,$O$5:$O$6004,"CONCLUÍDA"))</f>
        <v/>
      </c>
      <c r="X269" s="2" t="str">
        <f aca="false">IF(R269="","",COUNTIFS($C$5:$C$6004,R269,$O$5:$O$6004,"EM ANDAMENTO"))</f>
        <v/>
      </c>
      <c r="Y269" s="2" t="str">
        <f aca="false">IF(R269="","",IF(COUNTIFS($C$5:$C$6004,R269,$O$5:$O$6004,"CONCLUÍDA",$N$5:$N$6004,"&gt;=-99")=0,"",_xlfn.MAXIFS($N$5:$N$6004,$C$5:$C$6004,R269,$O$5:$O$6004,"CONCLUÍDA")))</f>
        <v/>
      </c>
      <c r="Z269" s="2" t="str">
        <f aca="false">IF(R269="","",IF(COUNTIFS($C$5:$C$6004,R269,$O$5:$O$6004,"EM ANDAMENTO",$N$5:$N$6004,"&gt;=-99")=0,"",_xlfn.MAXIFS($N$5:$N$6004,$C$5:$C$6004,R269,$O$5:$O$6004,"EM ANDAMENTO")))</f>
        <v/>
      </c>
      <c r="AA269" s="2" t="str">
        <f aca="false"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 customFormat="false" ht="15" hidden="false" customHeight="false" outlineLevel="0" collapsed="false">
      <c r="B270" s="4" t="n">
        <v>30974192</v>
      </c>
      <c r="C270" s="4" t="s">
        <v>2376</v>
      </c>
      <c r="D270" s="4" t="s">
        <v>2794</v>
      </c>
      <c r="E270" s="4" t="s">
        <v>81</v>
      </c>
      <c r="F270" s="127" t="n">
        <v>46314</v>
      </c>
      <c r="G270" s="127" t="n">
        <v>46321</v>
      </c>
      <c r="H270" s="127" t="n">
        <v>46289</v>
      </c>
      <c r="I270" s="4" t="n">
        <v>0</v>
      </c>
      <c r="J270" s="4" t="n">
        <v>0</v>
      </c>
      <c r="K270" s="4" t="n">
        <v>0</v>
      </c>
      <c r="M270" s="2" t="str">
        <f aca="false">IF(C270="","",IFERROR(INDEX($S$5:$S$304,MATCH(C270,$R$5:$R$304,0))&amp;"","?"))</f>
        <v>16</v>
      </c>
      <c r="N270" s="2" t="str">
        <f aca="false">IF(E270="","",IF(ISNUMBER(SEARCH("SUBSOLO",E270)),IFERROR(-VALUE(LEFT(E270,FIND("º",SUBSTITUTE(E270,"°","º"))-1)),-1),IF(LEFT(E270,6)="TÉRREO",0,IFERROR(VALUE(LEFT(E270,FIND("º",SUBSTITUTE(E270,"°","º"))-1)),""))))</f>
        <v/>
      </c>
      <c r="O270" s="2" t="str">
        <f aca="false">IF(OR(F270="",G270=""),"",IF(G270&lt;='RETRATO 2027'!$K$5,"CONCLUÍDA",IF(F270&lt;='RETRATO 2027'!$K$5,"EM ANDAMENTO","A INICIAR")))</f>
        <v>CONCLUÍDA</v>
      </c>
      <c r="R270" s="4"/>
      <c r="S270" s="4"/>
      <c r="T270" s="4"/>
      <c r="U270" s="4"/>
      <c r="V270" s="2" t="str">
        <f aca="false">IF(R270="","",COUNTIF($C$5:$C$6004,R270))</f>
        <v/>
      </c>
      <c r="W270" s="2" t="str">
        <f aca="false">IF(R270="","",COUNTIFS($C$5:$C$6004,R270,$O$5:$O$6004,"CONCLUÍDA"))</f>
        <v/>
      </c>
      <c r="X270" s="2" t="str">
        <f aca="false">IF(R270="","",COUNTIFS($C$5:$C$6004,R270,$O$5:$O$6004,"EM ANDAMENTO"))</f>
        <v/>
      </c>
      <c r="Y270" s="2" t="str">
        <f aca="false">IF(R270="","",IF(COUNTIFS($C$5:$C$6004,R270,$O$5:$O$6004,"CONCLUÍDA",$N$5:$N$6004,"&gt;=-99")=0,"",_xlfn.MAXIFS($N$5:$N$6004,$C$5:$C$6004,R270,$O$5:$O$6004,"CONCLUÍDA")))</f>
        <v/>
      </c>
      <c r="Z270" s="2" t="str">
        <f aca="false">IF(R270="","",IF(COUNTIFS($C$5:$C$6004,R270,$O$5:$O$6004,"EM ANDAMENTO",$N$5:$N$6004,"&gt;=-99")=0,"",_xlfn.MAXIFS($N$5:$N$6004,$C$5:$C$6004,R270,$O$5:$O$6004,"EM ANDAMENTO")))</f>
        <v/>
      </c>
      <c r="AA270" s="2" t="str">
        <f aca="false"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 customFormat="false" ht="15" hidden="false" customHeight="false" outlineLevel="0" collapsed="false">
      <c r="B271" s="4" t="n">
        <v>30974193</v>
      </c>
      <c r="C271" s="4" t="s">
        <v>2376</v>
      </c>
      <c r="D271" s="4" t="s">
        <v>2795</v>
      </c>
      <c r="E271" s="4" t="s">
        <v>81</v>
      </c>
      <c r="F271" s="127" t="n">
        <v>46322</v>
      </c>
      <c r="G271" s="127" t="n">
        <v>46324</v>
      </c>
      <c r="H271" s="127" t="n">
        <v>46289</v>
      </c>
      <c r="I271" s="4" t="n">
        <v>0</v>
      </c>
      <c r="J271" s="4" t="n">
        <v>0</v>
      </c>
      <c r="K271" s="4" t="n">
        <v>0</v>
      </c>
      <c r="M271" s="2" t="str">
        <f aca="false">IF(C271="","",IFERROR(INDEX($S$5:$S$304,MATCH(C271,$R$5:$R$304,0))&amp;"","?"))</f>
        <v>16</v>
      </c>
      <c r="N271" s="2" t="str">
        <f aca="false">IF(E271="","",IF(ISNUMBER(SEARCH("SUBSOLO",E271)),IFERROR(-VALUE(LEFT(E271,FIND("º",SUBSTITUTE(E271,"°","º"))-1)),-1),IF(LEFT(E271,6)="TÉRREO",0,IFERROR(VALUE(LEFT(E271,FIND("º",SUBSTITUTE(E271,"°","º"))-1)),""))))</f>
        <v/>
      </c>
      <c r="O271" s="2" t="str">
        <f aca="false">IF(OR(F271="",G271=""),"",IF(G271&lt;='RETRATO 2027'!$K$5,"CONCLUÍDA",IF(F271&lt;='RETRATO 2027'!$K$5,"EM ANDAMENTO","A INICIAR")))</f>
        <v>CONCLUÍDA</v>
      </c>
      <c r="R271" s="4"/>
      <c r="S271" s="4"/>
      <c r="T271" s="4"/>
      <c r="U271" s="4"/>
      <c r="V271" s="2" t="str">
        <f aca="false">IF(R271="","",COUNTIF($C$5:$C$6004,R271))</f>
        <v/>
      </c>
      <c r="W271" s="2" t="str">
        <f aca="false">IF(R271="","",COUNTIFS($C$5:$C$6004,R271,$O$5:$O$6004,"CONCLUÍDA"))</f>
        <v/>
      </c>
      <c r="X271" s="2" t="str">
        <f aca="false">IF(R271="","",COUNTIFS($C$5:$C$6004,R271,$O$5:$O$6004,"EM ANDAMENTO"))</f>
        <v/>
      </c>
      <c r="Y271" s="2" t="str">
        <f aca="false">IF(R271="","",IF(COUNTIFS($C$5:$C$6004,R271,$O$5:$O$6004,"CONCLUÍDA",$N$5:$N$6004,"&gt;=-99")=0,"",_xlfn.MAXIFS($N$5:$N$6004,$C$5:$C$6004,R271,$O$5:$O$6004,"CONCLUÍDA")))</f>
        <v/>
      </c>
      <c r="Z271" s="2" t="str">
        <f aca="false">IF(R271="","",IF(COUNTIFS($C$5:$C$6004,R271,$O$5:$O$6004,"EM ANDAMENTO",$N$5:$N$6004,"&gt;=-99")=0,"",_xlfn.MAXIFS($N$5:$N$6004,$C$5:$C$6004,R271,$O$5:$O$6004,"EM ANDAMENTO")))</f>
        <v/>
      </c>
      <c r="AA271" s="2" t="str">
        <f aca="false"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 customFormat="false" ht="15" hidden="false" customHeight="false" outlineLevel="0" collapsed="false">
      <c r="B272" s="4" t="n">
        <v>30974194</v>
      </c>
      <c r="C272" s="4" t="s">
        <v>2376</v>
      </c>
      <c r="D272" s="4" t="s">
        <v>2796</v>
      </c>
      <c r="E272" s="4" t="s">
        <v>81</v>
      </c>
      <c r="F272" s="127" t="n">
        <v>46325</v>
      </c>
      <c r="G272" s="127" t="n">
        <v>46325</v>
      </c>
      <c r="H272" s="127" t="n">
        <v>46289</v>
      </c>
      <c r="I272" s="4" t="n">
        <v>0</v>
      </c>
      <c r="J272" s="4" t="n">
        <v>0</v>
      </c>
      <c r="K272" s="4" t="n">
        <v>0</v>
      </c>
      <c r="M272" s="2" t="str">
        <f aca="false">IF(C272="","",IFERROR(INDEX($S$5:$S$304,MATCH(C272,$R$5:$R$304,0))&amp;"","?"))</f>
        <v>16</v>
      </c>
      <c r="N272" s="2" t="str">
        <f aca="false">IF(E272="","",IF(ISNUMBER(SEARCH("SUBSOLO",E272)),IFERROR(-VALUE(LEFT(E272,FIND("º",SUBSTITUTE(E272,"°","º"))-1)),-1),IF(LEFT(E272,6)="TÉRREO",0,IFERROR(VALUE(LEFT(E272,FIND("º",SUBSTITUTE(E272,"°","º"))-1)),""))))</f>
        <v/>
      </c>
      <c r="O272" s="2" t="str">
        <f aca="false">IF(OR(F272="",G272=""),"",IF(G272&lt;='RETRATO 2027'!$K$5,"CONCLUÍDA",IF(F272&lt;='RETRATO 2027'!$K$5,"EM ANDAMENTO","A INICIAR")))</f>
        <v>CONCLUÍDA</v>
      </c>
      <c r="R272" s="4"/>
      <c r="S272" s="4"/>
      <c r="T272" s="4"/>
      <c r="U272" s="4"/>
      <c r="V272" s="2" t="str">
        <f aca="false">IF(R272="","",COUNTIF($C$5:$C$6004,R272))</f>
        <v/>
      </c>
      <c r="W272" s="2" t="str">
        <f aca="false">IF(R272="","",COUNTIFS($C$5:$C$6004,R272,$O$5:$O$6004,"CONCLUÍDA"))</f>
        <v/>
      </c>
      <c r="X272" s="2" t="str">
        <f aca="false">IF(R272="","",COUNTIFS($C$5:$C$6004,R272,$O$5:$O$6004,"EM ANDAMENTO"))</f>
        <v/>
      </c>
      <c r="Y272" s="2" t="str">
        <f aca="false">IF(R272="","",IF(COUNTIFS($C$5:$C$6004,R272,$O$5:$O$6004,"CONCLUÍDA",$N$5:$N$6004,"&gt;=-99")=0,"",_xlfn.MAXIFS($N$5:$N$6004,$C$5:$C$6004,R272,$O$5:$O$6004,"CONCLUÍDA")))</f>
        <v/>
      </c>
      <c r="Z272" s="2" t="str">
        <f aca="false">IF(R272="","",IF(COUNTIFS($C$5:$C$6004,R272,$O$5:$O$6004,"EM ANDAMENTO",$N$5:$N$6004,"&gt;=-99")=0,"",_xlfn.MAXIFS($N$5:$N$6004,$C$5:$C$6004,R272,$O$5:$O$6004,"EM ANDAMENTO")))</f>
        <v/>
      </c>
      <c r="AA272" s="2" t="str">
        <f aca="false"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 customFormat="false" ht="15" hidden="false" customHeight="false" outlineLevel="0" collapsed="false">
      <c r="B273" s="4" t="n">
        <v>46237083</v>
      </c>
      <c r="C273" s="4" t="s">
        <v>2379</v>
      </c>
      <c r="D273" s="4" t="s">
        <v>463</v>
      </c>
      <c r="E273" s="4" t="s">
        <v>81</v>
      </c>
      <c r="F273" s="127" t="n">
        <v>46314</v>
      </c>
      <c r="G273" s="127" t="n">
        <v>46325</v>
      </c>
      <c r="H273" s="127" t="n">
        <v>46289</v>
      </c>
      <c r="I273" s="4" t="n">
        <v>0</v>
      </c>
      <c r="J273" s="4" t="n">
        <v>0</v>
      </c>
      <c r="K273" s="4" t="n">
        <v>0</v>
      </c>
      <c r="M273" s="2" t="str">
        <f aca="false">IF(C273="","",IFERROR(INDEX($S$5:$S$304,MATCH(C273,$R$5:$R$304,0))&amp;"","?"))</f>
        <v>16</v>
      </c>
      <c r="N273" s="2" t="str">
        <f aca="false">IF(E273="","",IF(ISNUMBER(SEARCH("SUBSOLO",E273)),IFERROR(-VALUE(LEFT(E273,FIND("º",SUBSTITUTE(E273,"°","º"))-1)),-1),IF(LEFT(E273,6)="TÉRREO",0,IFERROR(VALUE(LEFT(E273,FIND("º",SUBSTITUTE(E273,"°","º"))-1)),""))))</f>
        <v/>
      </c>
      <c r="O273" s="2" t="str">
        <f aca="false">IF(OR(F273="",G273=""),"",IF(G273&lt;='RETRATO 2027'!$K$5,"CONCLUÍDA",IF(F273&lt;='RETRATO 2027'!$K$5,"EM ANDAMENTO","A INICIAR")))</f>
        <v>CONCLUÍDA</v>
      </c>
      <c r="R273" s="4"/>
      <c r="S273" s="4"/>
      <c r="T273" s="4"/>
      <c r="U273" s="4"/>
      <c r="V273" s="2" t="str">
        <f aca="false">IF(R273="","",COUNTIF($C$5:$C$6004,R273))</f>
        <v/>
      </c>
      <c r="W273" s="2" t="str">
        <f aca="false">IF(R273="","",COUNTIFS($C$5:$C$6004,R273,$O$5:$O$6004,"CONCLUÍDA"))</f>
        <v/>
      </c>
      <c r="X273" s="2" t="str">
        <f aca="false">IF(R273="","",COUNTIFS($C$5:$C$6004,R273,$O$5:$O$6004,"EM ANDAMENTO"))</f>
        <v/>
      </c>
      <c r="Y273" s="2" t="str">
        <f aca="false">IF(R273="","",IF(COUNTIFS($C$5:$C$6004,R273,$O$5:$O$6004,"CONCLUÍDA",$N$5:$N$6004,"&gt;=-99")=0,"",_xlfn.MAXIFS($N$5:$N$6004,$C$5:$C$6004,R273,$O$5:$O$6004,"CONCLUÍDA")))</f>
        <v/>
      </c>
      <c r="Z273" s="2" t="str">
        <f aca="false">IF(R273="","",IF(COUNTIFS($C$5:$C$6004,R273,$O$5:$O$6004,"EM ANDAMENTO",$N$5:$N$6004,"&gt;=-99")=0,"",_xlfn.MAXIFS($N$5:$N$6004,$C$5:$C$6004,R273,$O$5:$O$6004,"EM ANDAMENTO")))</f>
        <v/>
      </c>
      <c r="AA273" s="2" t="str">
        <f aca="false"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 customFormat="false" ht="15" hidden="false" customHeight="false" outlineLevel="0" collapsed="false">
      <c r="B274" s="4" t="n">
        <v>30974195</v>
      </c>
      <c r="C274" s="4" t="s">
        <v>2379</v>
      </c>
      <c r="D274" s="4" t="s">
        <v>2797</v>
      </c>
      <c r="E274" s="4" t="s">
        <v>81</v>
      </c>
      <c r="F274" s="127" t="n">
        <v>46314</v>
      </c>
      <c r="G274" s="127" t="n">
        <v>46317</v>
      </c>
      <c r="H274" s="127" t="n">
        <v>46289</v>
      </c>
      <c r="I274" s="4" t="n">
        <v>0</v>
      </c>
      <c r="J274" s="4" t="n">
        <v>0</v>
      </c>
      <c r="K274" s="4" t="n">
        <v>0</v>
      </c>
      <c r="M274" s="2" t="str">
        <f aca="false">IF(C274="","",IFERROR(INDEX($S$5:$S$304,MATCH(C274,$R$5:$R$304,0))&amp;"","?"))</f>
        <v>16</v>
      </c>
      <c r="N274" s="2" t="str">
        <f aca="false">IF(E274="","",IF(ISNUMBER(SEARCH("SUBSOLO",E274)),IFERROR(-VALUE(LEFT(E274,FIND("º",SUBSTITUTE(E274,"°","º"))-1)),-1),IF(LEFT(E274,6)="TÉRREO",0,IFERROR(VALUE(LEFT(E274,FIND("º",SUBSTITUTE(E274,"°","º"))-1)),""))))</f>
        <v/>
      </c>
      <c r="O274" s="2" t="str">
        <f aca="false">IF(OR(F274="",G274=""),"",IF(G274&lt;='RETRATO 2027'!$K$5,"CONCLUÍDA",IF(F274&lt;='RETRATO 2027'!$K$5,"EM ANDAMENTO","A INICIAR")))</f>
        <v>CONCLUÍDA</v>
      </c>
      <c r="R274" s="4"/>
      <c r="S274" s="4"/>
      <c r="T274" s="4"/>
      <c r="U274" s="4"/>
      <c r="V274" s="2" t="str">
        <f aca="false">IF(R274="","",COUNTIF($C$5:$C$6004,R274))</f>
        <v/>
      </c>
      <c r="W274" s="2" t="str">
        <f aca="false">IF(R274="","",COUNTIFS($C$5:$C$6004,R274,$O$5:$O$6004,"CONCLUÍDA"))</f>
        <v/>
      </c>
      <c r="X274" s="2" t="str">
        <f aca="false">IF(R274="","",COUNTIFS($C$5:$C$6004,R274,$O$5:$O$6004,"EM ANDAMENTO"))</f>
        <v/>
      </c>
      <c r="Y274" s="2" t="str">
        <f aca="false">IF(R274="","",IF(COUNTIFS($C$5:$C$6004,R274,$O$5:$O$6004,"CONCLUÍDA",$N$5:$N$6004,"&gt;=-99")=0,"",_xlfn.MAXIFS($N$5:$N$6004,$C$5:$C$6004,R274,$O$5:$O$6004,"CONCLUÍDA")))</f>
        <v/>
      </c>
      <c r="Z274" s="2" t="str">
        <f aca="false">IF(R274="","",IF(COUNTIFS($C$5:$C$6004,R274,$O$5:$O$6004,"EM ANDAMENTO",$N$5:$N$6004,"&gt;=-99")=0,"",_xlfn.MAXIFS($N$5:$N$6004,$C$5:$C$6004,R274,$O$5:$O$6004,"EM ANDAMENTO")))</f>
        <v/>
      </c>
      <c r="AA274" s="2" t="str">
        <f aca="false"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 customFormat="false" ht="15" hidden="false" customHeight="false" outlineLevel="0" collapsed="false">
      <c r="B275" s="4" t="n">
        <v>30974196</v>
      </c>
      <c r="C275" s="4" t="s">
        <v>2379</v>
      </c>
      <c r="D275" s="4" t="s">
        <v>2798</v>
      </c>
      <c r="E275" s="4" t="s">
        <v>81</v>
      </c>
      <c r="F275" s="127" t="n">
        <v>46318</v>
      </c>
      <c r="G275" s="127" t="n">
        <v>46323</v>
      </c>
      <c r="H275" s="127" t="n">
        <v>46289</v>
      </c>
      <c r="I275" s="4" t="n">
        <v>0</v>
      </c>
      <c r="J275" s="4" t="n">
        <v>0</v>
      </c>
      <c r="K275" s="4" t="n">
        <v>0</v>
      </c>
      <c r="M275" s="2" t="str">
        <f aca="false">IF(C275="","",IFERROR(INDEX($S$5:$S$304,MATCH(C275,$R$5:$R$304,0))&amp;"","?"))</f>
        <v>16</v>
      </c>
      <c r="N275" s="2" t="str">
        <f aca="false">IF(E275="","",IF(ISNUMBER(SEARCH("SUBSOLO",E275)),IFERROR(-VALUE(LEFT(E275,FIND("º",SUBSTITUTE(E275,"°","º"))-1)),-1),IF(LEFT(E275,6)="TÉRREO",0,IFERROR(VALUE(LEFT(E275,FIND("º",SUBSTITUTE(E275,"°","º"))-1)),""))))</f>
        <v/>
      </c>
      <c r="O275" s="2" t="str">
        <f aca="false">IF(OR(F275="",G275=""),"",IF(G275&lt;='RETRATO 2027'!$K$5,"CONCLUÍDA",IF(F275&lt;='RETRATO 2027'!$K$5,"EM ANDAMENTO","A INICIAR")))</f>
        <v>CONCLUÍDA</v>
      </c>
      <c r="R275" s="4"/>
      <c r="S275" s="4"/>
      <c r="T275" s="4"/>
      <c r="U275" s="4"/>
      <c r="V275" s="2" t="str">
        <f aca="false">IF(R275="","",COUNTIF($C$5:$C$6004,R275))</f>
        <v/>
      </c>
      <c r="W275" s="2" t="str">
        <f aca="false">IF(R275="","",COUNTIFS($C$5:$C$6004,R275,$O$5:$O$6004,"CONCLUÍDA"))</f>
        <v/>
      </c>
      <c r="X275" s="2" t="str">
        <f aca="false">IF(R275="","",COUNTIFS($C$5:$C$6004,R275,$O$5:$O$6004,"EM ANDAMENTO"))</f>
        <v/>
      </c>
      <c r="Y275" s="2" t="str">
        <f aca="false">IF(R275="","",IF(COUNTIFS($C$5:$C$6004,R275,$O$5:$O$6004,"CONCLUÍDA",$N$5:$N$6004,"&gt;=-99")=0,"",_xlfn.MAXIFS($N$5:$N$6004,$C$5:$C$6004,R275,$O$5:$O$6004,"CONCLUÍDA")))</f>
        <v/>
      </c>
      <c r="Z275" s="2" t="str">
        <f aca="false">IF(R275="","",IF(COUNTIFS($C$5:$C$6004,R275,$O$5:$O$6004,"EM ANDAMENTO",$N$5:$N$6004,"&gt;=-99")=0,"",_xlfn.MAXIFS($N$5:$N$6004,$C$5:$C$6004,R275,$O$5:$O$6004,"EM ANDAMENTO")))</f>
        <v/>
      </c>
      <c r="AA275" s="2" t="str">
        <f aca="false"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 customFormat="false" ht="15" hidden="false" customHeight="false" outlineLevel="0" collapsed="false">
      <c r="B276" s="4" t="n">
        <v>30974197</v>
      </c>
      <c r="C276" s="4" t="s">
        <v>2379</v>
      </c>
      <c r="D276" s="4" t="s">
        <v>2799</v>
      </c>
      <c r="E276" s="4" t="s">
        <v>81</v>
      </c>
      <c r="F276" s="127" t="n">
        <v>46324</v>
      </c>
      <c r="G276" s="127" t="n">
        <v>46325</v>
      </c>
      <c r="H276" s="127" t="n">
        <v>46289</v>
      </c>
      <c r="I276" s="4" t="n">
        <v>0</v>
      </c>
      <c r="J276" s="4" t="n">
        <v>0</v>
      </c>
      <c r="K276" s="4" t="n">
        <v>0</v>
      </c>
      <c r="M276" s="2" t="str">
        <f aca="false">IF(C276="","",IFERROR(INDEX($S$5:$S$304,MATCH(C276,$R$5:$R$304,0))&amp;"","?"))</f>
        <v>16</v>
      </c>
      <c r="N276" s="2" t="str">
        <f aca="false">IF(E276="","",IF(ISNUMBER(SEARCH("SUBSOLO",E276)),IFERROR(-VALUE(LEFT(E276,FIND("º",SUBSTITUTE(E276,"°","º"))-1)),-1),IF(LEFT(E276,6)="TÉRREO",0,IFERROR(VALUE(LEFT(E276,FIND("º",SUBSTITUTE(E276,"°","º"))-1)),""))))</f>
        <v/>
      </c>
      <c r="O276" s="2" t="str">
        <f aca="false">IF(OR(F276="",G276=""),"",IF(G276&lt;='RETRATO 2027'!$K$5,"CONCLUÍDA",IF(F276&lt;='RETRATO 2027'!$K$5,"EM ANDAMENTO","A INICIAR")))</f>
        <v>CONCLUÍDA</v>
      </c>
      <c r="R276" s="4"/>
      <c r="S276" s="4"/>
      <c r="T276" s="4"/>
      <c r="U276" s="4"/>
      <c r="V276" s="2" t="str">
        <f aca="false">IF(R276="","",COUNTIF($C$5:$C$6004,R276))</f>
        <v/>
      </c>
      <c r="W276" s="2" t="str">
        <f aca="false">IF(R276="","",COUNTIFS($C$5:$C$6004,R276,$O$5:$O$6004,"CONCLUÍDA"))</f>
        <v/>
      </c>
      <c r="X276" s="2" t="str">
        <f aca="false">IF(R276="","",COUNTIFS($C$5:$C$6004,R276,$O$5:$O$6004,"EM ANDAMENTO"))</f>
        <v/>
      </c>
      <c r="Y276" s="2" t="str">
        <f aca="false">IF(R276="","",IF(COUNTIFS($C$5:$C$6004,R276,$O$5:$O$6004,"CONCLUÍDA",$N$5:$N$6004,"&gt;=-99")=0,"",_xlfn.MAXIFS($N$5:$N$6004,$C$5:$C$6004,R276,$O$5:$O$6004,"CONCLUÍDA")))</f>
        <v/>
      </c>
      <c r="Z276" s="2" t="str">
        <f aca="false">IF(R276="","",IF(COUNTIFS($C$5:$C$6004,R276,$O$5:$O$6004,"EM ANDAMENTO",$N$5:$N$6004,"&gt;=-99")=0,"",_xlfn.MAXIFS($N$5:$N$6004,$C$5:$C$6004,R276,$O$5:$O$6004,"EM ANDAMENTO")))</f>
        <v/>
      </c>
      <c r="AA276" s="2" t="str">
        <f aca="false"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 customFormat="false" ht="15" hidden="false" customHeight="false" outlineLevel="0" collapsed="false">
      <c r="B277" s="4" t="n">
        <v>30205736</v>
      </c>
      <c r="C277" s="4" t="s">
        <v>2382</v>
      </c>
      <c r="D277" s="4" t="s">
        <v>463</v>
      </c>
      <c r="E277" s="4" t="s">
        <v>2740</v>
      </c>
      <c r="F277" s="127" t="n">
        <v>46314</v>
      </c>
      <c r="G277" s="127" t="n">
        <v>46379</v>
      </c>
      <c r="H277" s="127" t="n">
        <v>46289</v>
      </c>
      <c r="I277" s="4" t="n">
        <v>0</v>
      </c>
      <c r="J277" s="4" t="n">
        <v>0</v>
      </c>
      <c r="K277" s="4" t="n">
        <v>0</v>
      </c>
      <c r="M277" s="2" t="str">
        <f aca="false">IF(C277="","",IFERROR(INDEX($S$5:$S$304,MATCH(C277,$R$5:$R$304,0))&amp;"","?"))</f>
        <v>35</v>
      </c>
      <c r="N277" s="2" t="n">
        <f aca="false">IF(E277="","",IF(ISNUMBER(SEARCH("SUBSOLO",E277)),IFERROR(-VALUE(LEFT(E277,FIND("º",SUBSTITUTE(E277,"°","º"))-1)),-1),IF(LEFT(E277,6)="TÉRREO",0,IFERROR(VALUE(LEFT(E277,FIND("º",SUBSTITUTE(E277,"°","º"))-1)),""))))</f>
        <v>-1</v>
      </c>
      <c r="O277" s="2" t="str">
        <f aca="false">IF(OR(F277="",G277=""),"",IF(G277&lt;='RETRATO 2027'!$K$5,"CONCLUÍDA",IF(F277&lt;='RETRATO 2027'!$K$5,"EM ANDAMENTO","A INICIAR")))</f>
        <v>CONCLUÍDA</v>
      </c>
      <c r="R277" s="4"/>
      <c r="S277" s="4"/>
      <c r="T277" s="4"/>
      <c r="U277" s="4"/>
      <c r="V277" s="2" t="str">
        <f aca="false">IF(R277="","",COUNTIF($C$5:$C$6004,R277))</f>
        <v/>
      </c>
      <c r="W277" s="2" t="str">
        <f aca="false">IF(R277="","",COUNTIFS($C$5:$C$6004,R277,$O$5:$O$6004,"CONCLUÍDA"))</f>
        <v/>
      </c>
      <c r="X277" s="2" t="str">
        <f aca="false">IF(R277="","",COUNTIFS($C$5:$C$6004,R277,$O$5:$O$6004,"EM ANDAMENTO"))</f>
        <v/>
      </c>
      <c r="Y277" s="2" t="str">
        <f aca="false">IF(R277="","",IF(COUNTIFS($C$5:$C$6004,R277,$O$5:$O$6004,"CONCLUÍDA",$N$5:$N$6004,"&gt;=-99")=0,"",_xlfn.MAXIFS($N$5:$N$6004,$C$5:$C$6004,R277,$O$5:$O$6004,"CONCLUÍDA")))</f>
        <v/>
      </c>
      <c r="Z277" s="2" t="str">
        <f aca="false">IF(R277="","",IF(COUNTIFS($C$5:$C$6004,R277,$O$5:$O$6004,"EM ANDAMENTO",$N$5:$N$6004,"&gt;=-99")=0,"",_xlfn.MAXIFS($N$5:$N$6004,$C$5:$C$6004,R277,$O$5:$O$6004,"EM ANDAMENTO")))</f>
        <v/>
      </c>
      <c r="AA277" s="2" t="str">
        <f aca="false"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 customFormat="false" ht="15" hidden="false" customHeight="false" outlineLevel="0" collapsed="false">
      <c r="B278" s="4" t="n">
        <v>29940605</v>
      </c>
      <c r="C278" s="4" t="s">
        <v>2341</v>
      </c>
      <c r="D278" s="4" t="s">
        <v>463</v>
      </c>
      <c r="E278" s="4" t="s">
        <v>2800</v>
      </c>
      <c r="F278" s="127" t="n">
        <v>46322</v>
      </c>
      <c r="G278" s="127" t="n">
        <v>46350</v>
      </c>
      <c r="H278" s="127" t="n">
        <v>46289</v>
      </c>
      <c r="I278" s="4" t="n">
        <v>0</v>
      </c>
      <c r="J278" s="4" t="n">
        <v>0</v>
      </c>
      <c r="K278" s="4" t="n">
        <v>0</v>
      </c>
      <c r="M278" s="2" t="str">
        <f aca="false">IF(C278="","",IFERROR(INDEX($S$5:$S$304,MATCH(C278,$R$5:$R$304,0))&amp;"","?"))</f>
        <v>17</v>
      </c>
      <c r="N278" s="2" t="n">
        <f aca="false">IF(E278="","",IF(ISNUMBER(SEARCH("SUBSOLO",E278)),IFERROR(-VALUE(LEFT(E278,FIND("º",SUBSTITUTE(E278,"°","º"))-1)),-1),IF(LEFT(E278,6)="TÉRREO",0,IFERROR(VALUE(LEFT(E278,FIND("º",SUBSTITUTE(E278,"°","º"))-1)),""))))</f>
        <v>4</v>
      </c>
      <c r="O278" s="2" t="str">
        <f aca="false">IF(OR(F278="",G278=""),"",IF(G278&lt;='RETRATO 2027'!$K$5,"CONCLUÍDA",IF(F278&lt;='RETRATO 2027'!$K$5,"EM ANDAMENTO","A INICIAR")))</f>
        <v>CONCLUÍDA</v>
      </c>
      <c r="R278" s="4"/>
      <c r="S278" s="4"/>
      <c r="T278" s="4"/>
      <c r="U278" s="4"/>
      <c r="V278" s="2" t="str">
        <f aca="false">IF(R278="","",COUNTIF($C$5:$C$6004,R278))</f>
        <v/>
      </c>
      <c r="W278" s="2" t="str">
        <f aca="false">IF(R278="","",COUNTIFS($C$5:$C$6004,R278,$O$5:$O$6004,"CONCLUÍDA"))</f>
        <v/>
      </c>
      <c r="X278" s="2" t="str">
        <f aca="false">IF(R278="","",COUNTIFS($C$5:$C$6004,R278,$O$5:$O$6004,"EM ANDAMENTO"))</f>
        <v/>
      </c>
      <c r="Y278" s="2" t="str">
        <f aca="false">IF(R278="","",IF(COUNTIFS($C$5:$C$6004,R278,$O$5:$O$6004,"CONCLUÍDA",$N$5:$N$6004,"&gt;=-99")=0,"",_xlfn.MAXIFS($N$5:$N$6004,$C$5:$C$6004,R278,$O$5:$O$6004,"CONCLUÍDA")))</f>
        <v/>
      </c>
      <c r="Z278" s="2" t="str">
        <f aca="false">IF(R278="","",IF(COUNTIFS($C$5:$C$6004,R278,$O$5:$O$6004,"EM ANDAMENTO",$N$5:$N$6004,"&gt;=-99")=0,"",_xlfn.MAXIFS($N$5:$N$6004,$C$5:$C$6004,R278,$O$5:$O$6004,"EM ANDAMENTO")))</f>
        <v/>
      </c>
      <c r="AA278" s="2" t="str">
        <f aca="false"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 customFormat="false" ht="15" hidden="false" customHeight="false" outlineLevel="0" collapsed="false">
      <c r="B279" s="4" t="n">
        <v>31528964</v>
      </c>
      <c r="C279" s="4" t="s">
        <v>2341</v>
      </c>
      <c r="D279" s="4" t="s">
        <v>2312</v>
      </c>
      <c r="E279" s="4" t="s">
        <v>2800</v>
      </c>
      <c r="F279" s="127" t="n">
        <v>46322</v>
      </c>
      <c r="G279" s="127" t="n">
        <v>46338</v>
      </c>
      <c r="H279" s="127" t="n">
        <v>46289</v>
      </c>
      <c r="I279" s="4" t="n">
        <v>0</v>
      </c>
      <c r="J279" s="4" t="n">
        <v>0</v>
      </c>
      <c r="K279" s="4" t="n">
        <v>0</v>
      </c>
      <c r="M279" s="2" t="str">
        <f aca="false">IF(C279="","",IFERROR(INDEX($S$5:$S$304,MATCH(C279,$R$5:$R$304,0))&amp;"","?"))</f>
        <v>17</v>
      </c>
      <c r="N279" s="2" t="n">
        <f aca="false">IF(E279="","",IF(ISNUMBER(SEARCH("SUBSOLO",E279)),IFERROR(-VALUE(LEFT(E279,FIND("º",SUBSTITUTE(E279,"°","º"))-1)),-1),IF(LEFT(E279,6)="TÉRREO",0,IFERROR(VALUE(LEFT(E279,FIND("º",SUBSTITUTE(E279,"°","º"))-1)),""))))</f>
        <v>4</v>
      </c>
      <c r="O279" s="2" t="str">
        <f aca="false">IF(OR(F279="",G279=""),"",IF(G279&lt;='RETRATO 2027'!$K$5,"CONCLUÍDA",IF(F279&lt;='RETRATO 2027'!$K$5,"EM ANDAMENTO","A INICIAR")))</f>
        <v>CONCLUÍDA</v>
      </c>
      <c r="R279" s="4"/>
      <c r="S279" s="4"/>
      <c r="T279" s="4"/>
      <c r="U279" s="4"/>
      <c r="V279" s="2" t="str">
        <f aca="false">IF(R279="","",COUNTIF($C$5:$C$6004,R279))</f>
        <v/>
      </c>
      <c r="W279" s="2" t="str">
        <f aca="false">IF(R279="","",COUNTIFS($C$5:$C$6004,R279,$O$5:$O$6004,"CONCLUÍDA"))</f>
        <v/>
      </c>
      <c r="X279" s="2" t="str">
        <f aca="false">IF(R279="","",COUNTIFS($C$5:$C$6004,R279,$O$5:$O$6004,"EM ANDAMENTO"))</f>
        <v/>
      </c>
      <c r="Y279" s="2" t="str">
        <f aca="false">IF(R279="","",IF(COUNTIFS($C$5:$C$6004,R279,$O$5:$O$6004,"CONCLUÍDA",$N$5:$N$6004,"&gt;=-99")=0,"",_xlfn.MAXIFS($N$5:$N$6004,$C$5:$C$6004,R279,$O$5:$O$6004,"CONCLUÍDA")))</f>
        <v/>
      </c>
      <c r="Z279" s="2" t="str">
        <f aca="false">IF(R279="","",IF(COUNTIFS($C$5:$C$6004,R279,$O$5:$O$6004,"EM ANDAMENTO",$N$5:$N$6004,"&gt;=-99")=0,"",_xlfn.MAXIFS($N$5:$N$6004,$C$5:$C$6004,R279,$O$5:$O$6004,"EM ANDAMENTO")))</f>
        <v/>
      </c>
      <c r="AA279" s="2" t="str">
        <f aca="false"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 customFormat="false" ht="15" hidden="false" customHeight="false" outlineLevel="0" collapsed="false">
      <c r="B280" s="4" t="n">
        <v>31528965</v>
      </c>
      <c r="C280" s="4" t="s">
        <v>2341</v>
      </c>
      <c r="D280" s="4" t="s">
        <v>2309</v>
      </c>
      <c r="E280" s="4" t="s">
        <v>2800</v>
      </c>
      <c r="F280" s="127" t="n">
        <v>46339</v>
      </c>
      <c r="G280" s="127" t="n">
        <v>46349</v>
      </c>
      <c r="H280" s="127" t="n">
        <v>46289</v>
      </c>
      <c r="I280" s="4" t="n">
        <v>0</v>
      </c>
      <c r="J280" s="4" t="n">
        <v>0</v>
      </c>
      <c r="K280" s="4" t="n">
        <v>0</v>
      </c>
      <c r="M280" s="2" t="str">
        <f aca="false">IF(C280="","",IFERROR(INDEX($S$5:$S$304,MATCH(C280,$R$5:$R$304,0))&amp;"","?"))</f>
        <v>17</v>
      </c>
      <c r="N280" s="2" t="n">
        <f aca="false">IF(E280="","",IF(ISNUMBER(SEARCH("SUBSOLO",E280)),IFERROR(-VALUE(LEFT(E280,FIND("º",SUBSTITUTE(E280,"°","º"))-1)),-1),IF(LEFT(E280,6)="TÉRREO",0,IFERROR(VALUE(LEFT(E280,FIND("º",SUBSTITUTE(E280,"°","º"))-1)),""))))</f>
        <v>4</v>
      </c>
      <c r="O280" s="2" t="str">
        <f aca="false">IF(OR(F280="",G280=""),"",IF(G280&lt;='RETRATO 2027'!$K$5,"CONCLUÍDA",IF(F280&lt;='RETRATO 2027'!$K$5,"EM ANDAMENTO","A INICIAR")))</f>
        <v>CONCLUÍDA</v>
      </c>
      <c r="R280" s="4"/>
      <c r="S280" s="4"/>
      <c r="T280" s="4"/>
      <c r="U280" s="4"/>
      <c r="V280" s="2" t="str">
        <f aca="false">IF(R280="","",COUNTIF($C$5:$C$6004,R280))</f>
        <v/>
      </c>
      <c r="W280" s="2" t="str">
        <f aca="false">IF(R280="","",COUNTIFS($C$5:$C$6004,R280,$O$5:$O$6004,"CONCLUÍDA"))</f>
        <v/>
      </c>
      <c r="X280" s="2" t="str">
        <f aca="false">IF(R280="","",COUNTIFS($C$5:$C$6004,R280,$O$5:$O$6004,"EM ANDAMENTO"))</f>
        <v/>
      </c>
      <c r="Y280" s="2" t="str">
        <f aca="false">IF(R280="","",IF(COUNTIFS($C$5:$C$6004,R280,$O$5:$O$6004,"CONCLUÍDA",$N$5:$N$6004,"&gt;=-99")=0,"",_xlfn.MAXIFS($N$5:$N$6004,$C$5:$C$6004,R280,$O$5:$O$6004,"CONCLUÍDA")))</f>
        <v/>
      </c>
      <c r="Z280" s="2" t="str">
        <f aca="false">IF(R280="","",IF(COUNTIFS($C$5:$C$6004,R280,$O$5:$O$6004,"EM ANDAMENTO",$N$5:$N$6004,"&gt;=-99")=0,"",_xlfn.MAXIFS($N$5:$N$6004,$C$5:$C$6004,R280,$O$5:$O$6004,"EM ANDAMENTO")))</f>
        <v/>
      </c>
      <c r="AA280" s="2" t="str">
        <f aca="false"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 customFormat="false" ht="15" hidden="false" customHeight="false" outlineLevel="0" collapsed="false">
      <c r="B281" s="4" t="n">
        <v>31528966</v>
      </c>
      <c r="C281" s="4" t="s">
        <v>2341</v>
      </c>
      <c r="D281" s="4" t="s">
        <v>2314</v>
      </c>
      <c r="E281" s="4" t="s">
        <v>2800</v>
      </c>
      <c r="F281" s="127" t="n">
        <v>46350</v>
      </c>
      <c r="G281" s="127" t="n">
        <v>46350</v>
      </c>
      <c r="H281" s="127" t="n">
        <v>46289</v>
      </c>
      <c r="I281" s="4" t="n">
        <v>0</v>
      </c>
      <c r="J281" s="4" t="n">
        <v>0</v>
      </c>
      <c r="K281" s="4" t="n">
        <v>0</v>
      </c>
      <c r="M281" s="2" t="str">
        <f aca="false">IF(C281="","",IFERROR(INDEX($S$5:$S$304,MATCH(C281,$R$5:$R$304,0))&amp;"","?"))</f>
        <v>17</v>
      </c>
      <c r="N281" s="2" t="n">
        <f aca="false">IF(E281="","",IF(ISNUMBER(SEARCH("SUBSOLO",E281)),IFERROR(-VALUE(LEFT(E281,FIND("º",SUBSTITUTE(E281,"°","º"))-1)),-1),IF(LEFT(E281,6)="TÉRREO",0,IFERROR(VALUE(LEFT(E281,FIND("º",SUBSTITUTE(E281,"°","º"))-1)),""))))</f>
        <v>4</v>
      </c>
      <c r="O281" s="2" t="str">
        <f aca="false">IF(OR(F281="",G281=""),"",IF(G281&lt;='RETRATO 2027'!$K$5,"CONCLUÍDA",IF(F281&lt;='RETRATO 2027'!$K$5,"EM ANDAMENTO","A INICIAR")))</f>
        <v>CONCLUÍDA</v>
      </c>
      <c r="R281" s="4"/>
      <c r="S281" s="4"/>
      <c r="T281" s="4"/>
      <c r="U281" s="4"/>
      <c r="V281" s="2" t="str">
        <f aca="false">IF(R281="","",COUNTIF($C$5:$C$6004,R281))</f>
        <v/>
      </c>
      <c r="W281" s="2" t="str">
        <f aca="false">IF(R281="","",COUNTIFS($C$5:$C$6004,R281,$O$5:$O$6004,"CONCLUÍDA"))</f>
        <v/>
      </c>
      <c r="X281" s="2" t="str">
        <f aca="false">IF(R281="","",COUNTIFS($C$5:$C$6004,R281,$O$5:$O$6004,"EM ANDAMENTO"))</f>
        <v/>
      </c>
      <c r="Y281" s="2" t="str">
        <f aca="false">IF(R281="","",IF(COUNTIFS($C$5:$C$6004,R281,$O$5:$O$6004,"CONCLUÍDA",$N$5:$N$6004,"&gt;=-99")=0,"",_xlfn.MAXIFS($N$5:$N$6004,$C$5:$C$6004,R281,$O$5:$O$6004,"CONCLUÍDA")))</f>
        <v/>
      </c>
      <c r="Z281" s="2" t="str">
        <f aca="false">IF(R281="","",IF(COUNTIFS($C$5:$C$6004,R281,$O$5:$O$6004,"EM ANDAMENTO",$N$5:$N$6004,"&gt;=-99")=0,"",_xlfn.MAXIFS($N$5:$N$6004,$C$5:$C$6004,R281,$O$5:$O$6004,"EM ANDAMENTO")))</f>
        <v/>
      </c>
      <c r="AA281" s="2" t="str">
        <f aca="false"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 customFormat="false" ht="15" hidden="false" customHeight="false" outlineLevel="0" collapsed="false">
      <c r="B282" s="4" t="n">
        <v>31528967</v>
      </c>
      <c r="C282" s="4" t="s">
        <v>2341</v>
      </c>
      <c r="D282" s="4" t="s">
        <v>2758</v>
      </c>
      <c r="E282" s="4" t="s">
        <v>2800</v>
      </c>
      <c r="F282" s="127" t="n">
        <v>46350</v>
      </c>
      <c r="G282" s="127" t="n">
        <v>46350</v>
      </c>
      <c r="H282" s="127" t="n">
        <v>46289</v>
      </c>
      <c r="I282" s="4" t="n">
        <v>0</v>
      </c>
      <c r="J282" s="4" t="n">
        <v>0</v>
      </c>
      <c r="K282" s="4" t="n">
        <v>0</v>
      </c>
      <c r="M282" s="2" t="str">
        <f aca="false">IF(C282="","",IFERROR(INDEX($S$5:$S$304,MATCH(C282,$R$5:$R$304,0))&amp;"","?"))</f>
        <v>17</v>
      </c>
      <c r="N282" s="2" t="n">
        <f aca="false">IF(E282="","",IF(ISNUMBER(SEARCH("SUBSOLO",E282)),IFERROR(-VALUE(LEFT(E282,FIND("º",SUBSTITUTE(E282,"°","º"))-1)),-1),IF(LEFT(E282,6)="TÉRREO",0,IFERROR(VALUE(LEFT(E282,FIND("º",SUBSTITUTE(E282,"°","º"))-1)),""))))</f>
        <v>4</v>
      </c>
      <c r="O282" s="2" t="str">
        <f aca="false">IF(OR(F282="",G282=""),"",IF(G282&lt;='RETRATO 2027'!$K$5,"CONCLUÍDA",IF(F282&lt;='RETRATO 2027'!$K$5,"EM ANDAMENTO","A INICIAR")))</f>
        <v>CONCLUÍDA</v>
      </c>
      <c r="R282" s="4"/>
      <c r="S282" s="4"/>
      <c r="T282" s="4"/>
      <c r="U282" s="4"/>
      <c r="V282" s="2" t="str">
        <f aca="false">IF(R282="","",COUNTIF($C$5:$C$6004,R282))</f>
        <v/>
      </c>
      <c r="W282" s="2" t="str">
        <f aca="false">IF(R282="","",COUNTIFS($C$5:$C$6004,R282,$O$5:$O$6004,"CONCLUÍDA"))</f>
        <v/>
      </c>
      <c r="X282" s="2" t="str">
        <f aca="false">IF(R282="","",COUNTIFS($C$5:$C$6004,R282,$O$5:$O$6004,"EM ANDAMENTO"))</f>
        <v/>
      </c>
      <c r="Y282" s="2" t="str">
        <f aca="false">IF(R282="","",IF(COUNTIFS($C$5:$C$6004,R282,$O$5:$O$6004,"CONCLUÍDA",$N$5:$N$6004,"&gt;=-99")=0,"",_xlfn.MAXIFS($N$5:$N$6004,$C$5:$C$6004,R282,$O$5:$O$6004,"CONCLUÍDA")))</f>
        <v/>
      </c>
      <c r="Z282" s="2" t="str">
        <f aca="false">IF(R282="","",IF(COUNTIFS($C$5:$C$6004,R282,$O$5:$O$6004,"EM ANDAMENTO",$N$5:$N$6004,"&gt;=-99")=0,"",_xlfn.MAXIFS($N$5:$N$6004,$C$5:$C$6004,R282,$O$5:$O$6004,"EM ANDAMENTO")))</f>
        <v/>
      </c>
      <c r="AA282" s="2" t="str">
        <f aca="false"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 customFormat="false" ht="15" hidden="false" customHeight="false" outlineLevel="0" collapsed="false">
      <c r="B283" s="4" t="n">
        <v>35594317</v>
      </c>
      <c r="C283" s="4" t="s">
        <v>2385</v>
      </c>
      <c r="D283" s="4" t="s">
        <v>463</v>
      </c>
      <c r="E283" s="4" t="s">
        <v>81</v>
      </c>
      <c r="F283" s="127" t="n">
        <v>46339</v>
      </c>
      <c r="G283" s="127" t="n">
        <v>46379</v>
      </c>
      <c r="H283" s="127" t="n">
        <v>46289</v>
      </c>
      <c r="I283" s="4" t="n">
        <v>4.444</v>
      </c>
      <c r="J283" s="4" t="n">
        <v>0</v>
      </c>
      <c r="K283" s="4" t="n">
        <v>0</v>
      </c>
      <c r="M283" s="2" t="str">
        <f aca="false">IF(C283="","",IFERROR(INDEX($S$5:$S$304,MATCH(C283,$R$5:$R$304,0))&amp;"","?"))</f>
        <v>13</v>
      </c>
      <c r="N283" s="2" t="str">
        <f aca="false">IF(E283="","",IF(ISNUMBER(SEARCH("SUBSOLO",E283)),IFERROR(-VALUE(LEFT(E283,FIND("º",SUBSTITUTE(E283,"°","º"))-1)),-1),IF(LEFT(E283,6)="TÉRREO",0,IFERROR(VALUE(LEFT(E283,FIND("º",SUBSTITUTE(E283,"°","º"))-1)),""))))</f>
        <v/>
      </c>
      <c r="O283" s="2" t="str">
        <f aca="false">IF(OR(F283="",G283=""),"",IF(G283&lt;='RETRATO 2027'!$K$5,"CONCLUÍDA",IF(F283&lt;='RETRATO 2027'!$K$5,"EM ANDAMENTO","A INICIAR")))</f>
        <v>CONCLUÍDA</v>
      </c>
      <c r="R283" s="4"/>
      <c r="S283" s="4"/>
      <c r="T283" s="4"/>
      <c r="U283" s="4"/>
      <c r="V283" s="2" t="str">
        <f aca="false">IF(R283="","",COUNTIF($C$5:$C$6004,R283))</f>
        <v/>
      </c>
      <c r="W283" s="2" t="str">
        <f aca="false">IF(R283="","",COUNTIFS($C$5:$C$6004,R283,$O$5:$O$6004,"CONCLUÍDA"))</f>
        <v/>
      </c>
      <c r="X283" s="2" t="str">
        <f aca="false">IF(R283="","",COUNTIFS($C$5:$C$6004,R283,$O$5:$O$6004,"EM ANDAMENTO"))</f>
        <v/>
      </c>
      <c r="Y283" s="2" t="str">
        <f aca="false">IF(R283="","",IF(COUNTIFS($C$5:$C$6004,R283,$O$5:$O$6004,"CONCLUÍDA",$N$5:$N$6004,"&gt;=-99")=0,"",_xlfn.MAXIFS($N$5:$N$6004,$C$5:$C$6004,R283,$O$5:$O$6004,"CONCLUÍDA")))</f>
        <v/>
      </c>
      <c r="Z283" s="2" t="str">
        <f aca="false">IF(R283="","",IF(COUNTIFS($C$5:$C$6004,R283,$O$5:$O$6004,"EM ANDAMENTO",$N$5:$N$6004,"&gt;=-99")=0,"",_xlfn.MAXIFS($N$5:$N$6004,$C$5:$C$6004,R283,$O$5:$O$6004,"EM ANDAMENTO")))</f>
        <v/>
      </c>
      <c r="AA283" s="2" t="str">
        <f aca="false"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 customFormat="false" ht="15" hidden="false" customHeight="false" outlineLevel="0" collapsed="false">
      <c r="B284" s="4" t="n">
        <v>29940927</v>
      </c>
      <c r="C284" s="4" t="s">
        <v>2341</v>
      </c>
      <c r="D284" s="4" t="s">
        <v>463</v>
      </c>
      <c r="E284" s="4" t="s">
        <v>2801</v>
      </c>
      <c r="F284" s="127" t="n">
        <v>46351</v>
      </c>
      <c r="G284" s="127" t="n">
        <v>46379</v>
      </c>
      <c r="H284" s="127" t="n">
        <v>46289</v>
      </c>
      <c r="I284" s="4" t="n">
        <v>0</v>
      </c>
      <c r="J284" s="4" t="n">
        <v>0</v>
      </c>
      <c r="K284" s="4" t="n">
        <v>0</v>
      </c>
      <c r="M284" s="2" t="str">
        <f aca="false">IF(C284="","",IFERROR(INDEX($S$5:$S$304,MATCH(C284,$R$5:$R$304,0))&amp;"","?"))</f>
        <v>17</v>
      </c>
      <c r="N284" s="2" t="n">
        <f aca="false">IF(E284="","",IF(ISNUMBER(SEARCH("SUBSOLO",E284)),IFERROR(-VALUE(LEFT(E284,FIND("º",SUBSTITUTE(E284,"°","º"))-1)),-1),IF(LEFT(E284,6)="TÉRREO",0,IFERROR(VALUE(LEFT(E284,FIND("º",SUBSTITUTE(E284,"°","º"))-1)),""))))</f>
        <v>5</v>
      </c>
      <c r="O284" s="2" t="str">
        <f aca="false">IF(OR(F284="",G284=""),"",IF(G284&lt;='RETRATO 2027'!$K$5,"CONCLUÍDA",IF(F284&lt;='RETRATO 2027'!$K$5,"EM ANDAMENTO","A INICIAR")))</f>
        <v>CONCLUÍDA</v>
      </c>
      <c r="R284" s="4"/>
      <c r="S284" s="4"/>
      <c r="T284" s="4"/>
      <c r="U284" s="4"/>
      <c r="V284" s="2" t="str">
        <f aca="false">IF(R284="","",COUNTIF($C$5:$C$6004,R284))</f>
        <v/>
      </c>
      <c r="W284" s="2" t="str">
        <f aca="false">IF(R284="","",COUNTIFS($C$5:$C$6004,R284,$O$5:$O$6004,"CONCLUÍDA"))</f>
        <v/>
      </c>
      <c r="X284" s="2" t="str">
        <f aca="false">IF(R284="","",COUNTIFS($C$5:$C$6004,R284,$O$5:$O$6004,"EM ANDAMENTO"))</f>
        <v/>
      </c>
      <c r="Y284" s="2" t="str">
        <f aca="false">IF(R284="","",IF(COUNTIFS($C$5:$C$6004,R284,$O$5:$O$6004,"CONCLUÍDA",$N$5:$N$6004,"&gt;=-99")=0,"",_xlfn.MAXIFS($N$5:$N$6004,$C$5:$C$6004,R284,$O$5:$O$6004,"CONCLUÍDA")))</f>
        <v/>
      </c>
      <c r="Z284" s="2" t="str">
        <f aca="false">IF(R284="","",IF(COUNTIFS($C$5:$C$6004,R284,$O$5:$O$6004,"EM ANDAMENTO",$N$5:$N$6004,"&gt;=-99")=0,"",_xlfn.MAXIFS($N$5:$N$6004,$C$5:$C$6004,R284,$O$5:$O$6004,"EM ANDAMENTO")))</f>
        <v/>
      </c>
      <c r="AA284" s="2" t="str">
        <f aca="false"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 customFormat="false" ht="15" hidden="false" customHeight="false" outlineLevel="0" collapsed="false">
      <c r="B285" s="4" t="n">
        <v>31528968</v>
      </c>
      <c r="C285" s="4" t="s">
        <v>2341</v>
      </c>
      <c r="D285" s="4" t="s">
        <v>2312</v>
      </c>
      <c r="E285" s="4" t="s">
        <v>2801</v>
      </c>
      <c r="F285" s="127" t="n">
        <v>46351</v>
      </c>
      <c r="G285" s="127" t="n">
        <v>46367</v>
      </c>
      <c r="H285" s="127" t="n">
        <v>46289</v>
      </c>
      <c r="I285" s="4" t="n">
        <v>0</v>
      </c>
      <c r="J285" s="4" t="n">
        <v>0</v>
      </c>
      <c r="K285" s="4" t="n">
        <v>0</v>
      </c>
      <c r="M285" s="2" t="str">
        <f aca="false">IF(C285="","",IFERROR(INDEX($S$5:$S$304,MATCH(C285,$R$5:$R$304,0))&amp;"","?"))</f>
        <v>17</v>
      </c>
      <c r="N285" s="2" t="n">
        <f aca="false">IF(E285="","",IF(ISNUMBER(SEARCH("SUBSOLO",E285)),IFERROR(-VALUE(LEFT(E285,FIND("º",SUBSTITUTE(E285,"°","º"))-1)),-1),IF(LEFT(E285,6)="TÉRREO",0,IFERROR(VALUE(LEFT(E285,FIND("º",SUBSTITUTE(E285,"°","º"))-1)),""))))</f>
        <v>5</v>
      </c>
      <c r="O285" s="2" t="str">
        <f aca="false">IF(OR(F285="",G285=""),"",IF(G285&lt;='RETRATO 2027'!$K$5,"CONCLUÍDA",IF(F285&lt;='RETRATO 2027'!$K$5,"EM ANDAMENTO","A INICIAR")))</f>
        <v>CONCLUÍDA</v>
      </c>
      <c r="R285" s="4"/>
      <c r="S285" s="4"/>
      <c r="T285" s="4"/>
      <c r="U285" s="4"/>
      <c r="V285" s="2" t="str">
        <f aca="false">IF(R285="","",COUNTIF($C$5:$C$6004,R285))</f>
        <v/>
      </c>
      <c r="W285" s="2" t="str">
        <f aca="false">IF(R285="","",COUNTIFS($C$5:$C$6004,R285,$O$5:$O$6004,"CONCLUÍDA"))</f>
        <v/>
      </c>
      <c r="X285" s="2" t="str">
        <f aca="false">IF(R285="","",COUNTIFS($C$5:$C$6004,R285,$O$5:$O$6004,"EM ANDAMENTO"))</f>
        <v/>
      </c>
      <c r="Y285" s="2" t="str">
        <f aca="false">IF(R285="","",IF(COUNTIFS($C$5:$C$6004,R285,$O$5:$O$6004,"CONCLUÍDA",$N$5:$N$6004,"&gt;=-99")=0,"",_xlfn.MAXIFS($N$5:$N$6004,$C$5:$C$6004,R285,$O$5:$O$6004,"CONCLUÍDA")))</f>
        <v/>
      </c>
      <c r="Z285" s="2" t="str">
        <f aca="false">IF(R285="","",IF(COUNTIFS($C$5:$C$6004,R285,$O$5:$O$6004,"EM ANDAMENTO",$N$5:$N$6004,"&gt;=-99")=0,"",_xlfn.MAXIFS($N$5:$N$6004,$C$5:$C$6004,R285,$O$5:$O$6004,"EM ANDAMENTO")))</f>
        <v/>
      </c>
      <c r="AA285" s="2" t="str">
        <f aca="false"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 customFormat="false" ht="15" hidden="false" customHeight="false" outlineLevel="0" collapsed="false">
      <c r="B286" s="4" t="n">
        <v>31528969</v>
      </c>
      <c r="C286" s="4" t="s">
        <v>2341</v>
      </c>
      <c r="D286" s="4" t="s">
        <v>2309</v>
      </c>
      <c r="E286" s="4" t="s">
        <v>2801</v>
      </c>
      <c r="F286" s="127" t="n">
        <v>46370</v>
      </c>
      <c r="G286" s="127" t="n">
        <v>46378</v>
      </c>
      <c r="H286" s="127" t="n">
        <v>46289</v>
      </c>
      <c r="I286" s="4" t="n">
        <v>0</v>
      </c>
      <c r="J286" s="4" t="n">
        <v>0</v>
      </c>
      <c r="K286" s="4" t="n">
        <v>0</v>
      </c>
      <c r="M286" s="2" t="str">
        <f aca="false">IF(C286="","",IFERROR(INDEX($S$5:$S$304,MATCH(C286,$R$5:$R$304,0))&amp;"","?"))</f>
        <v>17</v>
      </c>
      <c r="N286" s="2" t="n">
        <f aca="false">IF(E286="","",IF(ISNUMBER(SEARCH("SUBSOLO",E286)),IFERROR(-VALUE(LEFT(E286,FIND("º",SUBSTITUTE(E286,"°","º"))-1)),-1),IF(LEFT(E286,6)="TÉRREO",0,IFERROR(VALUE(LEFT(E286,FIND("º",SUBSTITUTE(E286,"°","º"))-1)),""))))</f>
        <v>5</v>
      </c>
      <c r="O286" s="2" t="str">
        <f aca="false">IF(OR(F286="",G286=""),"",IF(G286&lt;='RETRATO 2027'!$K$5,"CONCLUÍDA",IF(F286&lt;='RETRATO 2027'!$K$5,"EM ANDAMENTO","A INICIAR")))</f>
        <v>CONCLUÍDA</v>
      </c>
      <c r="R286" s="4"/>
      <c r="S286" s="4"/>
      <c r="T286" s="4"/>
      <c r="U286" s="4"/>
      <c r="V286" s="2" t="str">
        <f aca="false">IF(R286="","",COUNTIF($C$5:$C$6004,R286))</f>
        <v/>
      </c>
      <c r="W286" s="2" t="str">
        <f aca="false">IF(R286="","",COUNTIFS($C$5:$C$6004,R286,$O$5:$O$6004,"CONCLUÍDA"))</f>
        <v/>
      </c>
      <c r="X286" s="2" t="str">
        <f aca="false">IF(R286="","",COUNTIFS($C$5:$C$6004,R286,$O$5:$O$6004,"EM ANDAMENTO"))</f>
        <v/>
      </c>
      <c r="Y286" s="2" t="str">
        <f aca="false">IF(R286="","",IF(COUNTIFS($C$5:$C$6004,R286,$O$5:$O$6004,"CONCLUÍDA",$N$5:$N$6004,"&gt;=-99")=0,"",_xlfn.MAXIFS($N$5:$N$6004,$C$5:$C$6004,R286,$O$5:$O$6004,"CONCLUÍDA")))</f>
        <v/>
      </c>
      <c r="Z286" s="2" t="str">
        <f aca="false">IF(R286="","",IF(COUNTIFS($C$5:$C$6004,R286,$O$5:$O$6004,"EM ANDAMENTO",$N$5:$N$6004,"&gt;=-99")=0,"",_xlfn.MAXIFS($N$5:$N$6004,$C$5:$C$6004,R286,$O$5:$O$6004,"EM ANDAMENTO")))</f>
        <v/>
      </c>
      <c r="AA286" s="2" t="str">
        <f aca="false"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 customFormat="false" ht="15" hidden="false" customHeight="false" outlineLevel="0" collapsed="false">
      <c r="B287" s="4" t="n">
        <v>31528970</v>
      </c>
      <c r="C287" s="4" t="s">
        <v>2341</v>
      </c>
      <c r="D287" s="4" t="s">
        <v>2314</v>
      </c>
      <c r="E287" s="4" t="s">
        <v>2801</v>
      </c>
      <c r="F287" s="127" t="n">
        <v>46379</v>
      </c>
      <c r="G287" s="127" t="n">
        <v>46379</v>
      </c>
      <c r="H287" s="127" t="n">
        <v>46289</v>
      </c>
      <c r="I287" s="4" t="n">
        <v>0</v>
      </c>
      <c r="J287" s="4" t="n">
        <v>0</v>
      </c>
      <c r="K287" s="4" t="n">
        <v>0</v>
      </c>
      <c r="M287" s="2" t="str">
        <f aca="false">IF(C287="","",IFERROR(INDEX($S$5:$S$304,MATCH(C287,$R$5:$R$304,0))&amp;"","?"))</f>
        <v>17</v>
      </c>
      <c r="N287" s="2" t="n">
        <f aca="false">IF(E287="","",IF(ISNUMBER(SEARCH("SUBSOLO",E287)),IFERROR(-VALUE(LEFT(E287,FIND("º",SUBSTITUTE(E287,"°","º"))-1)),-1),IF(LEFT(E287,6)="TÉRREO",0,IFERROR(VALUE(LEFT(E287,FIND("º",SUBSTITUTE(E287,"°","º"))-1)),""))))</f>
        <v>5</v>
      </c>
      <c r="O287" s="2" t="str">
        <f aca="false">IF(OR(F287="",G287=""),"",IF(G287&lt;='RETRATO 2027'!$K$5,"CONCLUÍDA",IF(F287&lt;='RETRATO 2027'!$K$5,"EM ANDAMENTO","A INICIAR")))</f>
        <v>CONCLUÍDA</v>
      </c>
      <c r="R287" s="4"/>
      <c r="S287" s="4"/>
      <c r="T287" s="4"/>
      <c r="U287" s="4"/>
      <c r="V287" s="2" t="str">
        <f aca="false">IF(R287="","",COUNTIF($C$5:$C$6004,R287))</f>
        <v/>
      </c>
      <c r="W287" s="2" t="str">
        <f aca="false">IF(R287="","",COUNTIFS($C$5:$C$6004,R287,$O$5:$O$6004,"CONCLUÍDA"))</f>
        <v/>
      </c>
      <c r="X287" s="2" t="str">
        <f aca="false">IF(R287="","",COUNTIFS($C$5:$C$6004,R287,$O$5:$O$6004,"EM ANDAMENTO"))</f>
        <v/>
      </c>
      <c r="Y287" s="2" t="str">
        <f aca="false">IF(R287="","",IF(COUNTIFS($C$5:$C$6004,R287,$O$5:$O$6004,"CONCLUÍDA",$N$5:$N$6004,"&gt;=-99")=0,"",_xlfn.MAXIFS($N$5:$N$6004,$C$5:$C$6004,R287,$O$5:$O$6004,"CONCLUÍDA")))</f>
        <v/>
      </c>
      <c r="Z287" s="2" t="str">
        <f aca="false">IF(R287="","",IF(COUNTIFS($C$5:$C$6004,R287,$O$5:$O$6004,"EM ANDAMENTO",$N$5:$N$6004,"&gt;=-99")=0,"",_xlfn.MAXIFS($N$5:$N$6004,$C$5:$C$6004,R287,$O$5:$O$6004,"EM ANDAMENTO")))</f>
        <v/>
      </c>
      <c r="AA287" s="2" t="str">
        <f aca="false"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 customFormat="false" ht="15" hidden="false" customHeight="false" outlineLevel="0" collapsed="false">
      <c r="B288" s="4" t="n">
        <v>31528971</v>
      </c>
      <c r="C288" s="4" t="s">
        <v>2341</v>
      </c>
      <c r="D288" s="4" t="s">
        <v>2758</v>
      </c>
      <c r="E288" s="4" t="s">
        <v>2801</v>
      </c>
      <c r="F288" s="127" t="n">
        <v>46379</v>
      </c>
      <c r="G288" s="127" t="n">
        <v>46379</v>
      </c>
      <c r="H288" s="127" t="n">
        <v>46289</v>
      </c>
      <c r="I288" s="4" t="n">
        <v>0</v>
      </c>
      <c r="J288" s="4" t="n">
        <v>0</v>
      </c>
      <c r="K288" s="4" t="n">
        <v>0</v>
      </c>
      <c r="M288" s="2" t="str">
        <f aca="false">IF(C288="","",IFERROR(INDEX($S$5:$S$304,MATCH(C288,$R$5:$R$304,0))&amp;"","?"))</f>
        <v>17</v>
      </c>
      <c r="N288" s="2" t="n">
        <f aca="false">IF(E288="","",IF(ISNUMBER(SEARCH("SUBSOLO",E288)),IFERROR(-VALUE(LEFT(E288,FIND("º",SUBSTITUTE(E288,"°","º"))-1)),-1),IF(LEFT(E288,6)="TÉRREO",0,IFERROR(VALUE(LEFT(E288,FIND("º",SUBSTITUTE(E288,"°","º"))-1)),""))))</f>
        <v>5</v>
      </c>
      <c r="O288" s="2" t="str">
        <f aca="false">IF(OR(F288="",G288=""),"",IF(G288&lt;='RETRATO 2027'!$K$5,"CONCLUÍDA",IF(F288&lt;='RETRATO 2027'!$K$5,"EM ANDAMENTO","A INICIAR")))</f>
        <v>CONCLUÍDA</v>
      </c>
      <c r="R288" s="4"/>
      <c r="S288" s="4"/>
      <c r="T288" s="4"/>
      <c r="U288" s="4"/>
      <c r="V288" s="2" t="str">
        <f aca="false">IF(R288="","",COUNTIF($C$5:$C$6004,R288))</f>
        <v/>
      </c>
      <c r="W288" s="2" t="str">
        <f aca="false">IF(R288="","",COUNTIFS($C$5:$C$6004,R288,$O$5:$O$6004,"CONCLUÍDA"))</f>
        <v/>
      </c>
      <c r="X288" s="2" t="str">
        <f aca="false">IF(R288="","",COUNTIFS($C$5:$C$6004,R288,$O$5:$O$6004,"EM ANDAMENTO"))</f>
        <v/>
      </c>
      <c r="Y288" s="2" t="str">
        <f aca="false">IF(R288="","",IF(COUNTIFS($C$5:$C$6004,R288,$O$5:$O$6004,"CONCLUÍDA",$N$5:$N$6004,"&gt;=-99")=0,"",_xlfn.MAXIFS($N$5:$N$6004,$C$5:$C$6004,R288,$O$5:$O$6004,"CONCLUÍDA")))</f>
        <v/>
      </c>
      <c r="Z288" s="2" t="str">
        <f aca="false">IF(R288="","",IF(COUNTIFS($C$5:$C$6004,R288,$O$5:$O$6004,"EM ANDAMENTO",$N$5:$N$6004,"&gt;=-99")=0,"",_xlfn.MAXIFS($N$5:$N$6004,$C$5:$C$6004,R288,$O$5:$O$6004,"EM ANDAMENTO")))</f>
        <v/>
      </c>
      <c r="AA288" s="2" t="str">
        <f aca="false"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 customFormat="false" ht="15" hidden="false" customHeight="false" outlineLevel="0" collapsed="false">
      <c r="B289" s="4" t="n">
        <v>30171492</v>
      </c>
      <c r="C289" s="4" t="s">
        <v>2382</v>
      </c>
      <c r="D289" s="4" t="s">
        <v>463</v>
      </c>
      <c r="E289" s="4" t="s">
        <v>2784</v>
      </c>
      <c r="F289" s="127" t="n">
        <v>46391</v>
      </c>
      <c r="G289" s="127" t="n">
        <v>46420</v>
      </c>
      <c r="H289" s="127" t="n">
        <v>46289</v>
      </c>
      <c r="I289" s="4" t="n">
        <v>0</v>
      </c>
      <c r="J289" s="4" t="n">
        <v>0</v>
      </c>
      <c r="K289" s="4" t="n">
        <v>0</v>
      </c>
      <c r="M289" s="2" t="str">
        <f aca="false">IF(C289="","",IFERROR(INDEX($S$5:$S$304,MATCH(C289,$R$5:$R$304,0))&amp;"","?"))</f>
        <v>35</v>
      </c>
      <c r="N289" s="2" t="n">
        <f aca="false">IF(E289="","",IF(ISNUMBER(SEARCH("SUBSOLO",E289)),IFERROR(-VALUE(LEFT(E289,FIND("º",SUBSTITUTE(E289,"°","º"))-1)),-1),IF(LEFT(E289,6)="TÉRREO",0,IFERROR(VALUE(LEFT(E289,FIND("º",SUBSTITUTE(E289,"°","º"))-1)),""))))</f>
        <v>2</v>
      </c>
      <c r="O289" s="2" t="str">
        <f aca="false">IF(OR(F289="",G289=""),"",IF(G289&lt;='RETRATO 2027'!$K$5,"CONCLUÍDA",IF(F289&lt;='RETRATO 2027'!$K$5,"EM ANDAMENTO","A INICIAR")))</f>
        <v>CONCLUÍDA</v>
      </c>
      <c r="R289" s="4"/>
      <c r="S289" s="4"/>
      <c r="T289" s="4"/>
      <c r="U289" s="4"/>
      <c r="V289" s="2" t="str">
        <f aca="false">IF(R289="","",COUNTIF($C$5:$C$6004,R289))</f>
        <v/>
      </c>
      <c r="W289" s="2" t="str">
        <f aca="false">IF(R289="","",COUNTIFS($C$5:$C$6004,R289,$O$5:$O$6004,"CONCLUÍDA"))</f>
        <v/>
      </c>
      <c r="X289" s="2" t="str">
        <f aca="false">IF(R289="","",COUNTIFS($C$5:$C$6004,R289,$O$5:$O$6004,"EM ANDAMENTO"))</f>
        <v/>
      </c>
      <c r="Y289" s="2" t="str">
        <f aca="false">IF(R289="","",IF(COUNTIFS($C$5:$C$6004,R289,$O$5:$O$6004,"CONCLUÍDA",$N$5:$N$6004,"&gt;=-99")=0,"",_xlfn.MAXIFS($N$5:$N$6004,$C$5:$C$6004,R289,$O$5:$O$6004,"CONCLUÍDA")))</f>
        <v/>
      </c>
      <c r="Z289" s="2" t="str">
        <f aca="false">IF(R289="","",IF(COUNTIFS($C$5:$C$6004,R289,$O$5:$O$6004,"EM ANDAMENTO",$N$5:$N$6004,"&gt;=-99")=0,"",_xlfn.MAXIFS($N$5:$N$6004,$C$5:$C$6004,R289,$O$5:$O$6004,"EM ANDAMENTO")))</f>
        <v/>
      </c>
      <c r="AA289" s="2" t="str">
        <f aca="false"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 customFormat="false" ht="15" hidden="false" customHeight="false" outlineLevel="0" collapsed="false">
      <c r="B290" s="4" t="n">
        <v>29940929</v>
      </c>
      <c r="C290" s="4" t="s">
        <v>2341</v>
      </c>
      <c r="D290" s="4" t="s">
        <v>463</v>
      </c>
      <c r="E290" s="4" t="s">
        <v>2802</v>
      </c>
      <c r="F290" s="127" t="n">
        <v>46391</v>
      </c>
      <c r="G290" s="127" t="n">
        <v>46414</v>
      </c>
      <c r="H290" s="127" t="n">
        <v>46289</v>
      </c>
      <c r="I290" s="4" t="n">
        <v>0</v>
      </c>
      <c r="J290" s="4" t="n">
        <v>0</v>
      </c>
      <c r="K290" s="4" t="n">
        <v>0</v>
      </c>
      <c r="M290" s="2" t="str">
        <f aca="false">IF(C290="","",IFERROR(INDEX($S$5:$S$304,MATCH(C290,$R$5:$R$304,0))&amp;"","?"))</f>
        <v>17</v>
      </c>
      <c r="N290" s="2" t="n">
        <f aca="false">IF(E290="","",IF(ISNUMBER(SEARCH("SUBSOLO",E290)),IFERROR(-VALUE(LEFT(E290,FIND("º",SUBSTITUTE(E290,"°","º"))-1)),-1),IF(LEFT(E290,6)="TÉRREO",0,IFERROR(VALUE(LEFT(E290,FIND("º",SUBSTITUTE(E290,"°","º"))-1)),""))))</f>
        <v>6</v>
      </c>
      <c r="O290" s="2" t="str">
        <f aca="false">IF(OR(F290="",G290=""),"",IF(G290&lt;='RETRATO 2027'!$K$5,"CONCLUÍDA",IF(F290&lt;='RETRATO 2027'!$K$5,"EM ANDAMENTO","A INICIAR")))</f>
        <v>CONCLUÍDA</v>
      </c>
      <c r="R290" s="4"/>
      <c r="S290" s="4"/>
      <c r="T290" s="4"/>
      <c r="U290" s="4"/>
      <c r="V290" s="2" t="str">
        <f aca="false">IF(R290="","",COUNTIF($C$5:$C$6004,R290))</f>
        <v/>
      </c>
      <c r="W290" s="2" t="str">
        <f aca="false">IF(R290="","",COUNTIFS($C$5:$C$6004,R290,$O$5:$O$6004,"CONCLUÍDA"))</f>
        <v/>
      </c>
      <c r="X290" s="2" t="str">
        <f aca="false">IF(R290="","",COUNTIFS($C$5:$C$6004,R290,$O$5:$O$6004,"EM ANDAMENTO"))</f>
        <v/>
      </c>
      <c r="Y290" s="2" t="str">
        <f aca="false">IF(R290="","",IF(COUNTIFS($C$5:$C$6004,R290,$O$5:$O$6004,"CONCLUÍDA",$N$5:$N$6004,"&gt;=-99")=0,"",_xlfn.MAXIFS($N$5:$N$6004,$C$5:$C$6004,R290,$O$5:$O$6004,"CONCLUÍDA")))</f>
        <v/>
      </c>
      <c r="Z290" s="2" t="str">
        <f aca="false">IF(R290="","",IF(COUNTIFS($C$5:$C$6004,R290,$O$5:$O$6004,"EM ANDAMENTO",$N$5:$N$6004,"&gt;=-99")=0,"",_xlfn.MAXIFS($N$5:$N$6004,$C$5:$C$6004,R290,$O$5:$O$6004,"EM ANDAMENTO")))</f>
        <v/>
      </c>
      <c r="AA290" s="2" t="str">
        <f aca="false"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 customFormat="false" ht="15" hidden="false" customHeight="false" outlineLevel="0" collapsed="false">
      <c r="B291" s="4" t="n">
        <v>31528972</v>
      </c>
      <c r="C291" s="4" t="s">
        <v>2341</v>
      </c>
      <c r="D291" s="4" t="s">
        <v>2312</v>
      </c>
      <c r="E291" s="4" t="s">
        <v>2802</v>
      </c>
      <c r="F291" s="127" t="n">
        <v>46391</v>
      </c>
      <c r="G291" s="127" t="n">
        <v>46406</v>
      </c>
      <c r="H291" s="127" t="n">
        <v>46289</v>
      </c>
      <c r="I291" s="4" t="n">
        <v>0</v>
      </c>
      <c r="J291" s="4" t="n">
        <v>0</v>
      </c>
      <c r="K291" s="4" t="n">
        <v>0</v>
      </c>
      <c r="M291" s="2" t="str">
        <f aca="false">IF(C291="","",IFERROR(INDEX($S$5:$S$304,MATCH(C291,$R$5:$R$304,0))&amp;"","?"))</f>
        <v>17</v>
      </c>
      <c r="N291" s="2" t="n">
        <f aca="false">IF(E291="","",IF(ISNUMBER(SEARCH("SUBSOLO",E291)),IFERROR(-VALUE(LEFT(E291,FIND("º",SUBSTITUTE(E291,"°","º"))-1)),-1),IF(LEFT(E291,6)="TÉRREO",0,IFERROR(VALUE(LEFT(E291,FIND("º",SUBSTITUTE(E291,"°","º"))-1)),""))))</f>
        <v>6</v>
      </c>
      <c r="O291" s="2" t="str">
        <f aca="false">IF(OR(F291="",G291=""),"",IF(G291&lt;='RETRATO 2027'!$K$5,"CONCLUÍDA",IF(F291&lt;='RETRATO 2027'!$K$5,"EM ANDAMENTO","A INICIAR")))</f>
        <v>CONCLUÍDA</v>
      </c>
      <c r="R291" s="4"/>
      <c r="S291" s="4"/>
      <c r="T291" s="4"/>
      <c r="U291" s="4"/>
      <c r="V291" s="2" t="str">
        <f aca="false">IF(R291="","",COUNTIF($C$5:$C$6004,R291))</f>
        <v/>
      </c>
      <c r="W291" s="2" t="str">
        <f aca="false">IF(R291="","",COUNTIFS($C$5:$C$6004,R291,$O$5:$O$6004,"CONCLUÍDA"))</f>
        <v/>
      </c>
      <c r="X291" s="2" t="str">
        <f aca="false">IF(R291="","",COUNTIFS($C$5:$C$6004,R291,$O$5:$O$6004,"EM ANDAMENTO"))</f>
        <v/>
      </c>
      <c r="Y291" s="2" t="str">
        <f aca="false">IF(R291="","",IF(COUNTIFS($C$5:$C$6004,R291,$O$5:$O$6004,"CONCLUÍDA",$N$5:$N$6004,"&gt;=-99")=0,"",_xlfn.MAXIFS($N$5:$N$6004,$C$5:$C$6004,R291,$O$5:$O$6004,"CONCLUÍDA")))</f>
        <v/>
      </c>
      <c r="Z291" s="2" t="str">
        <f aca="false">IF(R291="","",IF(COUNTIFS($C$5:$C$6004,R291,$O$5:$O$6004,"EM ANDAMENTO",$N$5:$N$6004,"&gt;=-99")=0,"",_xlfn.MAXIFS($N$5:$N$6004,$C$5:$C$6004,R291,$O$5:$O$6004,"EM ANDAMENTO")))</f>
        <v/>
      </c>
      <c r="AA291" s="2" t="str">
        <f aca="false"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 customFormat="false" ht="15" hidden="false" customHeight="false" outlineLevel="0" collapsed="false">
      <c r="B292" s="4" t="n">
        <v>31528973</v>
      </c>
      <c r="C292" s="4" t="s">
        <v>2341</v>
      </c>
      <c r="D292" s="4" t="s">
        <v>2309</v>
      </c>
      <c r="E292" s="4" t="s">
        <v>2802</v>
      </c>
      <c r="F292" s="127" t="n">
        <v>46407</v>
      </c>
      <c r="G292" s="127" t="n">
        <v>46413</v>
      </c>
      <c r="H292" s="127" t="n">
        <v>46289</v>
      </c>
      <c r="I292" s="4" t="n">
        <v>0</v>
      </c>
      <c r="J292" s="4" t="n">
        <v>0</v>
      </c>
      <c r="K292" s="4" t="n">
        <v>0</v>
      </c>
      <c r="M292" s="2" t="str">
        <f aca="false">IF(C292="","",IFERROR(INDEX($S$5:$S$304,MATCH(C292,$R$5:$R$304,0))&amp;"","?"))</f>
        <v>17</v>
      </c>
      <c r="N292" s="2" t="n">
        <f aca="false">IF(E292="","",IF(ISNUMBER(SEARCH("SUBSOLO",E292)),IFERROR(-VALUE(LEFT(E292,FIND("º",SUBSTITUTE(E292,"°","º"))-1)),-1),IF(LEFT(E292,6)="TÉRREO",0,IFERROR(VALUE(LEFT(E292,FIND("º",SUBSTITUTE(E292,"°","º"))-1)),""))))</f>
        <v>6</v>
      </c>
      <c r="O292" s="2" t="str">
        <f aca="false">IF(OR(F292="",G292=""),"",IF(G292&lt;='RETRATO 2027'!$K$5,"CONCLUÍDA",IF(F292&lt;='RETRATO 2027'!$K$5,"EM ANDAMENTO","A INICIAR")))</f>
        <v>CONCLUÍDA</v>
      </c>
      <c r="R292" s="4"/>
      <c r="S292" s="4"/>
      <c r="T292" s="4"/>
      <c r="U292" s="4"/>
      <c r="V292" s="2" t="str">
        <f aca="false">IF(R292="","",COUNTIF($C$5:$C$6004,R292))</f>
        <v/>
      </c>
      <c r="W292" s="2" t="str">
        <f aca="false">IF(R292="","",COUNTIFS($C$5:$C$6004,R292,$O$5:$O$6004,"CONCLUÍDA"))</f>
        <v/>
      </c>
      <c r="X292" s="2" t="str">
        <f aca="false">IF(R292="","",COUNTIFS($C$5:$C$6004,R292,$O$5:$O$6004,"EM ANDAMENTO"))</f>
        <v/>
      </c>
      <c r="Y292" s="2" t="str">
        <f aca="false">IF(R292="","",IF(COUNTIFS($C$5:$C$6004,R292,$O$5:$O$6004,"CONCLUÍDA",$N$5:$N$6004,"&gt;=-99")=0,"",_xlfn.MAXIFS($N$5:$N$6004,$C$5:$C$6004,R292,$O$5:$O$6004,"CONCLUÍDA")))</f>
        <v/>
      </c>
      <c r="Z292" s="2" t="str">
        <f aca="false">IF(R292="","",IF(COUNTIFS($C$5:$C$6004,R292,$O$5:$O$6004,"EM ANDAMENTO",$N$5:$N$6004,"&gt;=-99")=0,"",_xlfn.MAXIFS($N$5:$N$6004,$C$5:$C$6004,R292,$O$5:$O$6004,"EM ANDAMENTO")))</f>
        <v/>
      </c>
      <c r="AA292" s="2" t="str">
        <f aca="false"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 customFormat="false" ht="15" hidden="false" customHeight="false" outlineLevel="0" collapsed="false">
      <c r="B293" s="4" t="n">
        <v>31528974</v>
      </c>
      <c r="C293" s="4" t="s">
        <v>2341</v>
      </c>
      <c r="D293" s="4" t="s">
        <v>2314</v>
      </c>
      <c r="E293" s="4" t="s">
        <v>2802</v>
      </c>
      <c r="F293" s="127" t="n">
        <v>46414</v>
      </c>
      <c r="G293" s="127" t="n">
        <v>46414</v>
      </c>
      <c r="H293" s="127" t="n">
        <v>46289</v>
      </c>
      <c r="I293" s="4" t="n">
        <v>0</v>
      </c>
      <c r="J293" s="4" t="n">
        <v>0</v>
      </c>
      <c r="K293" s="4" t="n">
        <v>0</v>
      </c>
      <c r="M293" s="2" t="str">
        <f aca="false">IF(C293="","",IFERROR(INDEX($S$5:$S$304,MATCH(C293,$R$5:$R$304,0))&amp;"","?"))</f>
        <v>17</v>
      </c>
      <c r="N293" s="2" t="n">
        <f aca="false">IF(E293="","",IF(ISNUMBER(SEARCH("SUBSOLO",E293)),IFERROR(-VALUE(LEFT(E293,FIND("º",SUBSTITUTE(E293,"°","º"))-1)),-1),IF(LEFT(E293,6)="TÉRREO",0,IFERROR(VALUE(LEFT(E293,FIND("º",SUBSTITUTE(E293,"°","º"))-1)),""))))</f>
        <v>6</v>
      </c>
      <c r="O293" s="2" t="str">
        <f aca="false">IF(OR(F293="",G293=""),"",IF(G293&lt;='RETRATO 2027'!$K$5,"CONCLUÍDA",IF(F293&lt;='RETRATO 2027'!$K$5,"EM ANDAMENTO","A INICIAR")))</f>
        <v>CONCLUÍDA</v>
      </c>
      <c r="R293" s="4"/>
      <c r="S293" s="4"/>
      <c r="T293" s="4"/>
      <c r="U293" s="4"/>
      <c r="V293" s="2" t="str">
        <f aca="false">IF(R293="","",COUNTIF($C$5:$C$6004,R293))</f>
        <v/>
      </c>
      <c r="W293" s="2" t="str">
        <f aca="false">IF(R293="","",COUNTIFS($C$5:$C$6004,R293,$O$5:$O$6004,"CONCLUÍDA"))</f>
        <v/>
      </c>
      <c r="X293" s="2" t="str">
        <f aca="false">IF(R293="","",COUNTIFS($C$5:$C$6004,R293,$O$5:$O$6004,"EM ANDAMENTO"))</f>
        <v/>
      </c>
      <c r="Y293" s="2" t="str">
        <f aca="false">IF(R293="","",IF(COUNTIFS($C$5:$C$6004,R293,$O$5:$O$6004,"CONCLUÍDA",$N$5:$N$6004,"&gt;=-99")=0,"",_xlfn.MAXIFS($N$5:$N$6004,$C$5:$C$6004,R293,$O$5:$O$6004,"CONCLUÍDA")))</f>
        <v/>
      </c>
      <c r="Z293" s="2" t="str">
        <f aca="false">IF(R293="","",IF(COUNTIFS($C$5:$C$6004,R293,$O$5:$O$6004,"EM ANDAMENTO",$N$5:$N$6004,"&gt;=-99")=0,"",_xlfn.MAXIFS($N$5:$N$6004,$C$5:$C$6004,R293,$O$5:$O$6004,"EM ANDAMENTO")))</f>
        <v/>
      </c>
      <c r="AA293" s="2" t="str">
        <f aca="false"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 customFormat="false" ht="15" hidden="false" customHeight="false" outlineLevel="0" collapsed="false">
      <c r="B294" s="4" t="n">
        <v>31528975</v>
      </c>
      <c r="C294" s="4" t="s">
        <v>2341</v>
      </c>
      <c r="D294" s="4" t="s">
        <v>2758</v>
      </c>
      <c r="E294" s="4" t="s">
        <v>2802</v>
      </c>
      <c r="F294" s="127" t="n">
        <v>46414</v>
      </c>
      <c r="G294" s="127" t="n">
        <v>46414</v>
      </c>
      <c r="H294" s="127" t="n">
        <v>46289</v>
      </c>
      <c r="I294" s="4" t="n">
        <v>0</v>
      </c>
      <c r="J294" s="4" t="n">
        <v>0</v>
      </c>
      <c r="K294" s="4" t="n">
        <v>0</v>
      </c>
      <c r="M294" s="2" t="str">
        <f aca="false">IF(C294="","",IFERROR(INDEX($S$5:$S$304,MATCH(C294,$R$5:$R$304,0))&amp;"","?"))</f>
        <v>17</v>
      </c>
      <c r="N294" s="2" t="n">
        <f aca="false">IF(E294="","",IF(ISNUMBER(SEARCH("SUBSOLO",E294)),IFERROR(-VALUE(LEFT(E294,FIND("º",SUBSTITUTE(E294,"°","º"))-1)),-1),IF(LEFT(E294,6)="TÉRREO",0,IFERROR(VALUE(LEFT(E294,FIND("º",SUBSTITUTE(E294,"°","º"))-1)),""))))</f>
        <v>6</v>
      </c>
      <c r="O294" s="2" t="str">
        <f aca="false">IF(OR(F294="",G294=""),"",IF(G294&lt;='RETRATO 2027'!$K$5,"CONCLUÍDA",IF(F294&lt;='RETRATO 2027'!$K$5,"EM ANDAMENTO","A INICIAR")))</f>
        <v>CONCLUÍDA</v>
      </c>
      <c r="R294" s="4"/>
      <c r="S294" s="4"/>
      <c r="T294" s="4"/>
      <c r="U294" s="4"/>
      <c r="V294" s="2" t="str">
        <f aca="false">IF(R294="","",COUNTIF($C$5:$C$6004,R294))</f>
        <v/>
      </c>
      <c r="W294" s="2" t="str">
        <f aca="false">IF(R294="","",COUNTIFS($C$5:$C$6004,R294,$O$5:$O$6004,"CONCLUÍDA"))</f>
        <v/>
      </c>
      <c r="X294" s="2" t="str">
        <f aca="false">IF(R294="","",COUNTIFS($C$5:$C$6004,R294,$O$5:$O$6004,"EM ANDAMENTO"))</f>
        <v/>
      </c>
      <c r="Y294" s="2" t="str">
        <f aca="false">IF(R294="","",IF(COUNTIFS($C$5:$C$6004,R294,$O$5:$O$6004,"CONCLUÍDA",$N$5:$N$6004,"&gt;=-99")=0,"",_xlfn.MAXIFS($N$5:$N$6004,$C$5:$C$6004,R294,$O$5:$O$6004,"CONCLUÍDA")))</f>
        <v/>
      </c>
      <c r="Z294" s="2" t="str">
        <f aca="false">IF(R294="","",IF(COUNTIFS($C$5:$C$6004,R294,$O$5:$O$6004,"EM ANDAMENTO",$N$5:$N$6004,"&gt;=-99")=0,"",_xlfn.MAXIFS($N$5:$N$6004,$C$5:$C$6004,R294,$O$5:$O$6004,"EM ANDAMENTO")))</f>
        <v/>
      </c>
      <c r="AA294" s="2" t="str">
        <f aca="false"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 customFormat="false" ht="15" hidden="false" customHeight="false" outlineLevel="0" collapsed="false">
      <c r="B295" s="4" t="n">
        <v>31873345</v>
      </c>
      <c r="C295" s="4" t="s">
        <v>2387</v>
      </c>
      <c r="D295" s="4" t="s">
        <v>463</v>
      </c>
      <c r="E295" s="4" t="s">
        <v>2740</v>
      </c>
      <c r="F295" s="127" t="n">
        <v>46398</v>
      </c>
      <c r="G295" s="127" t="n">
        <v>46423</v>
      </c>
      <c r="H295" s="127" t="n">
        <v>46289</v>
      </c>
      <c r="I295" s="4" t="n">
        <v>0</v>
      </c>
      <c r="J295" s="4" t="n">
        <v>0</v>
      </c>
      <c r="K295" s="4" t="n">
        <v>0</v>
      </c>
      <c r="M295" s="2" t="str">
        <f aca="false">IF(C295="","",IFERROR(INDEX($S$5:$S$304,MATCH(C295,$R$5:$R$304,0))&amp;"","?"))</f>
        <v>21</v>
      </c>
      <c r="N295" s="2" t="n">
        <f aca="false">IF(E295="","",IF(ISNUMBER(SEARCH("SUBSOLO",E295)),IFERROR(-VALUE(LEFT(E295,FIND("º",SUBSTITUTE(E295,"°","º"))-1)),-1),IF(LEFT(E295,6)="TÉRREO",0,IFERROR(VALUE(LEFT(E295,FIND("º",SUBSTITUTE(E295,"°","º"))-1)),""))))</f>
        <v>-1</v>
      </c>
      <c r="O295" s="2" t="str">
        <f aca="false">IF(OR(F295="",G295=""),"",IF(G295&lt;='RETRATO 2027'!$K$5,"CONCLUÍDA",IF(F295&lt;='RETRATO 2027'!$K$5,"EM ANDAMENTO","A INICIAR")))</f>
        <v>CONCLUÍDA</v>
      </c>
      <c r="R295" s="4"/>
      <c r="S295" s="4"/>
      <c r="T295" s="4"/>
      <c r="U295" s="4"/>
      <c r="V295" s="2" t="str">
        <f aca="false">IF(R295="","",COUNTIF($C$5:$C$6004,R295))</f>
        <v/>
      </c>
      <c r="W295" s="2" t="str">
        <f aca="false">IF(R295="","",COUNTIFS($C$5:$C$6004,R295,$O$5:$O$6004,"CONCLUÍDA"))</f>
        <v/>
      </c>
      <c r="X295" s="2" t="str">
        <f aca="false">IF(R295="","",COUNTIFS($C$5:$C$6004,R295,$O$5:$O$6004,"EM ANDAMENTO"))</f>
        <v/>
      </c>
      <c r="Y295" s="2" t="str">
        <f aca="false">IF(R295="","",IF(COUNTIFS($C$5:$C$6004,R295,$O$5:$O$6004,"CONCLUÍDA",$N$5:$N$6004,"&gt;=-99")=0,"",_xlfn.MAXIFS($N$5:$N$6004,$C$5:$C$6004,R295,$O$5:$O$6004,"CONCLUÍDA")))</f>
        <v/>
      </c>
      <c r="Z295" s="2" t="str">
        <f aca="false">IF(R295="","",IF(COUNTIFS($C$5:$C$6004,R295,$O$5:$O$6004,"EM ANDAMENTO",$N$5:$N$6004,"&gt;=-99")=0,"",_xlfn.MAXIFS($N$5:$N$6004,$C$5:$C$6004,R295,$O$5:$O$6004,"EM ANDAMENTO")))</f>
        <v/>
      </c>
      <c r="AA295" s="2" t="str">
        <f aca="false"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 customFormat="false" ht="15" hidden="false" customHeight="false" outlineLevel="0" collapsed="false">
      <c r="B296" s="4" t="n">
        <v>30205756</v>
      </c>
      <c r="C296" s="4" t="s">
        <v>2390</v>
      </c>
      <c r="D296" s="4" t="s">
        <v>463</v>
      </c>
      <c r="E296" s="4" t="s">
        <v>2740</v>
      </c>
      <c r="F296" s="127" t="n">
        <v>46405</v>
      </c>
      <c r="G296" s="127" t="n">
        <v>46423</v>
      </c>
      <c r="H296" s="127" t="n">
        <v>46289</v>
      </c>
      <c r="I296" s="4" t="n">
        <v>0</v>
      </c>
      <c r="J296" s="4" t="n">
        <v>0</v>
      </c>
      <c r="K296" s="4" t="n">
        <v>0</v>
      </c>
      <c r="M296" s="2" t="str">
        <f aca="false">IF(C296="","",IFERROR(INDEX($S$5:$S$304,MATCH(C296,$R$5:$R$304,0))&amp;"","?"))</f>
        <v>20</v>
      </c>
      <c r="N296" s="2" t="n">
        <f aca="false">IF(E296="","",IF(ISNUMBER(SEARCH("SUBSOLO",E296)),IFERROR(-VALUE(LEFT(E296,FIND("º",SUBSTITUTE(E296,"°","º"))-1)),-1),IF(LEFT(E296,6)="TÉRREO",0,IFERROR(VALUE(LEFT(E296,FIND("º",SUBSTITUTE(E296,"°","º"))-1)),""))))</f>
        <v>-1</v>
      </c>
      <c r="O296" s="2" t="str">
        <f aca="false">IF(OR(F296="",G296=""),"",IF(G296&lt;='RETRATO 2027'!$K$5,"CONCLUÍDA",IF(F296&lt;='RETRATO 2027'!$K$5,"EM ANDAMENTO","A INICIAR")))</f>
        <v>CONCLUÍDA</v>
      </c>
      <c r="R296" s="4"/>
      <c r="S296" s="4"/>
      <c r="T296" s="4"/>
      <c r="U296" s="4"/>
      <c r="V296" s="2" t="str">
        <f aca="false">IF(R296="","",COUNTIF($C$5:$C$6004,R296))</f>
        <v/>
      </c>
      <c r="W296" s="2" t="str">
        <f aca="false">IF(R296="","",COUNTIFS($C$5:$C$6004,R296,$O$5:$O$6004,"CONCLUÍDA"))</f>
        <v/>
      </c>
      <c r="X296" s="2" t="str">
        <f aca="false">IF(R296="","",COUNTIFS($C$5:$C$6004,R296,$O$5:$O$6004,"EM ANDAMENTO"))</f>
        <v/>
      </c>
      <c r="Y296" s="2" t="str">
        <f aca="false">IF(R296="","",IF(COUNTIFS($C$5:$C$6004,R296,$O$5:$O$6004,"CONCLUÍDA",$N$5:$N$6004,"&gt;=-99")=0,"",_xlfn.MAXIFS($N$5:$N$6004,$C$5:$C$6004,R296,$O$5:$O$6004,"CONCLUÍDA")))</f>
        <v/>
      </c>
      <c r="Z296" s="2" t="str">
        <f aca="false">IF(R296="","",IF(COUNTIFS($C$5:$C$6004,R296,$O$5:$O$6004,"EM ANDAMENTO",$N$5:$N$6004,"&gt;=-99")=0,"",_xlfn.MAXIFS($N$5:$N$6004,$C$5:$C$6004,R296,$O$5:$O$6004,"EM ANDAMENTO")))</f>
        <v/>
      </c>
      <c r="AA296" s="2" t="str">
        <f aca="false"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 customFormat="false" ht="15" hidden="false" customHeight="false" outlineLevel="0" collapsed="false">
      <c r="B297" s="4" t="n">
        <v>39887260</v>
      </c>
      <c r="C297" s="4" t="s">
        <v>2393</v>
      </c>
      <c r="D297" s="4" t="s">
        <v>463</v>
      </c>
      <c r="E297" s="4" t="s">
        <v>2757</v>
      </c>
      <c r="F297" s="127" t="n">
        <v>46405</v>
      </c>
      <c r="G297" s="127" t="n">
        <v>46420</v>
      </c>
      <c r="H297" s="127" t="n">
        <v>46289</v>
      </c>
      <c r="I297" s="4" t="n">
        <v>0</v>
      </c>
      <c r="J297" s="4" t="n">
        <v>0</v>
      </c>
      <c r="K297" s="4" t="n">
        <v>0</v>
      </c>
      <c r="M297" s="2" t="str">
        <f aca="false">IF(C297="","",IFERROR(INDEX($S$5:$S$304,MATCH(C297,$R$5:$R$304,0))&amp;"","?"))</f>
        <v>17</v>
      </c>
      <c r="N297" s="2" t="n">
        <f aca="false">IF(E297="","",IF(ISNUMBER(SEARCH("SUBSOLO",E297)),IFERROR(-VALUE(LEFT(E297,FIND("º",SUBSTITUTE(E297,"°","º"))-1)),-1),IF(LEFT(E297,6)="TÉRREO",0,IFERROR(VALUE(LEFT(E297,FIND("º",SUBSTITUTE(E297,"°","º"))-1)),""))))</f>
        <v>0</v>
      </c>
      <c r="O297" s="2" t="str">
        <f aca="false">IF(OR(F297="",G297=""),"",IF(G297&lt;='RETRATO 2027'!$K$5,"CONCLUÍDA",IF(F297&lt;='RETRATO 2027'!$K$5,"EM ANDAMENTO","A INICIAR")))</f>
        <v>CONCLUÍDA</v>
      </c>
      <c r="R297" s="4"/>
      <c r="S297" s="4"/>
      <c r="T297" s="4"/>
      <c r="U297" s="4"/>
      <c r="V297" s="2" t="str">
        <f aca="false">IF(R297="","",COUNTIF($C$5:$C$6004,R297))</f>
        <v/>
      </c>
      <c r="W297" s="2" t="str">
        <f aca="false">IF(R297="","",COUNTIFS($C$5:$C$6004,R297,$O$5:$O$6004,"CONCLUÍDA"))</f>
        <v/>
      </c>
      <c r="X297" s="2" t="str">
        <f aca="false">IF(R297="","",COUNTIFS($C$5:$C$6004,R297,$O$5:$O$6004,"EM ANDAMENTO"))</f>
        <v/>
      </c>
      <c r="Y297" s="2" t="str">
        <f aca="false">IF(R297="","",IF(COUNTIFS($C$5:$C$6004,R297,$O$5:$O$6004,"CONCLUÍDA",$N$5:$N$6004,"&gt;=-99")=0,"",_xlfn.MAXIFS($N$5:$N$6004,$C$5:$C$6004,R297,$O$5:$O$6004,"CONCLUÍDA")))</f>
        <v/>
      </c>
      <c r="Z297" s="2" t="str">
        <f aca="false">IF(R297="","",IF(COUNTIFS($C$5:$C$6004,R297,$O$5:$O$6004,"EM ANDAMENTO",$N$5:$N$6004,"&gt;=-99")=0,"",_xlfn.MAXIFS($N$5:$N$6004,$C$5:$C$6004,R297,$O$5:$O$6004,"EM ANDAMENTO")))</f>
        <v/>
      </c>
      <c r="AA297" s="2" t="str">
        <f aca="false"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 customFormat="false" ht="15" hidden="false" customHeight="false" outlineLevel="0" collapsed="false">
      <c r="B298" s="4" t="n">
        <v>29940932</v>
      </c>
      <c r="C298" s="4" t="s">
        <v>2341</v>
      </c>
      <c r="D298" s="4" t="s">
        <v>463</v>
      </c>
      <c r="E298" s="4" t="s">
        <v>2803</v>
      </c>
      <c r="F298" s="127" t="n">
        <v>46415</v>
      </c>
      <c r="G298" s="127" t="n">
        <v>46430</v>
      </c>
      <c r="H298" s="127" t="n">
        <v>46289</v>
      </c>
      <c r="I298" s="4" t="n">
        <v>0</v>
      </c>
      <c r="J298" s="4" t="n">
        <v>0</v>
      </c>
      <c r="K298" s="4" t="n">
        <v>0</v>
      </c>
      <c r="M298" s="2" t="str">
        <f aca="false">IF(C298="","",IFERROR(INDEX($S$5:$S$304,MATCH(C298,$R$5:$R$304,0))&amp;"","?"))</f>
        <v>17</v>
      </c>
      <c r="N298" s="2" t="n">
        <f aca="false">IF(E298="","",IF(ISNUMBER(SEARCH("SUBSOLO",E298)),IFERROR(-VALUE(LEFT(E298,FIND("º",SUBSTITUTE(E298,"°","º"))-1)),-1),IF(LEFT(E298,6)="TÉRREO",0,IFERROR(VALUE(LEFT(E298,FIND("º",SUBSTITUTE(E298,"°","º"))-1)),""))))</f>
        <v>7</v>
      </c>
      <c r="O298" s="2" t="str">
        <f aca="false">IF(OR(F298="",G298=""),"",IF(G298&lt;='RETRATO 2027'!$K$5,"CONCLUÍDA",IF(F298&lt;='RETRATO 2027'!$K$5,"EM ANDAMENTO","A INICIAR")))</f>
        <v>CONCLUÍDA</v>
      </c>
      <c r="R298" s="4"/>
      <c r="S298" s="4"/>
      <c r="T298" s="4"/>
      <c r="U298" s="4"/>
      <c r="V298" s="2" t="str">
        <f aca="false">IF(R298="","",COUNTIF($C$5:$C$6004,R298))</f>
        <v/>
      </c>
      <c r="W298" s="2" t="str">
        <f aca="false">IF(R298="","",COUNTIFS($C$5:$C$6004,R298,$O$5:$O$6004,"CONCLUÍDA"))</f>
        <v/>
      </c>
      <c r="X298" s="2" t="str">
        <f aca="false">IF(R298="","",COUNTIFS($C$5:$C$6004,R298,$O$5:$O$6004,"EM ANDAMENTO"))</f>
        <v/>
      </c>
      <c r="Y298" s="2" t="str">
        <f aca="false">IF(R298="","",IF(COUNTIFS($C$5:$C$6004,R298,$O$5:$O$6004,"CONCLUÍDA",$N$5:$N$6004,"&gt;=-99")=0,"",_xlfn.MAXIFS($N$5:$N$6004,$C$5:$C$6004,R298,$O$5:$O$6004,"CONCLUÍDA")))</f>
        <v/>
      </c>
      <c r="Z298" s="2" t="str">
        <f aca="false">IF(R298="","",IF(COUNTIFS($C$5:$C$6004,R298,$O$5:$O$6004,"EM ANDAMENTO",$N$5:$N$6004,"&gt;=-99")=0,"",_xlfn.MAXIFS($N$5:$N$6004,$C$5:$C$6004,R298,$O$5:$O$6004,"EM ANDAMENTO")))</f>
        <v/>
      </c>
      <c r="AA298" s="2" t="str">
        <f aca="false"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 customFormat="false" ht="15" hidden="false" customHeight="false" outlineLevel="0" collapsed="false">
      <c r="B299" s="4" t="n">
        <v>31528976</v>
      </c>
      <c r="C299" s="4" t="s">
        <v>2341</v>
      </c>
      <c r="D299" s="4" t="s">
        <v>2312</v>
      </c>
      <c r="E299" s="4" t="s">
        <v>2803</v>
      </c>
      <c r="F299" s="127" t="n">
        <v>46415</v>
      </c>
      <c r="G299" s="127" t="n">
        <v>46423</v>
      </c>
      <c r="H299" s="127" t="n">
        <v>46289</v>
      </c>
      <c r="I299" s="4" t="n">
        <v>0</v>
      </c>
      <c r="J299" s="4" t="n">
        <v>0</v>
      </c>
      <c r="K299" s="4" t="n">
        <v>0</v>
      </c>
      <c r="M299" s="2" t="str">
        <f aca="false">IF(C299="","",IFERROR(INDEX($S$5:$S$304,MATCH(C299,$R$5:$R$304,0))&amp;"","?"))</f>
        <v>17</v>
      </c>
      <c r="N299" s="2" t="n">
        <f aca="false">IF(E299="","",IF(ISNUMBER(SEARCH("SUBSOLO",E299)),IFERROR(-VALUE(LEFT(E299,FIND("º",SUBSTITUTE(E299,"°","º"))-1)),-1),IF(LEFT(E299,6)="TÉRREO",0,IFERROR(VALUE(LEFT(E299,FIND("º",SUBSTITUTE(E299,"°","º"))-1)),""))))</f>
        <v>7</v>
      </c>
      <c r="O299" s="2" t="str">
        <f aca="false">IF(OR(F299="",G299=""),"",IF(G299&lt;='RETRATO 2027'!$K$5,"CONCLUÍDA",IF(F299&lt;='RETRATO 2027'!$K$5,"EM ANDAMENTO","A INICIAR")))</f>
        <v>CONCLUÍDA</v>
      </c>
      <c r="R299" s="4"/>
      <c r="S299" s="4"/>
      <c r="T299" s="4"/>
      <c r="U299" s="4"/>
      <c r="V299" s="2" t="str">
        <f aca="false">IF(R299="","",COUNTIF($C$5:$C$6004,R299))</f>
        <v/>
      </c>
      <c r="W299" s="2" t="str">
        <f aca="false">IF(R299="","",COUNTIFS($C$5:$C$6004,R299,$O$5:$O$6004,"CONCLUÍDA"))</f>
        <v/>
      </c>
      <c r="X299" s="2" t="str">
        <f aca="false">IF(R299="","",COUNTIFS($C$5:$C$6004,R299,$O$5:$O$6004,"EM ANDAMENTO"))</f>
        <v/>
      </c>
      <c r="Y299" s="2" t="str">
        <f aca="false">IF(R299="","",IF(COUNTIFS($C$5:$C$6004,R299,$O$5:$O$6004,"CONCLUÍDA",$N$5:$N$6004,"&gt;=-99")=0,"",_xlfn.MAXIFS($N$5:$N$6004,$C$5:$C$6004,R299,$O$5:$O$6004,"CONCLUÍDA")))</f>
        <v/>
      </c>
      <c r="Z299" s="2" t="str">
        <f aca="false">IF(R299="","",IF(COUNTIFS($C$5:$C$6004,R299,$O$5:$O$6004,"EM ANDAMENTO",$N$5:$N$6004,"&gt;=-99")=0,"",_xlfn.MAXIFS($N$5:$N$6004,$C$5:$C$6004,R299,$O$5:$O$6004,"EM ANDAMENTO")))</f>
        <v/>
      </c>
      <c r="AA299" s="2" t="str">
        <f aca="false"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 customFormat="false" ht="15" hidden="false" customHeight="false" outlineLevel="0" collapsed="false">
      <c r="B300" s="4" t="n">
        <v>31528977</v>
      </c>
      <c r="C300" s="4" t="s">
        <v>2341</v>
      </c>
      <c r="D300" s="4" t="s">
        <v>2309</v>
      </c>
      <c r="E300" s="4" t="s">
        <v>2803</v>
      </c>
      <c r="F300" s="127" t="n">
        <v>46426</v>
      </c>
      <c r="G300" s="127" t="n">
        <v>46429</v>
      </c>
      <c r="H300" s="127" t="n">
        <v>46289</v>
      </c>
      <c r="I300" s="4" t="n">
        <v>0</v>
      </c>
      <c r="J300" s="4" t="n">
        <v>0</v>
      </c>
      <c r="K300" s="4" t="n">
        <v>0</v>
      </c>
      <c r="M300" s="2" t="str">
        <f aca="false">IF(C300="","",IFERROR(INDEX($S$5:$S$304,MATCH(C300,$R$5:$R$304,0))&amp;"","?"))</f>
        <v>17</v>
      </c>
      <c r="N300" s="2" t="n">
        <f aca="false">IF(E300="","",IF(ISNUMBER(SEARCH("SUBSOLO",E300)),IFERROR(-VALUE(LEFT(E300,FIND("º",SUBSTITUTE(E300,"°","º"))-1)),-1),IF(LEFT(E300,6)="TÉRREO",0,IFERROR(VALUE(LEFT(E300,FIND("º",SUBSTITUTE(E300,"°","º"))-1)),""))))</f>
        <v>7</v>
      </c>
      <c r="O300" s="2" t="str">
        <f aca="false">IF(OR(F300="",G300=""),"",IF(G300&lt;='RETRATO 2027'!$K$5,"CONCLUÍDA",IF(F300&lt;='RETRATO 2027'!$K$5,"EM ANDAMENTO","A INICIAR")))</f>
        <v>CONCLUÍDA</v>
      </c>
      <c r="R300" s="4"/>
      <c r="S300" s="4"/>
      <c r="T300" s="4"/>
      <c r="U300" s="4"/>
      <c r="V300" s="2" t="str">
        <f aca="false">IF(R300="","",COUNTIF($C$5:$C$6004,R300))</f>
        <v/>
      </c>
      <c r="W300" s="2" t="str">
        <f aca="false">IF(R300="","",COUNTIFS($C$5:$C$6004,R300,$O$5:$O$6004,"CONCLUÍDA"))</f>
        <v/>
      </c>
      <c r="X300" s="2" t="str">
        <f aca="false">IF(R300="","",COUNTIFS($C$5:$C$6004,R300,$O$5:$O$6004,"EM ANDAMENTO"))</f>
        <v/>
      </c>
      <c r="Y300" s="2" t="str">
        <f aca="false">IF(R300="","",IF(COUNTIFS($C$5:$C$6004,R300,$O$5:$O$6004,"CONCLUÍDA",$N$5:$N$6004,"&gt;=-99")=0,"",_xlfn.MAXIFS($N$5:$N$6004,$C$5:$C$6004,R300,$O$5:$O$6004,"CONCLUÍDA")))</f>
        <v/>
      </c>
      <c r="Z300" s="2" t="str">
        <f aca="false">IF(R300="","",IF(COUNTIFS($C$5:$C$6004,R300,$O$5:$O$6004,"EM ANDAMENTO",$N$5:$N$6004,"&gt;=-99")=0,"",_xlfn.MAXIFS($N$5:$N$6004,$C$5:$C$6004,R300,$O$5:$O$6004,"EM ANDAMENTO")))</f>
        <v/>
      </c>
      <c r="AA300" s="2" t="str">
        <f aca="false"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 customFormat="false" ht="15" hidden="false" customHeight="false" outlineLevel="0" collapsed="false">
      <c r="B301" s="4" t="n">
        <v>31528978</v>
      </c>
      <c r="C301" s="4" t="s">
        <v>2341</v>
      </c>
      <c r="D301" s="4" t="s">
        <v>2314</v>
      </c>
      <c r="E301" s="4" t="s">
        <v>2803</v>
      </c>
      <c r="F301" s="127" t="n">
        <v>46430</v>
      </c>
      <c r="G301" s="127" t="n">
        <v>46430</v>
      </c>
      <c r="H301" s="127" t="n">
        <v>46289</v>
      </c>
      <c r="I301" s="4" t="n">
        <v>0</v>
      </c>
      <c r="J301" s="4" t="n">
        <v>0</v>
      </c>
      <c r="K301" s="4" t="n">
        <v>0</v>
      </c>
      <c r="M301" s="2" t="str">
        <f aca="false">IF(C301="","",IFERROR(INDEX($S$5:$S$304,MATCH(C301,$R$5:$R$304,0))&amp;"","?"))</f>
        <v>17</v>
      </c>
      <c r="N301" s="2" t="n">
        <f aca="false">IF(E301="","",IF(ISNUMBER(SEARCH("SUBSOLO",E301)),IFERROR(-VALUE(LEFT(E301,FIND("º",SUBSTITUTE(E301,"°","º"))-1)),-1),IF(LEFT(E301,6)="TÉRREO",0,IFERROR(VALUE(LEFT(E301,FIND("º",SUBSTITUTE(E301,"°","º"))-1)),""))))</f>
        <v>7</v>
      </c>
      <c r="O301" s="2" t="str">
        <f aca="false">IF(OR(F301="",G301=""),"",IF(G301&lt;='RETRATO 2027'!$K$5,"CONCLUÍDA",IF(F301&lt;='RETRATO 2027'!$K$5,"EM ANDAMENTO","A INICIAR")))</f>
        <v>CONCLUÍDA</v>
      </c>
      <c r="R301" s="4"/>
      <c r="S301" s="4"/>
      <c r="T301" s="4"/>
      <c r="U301" s="4"/>
      <c r="V301" s="2" t="str">
        <f aca="false">IF(R301="","",COUNTIF($C$5:$C$6004,R301))</f>
        <v/>
      </c>
      <c r="W301" s="2" t="str">
        <f aca="false">IF(R301="","",COUNTIFS($C$5:$C$6004,R301,$O$5:$O$6004,"CONCLUÍDA"))</f>
        <v/>
      </c>
      <c r="X301" s="2" t="str">
        <f aca="false">IF(R301="","",COUNTIFS($C$5:$C$6004,R301,$O$5:$O$6004,"EM ANDAMENTO"))</f>
        <v/>
      </c>
      <c r="Y301" s="2" t="str">
        <f aca="false">IF(R301="","",IF(COUNTIFS($C$5:$C$6004,R301,$O$5:$O$6004,"CONCLUÍDA",$N$5:$N$6004,"&gt;=-99")=0,"",_xlfn.MAXIFS($N$5:$N$6004,$C$5:$C$6004,R301,$O$5:$O$6004,"CONCLUÍDA")))</f>
        <v/>
      </c>
      <c r="Z301" s="2" t="str">
        <f aca="false">IF(R301="","",IF(COUNTIFS($C$5:$C$6004,R301,$O$5:$O$6004,"EM ANDAMENTO",$N$5:$N$6004,"&gt;=-99")=0,"",_xlfn.MAXIFS($N$5:$N$6004,$C$5:$C$6004,R301,$O$5:$O$6004,"EM ANDAMENTO")))</f>
        <v/>
      </c>
      <c r="AA301" s="2" t="str">
        <f aca="false"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 customFormat="false" ht="15" hidden="false" customHeight="false" outlineLevel="0" collapsed="false">
      <c r="B302" s="4" t="n">
        <v>31528979</v>
      </c>
      <c r="C302" s="4" t="s">
        <v>2341</v>
      </c>
      <c r="D302" s="4" t="s">
        <v>2758</v>
      </c>
      <c r="E302" s="4" t="s">
        <v>2803</v>
      </c>
      <c r="F302" s="127" t="n">
        <v>46430</v>
      </c>
      <c r="G302" s="127" t="n">
        <v>46430</v>
      </c>
      <c r="H302" s="127" t="n">
        <v>46289</v>
      </c>
      <c r="I302" s="4" t="n">
        <v>0</v>
      </c>
      <c r="J302" s="4" t="n">
        <v>0</v>
      </c>
      <c r="K302" s="4" t="n">
        <v>0</v>
      </c>
      <c r="M302" s="2" t="str">
        <f aca="false">IF(C302="","",IFERROR(INDEX($S$5:$S$304,MATCH(C302,$R$5:$R$304,0))&amp;"","?"))</f>
        <v>17</v>
      </c>
      <c r="N302" s="2" t="n">
        <f aca="false">IF(E302="","",IF(ISNUMBER(SEARCH("SUBSOLO",E302)),IFERROR(-VALUE(LEFT(E302,FIND("º",SUBSTITUTE(E302,"°","º"))-1)),-1),IF(LEFT(E302,6)="TÉRREO",0,IFERROR(VALUE(LEFT(E302,FIND("º",SUBSTITUTE(E302,"°","º"))-1)),""))))</f>
        <v>7</v>
      </c>
      <c r="O302" s="2" t="str">
        <f aca="false">IF(OR(F302="",G302=""),"",IF(G302&lt;='RETRATO 2027'!$K$5,"CONCLUÍDA",IF(F302&lt;='RETRATO 2027'!$K$5,"EM ANDAMENTO","A INICIAR")))</f>
        <v>CONCLUÍDA</v>
      </c>
      <c r="R302" s="4"/>
      <c r="S302" s="4"/>
      <c r="T302" s="4"/>
      <c r="U302" s="4"/>
      <c r="V302" s="2" t="str">
        <f aca="false">IF(R302="","",COUNTIF($C$5:$C$6004,R302))</f>
        <v/>
      </c>
      <c r="W302" s="2" t="str">
        <f aca="false">IF(R302="","",COUNTIFS($C$5:$C$6004,R302,$O$5:$O$6004,"CONCLUÍDA"))</f>
        <v/>
      </c>
      <c r="X302" s="2" t="str">
        <f aca="false">IF(R302="","",COUNTIFS($C$5:$C$6004,R302,$O$5:$O$6004,"EM ANDAMENTO"))</f>
        <v/>
      </c>
      <c r="Y302" s="2" t="str">
        <f aca="false">IF(R302="","",IF(COUNTIFS($C$5:$C$6004,R302,$O$5:$O$6004,"CONCLUÍDA",$N$5:$N$6004,"&gt;=-99")=0,"",_xlfn.MAXIFS($N$5:$N$6004,$C$5:$C$6004,R302,$O$5:$O$6004,"CONCLUÍDA")))</f>
        <v/>
      </c>
      <c r="Z302" s="2" t="str">
        <f aca="false">IF(R302="","",IF(COUNTIFS($C$5:$C$6004,R302,$O$5:$O$6004,"EM ANDAMENTO",$N$5:$N$6004,"&gt;=-99")=0,"",_xlfn.MAXIFS($N$5:$N$6004,$C$5:$C$6004,R302,$O$5:$O$6004,"EM ANDAMENTO")))</f>
        <v/>
      </c>
      <c r="AA302" s="2" t="str">
        <f aca="false"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 customFormat="false" ht="15" hidden="false" customHeight="false" outlineLevel="0" collapsed="false">
      <c r="B303" s="4" t="n">
        <v>30171493</v>
      </c>
      <c r="C303" s="4" t="s">
        <v>2396</v>
      </c>
      <c r="D303" s="4" t="s">
        <v>463</v>
      </c>
      <c r="E303" s="4" t="s">
        <v>2784</v>
      </c>
      <c r="F303" s="127" t="n">
        <v>46421</v>
      </c>
      <c r="G303" s="127" t="n">
        <v>46485</v>
      </c>
      <c r="H303" s="127" t="n">
        <v>46289</v>
      </c>
      <c r="I303" s="4" t="n">
        <v>0</v>
      </c>
      <c r="J303" s="4" t="n">
        <v>0</v>
      </c>
      <c r="K303" s="4" t="n">
        <v>0</v>
      </c>
      <c r="M303" s="2" t="str">
        <f aca="false">IF(C303="","",IFERROR(INDEX($S$5:$S$304,MATCH(C303,$R$5:$R$304,0))&amp;"","?"))</f>
        <v>20</v>
      </c>
      <c r="N303" s="2" t="n">
        <f aca="false">IF(E303="","",IF(ISNUMBER(SEARCH("SUBSOLO",E303)),IFERROR(-VALUE(LEFT(E303,FIND("º",SUBSTITUTE(E303,"°","º"))-1)),-1),IF(LEFT(E303,6)="TÉRREO",0,IFERROR(VALUE(LEFT(E303,FIND("º",SUBSTITUTE(E303,"°","º"))-1)),""))))</f>
        <v>2</v>
      </c>
      <c r="O303" s="2" t="str">
        <f aca="false">IF(OR(F303="",G303=""),"",IF(G303&lt;='RETRATO 2027'!$K$5,"CONCLUÍDA",IF(F303&lt;='RETRATO 2027'!$K$5,"EM ANDAMENTO","A INICIAR")))</f>
        <v>CONCLUÍDA</v>
      </c>
      <c r="R303" s="4"/>
      <c r="S303" s="4"/>
      <c r="T303" s="4"/>
      <c r="U303" s="4"/>
      <c r="V303" s="2" t="str">
        <f aca="false">IF(R303="","",COUNTIF($C$5:$C$6004,R303))</f>
        <v/>
      </c>
      <c r="W303" s="2" t="str">
        <f aca="false">IF(R303="","",COUNTIFS($C$5:$C$6004,R303,$O$5:$O$6004,"CONCLUÍDA"))</f>
        <v/>
      </c>
      <c r="X303" s="2" t="str">
        <f aca="false">IF(R303="","",COUNTIFS($C$5:$C$6004,R303,$O$5:$O$6004,"EM ANDAMENTO"))</f>
        <v/>
      </c>
      <c r="Y303" s="2" t="str">
        <f aca="false">IF(R303="","",IF(COUNTIFS($C$5:$C$6004,R303,$O$5:$O$6004,"CONCLUÍDA",$N$5:$N$6004,"&gt;=-99")=0,"",_xlfn.MAXIFS($N$5:$N$6004,$C$5:$C$6004,R303,$O$5:$O$6004,"CONCLUÍDA")))</f>
        <v/>
      </c>
      <c r="Z303" s="2" t="str">
        <f aca="false">IF(R303="","",IF(COUNTIFS($C$5:$C$6004,R303,$O$5:$O$6004,"EM ANDAMENTO",$N$5:$N$6004,"&gt;=-99")=0,"",_xlfn.MAXIFS($N$5:$N$6004,$C$5:$C$6004,R303,$O$5:$O$6004,"EM ANDAMENTO")))</f>
        <v/>
      </c>
      <c r="AA303" s="2" t="str">
        <f aca="false"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 customFormat="false" ht="15" hidden="false" customHeight="false" outlineLevel="0" collapsed="false">
      <c r="B304" s="4" t="n">
        <v>39887261</v>
      </c>
      <c r="C304" s="4" t="s">
        <v>2393</v>
      </c>
      <c r="D304" s="4" t="s">
        <v>463</v>
      </c>
      <c r="E304" s="4" t="s">
        <v>2784</v>
      </c>
      <c r="F304" s="127" t="n">
        <v>46421</v>
      </c>
      <c r="G304" s="127" t="n">
        <v>46436</v>
      </c>
      <c r="H304" s="127" t="n">
        <v>46289</v>
      </c>
      <c r="I304" s="4" t="n">
        <v>0</v>
      </c>
      <c r="J304" s="4" t="n">
        <v>0</v>
      </c>
      <c r="K304" s="4" t="n">
        <v>0</v>
      </c>
      <c r="M304" s="2" t="str">
        <f aca="false">IF(C304="","",IFERROR(INDEX($S$5:$S$304,MATCH(C304,$R$5:$R$304,0))&amp;"","?"))</f>
        <v>17</v>
      </c>
      <c r="N304" s="2" t="n">
        <f aca="false">IF(E304="","",IF(ISNUMBER(SEARCH("SUBSOLO",E304)),IFERROR(-VALUE(LEFT(E304,FIND("º",SUBSTITUTE(E304,"°","º"))-1)),-1),IF(LEFT(E304,6)="TÉRREO",0,IFERROR(VALUE(LEFT(E304,FIND("º",SUBSTITUTE(E304,"°","º"))-1)),""))))</f>
        <v>2</v>
      </c>
      <c r="O304" s="2" t="str">
        <f aca="false">IF(OR(F304="",G304=""),"",IF(G304&lt;='RETRATO 2027'!$K$5,"CONCLUÍDA",IF(F304&lt;='RETRATO 2027'!$K$5,"EM ANDAMENTO","A INICIAR")))</f>
        <v>CONCLUÍDA</v>
      </c>
      <c r="R304" s="4"/>
      <c r="S304" s="4"/>
      <c r="T304" s="4"/>
      <c r="U304" s="4"/>
      <c r="V304" s="2" t="str">
        <f aca="false">IF(R304="","",COUNTIF($C$5:$C$6004,R304))</f>
        <v/>
      </c>
      <c r="W304" s="2" t="str">
        <f aca="false">IF(R304="","",COUNTIFS($C$5:$C$6004,R304,$O$5:$O$6004,"CONCLUÍDA"))</f>
        <v/>
      </c>
      <c r="X304" s="2" t="str">
        <f aca="false">IF(R304="","",COUNTIFS($C$5:$C$6004,R304,$O$5:$O$6004,"EM ANDAMENTO"))</f>
        <v/>
      </c>
      <c r="Y304" s="2" t="str">
        <f aca="false">IF(R304="","",IF(COUNTIFS($C$5:$C$6004,R304,$O$5:$O$6004,"CONCLUÍDA",$N$5:$N$6004,"&gt;=-99")=0,"",_xlfn.MAXIFS($N$5:$N$6004,$C$5:$C$6004,R304,$O$5:$O$6004,"CONCLUÍDA")))</f>
        <v/>
      </c>
      <c r="Z304" s="2" t="str">
        <f aca="false">IF(R304="","",IF(COUNTIFS($C$5:$C$6004,R304,$O$5:$O$6004,"EM ANDAMENTO",$N$5:$N$6004,"&gt;=-99")=0,"",_xlfn.MAXIFS($N$5:$N$6004,$C$5:$C$6004,R304,$O$5:$O$6004,"EM ANDAMENTO")))</f>
        <v/>
      </c>
      <c r="AA304" s="2" t="str">
        <f aca="false"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 customFormat="false" ht="15" hidden="false" customHeight="false" outlineLevel="0" collapsed="false">
      <c r="B305" s="4" t="n">
        <v>30171464</v>
      </c>
      <c r="C305" s="4" t="s">
        <v>2382</v>
      </c>
      <c r="D305" s="4" t="s">
        <v>463</v>
      </c>
      <c r="E305" s="4" t="s">
        <v>2790</v>
      </c>
      <c r="F305" s="127" t="n">
        <v>46421</v>
      </c>
      <c r="G305" s="127" t="n">
        <v>46450</v>
      </c>
      <c r="H305" s="127" t="n">
        <v>46289</v>
      </c>
      <c r="I305" s="4" t="n">
        <v>0</v>
      </c>
      <c r="J305" s="4" t="n">
        <v>0</v>
      </c>
      <c r="K305" s="4" t="n">
        <v>0</v>
      </c>
      <c r="M305" s="2" t="str">
        <f aca="false">IF(C305="","",IFERROR(INDEX($S$5:$S$304,MATCH(C305,$R$5:$R$304,0))&amp;"","?"))</f>
        <v>35</v>
      </c>
      <c r="N305" s="2" t="n">
        <f aca="false">IF(E305="","",IF(ISNUMBER(SEARCH("SUBSOLO",E305)),IFERROR(-VALUE(LEFT(E305,FIND("º",SUBSTITUTE(E305,"°","º"))-1)),-1),IF(LEFT(E305,6)="TÉRREO",0,IFERROR(VALUE(LEFT(E305,FIND("º",SUBSTITUTE(E305,"°","º"))-1)),""))))</f>
        <v>3</v>
      </c>
      <c r="O305" s="2" t="str">
        <f aca="false">IF(OR(F305="",G305=""),"",IF(G305&lt;='RETRATO 2027'!$K$5,"CONCLUÍDA",IF(F305&lt;='RETRATO 2027'!$K$5,"EM ANDAMENTO","A INICIAR")))</f>
        <v>CONCLUÍDA</v>
      </c>
    </row>
    <row r="306" customFormat="false" ht="15" hidden="false" customHeight="false" outlineLevel="0" collapsed="false">
      <c r="B306" s="4" t="n">
        <v>31873335</v>
      </c>
      <c r="C306" s="4" t="s">
        <v>2399</v>
      </c>
      <c r="D306" s="4" t="s">
        <v>463</v>
      </c>
      <c r="E306" s="4" t="s">
        <v>2740</v>
      </c>
      <c r="F306" s="127" t="n">
        <v>46426</v>
      </c>
      <c r="G306" s="127" t="n">
        <v>46457</v>
      </c>
      <c r="H306" s="127" t="n">
        <v>46289</v>
      </c>
      <c r="I306" s="4" t="n">
        <v>0</v>
      </c>
      <c r="J306" s="4" t="n">
        <v>0</v>
      </c>
      <c r="K306" s="4" t="n">
        <v>0</v>
      </c>
      <c r="M306" s="2" t="str">
        <f aca="false">IF(C306="","",IFERROR(INDEX($S$5:$S$304,MATCH(C306,$R$5:$R$304,0))&amp;"","?"))</f>
        <v>17</v>
      </c>
      <c r="N306" s="2" t="n">
        <f aca="false">IF(E306="","",IF(ISNUMBER(SEARCH("SUBSOLO",E306)),IFERROR(-VALUE(LEFT(E306,FIND("º",SUBSTITUTE(E306,"°","º"))-1)),-1),IF(LEFT(E306,6)="TÉRREO",0,IFERROR(VALUE(LEFT(E306,FIND("º",SUBSTITUTE(E306,"°","º"))-1)),""))))</f>
        <v>-1</v>
      </c>
      <c r="O306" s="2" t="str">
        <f aca="false">IF(OR(F306="",G306=""),"",IF(G306&lt;='RETRATO 2027'!$K$5,"CONCLUÍDA",IF(F306&lt;='RETRATO 2027'!$K$5,"EM ANDAMENTO","A INICIAR")))</f>
        <v>CONCLUÍDA</v>
      </c>
    </row>
    <row r="307" customFormat="false" ht="15" hidden="false" customHeight="false" outlineLevel="0" collapsed="false">
      <c r="B307" s="4" t="n">
        <v>29940933</v>
      </c>
      <c r="C307" s="4" t="s">
        <v>2341</v>
      </c>
      <c r="D307" s="4" t="s">
        <v>463</v>
      </c>
      <c r="E307" s="4" t="s">
        <v>2804</v>
      </c>
      <c r="F307" s="127" t="n">
        <v>46433</v>
      </c>
      <c r="G307" s="127" t="n">
        <v>46444</v>
      </c>
      <c r="H307" s="127" t="n">
        <v>46289</v>
      </c>
      <c r="I307" s="4" t="n">
        <v>0</v>
      </c>
      <c r="J307" s="4" t="n">
        <v>0</v>
      </c>
      <c r="K307" s="4" t="n">
        <v>0</v>
      </c>
      <c r="M307" s="2" t="str">
        <f aca="false">IF(C307="","",IFERROR(INDEX($S$5:$S$304,MATCH(C307,$R$5:$R$304,0))&amp;"","?"))</f>
        <v>17</v>
      </c>
      <c r="N307" s="2" t="n">
        <f aca="false">IF(E307="","",IF(ISNUMBER(SEARCH("SUBSOLO",E307)),IFERROR(-VALUE(LEFT(E307,FIND("º",SUBSTITUTE(E307,"°","º"))-1)),-1),IF(LEFT(E307,6)="TÉRREO",0,IFERROR(VALUE(LEFT(E307,FIND("º",SUBSTITUTE(E307,"°","º"))-1)),""))))</f>
        <v>8</v>
      </c>
      <c r="O307" s="2" t="str">
        <f aca="false">IF(OR(F307="",G307=""),"",IF(G307&lt;='RETRATO 2027'!$K$5,"CONCLUÍDA",IF(F307&lt;='RETRATO 2027'!$K$5,"EM ANDAMENTO","A INICIAR")))</f>
        <v>CONCLUÍDA</v>
      </c>
    </row>
    <row r="308" customFormat="false" ht="15" hidden="false" customHeight="false" outlineLevel="0" collapsed="false">
      <c r="B308" s="4" t="n">
        <v>31528980</v>
      </c>
      <c r="C308" s="4" t="s">
        <v>2341</v>
      </c>
      <c r="D308" s="4" t="s">
        <v>2312</v>
      </c>
      <c r="E308" s="4" t="s">
        <v>2804</v>
      </c>
      <c r="F308" s="127" t="n">
        <v>46433</v>
      </c>
      <c r="G308" s="127" t="n">
        <v>46440</v>
      </c>
      <c r="H308" s="127" t="n">
        <v>46289</v>
      </c>
      <c r="I308" s="4" t="n">
        <v>0</v>
      </c>
      <c r="J308" s="4" t="n">
        <v>0</v>
      </c>
      <c r="K308" s="4" t="n">
        <v>0</v>
      </c>
      <c r="M308" s="2" t="str">
        <f aca="false">IF(C308="","",IFERROR(INDEX($S$5:$S$304,MATCH(C308,$R$5:$R$304,0))&amp;"","?"))</f>
        <v>17</v>
      </c>
      <c r="N308" s="2" t="n">
        <f aca="false">IF(E308="","",IF(ISNUMBER(SEARCH("SUBSOLO",E308)),IFERROR(-VALUE(LEFT(E308,FIND("º",SUBSTITUTE(E308,"°","º"))-1)),-1),IF(LEFT(E308,6)="TÉRREO",0,IFERROR(VALUE(LEFT(E308,FIND("º",SUBSTITUTE(E308,"°","º"))-1)),""))))</f>
        <v>8</v>
      </c>
      <c r="O308" s="2" t="str">
        <f aca="false">IF(OR(F308="",G308=""),"",IF(G308&lt;='RETRATO 2027'!$K$5,"CONCLUÍDA",IF(F308&lt;='RETRATO 2027'!$K$5,"EM ANDAMENTO","A INICIAR")))</f>
        <v>CONCLUÍDA</v>
      </c>
    </row>
    <row r="309" customFormat="false" ht="15" hidden="false" customHeight="false" outlineLevel="0" collapsed="false">
      <c r="B309" s="4" t="n">
        <v>31528981</v>
      </c>
      <c r="C309" s="4" t="s">
        <v>2341</v>
      </c>
      <c r="D309" s="4" t="s">
        <v>2309</v>
      </c>
      <c r="E309" s="4" t="s">
        <v>2804</v>
      </c>
      <c r="F309" s="127" t="n">
        <v>46441</v>
      </c>
      <c r="G309" s="127" t="n">
        <v>46443</v>
      </c>
      <c r="H309" s="127" t="n">
        <v>46289</v>
      </c>
      <c r="I309" s="4" t="n">
        <v>0</v>
      </c>
      <c r="J309" s="4" t="n">
        <v>0</v>
      </c>
      <c r="K309" s="4" t="n">
        <v>0</v>
      </c>
      <c r="M309" s="2" t="str">
        <f aca="false">IF(C309="","",IFERROR(INDEX($S$5:$S$304,MATCH(C309,$R$5:$R$304,0))&amp;"","?"))</f>
        <v>17</v>
      </c>
      <c r="N309" s="2" t="n">
        <f aca="false">IF(E309="","",IF(ISNUMBER(SEARCH("SUBSOLO",E309)),IFERROR(-VALUE(LEFT(E309,FIND("º",SUBSTITUTE(E309,"°","º"))-1)),-1),IF(LEFT(E309,6)="TÉRREO",0,IFERROR(VALUE(LEFT(E309,FIND("º",SUBSTITUTE(E309,"°","º"))-1)),""))))</f>
        <v>8</v>
      </c>
      <c r="O309" s="2" t="str">
        <f aca="false">IF(OR(F309="",G309=""),"",IF(G309&lt;='RETRATO 2027'!$K$5,"CONCLUÍDA",IF(F309&lt;='RETRATO 2027'!$K$5,"EM ANDAMENTO","A INICIAR")))</f>
        <v>CONCLUÍDA</v>
      </c>
    </row>
    <row r="310" customFormat="false" ht="15" hidden="false" customHeight="false" outlineLevel="0" collapsed="false">
      <c r="B310" s="4" t="n">
        <v>31528982</v>
      </c>
      <c r="C310" s="4" t="s">
        <v>2341</v>
      </c>
      <c r="D310" s="4" t="s">
        <v>2314</v>
      </c>
      <c r="E310" s="4" t="s">
        <v>2804</v>
      </c>
      <c r="F310" s="127" t="n">
        <v>46444</v>
      </c>
      <c r="G310" s="127" t="n">
        <v>46444</v>
      </c>
      <c r="H310" s="127" t="n">
        <v>46289</v>
      </c>
      <c r="I310" s="4" t="n">
        <v>0</v>
      </c>
      <c r="J310" s="4" t="n">
        <v>0</v>
      </c>
      <c r="K310" s="4" t="n">
        <v>0</v>
      </c>
      <c r="M310" s="2" t="str">
        <f aca="false">IF(C310="","",IFERROR(INDEX($S$5:$S$304,MATCH(C310,$R$5:$R$304,0))&amp;"","?"))</f>
        <v>17</v>
      </c>
      <c r="N310" s="2" t="n">
        <f aca="false">IF(E310="","",IF(ISNUMBER(SEARCH("SUBSOLO",E310)),IFERROR(-VALUE(LEFT(E310,FIND("º",SUBSTITUTE(E310,"°","º"))-1)),-1),IF(LEFT(E310,6)="TÉRREO",0,IFERROR(VALUE(LEFT(E310,FIND("º",SUBSTITUTE(E310,"°","º"))-1)),""))))</f>
        <v>8</v>
      </c>
      <c r="O310" s="2" t="str">
        <f aca="false">IF(OR(F310="",G310=""),"",IF(G310&lt;='RETRATO 2027'!$K$5,"CONCLUÍDA",IF(F310&lt;='RETRATO 2027'!$K$5,"EM ANDAMENTO","A INICIAR")))</f>
        <v>CONCLUÍDA</v>
      </c>
    </row>
    <row r="311" customFormat="false" ht="15" hidden="false" customHeight="false" outlineLevel="0" collapsed="false">
      <c r="B311" s="4" t="n">
        <v>31528983</v>
      </c>
      <c r="C311" s="4" t="s">
        <v>2341</v>
      </c>
      <c r="D311" s="4" t="s">
        <v>2758</v>
      </c>
      <c r="E311" s="4" t="s">
        <v>2804</v>
      </c>
      <c r="F311" s="127" t="n">
        <v>46444</v>
      </c>
      <c r="G311" s="127" t="n">
        <v>46444</v>
      </c>
      <c r="H311" s="127" t="n">
        <v>46289</v>
      </c>
      <c r="I311" s="4" t="n">
        <v>0</v>
      </c>
      <c r="J311" s="4" t="n">
        <v>0</v>
      </c>
      <c r="K311" s="4" t="n">
        <v>0</v>
      </c>
      <c r="M311" s="2" t="str">
        <f aca="false">IF(C311="","",IFERROR(INDEX($S$5:$S$304,MATCH(C311,$R$5:$R$304,0))&amp;"","?"))</f>
        <v>17</v>
      </c>
      <c r="N311" s="2" t="n">
        <f aca="false">IF(E311="","",IF(ISNUMBER(SEARCH("SUBSOLO",E311)),IFERROR(-VALUE(LEFT(E311,FIND("º",SUBSTITUTE(E311,"°","º"))-1)),-1),IF(LEFT(E311,6)="TÉRREO",0,IFERROR(VALUE(LEFT(E311,FIND("º",SUBSTITUTE(E311,"°","º"))-1)),""))))</f>
        <v>8</v>
      </c>
      <c r="O311" s="2" t="str">
        <f aca="false">IF(OR(F311="",G311=""),"",IF(G311&lt;='RETRATO 2027'!$K$5,"CONCLUÍDA",IF(F311&lt;='RETRATO 2027'!$K$5,"EM ANDAMENTO","A INICIAR")))</f>
        <v>CONCLUÍDA</v>
      </c>
    </row>
    <row r="312" customFormat="false" ht="15" hidden="false" customHeight="false" outlineLevel="0" collapsed="false">
      <c r="B312" s="4" t="n">
        <v>39887262</v>
      </c>
      <c r="C312" s="4" t="s">
        <v>2393</v>
      </c>
      <c r="D312" s="4" t="s">
        <v>463</v>
      </c>
      <c r="E312" s="4" t="s">
        <v>2790</v>
      </c>
      <c r="F312" s="127" t="n">
        <v>46437</v>
      </c>
      <c r="G312" s="127" t="n">
        <v>46456</v>
      </c>
      <c r="H312" s="127" t="n">
        <v>46289</v>
      </c>
      <c r="I312" s="4" t="n">
        <v>0</v>
      </c>
      <c r="J312" s="4" t="n">
        <v>0</v>
      </c>
      <c r="K312" s="4" t="n">
        <v>0</v>
      </c>
      <c r="M312" s="2" t="str">
        <f aca="false">IF(C312="","",IFERROR(INDEX($S$5:$S$304,MATCH(C312,$R$5:$R$304,0))&amp;"","?"))</f>
        <v>17</v>
      </c>
      <c r="N312" s="2" t="n">
        <f aca="false">IF(E312="","",IF(ISNUMBER(SEARCH("SUBSOLO",E312)),IFERROR(-VALUE(LEFT(E312,FIND("º",SUBSTITUTE(E312,"°","º"))-1)),-1),IF(LEFT(E312,6)="TÉRREO",0,IFERROR(VALUE(LEFT(E312,FIND("º",SUBSTITUTE(E312,"°","º"))-1)),""))))</f>
        <v>3</v>
      </c>
      <c r="O312" s="2" t="str">
        <f aca="false">IF(OR(F312="",G312=""),"",IF(G312&lt;='RETRATO 2027'!$K$5,"CONCLUÍDA",IF(F312&lt;='RETRATO 2027'!$K$5,"EM ANDAMENTO","A INICIAR")))</f>
        <v>CONCLUÍDA</v>
      </c>
    </row>
    <row r="313" customFormat="false" ht="15" hidden="false" customHeight="false" outlineLevel="0" collapsed="false">
      <c r="B313" s="4" t="n">
        <v>29940949</v>
      </c>
      <c r="C313" s="4" t="s">
        <v>2341</v>
      </c>
      <c r="D313" s="4" t="s">
        <v>463</v>
      </c>
      <c r="E313" s="4" t="s">
        <v>2805</v>
      </c>
      <c r="F313" s="127" t="n">
        <v>46447</v>
      </c>
      <c r="G313" s="127" t="n">
        <v>46458</v>
      </c>
      <c r="H313" s="127" t="n">
        <v>46289</v>
      </c>
      <c r="I313" s="4" t="n">
        <v>0</v>
      </c>
      <c r="J313" s="4" t="n">
        <v>0</v>
      </c>
      <c r="K313" s="4" t="n">
        <v>0</v>
      </c>
      <c r="M313" s="2" t="str">
        <f aca="false">IF(C313="","",IFERROR(INDEX($S$5:$S$304,MATCH(C313,$R$5:$R$304,0))&amp;"","?"))</f>
        <v>17</v>
      </c>
      <c r="N313" s="2" t="n">
        <f aca="false">IF(E313="","",IF(ISNUMBER(SEARCH("SUBSOLO",E313)),IFERROR(-VALUE(LEFT(E313,FIND("º",SUBSTITUTE(E313,"°","º"))-1)),-1),IF(LEFT(E313,6)="TÉRREO",0,IFERROR(VALUE(LEFT(E313,FIND("º",SUBSTITUTE(E313,"°","º"))-1)),""))))</f>
        <v>9</v>
      </c>
      <c r="O313" s="2" t="str">
        <f aca="false">IF(OR(F313="",G313=""),"",IF(G313&lt;='RETRATO 2027'!$K$5,"CONCLUÍDA",IF(F313&lt;='RETRATO 2027'!$K$5,"EM ANDAMENTO","A INICIAR")))</f>
        <v>CONCLUÍDA</v>
      </c>
    </row>
    <row r="314" customFormat="false" ht="15" hidden="false" customHeight="false" outlineLevel="0" collapsed="false">
      <c r="B314" s="4" t="n">
        <v>31528984</v>
      </c>
      <c r="C314" s="4" t="s">
        <v>2341</v>
      </c>
      <c r="D314" s="4" t="s">
        <v>2312</v>
      </c>
      <c r="E314" s="4" t="s">
        <v>2805</v>
      </c>
      <c r="F314" s="127" t="n">
        <v>46447</v>
      </c>
      <c r="G314" s="127" t="n">
        <v>46450</v>
      </c>
      <c r="H314" s="127" t="n">
        <v>46289</v>
      </c>
      <c r="I314" s="4" t="n">
        <v>0</v>
      </c>
      <c r="J314" s="4" t="n">
        <v>0</v>
      </c>
      <c r="K314" s="4" t="n">
        <v>0</v>
      </c>
      <c r="M314" s="2" t="str">
        <f aca="false">IF(C314="","",IFERROR(INDEX($S$5:$S$304,MATCH(C314,$R$5:$R$304,0))&amp;"","?"))</f>
        <v>17</v>
      </c>
      <c r="N314" s="2" t="n">
        <f aca="false">IF(E314="","",IF(ISNUMBER(SEARCH("SUBSOLO",E314)),IFERROR(-VALUE(LEFT(E314,FIND("º",SUBSTITUTE(E314,"°","º"))-1)),-1),IF(LEFT(E314,6)="TÉRREO",0,IFERROR(VALUE(LEFT(E314,FIND("º",SUBSTITUTE(E314,"°","º"))-1)),""))))</f>
        <v>9</v>
      </c>
      <c r="O314" s="2" t="str">
        <f aca="false">IF(OR(F314="",G314=""),"",IF(G314&lt;='RETRATO 2027'!$K$5,"CONCLUÍDA",IF(F314&lt;='RETRATO 2027'!$K$5,"EM ANDAMENTO","A INICIAR")))</f>
        <v>CONCLUÍDA</v>
      </c>
    </row>
    <row r="315" customFormat="false" ht="15" hidden="false" customHeight="false" outlineLevel="0" collapsed="false">
      <c r="B315" s="4" t="n">
        <v>31528985</v>
      </c>
      <c r="C315" s="4" t="s">
        <v>2341</v>
      </c>
      <c r="D315" s="4" t="s">
        <v>2309</v>
      </c>
      <c r="E315" s="4" t="s">
        <v>2805</v>
      </c>
      <c r="F315" s="127" t="n">
        <v>46451</v>
      </c>
      <c r="G315" s="127" t="n">
        <v>46457</v>
      </c>
      <c r="H315" s="127" t="n">
        <v>46289</v>
      </c>
      <c r="I315" s="4" t="n">
        <v>0</v>
      </c>
      <c r="J315" s="4" t="n">
        <v>0</v>
      </c>
      <c r="K315" s="4" t="n">
        <v>0</v>
      </c>
      <c r="M315" s="2" t="str">
        <f aca="false">IF(C315="","",IFERROR(INDEX($S$5:$S$304,MATCH(C315,$R$5:$R$304,0))&amp;"","?"))</f>
        <v>17</v>
      </c>
      <c r="N315" s="2" t="n">
        <f aca="false">IF(E315="","",IF(ISNUMBER(SEARCH("SUBSOLO",E315)),IFERROR(-VALUE(LEFT(E315,FIND("º",SUBSTITUTE(E315,"°","º"))-1)),-1),IF(LEFT(E315,6)="TÉRREO",0,IFERROR(VALUE(LEFT(E315,FIND("º",SUBSTITUTE(E315,"°","º"))-1)),""))))</f>
        <v>9</v>
      </c>
      <c r="O315" s="2" t="str">
        <f aca="false">IF(OR(F315="",G315=""),"",IF(G315&lt;='RETRATO 2027'!$K$5,"CONCLUÍDA",IF(F315&lt;='RETRATO 2027'!$K$5,"EM ANDAMENTO","A INICIAR")))</f>
        <v>CONCLUÍDA</v>
      </c>
    </row>
    <row r="316" customFormat="false" ht="15" hidden="false" customHeight="false" outlineLevel="0" collapsed="false">
      <c r="B316" s="4" t="n">
        <v>31528986</v>
      </c>
      <c r="C316" s="4" t="s">
        <v>2341</v>
      </c>
      <c r="D316" s="4" t="s">
        <v>2314</v>
      </c>
      <c r="E316" s="4" t="s">
        <v>2805</v>
      </c>
      <c r="F316" s="127" t="n">
        <v>46458</v>
      </c>
      <c r="G316" s="127" t="n">
        <v>46458</v>
      </c>
      <c r="H316" s="127" t="n">
        <v>46289</v>
      </c>
      <c r="I316" s="4" t="n">
        <v>0</v>
      </c>
      <c r="J316" s="4" t="n">
        <v>0</v>
      </c>
      <c r="K316" s="4" t="n">
        <v>0</v>
      </c>
      <c r="M316" s="2" t="str">
        <f aca="false">IF(C316="","",IFERROR(INDEX($S$5:$S$304,MATCH(C316,$R$5:$R$304,0))&amp;"","?"))</f>
        <v>17</v>
      </c>
      <c r="N316" s="2" t="n">
        <f aca="false">IF(E316="","",IF(ISNUMBER(SEARCH("SUBSOLO",E316)),IFERROR(-VALUE(LEFT(E316,FIND("º",SUBSTITUTE(E316,"°","º"))-1)),-1),IF(LEFT(E316,6)="TÉRREO",0,IFERROR(VALUE(LEFT(E316,FIND("º",SUBSTITUTE(E316,"°","º"))-1)),""))))</f>
        <v>9</v>
      </c>
      <c r="O316" s="2" t="str">
        <f aca="false">IF(OR(F316="",G316=""),"",IF(G316&lt;='RETRATO 2027'!$K$5,"CONCLUÍDA",IF(F316&lt;='RETRATO 2027'!$K$5,"EM ANDAMENTO","A INICIAR")))</f>
        <v>CONCLUÍDA</v>
      </c>
    </row>
    <row r="317" customFormat="false" ht="15" hidden="false" customHeight="false" outlineLevel="0" collapsed="false">
      <c r="B317" s="4" t="n">
        <v>31528987</v>
      </c>
      <c r="C317" s="4" t="s">
        <v>2341</v>
      </c>
      <c r="D317" s="4" t="s">
        <v>2758</v>
      </c>
      <c r="E317" s="4" t="s">
        <v>2805</v>
      </c>
      <c r="F317" s="127" t="n">
        <v>46458</v>
      </c>
      <c r="G317" s="127" t="n">
        <v>46458</v>
      </c>
      <c r="H317" s="127" t="n">
        <v>46289</v>
      </c>
      <c r="I317" s="4" t="n">
        <v>0</v>
      </c>
      <c r="J317" s="4" t="n">
        <v>0</v>
      </c>
      <c r="K317" s="4" t="n">
        <v>0</v>
      </c>
      <c r="M317" s="2" t="str">
        <f aca="false">IF(C317="","",IFERROR(INDEX($S$5:$S$304,MATCH(C317,$R$5:$R$304,0))&amp;"","?"))</f>
        <v>17</v>
      </c>
      <c r="N317" s="2" t="n">
        <f aca="false">IF(E317="","",IF(ISNUMBER(SEARCH("SUBSOLO",E317)),IFERROR(-VALUE(LEFT(E317,FIND("º",SUBSTITUTE(E317,"°","º"))-1)),-1),IF(LEFT(E317,6)="TÉRREO",0,IFERROR(VALUE(LEFT(E317,FIND("º",SUBSTITUTE(E317,"°","º"))-1)),""))))</f>
        <v>9</v>
      </c>
      <c r="O317" s="2" t="str">
        <f aca="false">IF(OR(F317="",G317=""),"",IF(G317&lt;='RETRATO 2027'!$K$5,"CONCLUÍDA",IF(F317&lt;='RETRATO 2027'!$K$5,"EM ANDAMENTO","A INICIAR")))</f>
        <v>CONCLUÍDA</v>
      </c>
    </row>
    <row r="318" customFormat="false" ht="15" hidden="false" customHeight="false" outlineLevel="0" collapsed="false">
      <c r="B318" s="4" t="n">
        <v>30171436</v>
      </c>
      <c r="C318" s="4" t="s">
        <v>2382</v>
      </c>
      <c r="D318" s="4" t="s">
        <v>463</v>
      </c>
      <c r="E318" s="4" t="s">
        <v>2800</v>
      </c>
      <c r="F318" s="127" t="n">
        <v>46451</v>
      </c>
      <c r="G318" s="127" t="n">
        <v>46485</v>
      </c>
      <c r="H318" s="127" t="n">
        <v>46289</v>
      </c>
      <c r="I318" s="4" t="n">
        <v>0</v>
      </c>
      <c r="J318" s="4" t="n">
        <v>0</v>
      </c>
      <c r="K318" s="4" t="n">
        <v>0</v>
      </c>
      <c r="M318" s="2" t="str">
        <f aca="false">IF(C318="","",IFERROR(INDEX($S$5:$S$304,MATCH(C318,$R$5:$R$304,0))&amp;"","?"))</f>
        <v>35</v>
      </c>
      <c r="N318" s="2" t="n">
        <f aca="false">IF(E318="","",IF(ISNUMBER(SEARCH("SUBSOLO",E318)),IFERROR(-VALUE(LEFT(E318,FIND("º",SUBSTITUTE(E318,"°","º"))-1)),-1),IF(LEFT(E318,6)="TÉRREO",0,IFERROR(VALUE(LEFT(E318,FIND("º",SUBSTITUTE(E318,"°","º"))-1)),""))))</f>
        <v>4</v>
      </c>
      <c r="O318" s="2" t="str">
        <f aca="false">IF(OR(F318="",G318=""),"",IF(G318&lt;='RETRATO 2027'!$K$5,"CONCLUÍDA",IF(F318&lt;='RETRATO 2027'!$K$5,"EM ANDAMENTO","A INICIAR")))</f>
        <v>CONCLUÍDA</v>
      </c>
    </row>
    <row r="319" customFormat="false" ht="15" hidden="false" customHeight="false" outlineLevel="0" collapsed="false">
      <c r="B319" s="4" t="n">
        <v>39887263</v>
      </c>
      <c r="C319" s="4" t="s">
        <v>2393</v>
      </c>
      <c r="D319" s="4" t="s">
        <v>463</v>
      </c>
      <c r="E319" s="4" t="s">
        <v>2800</v>
      </c>
      <c r="F319" s="127" t="n">
        <v>46457</v>
      </c>
      <c r="G319" s="127" t="n">
        <v>46475</v>
      </c>
      <c r="H319" s="127" t="n">
        <v>46289</v>
      </c>
      <c r="I319" s="4" t="n">
        <v>0</v>
      </c>
      <c r="J319" s="4" t="n">
        <v>0</v>
      </c>
      <c r="K319" s="4" t="n">
        <v>0</v>
      </c>
      <c r="M319" s="2" t="str">
        <f aca="false">IF(C319="","",IFERROR(INDEX($S$5:$S$304,MATCH(C319,$R$5:$R$304,0))&amp;"","?"))</f>
        <v>17</v>
      </c>
      <c r="N319" s="2" t="n">
        <f aca="false">IF(E319="","",IF(ISNUMBER(SEARCH("SUBSOLO",E319)),IFERROR(-VALUE(LEFT(E319,FIND("º",SUBSTITUTE(E319,"°","º"))-1)),-1),IF(LEFT(E319,6)="TÉRREO",0,IFERROR(VALUE(LEFT(E319,FIND("º",SUBSTITUTE(E319,"°","º"))-1)),""))))</f>
        <v>4</v>
      </c>
      <c r="O319" s="2" t="str">
        <f aca="false">IF(OR(F319="",G319=""),"",IF(G319&lt;='RETRATO 2027'!$K$5,"CONCLUÍDA",IF(F319&lt;='RETRATO 2027'!$K$5,"EM ANDAMENTO","A INICIAR")))</f>
        <v>CONCLUÍDA</v>
      </c>
    </row>
    <row r="320" customFormat="false" ht="15" hidden="false" customHeight="false" outlineLevel="0" collapsed="false">
      <c r="B320" s="4" t="n">
        <v>30205737</v>
      </c>
      <c r="C320" s="4" t="s">
        <v>2396</v>
      </c>
      <c r="D320" s="4" t="s">
        <v>463</v>
      </c>
      <c r="E320" s="4" t="s">
        <v>2740</v>
      </c>
      <c r="F320" s="127" t="n">
        <v>46458</v>
      </c>
      <c r="G320" s="127" t="n">
        <v>46521</v>
      </c>
      <c r="H320" s="127" t="n">
        <v>46289</v>
      </c>
      <c r="I320" s="4" t="n">
        <v>0</v>
      </c>
      <c r="J320" s="4" t="n">
        <v>0</v>
      </c>
      <c r="K320" s="4" t="n">
        <v>0</v>
      </c>
      <c r="M320" s="2" t="str">
        <f aca="false">IF(C320="","",IFERROR(INDEX($S$5:$S$304,MATCH(C320,$R$5:$R$304,0))&amp;"","?"))</f>
        <v>20</v>
      </c>
      <c r="N320" s="2" t="n">
        <f aca="false">IF(E320="","",IF(ISNUMBER(SEARCH("SUBSOLO",E320)),IFERROR(-VALUE(LEFT(E320,FIND("º",SUBSTITUTE(E320,"°","º"))-1)),-1),IF(LEFT(E320,6)="TÉRREO",0,IFERROR(VALUE(LEFT(E320,FIND("º",SUBSTITUTE(E320,"°","º"))-1)),""))))</f>
        <v>-1</v>
      </c>
      <c r="O320" s="2" t="str">
        <f aca="false">IF(OR(F320="",G320=""),"",IF(G320&lt;='RETRATO 2027'!$K$5,"CONCLUÍDA",IF(F320&lt;='RETRATO 2027'!$K$5,"EM ANDAMENTO","A INICIAR")))</f>
        <v>CONCLUÍDA</v>
      </c>
    </row>
    <row r="321" customFormat="false" ht="15" hidden="false" customHeight="false" outlineLevel="0" collapsed="false">
      <c r="B321" s="4" t="n">
        <v>35100286</v>
      </c>
      <c r="C321" s="4" t="s">
        <v>2402</v>
      </c>
      <c r="D321" s="4" t="s">
        <v>463</v>
      </c>
      <c r="E321" s="4" t="s">
        <v>81</v>
      </c>
      <c r="F321" s="127" t="n">
        <v>46461</v>
      </c>
      <c r="G321" s="127" t="n">
        <v>46471</v>
      </c>
      <c r="H321" s="127" t="n">
        <v>46289</v>
      </c>
      <c r="I321" s="4" t="n">
        <v>0</v>
      </c>
      <c r="J321" s="4" t="n">
        <v>0</v>
      </c>
      <c r="K321" s="4" t="n">
        <v>0</v>
      </c>
      <c r="M321" s="2" t="str">
        <f aca="false">IF(C321="","",IFERROR(INDEX($S$5:$S$304,MATCH(C321,$R$5:$R$304,0))&amp;"","?"))</f>
        <v>16</v>
      </c>
      <c r="N321" s="2" t="str">
        <f aca="false">IF(E321="","",IF(ISNUMBER(SEARCH("SUBSOLO",E321)),IFERROR(-VALUE(LEFT(E321,FIND("º",SUBSTITUTE(E321,"°","º"))-1)),-1),IF(LEFT(E321,6)="TÉRREO",0,IFERROR(VALUE(LEFT(E321,FIND("º",SUBSTITUTE(E321,"°","º"))-1)),""))))</f>
        <v/>
      </c>
      <c r="O321" s="2" t="str">
        <f aca="false">IF(OR(F321="",G321=""),"",IF(G321&lt;='RETRATO 2027'!$K$5,"CONCLUÍDA",IF(F321&lt;='RETRATO 2027'!$K$5,"EM ANDAMENTO","A INICIAR")))</f>
        <v>CONCLUÍDA</v>
      </c>
    </row>
    <row r="322" customFormat="false" ht="15" hidden="false" customHeight="false" outlineLevel="0" collapsed="false">
      <c r="B322" s="4" t="n">
        <v>14351018</v>
      </c>
      <c r="C322" s="4" t="s">
        <v>2402</v>
      </c>
      <c r="D322" s="4" t="s">
        <v>2806</v>
      </c>
      <c r="E322" s="4" t="s">
        <v>81</v>
      </c>
      <c r="F322" s="127" t="n">
        <v>46461</v>
      </c>
      <c r="G322" s="127" t="n">
        <v>46463</v>
      </c>
      <c r="H322" s="127" t="n">
        <v>46289</v>
      </c>
      <c r="I322" s="4" t="n">
        <v>0</v>
      </c>
      <c r="J322" s="4" t="n">
        <v>0</v>
      </c>
      <c r="K322" s="4" t="n">
        <v>0</v>
      </c>
      <c r="M322" s="2" t="str">
        <f aca="false">IF(C322="","",IFERROR(INDEX($S$5:$S$304,MATCH(C322,$R$5:$R$304,0))&amp;"","?"))</f>
        <v>16</v>
      </c>
      <c r="N322" s="2" t="str">
        <f aca="false">IF(E322="","",IF(ISNUMBER(SEARCH("SUBSOLO",E322)),IFERROR(-VALUE(LEFT(E322,FIND("º",SUBSTITUTE(E322,"°","º"))-1)),-1),IF(LEFT(E322,6)="TÉRREO",0,IFERROR(VALUE(LEFT(E322,FIND("º",SUBSTITUTE(E322,"°","º"))-1)),""))))</f>
        <v/>
      </c>
      <c r="O322" s="2" t="str">
        <f aca="false">IF(OR(F322="",G322=""),"",IF(G322&lt;='RETRATO 2027'!$K$5,"CONCLUÍDA",IF(F322&lt;='RETRATO 2027'!$K$5,"EM ANDAMENTO","A INICIAR")))</f>
        <v>CONCLUÍDA</v>
      </c>
    </row>
    <row r="323" customFormat="false" ht="15" hidden="false" customHeight="false" outlineLevel="0" collapsed="false">
      <c r="B323" s="4" t="n">
        <v>14351019</v>
      </c>
      <c r="C323" s="4" t="s">
        <v>2402</v>
      </c>
      <c r="D323" s="4" t="s">
        <v>2807</v>
      </c>
      <c r="E323" s="4" t="s">
        <v>81</v>
      </c>
      <c r="F323" s="127" t="n">
        <v>46464</v>
      </c>
      <c r="G323" s="127" t="n">
        <v>46468</v>
      </c>
      <c r="H323" s="127" t="n">
        <v>46289</v>
      </c>
      <c r="I323" s="4" t="n">
        <v>0</v>
      </c>
      <c r="J323" s="4" t="n">
        <v>0</v>
      </c>
      <c r="K323" s="4" t="n">
        <v>0</v>
      </c>
      <c r="M323" s="2" t="str">
        <f aca="false">IF(C323="","",IFERROR(INDEX($S$5:$S$304,MATCH(C323,$R$5:$R$304,0))&amp;"","?"))</f>
        <v>16</v>
      </c>
      <c r="N323" s="2" t="str">
        <f aca="false">IF(E323="","",IF(ISNUMBER(SEARCH("SUBSOLO",E323)),IFERROR(-VALUE(LEFT(E323,FIND("º",SUBSTITUTE(E323,"°","º"))-1)),-1),IF(LEFT(E323,6)="TÉRREO",0,IFERROR(VALUE(LEFT(E323,FIND("º",SUBSTITUTE(E323,"°","º"))-1)),""))))</f>
        <v/>
      </c>
      <c r="O323" s="2" t="str">
        <f aca="false">IF(OR(F323="",G323=""),"",IF(G323&lt;='RETRATO 2027'!$K$5,"CONCLUÍDA",IF(F323&lt;='RETRATO 2027'!$K$5,"EM ANDAMENTO","A INICIAR")))</f>
        <v>CONCLUÍDA</v>
      </c>
    </row>
    <row r="324" customFormat="false" ht="15" hidden="false" customHeight="false" outlineLevel="0" collapsed="false">
      <c r="B324" s="4" t="n">
        <v>14351020</v>
      </c>
      <c r="C324" s="4" t="s">
        <v>2402</v>
      </c>
      <c r="D324" s="4" t="s">
        <v>2808</v>
      </c>
      <c r="E324" s="4" t="s">
        <v>81</v>
      </c>
      <c r="F324" s="127" t="n">
        <v>46469</v>
      </c>
      <c r="G324" s="127" t="n">
        <v>46471</v>
      </c>
      <c r="H324" s="127" t="n">
        <v>46289</v>
      </c>
      <c r="I324" s="4" t="n">
        <v>0</v>
      </c>
      <c r="J324" s="4" t="n">
        <v>0</v>
      </c>
      <c r="K324" s="4" t="n">
        <v>0</v>
      </c>
      <c r="M324" s="2" t="str">
        <f aca="false">IF(C324="","",IFERROR(INDEX($S$5:$S$304,MATCH(C324,$R$5:$R$304,0))&amp;"","?"))</f>
        <v>16</v>
      </c>
      <c r="N324" s="2" t="str">
        <f aca="false">IF(E324="","",IF(ISNUMBER(SEARCH("SUBSOLO",E324)),IFERROR(-VALUE(LEFT(E324,FIND("º",SUBSTITUTE(E324,"°","º"))-1)),-1),IF(LEFT(E324,6)="TÉRREO",0,IFERROR(VALUE(LEFT(E324,FIND("º",SUBSTITUTE(E324,"°","º"))-1)),""))))</f>
        <v/>
      </c>
      <c r="O324" s="2" t="str">
        <f aca="false">IF(OR(F324="",G324=""),"",IF(G324&lt;='RETRATO 2027'!$K$5,"CONCLUÍDA",IF(F324&lt;='RETRATO 2027'!$K$5,"EM ANDAMENTO","A INICIAR")))</f>
        <v>CONCLUÍDA</v>
      </c>
    </row>
    <row r="325" customFormat="false" ht="15" hidden="false" customHeight="false" outlineLevel="0" collapsed="false">
      <c r="B325" s="4" t="n">
        <v>29940950</v>
      </c>
      <c r="C325" s="4" t="s">
        <v>2341</v>
      </c>
      <c r="D325" s="4" t="s">
        <v>463</v>
      </c>
      <c r="E325" s="4" t="s">
        <v>2809</v>
      </c>
      <c r="F325" s="127" t="n">
        <v>46461</v>
      </c>
      <c r="G325" s="127" t="n">
        <v>46471</v>
      </c>
      <c r="H325" s="127" t="n">
        <v>46289</v>
      </c>
      <c r="I325" s="4" t="n">
        <v>0</v>
      </c>
      <c r="J325" s="4" t="n">
        <v>0</v>
      </c>
      <c r="K325" s="4" t="n">
        <v>0</v>
      </c>
      <c r="M325" s="2" t="str">
        <f aca="false">IF(C325="","",IFERROR(INDEX($S$5:$S$304,MATCH(C325,$R$5:$R$304,0))&amp;"","?"))</f>
        <v>17</v>
      </c>
      <c r="N325" s="2" t="n">
        <f aca="false">IF(E325="","",IF(ISNUMBER(SEARCH("SUBSOLO",E325)),IFERROR(-VALUE(LEFT(E325,FIND("º",SUBSTITUTE(E325,"°","º"))-1)),-1),IF(LEFT(E325,6)="TÉRREO",0,IFERROR(VALUE(LEFT(E325,FIND("º",SUBSTITUTE(E325,"°","º"))-1)),""))))</f>
        <v>10</v>
      </c>
      <c r="O325" s="2" t="str">
        <f aca="false">IF(OR(F325="",G325=""),"",IF(G325&lt;='RETRATO 2027'!$K$5,"CONCLUÍDA",IF(F325&lt;='RETRATO 2027'!$K$5,"EM ANDAMENTO","A INICIAR")))</f>
        <v>CONCLUÍDA</v>
      </c>
    </row>
    <row r="326" customFormat="false" ht="15" hidden="false" customHeight="false" outlineLevel="0" collapsed="false">
      <c r="B326" s="4" t="n">
        <v>31528992</v>
      </c>
      <c r="C326" s="4" t="s">
        <v>2341</v>
      </c>
      <c r="D326" s="4" t="s">
        <v>2312</v>
      </c>
      <c r="E326" s="4" t="s">
        <v>2809</v>
      </c>
      <c r="F326" s="127" t="n">
        <v>46461</v>
      </c>
      <c r="G326" s="127" t="n">
        <v>46465</v>
      </c>
      <c r="H326" s="127" t="n">
        <v>46289</v>
      </c>
      <c r="I326" s="4" t="n">
        <v>0</v>
      </c>
      <c r="J326" s="4" t="n">
        <v>0</v>
      </c>
      <c r="K326" s="4" t="n">
        <v>0</v>
      </c>
      <c r="M326" s="2" t="str">
        <f aca="false">IF(C326="","",IFERROR(INDEX($S$5:$S$304,MATCH(C326,$R$5:$R$304,0))&amp;"","?"))</f>
        <v>17</v>
      </c>
      <c r="N326" s="2" t="n">
        <f aca="false">IF(E326="","",IF(ISNUMBER(SEARCH("SUBSOLO",E326)),IFERROR(-VALUE(LEFT(E326,FIND("º",SUBSTITUTE(E326,"°","º"))-1)),-1),IF(LEFT(E326,6)="TÉRREO",0,IFERROR(VALUE(LEFT(E326,FIND("º",SUBSTITUTE(E326,"°","º"))-1)),""))))</f>
        <v>10</v>
      </c>
      <c r="O326" s="2" t="str">
        <f aca="false">IF(OR(F326="",G326=""),"",IF(G326&lt;='RETRATO 2027'!$K$5,"CONCLUÍDA",IF(F326&lt;='RETRATO 2027'!$K$5,"EM ANDAMENTO","A INICIAR")))</f>
        <v>CONCLUÍDA</v>
      </c>
    </row>
    <row r="327" customFormat="false" ht="15" hidden="false" customHeight="false" outlineLevel="0" collapsed="false">
      <c r="B327" s="4" t="n">
        <v>31528993</v>
      </c>
      <c r="C327" s="4" t="s">
        <v>2341</v>
      </c>
      <c r="D327" s="4" t="s">
        <v>2309</v>
      </c>
      <c r="E327" s="4" t="s">
        <v>2809</v>
      </c>
      <c r="F327" s="127" t="n">
        <v>46468</v>
      </c>
      <c r="G327" s="127" t="n">
        <v>46470</v>
      </c>
      <c r="H327" s="127" t="n">
        <v>46289</v>
      </c>
      <c r="I327" s="4" t="n">
        <v>0</v>
      </c>
      <c r="J327" s="4" t="n">
        <v>0</v>
      </c>
      <c r="K327" s="4" t="n">
        <v>0</v>
      </c>
      <c r="M327" s="2" t="str">
        <f aca="false">IF(C327="","",IFERROR(INDEX($S$5:$S$304,MATCH(C327,$R$5:$R$304,0))&amp;"","?"))</f>
        <v>17</v>
      </c>
      <c r="N327" s="2" t="n">
        <f aca="false">IF(E327="","",IF(ISNUMBER(SEARCH("SUBSOLO",E327)),IFERROR(-VALUE(LEFT(E327,FIND("º",SUBSTITUTE(E327,"°","º"))-1)),-1),IF(LEFT(E327,6)="TÉRREO",0,IFERROR(VALUE(LEFT(E327,FIND("º",SUBSTITUTE(E327,"°","º"))-1)),""))))</f>
        <v>10</v>
      </c>
      <c r="O327" s="2" t="str">
        <f aca="false">IF(OR(F327="",G327=""),"",IF(G327&lt;='RETRATO 2027'!$K$5,"CONCLUÍDA",IF(F327&lt;='RETRATO 2027'!$K$5,"EM ANDAMENTO","A INICIAR")))</f>
        <v>CONCLUÍDA</v>
      </c>
    </row>
    <row r="328" customFormat="false" ht="15" hidden="false" customHeight="false" outlineLevel="0" collapsed="false">
      <c r="B328" s="4" t="n">
        <v>31528994</v>
      </c>
      <c r="C328" s="4" t="s">
        <v>2341</v>
      </c>
      <c r="D328" s="4" t="s">
        <v>2314</v>
      </c>
      <c r="E328" s="4" t="s">
        <v>2809</v>
      </c>
      <c r="F328" s="127" t="n">
        <v>46471</v>
      </c>
      <c r="G328" s="127" t="n">
        <v>46471</v>
      </c>
      <c r="H328" s="127" t="n">
        <v>46289</v>
      </c>
      <c r="I328" s="4" t="n">
        <v>0</v>
      </c>
      <c r="J328" s="4" t="n">
        <v>0</v>
      </c>
      <c r="K328" s="4" t="n">
        <v>0</v>
      </c>
      <c r="M328" s="2" t="str">
        <f aca="false">IF(C328="","",IFERROR(INDEX($S$5:$S$304,MATCH(C328,$R$5:$R$304,0))&amp;"","?"))</f>
        <v>17</v>
      </c>
      <c r="N328" s="2" t="n">
        <f aca="false">IF(E328="","",IF(ISNUMBER(SEARCH("SUBSOLO",E328)),IFERROR(-VALUE(LEFT(E328,FIND("º",SUBSTITUTE(E328,"°","º"))-1)),-1),IF(LEFT(E328,6)="TÉRREO",0,IFERROR(VALUE(LEFT(E328,FIND("º",SUBSTITUTE(E328,"°","º"))-1)),""))))</f>
        <v>10</v>
      </c>
      <c r="O328" s="2" t="str">
        <f aca="false">IF(OR(F328="",G328=""),"",IF(G328&lt;='RETRATO 2027'!$K$5,"CONCLUÍDA",IF(F328&lt;='RETRATO 2027'!$K$5,"EM ANDAMENTO","A INICIAR")))</f>
        <v>CONCLUÍDA</v>
      </c>
    </row>
    <row r="329" customFormat="false" ht="15" hidden="false" customHeight="false" outlineLevel="0" collapsed="false">
      <c r="B329" s="4" t="n">
        <v>31528995</v>
      </c>
      <c r="C329" s="4" t="s">
        <v>2341</v>
      </c>
      <c r="D329" s="4" t="s">
        <v>2758</v>
      </c>
      <c r="E329" s="4" t="s">
        <v>2809</v>
      </c>
      <c r="F329" s="127" t="n">
        <v>46471</v>
      </c>
      <c r="G329" s="127" t="n">
        <v>46471</v>
      </c>
      <c r="H329" s="127" t="n">
        <v>46289</v>
      </c>
      <c r="I329" s="4" t="n">
        <v>0</v>
      </c>
      <c r="J329" s="4" t="n">
        <v>0</v>
      </c>
      <c r="K329" s="4" t="n">
        <v>0</v>
      </c>
      <c r="M329" s="2" t="str">
        <f aca="false">IF(C329="","",IFERROR(INDEX($S$5:$S$304,MATCH(C329,$R$5:$R$304,0))&amp;"","?"))</f>
        <v>17</v>
      </c>
      <c r="N329" s="2" t="n">
        <f aca="false">IF(E329="","",IF(ISNUMBER(SEARCH("SUBSOLO",E329)),IFERROR(-VALUE(LEFT(E329,FIND("º",SUBSTITUTE(E329,"°","º"))-1)),-1),IF(LEFT(E329,6)="TÉRREO",0,IFERROR(VALUE(LEFT(E329,FIND("º",SUBSTITUTE(E329,"°","º"))-1)),""))))</f>
        <v>10</v>
      </c>
      <c r="O329" s="2" t="str">
        <f aca="false">IF(OR(F329="",G329=""),"",IF(G329&lt;='RETRATO 2027'!$K$5,"CONCLUÍDA",IF(F329&lt;='RETRATO 2027'!$K$5,"EM ANDAMENTO","A INICIAR")))</f>
        <v>CONCLUÍDA</v>
      </c>
    </row>
    <row r="330" customFormat="false" ht="15" hidden="false" customHeight="false" outlineLevel="0" collapsed="false">
      <c r="B330" s="4" t="n">
        <v>29981543</v>
      </c>
      <c r="C330" s="4" t="s">
        <v>168</v>
      </c>
      <c r="D330" s="4" t="s">
        <v>463</v>
      </c>
      <c r="E330" s="4" t="s">
        <v>2803</v>
      </c>
      <c r="F330" s="127" t="n">
        <v>46462</v>
      </c>
      <c r="G330" s="127" t="n">
        <v>46475</v>
      </c>
      <c r="H330" s="127" t="n">
        <v>46289</v>
      </c>
      <c r="I330" s="4" t="n">
        <v>0</v>
      </c>
      <c r="J330" s="4" t="n">
        <v>0</v>
      </c>
      <c r="K330" s="4" t="n">
        <v>0</v>
      </c>
      <c r="M330" s="2" t="str">
        <f aca="false">IF(C330="","",IFERROR(INDEX($S$5:$S$304,MATCH(C330,$R$5:$R$304,0))&amp;"","?"))</f>
        <v>18</v>
      </c>
      <c r="N330" s="2" t="n">
        <f aca="false">IF(E330="","",IF(ISNUMBER(SEARCH("SUBSOLO",E330)),IFERROR(-VALUE(LEFT(E330,FIND("º",SUBSTITUTE(E330,"°","º"))-1)),-1),IF(LEFT(E330,6)="TÉRREO",0,IFERROR(VALUE(LEFT(E330,FIND("º",SUBSTITUTE(E330,"°","º"))-1)),""))))</f>
        <v>7</v>
      </c>
      <c r="O330" s="2" t="str">
        <f aca="false">IF(OR(F330="",G330=""),"",IF(G330&lt;='RETRATO 2027'!$K$5,"CONCLUÍDA",IF(F330&lt;='RETRATO 2027'!$K$5,"EM ANDAMENTO","A INICIAR")))</f>
        <v>CONCLUÍDA</v>
      </c>
    </row>
    <row r="331" customFormat="false" ht="15" hidden="false" customHeight="false" outlineLevel="0" collapsed="false">
      <c r="B331" s="4" t="n">
        <v>46237348</v>
      </c>
      <c r="C331" s="4" t="s">
        <v>2407</v>
      </c>
      <c r="D331" s="4" t="s">
        <v>463</v>
      </c>
      <c r="E331" s="4" t="s">
        <v>81</v>
      </c>
      <c r="F331" s="127" t="n">
        <v>46475</v>
      </c>
      <c r="G331" s="127" t="n">
        <v>46486</v>
      </c>
      <c r="H331" s="127" t="n">
        <v>46289</v>
      </c>
      <c r="I331" s="4" t="n">
        <v>0</v>
      </c>
      <c r="J331" s="4" t="n">
        <v>0</v>
      </c>
      <c r="K331" s="4" t="n">
        <v>0</v>
      </c>
      <c r="M331" s="2" t="str">
        <f aca="false">IF(C331="","",IFERROR(INDEX($S$5:$S$304,MATCH(C331,$R$5:$R$304,0))&amp;"","?"))</f>
        <v>16</v>
      </c>
      <c r="N331" s="2" t="str">
        <f aca="false">IF(E331="","",IF(ISNUMBER(SEARCH("SUBSOLO",E331)),IFERROR(-VALUE(LEFT(E331,FIND("º",SUBSTITUTE(E331,"°","º"))-1)),-1),IF(LEFT(E331,6)="TÉRREO",0,IFERROR(VALUE(LEFT(E331,FIND("º",SUBSTITUTE(E331,"°","º"))-1)),""))))</f>
        <v/>
      </c>
      <c r="O331" s="2" t="str">
        <f aca="false">IF(OR(F331="",G331=""),"",IF(G331&lt;='RETRATO 2027'!$K$5,"CONCLUÍDA",IF(F331&lt;='RETRATO 2027'!$K$5,"EM ANDAMENTO","A INICIAR")))</f>
        <v>CONCLUÍDA</v>
      </c>
    </row>
    <row r="332" customFormat="false" ht="15" hidden="false" customHeight="false" outlineLevel="0" collapsed="false">
      <c r="B332" s="4" t="n">
        <v>29940951</v>
      </c>
      <c r="C332" s="4" t="s">
        <v>2341</v>
      </c>
      <c r="D332" s="4" t="s">
        <v>463</v>
      </c>
      <c r="E332" s="4" t="s">
        <v>2810</v>
      </c>
      <c r="F332" s="127" t="n">
        <v>46475</v>
      </c>
      <c r="G332" s="127" t="n">
        <v>46485</v>
      </c>
      <c r="H332" s="127" t="n">
        <v>46289</v>
      </c>
      <c r="I332" s="4" t="n">
        <v>0</v>
      </c>
      <c r="J332" s="4" t="n">
        <v>0</v>
      </c>
      <c r="K332" s="4" t="n">
        <v>0</v>
      </c>
      <c r="M332" s="2" t="str">
        <f aca="false">IF(C332="","",IFERROR(INDEX($S$5:$S$304,MATCH(C332,$R$5:$R$304,0))&amp;"","?"))</f>
        <v>17</v>
      </c>
      <c r="N332" s="2" t="n">
        <f aca="false">IF(E332="","",IF(ISNUMBER(SEARCH("SUBSOLO",E332)),IFERROR(-VALUE(LEFT(E332,FIND("º",SUBSTITUTE(E332,"°","º"))-1)),-1),IF(LEFT(E332,6)="TÉRREO",0,IFERROR(VALUE(LEFT(E332,FIND("º",SUBSTITUTE(E332,"°","º"))-1)),""))))</f>
        <v>11</v>
      </c>
      <c r="O332" s="2" t="str">
        <f aca="false">IF(OR(F332="",G332=""),"",IF(G332&lt;='RETRATO 2027'!$K$5,"CONCLUÍDA",IF(F332&lt;='RETRATO 2027'!$K$5,"EM ANDAMENTO","A INICIAR")))</f>
        <v>CONCLUÍDA</v>
      </c>
    </row>
    <row r="333" customFormat="false" ht="15" hidden="false" customHeight="false" outlineLevel="0" collapsed="false">
      <c r="B333" s="4" t="n">
        <v>31528988</v>
      </c>
      <c r="C333" s="4" t="s">
        <v>2341</v>
      </c>
      <c r="D333" s="4" t="s">
        <v>2312</v>
      </c>
      <c r="E333" s="4" t="s">
        <v>2810</v>
      </c>
      <c r="F333" s="127" t="n">
        <v>46475</v>
      </c>
      <c r="G333" s="127" t="n">
        <v>46479</v>
      </c>
      <c r="H333" s="127" t="n">
        <v>46289</v>
      </c>
      <c r="I333" s="4" t="n">
        <v>0</v>
      </c>
      <c r="J333" s="4" t="n">
        <v>0</v>
      </c>
      <c r="K333" s="4" t="n">
        <v>0</v>
      </c>
      <c r="M333" s="2" t="str">
        <f aca="false">IF(C333="","",IFERROR(INDEX($S$5:$S$304,MATCH(C333,$R$5:$R$304,0))&amp;"","?"))</f>
        <v>17</v>
      </c>
      <c r="N333" s="2" t="n">
        <f aca="false">IF(E333="","",IF(ISNUMBER(SEARCH("SUBSOLO",E333)),IFERROR(-VALUE(LEFT(E333,FIND("º",SUBSTITUTE(E333,"°","º"))-1)),-1),IF(LEFT(E333,6)="TÉRREO",0,IFERROR(VALUE(LEFT(E333,FIND("º",SUBSTITUTE(E333,"°","º"))-1)),""))))</f>
        <v>11</v>
      </c>
      <c r="O333" s="2" t="str">
        <f aca="false">IF(OR(F333="",G333=""),"",IF(G333&lt;='RETRATO 2027'!$K$5,"CONCLUÍDA",IF(F333&lt;='RETRATO 2027'!$K$5,"EM ANDAMENTO","A INICIAR")))</f>
        <v>CONCLUÍDA</v>
      </c>
    </row>
    <row r="334" customFormat="false" ht="15" hidden="false" customHeight="false" outlineLevel="0" collapsed="false">
      <c r="B334" s="4" t="n">
        <v>31528989</v>
      </c>
      <c r="C334" s="4" t="s">
        <v>2341</v>
      </c>
      <c r="D334" s="4" t="s">
        <v>2309</v>
      </c>
      <c r="E334" s="4" t="s">
        <v>2810</v>
      </c>
      <c r="F334" s="127" t="n">
        <v>46482</v>
      </c>
      <c r="G334" s="127" t="n">
        <v>46484</v>
      </c>
      <c r="H334" s="127" t="n">
        <v>46289</v>
      </c>
      <c r="I334" s="4" t="n">
        <v>0</v>
      </c>
      <c r="J334" s="4" t="n">
        <v>0</v>
      </c>
      <c r="K334" s="4" t="n">
        <v>0</v>
      </c>
      <c r="M334" s="2" t="str">
        <f aca="false">IF(C334="","",IFERROR(INDEX($S$5:$S$304,MATCH(C334,$R$5:$R$304,0))&amp;"","?"))</f>
        <v>17</v>
      </c>
      <c r="N334" s="2" t="n">
        <f aca="false">IF(E334="","",IF(ISNUMBER(SEARCH("SUBSOLO",E334)),IFERROR(-VALUE(LEFT(E334,FIND("º",SUBSTITUTE(E334,"°","º"))-1)),-1),IF(LEFT(E334,6)="TÉRREO",0,IFERROR(VALUE(LEFT(E334,FIND("º",SUBSTITUTE(E334,"°","º"))-1)),""))))</f>
        <v>11</v>
      </c>
      <c r="O334" s="2" t="str">
        <f aca="false">IF(OR(F334="",G334=""),"",IF(G334&lt;='RETRATO 2027'!$K$5,"CONCLUÍDA",IF(F334&lt;='RETRATO 2027'!$K$5,"EM ANDAMENTO","A INICIAR")))</f>
        <v>CONCLUÍDA</v>
      </c>
    </row>
    <row r="335" customFormat="false" ht="15" hidden="false" customHeight="false" outlineLevel="0" collapsed="false">
      <c r="B335" s="4" t="n">
        <v>31528990</v>
      </c>
      <c r="C335" s="4" t="s">
        <v>2341</v>
      </c>
      <c r="D335" s="4" t="s">
        <v>2314</v>
      </c>
      <c r="E335" s="4" t="s">
        <v>2810</v>
      </c>
      <c r="F335" s="127" t="n">
        <v>46485</v>
      </c>
      <c r="G335" s="127" t="n">
        <v>46485</v>
      </c>
      <c r="H335" s="127" t="n">
        <v>46289</v>
      </c>
      <c r="I335" s="4" t="n">
        <v>0</v>
      </c>
      <c r="J335" s="4" t="n">
        <v>0</v>
      </c>
      <c r="K335" s="4" t="n">
        <v>0</v>
      </c>
      <c r="M335" s="2" t="str">
        <f aca="false">IF(C335="","",IFERROR(INDEX($S$5:$S$304,MATCH(C335,$R$5:$R$304,0))&amp;"","?"))</f>
        <v>17</v>
      </c>
      <c r="N335" s="2" t="n">
        <f aca="false">IF(E335="","",IF(ISNUMBER(SEARCH("SUBSOLO",E335)),IFERROR(-VALUE(LEFT(E335,FIND("º",SUBSTITUTE(E335,"°","º"))-1)),-1),IF(LEFT(E335,6)="TÉRREO",0,IFERROR(VALUE(LEFT(E335,FIND("º",SUBSTITUTE(E335,"°","º"))-1)),""))))</f>
        <v>11</v>
      </c>
      <c r="O335" s="2" t="str">
        <f aca="false">IF(OR(F335="",G335=""),"",IF(G335&lt;='RETRATO 2027'!$K$5,"CONCLUÍDA",IF(F335&lt;='RETRATO 2027'!$K$5,"EM ANDAMENTO","A INICIAR")))</f>
        <v>CONCLUÍDA</v>
      </c>
    </row>
    <row r="336" customFormat="false" ht="15" hidden="false" customHeight="false" outlineLevel="0" collapsed="false">
      <c r="B336" s="4" t="n">
        <v>31528991</v>
      </c>
      <c r="C336" s="4" t="s">
        <v>2341</v>
      </c>
      <c r="D336" s="4" t="s">
        <v>2758</v>
      </c>
      <c r="E336" s="4" t="s">
        <v>2810</v>
      </c>
      <c r="F336" s="127" t="n">
        <v>46485</v>
      </c>
      <c r="G336" s="127" t="n">
        <v>46485</v>
      </c>
      <c r="H336" s="127" t="n">
        <v>46289</v>
      </c>
      <c r="I336" s="4" t="n">
        <v>0</v>
      </c>
      <c r="J336" s="4" t="n">
        <v>0</v>
      </c>
      <c r="K336" s="4" t="n">
        <v>0</v>
      </c>
      <c r="M336" s="2" t="str">
        <f aca="false">IF(C336="","",IFERROR(INDEX($S$5:$S$304,MATCH(C336,$R$5:$R$304,0))&amp;"","?"))</f>
        <v>17</v>
      </c>
      <c r="N336" s="2" t="n">
        <f aca="false">IF(E336="","",IF(ISNUMBER(SEARCH("SUBSOLO",E336)),IFERROR(-VALUE(LEFT(E336,FIND("º",SUBSTITUTE(E336,"°","º"))-1)),-1),IF(LEFT(E336,6)="TÉRREO",0,IFERROR(VALUE(LEFT(E336,FIND("º",SUBSTITUTE(E336,"°","º"))-1)),""))))</f>
        <v>11</v>
      </c>
      <c r="O336" s="2" t="str">
        <f aca="false">IF(OR(F336="",G336=""),"",IF(G336&lt;='RETRATO 2027'!$K$5,"CONCLUÍDA",IF(F336&lt;='RETRATO 2027'!$K$5,"EM ANDAMENTO","A INICIAR")))</f>
        <v>CONCLUÍDA</v>
      </c>
    </row>
    <row r="337" customFormat="false" ht="15" hidden="false" customHeight="false" outlineLevel="0" collapsed="false">
      <c r="B337" s="4" t="n">
        <v>39887264</v>
      </c>
      <c r="C337" s="4" t="s">
        <v>2393</v>
      </c>
      <c r="D337" s="4" t="s">
        <v>463</v>
      </c>
      <c r="E337" s="4" t="s">
        <v>2801</v>
      </c>
      <c r="F337" s="127" t="n">
        <v>46476</v>
      </c>
      <c r="G337" s="127" t="n">
        <v>46491</v>
      </c>
      <c r="H337" s="127" t="n">
        <v>46289</v>
      </c>
      <c r="I337" s="4" t="n">
        <v>0</v>
      </c>
      <c r="J337" s="4" t="n">
        <v>0</v>
      </c>
      <c r="K337" s="4" t="n">
        <v>0</v>
      </c>
      <c r="M337" s="2" t="str">
        <f aca="false">IF(C337="","",IFERROR(INDEX($S$5:$S$304,MATCH(C337,$R$5:$R$304,0))&amp;"","?"))</f>
        <v>17</v>
      </c>
      <c r="N337" s="2" t="n">
        <f aca="false">IF(E337="","",IF(ISNUMBER(SEARCH("SUBSOLO",E337)),IFERROR(-VALUE(LEFT(E337,FIND("º",SUBSTITUTE(E337,"°","º"))-1)),-1),IF(LEFT(E337,6)="TÉRREO",0,IFERROR(VALUE(LEFT(E337,FIND("º",SUBSTITUTE(E337,"°","º"))-1)),""))))</f>
        <v>5</v>
      </c>
      <c r="O337" s="2" t="str">
        <f aca="false">IF(OR(F337="",G337=""),"",IF(G337&lt;='RETRATO 2027'!$K$5,"CONCLUÍDA",IF(F337&lt;='RETRATO 2027'!$K$5,"EM ANDAMENTO","A INICIAR")))</f>
        <v>CONCLUÍDA</v>
      </c>
    </row>
    <row r="338" customFormat="false" ht="15" hidden="false" customHeight="false" outlineLevel="0" collapsed="false">
      <c r="B338" s="4" t="n">
        <v>29981555</v>
      </c>
      <c r="C338" s="4" t="s">
        <v>2410</v>
      </c>
      <c r="D338" s="4" t="s">
        <v>463</v>
      </c>
      <c r="E338" s="4" t="s">
        <v>2803</v>
      </c>
      <c r="F338" s="127" t="n">
        <v>46476</v>
      </c>
      <c r="G338" s="127" t="n">
        <v>46486</v>
      </c>
      <c r="H338" s="127" t="n">
        <v>46289</v>
      </c>
      <c r="I338" s="4" t="n">
        <v>0</v>
      </c>
      <c r="J338" s="4" t="n">
        <v>0</v>
      </c>
      <c r="K338" s="4" t="n">
        <v>0</v>
      </c>
      <c r="M338" s="2" t="str">
        <f aca="false">IF(C338="","",IFERROR(INDEX($S$5:$S$304,MATCH(C338,$R$5:$R$304,0))&amp;"","?"))</f>
        <v>22</v>
      </c>
      <c r="N338" s="2" t="n">
        <f aca="false">IF(E338="","",IF(ISNUMBER(SEARCH("SUBSOLO",E338)),IFERROR(-VALUE(LEFT(E338,FIND("º",SUBSTITUTE(E338,"°","º"))-1)),-1),IF(LEFT(E338,6)="TÉRREO",0,IFERROR(VALUE(LEFT(E338,FIND("º",SUBSTITUTE(E338,"°","º"))-1)),""))))</f>
        <v>7</v>
      </c>
      <c r="O338" s="2" t="str">
        <f aca="false">IF(OR(F338="",G338=""),"",IF(G338&lt;='RETRATO 2027'!$K$5,"CONCLUÍDA",IF(F338&lt;='RETRATO 2027'!$K$5,"EM ANDAMENTO","A INICIAR")))</f>
        <v>CONCLUÍDA</v>
      </c>
    </row>
    <row r="339" customFormat="false" ht="15" hidden="false" customHeight="false" outlineLevel="0" collapsed="false">
      <c r="B339" s="4" t="n">
        <v>29981506</v>
      </c>
      <c r="C339" s="4" t="s">
        <v>168</v>
      </c>
      <c r="D339" s="4" t="s">
        <v>463</v>
      </c>
      <c r="E339" s="4" t="s">
        <v>2804</v>
      </c>
      <c r="F339" s="127" t="n">
        <v>46476</v>
      </c>
      <c r="G339" s="127" t="n">
        <v>46486</v>
      </c>
      <c r="H339" s="127" t="n">
        <v>46289</v>
      </c>
      <c r="I339" s="4" t="n">
        <v>0</v>
      </c>
      <c r="J339" s="4" t="n">
        <v>0</v>
      </c>
      <c r="K339" s="4" t="n">
        <v>0</v>
      </c>
      <c r="M339" s="2" t="str">
        <f aca="false">IF(C339="","",IFERROR(INDEX($S$5:$S$304,MATCH(C339,$R$5:$R$304,0))&amp;"","?"))</f>
        <v>18</v>
      </c>
      <c r="N339" s="2" t="n">
        <f aca="false">IF(E339="","",IF(ISNUMBER(SEARCH("SUBSOLO",E339)),IFERROR(-VALUE(LEFT(E339,FIND("º",SUBSTITUTE(E339,"°","º"))-1)),-1),IF(LEFT(E339,6)="TÉRREO",0,IFERROR(VALUE(LEFT(E339,FIND("º",SUBSTITUTE(E339,"°","º"))-1)),""))))</f>
        <v>8</v>
      </c>
      <c r="O339" s="2" t="str">
        <f aca="false">IF(OR(F339="",G339=""),"",IF(G339&lt;='RETRATO 2027'!$K$5,"CONCLUÍDA",IF(F339&lt;='RETRATO 2027'!$K$5,"EM ANDAMENTO","A INICIAR")))</f>
        <v>CONCLUÍDA</v>
      </c>
    </row>
    <row r="340" customFormat="false" ht="15" hidden="false" customHeight="false" outlineLevel="0" collapsed="false">
      <c r="B340" s="4" t="n">
        <v>29981545</v>
      </c>
      <c r="C340" s="4" t="s">
        <v>2413</v>
      </c>
      <c r="D340" s="4" t="s">
        <v>463</v>
      </c>
      <c r="E340" s="4" t="s">
        <v>2803</v>
      </c>
      <c r="F340" s="127" t="n">
        <v>46482</v>
      </c>
      <c r="G340" s="127" t="n">
        <v>46492</v>
      </c>
      <c r="H340" s="127" t="n">
        <v>46289</v>
      </c>
      <c r="I340" s="4" t="n">
        <v>0</v>
      </c>
      <c r="J340" s="4" t="n">
        <v>0</v>
      </c>
      <c r="K340" s="4" t="n">
        <v>0</v>
      </c>
      <c r="M340" s="2" t="str">
        <f aca="false">IF(C340="","",IFERROR(INDEX($S$5:$S$304,MATCH(C340,$R$5:$R$304,0))&amp;"","?"))</f>
        <v>21</v>
      </c>
      <c r="N340" s="2" t="n">
        <f aca="false">IF(E340="","",IF(ISNUMBER(SEARCH("SUBSOLO",E340)),IFERROR(-VALUE(LEFT(E340,FIND("º",SUBSTITUTE(E340,"°","º"))-1)),-1),IF(LEFT(E340,6)="TÉRREO",0,IFERROR(VALUE(LEFT(E340,FIND("º",SUBSTITUTE(E340,"°","º"))-1)),""))))</f>
        <v>7</v>
      </c>
      <c r="O340" s="2" t="str">
        <f aca="false">IF(OR(F340="",G340=""),"",IF(G340&lt;='RETRATO 2027'!$K$5,"CONCLUÍDA",IF(F340&lt;='RETRATO 2027'!$K$5,"EM ANDAMENTO","A INICIAR")))</f>
        <v>CONCLUÍDA</v>
      </c>
    </row>
    <row r="341" customFormat="false" ht="15" hidden="false" customHeight="false" outlineLevel="0" collapsed="false">
      <c r="B341" s="4" t="n">
        <v>29981544</v>
      </c>
      <c r="C341" s="4" t="s">
        <v>2416</v>
      </c>
      <c r="D341" s="4" t="s">
        <v>463</v>
      </c>
      <c r="E341" s="4" t="s">
        <v>2803</v>
      </c>
      <c r="F341" s="127" t="n">
        <v>46484</v>
      </c>
      <c r="G341" s="127" t="n">
        <v>46496</v>
      </c>
      <c r="H341" s="127" t="n">
        <v>46289</v>
      </c>
      <c r="I341" s="4" t="n">
        <v>0</v>
      </c>
      <c r="J341" s="4" t="n">
        <v>0</v>
      </c>
      <c r="K341" s="4" t="n">
        <v>0</v>
      </c>
      <c r="M341" s="2" t="str">
        <f aca="false">IF(C341="","",IFERROR(INDEX($S$5:$S$304,MATCH(C341,$R$5:$R$304,0))&amp;"","?"))</f>
        <v>18</v>
      </c>
      <c r="N341" s="2" t="n">
        <f aca="false">IF(E341="","",IF(ISNUMBER(SEARCH("SUBSOLO",E341)),IFERROR(-VALUE(LEFT(E341,FIND("º",SUBSTITUTE(E341,"°","º"))-1)),-1),IF(LEFT(E341,6)="TÉRREO",0,IFERROR(VALUE(LEFT(E341,FIND("º",SUBSTITUTE(E341,"°","º"))-1)),""))))</f>
        <v>7</v>
      </c>
      <c r="O341" s="2" t="str">
        <f aca="false">IF(OR(F341="",G341=""),"",IF(G341&lt;='RETRATO 2027'!$K$5,"CONCLUÍDA",IF(F341&lt;='RETRATO 2027'!$K$5,"EM ANDAMENTO","A INICIAR")))</f>
        <v>CONCLUÍDA</v>
      </c>
    </row>
    <row r="342" customFormat="false" ht="15" hidden="false" customHeight="false" outlineLevel="0" collapsed="false">
      <c r="B342" s="4" t="n">
        <v>35594323</v>
      </c>
      <c r="C342" s="4" t="s">
        <v>2419</v>
      </c>
      <c r="D342" s="4" t="s">
        <v>463</v>
      </c>
      <c r="E342" s="4" t="s">
        <v>81</v>
      </c>
      <c r="F342" s="127" t="n">
        <v>46486</v>
      </c>
      <c r="G342" s="127" t="n">
        <v>46518</v>
      </c>
      <c r="H342" s="127" t="n">
        <v>46289</v>
      </c>
      <c r="I342" s="4" t="n">
        <v>0</v>
      </c>
      <c r="J342" s="4" t="n">
        <v>0</v>
      </c>
      <c r="K342" s="4" t="n">
        <v>0</v>
      </c>
      <c r="M342" s="2" t="str">
        <f aca="false">IF(C342="","",IFERROR(INDEX($S$5:$S$304,MATCH(C342,$R$5:$R$304,0))&amp;"","?"))</f>
        <v>18</v>
      </c>
      <c r="N342" s="2" t="str">
        <f aca="false">IF(E342="","",IF(ISNUMBER(SEARCH("SUBSOLO",E342)),IFERROR(-VALUE(LEFT(E342,FIND("º",SUBSTITUTE(E342,"°","º"))-1)),-1),IF(LEFT(E342,6)="TÉRREO",0,IFERROR(VALUE(LEFT(E342,FIND("º",SUBSTITUTE(E342,"°","º"))-1)),""))))</f>
        <v/>
      </c>
      <c r="O342" s="2" t="str">
        <f aca="false">IF(OR(F342="",G342=""),"",IF(G342&lt;='RETRATO 2027'!$K$5,"CONCLUÍDA",IF(F342&lt;='RETRATO 2027'!$K$5,"EM ANDAMENTO","A INICIAR")))</f>
        <v>CONCLUÍDA</v>
      </c>
    </row>
    <row r="343" customFormat="false" ht="15" hidden="false" customHeight="false" outlineLevel="0" collapsed="false">
      <c r="B343" s="4" t="n">
        <v>30171481</v>
      </c>
      <c r="C343" s="4" t="s">
        <v>168</v>
      </c>
      <c r="D343" s="4" t="s">
        <v>463</v>
      </c>
      <c r="E343" s="4" t="s">
        <v>2784</v>
      </c>
      <c r="F343" s="127" t="n">
        <v>46486</v>
      </c>
      <c r="G343" s="127" t="n">
        <v>46549</v>
      </c>
      <c r="H343" s="127" t="n">
        <v>46289</v>
      </c>
      <c r="I343" s="4" t="n">
        <v>0</v>
      </c>
      <c r="J343" s="4" t="n">
        <v>0</v>
      </c>
      <c r="K343" s="4" t="n">
        <v>0</v>
      </c>
      <c r="M343" s="2" t="str">
        <f aca="false">IF(C343="","",IFERROR(INDEX($S$5:$S$304,MATCH(C343,$R$5:$R$304,0))&amp;"","?"))</f>
        <v>18</v>
      </c>
      <c r="N343" s="2" t="n">
        <f aca="false">IF(E343="","",IF(ISNUMBER(SEARCH("SUBSOLO",E343)),IFERROR(-VALUE(LEFT(E343,FIND("º",SUBSTITUTE(E343,"°","º"))-1)),-1),IF(LEFT(E343,6)="TÉRREO",0,IFERROR(VALUE(LEFT(E343,FIND("º",SUBSTITUTE(E343,"°","º"))-1)),""))))</f>
        <v>2</v>
      </c>
      <c r="O343" s="2" t="str">
        <f aca="false">IF(OR(F343="",G343=""),"",IF(G343&lt;='RETRATO 2027'!$K$5,"CONCLUÍDA",IF(F343&lt;='RETRATO 2027'!$K$5,"EM ANDAMENTO","A INICIAR")))</f>
        <v>CONCLUÍDA</v>
      </c>
    </row>
    <row r="344" customFormat="false" ht="15" hidden="false" customHeight="false" outlineLevel="0" collapsed="false">
      <c r="B344" s="4" t="n">
        <v>30171465</v>
      </c>
      <c r="C344" s="4" t="s">
        <v>2396</v>
      </c>
      <c r="D344" s="4" t="s">
        <v>463</v>
      </c>
      <c r="E344" s="4" t="s">
        <v>2790</v>
      </c>
      <c r="F344" s="127" t="n">
        <v>46486</v>
      </c>
      <c r="G344" s="127" t="n">
        <v>46549</v>
      </c>
      <c r="H344" s="127" t="n">
        <v>46289</v>
      </c>
      <c r="I344" s="4" t="n">
        <v>0</v>
      </c>
      <c r="J344" s="4" t="n">
        <v>0</v>
      </c>
      <c r="K344" s="4" t="n">
        <v>0</v>
      </c>
      <c r="M344" s="2" t="str">
        <f aca="false">IF(C344="","",IFERROR(INDEX($S$5:$S$304,MATCH(C344,$R$5:$R$304,0))&amp;"","?"))</f>
        <v>20</v>
      </c>
      <c r="N344" s="2" t="n">
        <f aca="false">IF(E344="","",IF(ISNUMBER(SEARCH("SUBSOLO",E344)),IFERROR(-VALUE(LEFT(E344,FIND("º",SUBSTITUTE(E344,"°","º"))-1)),-1),IF(LEFT(E344,6)="TÉRREO",0,IFERROR(VALUE(LEFT(E344,FIND("º",SUBSTITUTE(E344,"°","º"))-1)),""))))</f>
        <v>3</v>
      </c>
      <c r="O344" s="2" t="str">
        <f aca="false">IF(OR(F344="",G344=""),"",IF(G344&lt;='RETRATO 2027'!$K$5,"CONCLUÍDA",IF(F344&lt;='RETRATO 2027'!$K$5,"EM ANDAMENTO","A INICIAR")))</f>
        <v>CONCLUÍDA</v>
      </c>
    </row>
    <row r="345" customFormat="false" ht="15" hidden="false" customHeight="false" outlineLevel="0" collapsed="false">
      <c r="B345" s="4" t="n">
        <v>30171408</v>
      </c>
      <c r="C345" s="4" t="s">
        <v>2382</v>
      </c>
      <c r="D345" s="4" t="s">
        <v>463</v>
      </c>
      <c r="E345" s="4" t="s">
        <v>2801</v>
      </c>
      <c r="F345" s="127" t="n">
        <v>46486</v>
      </c>
      <c r="G345" s="127" t="n">
        <v>46517</v>
      </c>
      <c r="H345" s="127" t="n">
        <v>46289</v>
      </c>
      <c r="I345" s="4" t="n">
        <v>0</v>
      </c>
      <c r="J345" s="4" t="n">
        <v>0</v>
      </c>
      <c r="K345" s="4" t="n">
        <v>0</v>
      </c>
      <c r="M345" s="2" t="str">
        <f aca="false">IF(C345="","",IFERROR(INDEX($S$5:$S$304,MATCH(C345,$R$5:$R$304,0))&amp;"","?"))</f>
        <v>35</v>
      </c>
      <c r="N345" s="2" t="n">
        <f aca="false">IF(E345="","",IF(ISNUMBER(SEARCH("SUBSOLO",E345)),IFERROR(-VALUE(LEFT(E345,FIND("º",SUBSTITUTE(E345,"°","º"))-1)),-1),IF(LEFT(E345,6)="TÉRREO",0,IFERROR(VALUE(LEFT(E345,FIND("º",SUBSTITUTE(E345,"°","º"))-1)),""))))</f>
        <v>5</v>
      </c>
      <c r="O345" s="2" t="str">
        <f aca="false">IF(OR(F345="",G345=""),"",IF(G345&lt;='RETRATO 2027'!$K$5,"CONCLUÍDA",IF(F345&lt;='RETRATO 2027'!$K$5,"EM ANDAMENTO","A INICIAR")))</f>
        <v>CONCLUÍDA</v>
      </c>
    </row>
    <row r="346" customFormat="false" ht="15" hidden="false" customHeight="false" outlineLevel="0" collapsed="false">
      <c r="B346" s="4" t="n">
        <v>29940952</v>
      </c>
      <c r="C346" s="4" t="s">
        <v>2341</v>
      </c>
      <c r="D346" s="4" t="s">
        <v>463</v>
      </c>
      <c r="E346" s="4" t="s">
        <v>2811</v>
      </c>
      <c r="F346" s="127" t="n">
        <v>46486</v>
      </c>
      <c r="G346" s="127" t="n">
        <v>46497</v>
      </c>
      <c r="H346" s="127" t="n">
        <v>46289</v>
      </c>
      <c r="I346" s="4" t="n">
        <v>0</v>
      </c>
      <c r="J346" s="4" t="n">
        <v>0</v>
      </c>
      <c r="K346" s="4" t="n">
        <v>0</v>
      </c>
      <c r="M346" s="2" t="str">
        <f aca="false">IF(C346="","",IFERROR(INDEX($S$5:$S$304,MATCH(C346,$R$5:$R$304,0))&amp;"","?"))</f>
        <v>17</v>
      </c>
      <c r="N346" s="2" t="n">
        <f aca="false">IF(E346="","",IF(ISNUMBER(SEARCH("SUBSOLO",E346)),IFERROR(-VALUE(LEFT(E346,FIND("º",SUBSTITUTE(E346,"°","º"))-1)),-1),IF(LEFT(E346,6)="TÉRREO",0,IFERROR(VALUE(LEFT(E346,FIND("º",SUBSTITUTE(E346,"°","º"))-1)),""))))</f>
        <v>12</v>
      </c>
      <c r="O346" s="2" t="str">
        <f aca="false">IF(OR(F346="",G346=""),"",IF(G346&lt;='RETRATO 2027'!$K$5,"CONCLUÍDA",IF(F346&lt;='RETRATO 2027'!$K$5,"EM ANDAMENTO","A INICIAR")))</f>
        <v>CONCLUÍDA</v>
      </c>
    </row>
    <row r="347" customFormat="false" ht="15" hidden="false" customHeight="false" outlineLevel="0" collapsed="false">
      <c r="B347" s="4" t="n">
        <v>31528996</v>
      </c>
      <c r="C347" s="4" t="s">
        <v>2341</v>
      </c>
      <c r="D347" s="4" t="s">
        <v>2312</v>
      </c>
      <c r="E347" s="4" t="s">
        <v>2811</v>
      </c>
      <c r="F347" s="127" t="n">
        <v>46486</v>
      </c>
      <c r="G347" s="127" t="n">
        <v>46491</v>
      </c>
      <c r="H347" s="127" t="n">
        <v>46289</v>
      </c>
      <c r="I347" s="4" t="n">
        <v>0</v>
      </c>
      <c r="J347" s="4" t="n">
        <v>0</v>
      </c>
      <c r="K347" s="4" t="n">
        <v>0</v>
      </c>
      <c r="M347" s="2" t="str">
        <f aca="false">IF(C347="","",IFERROR(INDEX($S$5:$S$304,MATCH(C347,$R$5:$R$304,0))&amp;"","?"))</f>
        <v>17</v>
      </c>
      <c r="N347" s="2" t="n">
        <f aca="false">IF(E347="","",IF(ISNUMBER(SEARCH("SUBSOLO",E347)),IFERROR(-VALUE(LEFT(E347,FIND("º",SUBSTITUTE(E347,"°","º"))-1)),-1),IF(LEFT(E347,6)="TÉRREO",0,IFERROR(VALUE(LEFT(E347,FIND("º",SUBSTITUTE(E347,"°","º"))-1)),""))))</f>
        <v>12</v>
      </c>
      <c r="O347" s="2" t="str">
        <f aca="false">IF(OR(F347="",G347=""),"",IF(G347&lt;='RETRATO 2027'!$K$5,"CONCLUÍDA",IF(F347&lt;='RETRATO 2027'!$K$5,"EM ANDAMENTO","A INICIAR")))</f>
        <v>CONCLUÍDA</v>
      </c>
    </row>
    <row r="348" customFormat="false" ht="15" hidden="false" customHeight="false" outlineLevel="0" collapsed="false">
      <c r="B348" s="4" t="n">
        <v>31528997</v>
      </c>
      <c r="C348" s="4" t="s">
        <v>2341</v>
      </c>
      <c r="D348" s="4" t="s">
        <v>2309</v>
      </c>
      <c r="E348" s="4" t="s">
        <v>2811</v>
      </c>
      <c r="F348" s="127" t="n">
        <v>46492</v>
      </c>
      <c r="G348" s="127" t="n">
        <v>46496</v>
      </c>
      <c r="H348" s="127" t="n">
        <v>46289</v>
      </c>
      <c r="I348" s="4" t="n">
        <v>0</v>
      </c>
      <c r="J348" s="4" t="n">
        <v>0</v>
      </c>
      <c r="K348" s="4" t="n">
        <v>0</v>
      </c>
      <c r="M348" s="2" t="str">
        <f aca="false">IF(C348="","",IFERROR(INDEX($S$5:$S$304,MATCH(C348,$R$5:$R$304,0))&amp;"","?"))</f>
        <v>17</v>
      </c>
      <c r="N348" s="2" t="n">
        <f aca="false">IF(E348="","",IF(ISNUMBER(SEARCH("SUBSOLO",E348)),IFERROR(-VALUE(LEFT(E348,FIND("º",SUBSTITUTE(E348,"°","º"))-1)),-1),IF(LEFT(E348,6)="TÉRREO",0,IFERROR(VALUE(LEFT(E348,FIND("º",SUBSTITUTE(E348,"°","º"))-1)),""))))</f>
        <v>12</v>
      </c>
      <c r="O348" s="2" t="str">
        <f aca="false">IF(OR(F348="",G348=""),"",IF(G348&lt;='RETRATO 2027'!$K$5,"CONCLUÍDA",IF(F348&lt;='RETRATO 2027'!$K$5,"EM ANDAMENTO","A INICIAR")))</f>
        <v>CONCLUÍDA</v>
      </c>
    </row>
    <row r="349" customFormat="false" ht="15" hidden="false" customHeight="false" outlineLevel="0" collapsed="false">
      <c r="B349" s="4" t="n">
        <v>31528998</v>
      </c>
      <c r="C349" s="4" t="s">
        <v>2341</v>
      </c>
      <c r="D349" s="4" t="s">
        <v>2314</v>
      </c>
      <c r="E349" s="4" t="s">
        <v>2811</v>
      </c>
      <c r="F349" s="127" t="n">
        <v>46497</v>
      </c>
      <c r="G349" s="127" t="n">
        <v>46497</v>
      </c>
      <c r="H349" s="127" t="n">
        <v>46289</v>
      </c>
      <c r="I349" s="4" t="n">
        <v>0</v>
      </c>
      <c r="J349" s="4" t="n">
        <v>0</v>
      </c>
      <c r="K349" s="4" t="n">
        <v>0</v>
      </c>
      <c r="M349" s="2" t="str">
        <f aca="false">IF(C349="","",IFERROR(INDEX($S$5:$S$304,MATCH(C349,$R$5:$R$304,0))&amp;"","?"))</f>
        <v>17</v>
      </c>
      <c r="N349" s="2" t="n">
        <f aca="false">IF(E349="","",IF(ISNUMBER(SEARCH("SUBSOLO",E349)),IFERROR(-VALUE(LEFT(E349,FIND("º",SUBSTITUTE(E349,"°","º"))-1)),-1),IF(LEFT(E349,6)="TÉRREO",0,IFERROR(VALUE(LEFT(E349,FIND("º",SUBSTITUTE(E349,"°","º"))-1)),""))))</f>
        <v>12</v>
      </c>
      <c r="O349" s="2" t="str">
        <f aca="false">IF(OR(F349="",G349=""),"",IF(G349&lt;='RETRATO 2027'!$K$5,"CONCLUÍDA",IF(F349&lt;='RETRATO 2027'!$K$5,"EM ANDAMENTO","A INICIAR")))</f>
        <v>CONCLUÍDA</v>
      </c>
    </row>
    <row r="350" customFormat="false" ht="15" hidden="false" customHeight="false" outlineLevel="0" collapsed="false">
      <c r="B350" s="4" t="n">
        <v>31528999</v>
      </c>
      <c r="C350" s="4" t="s">
        <v>2341</v>
      </c>
      <c r="D350" s="4" t="s">
        <v>2758</v>
      </c>
      <c r="E350" s="4" t="s">
        <v>2811</v>
      </c>
      <c r="F350" s="127" t="n">
        <v>46497</v>
      </c>
      <c r="G350" s="127" t="n">
        <v>46497</v>
      </c>
      <c r="H350" s="127" t="n">
        <v>46289</v>
      </c>
      <c r="I350" s="4" t="n">
        <v>0</v>
      </c>
      <c r="J350" s="4" t="n">
        <v>0</v>
      </c>
      <c r="K350" s="4" t="n">
        <v>0</v>
      </c>
      <c r="M350" s="2" t="str">
        <f aca="false">IF(C350="","",IFERROR(INDEX($S$5:$S$304,MATCH(C350,$R$5:$R$304,0))&amp;"","?"))</f>
        <v>17</v>
      </c>
      <c r="N350" s="2" t="n">
        <f aca="false">IF(E350="","",IF(ISNUMBER(SEARCH("SUBSOLO",E350)),IFERROR(-VALUE(LEFT(E350,FIND("º",SUBSTITUTE(E350,"°","º"))-1)),-1),IF(LEFT(E350,6)="TÉRREO",0,IFERROR(VALUE(LEFT(E350,FIND("º",SUBSTITUTE(E350,"°","º"))-1)),""))))</f>
        <v>12</v>
      </c>
      <c r="O350" s="2" t="str">
        <f aca="false">IF(OR(F350="",G350=""),"",IF(G350&lt;='RETRATO 2027'!$K$5,"CONCLUÍDA",IF(F350&lt;='RETRATO 2027'!$K$5,"EM ANDAMENTO","A INICIAR")))</f>
        <v>CONCLUÍDA</v>
      </c>
    </row>
    <row r="351" customFormat="false" ht="15" hidden="false" customHeight="false" outlineLevel="0" collapsed="false">
      <c r="B351" s="4" t="n">
        <v>29981518</v>
      </c>
      <c r="C351" s="4" t="s">
        <v>2410</v>
      </c>
      <c r="D351" s="4" t="s">
        <v>463</v>
      </c>
      <c r="E351" s="4" t="s">
        <v>2804</v>
      </c>
      <c r="F351" s="127" t="n">
        <v>46489</v>
      </c>
      <c r="G351" s="127" t="n">
        <v>46500</v>
      </c>
      <c r="H351" s="127" t="n">
        <v>46289</v>
      </c>
      <c r="I351" s="4" t="n">
        <v>0</v>
      </c>
      <c r="J351" s="4" t="n">
        <v>0</v>
      </c>
      <c r="K351" s="4" t="n">
        <v>0</v>
      </c>
      <c r="M351" s="2" t="str">
        <f aca="false">IF(C351="","",IFERROR(INDEX($S$5:$S$304,MATCH(C351,$R$5:$R$304,0))&amp;"","?"))</f>
        <v>22</v>
      </c>
      <c r="N351" s="2" t="n">
        <f aca="false">IF(E351="","",IF(ISNUMBER(SEARCH("SUBSOLO",E351)),IFERROR(-VALUE(LEFT(E351,FIND("º",SUBSTITUTE(E351,"°","º"))-1)),-1),IF(LEFT(E351,6)="TÉRREO",0,IFERROR(VALUE(LEFT(E351,FIND("º",SUBSTITUTE(E351,"°","º"))-1)),""))))</f>
        <v>8</v>
      </c>
      <c r="O351" s="2" t="str">
        <f aca="false">IF(OR(F351="",G351=""),"",IF(G351&lt;='RETRATO 2027'!$K$5,"CONCLUÍDA",IF(F351&lt;='RETRATO 2027'!$K$5,"EM ANDAMENTO","A INICIAR")))</f>
        <v>CONCLUÍDA</v>
      </c>
    </row>
    <row r="352" customFormat="false" ht="15" hidden="false" customHeight="false" outlineLevel="0" collapsed="false">
      <c r="B352" s="4" t="n">
        <v>29981469</v>
      </c>
      <c r="C352" s="4" t="s">
        <v>168</v>
      </c>
      <c r="D352" s="4" t="s">
        <v>463</v>
      </c>
      <c r="E352" s="4" t="s">
        <v>2805</v>
      </c>
      <c r="F352" s="127" t="n">
        <v>46489</v>
      </c>
      <c r="G352" s="127" t="n">
        <v>46500</v>
      </c>
      <c r="H352" s="127" t="n">
        <v>46289</v>
      </c>
      <c r="I352" s="4" t="n">
        <v>0</v>
      </c>
      <c r="J352" s="4" t="n">
        <v>0</v>
      </c>
      <c r="K352" s="4" t="n">
        <v>0</v>
      </c>
      <c r="M352" s="2" t="str">
        <f aca="false">IF(C352="","",IFERROR(INDEX($S$5:$S$304,MATCH(C352,$R$5:$R$304,0))&amp;"","?"))</f>
        <v>18</v>
      </c>
      <c r="N352" s="2" t="n">
        <f aca="false">IF(E352="","",IF(ISNUMBER(SEARCH("SUBSOLO",E352)),IFERROR(-VALUE(LEFT(E352,FIND("º",SUBSTITUTE(E352,"°","º"))-1)),-1),IF(LEFT(E352,6)="TÉRREO",0,IFERROR(VALUE(LEFT(E352,FIND("º",SUBSTITUTE(E352,"°","º"))-1)),""))))</f>
        <v>9</v>
      </c>
      <c r="O352" s="2" t="str">
        <f aca="false">IF(OR(F352="",G352=""),"",IF(G352&lt;='RETRATO 2027'!$K$5,"CONCLUÍDA",IF(F352&lt;='RETRATO 2027'!$K$5,"EM ANDAMENTO","A INICIAR")))</f>
        <v>CONCLUÍDA</v>
      </c>
    </row>
    <row r="353" customFormat="false" ht="15" hidden="false" customHeight="false" outlineLevel="0" collapsed="false">
      <c r="B353" s="4" t="n">
        <v>39887265</v>
      </c>
      <c r="C353" s="4" t="s">
        <v>2393</v>
      </c>
      <c r="D353" s="4" t="s">
        <v>463</v>
      </c>
      <c r="E353" s="4" t="s">
        <v>2802</v>
      </c>
      <c r="F353" s="127" t="n">
        <v>46492</v>
      </c>
      <c r="G353" s="127" t="n">
        <v>46510</v>
      </c>
      <c r="H353" s="127" t="n">
        <v>46289</v>
      </c>
      <c r="I353" s="4" t="n">
        <v>0</v>
      </c>
      <c r="J353" s="4" t="n">
        <v>0</v>
      </c>
      <c r="K353" s="4" t="n">
        <v>0</v>
      </c>
      <c r="M353" s="2" t="str">
        <f aca="false">IF(C353="","",IFERROR(INDEX($S$5:$S$304,MATCH(C353,$R$5:$R$304,0))&amp;"","?"))</f>
        <v>17</v>
      </c>
      <c r="N353" s="2" t="n">
        <f aca="false">IF(E353="","",IF(ISNUMBER(SEARCH("SUBSOLO",E353)),IFERROR(-VALUE(LEFT(E353,FIND("º",SUBSTITUTE(E353,"°","º"))-1)),-1),IF(LEFT(E353,6)="TÉRREO",0,IFERROR(VALUE(LEFT(E353,FIND("º",SUBSTITUTE(E353,"°","º"))-1)),""))))</f>
        <v>6</v>
      </c>
      <c r="O353" s="2" t="str">
        <f aca="false">IF(OR(F353="",G353=""),"",IF(G353&lt;='RETRATO 2027'!$K$5,"CONCLUÍDA",IF(F353&lt;='RETRATO 2027'!$K$5,"EM ANDAMENTO","A INICIAR")))</f>
        <v>CONCLUÍDA</v>
      </c>
    </row>
    <row r="354" customFormat="false" ht="15" hidden="false" customHeight="false" outlineLevel="0" collapsed="false">
      <c r="B354" s="4" t="n">
        <v>29981542</v>
      </c>
      <c r="C354" s="4" t="s">
        <v>2422</v>
      </c>
      <c r="D354" s="4" t="s">
        <v>463</v>
      </c>
      <c r="E354" s="4" t="s">
        <v>2803</v>
      </c>
      <c r="F354" s="127" t="n">
        <v>46493</v>
      </c>
      <c r="G354" s="127" t="n">
        <v>46506</v>
      </c>
      <c r="H354" s="127" t="n">
        <v>46289</v>
      </c>
      <c r="I354" s="4" t="n">
        <v>0</v>
      </c>
      <c r="J354" s="4" t="n">
        <v>0</v>
      </c>
      <c r="K354" s="4" t="n">
        <v>0</v>
      </c>
      <c r="M354" s="2" t="str">
        <f aca="false">IF(C354="","",IFERROR(INDEX($S$5:$S$304,MATCH(C354,$R$5:$R$304,0))&amp;"","?"))</f>
        <v>29</v>
      </c>
      <c r="N354" s="2" t="n">
        <f aca="false">IF(E354="","",IF(ISNUMBER(SEARCH("SUBSOLO",E354)),IFERROR(-VALUE(LEFT(E354,FIND("º",SUBSTITUTE(E354,"°","º"))-1)),-1),IF(LEFT(E354,6)="TÉRREO",0,IFERROR(VALUE(LEFT(E354,FIND("º",SUBSTITUTE(E354,"°","º"))-1)),""))))</f>
        <v>7</v>
      </c>
      <c r="O354" s="2" t="str">
        <f aca="false">IF(OR(F354="",G354=""),"",IF(G354&lt;='RETRATO 2027'!$K$5,"CONCLUÍDA",IF(F354&lt;='RETRATO 2027'!$K$5,"EM ANDAMENTO","A INICIAR")))</f>
        <v>CONCLUÍDA</v>
      </c>
    </row>
    <row r="355" customFormat="false" ht="15" hidden="false" customHeight="false" outlineLevel="0" collapsed="false">
      <c r="B355" s="4" t="n">
        <v>29981508</v>
      </c>
      <c r="C355" s="4" t="s">
        <v>2413</v>
      </c>
      <c r="D355" s="4" t="s">
        <v>463</v>
      </c>
      <c r="E355" s="4" t="s">
        <v>2804</v>
      </c>
      <c r="F355" s="127" t="n">
        <v>46493</v>
      </c>
      <c r="G355" s="127" t="n">
        <v>46506</v>
      </c>
      <c r="H355" s="127" t="n">
        <v>46289</v>
      </c>
      <c r="I355" s="4" t="n">
        <v>0</v>
      </c>
      <c r="J355" s="4" t="n">
        <v>0</v>
      </c>
      <c r="K355" s="4" t="n">
        <v>0</v>
      </c>
      <c r="M355" s="2" t="str">
        <f aca="false">IF(C355="","",IFERROR(INDEX($S$5:$S$304,MATCH(C355,$R$5:$R$304,0))&amp;"","?"))</f>
        <v>21</v>
      </c>
      <c r="N355" s="2" t="n">
        <f aca="false">IF(E355="","",IF(ISNUMBER(SEARCH("SUBSOLO",E355)),IFERROR(-VALUE(LEFT(E355,FIND("º",SUBSTITUTE(E355,"°","º"))-1)),-1),IF(LEFT(E355,6)="TÉRREO",0,IFERROR(VALUE(LEFT(E355,FIND("º",SUBSTITUTE(E355,"°","º"))-1)),""))))</f>
        <v>8</v>
      </c>
      <c r="O355" s="2" t="str">
        <f aca="false">IF(OR(F355="",G355=""),"",IF(G355&lt;='RETRATO 2027'!$K$5,"CONCLUÍDA",IF(F355&lt;='RETRATO 2027'!$K$5,"EM ANDAMENTO","A INICIAR")))</f>
        <v>CONCLUÍDA</v>
      </c>
    </row>
    <row r="356" customFormat="false" ht="15" hidden="false" customHeight="false" outlineLevel="0" collapsed="false">
      <c r="B356" s="4" t="n">
        <v>29981507</v>
      </c>
      <c r="C356" s="4" t="s">
        <v>2416</v>
      </c>
      <c r="D356" s="4" t="s">
        <v>463</v>
      </c>
      <c r="E356" s="4" t="s">
        <v>2804</v>
      </c>
      <c r="F356" s="127" t="n">
        <v>46497</v>
      </c>
      <c r="G356" s="127" t="n">
        <v>46510</v>
      </c>
      <c r="H356" s="127" t="n">
        <v>46289</v>
      </c>
      <c r="I356" s="4" t="n">
        <v>0</v>
      </c>
      <c r="J356" s="4" t="n">
        <v>0</v>
      </c>
      <c r="K356" s="4" t="n">
        <v>0</v>
      </c>
      <c r="M356" s="2" t="str">
        <f aca="false">IF(C356="","",IFERROR(INDEX($S$5:$S$304,MATCH(C356,$R$5:$R$304,0))&amp;"","?"))</f>
        <v>18</v>
      </c>
      <c r="N356" s="2" t="n">
        <f aca="false">IF(E356="","",IF(ISNUMBER(SEARCH("SUBSOLO",E356)),IFERROR(-VALUE(LEFT(E356,FIND("º",SUBSTITUTE(E356,"°","º"))-1)),-1),IF(LEFT(E356,6)="TÉRREO",0,IFERROR(VALUE(LEFT(E356,FIND("º",SUBSTITUTE(E356,"°","º"))-1)),""))))</f>
        <v>8</v>
      </c>
      <c r="O356" s="2" t="str">
        <f aca="false">IF(OR(F356="",G356=""),"",IF(G356&lt;='RETRATO 2027'!$K$5,"CONCLUÍDA",IF(F356&lt;='RETRATO 2027'!$K$5,"EM ANDAMENTO","A INICIAR")))</f>
        <v>CONCLUÍDA</v>
      </c>
    </row>
    <row r="357" customFormat="false" ht="15" hidden="false" customHeight="false" outlineLevel="0" collapsed="false">
      <c r="B357" s="4" t="n">
        <v>29940953</v>
      </c>
      <c r="C357" s="4" t="s">
        <v>2341</v>
      </c>
      <c r="D357" s="4" t="s">
        <v>463</v>
      </c>
      <c r="E357" s="4" t="s">
        <v>2812</v>
      </c>
      <c r="F357" s="127" t="n">
        <v>46499</v>
      </c>
      <c r="G357" s="127" t="n">
        <v>46510</v>
      </c>
      <c r="H357" s="127" t="n">
        <v>46289</v>
      </c>
      <c r="I357" s="4" t="n">
        <v>0</v>
      </c>
      <c r="J357" s="4" t="n">
        <v>0</v>
      </c>
      <c r="K357" s="4" t="n">
        <v>0</v>
      </c>
      <c r="M357" s="2" t="str">
        <f aca="false">IF(C357="","",IFERROR(INDEX($S$5:$S$304,MATCH(C357,$R$5:$R$304,0))&amp;"","?"))</f>
        <v>17</v>
      </c>
      <c r="N357" s="2" t="n">
        <f aca="false">IF(E357="","",IF(ISNUMBER(SEARCH("SUBSOLO",E357)),IFERROR(-VALUE(LEFT(E357,FIND("º",SUBSTITUTE(E357,"°","º"))-1)),-1),IF(LEFT(E357,6)="TÉRREO",0,IFERROR(VALUE(LEFT(E357,FIND("º",SUBSTITUTE(E357,"°","º"))-1)),""))))</f>
        <v>13</v>
      </c>
      <c r="O357" s="2" t="str">
        <f aca="false">IF(OR(F357="",G357=""),"",IF(G357&lt;='RETRATO 2027'!$K$5,"CONCLUÍDA",IF(F357&lt;='RETRATO 2027'!$K$5,"EM ANDAMENTO","A INICIAR")))</f>
        <v>CONCLUÍDA</v>
      </c>
    </row>
    <row r="358" customFormat="false" ht="15" hidden="false" customHeight="false" outlineLevel="0" collapsed="false">
      <c r="B358" s="4" t="n">
        <v>31529000</v>
      </c>
      <c r="C358" s="4" t="s">
        <v>2341</v>
      </c>
      <c r="D358" s="4" t="s">
        <v>2312</v>
      </c>
      <c r="E358" s="4" t="s">
        <v>2812</v>
      </c>
      <c r="F358" s="127" t="n">
        <v>46499</v>
      </c>
      <c r="G358" s="127" t="n">
        <v>46504</v>
      </c>
      <c r="H358" s="127" t="n">
        <v>46289</v>
      </c>
      <c r="I358" s="4" t="n">
        <v>0</v>
      </c>
      <c r="J358" s="4" t="n">
        <v>0</v>
      </c>
      <c r="K358" s="4" t="n">
        <v>0</v>
      </c>
      <c r="M358" s="2" t="str">
        <f aca="false">IF(C358="","",IFERROR(INDEX($S$5:$S$304,MATCH(C358,$R$5:$R$304,0))&amp;"","?"))</f>
        <v>17</v>
      </c>
      <c r="N358" s="2" t="n">
        <f aca="false">IF(E358="","",IF(ISNUMBER(SEARCH("SUBSOLO",E358)),IFERROR(-VALUE(LEFT(E358,FIND("º",SUBSTITUTE(E358,"°","º"))-1)),-1),IF(LEFT(E358,6)="TÉRREO",0,IFERROR(VALUE(LEFT(E358,FIND("º",SUBSTITUTE(E358,"°","º"))-1)),""))))</f>
        <v>13</v>
      </c>
      <c r="O358" s="2" t="str">
        <f aca="false">IF(OR(F358="",G358=""),"",IF(G358&lt;='RETRATO 2027'!$K$5,"CONCLUÍDA",IF(F358&lt;='RETRATO 2027'!$K$5,"EM ANDAMENTO","A INICIAR")))</f>
        <v>CONCLUÍDA</v>
      </c>
    </row>
    <row r="359" customFormat="false" ht="15" hidden="false" customHeight="false" outlineLevel="0" collapsed="false">
      <c r="B359" s="4" t="n">
        <v>31529001</v>
      </c>
      <c r="C359" s="4" t="s">
        <v>2341</v>
      </c>
      <c r="D359" s="4" t="s">
        <v>2309</v>
      </c>
      <c r="E359" s="4" t="s">
        <v>2812</v>
      </c>
      <c r="F359" s="127" t="n">
        <v>46505</v>
      </c>
      <c r="G359" s="127" t="n">
        <v>46507</v>
      </c>
      <c r="H359" s="127" t="n">
        <v>46289</v>
      </c>
      <c r="I359" s="4" t="n">
        <v>0</v>
      </c>
      <c r="J359" s="4" t="n">
        <v>0</v>
      </c>
      <c r="K359" s="4" t="n">
        <v>0</v>
      </c>
      <c r="M359" s="2" t="str">
        <f aca="false">IF(C359="","",IFERROR(INDEX($S$5:$S$304,MATCH(C359,$R$5:$R$304,0))&amp;"","?"))</f>
        <v>17</v>
      </c>
      <c r="N359" s="2" t="n">
        <f aca="false">IF(E359="","",IF(ISNUMBER(SEARCH("SUBSOLO",E359)),IFERROR(-VALUE(LEFT(E359,FIND("º",SUBSTITUTE(E359,"°","º"))-1)),-1),IF(LEFT(E359,6)="TÉRREO",0,IFERROR(VALUE(LEFT(E359,FIND("º",SUBSTITUTE(E359,"°","º"))-1)),""))))</f>
        <v>13</v>
      </c>
      <c r="O359" s="2" t="str">
        <f aca="false">IF(OR(F359="",G359=""),"",IF(G359&lt;='RETRATO 2027'!$K$5,"CONCLUÍDA",IF(F359&lt;='RETRATO 2027'!$K$5,"EM ANDAMENTO","A INICIAR")))</f>
        <v>CONCLUÍDA</v>
      </c>
    </row>
    <row r="360" customFormat="false" ht="15" hidden="false" customHeight="false" outlineLevel="0" collapsed="false">
      <c r="B360" s="4" t="n">
        <v>31529002</v>
      </c>
      <c r="C360" s="4" t="s">
        <v>2341</v>
      </c>
      <c r="D360" s="4" t="s">
        <v>2314</v>
      </c>
      <c r="E360" s="4" t="s">
        <v>2812</v>
      </c>
      <c r="F360" s="127" t="n">
        <v>46510</v>
      </c>
      <c r="G360" s="127" t="n">
        <v>46510</v>
      </c>
      <c r="H360" s="127" t="n">
        <v>46289</v>
      </c>
      <c r="I360" s="4" t="n">
        <v>0</v>
      </c>
      <c r="J360" s="4" t="n">
        <v>0</v>
      </c>
      <c r="K360" s="4" t="n">
        <v>0</v>
      </c>
      <c r="M360" s="2" t="str">
        <f aca="false">IF(C360="","",IFERROR(INDEX($S$5:$S$304,MATCH(C360,$R$5:$R$304,0))&amp;"","?"))</f>
        <v>17</v>
      </c>
      <c r="N360" s="2" t="n">
        <f aca="false">IF(E360="","",IF(ISNUMBER(SEARCH("SUBSOLO",E360)),IFERROR(-VALUE(LEFT(E360,FIND("º",SUBSTITUTE(E360,"°","º"))-1)),-1),IF(LEFT(E360,6)="TÉRREO",0,IFERROR(VALUE(LEFT(E360,FIND("º",SUBSTITUTE(E360,"°","º"))-1)),""))))</f>
        <v>13</v>
      </c>
      <c r="O360" s="2" t="str">
        <f aca="false">IF(OR(F360="",G360=""),"",IF(G360&lt;='RETRATO 2027'!$K$5,"CONCLUÍDA",IF(F360&lt;='RETRATO 2027'!$K$5,"EM ANDAMENTO","A INICIAR")))</f>
        <v>CONCLUÍDA</v>
      </c>
    </row>
    <row r="361" customFormat="false" ht="15" hidden="false" customHeight="false" outlineLevel="0" collapsed="false">
      <c r="B361" s="4" t="n">
        <v>31529003</v>
      </c>
      <c r="C361" s="4" t="s">
        <v>2341</v>
      </c>
      <c r="D361" s="4" t="s">
        <v>2758</v>
      </c>
      <c r="E361" s="4" t="s">
        <v>2812</v>
      </c>
      <c r="F361" s="127" t="n">
        <v>46510</v>
      </c>
      <c r="G361" s="127" t="n">
        <v>46510</v>
      </c>
      <c r="H361" s="127" t="n">
        <v>46289</v>
      </c>
      <c r="I361" s="4" t="n">
        <v>0</v>
      </c>
      <c r="J361" s="4" t="n">
        <v>0</v>
      </c>
      <c r="K361" s="4" t="n">
        <v>0</v>
      </c>
      <c r="M361" s="2" t="str">
        <f aca="false">IF(C361="","",IFERROR(INDEX($S$5:$S$304,MATCH(C361,$R$5:$R$304,0))&amp;"","?"))</f>
        <v>17</v>
      </c>
      <c r="N361" s="2" t="n">
        <f aca="false">IF(E361="","",IF(ISNUMBER(SEARCH("SUBSOLO",E361)),IFERROR(-VALUE(LEFT(E361,FIND("º",SUBSTITUTE(E361,"°","º"))-1)),-1),IF(LEFT(E361,6)="TÉRREO",0,IFERROR(VALUE(LEFT(E361,FIND("º",SUBSTITUTE(E361,"°","º"))-1)),""))))</f>
        <v>13</v>
      </c>
      <c r="O361" s="2" t="str">
        <f aca="false">IF(OR(F361="",G361=""),"",IF(G361&lt;='RETRATO 2027'!$K$5,"CONCLUÍDA",IF(F361&lt;='RETRATO 2027'!$K$5,"EM ANDAMENTO","A INICIAR")))</f>
        <v>CONCLUÍDA</v>
      </c>
    </row>
    <row r="362" customFormat="false" ht="15" hidden="false" customHeight="false" outlineLevel="0" collapsed="false">
      <c r="B362" s="4" t="n">
        <v>29981481</v>
      </c>
      <c r="C362" s="4" t="s">
        <v>2410</v>
      </c>
      <c r="D362" s="4" t="s">
        <v>463</v>
      </c>
      <c r="E362" s="4" t="s">
        <v>2805</v>
      </c>
      <c r="F362" s="127" t="n">
        <v>46503</v>
      </c>
      <c r="G362" s="127" t="n">
        <v>46513</v>
      </c>
      <c r="H362" s="127" t="n">
        <v>46289</v>
      </c>
      <c r="I362" s="4" t="n">
        <v>0</v>
      </c>
      <c r="J362" s="4" t="n">
        <v>0</v>
      </c>
      <c r="K362" s="4" t="n">
        <v>0</v>
      </c>
      <c r="M362" s="2" t="str">
        <f aca="false">IF(C362="","",IFERROR(INDEX($S$5:$S$304,MATCH(C362,$R$5:$R$304,0))&amp;"","?"))</f>
        <v>22</v>
      </c>
      <c r="N362" s="2" t="n">
        <f aca="false">IF(E362="","",IF(ISNUMBER(SEARCH("SUBSOLO",E362)),IFERROR(-VALUE(LEFT(E362,FIND("º",SUBSTITUTE(E362,"°","º"))-1)),-1),IF(LEFT(E362,6)="TÉRREO",0,IFERROR(VALUE(LEFT(E362,FIND("º",SUBSTITUTE(E362,"°","º"))-1)),""))))</f>
        <v>9</v>
      </c>
      <c r="O362" s="2" t="str">
        <f aca="false">IF(OR(F362="",G362=""),"",IF(G362&lt;='RETRATO 2027'!$K$5,"CONCLUÍDA",IF(F362&lt;='RETRATO 2027'!$K$5,"EM ANDAMENTO","A INICIAR")))</f>
        <v>CONCLUÍDA</v>
      </c>
    </row>
    <row r="363" customFormat="false" ht="15" hidden="false" customHeight="false" outlineLevel="0" collapsed="false">
      <c r="B363" s="4" t="n">
        <v>29981432</v>
      </c>
      <c r="C363" s="4" t="s">
        <v>168</v>
      </c>
      <c r="D363" s="4" t="s">
        <v>463</v>
      </c>
      <c r="E363" s="4" t="s">
        <v>2809</v>
      </c>
      <c r="F363" s="127" t="n">
        <v>46503</v>
      </c>
      <c r="G363" s="127" t="n">
        <v>46513</v>
      </c>
      <c r="H363" s="127" t="n">
        <v>46289</v>
      </c>
      <c r="I363" s="4" t="n">
        <v>0</v>
      </c>
      <c r="J363" s="4" t="n">
        <v>0</v>
      </c>
      <c r="K363" s="4" t="n">
        <v>0</v>
      </c>
      <c r="M363" s="2" t="str">
        <f aca="false">IF(C363="","",IFERROR(INDEX($S$5:$S$304,MATCH(C363,$R$5:$R$304,0))&amp;"","?"))</f>
        <v>18</v>
      </c>
      <c r="N363" s="2" t="n">
        <f aca="false">IF(E363="","",IF(ISNUMBER(SEARCH("SUBSOLO",E363)),IFERROR(-VALUE(LEFT(E363,FIND("º",SUBSTITUTE(E363,"°","º"))-1)),-1),IF(LEFT(E363,6)="TÉRREO",0,IFERROR(VALUE(LEFT(E363,FIND("º",SUBSTITUTE(E363,"°","º"))-1)),""))))</f>
        <v>10</v>
      </c>
      <c r="O363" s="2" t="str">
        <f aca="false">IF(OR(F363="",G363=""),"",IF(G363&lt;='RETRATO 2027'!$K$5,"CONCLUÍDA",IF(F363&lt;='RETRATO 2027'!$K$5,"EM ANDAMENTO","A INICIAR")))</f>
        <v>CONCLUÍDA</v>
      </c>
    </row>
    <row r="364" customFormat="false" ht="15" hidden="false" customHeight="false" outlineLevel="0" collapsed="false">
      <c r="B364" s="4" t="n">
        <v>29981556</v>
      </c>
      <c r="C364" s="4" t="s">
        <v>2425</v>
      </c>
      <c r="D364" s="4" t="s">
        <v>463</v>
      </c>
      <c r="E364" s="4" t="s">
        <v>2803</v>
      </c>
      <c r="F364" s="127" t="n">
        <v>46507</v>
      </c>
      <c r="G364" s="127" t="n">
        <v>46519</v>
      </c>
      <c r="H364" s="127" t="n">
        <v>46289</v>
      </c>
      <c r="I364" s="4" t="n">
        <v>0</v>
      </c>
      <c r="J364" s="4" t="n">
        <v>0</v>
      </c>
      <c r="K364" s="4" t="n">
        <v>0</v>
      </c>
      <c r="M364" s="2" t="str">
        <f aca="false">IF(C364="","",IFERROR(INDEX($S$5:$S$304,MATCH(C364,$R$5:$R$304,0))&amp;"","?"))</f>
        <v>21</v>
      </c>
      <c r="N364" s="2" t="n">
        <f aca="false">IF(E364="","",IF(ISNUMBER(SEARCH("SUBSOLO",E364)),IFERROR(-VALUE(LEFT(E364,FIND("º",SUBSTITUTE(E364,"°","º"))-1)),-1),IF(LEFT(E364,6)="TÉRREO",0,IFERROR(VALUE(LEFT(E364,FIND("º",SUBSTITUTE(E364,"°","º"))-1)),""))))</f>
        <v>7</v>
      </c>
      <c r="O364" s="2" t="str">
        <f aca="false">IF(OR(F364="",G364=""),"",IF(G364&lt;='RETRATO 2027'!$K$5,"CONCLUÍDA",IF(F364&lt;='RETRATO 2027'!$K$5,"EM ANDAMENTO","A INICIAR")))</f>
        <v>CONCLUÍDA</v>
      </c>
    </row>
    <row r="365" customFormat="false" ht="15" hidden="false" customHeight="false" outlineLevel="0" collapsed="false">
      <c r="B365" s="4" t="n">
        <v>29981525</v>
      </c>
      <c r="C365" s="4" t="s">
        <v>2428</v>
      </c>
      <c r="D365" s="4" t="s">
        <v>463</v>
      </c>
      <c r="E365" s="4" t="s">
        <v>2803</v>
      </c>
      <c r="F365" s="127" t="n">
        <v>46507</v>
      </c>
      <c r="G365" s="127" t="n">
        <v>46519</v>
      </c>
      <c r="H365" s="127" t="n">
        <v>46289</v>
      </c>
      <c r="I365" s="4" t="n">
        <v>0</v>
      </c>
      <c r="J365" s="4" t="n">
        <v>0</v>
      </c>
      <c r="K365" s="4" t="n">
        <v>0</v>
      </c>
      <c r="M365" s="2" t="str">
        <f aca="false">IF(C365="","",IFERROR(INDEX($S$5:$S$304,MATCH(C365,$R$5:$R$304,0))&amp;"","?"))</f>
        <v>20</v>
      </c>
      <c r="N365" s="2" t="n">
        <f aca="false">IF(E365="","",IF(ISNUMBER(SEARCH("SUBSOLO",E365)),IFERROR(-VALUE(LEFT(E365,FIND("º",SUBSTITUTE(E365,"°","º"))-1)),-1),IF(LEFT(E365,6)="TÉRREO",0,IFERROR(VALUE(LEFT(E365,FIND("º",SUBSTITUTE(E365,"°","º"))-1)),""))))</f>
        <v>7</v>
      </c>
      <c r="O365" s="2" t="str">
        <f aca="false">IF(OR(F365="",G365=""),"",IF(G365&lt;='RETRATO 2027'!$K$5,"CONCLUÍDA",IF(F365&lt;='RETRATO 2027'!$K$5,"EM ANDAMENTO","A INICIAR")))</f>
        <v>CONCLUÍDA</v>
      </c>
    </row>
    <row r="366" customFormat="false" ht="15" hidden="false" customHeight="false" outlineLevel="0" collapsed="false">
      <c r="B366" s="4" t="n">
        <v>29981558</v>
      </c>
      <c r="C366" s="4" t="s">
        <v>2431</v>
      </c>
      <c r="D366" s="4" t="s">
        <v>463</v>
      </c>
      <c r="E366" s="4" t="s">
        <v>2803</v>
      </c>
      <c r="F366" s="127" t="n">
        <v>46507</v>
      </c>
      <c r="G366" s="127" t="n">
        <v>46519</v>
      </c>
      <c r="H366" s="127" t="n">
        <v>46289</v>
      </c>
      <c r="I366" s="4" t="n">
        <v>0</v>
      </c>
      <c r="J366" s="4" t="n">
        <v>0</v>
      </c>
      <c r="K366" s="4" t="n">
        <v>0</v>
      </c>
      <c r="M366" s="2" t="str">
        <f aca="false">IF(C366="","",IFERROR(INDEX($S$5:$S$304,MATCH(C366,$R$5:$R$304,0))&amp;"","?"))</f>
        <v>21</v>
      </c>
      <c r="N366" s="2" t="n">
        <f aca="false">IF(E366="","",IF(ISNUMBER(SEARCH("SUBSOLO",E366)),IFERROR(-VALUE(LEFT(E366,FIND("º",SUBSTITUTE(E366,"°","º"))-1)),-1),IF(LEFT(E366,6)="TÉRREO",0,IFERROR(VALUE(LEFT(E366,FIND("º",SUBSTITUTE(E366,"°","º"))-1)),""))))</f>
        <v>7</v>
      </c>
      <c r="O366" s="2" t="str">
        <f aca="false">IF(OR(F366="",G366=""),"",IF(G366&lt;='RETRATO 2027'!$K$5,"CONCLUÍDA",IF(F366&lt;='RETRATO 2027'!$K$5,"EM ANDAMENTO","A INICIAR")))</f>
        <v>CONCLUÍDA</v>
      </c>
    </row>
    <row r="367" customFormat="false" ht="15" hidden="false" customHeight="false" outlineLevel="0" collapsed="false">
      <c r="B367" s="4" t="n">
        <v>29981505</v>
      </c>
      <c r="C367" s="4" t="s">
        <v>2422</v>
      </c>
      <c r="D367" s="4" t="s">
        <v>463</v>
      </c>
      <c r="E367" s="4" t="s">
        <v>2804</v>
      </c>
      <c r="F367" s="127" t="n">
        <v>46507</v>
      </c>
      <c r="G367" s="127" t="n">
        <v>46519</v>
      </c>
      <c r="H367" s="127" t="n">
        <v>46289</v>
      </c>
      <c r="I367" s="4" t="n">
        <v>0</v>
      </c>
      <c r="J367" s="4" t="n">
        <v>0</v>
      </c>
      <c r="K367" s="4" t="n">
        <v>0</v>
      </c>
      <c r="M367" s="2" t="str">
        <f aca="false">IF(C367="","",IFERROR(INDEX($S$5:$S$304,MATCH(C367,$R$5:$R$304,0))&amp;"","?"))</f>
        <v>29</v>
      </c>
      <c r="N367" s="2" t="n">
        <f aca="false">IF(E367="","",IF(ISNUMBER(SEARCH("SUBSOLO",E367)),IFERROR(-VALUE(LEFT(E367,FIND("º",SUBSTITUTE(E367,"°","º"))-1)),-1),IF(LEFT(E367,6)="TÉRREO",0,IFERROR(VALUE(LEFT(E367,FIND("º",SUBSTITUTE(E367,"°","º"))-1)),""))))</f>
        <v>8</v>
      </c>
      <c r="O367" s="2" t="str">
        <f aca="false">IF(OR(F367="",G367=""),"",IF(G367&lt;='RETRATO 2027'!$K$5,"CONCLUÍDA",IF(F367&lt;='RETRATO 2027'!$K$5,"EM ANDAMENTO","A INICIAR")))</f>
        <v>CONCLUÍDA</v>
      </c>
    </row>
    <row r="368" customFormat="false" ht="15" hidden="false" customHeight="false" outlineLevel="0" collapsed="false">
      <c r="B368" s="4" t="n">
        <v>29981471</v>
      </c>
      <c r="C368" s="4" t="s">
        <v>2413</v>
      </c>
      <c r="D368" s="4" t="s">
        <v>463</v>
      </c>
      <c r="E368" s="4" t="s">
        <v>2805</v>
      </c>
      <c r="F368" s="127" t="n">
        <v>46507</v>
      </c>
      <c r="G368" s="127" t="n">
        <v>46519</v>
      </c>
      <c r="H368" s="127" t="n">
        <v>46289</v>
      </c>
      <c r="I368" s="4" t="n">
        <v>0</v>
      </c>
      <c r="J368" s="4" t="n">
        <v>0</v>
      </c>
      <c r="K368" s="4" t="n">
        <v>0</v>
      </c>
      <c r="M368" s="2" t="str">
        <f aca="false">IF(C368="","",IFERROR(INDEX($S$5:$S$304,MATCH(C368,$R$5:$R$304,0))&amp;"","?"))</f>
        <v>21</v>
      </c>
      <c r="N368" s="2" t="n">
        <f aca="false">IF(E368="","",IF(ISNUMBER(SEARCH("SUBSOLO",E368)),IFERROR(-VALUE(LEFT(E368,FIND("º",SUBSTITUTE(E368,"°","º"))-1)),-1),IF(LEFT(E368,6)="TÉRREO",0,IFERROR(VALUE(LEFT(E368,FIND("º",SUBSTITUTE(E368,"°","º"))-1)),""))))</f>
        <v>9</v>
      </c>
      <c r="O368" s="2" t="str">
        <f aca="false">IF(OR(F368="",G368=""),"",IF(G368&lt;='RETRATO 2027'!$K$5,"CONCLUÍDA",IF(F368&lt;='RETRATO 2027'!$K$5,"EM ANDAMENTO","A INICIAR")))</f>
        <v>CONCLUÍDA</v>
      </c>
    </row>
    <row r="369" customFormat="false" ht="15" hidden="false" customHeight="false" outlineLevel="0" collapsed="false">
      <c r="B369" s="4" t="n">
        <v>29981470</v>
      </c>
      <c r="C369" s="4" t="s">
        <v>2416</v>
      </c>
      <c r="D369" s="4" t="s">
        <v>463</v>
      </c>
      <c r="E369" s="4" t="s">
        <v>2805</v>
      </c>
      <c r="F369" s="127" t="n">
        <v>46511</v>
      </c>
      <c r="G369" s="127" t="n">
        <v>46521</v>
      </c>
      <c r="H369" s="127" t="n">
        <v>46289</v>
      </c>
      <c r="I369" s="4" t="n">
        <v>0</v>
      </c>
      <c r="J369" s="4" t="n">
        <v>0</v>
      </c>
      <c r="K369" s="4" t="n">
        <v>0</v>
      </c>
      <c r="M369" s="2" t="str">
        <f aca="false">IF(C369="","",IFERROR(INDEX($S$5:$S$304,MATCH(C369,$R$5:$R$304,0))&amp;"","?"))</f>
        <v>18</v>
      </c>
      <c r="N369" s="2" t="n">
        <f aca="false">IF(E369="","",IF(ISNUMBER(SEARCH("SUBSOLO",E369)),IFERROR(-VALUE(LEFT(E369,FIND("º",SUBSTITUTE(E369,"°","º"))-1)),-1),IF(LEFT(E369,6)="TÉRREO",0,IFERROR(VALUE(LEFT(E369,FIND("º",SUBSTITUTE(E369,"°","º"))-1)),""))))</f>
        <v>9</v>
      </c>
      <c r="O369" s="2" t="str">
        <f aca="false">IF(OR(F369="",G369=""),"",IF(G369&lt;='RETRATO 2027'!$K$5,"CONCLUÍDA",IF(F369&lt;='RETRATO 2027'!$K$5,"EM ANDAMENTO","A INICIAR")))</f>
        <v>CONCLUÍDA</v>
      </c>
    </row>
    <row r="370" customFormat="false" ht="15" hidden="false" customHeight="false" outlineLevel="0" collapsed="false">
      <c r="B370" s="4" t="n">
        <v>29940954</v>
      </c>
      <c r="C370" s="4" t="s">
        <v>2341</v>
      </c>
      <c r="D370" s="4" t="s">
        <v>463</v>
      </c>
      <c r="E370" s="4" t="s">
        <v>2813</v>
      </c>
      <c r="F370" s="127" t="n">
        <v>46511</v>
      </c>
      <c r="G370" s="127" t="n">
        <v>46520</v>
      </c>
      <c r="H370" s="127" t="n">
        <v>46289</v>
      </c>
      <c r="I370" s="4" t="n">
        <v>0</v>
      </c>
      <c r="J370" s="4" t="n">
        <v>0</v>
      </c>
      <c r="K370" s="4" t="n">
        <v>0</v>
      </c>
      <c r="M370" s="2" t="str">
        <f aca="false">IF(C370="","",IFERROR(INDEX($S$5:$S$304,MATCH(C370,$R$5:$R$304,0))&amp;"","?"))</f>
        <v>17</v>
      </c>
      <c r="N370" s="2" t="n">
        <f aca="false">IF(E370="","",IF(ISNUMBER(SEARCH("SUBSOLO",E370)),IFERROR(-VALUE(LEFT(E370,FIND("º",SUBSTITUTE(E370,"°","º"))-1)),-1),IF(LEFT(E370,6)="TÉRREO",0,IFERROR(VALUE(LEFT(E370,FIND("º",SUBSTITUTE(E370,"°","º"))-1)),""))))</f>
        <v>14</v>
      </c>
      <c r="O370" s="2" t="str">
        <f aca="false">IF(OR(F370="",G370=""),"",IF(G370&lt;='RETRATO 2027'!$K$5,"CONCLUÍDA",IF(F370&lt;='RETRATO 2027'!$K$5,"EM ANDAMENTO","A INICIAR")))</f>
        <v>CONCLUÍDA</v>
      </c>
    </row>
    <row r="371" customFormat="false" ht="15" hidden="false" customHeight="false" outlineLevel="0" collapsed="false">
      <c r="B371" s="4" t="n">
        <v>31529004</v>
      </c>
      <c r="C371" s="4" t="s">
        <v>2341</v>
      </c>
      <c r="D371" s="4" t="s">
        <v>2312</v>
      </c>
      <c r="E371" s="4" t="s">
        <v>2813</v>
      </c>
      <c r="F371" s="127" t="n">
        <v>46511</v>
      </c>
      <c r="G371" s="127" t="n">
        <v>46514</v>
      </c>
      <c r="H371" s="127" t="n">
        <v>46289</v>
      </c>
      <c r="I371" s="4" t="n">
        <v>0</v>
      </c>
      <c r="J371" s="4" t="n">
        <v>0</v>
      </c>
      <c r="K371" s="4" t="n">
        <v>0</v>
      </c>
      <c r="M371" s="2" t="str">
        <f aca="false">IF(C371="","",IFERROR(INDEX($S$5:$S$304,MATCH(C371,$R$5:$R$304,0))&amp;"","?"))</f>
        <v>17</v>
      </c>
      <c r="N371" s="2" t="n">
        <f aca="false">IF(E371="","",IF(ISNUMBER(SEARCH("SUBSOLO",E371)),IFERROR(-VALUE(LEFT(E371,FIND("º",SUBSTITUTE(E371,"°","º"))-1)),-1),IF(LEFT(E371,6)="TÉRREO",0,IFERROR(VALUE(LEFT(E371,FIND("º",SUBSTITUTE(E371,"°","º"))-1)),""))))</f>
        <v>14</v>
      </c>
      <c r="O371" s="2" t="str">
        <f aca="false">IF(OR(F371="",G371=""),"",IF(G371&lt;='RETRATO 2027'!$K$5,"CONCLUÍDA",IF(F371&lt;='RETRATO 2027'!$K$5,"EM ANDAMENTO","A INICIAR")))</f>
        <v>CONCLUÍDA</v>
      </c>
    </row>
    <row r="372" customFormat="false" ht="15" hidden="false" customHeight="false" outlineLevel="0" collapsed="false">
      <c r="B372" s="4" t="n">
        <v>31529005</v>
      </c>
      <c r="C372" s="4" t="s">
        <v>2341</v>
      </c>
      <c r="D372" s="4" t="s">
        <v>2309</v>
      </c>
      <c r="E372" s="4" t="s">
        <v>2813</v>
      </c>
      <c r="F372" s="127" t="n">
        <v>46517</v>
      </c>
      <c r="G372" s="127" t="n">
        <v>46519</v>
      </c>
      <c r="H372" s="127" t="n">
        <v>46289</v>
      </c>
      <c r="I372" s="4" t="n">
        <v>0</v>
      </c>
      <c r="J372" s="4" t="n">
        <v>0</v>
      </c>
      <c r="K372" s="4" t="n">
        <v>0</v>
      </c>
      <c r="M372" s="2" t="str">
        <f aca="false">IF(C372="","",IFERROR(INDEX($S$5:$S$304,MATCH(C372,$R$5:$R$304,0))&amp;"","?"))</f>
        <v>17</v>
      </c>
      <c r="N372" s="2" t="n">
        <f aca="false">IF(E372="","",IF(ISNUMBER(SEARCH("SUBSOLO",E372)),IFERROR(-VALUE(LEFT(E372,FIND("º",SUBSTITUTE(E372,"°","º"))-1)),-1),IF(LEFT(E372,6)="TÉRREO",0,IFERROR(VALUE(LEFT(E372,FIND("º",SUBSTITUTE(E372,"°","º"))-1)),""))))</f>
        <v>14</v>
      </c>
      <c r="O372" s="2" t="str">
        <f aca="false">IF(OR(F372="",G372=""),"",IF(G372&lt;='RETRATO 2027'!$K$5,"CONCLUÍDA",IF(F372&lt;='RETRATO 2027'!$K$5,"EM ANDAMENTO","A INICIAR")))</f>
        <v>CONCLUÍDA</v>
      </c>
    </row>
    <row r="373" customFormat="false" ht="15" hidden="false" customHeight="false" outlineLevel="0" collapsed="false">
      <c r="B373" s="4" t="n">
        <v>31529006</v>
      </c>
      <c r="C373" s="4" t="s">
        <v>2341</v>
      </c>
      <c r="D373" s="4" t="s">
        <v>2314</v>
      </c>
      <c r="E373" s="4" t="s">
        <v>2813</v>
      </c>
      <c r="F373" s="127" t="n">
        <v>46520</v>
      </c>
      <c r="G373" s="127" t="n">
        <v>46520</v>
      </c>
      <c r="H373" s="127" t="n">
        <v>46289</v>
      </c>
      <c r="I373" s="4" t="n">
        <v>0</v>
      </c>
      <c r="J373" s="4" t="n">
        <v>0</v>
      </c>
      <c r="K373" s="4" t="n">
        <v>0</v>
      </c>
      <c r="M373" s="2" t="str">
        <f aca="false">IF(C373="","",IFERROR(INDEX($S$5:$S$304,MATCH(C373,$R$5:$R$304,0))&amp;"","?"))</f>
        <v>17</v>
      </c>
      <c r="N373" s="2" t="n">
        <f aca="false">IF(E373="","",IF(ISNUMBER(SEARCH("SUBSOLO",E373)),IFERROR(-VALUE(LEFT(E373,FIND("º",SUBSTITUTE(E373,"°","º"))-1)),-1),IF(LEFT(E373,6)="TÉRREO",0,IFERROR(VALUE(LEFT(E373,FIND("º",SUBSTITUTE(E373,"°","º"))-1)),""))))</f>
        <v>14</v>
      </c>
      <c r="O373" s="2" t="str">
        <f aca="false">IF(OR(F373="",G373=""),"",IF(G373&lt;='RETRATO 2027'!$K$5,"CONCLUÍDA",IF(F373&lt;='RETRATO 2027'!$K$5,"EM ANDAMENTO","A INICIAR")))</f>
        <v>CONCLUÍDA</v>
      </c>
    </row>
    <row r="374" customFormat="false" ht="15" hidden="false" customHeight="false" outlineLevel="0" collapsed="false">
      <c r="B374" s="4" t="n">
        <v>31529007</v>
      </c>
      <c r="C374" s="4" t="s">
        <v>2341</v>
      </c>
      <c r="D374" s="4" t="s">
        <v>2758</v>
      </c>
      <c r="E374" s="4" t="s">
        <v>2813</v>
      </c>
      <c r="F374" s="127" t="n">
        <v>46520</v>
      </c>
      <c r="G374" s="127" t="n">
        <v>46520</v>
      </c>
      <c r="H374" s="127" t="n">
        <v>46289</v>
      </c>
      <c r="I374" s="4" t="n">
        <v>0</v>
      </c>
      <c r="J374" s="4" t="n">
        <v>0</v>
      </c>
      <c r="K374" s="4" t="n">
        <v>0</v>
      </c>
      <c r="M374" s="2" t="str">
        <f aca="false">IF(C374="","",IFERROR(INDEX($S$5:$S$304,MATCH(C374,$R$5:$R$304,0))&amp;"","?"))</f>
        <v>17</v>
      </c>
      <c r="N374" s="2" t="n">
        <f aca="false">IF(E374="","",IF(ISNUMBER(SEARCH("SUBSOLO",E374)),IFERROR(-VALUE(LEFT(E374,FIND("º",SUBSTITUTE(E374,"°","º"))-1)),-1),IF(LEFT(E374,6)="TÉRREO",0,IFERROR(VALUE(LEFT(E374,FIND("º",SUBSTITUTE(E374,"°","º"))-1)),""))))</f>
        <v>14</v>
      </c>
      <c r="O374" s="2" t="str">
        <f aca="false">IF(OR(F374="",G374=""),"",IF(G374&lt;='RETRATO 2027'!$K$5,"CONCLUÍDA",IF(F374&lt;='RETRATO 2027'!$K$5,"EM ANDAMENTO","A INICIAR")))</f>
        <v>CONCLUÍDA</v>
      </c>
    </row>
    <row r="375" customFormat="false" ht="15" hidden="false" customHeight="false" outlineLevel="0" collapsed="false">
      <c r="B375" s="4" t="n">
        <v>29981444</v>
      </c>
      <c r="C375" s="4" t="s">
        <v>2410</v>
      </c>
      <c r="D375" s="4" t="s">
        <v>463</v>
      </c>
      <c r="E375" s="4" t="s">
        <v>2809</v>
      </c>
      <c r="F375" s="127" t="n">
        <v>46514</v>
      </c>
      <c r="G375" s="127" t="n">
        <v>46526</v>
      </c>
      <c r="H375" s="127" t="n">
        <v>46289</v>
      </c>
      <c r="I375" s="4" t="n">
        <v>0</v>
      </c>
      <c r="J375" s="4" t="n">
        <v>0</v>
      </c>
      <c r="K375" s="4" t="n">
        <v>0</v>
      </c>
      <c r="M375" s="2" t="str">
        <f aca="false">IF(C375="","",IFERROR(INDEX($S$5:$S$304,MATCH(C375,$R$5:$R$304,0))&amp;"","?"))</f>
        <v>22</v>
      </c>
      <c r="N375" s="2" t="n">
        <f aca="false">IF(E375="","",IF(ISNUMBER(SEARCH("SUBSOLO",E375)),IFERROR(-VALUE(LEFT(E375,FIND("º",SUBSTITUTE(E375,"°","º"))-1)),-1),IF(LEFT(E375,6)="TÉRREO",0,IFERROR(VALUE(LEFT(E375,FIND("º",SUBSTITUTE(E375,"°","º"))-1)),""))))</f>
        <v>10</v>
      </c>
      <c r="O375" s="2" t="str">
        <f aca="false">IF(OR(F375="",G375=""),"",IF(G375&lt;='RETRATO 2027'!$K$5,"CONCLUÍDA",IF(F375&lt;='RETRATO 2027'!$K$5,"EM ANDAMENTO","A INICIAR")))</f>
        <v>CONCLUÍDA</v>
      </c>
    </row>
    <row r="376" customFormat="false" ht="15" hidden="false" customHeight="false" outlineLevel="0" collapsed="false">
      <c r="B376" s="4" t="n">
        <v>29981395</v>
      </c>
      <c r="C376" s="4" t="s">
        <v>168</v>
      </c>
      <c r="D376" s="4" t="s">
        <v>463</v>
      </c>
      <c r="E376" s="4" t="s">
        <v>2810</v>
      </c>
      <c r="F376" s="127" t="n">
        <v>46514</v>
      </c>
      <c r="G376" s="127" t="n">
        <v>46526</v>
      </c>
      <c r="H376" s="127" t="n">
        <v>46289</v>
      </c>
      <c r="I376" s="4" t="n">
        <v>0</v>
      </c>
      <c r="J376" s="4" t="n">
        <v>0</v>
      </c>
      <c r="K376" s="4" t="n">
        <v>0</v>
      </c>
      <c r="M376" s="2" t="str">
        <f aca="false">IF(C376="","",IFERROR(INDEX($S$5:$S$304,MATCH(C376,$R$5:$R$304,0))&amp;"","?"))</f>
        <v>18</v>
      </c>
      <c r="N376" s="2" t="n">
        <f aca="false">IF(E376="","",IF(ISNUMBER(SEARCH("SUBSOLO",E376)),IFERROR(-VALUE(LEFT(E376,FIND("º",SUBSTITUTE(E376,"°","º"))-1)),-1),IF(LEFT(E376,6)="TÉRREO",0,IFERROR(VALUE(LEFT(E376,FIND("º",SUBSTITUTE(E376,"°","º"))-1)),""))))</f>
        <v>11</v>
      </c>
      <c r="O376" s="2" t="str">
        <f aca="false">IF(OR(F376="",G376=""),"",IF(G376&lt;='RETRATO 2027'!$K$5,"CONCLUÍDA",IF(F376&lt;='RETRATO 2027'!$K$5,"EM ANDAMENTO","A INICIAR")))</f>
        <v>CONCLUÍDA</v>
      </c>
    </row>
    <row r="377" customFormat="false" ht="15" hidden="false" customHeight="false" outlineLevel="0" collapsed="false">
      <c r="B377" s="4" t="n">
        <v>29981526</v>
      </c>
      <c r="C377" s="4" t="s">
        <v>2434</v>
      </c>
      <c r="D377" s="4" t="s">
        <v>463</v>
      </c>
      <c r="E377" s="4" t="s">
        <v>2803</v>
      </c>
      <c r="F377" s="127" t="n">
        <v>46520</v>
      </c>
      <c r="G377" s="127" t="n">
        <v>46532</v>
      </c>
      <c r="H377" s="127" t="n">
        <v>46289</v>
      </c>
      <c r="I377" s="4" t="n">
        <v>0</v>
      </c>
      <c r="J377" s="4" t="n">
        <v>0</v>
      </c>
      <c r="K377" s="4" t="n">
        <v>0</v>
      </c>
      <c r="M377" s="2" t="str">
        <f aca="false">IF(C377="","",IFERROR(INDEX($S$5:$S$304,MATCH(C377,$R$5:$R$304,0))&amp;"","?"))</f>
        <v>25</v>
      </c>
      <c r="N377" s="2" t="n">
        <f aca="false">IF(E377="","",IF(ISNUMBER(SEARCH("SUBSOLO",E377)),IFERROR(-VALUE(LEFT(E377,FIND("º",SUBSTITUTE(E377,"°","º"))-1)),-1),IF(LEFT(E377,6)="TÉRREO",0,IFERROR(VALUE(LEFT(E377,FIND("º",SUBSTITUTE(E377,"°","º"))-1)),""))))</f>
        <v>7</v>
      </c>
      <c r="O377" s="2" t="str">
        <f aca="false">IF(OR(F377="",G377=""),"",IF(G377&lt;='RETRATO 2027'!$K$5,"CONCLUÍDA",IF(F377&lt;='RETRATO 2027'!$K$5,"EM ANDAMENTO","A INICIAR")))</f>
        <v>CONCLUÍDA</v>
      </c>
    </row>
    <row r="378" customFormat="false" ht="15" hidden="false" customHeight="false" outlineLevel="0" collapsed="false">
      <c r="B378" s="4" t="n">
        <v>29981519</v>
      </c>
      <c r="C378" s="4" t="s">
        <v>2425</v>
      </c>
      <c r="D378" s="4" t="s">
        <v>463</v>
      </c>
      <c r="E378" s="4" t="s">
        <v>2804</v>
      </c>
      <c r="F378" s="127" t="n">
        <v>46520</v>
      </c>
      <c r="G378" s="127" t="n">
        <v>46532</v>
      </c>
      <c r="H378" s="127" t="n">
        <v>46289</v>
      </c>
      <c r="I378" s="4" t="n">
        <v>0</v>
      </c>
      <c r="J378" s="4" t="n">
        <v>0</v>
      </c>
      <c r="K378" s="4" t="n">
        <v>0</v>
      </c>
      <c r="M378" s="2" t="str">
        <f aca="false">IF(C378="","",IFERROR(INDEX($S$5:$S$304,MATCH(C378,$R$5:$R$304,0))&amp;"","?"))</f>
        <v>21</v>
      </c>
      <c r="N378" s="2" t="n">
        <f aca="false">IF(E378="","",IF(ISNUMBER(SEARCH("SUBSOLO",E378)),IFERROR(-VALUE(LEFT(E378,FIND("º",SUBSTITUTE(E378,"°","º"))-1)),-1),IF(LEFT(E378,6)="TÉRREO",0,IFERROR(VALUE(LEFT(E378,FIND("º",SUBSTITUTE(E378,"°","º"))-1)),""))))</f>
        <v>8</v>
      </c>
      <c r="O378" s="2" t="str">
        <f aca="false">IF(OR(F378="",G378=""),"",IF(G378&lt;='RETRATO 2027'!$K$5,"CONCLUÍDA",IF(F378&lt;='RETRATO 2027'!$K$5,"EM ANDAMENTO","A INICIAR")))</f>
        <v>CONCLUÍDA</v>
      </c>
    </row>
    <row r="379" customFormat="false" ht="15" hidden="false" customHeight="false" outlineLevel="0" collapsed="false">
      <c r="B379" s="4" t="n">
        <v>29981488</v>
      </c>
      <c r="C379" s="4" t="s">
        <v>2428</v>
      </c>
      <c r="D379" s="4" t="s">
        <v>463</v>
      </c>
      <c r="E379" s="4" t="s">
        <v>2804</v>
      </c>
      <c r="F379" s="127" t="n">
        <v>46520</v>
      </c>
      <c r="G379" s="127" t="n">
        <v>46532</v>
      </c>
      <c r="H379" s="127" t="n">
        <v>46289</v>
      </c>
      <c r="I379" s="4" t="n">
        <v>0</v>
      </c>
      <c r="J379" s="4" t="n">
        <v>0</v>
      </c>
      <c r="K379" s="4" t="n">
        <v>0</v>
      </c>
      <c r="M379" s="2" t="str">
        <f aca="false">IF(C379="","",IFERROR(INDEX($S$5:$S$304,MATCH(C379,$R$5:$R$304,0))&amp;"","?"))</f>
        <v>20</v>
      </c>
      <c r="N379" s="2" t="n">
        <f aca="false">IF(E379="","",IF(ISNUMBER(SEARCH("SUBSOLO",E379)),IFERROR(-VALUE(LEFT(E379,FIND("º",SUBSTITUTE(E379,"°","º"))-1)),-1),IF(LEFT(E379,6)="TÉRREO",0,IFERROR(VALUE(LEFT(E379,FIND("º",SUBSTITUTE(E379,"°","º"))-1)),""))))</f>
        <v>8</v>
      </c>
      <c r="O379" s="2" t="str">
        <f aca="false">IF(OR(F379="",G379=""),"",IF(G379&lt;='RETRATO 2027'!$K$5,"CONCLUÍDA",IF(F379&lt;='RETRATO 2027'!$K$5,"EM ANDAMENTO","A INICIAR")))</f>
        <v>CONCLUÍDA</v>
      </c>
    </row>
    <row r="380" customFormat="false" ht="15" hidden="false" customHeight="false" outlineLevel="0" collapsed="false">
      <c r="B380" s="4" t="n">
        <v>29981521</v>
      </c>
      <c r="C380" s="4" t="s">
        <v>2431</v>
      </c>
      <c r="D380" s="4" t="s">
        <v>463</v>
      </c>
      <c r="E380" s="4" t="s">
        <v>2804</v>
      </c>
      <c r="F380" s="127" t="n">
        <v>46520</v>
      </c>
      <c r="G380" s="127" t="n">
        <v>46532</v>
      </c>
      <c r="H380" s="127" t="n">
        <v>46289</v>
      </c>
      <c r="I380" s="4" t="n">
        <v>0</v>
      </c>
      <c r="J380" s="4" t="n">
        <v>0</v>
      </c>
      <c r="K380" s="4" t="n">
        <v>0</v>
      </c>
      <c r="M380" s="2" t="str">
        <f aca="false">IF(C380="","",IFERROR(INDEX($S$5:$S$304,MATCH(C380,$R$5:$R$304,0))&amp;"","?"))</f>
        <v>21</v>
      </c>
      <c r="N380" s="2" t="n">
        <f aca="false">IF(E380="","",IF(ISNUMBER(SEARCH("SUBSOLO",E380)),IFERROR(-VALUE(LEFT(E380,FIND("º",SUBSTITUTE(E380,"°","º"))-1)),-1),IF(LEFT(E380,6)="TÉRREO",0,IFERROR(VALUE(LEFT(E380,FIND("º",SUBSTITUTE(E380,"°","º"))-1)),""))))</f>
        <v>8</v>
      </c>
      <c r="O380" s="2" t="str">
        <f aca="false">IF(OR(F380="",G380=""),"",IF(G380&lt;='RETRATO 2027'!$K$5,"CONCLUÍDA",IF(F380&lt;='RETRATO 2027'!$K$5,"EM ANDAMENTO","A INICIAR")))</f>
        <v>CONCLUÍDA</v>
      </c>
    </row>
    <row r="381" customFormat="false" ht="15" hidden="false" customHeight="false" outlineLevel="0" collapsed="false">
      <c r="B381" s="4" t="n">
        <v>29981468</v>
      </c>
      <c r="C381" s="4" t="s">
        <v>2422</v>
      </c>
      <c r="D381" s="4" t="s">
        <v>463</v>
      </c>
      <c r="E381" s="4" t="s">
        <v>2805</v>
      </c>
      <c r="F381" s="127" t="n">
        <v>46520</v>
      </c>
      <c r="G381" s="127" t="n">
        <v>46532</v>
      </c>
      <c r="H381" s="127" t="n">
        <v>46289</v>
      </c>
      <c r="I381" s="4" t="n">
        <v>0</v>
      </c>
      <c r="J381" s="4" t="n">
        <v>0</v>
      </c>
      <c r="K381" s="4" t="n">
        <v>0</v>
      </c>
      <c r="M381" s="2" t="str">
        <f aca="false">IF(C381="","",IFERROR(INDEX($S$5:$S$304,MATCH(C381,$R$5:$R$304,0))&amp;"","?"))</f>
        <v>29</v>
      </c>
      <c r="N381" s="2" t="n">
        <f aca="false">IF(E381="","",IF(ISNUMBER(SEARCH("SUBSOLO",E381)),IFERROR(-VALUE(LEFT(E381,FIND("º",SUBSTITUTE(E381,"°","º"))-1)),-1),IF(LEFT(E381,6)="TÉRREO",0,IFERROR(VALUE(LEFT(E381,FIND("º",SUBSTITUTE(E381,"°","º"))-1)),""))))</f>
        <v>9</v>
      </c>
      <c r="O381" s="2" t="str">
        <f aca="false">IF(OR(F381="",G381=""),"",IF(G381&lt;='RETRATO 2027'!$K$5,"CONCLUÍDA",IF(F381&lt;='RETRATO 2027'!$K$5,"EM ANDAMENTO","A INICIAR")))</f>
        <v>CONCLUÍDA</v>
      </c>
    </row>
    <row r="382" customFormat="false" ht="15" hidden="false" customHeight="false" outlineLevel="0" collapsed="false">
      <c r="B382" s="4" t="n">
        <v>29981434</v>
      </c>
      <c r="C382" s="4" t="s">
        <v>2413</v>
      </c>
      <c r="D382" s="4" t="s">
        <v>463</v>
      </c>
      <c r="E382" s="4" t="s">
        <v>2809</v>
      </c>
      <c r="F382" s="127" t="n">
        <v>46520</v>
      </c>
      <c r="G382" s="127" t="n">
        <v>46532</v>
      </c>
      <c r="H382" s="127" t="n">
        <v>46289</v>
      </c>
      <c r="I382" s="4" t="n">
        <v>0</v>
      </c>
      <c r="J382" s="4" t="n">
        <v>0</v>
      </c>
      <c r="K382" s="4" t="n">
        <v>0</v>
      </c>
      <c r="M382" s="2" t="str">
        <f aca="false">IF(C382="","",IFERROR(INDEX($S$5:$S$304,MATCH(C382,$R$5:$R$304,0))&amp;"","?"))</f>
        <v>21</v>
      </c>
      <c r="N382" s="2" t="n">
        <f aca="false">IF(E382="","",IF(ISNUMBER(SEARCH("SUBSOLO",E382)),IFERROR(-VALUE(LEFT(E382,FIND("º",SUBSTITUTE(E382,"°","º"))-1)),-1),IF(LEFT(E382,6)="TÉRREO",0,IFERROR(VALUE(LEFT(E382,FIND("º",SUBSTITUTE(E382,"°","º"))-1)),""))))</f>
        <v>10</v>
      </c>
      <c r="O382" s="2" t="str">
        <f aca="false">IF(OR(F382="",G382=""),"",IF(G382&lt;='RETRATO 2027'!$K$5,"CONCLUÍDA",IF(F382&lt;='RETRATO 2027'!$K$5,"EM ANDAMENTO","A INICIAR")))</f>
        <v>CONCLUÍDA</v>
      </c>
    </row>
    <row r="383" customFormat="false" ht="15" hidden="false" customHeight="false" outlineLevel="0" collapsed="false">
      <c r="B383" s="4" t="n">
        <v>29940955</v>
      </c>
      <c r="C383" s="4" t="s">
        <v>2341</v>
      </c>
      <c r="D383" s="4" t="s">
        <v>463</v>
      </c>
      <c r="E383" s="4" t="s">
        <v>2814</v>
      </c>
      <c r="F383" s="127" t="n">
        <v>46521</v>
      </c>
      <c r="G383" s="127" t="n">
        <v>46532</v>
      </c>
      <c r="H383" s="127" t="n">
        <v>46289</v>
      </c>
      <c r="I383" s="4" t="n">
        <v>0</v>
      </c>
      <c r="J383" s="4" t="n">
        <v>0</v>
      </c>
      <c r="K383" s="4" t="n">
        <v>0</v>
      </c>
      <c r="M383" s="2" t="str">
        <f aca="false">IF(C383="","",IFERROR(INDEX($S$5:$S$304,MATCH(C383,$R$5:$R$304,0))&amp;"","?"))</f>
        <v>17</v>
      </c>
      <c r="N383" s="2" t="n">
        <f aca="false">IF(E383="","",IF(ISNUMBER(SEARCH("SUBSOLO",E383)),IFERROR(-VALUE(LEFT(E383,FIND("º",SUBSTITUTE(E383,"°","º"))-1)),-1),IF(LEFT(E383,6)="TÉRREO",0,IFERROR(VALUE(LEFT(E383,FIND("º",SUBSTITUTE(E383,"°","º"))-1)),""))))</f>
        <v>15</v>
      </c>
      <c r="O383" s="2" t="str">
        <f aca="false">IF(OR(F383="",G383=""),"",IF(G383&lt;='RETRATO 2027'!$K$5,"CONCLUÍDA",IF(F383&lt;='RETRATO 2027'!$K$5,"EM ANDAMENTO","A INICIAR")))</f>
        <v>CONCLUÍDA</v>
      </c>
    </row>
    <row r="384" customFormat="false" ht="15" hidden="false" customHeight="false" outlineLevel="0" collapsed="false">
      <c r="B384" s="4" t="n">
        <v>31529008</v>
      </c>
      <c r="C384" s="4" t="s">
        <v>2341</v>
      </c>
      <c r="D384" s="4" t="s">
        <v>2312</v>
      </c>
      <c r="E384" s="4" t="s">
        <v>2814</v>
      </c>
      <c r="F384" s="127" t="n">
        <v>46521</v>
      </c>
      <c r="G384" s="127" t="n">
        <v>46526</v>
      </c>
      <c r="H384" s="127" t="n">
        <v>46289</v>
      </c>
      <c r="I384" s="4" t="n">
        <v>0</v>
      </c>
      <c r="J384" s="4" t="n">
        <v>0</v>
      </c>
      <c r="K384" s="4" t="n">
        <v>0</v>
      </c>
      <c r="M384" s="2" t="str">
        <f aca="false">IF(C384="","",IFERROR(INDEX($S$5:$S$304,MATCH(C384,$R$5:$R$304,0))&amp;"","?"))</f>
        <v>17</v>
      </c>
      <c r="N384" s="2" t="n">
        <f aca="false">IF(E384="","",IF(ISNUMBER(SEARCH("SUBSOLO",E384)),IFERROR(-VALUE(LEFT(E384,FIND("º",SUBSTITUTE(E384,"°","º"))-1)),-1),IF(LEFT(E384,6)="TÉRREO",0,IFERROR(VALUE(LEFT(E384,FIND("º",SUBSTITUTE(E384,"°","º"))-1)),""))))</f>
        <v>15</v>
      </c>
      <c r="O384" s="2" t="str">
        <f aca="false">IF(OR(F384="",G384=""),"",IF(G384&lt;='RETRATO 2027'!$K$5,"CONCLUÍDA",IF(F384&lt;='RETRATO 2027'!$K$5,"EM ANDAMENTO","A INICIAR")))</f>
        <v>CONCLUÍDA</v>
      </c>
    </row>
    <row r="385" customFormat="false" ht="15" hidden="false" customHeight="false" outlineLevel="0" collapsed="false">
      <c r="B385" s="4" t="n">
        <v>31529009</v>
      </c>
      <c r="C385" s="4" t="s">
        <v>2341</v>
      </c>
      <c r="D385" s="4" t="s">
        <v>2309</v>
      </c>
      <c r="E385" s="4" t="s">
        <v>2814</v>
      </c>
      <c r="F385" s="127" t="n">
        <v>46527</v>
      </c>
      <c r="G385" s="127" t="n">
        <v>46531</v>
      </c>
      <c r="H385" s="127" t="n">
        <v>46289</v>
      </c>
      <c r="I385" s="4" t="n">
        <v>0</v>
      </c>
      <c r="J385" s="4" t="n">
        <v>0</v>
      </c>
      <c r="K385" s="4" t="n">
        <v>0</v>
      </c>
      <c r="M385" s="2" t="str">
        <f aca="false">IF(C385="","",IFERROR(INDEX($S$5:$S$304,MATCH(C385,$R$5:$R$304,0))&amp;"","?"))</f>
        <v>17</v>
      </c>
      <c r="N385" s="2" t="n">
        <f aca="false">IF(E385="","",IF(ISNUMBER(SEARCH("SUBSOLO",E385)),IFERROR(-VALUE(LEFT(E385,FIND("º",SUBSTITUTE(E385,"°","º"))-1)),-1),IF(LEFT(E385,6)="TÉRREO",0,IFERROR(VALUE(LEFT(E385,FIND("º",SUBSTITUTE(E385,"°","º"))-1)),""))))</f>
        <v>15</v>
      </c>
      <c r="O385" s="2" t="str">
        <f aca="false">IF(OR(F385="",G385=""),"",IF(G385&lt;='RETRATO 2027'!$K$5,"CONCLUÍDA",IF(F385&lt;='RETRATO 2027'!$K$5,"EM ANDAMENTO","A INICIAR")))</f>
        <v>CONCLUÍDA</v>
      </c>
    </row>
    <row r="386" customFormat="false" ht="15" hidden="false" customHeight="false" outlineLevel="0" collapsed="false">
      <c r="B386" s="4" t="n">
        <v>31529010</v>
      </c>
      <c r="C386" s="4" t="s">
        <v>2341</v>
      </c>
      <c r="D386" s="4" t="s">
        <v>2314</v>
      </c>
      <c r="E386" s="4" t="s">
        <v>2814</v>
      </c>
      <c r="F386" s="127" t="n">
        <v>46532</v>
      </c>
      <c r="G386" s="127" t="n">
        <v>46532</v>
      </c>
      <c r="H386" s="127" t="n">
        <v>46289</v>
      </c>
      <c r="I386" s="4" t="n">
        <v>0</v>
      </c>
      <c r="J386" s="4" t="n">
        <v>0</v>
      </c>
      <c r="K386" s="4" t="n">
        <v>0</v>
      </c>
      <c r="M386" s="2" t="str">
        <f aca="false">IF(C386="","",IFERROR(INDEX($S$5:$S$304,MATCH(C386,$R$5:$R$304,0))&amp;"","?"))</f>
        <v>17</v>
      </c>
      <c r="N386" s="2" t="n">
        <f aca="false">IF(E386="","",IF(ISNUMBER(SEARCH("SUBSOLO",E386)),IFERROR(-VALUE(LEFT(E386,FIND("º",SUBSTITUTE(E386,"°","º"))-1)),-1),IF(LEFT(E386,6)="TÉRREO",0,IFERROR(VALUE(LEFT(E386,FIND("º",SUBSTITUTE(E386,"°","º"))-1)),""))))</f>
        <v>15</v>
      </c>
      <c r="O386" s="2" t="str">
        <f aca="false">IF(OR(F386="",G386=""),"",IF(G386&lt;='RETRATO 2027'!$K$5,"CONCLUÍDA",IF(F386&lt;='RETRATO 2027'!$K$5,"EM ANDAMENTO","A INICIAR")))</f>
        <v>CONCLUÍDA</v>
      </c>
    </row>
    <row r="387" customFormat="false" ht="15" hidden="false" customHeight="false" outlineLevel="0" collapsed="false">
      <c r="B387" s="4" t="n">
        <v>31529011</v>
      </c>
      <c r="C387" s="4" t="s">
        <v>2341</v>
      </c>
      <c r="D387" s="4" t="s">
        <v>2758</v>
      </c>
      <c r="E387" s="4" t="s">
        <v>2814</v>
      </c>
      <c r="F387" s="127" t="n">
        <v>46532</v>
      </c>
      <c r="G387" s="127" t="n">
        <v>46532</v>
      </c>
      <c r="H387" s="127" t="n">
        <v>46289</v>
      </c>
      <c r="I387" s="4" t="n">
        <v>0</v>
      </c>
      <c r="J387" s="4" t="n">
        <v>0</v>
      </c>
      <c r="K387" s="4" t="n">
        <v>0</v>
      </c>
      <c r="M387" s="2" t="str">
        <f aca="false">IF(C387="","",IFERROR(INDEX($S$5:$S$304,MATCH(C387,$R$5:$R$304,0))&amp;"","?"))</f>
        <v>17</v>
      </c>
      <c r="N387" s="2" t="n">
        <f aca="false">IF(E387="","",IF(ISNUMBER(SEARCH("SUBSOLO",E387)),IFERROR(-VALUE(LEFT(E387,FIND("º",SUBSTITUTE(E387,"°","º"))-1)),-1),IF(LEFT(E387,6)="TÉRREO",0,IFERROR(VALUE(LEFT(E387,FIND("º",SUBSTITUTE(E387,"°","º"))-1)),""))))</f>
        <v>15</v>
      </c>
      <c r="O387" s="2" t="str">
        <f aca="false">IF(OR(F387="",G387=""),"",IF(G387&lt;='RETRATO 2027'!$K$5,"CONCLUÍDA",IF(F387&lt;='RETRATO 2027'!$K$5,"EM ANDAMENTO","A INICIAR")))</f>
        <v>CONCLUÍDA</v>
      </c>
    </row>
    <row r="388" customFormat="false" ht="15" hidden="false" customHeight="false" outlineLevel="0" collapsed="false">
      <c r="B388" s="4" t="n">
        <v>30205725</v>
      </c>
      <c r="C388" s="4" t="s">
        <v>168</v>
      </c>
      <c r="D388" s="4" t="s">
        <v>463</v>
      </c>
      <c r="E388" s="4" t="s">
        <v>2740</v>
      </c>
      <c r="F388" s="127" t="n">
        <v>46524</v>
      </c>
      <c r="G388" s="127" t="n">
        <v>46554</v>
      </c>
      <c r="H388" s="127" t="n">
        <v>46289</v>
      </c>
      <c r="I388" s="4" t="n">
        <v>0</v>
      </c>
      <c r="J388" s="4" t="n">
        <v>0</v>
      </c>
      <c r="K388" s="4" t="n">
        <v>0</v>
      </c>
      <c r="M388" s="2" t="str">
        <f aca="false">IF(C388="","",IFERROR(INDEX($S$5:$S$304,MATCH(C388,$R$5:$R$304,0))&amp;"","?"))</f>
        <v>18</v>
      </c>
      <c r="N388" s="2" t="n">
        <f aca="false">IF(E388="","",IF(ISNUMBER(SEARCH("SUBSOLO",E388)),IFERROR(-VALUE(LEFT(E388,FIND("º",SUBSTITUTE(E388,"°","º"))-1)),-1),IF(LEFT(E388,6)="TÉRREO",0,IFERROR(VALUE(LEFT(E388,FIND("º",SUBSTITUTE(E388,"°","º"))-1)),""))))</f>
        <v>-1</v>
      </c>
      <c r="O388" s="2" t="str">
        <f aca="false">IF(OR(F388="",G388=""),"",IF(G388&lt;='RETRATO 2027'!$K$5,"CONCLUÍDA",IF(F388&lt;='RETRATO 2027'!$K$5,"EM ANDAMENTO","A INICIAR")))</f>
        <v>CONCLUÍDA</v>
      </c>
    </row>
    <row r="389" customFormat="false" ht="15" hidden="false" customHeight="false" outlineLevel="0" collapsed="false">
      <c r="B389" s="4" t="n">
        <v>29981433</v>
      </c>
      <c r="C389" s="4" t="s">
        <v>2416</v>
      </c>
      <c r="D389" s="4" t="s">
        <v>463</v>
      </c>
      <c r="E389" s="4" t="s">
        <v>2809</v>
      </c>
      <c r="F389" s="127" t="n">
        <v>46524</v>
      </c>
      <c r="G389" s="127" t="n">
        <v>46535</v>
      </c>
      <c r="H389" s="127" t="n">
        <v>46289</v>
      </c>
      <c r="I389" s="4" t="n">
        <v>0</v>
      </c>
      <c r="J389" s="4" t="n">
        <v>0</v>
      </c>
      <c r="K389" s="4" t="n">
        <v>0</v>
      </c>
      <c r="M389" s="2" t="str">
        <f aca="false">IF(C389="","",IFERROR(INDEX($S$5:$S$304,MATCH(C389,$R$5:$R$304,0))&amp;"","?"))</f>
        <v>18</v>
      </c>
      <c r="N389" s="2" t="n">
        <f aca="false">IF(E389="","",IF(ISNUMBER(SEARCH("SUBSOLO",E389)),IFERROR(-VALUE(LEFT(E389,FIND("º",SUBSTITUTE(E389,"°","º"))-1)),-1),IF(LEFT(E389,6)="TÉRREO",0,IFERROR(VALUE(LEFT(E389,FIND("º",SUBSTITUTE(E389,"°","º"))-1)),""))))</f>
        <v>10</v>
      </c>
      <c r="O389" s="2" t="str">
        <f aca="false">IF(OR(F389="",G389=""),"",IF(G389&lt;='RETRATO 2027'!$K$5,"CONCLUÍDA",IF(F389&lt;='RETRATO 2027'!$K$5,"EM ANDAMENTO","A INICIAR")))</f>
        <v>CONCLUÍDA</v>
      </c>
    </row>
    <row r="390" customFormat="false" ht="15" hidden="false" customHeight="false" outlineLevel="0" collapsed="false">
      <c r="B390" s="4" t="n">
        <v>29981407</v>
      </c>
      <c r="C390" s="4" t="s">
        <v>2410</v>
      </c>
      <c r="D390" s="4" t="s">
        <v>463</v>
      </c>
      <c r="E390" s="4" t="s">
        <v>2810</v>
      </c>
      <c r="F390" s="127" t="n">
        <v>46527</v>
      </c>
      <c r="G390" s="127" t="n">
        <v>46540</v>
      </c>
      <c r="H390" s="127" t="n">
        <v>46289</v>
      </c>
      <c r="I390" s="4" t="n">
        <v>0</v>
      </c>
      <c r="J390" s="4" t="n">
        <v>0</v>
      </c>
      <c r="K390" s="4" t="n">
        <v>0</v>
      </c>
      <c r="M390" s="2" t="str">
        <f aca="false">IF(C390="","",IFERROR(INDEX($S$5:$S$304,MATCH(C390,$R$5:$R$304,0))&amp;"","?"))</f>
        <v>22</v>
      </c>
      <c r="N390" s="2" t="n">
        <f aca="false">IF(E390="","",IF(ISNUMBER(SEARCH("SUBSOLO",E390)),IFERROR(-VALUE(LEFT(E390,FIND("º",SUBSTITUTE(E390,"°","º"))-1)),-1),IF(LEFT(E390,6)="TÉRREO",0,IFERROR(VALUE(LEFT(E390,FIND("º",SUBSTITUTE(E390,"°","º"))-1)),""))))</f>
        <v>11</v>
      </c>
      <c r="O390" s="2" t="str">
        <f aca="false">IF(OR(F390="",G390=""),"",IF(G390&lt;='RETRATO 2027'!$K$5,"CONCLUÍDA",IF(F390&lt;='RETRATO 2027'!$K$5,"EM ANDAMENTO","A INICIAR")))</f>
        <v>CONCLUÍDA</v>
      </c>
    </row>
    <row r="391" customFormat="false" ht="15" hidden="false" customHeight="false" outlineLevel="0" collapsed="false">
      <c r="B391" s="4" t="n">
        <v>29981358</v>
      </c>
      <c r="C391" s="4" t="s">
        <v>168</v>
      </c>
      <c r="D391" s="4" t="s">
        <v>463</v>
      </c>
      <c r="E391" s="4" t="s">
        <v>2811</v>
      </c>
      <c r="F391" s="127" t="n">
        <v>46527</v>
      </c>
      <c r="G391" s="127" t="n">
        <v>46540</v>
      </c>
      <c r="H391" s="127" t="n">
        <v>46289</v>
      </c>
      <c r="I391" s="4" t="n">
        <v>0</v>
      </c>
      <c r="J391" s="4" t="n">
        <v>0</v>
      </c>
      <c r="K391" s="4" t="n">
        <v>0</v>
      </c>
      <c r="M391" s="2" t="str">
        <f aca="false">IF(C391="","",IFERROR(INDEX($S$5:$S$304,MATCH(C391,$R$5:$R$304,0))&amp;"","?"))</f>
        <v>18</v>
      </c>
      <c r="N391" s="2" t="n">
        <f aca="false">IF(E391="","",IF(ISNUMBER(SEARCH("SUBSOLO",E391)),IFERROR(-VALUE(LEFT(E391,FIND("º",SUBSTITUTE(E391,"°","º"))-1)),-1),IF(LEFT(E391,6)="TÉRREO",0,IFERROR(VALUE(LEFT(E391,FIND("º",SUBSTITUTE(E391,"°","º"))-1)),""))))</f>
        <v>12</v>
      </c>
      <c r="O391" s="2" t="str">
        <f aca="false">IF(OR(F391="",G391=""),"",IF(G391&lt;='RETRATO 2027'!$K$5,"CONCLUÍDA",IF(F391&lt;='RETRATO 2027'!$K$5,"EM ANDAMENTO","A INICIAR")))</f>
        <v>CONCLUÍDA</v>
      </c>
    </row>
    <row r="392" customFormat="false" ht="15" hidden="false" customHeight="false" outlineLevel="0" collapsed="false">
      <c r="B392" s="4" t="n">
        <v>29981523</v>
      </c>
      <c r="C392" s="4" t="s">
        <v>2437</v>
      </c>
      <c r="D392" s="4" t="s">
        <v>463</v>
      </c>
      <c r="E392" s="4" t="s">
        <v>2803</v>
      </c>
      <c r="F392" s="127" t="n">
        <v>46533</v>
      </c>
      <c r="G392" s="127" t="n">
        <v>46546</v>
      </c>
      <c r="H392" s="127" t="n">
        <v>46289</v>
      </c>
      <c r="I392" s="4" t="n">
        <v>0</v>
      </c>
      <c r="J392" s="4" t="n">
        <v>0</v>
      </c>
      <c r="K392" s="4" t="n">
        <v>0</v>
      </c>
      <c r="M392" s="2" t="str">
        <f aca="false">IF(C392="","",IFERROR(INDEX($S$5:$S$304,MATCH(C392,$R$5:$R$304,0))&amp;"","?"))</f>
        <v>29</v>
      </c>
      <c r="N392" s="2" t="n">
        <f aca="false">IF(E392="","",IF(ISNUMBER(SEARCH("SUBSOLO",E392)),IFERROR(-VALUE(LEFT(E392,FIND("º",SUBSTITUTE(E392,"°","º"))-1)),-1),IF(LEFT(E392,6)="TÉRREO",0,IFERROR(VALUE(LEFT(E392,FIND("º",SUBSTITUTE(E392,"°","º"))-1)),""))))</f>
        <v>7</v>
      </c>
      <c r="O392" s="2" t="str">
        <f aca="false">IF(OR(F392="",G392=""),"",IF(G392&lt;='RETRATO 2027'!$K$5,"CONCLUÍDA",IF(F392&lt;='RETRATO 2027'!$K$5,"EM ANDAMENTO","A INICIAR")))</f>
        <v>CONCLUÍDA</v>
      </c>
    </row>
    <row r="393" customFormat="false" ht="15" hidden="false" customHeight="false" outlineLevel="0" collapsed="false">
      <c r="B393" s="4" t="n">
        <v>29981489</v>
      </c>
      <c r="C393" s="4" t="s">
        <v>2434</v>
      </c>
      <c r="D393" s="4" t="s">
        <v>463</v>
      </c>
      <c r="E393" s="4" t="s">
        <v>2804</v>
      </c>
      <c r="F393" s="127" t="n">
        <v>46533</v>
      </c>
      <c r="G393" s="127" t="n">
        <v>46546</v>
      </c>
      <c r="H393" s="127" t="n">
        <v>46289</v>
      </c>
      <c r="I393" s="4" t="n">
        <v>0</v>
      </c>
      <c r="J393" s="4" t="n">
        <v>0</v>
      </c>
      <c r="K393" s="4" t="n">
        <v>0</v>
      </c>
      <c r="M393" s="2" t="str">
        <f aca="false">IF(C393="","",IFERROR(INDEX($S$5:$S$304,MATCH(C393,$R$5:$R$304,0))&amp;"","?"))</f>
        <v>25</v>
      </c>
      <c r="N393" s="2" t="n">
        <f aca="false">IF(E393="","",IF(ISNUMBER(SEARCH("SUBSOLO",E393)),IFERROR(-VALUE(LEFT(E393,FIND("º",SUBSTITUTE(E393,"°","º"))-1)),-1),IF(LEFT(E393,6)="TÉRREO",0,IFERROR(VALUE(LEFT(E393,FIND("º",SUBSTITUTE(E393,"°","º"))-1)),""))))</f>
        <v>8</v>
      </c>
      <c r="O393" s="2" t="str">
        <f aca="false">IF(OR(F393="",G393=""),"",IF(G393&lt;='RETRATO 2027'!$K$5,"CONCLUÍDA",IF(F393&lt;='RETRATO 2027'!$K$5,"EM ANDAMENTO","A INICIAR")))</f>
        <v>CONCLUÍDA</v>
      </c>
    </row>
    <row r="394" customFormat="false" ht="15" hidden="false" customHeight="false" outlineLevel="0" collapsed="false">
      <c r="B394" s="4" t="n">
        <v>29981482</v>
      </c>
      <c r="C394" s="4" t="s">
        <v>2425</v>
      </c>
      <c r="D394" s="4" t="s">
        <v>463</v>
      </c>
      <c r="E394" s="4" t="s">
        <v>2805</v>
      </c>
      <c r="F394" s="127" t="n">
        <v>46533</v>
      </c>
      <c r="G394" s="127" t="n">
        <v>46546</v>
      </c>
      <c r="H394" s="127" t="n">
        <v>46289</v>
      </c>
      <c r="I394" s="4" t="n">
        <v>0</v>
      </c>
      <c r="J394" s="4" t="n">
        <v>0</v>
      </c>
      <c r="K394" s="4" t="n">
        <v>0</v>
      </c>
      <c r="M394" s="2" t="str">
        <f aca="false">IF(C394="","",IFERROR(INDEX($S$5:$S$304,MATCH(C394,$R$5:$R$304,0))&amp;"","?"))</f>
        <v>21</v>
      </c>
      <c r="N394" s="2" t="n">
        <f aca="false">IF(E394="","",IF(ISNUMBER(SEARCH("SUBSOLO",E394)),IFERROR(-VALUE(LEFT(E394,FIND("º",SUBSTITUTE(E394,"°","º"))-1)),-1),IF(LEFT(E394,6)="TÉRREO",0,IFERROR(VALUE(LEFT(E394,FIND("º",SUBSTITUTE(E394,"°","º"))-1)),""))))</f>
        <v>9</v>
      </c>
      <c r="O394" s="2" t="str">
        <f aca="false">IF(OR(F394="",G394=""),"",IF(G394&lt;='RETRATO 2027'!$K$5,"CONCLUÍDA",IF(F394&lt;='RETRATO 2027'!$K$5,"EM ANDAMENTO","A INICIAR")))</f>
        <v>CONCLUÍDA</v>
      </c>
    </row>
    <row r="395" customFormat="false" ht="15" hidden="false" customHeight="false" outlineLevel="0" collapsed="false">
      <c r="B395" s="4" t="n">
        <v>29981451</v>
      </c>
      <c r="C395" s="4" t="s">
        <v>2428</v>
      </c>
      <c r="D395" s="4" t="s">
        <v>463</v>
      </c>
      <c r="E395" s="4" t="s">
        <v>2805</v>
      </c>
      <c r="F395" s="127" t="n">
        <v>46533</v>
      </c>
      <c r="G395" s="127" t="n">
        <v>46546</v>
      </c>
      <c r="H395" s="127" t="n">
        <v>46289</v>
      </c>
      <c r="I395" s="4" t="n">
        <v>0</v>
      </c>
      <c r="J395" s="4" t="n">
        <v>0</v>
      </c>
      <c r="K395" s="4" t="n">
        <v>0</v>
      </c>
      <c r="M395" s="2" t="str">
        <f aca="false">IF(C395="","",IFERROR(INDEX($S$5:$S$304,MATCH(C395,$R$5:$R$304,0))&amp;"","?"))</f>
        <v>20</v>
      </c>
      <c r="N395" s="2" t="n">
        <f aca="false">IF(E395="","",IF(ISNUMBER(SEARCH("SUBSOLO",E395)),IFERROR(-VALUE(LEFT(E395,FIND("º",SUBSTITUTE(E395,"°","º"))-1)),-1),IF(LEFT(E395,6)="TÉRREO",0,IFERROR(VALUE(LEFT(E395,FIND("º",SUBSTITUTE(E395,"°","º"))-1)),""))))</f>
        <v>9</v>
      </c>
      <c r="O395" s="2" t="str">
        <f aca="false">IF(OR(F395="",G395=""),"",IF(G395&lt;='RETRATO 2027'!$K$5,"CONCLUÍDA",IF(F395&lt;='RETRATO 2027'!$K$5,"EM ANDAMENTO","A INICIAR")))</f>
        <v>CONCLUÍDA</v>
      </c>
    </row>
    <row r="396" customFormat="false" ht="15" hidden="false" customHeight="false" outlineLevel="0" collapsed="false">
      <c r="B396" s="4" t="n">
        <v>29981484</v>
      </c>
      <c r="C396" s="4" t="s">
        <v>2431</v>
      </c>
      <c r="D396" s="4" t="s">
        <v>463</v>
      </c>
      <c r="E396" s="4" t="s">
        <v>2805</v>
      </c>
      <c r="F396" s="127" t="n">
        <v>46533</v>
      </c>
      <c r="G396" s="127" t="n">
        <v>46546</v>
      </c>
      <c r="H396" s="127" t="n">
        <v>46289</v>
      </c>
      <c r="I396" s="4" t="n">
        <v>0</v>
      </c>
      <c r="J396" s="4" t="n">
        <v>0</v>
      </c>
      <c r="K396" s="4" t="n">
        <v>0</v>
      </c>
      <c r="M396" s="2" t="str">
        <f aca="false">IF(C396="","",IFERROR(INDEX($S$5:$S$304,MATCH(C396,$R$5:$R$304,0))&amp;"","?"))</f>
        <v>21</v>
      </c>
      <c r="N396" s="2" t="n">
        <f aca="false">IF(E396="","",IF(ISNUMBER(SEARCH("SUBSOLO",E396)),IFERROR(-VALUE(LEFT(E396,FIND("º",SUBSTITUTE(E396,"°","º"))-1)),-1),IF(LEFT(E396,6)="TÉRREO",0,IFERROR(VALUE(LEFT(E396,FIND("º",SUBSTITUTE(E396,"°","º"))-1)),""))))</f>
        <v>9</v>
      </c>
      <c r="O396" s="2" t="str">
        <f aca="false">IF(OR(F396="",G396=""),"",IF(G396&lt;='RETRATO 2027'!$K$5,"CONCLUÍDA",IF(F396&lt;='RETRATO 2027'!$K$5,"EM ANDAMENTO","A INICIAR")))</f>
        <v>CONCLUÍDA</v>
      </c>
    </row>
    <row r="397" customFormat="false" ht="15" hidden="false" customHeight="false" outlineLevel="0" collapsed="false">
      <c r="B397" s="4" t="n">
        <v>29981431</v>
      </c>
      <c r="C397" s="4" t="s">
        <v>2422</v>
      </c>
      <c r="D397" s="4" t="s">
        <v>463</v>
      </c>
      <c r="E397" s="4" t="s">
        <v>2809</v>
      </c>
      <c r="F397" s="127" t="n">
        <v>46533</v>
      </c>
      <c r="G397" s="127" t="n">
        <v>46546</v>
      </c>
      <c r="H397" s="127" t="n">
        <v>46289</v>
      </c>
      <c r="I397" s="4" t="n">
        <v>0</v>
      </c>
      <c r="J397" s="4" t="n">
        <v>0</v>
      </c>
      <c r="K397" s="4" t="n">
        <v>0</v>
      </c>
      <c r="M397" s="2" t="str">
        <f aca="false">IF(C397="","",IFERROR(INDEX($S$5:$S$304,MATCH(C397,$R$5:$R$304,0))&amp;"","?"))</f>
        <v>29</v>
      </c>
      <c r="N397" s="2" t="n">
        <f aca="false">IF(E397="","",IF(ISNUMBER(SEARCH("SUBSOLO",E397)),IFERROR(-VALUE(LEFT(E397,FIND("º",SUBSTITUTE(E397,"°","º"))-1)),-1),IF(LEFT(E397,6)="TÉRREO",0,IFERROR(VALUE(LEFT(E397,FIND("º",SUBSTITUTE(E397,"°","º"))-1)),""))))</f>
        <v>10</v>
      </c>
      <c r="O397" s="2" t="str">
        <f aca="false">IF(OR(F397="",G397=""),"",IF(G397&lt;='RETRATO 2027'!$K$5,"CONCLUÍDA",IF(F397&lt;='RETRATO 2027'!$K$5,"EM ANDAMENTO","A INICIAR")))</f>
        <v>CONCLUÍDA</v>
      </c>
    </row>
    <row r="398" customFormat="false" ht="15" hidden="false" customHeight="false" outlineLevel="0" collapsed="false">
      <c r="B398" s="4" t="n">
        <v>29981397</v>
      </c>
      <c r="C398" s="4" t="s">
        <v>2413</v>
      </c>
      <c r="D398" s="4" t="s">
        <v>463</v>
      </c>
      <c r="E398" s="4" t="s">
        <v>2810</v>
      </c>
      <c r="F398" s="127" t="n">
        <v>46533</v>
      </c>
      <c r="G398" s="127" t="n">
        <v>46546</v>
      </c>
      <c r="H398" s="127" t="n">
        <v>46289</v>
      </c>
      <c r="I398" s="4" t="n">
        <v>0</v>
      </c>
      <c r="J398" s="4" t="n">
        <v>0</v>
      </c>
      <c r="K398" s="4" t="n">
        <v>0</v>
      </c>
      <c r="M398" s="2" t="str">
        <f aca="false">IF(C398="","",IFERROR(INDEX($S$5:$S$304,MATCH(C398,$R$5:$R$304,0))&amp;"","?"))</f>
        <v>21</v>
      </c>
      <c r="N398" s="2" t="n">
        <f aca="false">IF(E398="","",IF(ISNUMBER(SEARCH("SUBSOLO",E398)),IFERROR(-VALUE(LEFT(E398,FIND("º",SUBSTITUTE(E398,"°","º"))-1)),-1),IF(LEFT(E398,6)="TÉRREO",0,IFERROR(VALUE(LEFT(E398,FIND("º",SUBSTITUTE(E398,"°","º"))-1)),""))))</f>
        <v>11</v>
      </c>
      <c r="O398" s="2" t="str">
        <f aca="false">IF(OR(F398="",G398=""),"",IF(G398&lt;='RETRATO 2027'!$K$5,"CONCLUÍDA",IF(F398&lt;='RETRATO 2027'!$K$5,"EM ANDAMENTO","A INICIAR")))</f>
        <v>CONCLUÍDA</v>
      </c>
    </row>
    <row r="399" customFormat="false" ht="15" hidden="false" customHeight="false" outlineLevel="0" collapsed="false">
      <c r="B399" s="4" t="n">
        <v>29940956</v>
      </c>
      <c r="C399" s="4" t="s">
        <v>2341</v>
      </c>
      <c r="D399" s="4" t="s">
        <v>463</v>
      </c>
      <c r="E399" s="4" t="s">
        <v>2815</v>
      </c>
      <c r="F399" s="127" t="n">
        <v>46533</v>
      </c>
      <c r="G399" s="127" t="n">
        <v>46545</v>
      </c>
      <c r="H399" s="127" t="n">
        <v>46289</v>
      </c>
      <c r="I399" s="4" t="n">
        <v>0</v>
      </c>
      <c r="J399" s="4" t="n">
        <v>0</v>
      </c>
      <c r="K399" s="4" t="n">
        <v>0</v>
      </c>
      <c r="M399" s="2" t="str">
        <f aca="false">IF(C399="","",IFERROR(INDEX($S$5:$S$304,MATCH(C399,$R$5:$R$304,0))&amp;"","?"))</f>
        <v>17</v>
      </c>
      <c r="N399" s="2" t="n">
        <f aca="false">IF(E399="","",IF(ISNUMBER(SEARCH("SUBSOLO",E399)),IFERROR(-VALUE(LEFT(E399,FIND("º",SUBSTITUTE(E399,"°","º"))-1)),-1),IF(LEFT(E399,6)="TÉRREO",0,IFERROR(VALUE(LEFT(E399,FIND("º",SUBSTITUTE(E399,"°","º"))-1)),""))))</f>
        <v>16</v>
      </c>
      <c r="O399" s="2" t="str">
        <f aca="false">IF(OR(F399="",G399=""),"",IF(G399&lt;='RETRATO 2027'!$K$5,"CONCLUÍDA",IF(F399&lt;='RETRATO 2027'!$K$5,"EM ANDAMENTO","A INICIAR")))</f>
        <v>CONCLUÍDA</v>
      </c>
    </row>
    <row r="400" customFormat="false" ht="15" hidden="false" customHeight="false" outlineLevel="0" collapsed="false">
      <c r="B400" s="4" t="n">
        <v>31529012</v>
      </c>
      <c r="C400" s="4" t="s">
        <v>2341</v>
      </c>
      <c r="D400" s="4" t="s">
        <v>2312</v>
      </c>
      <c r="E400" s="4" t="s">
        <v>2815</v>
      </c>
      <c r="F400" s="127" t="n">
        <v>46533</v>
      </c>
      <c r="G400" s="127" t="n">
        <v>46539</v>
      </c>
      <c r="H400" s="127" t="n">
        <v>46289</v>
      </c>
      <c r="I400" s="4" t="n">
        <v>0</v>
      </c>
      <c r="J400" s="4" t="n">
        <v>0</v>
      </c>
      <c r="K400" s="4" t="n">
        <v>0</v>
      </c>
      <c r="M400" s="2" t="str">
        <f aca="false">IF(C400="","",IFERROR(INDEX($S$5:$S$304,MATCH(C400,$R$5:$R$304,0))&amp;"","?"))</f>
        <v>17</v>
      </c>
      <c r="N400" s="2" t="n">
        <f aca="false">IF(E400="","",IF(ISNUMBER(SEARCH("SUBSOLO",E400)),IFERROR(-VALUE(LEFT(E400,FIND("º",SUBSTITUTE(E400,"°","º"))-1)),-1),IF(LEFT(E400,6)="TÉRREO",0,IFERROR(VALUE(LEFT(E400,FIND("º",SUBSTITUTE(E400,"°","º"))-1)),""))))</f>
        <v>16</v>
      </c>
      <c r="O400" s="2" t="str">
        <f aca="false">IF(OR(F400="",G400=""),"",IF(G400&lt;='RETRATO 2027'!$K$5,"CONCLUÍDA",IF(F400&lt;='RETRATO 2027'!$K$5,"EM ANDAMENTO","A INICIAR")))</f>
        <v>CONCLUÍDA</v>
      </c>
    </row>
    <row r="401" customFormat="false" ht="15" hidden="false" customHeight="false" outlineLevel="0" collapsed="false">
      <c r="B401" s="4" t="n">
        <v>31529013</v>
      </c>
      <c r="C401" s="4" t="s">
        <v>2341</v>
      </c>
      <c r="D401" s="4" t="s">
        <v>2309</v>
      </c>
      <c r="E401" s="4" t="s">
        <v>2815</v>
      </c>
      <c r="F401" s="127" t="n">
        <v>46540</v>
      </c>
      <c r="G401" s="127" t="n">
        <v>46542</v>
      </c>
      <c r="H401" s="127" t="n">
        <v>46289</v>
      </c>
      <c r="I401" s="4" t="n">
        <v>0</v>
      </c>
      <c r="J401" s="4" t="n">
        <v>0</v>
      </c>
      <c r="K401" s="4" t="n">
        <v>0</v>
      </c>
      <c r="M401" s="2" t="str">
        <f aca="false">IF(C401="","",IFERROR(INDEX($S$5:$S$304,MATCH(C401,$R$5:$R$304,0))&amp;"","?"))</f>
        <v>17</v>
      </c>
      <c r="N401" s="2" t="n">
        <f aca="false">IF(E401="","",IF(ISNUMBER(SEARCH("SUBSOLO",E401)),IFERROR(-VALUE(LEFT(E401,FIND("º",SUBSTITUTE(E401,"°","º"))-1)),-1),IF(LEFT(E401,6)="TÉRREO",0,IFERROR(VALUE(LEFT(E401,FIND("º",SUBSTITUTE(E401,"°","º"))-1)),""))))</f>
        <v>16</v>
      </c>
      <c r="O401" s="2" t="str">
        <f aca="false">IF(OR(F401="",G401=""),"",IF(G401&lt;='RETRATO 2027'!$K$5,"CONCLUÍDA",IF(F401&lt;='RETRATO 2027'!$K$5,"EM ANDAMENTO","A INICIAR")))</f>
        <v>CONCLUÍDA</v>
      </c>
    </row>
    <row r="402" customFormat="false" ht="15" hidden="false" customHeight="false" outlineLevel="0" collapsed="false">
      <c r="B402" s="4" t="n">
        <v>31529014</v>
      </c>
      <c r="C402" s="4" t="s">
        <v>2341</v>
      </c>
      <c r="D402" s="4" t="s">
        <v>2314</v>
      </c>
      <c r="E402" s="4" t="s">
        <v>2815</v>
      </c>
      <c r="F402" s="127" t="n">
        <v>46545</v>
      </c>
      <c r="G402" s="127" t="n">
        <v>46545</v>
      </c>
      <c r="H402" s="127" t="n">
        <v>46289</v>
      </c>
      <c r="I402" s="4" t="n">
        <v>0</v>
      </c>
      <c r="J402" s="4" t="n">
        <v>0</v>
      </c>
      <c r="K402" s="4" t="n">
        <v>0</v>
      </c>
      <c r="M402" s="2" t="str">
        <f aca="false">IF(C402="","",IFERROR(INDEX($S$5:$S$304,MATCH(C402,$R$5:$R$304,0))&amp;"","?"))</f>
        <v>17</v>
      </c>
      <c r="N402" s="2" t="n">
        <f aca="false">IF(E402="","",IF(ISNUMBER(SEARCH("SUBSOLO",E402)),IFERROR(-VALUE(LEFT(E402,FIND("º",SUBSTITUTE(E402,"°","º"))-1)),-1),IF(LEFT(E402,6)="TÉRREO",0,IFERROR(VALUE(LEFT(E402,FIND("º",SUBSTITUTE(E402,"°","º"))-1)),""))))</f>
        <v>16</v>
      </c>
      <c r="O402" s="2" t="str">
        <f aca="false">IF(OR(F402="",G402=""),"",IF(G402&lt;='RETRATO 2027'!$K$5,"CONCLUÍDA",IF(F402&lt;='RETRATO 2027'!$K$5,"EM ANDAMENTO","A INICIAR")))</f>
        <v>CONCLUÍDA</v>
      </c>
    </row>
    <row r="403" customFormat="false" ht="15" hidden="false" customHeight="false" outlineLevel="0" collapsed="false">
      <c r="B403" s="4" t="n">
        <v>31529015</v>
      </c>
      <c r="C403" s="4" t="s">
        <v>2341</v>
      </c>
      <c r="D403" s="4" t="s">
        <v>2758</v>
      </c>
      <c r="E403" s="4" t="s">
        <v>2815</v>
      </c>
      <c r="F403" s="127" t="n">
        <v>46545</v>
      </c>
      <c r="G403" s="127" t="n">
        <v>46545</v>
      </c>
      <c r="H403" s="127" t="n">
        <v>46289</v>
      </c>
      <c r="I403" s="4" t="n">
        <v>0</v>
      </c>
      <c r="J403" s="4" t="n">
        <v>0</v>
      </c>
      <c r="K403" s="4" t="n">
        <v>0</v>
      </c>
      <c r="M403" s="2" t="str">
        <f aca="false">IF(C403="","",IFERROR(INDEX($S$5:$S$304,MATCH(C403,$R$5:$R$304,0))&amp;"","?"))</f>
        <v>17</v>
      </c>
      <c r="N403" s="2" t="n">
        <f aca="false">IF(E403="","",IF(ISNUMBER(SEARCH("SUBSOLO",E403)),IFERROR(-VALUE(LEFT(E403,FIND("º",SUBSTITUTE(E403,"°","º"))-1)),-1),IF(LEFT(E403,6)="TÉRREO",0,IFERROR(VALUE(LEFT(E403,FIND("º",SUBSTITUTE(E403,"°","º"))-1)),""))))</f>
        <v>16</v>
      </c>
      <c r="O403" s="2" t="str">
        <f aca="false">IF(OR(F403="",G403=""),"",IF(G403&lt;='RETRATO 2027'!$K$5,"CONCLUÍDA",IF(F403&lt;='RETRATO 2027'!$K$5,"EM ANDAMENTO","A INICIAR")))</f>
        <v>CONCLUÍDA</v>
      </c>
    </row>
    <row r="404" customFormat="false" ht="15" hidden="false" customHeight="false" outlineLevel="0" collapsed="false">
      <c r="B404" s="4" t="n">
        <v>30171653</v>
      </c>
      <c r="C404" s="4" t="s">
        <v>2437</v>
      </c>
      <c r="D404" s="4" t="s">
        <v>463</v>
      </c>
      <c r="E404" s="4" t="s">
        <v>2816</v>
      </c>
      <c r="F404" s="127" t="n">
        <v>46535</v>
      </c>
      <c r="G404" s="127" t="n">
        <v>46862</v>
      </c>
      <c r="H404" s="127" t="n">
        <v>46289</v>
      </c>
      <c r="I404" s="4" t="n">
        <v>0</v>
      </c>
      <c r="J404" s="4" t="n">
        <v>0</v>
      </c>
      <c r="K404" s="4" t="n">
        <v>0</v>
      </c>
      <c r="M404" s="2" t="str">
        <f aca="false">IF(C404="","",IFERROR(INDEX($S$5:$S$304,MATCH(C404,$R$5:$R$304,0))&amp;"","?"))</f>
        <v>29</v>
      </c>
      <c r="N404" s="2" t="str">
        <f aca="false">IF(E404="","",IF(ISNUMBER(SEARCH("SUBSOLO",E404)),IFERROR(-VALUE(LEFT(E404,FIND("º",SUBSTITUTE(E404,"°","º"))-1)),-1),IF(LEFT(E404,6)="TÉRREO",0,IFERROR(VALUE(LEFT(E404,FIND("º",SUBSTITUTE(E404,"°","º"))-1)),""))))</f>
        <v/>
      </c>
      <c r="O404" s="2" t="str">
        <f aca="false">IF(OR(F404="",G404=""),"",IF(G404&lt;='RETRATO 2027'!$K$5,"CONCLUÍDA",IF(F404&lt;='RETRATO 2027'!$K$5,"EM ANDAMENTO","A INICIAR")))</f>
        <v>EM ANDAMENTO</v>
      </c>
    </row>
    <row r="405" customFormat="false" ht="15" hidden="false" customHeight="false" outlineLevel="0" collapsed="false">
      <c r="B405" s="4" t="n">
        <v>30171496</v>
      </c>
      <c r="C405" s="4" t="s">
        <v>2437</v>
      </c>
      <c r="D405" s="4" t="s">
        <v>463</v>
      </c>
      <c r="E405" s="4" t="s">
        <v>2817</v>
      </c>
      <c r="F405" s="127" t="n">
        <v>46535</v>
      </c>
      <c r="G405" s="127" t="n">
        <v>46862</v>
      </c>
      <c r="H405" s="127" t="n">
        <v>46289</v>
      </c>
      <c r="I405" s="4" t="n">
        <v>0</v>
      </c>
      <c r="J405" s="4" t="n">
        <v>0</v>
      </c>
      <c r="K405" s="4" t="n">
        <v>0</v>
      </c>
      <c r="M405" s="2" t="str">
        <f aca="false">IF(C405="","",IFERROR(INDEX($S$5:$S$304,MATCH(C405,$R$5:$R$304,0))&amp;"","?"))</f>
        <v>29</v>
      </c>
      <c r="N405" s="2" t="str">
        <f aca="false">IF(E405="","",IF(ISNUMBER(SEARCH("SUBSOLO",E405)),IFERROR(-VALUE(LEFT(E405,FIND("º",SUBSTITUTE(E405,"°","º"))-1)),-1),IF(LEFT(E405,6)="TÉRREO",0,IFERROR(VALUE(LEFT(E405,FIND("º",SUBSTITUTE(E405,"°","º"))-1)),""))))</f>
        <v/>
      </c>
      <c r="O405" s="2" t="str">
        <f aca="false">IF(OR(F405="",G405=""),"",IF(G405&lt;='RETRATO 2027'!$K$5,"CONCLUÍDA",IF(F405&lt;='RETRATO 2027'!$K$5,"EM ANDAMENTO","A INICIAR")))</f>
        <v>EM ANDAMENTO</v>
      </c>
    </row>
    <row r="406" customFormat="false" ht="15" hidden="false" customHeight="false" outlineLevel="0" collapsed="false">
      <c r="B406" s="4" t="n">
        <v>29981396</v>
      </c>
      <c r="C406" s="4" t="s">
        <v>2416</v>
      </c>
      <c r="D406" s="4" t="s">
        <v>463</v>
      </c>
      <c r="E406" s="4" t="s">
        <v>2810</v>
      </c>
      <c r="F406" s="127" t="n">
        <v>46538</v>
      </c>
      <c r="G406" s="127" t="n">
        <v>46548</v>
      </c>
      <c r="H406" s="127" t="n">
        <v>46289</v>
      </c>
      <c r="I406" s="4" t="n">
        <v>0</v>
      </c>
      <c r="J406" s="4" t="n">
        <v>0</v>
      </c>
      <c r="K406" s="4" t="n">
        <v>0</v>
      </c>
      <c r="M406" s="2" t="str">
        <f aca="false">IF(C406="","",IFERROR(INDEX($S$5:$S$304,MATCH(C406,$R$5:$R$304,0))&amp;"","?"))</f>
        <v>18</v>
      </c>
      <c r="N406" s="2" t="n">
        <f aca="false">IF(E406="","",IF(ISNUMBER(SEARCH("SUBSOLO",E406)),IFERROR(-VALUE(LEFT(E406,FIND("º",SUBSTITUTE(E406,"°","º"))-1)),-1),IF(LEFT(E406,6)="TÉRREO",0,IFERROR(VALUE(LEFT(E406,FIND("º",SUBSTITUTE(E406,"°","º"))-1)),""))))</f>
        <v>11</v>
      </c>
      <c r="O406" s="2" t="str">
        <f aca="false">IF(OR(F406="",G406=""),"",IF(G406&lt;='RETRATO 2027'!$K$5,"CONCLUÍDA",IF(F406&lt;='RETRATO 2027'!$K$5,"EM ANDAMENTO","A INICIAR")))</f>
        <v>CONCLUÍDA</v>
      </c>
    </row>
    <row r="407" customFormat="false" ht="15" hidden="false" customHeight="false" outlineLevel="0" collapsed="false">
      <c r="B407" s="4" t="n">
        <v>29981370</v>
      </c>
      <c r="C407" s="4" t="s">
        <v>2410</v>
      </c>
      <c r="D407" s="4" t="s">
        <v>463</v>
      </c>
      <c r="E407" s="4" t="s">
        <v>2811</v>
      </c>
      <c r="F407" s="127" t="n">
        <v>46541</v>
      </c>
      <c r="G407" s="127" t="n">
        <v>46553</v>
      </c>
      <c r="H407" s="127" t="n">
        <v>46289</v>
      </c>
      <c r="I407" s="4" t="n">
        <v>0</v>
      </c>
      <c r="J407" s="4" t="n">
        <v>0</v>
      </c>
      <c r="K407" s="4" t="n">
        <v>0</v>
      </c>
      <c r="M407" s="2" t="str">
        <f aca="false">IF(C407="","",IFERROR(INDEX($S$5:$S$304,MATCH(C407,$R$5:$R$304,0))&amp;"","?"))</f>
        <v>22</v>
      </c>
      <c r="N407" s="2" t="n">
        <f aca="false">IF(E407="","",IF(ISNUMBER(SEARCH("SUBSOLO",E407)),IFERROR(-VALUE(LEFT(E407,FIND("º",SUBSTITUTE(E407,"°","º"))-1)),-1),IF(LEFT(E407,6)="TÉRREO",0,IFERROR(VALUE(LEFT(E407,FIND("º",SUBSTITUTE(E407,"°","º"))-1)),""))))</f>
        <v>12</v>
      </c>
      <c r="O407" s="2" t="str">
        <f aca="false">IF(OR(F407="",G407=""),"",IF(G407&lt;='RETRATO 2027'!$K$5,"CONCLUÍDA",IF(F407&lt;='RETRATO 2027'!$K$5,"EM ANDAMENTO","A INICIAR")))</f>
        <v>CONCLUÍDA</v>
      </c>
    </row>
    <row r="408" customFormat="false" ht="15" hidden="false" customHeight="false" outlineLevel="0" collapsed="false">
      <c r="B408" s="4" t="n">
        <v>29981321</v>
      </c>
      <c r="C408" s="4" t="s">
        <v>168</v>
      </c>
      <c r="D408" s="4" t="s">
        <v>463</v>
      </c>
      <c r="E408" s="4" t="s">
        <v>2812</v>
      </c>
      <c r="F408" s="127" t="n">
        <v>46541</v>
      </c>
      <c r="G408" s="127" t="n">
        <v>46553</v>
      </c>
      <c r="H408" s="127" t="n">
        <v>46289</v>
      </c>
      <c r="I408" s="4" t="n">
        <v>0</v>
      </c>
      <c r="J408" s="4" t="n">
        <v>0</v>
      </c>
      <c r="K408" s="4" t="n">
        <v>0</v>
      </c>
      <c r="M408" s="2" t="str">
        <f aca="false">IF(C408="","",IFERROR(INDEX($S$5:$S$304,MATCH(C408,$R$5:$R$304,0))&amp;"","?"))</f>
        <v>18</v>
      </c>
      <c r="N408" s="2" t="n">
        <f aca="false">IF(E408="","",IF(ISNUMBER(SEARCH("SUBSOLO",E408)),IFERROR(-VALUE(LEFT(E408,FIND("º",SUBSTITUTE(E408,"°","º"))-1)),-1),IF(LEFT(E408,6)="TÉRREO",0,IFERROR(VALUE(LEFT(E408,FIND("º",SUBSTITUTE(E408,"°","º"))-1)),""))))</f>
        <v>13</v>
      </c>
      <c r="O408" s="2" t="str">
        <f aca="false">IF(OR(F408="",G408=""),"",IF(G408&lt;='RETRATO 2027'!$K$5,"CONCLUÍDA",IF(F408&lt;='RETRATO 2027'!$K$5,"EM ANDAMENTO","A INICIAR")))</f>
        <v>CONCLUÍDA</v>
      </c>
    </row>
    <row r="409" customFormat="false" ht="15" hidden="false" customHeight="false" outlineLevel="0" collapsed="false">
      <c r="B409" s="4" t="n">
        <v>29940957</v>
      </c>
      <c r="C409" s="4" t="s">
        <v>2341</v>
      </c>
      <c r="D409" s="4" t="s">
        <v>463</v>
      </c>
      <c r="E409" s="4" t="s">
        <v>2818</v>
      </c>
      <c r="F409" s="127" t="n">
        <v>46546</v>
      </c>
      <c r="G409" s="127" t="n">
        <v>46555</v>
      </c>
      <c r="H409" s="127" t="n">
        <v>46289</v>
      </c>
      <c r="I409" s="4" t="n">
        <v>0</v>
      </c>
      <c r="J409" s="4" t="n">
        <v>0</v>
      </c>
      <c r="K409" s="4" t="n">
        <v>0</v>
      </c>
      <c r="M409" s="2" t="str">
        <f aca="false">IF(C409="","",IFERROR(INDEX($S$5:$S$304,MATCH(C409,$R$5:$R$304,0))&amp;"","?"))</f>
        <v>17</v>
      </c>
      <c r="N409" s="2" t="n">
        <f aca="false">IF(E409="","",IF(ISNUMBER(SEARCH("SUBSOLO",E409)),IFERROR(-VALUE(LEFT(E409,FIND("º",SUBSTITUTE(E409,"°","º"))-1)),-1),IF(LEFT(E409,6)="TÉRREO",0,IFERROR(VALUE(LEFT(E409,FIND("º",SUBSTITUTE(E409,"°","º"))-1)),""))))</f>
        <v>17</v>
      </c>
      <c r="O409" s="2" t="str">
        <f aca="false">IF(OR(F409="",G409=""),"",IF(G409&lt;='RETRATO 2027'!$K$5,"CONCLUÍDA",IF(F409&lt;='RETRATO 2027'!$K$5,"EM ANDAMENTO","A INICIAR")))</f>
        <v>CONCLUÍDA</v>
      </c>
    </row>
    <row r="410" customFormat="false" ht="15" hidden="false" customHeight="false" outlineLevel="0" collapsed="false">
      <c r="B410" s="4" t="n">
        <v>31529016</v>
      </c>
      <c r="C410" s="4" t="s">
        <v>2341</v>
      </c>
      <c r="D410" s="4" t="s">
        <v>2312</v>
      </c>
      <c r="E410" s="4" t="s">
        <v>2818</v>
      </c>
      <c r="F410" s="127" t="n">
        <v>46546</v>
      </c>
      <c r="G410" s="127" t="n">
        <v>46549</v>
      </c>
      <c r="H410" s="127" t="n">
        <v>46289</v>
      </c>
      <c r="I410" s="4" t="n">
        <v>0</v>
      </c>
      <c r="J410" s="4" t="n">
        <v>0</v>
      </c>
      <c r="K410" s="4" t="n">
        <v>0</v>
      </c>
      <c r="M410" s="2" t="str">
        <f aca="false">IF(C410="","",IFERROR(INDEX($S$5:$S$304,MATCH(C410,$R$5:$R$304,0))&amp;"","?"))</f>
        <v>17</v>
      </c>
      <c r="N410" s="2" t="n">
        <f aca="false">IF(E410="","",IF(ISNUMBER(SEARCH("SUBSOLO",E410)),IFERROR(-VALUE(LEFT(E410,FIND("º",SUBSTITUTE(E410,"°","º"))-1)),-1),IF(LEFT(E410,6)="TÉRREO",0,IFERROR(VALUE(LEFT(E410,FIND("º",SUBSTITUTE(E410,"°","º"))-1)),""))))</f>
        <v>17</v>
      </c>
      <c r="O410" s="2" t="str">
        <f aca="false">IF(OR(F410="",G410=""),"",IF(G410&lt;='RETRATO 2027'!$K$5,"CONCLUÍDA",IF(F410&lt;='RETRATO 2027'!$K$5,"EM ANDAMENTO","A INICIAR")))</f>
        <v>CONCLUÍDA</v>
      </c>
    </row>
    <row r="411" customFormat="false" ht="15" hidden="false" customHeight="false" outlineLevel="0" collapsed="false">
      <c r="B411" s="4" t="n">
        <v>31529017</v>
      </c>
      <c r="C411" s="4" t="s">
        <v>2341</v>
      </c>
      <c r="D411" s="4" t="s">
        <v>2309</v>
      </c>
      <c r="E411" s="4" t="s">
        <v>2818</v>
      </c>
      <c r="F411" s="127" t="n">
        <v>46552</v>
      </c>
      <c r="G411" s="127" t="n">
        <v>46554</v>
      </c>
      <c r="H411" s="127" t="n">
        <v>46289</v>
      </c>
      <c r="I411" s="4" t="n">
        <v>0</v>
      </c>
      <c r="J411" s="4" t="n">
        <v>0</v>
      </c>
      <c r="K411" s="4" t="n">
        <v>0</v>
      </c>
      <c r="M411" s="2" t="str">
        <f aca="false">IF(C411="","",IFERROR(INDEX($S$5:$S$304,MATCH(C411,$R$5:$R$304,0))&amp;"","?"))</f>
        <v>17</v>
      </c>
      <c r="N411" s="2" t="n">
        <f aca="false">IF(E411="","",IF(ISNUMBER(SEARCH("SUBSOLO",E411)),IFERROR(-VALUE(LEFT(E411,FIND("º",SUBSTITUTE(E411,"°","º"))-1)),-1),IF(LEFT(E411,6)="TÉRREO",0,IFERROR(VALUE(LEFT(E411,FIND("º",SUBSTITUTE(E411,"°","º"))-1)),""))))</f>
        <v>17</v>
      </c>
      <c r="O411" s="2" t="str">
        <f aca="false">IF(OR(F411="",G411=""),"",IF(G411&lt;='RETRATO 2027'!$K$5,"CONCLUÍDA",IF(F411&lt;='RETRATO 2027'!$K$5,"EM ANDAMENTO","A INICIAR")))</f>
        <v>CONCLUÍDA</v>
      </c>
    </row>
    <row r="412" customFormat="false" ht="15" hidden="false" customHeight="false" outlineLevel="0" collapsed="false">
      <c r="B412" s="4" t="n">
        <v>31529018</v>
      </c>
      <c r="C412" s="4" t="s">
        <v>2341</v>
      </c>
      <c r="D412" s="4" t="s">
        <v>2314</v>
      </c>
      <c r="E412" s="4" t="s">
        <v>2818</v>
      </c>
      <c r="F412" s="127" t="n">
        <v>46555</v>
      </c>
      <c r="G412" s="127" t="n">
        <v>46555</v>
      </c>
      <c r="H412" s="127" t="n">
        <v>46289</v>
      </c>
      <c r="I412" s="4" t="n">
        <v>0</v>
      </c>
      <c r="J412" s="4" t="n">
        <v>0</v>
      </c>
      <c r="K412" s="4" t="n">
        <v>0</v>
      </c>
      <c r="M412" s="2" t="str">
        <f aca="false">IF(C412="","",IFERROR(INDEX($S$5:$S$304,MATCH(C412,$R$5:$R$304,0))&amp;"","?"))</f>
        <v>17</v>
      </c>
      <c r="N412" s="2" t="n">
        <f aca="false">IF(E412="","",IF(ISNUMBER(SEARCH("SUBSOLO",E412)),IFERROR(-VALUE(LEFT(E412,FIND("º",SUBSTITUTE(E412,"°","º"))-1)),-1),IF(LEFT(E412,6)="TÉRREO",0,IFERROR(VALUE(LEFT(E412,FIND("º",SUBSTITUTE(E412,"°","º"))-1)),""))))</f>
        <v>17</v>
      </c>
      <c r="O412" s="2" t="str">
        <f aca="false">IF(OR(F412="",G412=""),"",IF(G412&lt;='RETRATO 2027'!$K$5,"CONCLUÍDA",IF(F412&lt;='RETRATO 2027'!$K$5,"EM ANDAMENTO","A INICIAR")))</f>
        <v>CONCLUÍDA</v>
      </c>
    </row>
    <row r="413" customFormat="false" ht="15" hidden="false" customHeight="false" outlineLevel="0" collapsed="false">
      <c r="B413" s="4" t="n">
        <v>31529019</v>
      </c>
      <c r="C413" s="4" t="s">
        <v>2341</v>
      </c>
      <c r="D413" s="4" t="s">
        <v>2758</v>
      </c>
      <c r="E413" s="4" t="s">
        <v>2818</v>
      </c>
      <c r="F413" s="127" t="n">
        <v>46555</v>
      </c>
      <c r="G413" s="127" t="n">
        <v>46555</v>
      </c>
      <c r="H413" s="127" t="n">
        <v>46289</v>
      </c>
      <c r="I413" s="4" t="n">
        <v>0</v>
      </c>
      <c r="J413" s="4" t="n">
        <v>0</v>
      </c>
      <c r="K413" s="4" t="n">
        <v>0</v>
      </c>
      <c r="M413" s="2" t="str">
        <f aca="false">IF(C413="","",IFERROR(INDEX($S$5:$S$304,MATCH(C413,$R$5:$R$304,0))&amp;"","?"))</f>
        <v>17</v>
      </c>
      <c r="N413" s="2" t="n">
        <f aca="false">IF(E413="","",IF(ISNUMBER(SEARCH("SUBSOLO",E413)),IFERROR(-VALUE(LEFT(E413,FIND("º",SUBSTITUTE(E413,"°","º"))-1)),-1),IF(LEFT(E413,6)="TÉRREO",0,IFERROR(VALUE(LEFT(E413,FIND("º",SUBSTITUTE(E413,"°","º"))-1)),""))))</f>
        <v>17</v>
      </c>
      <c r="O413" s="2" t="str">
        <f aca="false">IF(OR(F413="",G413=""),"",IF(G413&lt;='RETRATO 2027'!$K$5,"CONCLUÍDA",IF(F413&lt;='RETRATO 2027'!$K$5,"EM ANDAMENTO","A INICIAR")))</f>
        <v>CONCLUÍDA</v>
      </c>
    </row>
    <row r="414" customFormat="false" ht="15" hidden="false" customHeight="false" outlineLevel="0" collapsed="false">
      <c r="B414" s="4" t="n">
        <v>29981524</v>
      </c>
      <c r="C414" s="4" t="s">
        <v>2440</v>
      </c>
      <c r="D414" s="4" t="s">
        <v>463</v>
      </c>
      <c r="E414" s="4" t="s">
        <v>2803</v>
      </c>
      <c r="F414" s="127" t="n">
        <v>46547</v>
      </c>
      <c r="G414" s="127" t="n">
        <v>46559</v>
      </c>
      <c r="H414" s="127" t="n">
        <v>46289</v>
      </c>
      <c r="I414" s="4" t="n">
        <v>0</v>
      </c>
      <c r="J414" s="4" t="n">
        <v>0</v>
      </c>
      <c r="K414" s="4" t="n">
        <v>0</v>
      </c>
      <c r="M414" s="2" t="str">
        <f aca="false">IF(C414="","",IFERROR(INDEX($S$5:$S$304,MATCH(C414,$R$5:$R$304,0))&amp;"","?"))</f>
        <v>21</v>
      </c>
      <c r="N414" s="2" t="n">
        <f aca="false">IF(E414="","",IF(ISNUMBER(SEARCH("SUBSOLO",E414)),IFERROR(-VALUE(LEFT(E414,FIND("º",SUBSTITUTE(E414,"°","º"))-1)),-1),IF(LEFT(E414,6)="TÉRREO",0,IFERROR(VALUE(LEFT(E414,FIND("º",SUBSTITUTE(E414,"°","º"))-1)),""))))</f>
        <v>7</v>
      </c>
      <c r="O414" s="2" t="str">
        <f aca="false">IF(OR(F414="",G414=""),"",IF(G414&lt;='RETRATO 2027'!$K$5,"CONCLUÍDA",IF(F414&lt;='RETRATO 2027'!$K$5,"EM ANDAMENTO","A INICIAR")))</f>
        <v>CONCLUÍDA</v>
      </c>
    </row>
    <row r="415" customFormat="false" ht="15" hidden="false" customHeight="false" outlineLevel="0" collapsed="false">
      <c r="B415" s="4" t="n">
        <v>29981557</v>
      </c>
      <c r="C415" s="4" t="s">
        <v>2443</v>
      </c>
      <c r="D415" s="4" t="s">
        <v>463</v>
      </c>
      <c r="E415" s="4" t="s">
        <v>2803</v>
      </c>
      <c r="F415" s="127" t="n">
        <v>46547</v>
      </c>
      <c r="G415" s="127" t="n">
        <v>46559</v>
      </c>
      <c r="H415" s="127" t="n">
        <v>46289</v>
      </c>
      <c r="I415" s="4" t="n">
        <v>0</v>
      </c>
      <c r="J415" s="4" t="n">
        <v>0</v>
      </c>
      <c r="K415" s="4" t="n">
        <v>0</v>
      </c>
      <c r="M415" s="2" t="str">
        <f aca="false">IF(C415="","",IFERROR(INDEX($S$5:$S$304,MATCH(C415,$R$5:$R$304,0))&amp;"","?"))</f>
        <v>20</v>
      </c>
      <c r="N415" s="2" t="n">
        <f aca="false">IF(E415="","",IF(ISNUMBER(SEARCH("SUBSOLO",E415)),IFERROR(-VALUE(LEFT(E415,FIND("º",SUBSTITUTE(E415,"°","º"))-1)),-1),IF(LEFT(E415,6)="TÉRREO",0,IFERROR(VALUE(LEFT(E415,FIND("º",SUBSTITUTE(E415,"°","º"))-1)),""))))</f>
        <v>7</v>
      </c>
      <c r="O415" s="2" t="str">
        <f aca="false">IF(OR(F415="",G415=""),"",IF(G415&lt;='RETRATO 2027'!$K$5,"CONCLUÍDA",IF(F415&lt;='RETRATO 2027'!$K$5,"EM ANDAMENTO","A INICIAR")))</f>
        <v>CONCLUÍDA</v>
      </c>
    </row>
    <row r="416" customFormat="false" ht="15" hidden="false" customHeight="false" outlineLevel="0" collapsed="false">
      <c r="B416" s="4" t="n">
        <v>29981486</v>
      </c>
      <c r="C416" s="4" t="s">
        <v>2437</v>
      </c>
      <c r="D416" s="4" t="s">
        <v>463</v>
      </c>
      <c r="E416" s="4" t="s">
        <v>2804</v>
      </c>
      <c r="F416" s="127" t="n">
        <v>46547</v>
      </c>
      <c r="G416" s="127" t="n">
        <v>46559</v>
      </c>
      <c r="H416" s="127" t="n">
        <v>46289</v>
      </c>
      <c r="I416" s="4" t="n">
        <v>0</v>
      </c>
      <c r="J416" s="4" t="n">
        <v>0</v>
      </c>
      <c r="K416" s="4" t="n">
        <v>0</v>
      </c>
      <c r="M416" s="2" t="str">
        <f aca="false">IF(C416="","",IFERROR(INDEX($S$5:$S$304,MATCH(C416,$R$5:$R$304,0))&amp;"","?"))</f>
        <v>29</v>
      </c>
      <c r="N416" s="2" t="n">
        <f aca="false">IF(E416="","",IF(ISNUMBER(SEARCH("SUBSOLO",E416)),IFERROR(-VALUE(LEFT(E416,FIND("º",SUBSTITUTE(E416,"°","º"))-1)),-1),IF(LEFT(E416,6)="TÉRREO",0,IFERROR(VALUE(LEFT(E416,FIND("º",SUBSTITUTE(E416,"°","º"))-1)),""))))</f>
        <v>8</v>
      </c>
      <c r="O416" s="2" t="str">
        <f aca="false">IF(OR(F416="",G416=""),"",IF(G416&lt;='RETRATO 2027'!$K$5,"CONCLUÍDA",IF(F416&lt;='RETRATO 2027'!$K$5,"EM ANDAMENTO","A INICIAR")))</f>
        <v>CONCLUÍDA</v>
      </c>
    </row>
    <row r="417" customFormat="false" ht="15" hidden="false" customHeight="false" outlineLevel="0" collapsed="false">
      <c r="B417" s="4" t="n">
        <v>29981452</v>
      </c>
      <c r="C417" s="4" t="s">
        <v>2434</v>
      </c>
      <c r="D417" s="4" t="s">
        <v>463</v>
      </c>
      <c r="E417" s="4" t="s">
        <v>2805</v>
      </c>
      <c r="F417" s="127" t="n">
        <v>46547</v>
      </c>
      <c r="G417" s="127" t="n">
        <v>46559</v>
      </c>
      <c r="H417" s="127" t="n">
        <v>46289</v>
      </c>
      <c r="I417" s="4" t="n">
        <v>0</v>
      </c>
      <c r="J417" s="4" t="n">
        <v>0</v>
      </c>
      <c r="K417" s="4" t="n">
        <v>0</v>
      </c>
      <c r="M417" s="2" t="str">
        <f aca="false">IF(C417="","",IFERROR(INDEX($S$5:$S$304,MATCH(C417,$R$5:$R$304,0))&amp;"","?"))</f>
        <v>25</v>
      </c>
      <c r="N417" s="2" t="n">
        <f aca="false">IF(E417="","",IF(ISNUMBER(SEARCH("SUBSOLO",E417)),IFERROR(-VALUE(LEFT(E417,FIND("º",SUBSTITUTE(E417,"°","º"))-1)),-1),IF(LEFT(E417,6)="TÉRREO",0,IFERROR(VALUE(LEFT(E417,FIND("º",SUBSTITUTE(E417,"°","º"))-1)),""))))</f>
        <v>9</v>
      </c>
      <c r="O417" s="2" t="str">
        <f aca="false">IF(OR(F417="",G417=""),"",IF(G417&lt;='RETRATO 2027'!$K$5,"CONCLUÍDA",IF(F417&lt;='RETRATO 2027'!$K$5,"EM ANDAMENTO","A INICIAR")))</f>
        <v>CONCLUÍDA</v>
      </c>
    </row>
    <row r="418" customFormat="false" ht="15" hidden="false" customHeight="false" outlineLevel="0" collapsed="false">
      <c r="B418" s="4" t="n">
        <v>29981445</v>
      </c>
      <c r="C418" s="4" t="s">
        <v>2425</v>
      </c>
      <c r="D418" s="4" t="s">
        <v>463</v>
      </c>
      <c r="E418" s="4" t="s">
        <v>2809</v>
      </c>
      <c r="F418" s="127" t="n">
        <v>46547</v>
      </c>
      <c r="G418" s="127" t="n">
        <v>46559</v>
      </c>
      <c r="H418" s="127" t="n">
        <v>46289</v>
      </c>
      <c r="I418" s="4" t="n">
        <v>0</v>
      </c>
      <c r="J418" s="4" t="n">
        <v>0</v>
      </c>
      <c r="K418" s="4" t="n">
        <v>0</v>
      </c>
      <c r="M418" s="2" t="str">
        <f aca="false">IF(C418="","",IFERROR(INDEX($S$5:$S$304,MATCH(C418,$R$5:$R$304,0))&amp;"","?"))</f>
        <v>21</v>
      </c>
      <c r="N418" s="2" t="n">
        <f aca="false">IF(E418="","",IF(ISNUMBER(SEARCH("SUBSOLO",E418)),IFERROR(-VALUE(LEFT(E418,FIND("º",SUBSTITUTE(E418,"°","º"))-1)),-1),IF(LEFT(E418,6)="TÉRREO",0,IFERROR(VALUE(LEFT(E418,FIND("º",SUBSTITUTE(E418,"°","º"))-1)),""))))</f>
        <v>10</v>
      </c>
      <c r="O418" s="2" t="str">
        <f aca="false">IF(OR(F418="",G418=""),"",IF(G418&lt;='RETRATO 2027'!$K$5,"CONCLUÍDA",IF(F418&lt;='RETRATO 2027'!$K$5,"EM ANDAMENTO","A INICIAR")))</f>
        <v>CONCLUÍDA</v>
      </c>
    </row>
    <row r="419" customFormat="false" ht="15" hidden="false" customHeight="false" outlineLevel="0" collapsed="false">
      <c r="B419" s="4" t="n">
        <v>29981414</v>
      </c>
      <c r="C419" s="4" t="s">
        <v>2428</v>
      </c>
      <c r="D419" s="4" t="s">
        <v>463</v>
      </c>
      <c r="E419" s="4" t="s">
        <v>2809</v>
      </c>
      <c r="F419" s="127" t="n">
        <v>46547</v>
      </c>
      <c r="G419" s="127" t="n">
        <v>46559</v>
      </c>
      <c r="H419" s="127" t="n">
        <v>46289</v>
      </c>
      <c r="I419" s="4" t="n">
        <v>0</v>
      </c>
      <c r="J419" s="4" t="n">
        <v>0</v>
      </c>
      <c r="K419" s="4" t="n">
        <v>0</v>
      </c>
      <c r="M419" s="2" t="str">
        <f aca="false">IF(C419="","",IFERROR(INDEX($S$5:$S$304,MATCH(C419,$R$5:$R$304,0))&amp;"","?"))</f>
        <v>20</v>
      </c>
      <c r="N419" s="2" t="n">
        <f aca="false">IF(E419="","",IF(ISNUMBER(SEARCH("SUBSOLO",E419)),IFERROR(-VALUE(LEFT(E419,FIND("º",SUBSTITUTE(E419,"°","º"))-1)),-1),IF(LEFT(E419,6)="TÉRREO",0,IFERROR(VALUE(LEFT(E419,FIND("º",SUBSTITUTE(E419,"°","º"))-1)),""))))</f>
        <v>10</v>
      </c>
      <c r="O419" s="2" t="str">
        <f aca="false">IF(OR(F419="",G419=""),"",IF(G419&lt;='RETRATO 2027'!$K$5,"CONCLUÍDA",IF(F419&lt;='RETRATO 2027'!$K$5,"EM ANDAMENTO","A INICIAR")))</f>
        <v>CONCLUÍDA</v>
      </c>
    </row>
    <row r="420" customFormat="false" ht="15" hidden="false" customHeight="false" outlineLevel="0" collapsed="false">
      <c r="B420" s="4" t="n">
        <v>29981447</v>
      </c>
      <c r="C420" s="4" t="s">
        <v>2431</v>
      </c>
      <c r="D420" s="4" t="s">
        <v>463</v>
      </c>
      <c r="E420" s="4" t="s">
        <v>2809</v>
      </c>
      <c r="F420" s="127" t="n">
        <v>46547</v>
      </c>
      <c r="G420" s="127" t="n">
        <v>46559</v>
      </c>
      <c r="H420" s="127" t="n">
        <v>46289</v>
      </c>
      <c r="I420" s="4" t="n">
        <v>0</v>
      </c>
      <c r="J420" s="4" t="n">
        <v>0</v>
      </c>
      <c r="K420" s="4" t="n">
        <v>0</v>
      </c>
      <c r="M420" s="2" t="str">
        <f aca="false">IF(C420="","",IFERROR(INDEX($S$5:$S$304,MATCH(C420,$R$5:$R$304,0))&amp;"","?"))</f>
        <v>21</v>
      </c>
      <c r="N420" s="2" t="n">
        <f aca="false">IF(E420="","",IF(ISNUMBER(SEARCH("SUBSOLO",E420)),IFERROR(-VALUE(LEFT(E420,FIND("º",SUBSTITUTE(E420,"°","º"))-1)),-1),IF(LEFT(E420,6)="TÉRREO",0,IFERROR(VALUE(LEFT(E420,FIND("º",SUBSTITUTE(E420,"°","º"))-1)),""))))</f>
        <v>10</v>
      </c>
      <c r="O420" s="2" t="str">
        <f aca="false">IF(OR(F420="",G420=""),"",IF(G420&lt;='RETRATO 2027'!$K$5,"CONCLUÍDA",IF(F420&lt;='RETRATO 2027'!$K$5,"EM ANDAMENTO","A INICIAR")))</f>
        <v>CONCLUÍDA</v>
      </c>
    </row>
    <row r="421" customFormat="false" ht="15" hidden="false" customHeight="false" outlineLevel="0" collapsed="false">
      <c r="B421" s="4" t="n">
        <v>29981394</v>
      </c>
      <c r="C421" s="4" t="s">
        <v>2422</v>
      </c>
      <c r="D421" s="4" t="s">
        <v>463</v>
      </c>
      <c r="E421" s="4" t="s">
        <v>2810</v>
      </c>
      <c r="F421" s="127" t="n">
        <v>46547</v>
      </c>
      <c r="G421" s="127" t="n">
        <v>46559</v>
      </c>
      <c r="H421" s="127" t="n">
        <v>46289</v>
      </c>
      <c r="I421" s="4" t="n">
        <v>0</v>
      </c>
      <c r="J421" s="4" t="n">
        <v>0</v>
      </c>
      <c r="K421" s="4" t="n">
        <v>0</v>
      </c>
      <c r="M421" s="2" t="str">
        <f aca="false">IF(C421="","",IFERROR(INDEX($S$5:$S$304,MATCH(C421,$R$5:$R$304,0))&amp;"","?"))</f>
        <v>29</v>
      </c>
      <c r="N421" s="2" t="n">
        <f aca="false">IF(E421="","",IF(ISNUMBER(SEARCH("SUBSOLO",E421)),IFERROR(-VALUE(LEFT(E421,FIND("º",SUBSTITUTE(E421,"°","º"))-1)),-1),IF(LEFT(E421,6)="TÉRREO",0,IFERROR(VALUE(LEFT(E421,FIND("º",SUBSTITUTE(E421,"°","º"))-1)),""))))</f>
        <v>11</v>
      </c>
      <c r="O421" s="2" t="str">
        <f aca="false">IF(OR(F421="",G421=""),"",IF(G421&lt;='RETRATO 2027'!$K$5,"CONCLUÍDA",IF(F421&lt;='RETRATO 2027'!$K$5,"EM ANDAMENTO","A INICIAR")))</f>
        <v>CONCLUÍDA</v>
      </c>
    </row>
    <row r="422" customFormat="false" ht="15" hidden="false" customHeight="false" outlineLevel="0" collapsed="false">
      <c r="B422" s="4" t="n">
        <v>29981360</v>
      </c>
      <c r="C422" s="4" t="s">
        <v>2413</v>
      </c>
      <c r="D422" s="4" t="s">
        <v>463</v>
      </c>
      <c r="E422" s="4" t="s">
        <v>2811</v>
      </c>
      <c r="F422" s="127" t="n">
        <v>46547</v>
      </c>
      <c r="G422" s="127" t="n">
        <v>46559</v>
      </c>
      <c r="H422" s="127" t="n">
        <v>46289</v>
      </c>
      <c r="I422" s="4" t="n">
        <v>0</v>
      </c>
      <c r="J422" s="4" t="n">
        <v>0</v>
      </c>
      <c r="K422" s="4" t="n">
        <v>0</v>
      </c>
      <c r="M422" s="2" t="str">
        <f aca="false">IF(C422="","",IFERROR(INDEX($S$5:$S$304,MATCH(C422,$R$5:$R$304,0))&amp;"","?"))</f>
        <v>21</v>
      </c>
      <c r="N422" s="2" t="n">
        <f aca="false">IF(E422="","",IF(ISNUMBER(SEARCH("SUBSOLO",E422)),IFERROR(-VALUE(LEFT(E422,FIND("º",SUBSTITUTE(E422,"°","º"))-1)),-1),IF(LEFT(E422,6)="TÉRREO",0,IFERROR(VALUE(LEFT(E422,FIND("º",SUBSTITUTE(E422,"°","º"))-1)),""))))</f>
        <v>12</v>
      </c>
      <c r="O422" s="2" t="str">
        <f aca="false">IF(OR(F422="",G422=""),"",IF(G422&lt;='RETRATO 2027'!$K$5,"CONCLUÍDA",IF(F422&lt;='RETRATO 2027'!$K$5,"EM ANDAMENTO","A INICIAR")))</f>
        <v>CONCLUÍDA</v>
      </c>
    </row>
    <row r="423" customFormat="false" ht="15" hidden="false" customHeight="false" outlineLevel="0" collapsed="false">
      <c r="B423" s="4" t="n">
        <v>29981359</v>
      </c>
      <c r="C423" s="4" t="s">
        <v>2416</v>
      </c>
      <c r="D423" s="4" t="s">
        <v>463</v>
      </c>
      <c r="E423" s="4" t="s">
        <v>2811</v>
      </c>
      <c r="F423" s="127" t="n">
        <v>46549</v>
      </c>
      <c r="G423" s="127" t="n">
        <v>46561</v>
      </c>
      <c r="H423" s="127" t="n">
        <v>46289</v>
      </c>
      <c r="I423" s="4" t="n">
        <v>0</v>
      </c>
      <c r="J423" s="4" t="n">
        <v>0</v>
      </c>
      <c r="K423" s="4" t="n">
        <v>0</v>
      </c>
      <c r="M423" s="2" t="str">
        <f aca="false">IF(C423="","",IFERROR(INDEX($S$5:$S$304,MATCH(C423,$R$5:$R$304,0))&amp;"","?"))</f>
        <v>18</v>
      </c>
      <c r="N423" s="2" t="n">
        <f aca="false">IF(E423="","",IF(ISNUMBER(SEARCH("SUBSOLO",E423)),IFERROR(-VALUE(LEFT(E423,FIND("º",SUBSTITUTE(E423,"°","º"))-1)),-1),IF(LEFT(E423,6)="TÉRREO",0,IFERROR(VALUE(LEFT(E423,FIND("º",SUBSTITUTE(E423,"°","º"))-1)),""))))</f>
        <v>12</v>
      </c>
      <c r="O423" s="2" t="str">
        <f aca="false">IF(OR(F423="",G423=""),"",IF(G423&lt;='RETRATO 2027'!$K$5,"CONCLUÍDA",IF(F423&lt;='RETRATO 2027'!$K$5,"EM ANDAMENTO","A INICIAR")))</f>
        <v>CONCLUÍDA</v>
      </c>
    </row>
    <row r="424" customFormat="false" ht="15" hidden="false" customHeight="false" outlineLevel="0" collapsed="false">
      <c r="B424" s="4" t="n">
        <v>30171482</v>
      </c>
      <c r="C424" s="4" t="s">
        <v>2422</v>
      </c>
      <c r="D424" s="4" t="s">
        <v>463</v>
      </c>
      <c r="E424" s="4" t="s">
        <v>2784</v>
      </c>
      <c r="F424" s="127" t="n">
        <v>46552</v>
      </c>
      <c r="G424" s="127" t="n">
        <v>46563</v>
      </c>
      <c r="H424" s="127" t="n">
        <v>46289</v>
      </c>
      <c r="I424" s="4" t="n">
        <v>0</v>
      </c>
      <c r="J424" s="4" t="n">
        <v>0</v>
      </c>
      <c r="K424" s="4" t="n">
        <v>0</v>
      </c>
      <c r="M424" s="2" t="str">
        <f aca="false">IF(C424="","",IFERROR(INDEX($S$5:$S$304,MATCH(C424,$R$5:$R$304,0))&amp;"","?"))</f>
        <v>29</v>
      </c>
      <c r="N424" s="2" t="n">
        <f aca="false">IF(E424="","",IF(ISNUMBER(SEARCH("SUBSOLO",E424)),IFERROR(-VALUE(LEFT(E424,FIND("º",SUBSTITUTE(E424,"°","º"))-1)),-1),IF(LEFT(E424,6)="TÉRREO",0,IFERROR(VALUE(LEFT(E424,FIND("º",SUBSTITUTE(E424,"°","º"))-1)),""))))</f>
        <v>2</v>
      </c>
      <c r="O424" s="2" t="str">
        <f aca="false">IF(OR(F424="",G424=""),"",IF(G424&lt;='RETRATO 2027'!$K$5,"CONCLUÍDA",IF(F424&lt;='RETRATO 2027'!$K$5,"EM ANDAMENTO","A INICIAR")))</f>
        <v>CONCLUÍDA</v>
      </c>
    </row>
    <row r="425" customFormat="false" ht="15" hidden="false" customHeight="false" outlineLevel="0" collapsed="false">
      <c r="B425" s="4" t="n">
        <v>30171488</v>
      </c>
      <c r="C425" s="4" t="s">
        <v>2446</v>
      </c>
      <c r="D425" s="4" t="s">
        <v>463</v>
      </c>
      <c r="E425" s="4" t="s">
        <v>2784</v>
      </c>
      <c r="F425" s="127" t="n">
        <v>46552</v>
      </c>
      <c r="G425" s="127" t="n">
        <v>46563</v>
      </c>
      <c r="H425" s="127" t="n">
        <v>46289</v>
      </c>
      <c r="I425" s="4" t="n">
        <v>0</v>
      </c>
      <c r="J425" s="4" t="n">
        <v>0</v>
      </c>
      <c r="K425" s="4" t="n">
        <v>0</v>
      </c>
      <c r="M425" s="2" t="str">
        <f aca="false">IF(C425="","",IFERROR(INDEX($S$5:$S$304,MATCH(C425,$R$5:$R$304,0))&amp;"","?"))</f>
        <v>26</v>
      </c>
      <c r="N425" s="2" t="n">
        <f aca="false">IF(E425="","",IF(ISNUMBER(SEARCH("SUBSOLO",E425)),IFERROR(-VALUE(LEFT(E425,FIND("º",SUBSTITUTE(E425,"°","º"))-1)),-1),IF(LEFT(E425,6)="TÉRREO",0,IFERROR(VALUE(LEFT(E425,FIND("º",SUBSTITUTE(E425,"°","º"))-1)),""))))</f>
        <v>2</v>
      </c>
      <c r="O425" s="2" t="str">
        <f aca="false">IF(OR(F425="",G425=""),"",IF(G425&lt;='RETRATO 2027'!$K$5,"CONCLUÍDA",IF(F425&lt;='RETRATO 2027'!$K$5,"EM ANDAMENTO","A INICIAR")))</f>
        <v>CONCLUÍDA</v>
      </c>
    </row>
    <row r="426" customFormat="false" ht="15" hidden="false" customHeight="false" outlineLevel="0" collapsed="false">
      <c r="B426" s="4" t="n">
        <v>30171453</v>
      </c>
      <c r="C426" s="4" t="s">
        <v>168</v>
      </c>
      <c r="D426" s="4" t="s">
        <v>463</v>
      </c>
      <c r="E426" s="4" t="s">
        <v>2790</v>
      </c>
      <c r="F426" s="127" t="n">
        <v>46552</v>
      </c>
      <c r="G426" s="127" t="n">
        <v>46611</v>
      </c>
      <c r="H426" s="127" t="n">
        <v>46289</v>
      </c>
      <c r="I426" s="4" t="n">
        <v>0</v>
      </c>
      <c r="J426" s="4" t="n">
        <v>0</v>
      </c>
      <c r="K426" s="4" t="n">
        <v>0</v>
      </c>
      <c r="M426" s="2" t="str">
        <f aca="false">IF(C426="","",IFERROR(INDEX($S$5:$S$304,MATCH(C426,$R$5:$R$304,0))&amp;"","?"))</f>
        <v>18</v>
      </c>
      <c r="N426" s="2" t="n">
        <f aca="false">IF(E426="","",IF(ISNUMBER(SEARCH("SUBSOLO",E426)),IFERROR(-VALUE(LEFT(E426,FIND("º",SUBSTITUTE(E426,"°","º"))-1)),-1),IF(LEFT(E426,6)="TÉRREO",0,IFERROR(VALUE(LEFT(E426,FIND("º",SUBSTITUTE(E426,"°","º"))-1)),""))))</f>
        <v>3</v>
      </c>
      <c r="O426" s="2" t="str">
        <f aca="false">IF(OR(F426="",G426=""),"",IF(G426&lt;='RETRATO 2027'!$K$5,"CONCLUÍDA",IF(F426&lt;='RETRATO 2027'!$K$5,"EM ANDAMENTO","A INICIAR")))</f>
        <v>CONCLUÍDA</v>
      </c>
    </row>
    <row r="427" customFormat="false" ht="15" hidden="false" customHeight="false" outlineLevel="0" collapsed="false">
      <c r="B427" s="4" t="n">
        <v>30171437</v>
      </c>
      <c r="C427" s="4" t="s">
        <v>2396</v>
      </c>
      <c r="D427" s="4" t="s">
        <v>463</v>
      </c>
      <c r="E427" s="4" t="s">
        <v>2800</v>
      </c>
      <c r="F427" s="127" t="n">
        <v>46552</v>
      </c>
      <c r="G427" s="127" t="n">
        <v>46611</v>
      </c>
      <c r="H427" s="127" t="n">
        <v>46289</v>
      </c>
      <c r="I427" s="4" t="n">
        <v>0</v>
      </c>
      <c r="J427" s="4" t="n">
        <v>0</v>
      </c>
      <c r="K427" s="4" t="n">
        <v>0</v>
      </c>
      <c r="M427" s="2" t="str">
        <f aca="false">IF(C427="","",IFERROR(INDEX($S$5:$S$304,MATCH(C427,$R$5:$R$304,0))&amp;"","?"))</f>
        <v>20</v>
      </c>
      <c r="N427" s="2" t="n">
        <f aca="false">IF(E427="","",IF(ISNUMBER(SEARCH("SUBSOLO",E427)),IFERROR(-VALUE(LEFT(E427,FIND("º",SUBSTITUTE(E427,"°","º"))-1)),-1),IF(LEFT(E427,6)="TÉRREO",0,IFERROR(VALUE(LEFT(E427,FIND("º",SUBSTITUTE(E427,"°","º"))-1)),""))))</f>
        <v>4</v>
      </c>
      <c r="O427" s="2" t="str">
        <f aca="false">IF(OR(F427="",G427=""),"",IF(G427&lt;='RETRATO 2027'!$K$5,"CONCLUÍDA",IF(F427&lt;='RETRATO 2027'!$K$5,"EM ANDAMENTO","A INICIAR")))</f>
        <v>CONCLUÍDA</v>
      </c>
    </row>
    <row r="428" customFormat="false" ht="15" hidden="false" customHeight="false" outlineLevel="0" collapsed="false">
      <c r="B428" s="4" t="n">
        <v>29981333</v>
      </c>
      <c r="C428" s="4" t="s">
        <v>2410</v>
      </c>
      <c r="D428" s="4" t="s">
        <v>463</v>
      </c>
      <c r="E428" s="4" t="s">
        <v>2812</v>
      </c>
      <c r="F428" s="127" t="n">
        <v>46554</v>
      </c>
      <c r="G428" s="127" t="n">
        <v>46566</v>
      </c>
      <c r="H428" s="127" t="n">
        <v>46289</v>
      </c>
      <c r="I428" s="4" t="n">
        <v>0</v>
      </c>
      <c r="J428" s="4" t="n">
        <v>0</v>
      </c>
      <c r="K428" s="4" t="n">
        <v>0</v>
      </c>
      <c r="M428" s="2" t="str">
        <f aca="false">IF(C428="","",IFERROR(INDEX($S$5:$S$304,MATCH(C428,$R$5:$R$304,0))&amp;"","?"))</f>
        <v>22</v>
      </c>
      <c r="N428" s="2" t="n">
        <f aca="false">IF(E428="","",IF(ISNUMBER(SEARCH("SUBSOLO",E428)),IFERROR(-VALUE(LEFT(E428,FIND("º",SUBSTITUTE(E428,"°","º"))-1)),-1),IF(LEFT(E428,6)="TÉRREO",0,IFERROR(VALUE(LEFT(E428,FIND("º",SUBSTITUTE(E428,"°","º"))-1)),""))))</f>
        <v>13</v>
      </c>
      <c r="O428" s="2" t="str">
        <f aca="false">IF(OR(F428="",G428=""),"",IF(G428&lt;='RETRATO 2027'!$K$5,"CONCLUÍDA",IF(F428&lt;='RETRATO 2027'!$K$5,"EM ANDAMENTO","A INICIAR")))</f>
        <v>CONCLUÍDA</v>
      </c>
    </row>
    <row r="429" customFormat="false" ht="15" hidden="false" customHeight="false" outlineLevel="0" collapsed="false">
      <c r="B429" s="4" t="n">
        <v>29981284</v>
      </c>
      <c r="C429" s="4" t="s">
        <v>168</v>
      </c>
      <c r="D429" s="4" t="s">
        <v>463</v>
      </c>
      <c r="E429" s="4" t="s">
        <v>2813</v>
      </c>
      <c r="F429" s="127" t="n">
        <v>46554</v>
      </c>
      <c r="G429" s="127" t="n">
        <v>46566</v>
      </c>
      <c r="H429" s="127" t="n">
        <v>46289</v>
      </c>
      <c r="I429" s="4" t="n">
        <v>0</v>
      </c>
      <c r="J429" s="4" t="n">
        <v>0</v>
      </c>
      <c r="K429" s="4" t="n">
        <v>0</v>
      </c>
      <c r="M429" s="2" t="str">
        <f aca="false">IF(C429="","",IFERROR(INDEX($S$5:$S$304,MATCH(C429,$R$5:$R$304,0))&amp;"","?"))</f>
        <v>18</v>
      </c>
      <c r="N429" s="2" t="n">
        <f aca="false">IF(E429="","",IF(ISNUMBER(SEARCH("SUBSOLO",E429)),IFERROR(-VALUE(LEFT(E429,FIND("º",SUBSTITUTE(E429,"°","º"))-1)),-1),IF(LEFT(E429,6)="TÉRREO",0,IFERROR(VALUE(LEFT(E429,FIND("º",SUBSTITUTE(E429,"°","º"))-1)),""))))</f>
        <v>14</v>
      </c>
      <c r="O429" s="2" t="str">
        <f aca="false">IF(OR(F429="",G429=""),"",IF(G429&lt;='RETRATO 2027'!$K$5,"CONCLUÍDA",IF(F429&lt;='RETRATO 2027'!$K$5,"EM ANDAMENTO","A INICIAR")))</f>
        <v>CONCLUÍDA</v>
      </c>
    </row>
    <row r="430" customFormat="false" ht="15" hidden="false" customHeight="false" outlineLevel="0" collapsed="false">
      <c r="B430" s="4" t="n">
        <v>30205726</v>
      </c>
      <c r="C430" s="4" t="s">
        <v>2422</v>
      </c>
      <c r="D430" s="4" t="s">
        <v>463</v>
      </c>
      <c r="E430" s="4" t="s">
        <v>2740</v>
      </c>
      <c r="F430" s="127" t="n">
        <v>46555</v>
      </c>
      <c r="G430" s="127" t="n">
        <v>46568</v>
      </c>
      <c r="H430" s="127" t="n">
        <v>46289</v>
      </c>
      <c r="I430" s="4" t="n">
        <v>0</v>
      </c>
      <c r="J430" s="4" t="n">
        <v>0</v>
      </c>
      <c r="K430" s="4" t="n">
        <v>0</v>
      </c>
      <c r="M430" s="2" t="str">
        <f aca="false">IF(C430="","",IFERROR(INDEX($S$5:$S$304,MATCH(C430,$R$5:$R$304,0))&amp;"","?"))</f>
        <v>29</v>
      </c>
      <c r="N430" s="2" t="n">
        <f aca="false">IF(E430="","",IF(ISNUMBER(SEARCH("SUBSOLO",E430)),IFERROR(-VALUE(LEFT(E430,FIND("º",SUBSTITUTE(E430,"°","º"))-1)),-1),IF(LEFT(E430,6)="TÉRREO",0,IFERROR(VALUE(LEFT(E430,FIND("º",SUBSTITUTE(E430,"°","º"))-1)),""))))</f>
        <v>-1</v>
      </c>
      <c r="O430" s="2" t="str">
        <f aca="false">IF(OR(F430="",G430=""),"",IF(G430&lt;='RETRATO 2027'!$K$5,"CONCLUÍDA",IF(F430&lt;='RETRATO 2027'!$K$5,"EM ANDAMENTO","A INICIAR")))</f>
        <v>CONCLUÍDA</v>
      </c>
    </row>
    <row r="431" customFormat="false" ht="15" hidden="false" customHeight="false" outlineLevel="0" collapsed="false">
      <c r="B431" s="4" t="n">
        <v>30205732</v>
      </c>
      <c r="C431" s="4" t="s">
        <v>2446</v>
      </c>
      <c r="D431" s="4" t="s">
        <v>463</v>
      </c>
      <c r="E431" s="4" t="s">
        <v>2740</v>
      </c>
      <c r="F431" s="127" t="n">
        <v>46555</v>
      </c>
      <c r="G431" s="127" t="n">
        <v>46568</v>
      </c>
      <c r="H431" s="127" t="n">
        <v>46289</v>
      </c>
      <c r="I431" s="4" t="n">
        <v>0</v>
      </c>
      <c r="J431" s="4" t="n">
        <v>0</v>
      </c>
      <c r="K431" s="4" t="n">
        <v>0</v>
      </c>
      <c r="M431" s="2" t="str">
        <f aca="false">IF(C431="","",IFERROR(INDEX($S$5:$S$304,MATCH(C431,$R$5:$R$304,0))&amp;"","?"))</f>
        <v>26</v>
      </c>
      <c r="N431" s="2" t="n">
        <f aca="false">IF(E431="","",IF(ISNUMBER(SEARCH("SUBSOLO",E431)),IFERROR(-VALUE(LEFT(E431,FIND("º",SUBSTITUTE(E431,"°","º"))-1)),-1),IF(LEFT(E431,6)="TÉRREO",0,IFERROR(VALUE(LEFT(E431,FIND("º",SUBSTITUTE(E431,"°","º"))-1)),""))))</f>
        <v>-1</v>
      </c>
      <c r="O431" s="2" t="str">
        <f aca="false">IF(OR(F431="",G431=""),"",IF(G431&lt;='RETRATO 2027'!$K$5,"CONCLUÍDA",IF(F431&lt;='RETRATO 2027'!$K$5,"EM ANDAMENTO","A INICIAR")))</f>
        <v>CONCLUÍDA</v>
      </c>
    </row>
    <row r="432" customFormat="false" ht="15" hidden="false" customHeight="false" outlineLevel="0" collapsed="false">
      <c r="B432" s="4" t="n">
        <v>30205683</v>
      </c>
      <c r="C432" s="4" t="s">
        <v>168</v>
      </c>
      <c r="D432" s="4" t="s">
        <v>463</v>
      </c>
      <c r="E432" s="4" t="s">
        <v>2819</v>
      </c>
      <c r="F432" s="127" t="n">
        <v>46555</v>
      </c>
      <c r="G432" s="127" t="n">
        <v>46568</v>
      </c>
      <c r="H432" s="127" t="n">
        <v>46289</v>
      </c>
      <c r="I432" s="4" t="n">
        <v>0</v>
      </c>
      <c r="J432" s="4" t="n">
        <v>0</v>
      </c>
      <c r="K432" s="4" t="n">
        <v>0</v>
      </c>
      <c r="M432" s="2" t="str">
        <f aca="false">IF(C432="","",IFERROR(INDEX($S$5:$S$304,MATCH(C432,$R$5:$R$304,0))&amp;"","?"))</f>
        <v>18</v>
      </c>
      <c r="N432" s="2" t="n">
        <f aca="false">IF(E432="","",IF(ISNUMBER(SEARCH("SUBSOLO",E432)),IFERROR(-VALUE(LEFT(E432,FIND("º",SUBSTITUTE(E432,"°","º"))-1)),-1),IF(LEFT(E432,6)="TÉRREO",0,IFERROR(VALUE(LEFT(E432,FIND("º",SUBSTITUTE(E432,"°","º"))-1)),""))))</f>
        <v>0</v>
      </c>
      <c r="O432" s="2" t="str">
        <f aca="false">IF(OR(F432="",G432=""),"",IF(G432&lt;='RETRATO 2027'!$K$5,"CONCLUÍDA",IF(F432&lt;='RETRATO 2027'!$K$5,"EM ANDAMENTO","A INICIAR")))</f>
        <v>CONCLUÍDA</v>
      </c>
    </row>
    <row r="433" customFormat="false" ht="15" hidden="false" customHeight="false" outlineLevel="0" collapsed="false">
      <c r="B433" s="4" t="n">
        <v>29940958</v>
      </c>
      <c r="C433" s="4" t="s">
        <v>2341</v>
      </c>
      <c r="D433" s="4" t="s">
        <v>463</v>
      </c>
      <c r="E433" s="4" t="s">
        <v>2820</v>
      </c>
      <c r="F433" s="127" t="n">
        <v>46556</v>
      </c>
      <c r="G433" s="127" t="n">
        <v>46568</v>
      </c>
      <c r="H433" s="127" t="n">
        <v>46289</v>
      </c>
      <c r="I433" s="4" t="n">
        <v>0</v>
      </c>
      <c r="J433" s="4" t="n">
        <v>0</v>
      </c>
      <c r="K433" s="4" t="n">
        <v>0</v>
      </c>
      <c r="M433" s="2" t="str">
        <f aca="false">IF(C433="","",IFERROR(INDEX($S$5:$S$304,MATCH(C433,$R$5:$R$304,0))&amp;"","?"))</f>
        <v>17</v>
      </c>
      <c r="N433" s="2" t="n">
        <f aca="false">IF(E433="","",IF(ISNUMBER(SEARCH("SUBSOLO",E433)),IFERROR(-VALUE(LEFT(E433,FIND("º",SUBSTITUTE(E433,"°","º"))-1)),-1),IF(LEFT(E433,6)="TÉRREO",0,IFERROR(VALUE(LEFT(E433,FIND("º",SUBSTITUTE(E433,"°","º"))-1)),""))))</f>
        <v>18</v>
      </c>
      <c r="O433" s="2" t="str">
        <f aca="false">IF(OR(F433="",G433=""),"",IF(G433&lt;='RETRATO 2027'!$K$5,"CONCLUÍDA",IF(F433&lt;='RETRATO 2027'!$K$5,"EM ANDAMENTO","A INICIAR")))</f>
        <v>CONCLUÍDA</v>
      </c>
    </row>
    <row r="434" customFormat="false" ht="15" hidden="false" customHeight="false" outlineLevel="0" collapsed="false">
      <c r="B434" s="4" t="n">
        <v>31529020</v>
      </c>
      <c r="C434" s="4" t="s">
        <v>2341</v>
      </c>
      <c r="D434" s="4" t="s">
        <v>2312</v>
      </c>
      <c r="E434" s="4" t="s">
        <v>2820</v>
      </c>
      <c r="F434" s="127" t="n">
        <v>46556</v>
      </c>
      <c r="G434" s="127" t="n">
        <v>46562</v>
      </c>
      <c r="H434" s="127" t="n">
        <v>46289</v>
      </c>
      <c r="I434" s="4" t="n">
        <v>0</v>
      </c>
      <c r="J434" s="4" t="n">
        <v>0</v>
      </c>
      <c r="K434" s="4" t="n">
        <v>0</v>
      </c>
      <c r="M434" s="2" t="str">
        <f aca="false">IF(C434="","",IFERROR(INDEX($S$5:$S$304,MATCH(C434,$R$5:$R$304,0))&amp;"","?"))</f>
        <v>17</v>
      </c>
      <c r="N434" s="2" t="n">
        <f aca="false">IF(E434="","",IF(ISNUMBER(SEARCH("SUBSOLO",E434)),IFERROR(-VALUE(LEFT(E434,FIND("º",SUBSTITUTE(E434,"°","º"))-1)),-1),IF(LEFT(E434,6)="TÉRREO",0,IFERROR(VALUE(LEFT(E434,FIND("º",SUBSTITUTE(E434,"°","º"))-1)),""))))</f>
        <v>18</v>
      </c>
      <c r="O434" s="2" t="str">
        <f aca="false">IF(OR(F434="",G434=""),"",IF(G434&lt;='RETRATO 2027'!$K$5,"CONCLUÍDA",IF(F434&lt;='RETRATO 2027'!$K$5,"EM ANDAMENTO","A INICIAR")))</f>
        <v>CONCLUÍDA</v>
      </c>
    </row>
    <row r="435" customFormat="false" ht="15" hidden="false" customHeight="false" outlineLevel="0" collapsed="false">
      <c r="B435" s="4" t="n">
        <v>31529021</v>
      </c>
      <c r="C435" s="4" t="s">
        <v>2341</v>
      </c>
      <c r="D435" s="4" t="s">
        <v>2309</v>
      </c>
      <c r="E435" s="4" t="s">
        <v>2820</v>
      </c>
      <c r="F435" s="127" t="n">
        <v>46563</v>
      </c>
      <c r="G435" s="127" t="n">
        <v>46567</v>
      </c>
      <c r="H435" s="127" t="n">
        <v>46289</v>
      </c>
      <c r="I435" s="4" t="n">
        <v>0</v>
      </c>
      <c r="J435" s="4" t="n">
        <v>0</v>
      </c>
      <c r="K435" s="4" t="n">
        <v>0</v>
      </c>
      <c r="M435" s="2" t="str">
        <f aca="false">IF(C435="","",IFERROR(INDEX($S$5:$S$304,MATCH(C435,$R$5:$R$304,0))&amp;"","?"))</f>
        <v>17</v>
      </c>
      <c r="N435" s="2" t="n">
        <f aca="false">IF(E435="","",IF(ISNUMBER(SEARCH("SUBSOLO",E435)),IFERROR(-VALUE(LEFT(E435,FIND("º",SUBSTITUTE(E435,"°","º"))-1)),-1),IF(LEFT(E435,6)="TÉRREO",0,IFERROR(VALUE(LEFT(E435,FIND("º",SUBSTITUTE(E435,"°","º"))-1)),""))))</f>
        <v>18</v>
      </c>
      <c r="O435" s="2" t="str">
        <f aca="false">IF(OR(F435="",G435=""),"",IF(G435&lt;='RETRATO 2027'!$K$5,"CONCLUÍDA",IF(F435&lt;='RETRATO 2027'!$K$5,"EM ANDAMENTO","A INICIAR")))</f>
        <v>CONCLUÍDA</v>
      </c>
    </row>
    <row r="436" customFormat="false" ht="15" hidden="false" customHeight="false" outlineLevel="0" collapsed="false">
      <c r="B436" s="4" t="n">
        <v>31529022</v>
      </c>
      <c r="C436" s="4" t="s">
        <v>2341</v>
      </c>
      <c r="D436" s="4" t="s">
        <v>2314</v>
      </c>
      <c r="E436" s="4" t="s">
        <v>2820</v>
      </c>
      <c r="F436" s="127" t="n">
        <v>46568</v>
      </c>
      <c r="G436" s="127" t="n">
        <v>46568</v>
      </c>
      <c r="H436" s="127" t="n">
        <v>46289</v>
      </c>
      <c r="I436" s="4" t="n">
        <v>0</v>
      </c>
      <c r="J436" s="4" t="n">
        <v>0</v>
      </c>
      <c r="K436" s="4" t="n">
        <v>0</v>
      </c>
      <c r="M436" s="2" t="str">
        <f aca="false">IF(C436="","",IFERROR(INDEX($S$5:$S$304,MATCH(C436,$R$5:$R$304,0))&amp;"","?"))</f>
        <v>17</v>
      </c>
      <c r="N436" s="2" t="n">
        <f aca="false">IF(E436="","",IF(ISNUMBER(SEARCH("SUBSOLO",E436)),IFERROR(-VALUE(LEFT(E436,FIND("º",SUBSTITUTE(E436,"°","º"))-1)),-1),IF(LEFT(E436,6)="TÉRREO",0,IFERROR(VALUE(LEFT(E436,FIND("º",SUBSTITUTE(E436,"°","º"))-1)),""))))</f>
        <v>18</v>
      </c>
      <c r="O436" s="2" t="str">
        <f aca="false">IF(OR(F436="",G436=""),"",IF(G436&lt;='RETRATO 2027'!$K$5,"CONCLUÍDA",IF(F436&lt;='RETRATO 2027'!$K$5,"EM ANDAMENTO","A INICIAR")))</f>
        <v>CONCLUÍDA</v>
      </c>
    </row>
    <row r="437" customFormat="false" ht="15" hidden="false" customHeight="false" outlineLevel="0" collapsed="false">
      <c r="B437" s="4" t="n">
        <v>31529023</v>
      </c>
      <c r="C437" s="4" t="s">
        <v>2341</v>
      </c>
      <c r="D437" s="4" t="s">
        <v>2758</v>
      </c>
      <c r="E437" s="4" t="s">
        <v>2820</v>
      </c>
      <c r="F437" s="127" t="n">
        <v>46568</v>
      </c>
      <c r="G437" s="127" t="n">
        <v>46568</v>
      </c>
      <c r="H437" s="127" t="n">
        <v>46289</v>
      </c>
      <c r="I437" s="4" t="n">
        <v>0</v>
      </c>
      <c r="J437" s="4" t="n">
        <v>0</v>
      </c>
      <c r="K437" s="4" t="n">
        <v>0</v>
      </c>
      <c r="M437" s="2" t="str">
        <f aca="false">IF(C437="","",IFERROR(INDEX($S$5:$S$304,MATCH(C437,$R$5:$R$304,0))&amp;"","?"))</f>
        <v>17</v>
      </c>
      <c r="N437" s="2" t="n">
        <f aca="false">IF(E437="","",IF(ISNUMBER(SEARCH("SUBSOLO",E437)),IFERROR(-VALUE(LEFT(E437,FIND("º",SUBSTITUTE(E437,"°","º"))-1)),-1),IF(LEFT(E437,6)="TÉRREO",0,IFERROR(VALUE(LEFT(E437,FIND("º",SUBSTITUTE(E437,"°","º"))-1)),""))))</f>
        <v>18</v>
      </c>
      <c r="O437" s="2" t="str">
        <f aca="false">IF(OR(F437="",G437=""),"",IF(G437&lt;='RETRATO 2027'!$K$5,"CONCLUÍDA",IF(F437&lt;='RETRATO 2027'!$K$5,"EM ANDAMENTO","A INICIAR")))</f>
        <v>CONCLUÍDA</v>
      </c>
    </row>
    <row r="438" customFormat="false" ht="15" hidden="false" customHeight="false" outlineLevel="0" collapsed="false">
      <c r="B438" s="4" t="n">
        <v>30171483</v>
      </c>
      <c r="C438" s="4" t="s">
        <v>2416</v>
      </c>
      <c r="D438" s="4" t="s">
        <v>463</v>
      </c>
      <c r="E438" s="4" t="s">
        <v>2784</v>
      </c>
      <c r="F438" s="127" t="n">
        <v>46560</v>
      </c>
      <c r="G438" s="127" t="n">
        <v>46573</v>
      </c>
      <c r="H438" s="127" t="n">
        <v>46289</v>
      </c>
      <c r="I438" s="4" t="n">
        <v>0</v>
      </c>
      <c r="J438" s="4" t="n">
        <v>0</v>
      </c>
      <c r="K438" s="4" t="n">
        <v>0</v>
      </c>
      <c r="M438" s="2" t="str">
        <f aca="false">IF(C438="","",IFERROR(INDEX($S$5:$S$304,MATCH(C438,$R$5:$R$304,0))&amp;"","?"))</f>
        <v>18</v>
      </c>
      <c r="N438" s="2" t="n">
        <f aca="false">IF(E438="","",IF(ISNUMBER(SEARCH("SUBSOLO",E438)),IFERROR(-VALUE(LEFT(E438,FIND("º",SUBSTITUTE(E438,"°","º"))-1)),-1),IF(LEFT(E438,6)="TÉRREO",0,IFERROR(VALUE(LEFT(E438,FIND("º",SUBSTITUTE(E438,"°","º"))-1)),""))))</f>
        <v>2</v>
      </c>
      <c r="O438" s="2" t="str">
        <f aca="false">IF(OR(F438="",G438=""),"",IF(G438&lt;='RETRATO 2027'!$K$5,"CONCLUÍDA",IF(F438&lt;='RETRATO 2027'!$K$5,"EM ANDAMENTO","A INICIAR")))</f>
        <v>CONCLUÍDA</v>
      </c>
    </row>
    <row r="439" customFormat="false" ht="15" hidden="false" customHeight="false" outlineLevel="0" collapsed="false">
      <c r="B439" s="4" t="n">
        <v>29981547</v>
      </c>
      <c r="C439" s="4" t="s">
        <v>2449</v>
      </c>
      <c r="D439" s="4" t="s">
        <v>463</v>
      </c>
      <c r="E439" s="4" t="s">
        <v>2803</v>
      </c>
      <c r="F439" s="127" t="n">
        <v>46560</v>
      </c>
      <c r="G439" s="127" t="n">
        <v>46570</v>
      </c>
      <c r="H439" s="127" t="n">
        <v>46289</v>
      </c>
      <c r="I439" s="4" t="n">
        <v>0</v>
      </c>
      <c r="J439" s="4" t="n">
        <v>0</v>
      </c>
      <c r="K439" s="4" t="n">
        <v>0</v>
      </c>
      <c r="M439" s="2" t="str">
        <f aca="false">IF(C439="","",IFERROR(INDEX($S$5:$S$304,MATCH(C439,$R$5:$R$304,0))&amp;"","?"))</f>
        <v>28</v>
      </c>
      <c r="N439" s="2" t="n">
        <f aca="false">IF(E439="","",IF(ISNUMBER(SEARCH("SUBSOLO",E439)),IFERROR(-VALUE(LEFT(E439,FIND("º",SUBSTITUTE(E439,"°","º"))-1)),-1),IF(LEFT(E439,6)="TÉRREO",0,IFERROR(VALUE(LEFT(E439,FIND("º",SUBSTITUTE(E439,"°","º"))-1)),""))))</f>
        <v>7</v>
      </c>
      <c r="O439" s="2" t="str">
        <f aca="false">IF(OR(F439="",G439=""),"",IF(G439&lt;='RETRATO 2027'!$K$5,"CONCLUÍDA",IF(F439&lt;='RETRATO 2027'!$K$5,"EM ANDAMENTO","A INICIAR")))</f>
        <v>CONCLUÍDA</v>
      </c>
    </row>
    <row r="440" customFormat="false" ht="15" hidden="false" customHeight="false" outlineLevel="0" collapsed="false">
      <c r="B440" s="4" t="n">
        <v>29981487</v>
      </c>
      <c r="C440" s="4" t="s">
        <v>2440</v>
      </c>
      <c r="D440" s="4" t="s">
        <v>463</v>
      </c>
      <c r="E440" s="4" t="s">
        <v>2804</v>
      </c>
      <c r="F440" s="127" t="n">
        <v>46560</v>
      </c>
      <c r="G440" s="127" t="n">
        <v>46570</v>
      </c>
      <c r="H440" s="127" t="n">
        <v>46289</v>
      </c>
      <c r="I440" s="4" t="n">
        <v>0</v>
      </c>
      <c r="J440" s="4" t="n">
        <v>0</v>
      </c>
      <c r="K440" s="4" t="n">
        <v>0</v>
      </c>
      <c r="M440" s="2" t="str">
        <f aca="false">IF(C440="","",IFERROR(INDEX($S$5:$S$304,MATCH(C440,$R$5:$R$304,0))&amp;"","?"))</f>
        <v>21</v>
      </c>
      <c r="N440" s="2" t="n">
        <f aca="false">IF(E440="","",IF(ISNUMBER(SEARCH("SUBSOLO",E440)),IFERROR(-VALUE(LEFT(E440,FIND("º",SUBSTITUTE(E440,"°","º"))-1)),-1),IF(LEFT(E440,6)="TÉRREO",0,IFERROR(VALUE(LEFT(E440,FIND("º",SUBSTITUTE(E440,"°","º"))-1)),""))))</f>
        <v>8</v>
      </c>
      <c r="O440" s="2" t="str">
        <f aca="false">IF(OR(F440="",G440=""),"",IF(G440&lt;='RETRATO 2027'!$K$5,"CONCLUÍDA",IF(F440&lt;='RETRATO 2027'!$K$5,"EM ANDAMENTO","A INICIAR")))</f>
        <v>CONCLUÍDA</v>
      </c>
    </row>
    <row r="441" customFormat="false" ht="15" hidden="false" customHeight="false" outlineLevel="0" collapsed="false">
      <c r="B441" s="4" t="n">
        <v>29981520</v>
      </c>
      <c r="C441" s="4" t="s">
        <v>2443</v>
      </c>
      <c r="D441" s="4" t="s">
        <v>463</v>
      </c>
      <c r="E441" s="4" t="s">
        <v>2804</v>
      </c>
      <c r="F441" s="127" t="n">
        <v>46560</v>
      </c>
      <c r="G441" s="127" t="n">
        <v>46570</v>
      </c>
      <c r="H441" s="127" t="n">
        <v>46289</v>
      </c>
      <c r="I441" s="4" t="n">
        <v>0</v>
      </c>
      <c r="J441" s="4" t="n">
        <v>0</v>
      </c>
      <c r="K441" s="4" t="n">
        <v>0</v>
      </c>
      <c r="M441" s="2" t="str">
        <f aca="false">IF(C441="","",IFERROR(INDEX($S$5:$S$304,MATCH(C441,$R$5:$R$304,0))&amp;"","?"))</f>
        <v>20</v>
      </c>
      <c r="N441" s="2" t="n">
        <f aca="false">IF(E441="","",IF(ISNUMBER(SEARCH("SUBSOLO",E441)),IFERROR(-VALUE(LEFT(E441,FIND("º",SUBSTITUTE(E441,"°","º"))-1)),-1),IF(LEFT(E441,6)="TÉRREO",0,IFERROR(VALUE(LEFT(E441,FIND("º",SUBSTITUTE(E441,"°","º"))-1)),""))))</f>
        <v>8</v>
      </c>
      <c r="O441" s="2" t="str">
        <f aca="false">IF(OR(F441="",G441=""),"",IF(G441&lt;='RETRATO 2027'!$K$5,"CONCLUÍDA",IF(F441&lt;='RETRATO 2027'!$K$5,"EM ANDAMENTO","A INICIAR")))</f>
        <v>CONCLUÍDA</v>
      </c>
    </row>
    <row r="442" customFormat="false" ht="15" hidden="false" customHeight="false" outlineLevel="0" collapsed="false">
      <c r="B442" s="4" t="n">
        <v>29981449</v>
      </c>
      <c r="C442" s="4" t="s">
        <v>2437</v>
      </c>
      <c r="D442" s="4" t="s">
        <v>463</v>
      </c>
      <c r="E442" s="4" t="s">
        <v>2805</v>
      </c>
      <c r="F442" s="127" t="n">
        <v>46560</v>
      </c>
      <c r="G442" s="127" t="n">
        <v>46570</v>
      </c>
      <c r="H442" s="127" t="n">
        <v>46289</v>
      </c>
      <c r="I442" s="4" t="n">
        <v>0</v>
      </c>
      <c r="J442" s="4" t="n">
        <v>0</v>
      </c>
      <c r="K442" s="4" t="n">
        <v>0</v>
      </c>
      <c r="M442" s="2" t="str">
        <f aca="false">IF(C442="","",IFERROR(INDEX($S$5:$S$304,MATCH(C442,$R$5:$R$304,0))&amp;"","?"))</f>
        <v>29</v>
      </c>
      <c r="N442" s="2" t="n">
        <f aca="false">IF(E442="","",IF(ISNUMBER(SEARCH("SUBSOLO",E442)),IFERROR(-VALUE(LEFT(E442,FIND("º",SUBSTITUTE(E442,"°","º"))-1)),-1),IF(LEFT(E442,6)="TÉRREO",0,IFERROR(VALUE(LEFT(E442,FIND("º",SUBSTITUTE(E442,"°","º"))-1)),""))))</f>
        <v>9</v>
      </c>
      <c r="O442" s="2" t="str">
        <f aca="false">IF(OR(F442="",G442=""),"",IF(G442&lt;='RETRATO 2027'!$K$5,"CONCLUÍDA",IF(F442&lt;='RETRATO 2027'!$K$5,"EM ANDAMENTO","A INICIAR")))</f>
        <v>CONCLUÍDA</v>
      </c>
    </row>
    <row r="443" customFormat="false" ht="15" hidden="false" customHeight="false" outlineLevel="0" collapsed="false">
      <c r="B443" s="4" t="n">
        <v>29981415</v>
      </c>
      <c r="C443" s="4" t="s">
        <v>2434</v>
      </c>
      <c r="D443" s="4" t="s">
        <v>463</v>
      </c>
      <c r="E443" s="4" t="s">
        <v>2809</v>
      </c>
      <c r="F443" s="127" t="n">
        <v>46560</v>
      </c>
      <c r="G443" s="127" t="n">
        <v>46570</v>
      </c>
      <c r="H443" s="127" t="n">
        <v>46289</v>
      </c>
      <c r="I443" s="4" t="n">
        <v>0</v>
      </c>
      <c r="J443" s="4" t="n">
        <v>0</v>
      </c>
      <c r="K443" s="4" t="n">
        <v>0</v>
      </c>
      <c r="M443" s="2" t="str">
        <f aca="false">IF(C443="","",IFERROR(INDEX($S$5:$S$304,MATCH(C443,$R$5:$R$304,0))&amp;"","?"))</f>
        <v>25</v>
      </c>
      <c r="N443" s="2" t="n">
        <f aca="false">IF(E443="","",IF(ISNUMBER(SEARCH("SUBSOLO",E443)),IFERROR(-VALUE(LEFT(E443,FIND("º",SUBSTITUTE(E443,"°","º"))-1)),-1),IF(LEFT(E443,6)="TÉRREO",0,IFERROR(VALUE(LEFT(E443,FIND("º",SUBSTITUTE(E443,"°","º"))-1)),""))))</f>
        <v>10</v>
      </c>
      <c r="O443" s="2" t="str">
        <f aca="false">IF(OR(F443="",G443=""),"",IF(G443&lt;='RETRATO 2027'!$K$5,"CONCLUÍDA",IF(F443&lt;='RETRATO 2027'!$K$5,"EM ANDAMENTO","A INICIAR")))</f>
        <v>CONCLUÍDA</v>
      </c>
    </row>
    <row r="444" customFormat="false" ht="15" hidden="false" customHeight="false" outlineLevel="0" collapsed="false">
      <c r="B444" s="4" t="n">
        <v>29981408</v>
      </c>
      <c r="C444" s="4" t="s">
        <v>2425</v>
      </c>
      <c r="D444" s="4" t="s">
        <v>463</v>
      </c>
      <c r="E444" s="4" t="s">
        <v>2810</v>
      </c>
      <c r="F444" s="127" t="n">
        <v>46560</v>
      </c>
      <c r="G444" s="127" t="n">
        <v>46570</v>
      </c>
      <c r="H444" s="127" t="n">
        <v>46289</v>
      </c>
      <c r="I444" s="4" t="n">
        <v>0</v>
      </c>
      <c r="J444" s="4" t="n">
        <v>0</v>
      </c>
      <c r="K444" s="4" t="n">
        <v>0</v>
      </c>
      <c r="M444" s="2" t="str">
        <f aca="false">IF(C444="","",IFERROR(INDEX($S$5:$S$304,MATCH(C444,$R$5:$R$304,0))&amp;"","?"))</f>
        <v>21</v>
      </c>
      <c r="N444" s="2" t="n">
        <f aca="false">IF(E444="","",IF(ISNUMBER(SEARCH("SUBSOLO",E444)),IFERROR(-VALUE(LEFT(E444,FIND("º",SUBSTITUTE(E444,"°","º"))-1)),-1),IF(LEFT(E444,6)="TÉRREO",0,IFERROR(VALUE(LEFT(E444,FIND("º",SUBSTITUTE(E444,"°","º"))-1)),""))))</f>
        <v>11</v>
      </c>
      <c r="O444" s="2" t="str">
        <f aca="false">IF(OR(F444="",G444=""),"",IF(G444&lt;='RETRATO 2027'!$K$5,"CONCLUÍDA",IF(F444&lt;='RETRATO 2027'!$K$5,"EM ANDAMENTO","A INICIAR")))</f>
        <v>CONCLUÍDA</v>
      </c>
    </row>
    <row r="445" customFormat="false" ht="15" hidden="false" customHeight="false" outlineLevel="0" collapsed="false">
      <c r="B445" s="4" t="n">
        <v>29981377</v>
      </c>
      <c r="C445" s="4" t="s">
        <v>2428</v>
      </c>
      <c r="D445" s="4" t="s">
        <v>463</v>
      </c>
      <c r="E445" s="4" t="s">
        <v>2810</v>
      </c>
      <c r="F445" s="127" t="n">
        <v>46560</v>
      </c>
      <c r="G445" s="127" t="n">
        <v>46570</v>
      </c>
      <c r="H445" s="127" t="n">
        <v>46289</v>
      </c>
      <c r="I445" s="4" t="n">
        <v>0</v>
      </c>
      <c r="J445" s="4" t="n">
        <v>0</v>
      </c>
      <c r="K445" s="4" t="n">
        <v>0</v>
      </c>
      <c r="M445" s="2" t="str">
        <f aca="false">IF(C445="","",IFERROR(INDEX($S$5:$S$304,MATCH(C445,$R$5:$R$304,0))&amp;"","?"))</f>
        <v>20</v>
      </c>
      <c r="N445" s="2" t="n">
        <f aca="false">IF(E445="","",IF(ISNUMBER(SEARCH("SUBSOLO",E445)),IFERROR(-VALUE(LEFT(E445,FIND("º",SUBSTITUTE(E445,"°","º"))-1)),-1),IF(LEFT(E445,6)="TÉRREO",0,IFERROR(VALUE(LEFT(E445,FIND("º",SUBSTITUTE(E445,"°","º"))-1)),""))))</f>
        <v>11</v>
      </c>
      <c r="O445" s="2" t="str">
        <f aca="false">IF(OR(F445="",G445=""),"",IF(G445&lt;='RETRATO 2027'!$K$5,"CONCLUÍDA",IF(F445&lt;='RETRATO 2027'!$K$5,"EM ANDAMENTO","A INICIAR")))</f>
        <v>CONCLUÍDA</v>
      </c>
    </row>
    <row r="446" customFormat="false" ht="15" hidden="false" customHeight="false" outlineLevel="0" collapsed="false">
      <c r="B446" s="4" t="n">
        <v>29981410</v>
      </c>
      <c r="C446" s="4" t="s">
        <v>2431</v>
      </c>
      <c r="D446" s="4" t="s">
        <v>463</v>
      </c>
      <c r="E446" s="4" t="s">
        <v>2810</v>
      </c>
      <c r="F446" s="127" t="n">
        <v>46560</v>
      </c>
      <c r="G446" s="127" t="n">
        <v>46570</v>
      </c>
      <c r="H446" s="127" t="n">
        <v>46289</v>
      </c>
      <c r="I446" s="4" t="n">
        <v>0</v>
      </c>
      <c r="J446" s="4" t="n">
        <v>0</v>
      </c>
      <c r="K446" s="4" t="n">
        <v>0</v>
      </c>
      <c r="M446" s="2" t="str">
        <f aca="false">IF(C446="","",IFERROR(INDEX($S$5:$S$304,MATCH(C446,$R$5:$R$304,0))&amp;"","?"))</f>
        <v>21</v>
      </c>
      <c r="N446" s="2" t="n">
        <f aca="false">IF(E446="","",IF(ISNUMBER(SEARCH("SUBSOLO",E446)),IFERROR(-VALUE(LEFT(E446,FIND("º",SUBSTITUTE(E446,"°","º"))-1)),-1),IF(LEFT(E446,6)="TÉRREO",0,IFERROR(VALUE(LEFT(E446,FIND("º",SUBSTITUTE(E446,"°","º"))-1)),""))))</f>
        <v>11</v>
      </c>
      <c r="O446" s="2" t="str">
        <f aca="false">IF(OR(F446="",G446=""),"",IF(G446&lt;='RETRATO 2027'!$K$5,"CONCLUÍDA",IF(F446&lt;='RETRATO 2027'!$K$5,"EM ANDAMENTO","A INICIAR")))</f>
        <v>CONCLUÍDA</v>
      </c>
    </row>
    <row r="447" customFormat="false" ht="15" hidden="false" customHeight="false" outlineLevel="0" collapsed="false">
      <c r="B447" s="4" t="n">
        <v>29981357</v>
      </c>
      <c r="C447" s="4" t="s">
        <v>2422</v>
      </c>
      <c r="D447" s="4" t="s">
        <v>463</v>
      </c>
      <c r="E447" s="4" t="s">
        <v>2811</v>
      </c>
      <c r="F447" s="127" t="n">
        <v>46560</v>
      </c>
      <c r="G447" s="127" t="n">
        <v>46570</v>
      </c>
      <c r="H447" s="127" t="n">
        <v>46289</v>
      </c>
      <c r="I447" s="4" t="n">
        <v>0</v>
      </c>
      <c r="J447" s="4" t="n">
        <v>0</v>
      </c>
      <c r="K447" s="4" t="n">
        <v>0</v>
      </c>
      <c r="M447" s="2" t="str">
        <f aca="false">IF(C447="","",IFERROR(INDEX($S$5:$S$304,MATCH(C447,$R$5:$R$304,0))&amp;"","?"))</f>
        <v>29</v>
      </c>
      <c r="N447" s="2" t="n">
        <f aca="false">IF(E447="","",IF(ISNUMBER(SEARCH("SUBSOLO",E447)),IFERROR(-VALUE(LEFT(E447,FIND("º",SUBSTITUTE(E447,"°","º"))-1)),-1),IF(LEFT(E447,6)="TÉRREO",0,IFERROR(VALUE(LEFT(E447,FIND("º",SUBSTITUTE(E447,"°","º"))-1)),""))))</f>
        <v>12</v>
      </c>
      <c r="O447" s="2" t="str">
        <f aca="false">IF(OR(F447="",G447=""),"",IF(G447&lt;='RETRATO 2027'!$K$5,"CONCLUÍDA",IF(F447&lt;='RETRATO 2027'!$K$5,"EM ANDAMENTO","A INICIAR")))</f>
        <v>CONCLUÍDA</v>
      </c>
    </row>
    <row r="448" customFormat="false" ht="15" hidden="false" customHeight="false" outlineLevel="0" collapsed="false">
      <c r="B448" s="4" t="n">
        <v>29981323</v>
      </c>
      <c r="C448" s="4" t="s">
        <v>2413</v>
      </c>
      <c r="D448" s="4" t="s">
        <v>463</v>
      </c>
      <c r="E448" s="4" t="s">
        <v>2812</v>
      </c>
      <c r="F448" s="127" t="n">
        <v>46560</v>
      </c>
      <c r="G448" s="127" t="n">
        <v>46570</v>
      </c>
      <c r="H448" s="127" t="n">
        <v>46289</v>
      </c>
      <c r="I448" s="4" t="n">
        <v>0</v>
      </c>
      <c r="J448" s="4" t="n">
        <v>0</v>
      </c>
      <c r="K448" s="4" t="n">
        <v>0</v>
      </c>
      <c r="M448" s="2" t="str">
        <f aca="false">IF(C448="","",IFERROR(INDEX($S$5:$S$304,MATCH(C448,$R$5:$R$304,0))&amp;"","?"))</f>
        <v>21</v>
      </c>
      <c r="N448" s="2" t="n">
        <f aca="false">IF(E448="","",IF(ISNUMBER(SEARCH("SUBSOLO",E448)),IFERROR(-VALUE(LEFT(E448,FIND("º",SUBSTITUTE(E448,"°","º"))-1)),-1),IF(LEFT(E448,6)="TÉRREO",0,IFERROR(VALUE(LEFT(E448,FIND("º",SUBSTITUTE(E448,"°","º"))-1)),""))))</f>
        <v>13</v>
      </c>
      <c r="O448" s="2" t="str">
        <f aca="false">IF(OR(F448="",G448=""),"",IF(G448&lt;='RETRATO 2027'!$K$5,"CONCLUÍDA",IF(F448&lt;='RETRATO 2027'!$K$5,"EM ANDAMENTO","A INICIAR")))</f>
        <v>CONCLUÍDA</v>
      </c>
    </row>
    <row r="449" customFormat="false" ht="15" hidden="false" customHeight="false" outlineLevel="0" collapsed="false">
      <c r="B449" s="4" t="n">
        <v>29981322</v>
      </c>
      <c r="C449" s="4" t="s">
        <v>2416</v>
      </c>
      <c r="D449" s="4" t="s">
        <v>463</v>
      </c>
      <c r="E449" s="4" t="s">
        <v>2812</v>
      </c>
      <c r="F449" s="127" t="n">
        <v>46562</v>
      </c>
      <c r="G449" s="127" t="n">
        <v>46574</v>
      </c>
      <c r="H449" s="127" t="n">
        <v>46289</v>
      </c>
      <c r="I449" s="4" t="n">
        <v>0</v>
      </c>
      <c r="J449" s="4" t="n">
        <v>0</v>
      </c>
      <c r="K449" s="4" t="n">
        <v>0</v>
      </c>
      <c r="M449" s="2" t="str">
        <f aca="false">IF(C449="","",IFERROR(INDEX($S$5:$S$304,MATCH(C449,$R$5:$R$304,0))&amp;"","?"))</f>
        <v>18</v>
      </c>
      <c r="N449" s="2" t="n">
        <f aca="false">IF(E449="","",IF(ISNUMBER(SEARCH("SUBSOLO",E449)),IFERROR(-VALUE(LEFT(E449,FIND("º",SUBSTITUTE(E449,"°","º"))-1)),-1),IF(LEFT(E449,6)="TÉRREO",0,IFERROR(VALUE(LEFT(E449,FIND("º",SUBSTITUTE(E449,"°","º"))-1)),""))))</f>
        <v>13</v>
      </c>
      <c r="O449" s="2" t="str">
        <f aca="false">IF(OR(F449="",G449=""),"",IF(G449&lt;='RETRATO 2027'!$K$5,"CONCLUÍDA",IF(F449&lt;='RETRATO 2027'!$K$5,"EM ANDAMENTO","A INICIAR")))</f>
        <v>CONCLUÍDA</v>
      </c>
    </row>
    <row r="450" customFormat="false" ht="15" hidden="false" customHeight="false" outlineLevel="0" collapsed="false">
      <c r="B450" s="4" t="n">
        <v>30205727</v>
      </c>
      <c r="C450" s="4" t="s">
        <v>2416</v>
      </c>
      <c r="D450" s="4" t="s">
        <v>463</v>
      </c>
      <c r="E450" s="4" t="s">
        <v>2740</v>
      </c>
      <c r="F450" s="127" t="n">
        <v>46563</v>
      </c>
      <c r="G450" s="127" t="n">
        <v>46576</v>
      </c>
      <c r="H450" s="127" t="n">
        <v>46289</v>
      </c>
      <c r="I450" s="4" t="n">
        <v>0</v>
      </c>
      <c r="J450" s="4" t="n">
        <v>0</v>
      </c>
      <c r="K450" s="4" t="n">
        <v>0</v>
      </c>
      <c r="M450" s="2" t="str">
        <f aca="false">IF(C450="","",IFERROR(INDEX($S$5:$S$304,MATCH(C450,$R$5:$R$304,0))&amp;"","?"))</f>
        <v>18</v>
      </c>
      <c r="N450" s="2" t="n">
        <f aca="false">IF(E450="","",IF(ISNUMBER(SEARCH("SUBSOLO",E450)),IFERROR(-VALUE(LEFT(E450,FIND("º",SUBSTITUTE(E450,"°","º"))-1)),-1),IF(LEFT(E450,6)="TÉRREO",0,IFERROR(VALUE(LEFT(E450,FIND("º",SUBSTITUTE(E450,"°","º"))-1)),""))))</f>
        <v>-1</v>
      </c>
      <c r="O450" s="2" t="str">
        <f aca="false">IF(OR(F450="",G450=""),"",IF(G450&lt;='RETRATO 2027'!$K$5,"CONCLUÍDA",IF(F450&lt;='RETRATO 2027'!$K$5,"EM ANDAMENTO","A INICIAR")))</f>
        <v>CONCLUÍDA</v>
      </c>
    </row>
    <row r="451" customFormat="false" ht="15" hidden="false" customHeight="false" outlineLevel="0" collapsed="false">
      <c r="B451" s="4" t="n">
        <v>30171491</v>
      </c>
      <c r="C451" s="4" t="s">
        <v>2428</v>
      </c>
      <c r="D451" s="4" t="s">
        <v>463</v>
      </c>
      <c r="E451" s="4" t="s">
        <v>2784</v>
      </c>
      <c r="F451" s="127" t="n">
        <v>46566</v>
      </c>
      <c r="G451" s="127" t="n">
        <v>46605</v>
      </c>
      <c r="H451" s="127" t="n">
        <v>46289</v>
      </c>
      <c r="I451" s="4" t="n">
        <v>0</v>
      </c>
      <c r="J451" s="4" t="n">
        <v>0</v>
      </c>
      <c r="K451" s="4" t="n">
        <v>0</v>
      </c>
      <c r="M451" s="2" t="str">
        <f aca="false">IF(C451="","",IFERROR(INDEX($S$5:$S$304,MATCH(C451,$R$5:$R$304,0))&amp;"","?"))</f>
        <v>20</v>
      </c>
      <c r="N451" s="2" t="n">
        <f aca="false">IF(E451="","",IF(ISNUMBER(SEARCH("SUBSOLO",E451)),IFERROR(-VALUE(LEFT(E451,FIND("º",SUBSTITUTE(E451,"°","º"))-1)),-1),IF(LEFT(E451,6)="TÉRREO",0,IFERROR(VALUE(LEFT(E451,FIND("º",SUBSTITUTE(E451,"°","º"))-1)),""))))</f>
        <v>2</v>
      </c>
      <c r="O451" s="2" t="str">
        <f aca="false">IF(OR(F451="",G451=""),"",IF(G451&lt;='RETRATO 2027'!$K$5,"CONCLUÍDA",IF(F451&lt;='RETRATO 2027'!$K$5,"EM ANDAMENTO","A INICIAR")))</f>
        <v>CONCLUÍDA</v>
      </c>
    </row>
    <row r="452" customFormat="false" ht="15" hidden="false" customHeight="false" outlineLevel="0" collapsed="false">
      <c r="B452" s="4" t="n">
        <v>30171476</v>
      </c>
      <c r="C452" s="4" t="s">
        <v>2452</v>
      </c>
      <c r="D452" s="4" t="s">
        <v>463</v>
      </c>
      <c r="E452" s="4" t="s">
        <v>2784</v>
      </c>
      <c r="F452" s="127" t="n">
        <v>46566</v>
      </c>
      <c r="G452" s="127" t="n">
        <v>46605</v>
      </c>
      <c r="H452" s="127" t="n">
        <v>46289</v>
      </c>
      <c r="I452" s="4" t="n">
        <v>0</v>
      </c>
      <c r="J452" s="4" t="n">
        <v>0</v>
      </c>
      <c r="K452" s="4" t="n">
        <v>0</v>
      </c>
      <c r="M452" s="2" t="str">
        <f aca="false">IF(C452="","",IFERROR(INDEX($S$5:$S$304,MATCH(C452,$R$5:$R$304,0))&amp;"","?"))</f>
        <v>21</v>
      </c>
      <c r="N452" s="2" t="n">
        <f aca="false">IF(E452="","",IF(ISNUMBER(SEARCH("SUBSOLO",E452)),IFERROR(-VALUE(LEFT(E452,FIND("º",SUBSTITUTE(E452,"°","º"))-1)),-1),IF(LEFT(E452,6)="TÉRREO",0,IFERROR(VALUE(LEFT(E452,FIND("º",SUBSTITUTE(E452,"°","º"))-1)),""))))</f>
        <v>2</v>
      </c>
      <c r="O452" s="2" t="str">
        <f aca="false">IF(OR(F452="",G452=""),"",IF(G452&lt;='RETRATO 2027'!$K$5,"CONCLUÍDA",IF(F452&lt;='RETRATO 2027'!$K$5,"EM ANDAMENTO","A INICIAR")))</f>
        <v>CONCLUÍDA</v>
      </c>
    </row>
    <row r="453" customFormat="false" ht="15" hidden="false" customHeight="false" outlineLevel="0" collapsed="false">
      <c r="B453" s="4" t="n">
        <v>29981296</v>
      </c>
      <c r="C453" s="4" t="s">
        <v>2410</v>
      </c>
      <c r="D453" s="4" t="s">
        <v>463</v>
      </c>
      <c r="E453" s="4" t="s">
        <v>2813</v>
      </c>
      <c r="F453" s="127" t="n">
        <v>46567</v>
      </c>
      <c r="G453" s="127" t="n">
        <v>46577</v>
      </c>
      <c r="H453" s="127" t="n">
        <v>46289</v>
      </c>
      <c r="I453" s="4" t="n">
        <v>0</v>
      </c>
      <c r="J453" s="4" t="n">
        <v>0</v>
      </c>
      <c r="K453" s="4" t="n">
        <v>0</v>
      </c>
      <c r="M453" s="2" t="str">
        <f aca="false">IF(C453="","",IFERROR(INDEX($S$5:$S$304,MATCH(C453,$R$5:$R$304,0))&amp;"","?"))</f>
        <v>22</v>
      </c>
      <c r="N453" s="2" t="n">
        <f aca="false">IF(E453="","",IF(ISNUMBER(SEARCH("SUBSOLO",E453)),IFERROR(-VALUE(LEFT(E453,FIND("º",SUBSTITUTE(E453,"°","º"))-1)),-1),IF(LEFT(E453,6)="TÉRREO",0,IFERROR(VALUE(LEFT(E453,FIND("º",SUBSTITUTE(E453,"°","º"))-1)),""))))</f>
        <v>14</v>
      </c>
      <c r="O453" s="2" t="str">
        <f aca="false">IF(OR(F453="",G453=""),"",IF(G453&lt;='RETRATO 2027'!$K$5,"CONCLUÍDA",IF(F453&lt;='RETRATO 2027'!$K$5,"EM ANDAMENTO","A INICIAR")))</f>
        <v>CONCLUÍDA</v>
      </c>
    </row>
    <row r="454" customFormat="false" ht="15" hidden="false" customHeight="false" outlineLevel="0" collapsed="false">
      <c r="B454" s="4" t="n">
        <v>29981247</v>
      </c>
      <c r="C454" s="4" t="s">
        <v>168</v>
      </c>
      <c r="D454" s="4" t="s">
        <v>463</v>
      </c>
      <c r="E454" s="4" t="s">
        <v>2814</v>
      </c>
      <c r="F454" s="127" t="n">
        <v>46567</v>
      </c>
      <c r="G454" s="127" t="n">
        <v>46577</v>
      </c>
      <c r="H454" s="127" t="n">
        <v>46289</v>
      </c>
      <c r="I454" s="4" t="n">
        <v>0</v>
      </c>
      <c r="J454" s="4" t="n">
        <v>0</v>
      </c>
      <c r="K454" s="4" t="n">
        <v>0</v>
      </c>
      <c r="M454" s="2" t="str">
        <f aca="false">IF(C454="","",IFERROR(INDEX($S$5:$S$304,MATCH(C454,$R$5:$R$304,0))&amp;"","?"))</f>
        <v>18</v>
      </c>
      <c r="N454" s="2" t="n">
        <f aca="false">IF(E454="","",IF(ISNUMBER(SEARCH("SUBSOLO",E454)),IFERROR(-VALUE(LEFT(E454,FIND("º",SUBSTITUTE(E454,"°","º"))-1)),-1),IF(LEFT(E454,6)="TÉRREO",0,IFERROR(VALUE(LEFT(E454,FIND("º",SUBSTITUTE(E454,"°","º"))-1)),""))))</f>
        <v>15</v>
      </c>
      <c r="O454" s="2" t="str">
        <f aca="false">IF(OR(F454="",G454=""),"",IF(G454&lt;='RETRATO 2027'!$K$5,"CONCLUÍDA",IF(F454&lt;='RETRATO 2027'!$K$5,"EM ANDAMENTO","A INICIAR")))</f>
        <v>CONCLUÍDA</v>
      </c>
    </row>
    <row r="455" customFormat="false" ht="15" hidden="false" customHeight="false" outlineLevel="0" collapsed="false">
      <c r="B455" s="4" t="n">
        <v>30205735</v>
      </c>
      <c r="C455" s="4" t="s">
        <v>2428</v>
      </c>
      <c r="D455" s="4" t="s">
        <v>463</v>
      </c>
      <c r="E455" s="4" t="s">
        <v>2740</v>
      </c>
      <c r="F455" s="127" t="n">
        <v>46569</v>
      </c>
      <c r="G455" s="127" t="n">
        <v>46630</v>
      </c>
      <c r="H455" s="127" t="n">
        <v>46289</v>
      </c>
      <c r="I455" s="4" t="n">
        <v>0</v>
      </c>
      <c r="J455" s="4" t="n">
        <v>0</v>
      </c>
      <c r="K455" s="4" t="n">
        <v>0</v>
      </c>
      <c r="M455" s="2" t="str">
        <f aca="false">IF(C455="","",IFERROR(INDEX($S$5:$S$304,MATCH(C455,$R$5:$R$304,0))&amp;"","?"))</f>
        <v>20</v>
      </c>
      <c r="N455" s="2" t="n">
        <f aca="false">IF(E455="","",IF(ISNUMBER(SEARCH("SUBSOLO",E455)),IFERROR(-VALUE(LEFT(E455,FIND("º",SUBSTITUTE(E455,"°","º"))-1)),-1),IF(LEFT(E455,6)="TÉRREO",0,IFERROR(VALUE(LEFT(E455,FIND("º",SUBSTITUTE(E455,"°","º"))-1)),""))))</f>
        <v>-1</v>
      </c>
      <c r="O455" s="2" t="str">
        <f aca="false">IF(OR(F455="",G455=""),"",IF(G455&lt;='RETRATO 2027'!$K$5,"CONCLUÍDA",IF(F455&lt;='RETRATO 2027'!$K$5,"EM ANDAMENTO","A INICIAR")))</f>
        <v>CONCLUÍDA</v>
      </c>
    </row>
    <row r="456" customFormat="false" ht="15" hidden="false" customHeight="false" outlineLevel="0" collapsed="false">
      <c r="B456" s="4" t="n">
        <v>30205720</v>
      </c>
      <c r="C456" s="4" t="s">
        <v>2452</v>
      </c>
      <c r="D456" s="4" t="s">
        <v>463</v>
      </c>
      <c r="E456" s="4" t="s">
        <v>2740</v>
      </c>
      <c r="F456" s="127" t="n">
        <v>46569</v>
      </c>
      <c r="G456" s="127" t="n">
        <v>46598</v>
      </c>
      <c r="H456" s="127" t="n">
        <v>46289</v>
      </c>
      <c r="I456" s="4" t="n">
        <v>0</v>
      </c>
      <c r="J456" s="4" t="n">
        <v>0</v>
      </c>
      <c r="K456" s="4" t="n">
        <v>0</v>
      </c>
      <c r="M456" s="2" t="str">
        <f aca="false">IF(C456="","",IFERROR(INDEX($S$5:$S$304,MATCH(C456,$R$5:$R$304,0))&amp;"","?"))</f>
        <v>21</v>
      </c>
      <c r="N456" s="2" t="n">
        <f aca="false">IF(E456="","",IF(ISNUMBER(SEARCH("SUBSOLO",E456)),IFERROR(-VALUE(LEFT(E456,FIND("º",SUBSTITUTE(E456,"°","º"))-1)),-1),IF(LEFT(E456,6)="TÉRREO",0,IFERROR(VALUE(LEFT(E456,FIND("º",SUBSTITUTE(E456,"°","º"))-1)),""))))</f>
        <v>-1</v>
      </c>
      <c r="O456" s="2" t="str">
        <f aca="false">IF(OR(F456="",G456=""),"",IF(G456&lt;='RETRATO 2027'!$K$5,"CONCLUÍDA",IF(F456&lt;='RETRATO 2027'!$K$5,"EM ANDAMENTO","A INICIAR")))</f>
        <v>CONCLUÍDA</v>
      </c>
    </row>
    <row r="457" customFormat="false" ht="15" hidden="false" customHeight="false" outlineLevel="0" collapsed="false">
      <c r="B457" s="4" t="n">
        <v>30205685</v>
      </c>
      <c r="C457" s="4" t="s">
        <v>2413</v>
      </c>
      <c r="D457" s="4" t="s">
        <v>463</v>
      </c>
      <c r="E457" s="4" t="s">
        <v>2819</v>
      </c>
      <c r="F457" s="127" t="n">
        <v>46569</v>
      </c>
      <c r="G457" s="127" t="n">
        <v>46582</v>
      </c>
      <c r="H457" s="127" t="n">
        <v>46289</v>
      </c>
      <c r="I457" s="4" t="n">
        <v>0</v>
      </c>
      <c r="J457" s="4" t="n">
        <v>0</v>
      </c>
      <c r="K457" s="4" t="n">
        <v>0</v>
      </c>
      <c r="M457" s="2" t="str">
        <f aca="false">IF(C457="","",IFERROR(INDEX($S$5:$S$304,MATCH(C457,$R$5:$R$304,0))&amp;"","?"))</f>
        <v>21</v>
      </c>
      <c r="N457" s="2" t="n">
        <f aca="false">IF(E457="","",IF(ISNUMBER(SEARCH("SUBSOLO",E457)),IFERROR(-VALUE(LEFT(E457,FIND("º",SUBSTITUTE(E457,"°","º"))-1)),-1),IF(LEFT(E457,6)="TÉRREO",0,IFERROR(VALUE(LEFT(E457,FIND("º",SUBSTITUTE(E457,"°","º"))-1)),""))))</f>
        <v>0</v>
      </c>
      <c r="O457" s="2" t="str">
        <f aca="false">IF(OR(F457="",G457=""),"",IF(G457&lt;='RETRATO 2027'!$K$5,"CONCLUÍDA",IF(F457&lt;='RETRATO 2027'!$K$5,"EM ANDAMENTO","A INICIAR")))</f>
        <v>CONCLUÍDA</v>
      </c>
    </row>
    <row r="458" customFormat="false" ht="15" hidden="false" customHeight="false" outlineLevel="0" collapsed="false">
      <c r="B458" s="4" t="n">
        <v>30205684</v>
      </c>
      <c r="C458" s="4" t="s">
        <v>2410</v>
      </c>
      <c r="D458" s="4" t="s">
        <v>463</v>
      </c>
      <c r="E458" s="4" t="s">
        <v>2819</v>
      </c>
      <c r="F458" s="127" t="n">
        <v>46569</v>
      </c>
      <c r="G458" s="127" t="n">
        <v>46582</v>
      </c>
      <c r="H458" s="127" t="n">
        <v>46289</v>
      </c>
      <c r="I458" s="4" t="n">
        <v>0</v>
      </c>
      <c r="J458" s="4" t="n">
        <v>0</v>
      </c>
      <c r="K458" s="4" t="n">
        <v>0</v>
      </c>
      <c r="M458" s="2" t="str">
        <f aca="false">IF(C458="","",IFERROR(INDEX($S$5:$S$304,MATCH(C458,$R$5:$R$304,0))&amp;"","?"))</f>
        <v>22</v>
      </c>
      <c r="N458" s="2" t="n">
        <f aca="false">IF(E458="","",IF(ISNUMBER(SEARCH("SUBSOLO",E458)),IFERROR(-VALUE(LEFT(E458,FIND("º",SUBSTITUTE(E458,"°","º"))-1)),-1),IF(LEFT(E458,6)="TÉRREO",0,IFERROR(VALUE(LEFT(E458,FIND("º",SUBSTITUTE(E458,"°","º"))-1)),""))))</f>
        <v>0</v>
      </c>
      <c r="O458" s="2" t="str">
        <f aca="false">IF(OR(F458="",G458=""),"",IF(G458&lt;='RETRATO 2027'!$K$5,"CONCLUÍDA",IF(F458&lt;='RETRATO 2027'!$K$5,"EM ANDAMENTO","A INICIAR")))</f>
        <v>CONCLUÍDA</v>
      </c>
    </row>
    <row r="459" customFormat="false" ht="15" hidden="false" customHeight="false" outlineLevel="0" collapsed="false">
      <c r="B459" s="4" t="n">
        <v>30205686</v>
      </c>
      <c r="C459" s="4" t="s">
        <v>2416</v>
      </c>
      <c r="D459" s="4" t="s">
        <v>463</v>
      </c>
      <c r="E459" s="4" t="s">
        <v>2819</v>
      </c>
      <c r="F459" s="127" t="n">
        <v>46569</v>
      </c>
      <c r="G459" s="127" t="n">
        <v>46582</v>
      </c>
      <c r="H459" s="127" t="n">
        <v>46289</v>
      </c>
      <c r="I459" s="4" t="n">
        <v>0</v>
      </c>
      <c r="J459" s="4" t="n">
        <v>0</v>
      </c>
      <c r="K459" s="4" t="n">
        <v>0</v>
      </c>
      <c r="M459" s="2" t="str">
        <f aca="false">IF(C459="","",IFERROR(INDEX($S$5:$S$304,MATCH(C459,$R$5:$R$304,0))&amp;"","?"))</f>
        <v>18</v>
      </c>
      <c r="N459" s="2" t="n">
        <f aca="false">IF(E459="","",IF(ISNUMBER(SEARCH("SUBSOLO",E459)),IFERROR(-VALUE(LEFT(E459,FIND("º",SUBSTITUTE(E459,"°","º"))-1)),-1),IF(LEFT(E459,6)="TÉRREO",0,IFERROR(VALUE(LEFT(E459,FIND("º",SUBSTITUTE(E459,"°","º"))-1)),""))))</f>
        <v>0</v>
      </c>
      <c r="O459" s="2" t="str">
        <f aca="false">IF(OR(F459="",G459=""),"",IF(G459&lt;='RETRATO 2027'!$K$5,"CONCLUÍDA",IF(F459&lt;='RETRATO 2027'!$K$5,"EM ANDAMENTO","A INICIAR")))</f>
        <v>CONCLUÍDA</v>
      </c>
    </row>
    <row r="460" customFormat="false" ht="15" hidden="false" customHeight="false" outlineLevel="0" collapsed="false">
      <c r="B460" s="4" t="n">
        <v>30205656</v>
      </c>
      <c r="C460" s="4" t="s">
        <v>168</v>
      </c>
      <c r="D460" s="4" t="s">
        <v>463</v>
      </c>
      <c r="E460" s="4" t="s">
        <v>2821</v>
      </c>
      <c r="F460" s="127" t="n">
        <v>46569</v>
      </c>
      <c r="G460" s="127" t="n">
        <v>46582</v>
      </c>
      <c r="H460" s="127" t="n">
        <v>46289</v>
      </c>
      <c r="I460" s="4" t="n">
        <v>0</v>
      </c>
      <c r="J460" s="4" t="n">
        <v>0</v>
      </c>
      <c r="K460" s="4" t="n">
        <v>0</v>
      </c>
      <c r="M460" s="2" t="str">
        <f aca="false">IF(C460="","",IFERROR(INDEX($S$5:$S$304,MATCH(C460,$R$5:$R$304,0))&amp;"","?"))</f>
        <v>18</v>
      </c>
      <c r="N460" s="2" t="n">
        <f aca="false">IF(E460="","",IF(ISNUMBER(SEARCH("SUBSOLO",E460)),IFERROR(-VALUE(LEFT(E460,FIND("º",SUBSTITUTE(E460,"°","º"))-1)),-1),IF(LEFT(E460,6)="TÉRREO",0,IFERROR(VALUE(LEFT(E460,FIND("º",SUBSTITUTE(E460,"°","º"))-1)),""))))</f>
        <v>0</v>
      </c>
      <c r="O460" s="2" t="str">
        <f aca="false">IF(OR(F460="",G460=""),"",IF(G460&lt;='RETRATO 2027'!$K$5,"CONCLUÍDA",IF(F460&lt;='RETRATO 2027'!$K$5,"EM ANDAMENTO","A INICIAR")))</f>
        <v>CONCLUÍDA</v>
      </c>
    </row>
    <row r="461" customFormat="false" ht="15" hidden="false" customHeight="false" outlineLevel="0" collapsed="false">
      <c r="B461" s="4" t="n">
        <v>29940959</v>
      </c>
      <c r="C461" s="4" t="s">
        <v>2341</v>
      </c>
      <c r="D461" s="4" t="s">
        <v>463</v>
      </c>
      <c r="E461" s="4" t="s">
        <v>2822</v>
      </c>
      <c r="F461" s="127" t="n">
        <v>46569</v>
      </c>
      <c r="G461" s="127" t="n">
        <v>46580</v>
      </c>
      <c r="H461" s="127" t="n">
        <v>46289</v>
      </c>
      <c r="I461" s="4" t="n">
        <v>0</v>
      </c>
      <c r="J461" s="4" t="n">
        <v>0</v>
      </c>
      <c r="K461" s="4" t="n">
        <v>0</v>
      </c>
      <c r="M461" s="2" t="str">
        <f aca="false">IF(C461="","",IFERROR(INDEX($S$5:$S$304,MATCH(C461,$R$5:$R$304,0))&amp;"","?"))</f>
        <v>17</v>
      </c>
      <c r="N461" s="2" t="n">
        <f aca="false">IF(E461="","",IF(ISNUMBER(SEARCH("SUBSOLO",E461)),IFERROR(-VALUE(LEFT(E461,FIND("º",SUBSTITUTE(E461,"°","º"))-1)),-1),IF(LEFT(E461,6)="TÉRREO",0,IFERROR(VALUE(LEFT(E461,FIND("º",SUBSTITUTE(E461,"°","º"))-1)),""))))</f>
        <v>19</v>
      </c>
      <c r="O461" s="2" t="str">
        <f aca="false">IF(OR(F461="",G461=""),"",IF(G461&lt;='RETRATO 2027'!$K$5,"CONCLUÍDA",IF(F461&lt;='RETRATO 2027'!$K$5,"EM ANDAMENTO","A INICIAR")))</f>
        <v>CONCLUÍDA</v>
      </c>
    </row>
    <row r="462" customFormat="false" ht="15" hidden="false" customHeight="false" outlineLevel="0" collapsed="false">
      <c r="B462" s="4" t="n">
        <v>31529024</v>
      </c>
      <c r="C462" s="4" t="s">
        <v>2341</v>
      </c>
      <c r="D462" s="4" t="s">
        <v>2312</v>
      </c>
      <c r="E462" s="4" t="s">
        <v>2822</v>
      </c>
      <c r="F462" s="127" t="n">
        <v>46569</v>
      </c>
      <c r="G462" s="127" t="n">
        <v>46574</v>
      </c>
      <c r="H462" s="127" t="n">
        <v>46289</v>
      </c>
      <c r="I462" s="4" t="n">
        <v>0</v>
      </c>
      <c r="J462" s="4" t="n">
        <v>0</v>
      </c>
      <c r="K462" s="4" t="n">
        <v>0</v>
      </c>
      <c r="M462" s="2" t="str">
        <f aca="false">IF(C462="","",IFERROR(INDEX($S$5:$S$304,MATCH(C462,$R$5:$R$304,0))&amp;"","?"))</f>
        <v>17</v>
      </c>
      <c r="N462" s="2" t="n">
        <f aca="false">IF(E462="","",IF(ISNUMBER(SEARCH("SUBSOLO",E462)),IFERROR(-VALUE(LEFT(E462,FIND("º",SUBSTITUTE(E462,"°","º"))-1)),-1),IF(LEFT(E462,6)="TÉRREO",0,IFERROR(VALUE(LEFT(E462,FIND("º",SUBSTITUTE(E462,"°","º"))-1)),""))))</f>
        <v>19</v>
      </c>
      <c r="O462" s="2" t="str">
        <f aca="false">IF(OR(F462="",G462=""),"",IF(G462&lt;='RETRATO 2027'!$K$5,"CONCLUÍDA",IF(F462&lt;='RETRATO 2027'!$K$5,"EM ANDAMENTO","A INICIAR")))</f>
        <v>CONCLUÍDA</v>
      </c>
    </row>
    <row r="463" customFormat="false" ht="15" hidden="false" customHeight="false" outlineLevel="0" collapsed="false">
      <c r="B463" s="4" t="n">
        <v>31529025</v>
      </c>
      <c r="C463" s="4" t="s">
        <v>2341</v>
      </c>
      <c r="D463" s="4" t="s">
        <v>2309</v>
      </c>
      <c r="E463" s="4" t="s">
        <v>2822</v>
      </c>
      <c r="F463" s="127" t="n">
        <v>46575</v>
      </c>
      <c r="G463" s="127" t="n">
        <v>46577</v>
      </c>
      <c r="H463" s="127" t="n">
        <v>46289</v>
      </c>
      <c r="I463" s="4" t="n">
        <v>0</v>
      </c>
      <c r="J463" s="4" t="n">
        <v>0</v>
      </c>
      <c r="K463" s="4" t="n">
        <v>0</v>
      </c>
      <c r="M463" s="2" t="str">
        <f aca="false">IF(C463="","",IFERROR(INDEX($S$5:$S$304,MATCH(C463,$R$5:$R$304,0))&amp;"","?"))</f>
        <v>17</v>
      </c>
      <c r="N463" s="2" t="n">
        <f aca="false">IF(E463="","",IF(ISNUMBER(SEARCH("SUBSOLO",E463)),IFERROR(-VALUE(LEFT(E463,FIND("º",SUBSTITUTE(E463,"°","º"))-1)),-1),IF(LEFT(E463,6)="TÉRREO",0,IFERROR(VALUE(LEFT(E463,FIND("º",SUBSTITUTE(E463,"°","º"))-1)),""))))</f>
        <v>19</v>
      </c>
      <c r="O463" s="2" t="str">
        <f aca="false">IF(OR(F463="",G463=""),"",IF(G463&lt;='RETRATO 2027'!$K$5,"CONCLUÍDA",IF(F463&lt;='RETRATO 2027'!$K$5,"EM ANDAMENTO","A INICIAR")))</f>
        <v>CONCLUÍDA</v>
      </c>
    </row>
    <row r="464" customFormat="false" ht="15" hidden="false" customHeight="false" outlineLevel="0" collapsed="false">
      <c r="B464" s="4" t="n">
        <v>31529026</v>
      </c>
      <c r="C464" s="4" t="s">
        <v>2341</v>
      </c>
      <c r="D464" s="4" t="s">
        <v>2314</v>
      </c>
      <c r="E464" s="4" t="s">
        <v>2822</v>
      </c>
      <c r="F464" s="127" t="n">
        <v>46580</v>
      </c>
      <c r="G464" s="127" t="n">
        <v>46580</v>
      </c>
      <c r="H464" s="127" t="n">
        <v>46289</v>
      </c>
      <c r="I464" s="4" t="n">
        <v>0</v>
      </c>
      <c r="J464" s="4" t="n">
        <v>0</v>
      </c>
      <c r="K464" s="4" t="n">
        <v>0</v>
      </c>
      <c r="M464" s="2" t="str">
        <f aca="false">IF(C464="","",IFERROR(INDEX($S$5:$S$304,MATCH(C464,$R$5:$R$304,0))&amp;"","?"))</f>
        <v>17</v>
      </c>
      <c r="N464" s="2" t="n">
        <f aca="false">IF(E464="","",IF(ISNUMBER(SEARCH("SUBSOLO",E464)),IFERROR(-VALUE(LEFT(E464,FIND("º",SUBSTITUTE(E464,"°","º"))-1)),-1),IF(LEFT(E464,6)="TÉRREO",0,IFERROR(VALUE(LEFT(E464,FIND("º",SUBSTITUTE(E464,"°","º"))-1)),""))))</f>
        <v>19</v>
      </c>
      <c r="O464" s="2" t="str">
        <f aca="false">IF(OR(F464="",G464=""),"",IF(G464&lt;='RETRATO 2027'!$K$5,"CONCLUÍDA",IF(F464&lt;='RETRATO 2027'!$K$5,"EM ANDAMENTO","A INICIAR")))</f>
        <v>CONCLUÍDA</v>
      </c>
    </row>
    <row r="465" customFormat="false" ht="15" hidden="false" customHeight="false" outlineLevel="0" collapsed="false">
      <c r="B465" s="4" t="n">
        <v>31529027</v>
      </c>
      <c r="C465" s="4" t="s">
        <v>2341</v>
      </c>
      <c r="D465" s="4" t="s">
        <v>2758</v>
      </c>
      <c r="E465" s="4" t="s">
        <v>2822</v>
      </c>
      <c r="F465" s="127" t="n">
        <v>46580</v>
      </c>
      <c r="G465" s="127" t="n">
        <v>46580</v>
      </c>
      <c r="H465" s="127" t="n">
        <v>46289</v>
      </c>
      <c r="I465" s="4" t="n">
        <v>0</v>
      </c>
      <c r="J465" s="4" t="n">
        <v>0</v>
      </c>
      <c r="K465" s="4" t="n">
        <v>0</v>
      </c>
      <c r="M465" s="2" t="str">
        <f aca="false">IF(C465="","",IFERROR(INDEX($S$5:$S$304,MATCH(C465,$R$5:$R$304,0))&amp;"","?"))</f>
        <v>17</v>
      </c>
      <c r="N465" s="2" t="n">
        <f aca="false">IF(E465="","",IF(ISNUMBER(SEARCH("SUBSOLO",E465)),IFERROR(-VALUE(LEFT(E465,FIND("º",SUBSTITUTE(E465,"°","º"))-1)),-1),IF(LEFT(E465,6)="TÉRREO",0,IFERROR(VALUE(LEFT(E465,FIND("º",SUBSTITUTE(E465,"°","º"))-1)),""))))</f>
        <v>19</v>
      </c>
      <c r="O465" s="2" t="str">
        <f aca="false">IF(OR(F465="",G465=""),"",IF(G465&lt;='RETRATO 2027'!$K$5,"CONCLUÍDA",IF(F465&lt;='RETRATO 2027'!$K$5,"EM ANDAMENTO","A INICIAR")))</f>
        <v>CONCLUÍDA</v>
      </c>
    </row>
    <row r="466" customFormat="false" ht="15" hidden="false" customHeight="false" outlineLevel="0" collapsed="false">
      <c r="B466" s="4" t="n">
        <v>30171502</v>
      </c>
      <c r="C466" s="4" t="s">
        <v>2449</v>
      </c>
      <c r="D466" s="4" t="s">
        <v>463</v>
      </c>
      <c r="E466" s="4" t="s">
        <v>2817</v>
      </c>
      <c r="F466" s="127" t="n">
        <v>46573</v>
      </c>
      <c r="G466" s="127" t="n">
        <v>46905</v>
      </c>
      <c r="H466" s="127" t="n">
        <v>46289</v>
      </c>
      <c r="I466" s="4" t="n">
        <v>0</v>
      </c>
      <c r="J466" s="4" t="n">
        <v>0</v>
      </c>
      <c r="K466" s="4" t="n">
        <v>0</v>
      </c>
      <c r="M466" s="2" t="str">
        <f aca="false">IF(C466="","",IFERROR(INDEX($S$5:$S$304,MATCH(C466,$R$5:$R$304,0))&amp;"","?"))</f>
        <v>28</v>
      </c>
      <c r="N466" s="2" t="str">
        <f aca="false">IF(E466="","",IF(ISNUMBER(SEARCH("SUBSOLO",E466)),IFERROR(-VALUE(LEFT(E466,FIND("º",SUBSTITUTE(E466,"°","º"))-1)),-1),IF(LEFT(E466,6)="TÉRREO",0,IFERROR(VALUE(LEFT(E466,FIND("º",SUBSTITUTE(E466,"°","º"))-1)),""))))</f>
        <v/>
      </c>
      <c r="O466" s="2" t="str">
        <f aca="false">IF(OR(F466="",G466=""),"",IF(G466&lt;='RETRATO 2027'!$K$5,"CONCLUÍDA",IF(F466&lt;='RETRATO 2027'!$K$5,"EM ANDAMENTO","A INICIAR")))</f>
        <v>EM ANDAMENTO</v>
      </c>
    </row>
    <row r="467" customFormat="false" ht="15" hidden="false" customHeight="false" outlineLevel="0" collapsed="false">
      <c r="B467" s="4" t="n">
        <v>32749850</v>
      </c>
      <c r="C467" s="4" t="s">
        <v>2455</v>
      </c>
      <c r="D467" s="4" t="s">
        <v>463</v>
      </c>
      <c r="E467" s="4" t="s">
        <v>2803</v>
      </c>
      <c r="F467" s="127" t="n">
        <v>46573</v>
      </c>
      <c r="G467" s="127" t="n">
        <v>46583</v>
      </c>
      <c r="H467" s="127" t="n">
        <v>46289</v>
      </c>
      <c r="I467" s="4" t="n">
        <v>0</v>
      </c>
      <c r="J467" s="4" t="n">
        <v>0</v>
      </c>
      <c r="K467" s="4" t="n">
        <v>0</v>
      </c>
      <c r="M467" s="2" t="str">
        <f aca="false">IF(C467="","",IFERROR(INDEX($S$5:$S$304,MATCH(C467,$R$5:$R$304,0))&amp;"","?"))</f>
        <v>18</v>
      </c>
      <c r="N467" s="2" t="n">
        <f aca="false">IF(E467="","",IF(ISNUMBER(SEARCH("SUBSOLO",E467)),IFERROR(-VALUE(LEFT(E467,FIND("º",SUBSTITUTE(E467,"°","º"))-1)),-1),IF(LEFT(E467,6)="TÉRREO",0,IFERROR(VALUE(LEFT(E467,FIND("º",SUBSTITUTE(E467,"°","º"))-1)),""))))</f>
        <v>7</v>
      </c>
      <c r="O467" s="2" t="str">
        <f aca="false">IF(OR(F467="",G467=""),"",IF(G467&lt;='RETRATO 2027'!$K$5,"CONCLUÍDA",IF(F467&lt;='RETRATO 2027'!$K$5,"EM ANDAMENTO","A INICIAR")))</f>
        <v>CONCLUÍDA</v>
      </c>
    </row>
    <row r="468" customFormat="false" ht="15" hidden="false" customHeight="false" outlineLevel="0" collapsed="false">
      <c r="B468" s="4" t="n">
        <v>29981510</v>
      </c>
      <c r="C468" s="4" t="s">
        <v>2449</v>
      </c>
      <c r="D468" s="4" t="s">
        <v>463</v>
      </c>
      <c r="E468" s="4" t="s">
        <v>2804</v>
      </c>
      <c r="F468" s="127" t="n">
        <v>46573</v>
      </c>
      <c r="G468" s="127" t="n">
        <v>46583</v>
      </c>
      <c r="H468" s="127" t="n">
        <v>46289</v>
      </c>
      <c r="I468" s="4" t="n">
        <v>0</v>
      </c>
      <c r="J468" s="4" t="n">
        <v>0</v>
      </c>
      <c r="K468" s="4" t="n">
        <v>0</v>
      </c>
      <c r="M468" s="2" t="str">
        <f aca="false">IF(C468="","",IFERROR(INDEX($S$5:$S$304,MATCH(C468,$R$5:$R$304,0))&amp;"","?"))</f>
        <v>28</v>
      </c>
      <c r="N468" s="2" t="n">
        <f aca="false">IF(E468="","",IF(ISNUMBER(SEARCH("SUBSOLO",E468)),IFERROR(-VALUE(LEFT(E468,FIND("º",SUBSTITUTE(E468,"°","º"))-1)),-1),IF(LEFT(E468,6)="TÉRREO",0,IFERROR(VALUE(LEFT(E468,FIND("º",SUBSTITUTE(E468,"°","º"))-1)),""))))</f>
        <v>8</v>
      </c>
      <c r="O468" s="2" t="str">
        <f aca="false">IF(OR(F468="",G468=""),"",IF(G468&lt;='RETRATO 2027'!$K$5,"CONCLUÍDA",IF(F468&lt;='RETRATO 2027'!$K$5,"EM ANDAMENTO","A INICIAR")))</f>
        <v>CONCLUÍDA</v>
      </c>
    </row>
    <row r="469" customFormat="false" ht="15" hidden="false" customHeight="false" outlineLevel="0" collapsed="false">
      <c r="B469" s="4" t="n">
        <v>29981450</v>
      </c>
      <c r="C469" s="4" t="s">
        <v>2440</v>
      </c>
      <c r="D469" s="4" t="s">
        <v>463</v>
      </c>
      <c r="E469" s="4" t="s">
        <v>2805</v>
      </c>
      <c r="F469" s="127" t="n">
        <v>46573</v>
      </c>
      <c r="G469" s="127" t="n">
        <v>46583</v>
      </c>
      <c r="H469" s="127" t="n">
        <v>46289</v>
      </c>
      <c r="I469" s="4" t="n">
        <v>0</v>
      </c>
      <c r="J469" s="4" t="n">
        <v>0</v>
      </c>
      <c r="K469" s="4" t="n">
        <v>0</v>
      </c>
      <c r="M469" s="2" t="str">
        <f aca="false">IF(C469="","",IFERROR(INDEX($S$5:$S$304,MATCH(C469,$R$5:$R$304,0))&amp;"","?"))</f>
        <v>21</v>
      </c>
      <c r="N469" s="2" t="n">
        <f aca="false">IF(E469="","",IF(ISNUMBER(SEARCH("SUBSOLO",E469)),IFERROR(-VALUE(LEFT(E469,FIND("º",SUBSTITUTE(E469,"°","º"))-1)),-1),IF(LEFT(E469,6)="TÉRREO",0,IFERROR(VALUE(LEFT(E469,FIND("º",SUBSTITUTE(E469,"°","º"))-1)),""))))</f>
        <v>9</v>
      </c>
      <c r="O469" s="2" t="str">
        <f aca="false">IF(OR(F469="",G469=""),"",IF(G469&lt;='RETRATO 2027'!$K$5,"CONCLUÍDA",IF(F469&lt;='RETRATO 2027'!$K$5,"EM ANDAMENTO","A INICIAR")))</f>
        <v>CONCLUÍDA</v>
      </c>
    </row>
    <row r="470" customFormat="false" ht="15" hidden="false" customHeight="false" outlineLevel="0" collapsed="false">
      <c r="B470" s="4" t="n">
        <v>29981483</v>
      </c>
      <c r="C470" s="4" t="s">
        <v>2443</v>
      </c>
      <c r="D470" s="4" t="s">
        <v>463</v>
      </c>
      <c r="E470" s="4" t="s">
        <v>2805</v>
      </c>
      <c r="F470" s="127" t="n">
        <v>46573</v>
      </c>
      <c r="G470" s="127" t="n">
        <v>46583</v>
      </c>
      <c r="H470" s="127" t="n">
        <v>46289</v>
      </c>
      <c r="I470" s="4" t="n">
        <v>0</v>
      </c>
      <c r="J470" s="4" t="n">
        <v>0</v>
      </c>
      <c r="K470" s="4" t="n">
        <v>0</v>
      </c>
      <c r="M470" s="2" t="str">
        <f aca="false">IF(C470="","",IFERROR(INDEX($S$5:$S$304,MATCH(C470,$R$5:$R$304,0))&amp;"","?"))</f>
        <v>20</v>
      </c>
      <c r="N470" s="2" t="n">
        <f aca="false">IF(E470="","",IF(ISNUMBER(SEARCH("SUBSOLO",E470)),IFERROR(-VALUE(LEFT(E470,FIND("º",SUBSTITUTE(E470,"°","º"))-1)),-1),IF(LEFT(E470,6)="TÉRREO",0,IFERROR(VALUE(LEFT(E470,FIND("º",SUBSTITUTE(E470,"°","º"))-1)),""))))</f>
        <v>9</v>
      </c>
      <c r="O470" s="2" t="str">
        <f aca="false">IF(OR(F470="",G470=""),"",IF(G470&lt;='RETRATO 2027'!$K$5,"CONCLUÍDA",IF(F470&lt;='RETRATO 2027'!$K$5,"EM ANDAMENTO","A INICIAR")))</f>
        <v>CONCLUÍDA</v>
      </c>
    </row>
    <row r="471" customFormat="false" ht="15" hidden="false" customHeight="false" outlineLevel="0" collapsed="false">
      <c r="B471" s="4" t="n">
        <v>29981412</v>
      </c>
      <c r="C471" s="4" t="s">
        <v>2437</v>
      </c>
      <c r="D471" s="4" t="s">
        <v>463</v>
      </c>
      <c r="E471" s="4" t="s">
        <v>2809</v>
      </c>
      <c r="F471" s="127" t="n">
        <v>46573</v>
      </c>
      <c r="G471" s="127" t="n">
        <v>46583</v>
      </c>
      <c r="H471" s="127" t="n">
        <v>46289</v>
      </c>
      <c r="I471" s="4" t="n">
        <v>0</v>
      </c>
      <c r="J471" s="4" t="n">
        <v>0</v>
      </c>
      <c r="K471" s="4" t="n">
        <v>0</v>
      </c>
      <c r="M471" s="2" t="str">
        <f aca="false">IF(C471="","",IFERROR(INDEX($S$5:$S$304,MATCH(C471,$R$5:$R$304,0))&amp;"","?"))</f>
        <v>29</v>
      </c>
      <c r="N471" s="2" t="n">
        <f aca="false">IF(E471="","",IF(ISNUMBER(SEARCH("SUBSOLO",E471)),IFERROR(-VALUE(LEFT(E471,FIND("º",SUBSTITUTE(E471,"°","º"))-1)),-1),IF(LEFT(E471,6)="TÉRREO",0,IFERROR(VALUE(LEFT(E471,FIND("º",SUBSTITUTE(E471,"°","º"))-1)),""))))</f>
        <v>10</v>
      </c>
      <c r="O471" s="2" t="str">
        <f aca="false">IF(OR(F471="",G471=""),"",IF(G471&lt;='RETRATO 2027'!$K$5,"CONCLUÍDA",IF(F471&lt;='RETRATO 2027'!$K$5,"EM ANDAMENTO","A INICIAR")))</f>
        <v>CONCLUÍDA</v>
      </c>
    </row>
    <row r="472" customFormat="false" ht="15" hidden="false" customHeight="false" outlineLevel="0" collapsed="false">
      <c r="B472" s="4" t="n">
        <v>29981378</v>
      </c>
      <c r="C472" s="4" t="s">
        <v>2434</v>
      </c>
      <c r="D472" s="4" t="s">
        <v>463</v>
      </c>
      <c r="E472" s="4" t="s">
        <v>2810</v>
      </c>
      <c r="F472" s="127" t="n">
        <v>46573</v>
      </c>
      <c r="G472" s="127" t="n">
        <v>46583</v>
      </c>
      <c r="H472" s="127" t="n">
        <v>46289</v>
      </c>
      <c r="I472" s="4" t="n">
        <v>0</v>
      </c>
      <c r="J472" s="4" t="n">
        <v>0</v>
      </c>
      <c r="K472" s="4" t="n">
        <v>0</v>
      </c>
      <c r="M472" s="2" t="str">
        <f aca="false">IF(C472="","",IFERROR(INDEX($S$5:$S$304,MATCH(C472,$R$5:$R$304,0))&amp;"","?"))</f>
        <v>25</v>
      </c>
      <c r="N472" s="2" t="n">
        <f aca="false">IF(E472="","",IF(ISNUMBER(SEARCH("SUBSOLO",E472)),IFERROR(-VALUE(LEFT(E472,FIND("º",SUBSTITUTE(E472,"°","º"))-1)),-1),IF(LEFT(E472,6)="TÉRREO",0,IFERROR(VALUE(LEFT(E472,FIND("º",SUBSTITUTE(E472,"°","º"))-1)),""))))</f>
        <v>11</v>
      </c>
      <c r="O472" s="2" t="str">
        <f aca="false">IF(OR(F472="",G472=""),"",IF(G472&lt;='RETRATO 2027'!$K$5,"CONCLUÍDA",IF(F472&lt;='RETRATO 2027'!$K$5,"EM ANDAMENTO","A INICIAR")))</f>
        <v>CONCLUÍDA</v>
      </c>
    </row>
    <row r="473" customFormat="false" ht="15" hidden="false" customHeight="false" outlineLevel="0" collapsed="false">
      <c r="B473" s="4" t="n">
        <v>29981371</v>
      </c>
      <c r="C473" s="4" t="s">
        <v>2425</v>
      </c>
      <c r="D473" s="4" t="s">
        <v>463</v>
      </c>
      <c r="E473" s="4" t="s">
        <v>2811</v>
      </c>
      <c r="F473" s="127" t="n">
        <v>46573</v>
      </c>
      <c r="G473" s="127" t="n">
        <v>46583</v>
      </c>
      <c r="H473" s="127" t="n">
        <v>46289</v>
      </c>
      <c r="I473" s="4" t="n">
        <v>0</v>
      </c>
      <c r="J473" s="4" t="n">
        <v>0</v>
      </c>
      <c r="K473" s="4" t="n">
        <v>0</v>
      </c>
      <c r="M473" s="2" t="str">
        <f aca="false">IF(C473="","",IFERROR(INDEX($S$5:$S$304,MATCH(C473,$R$5:$R$304,0))&amp;"","?"))</f>
        <v>21</v>
      </c>
      <c r="N473" s="2" t="n">
        <f aca="false">IF(E473="","",IF(ISNUMBER(SEARCH("SUBSOLO",E473)),IFERROR(-VALUE(LEFT(E473,FIND("º",SUBSTITUTE(E473,"°","º"))-1)),-1),IF(LEFT(E473,6)="TÉRREO",0,IFERROR(VALUE(LEFT(E473,FIND("º",SUBSTITUTE(E473,"°","º"))-1)),""))))</f>
        <v>12</v>
      </c>
      <c r="O473" s="2" t="str">
        <f aca="false">IF(OR(F473="",G473=""),"",IF(G473&lt;='RETRATO 2027'!$K$5,"CONCLUÍDA",IF(F473&lt;='RETRATO 2027'!$K$5,"EM ANDAMENTO","A INICIAR")))</f>
        <v>CONCLUÍDA</v>
      </c>
    </row>
    <row r="474" customFormat="false" ht="15" hidden="false" customHeight="false" outlineLevel="0" collapsed="false">
      <c r="B474" s="4" t="n">
        <v>29981340</v>
      </c>
      <c r="C474" s="4" t="s">
        <v>2428</v>
      </c>
      <c r="D474" s="4" t="s">
        <v>463</v>
      </c>
      <c r="E474" s="4" t="s">
        <v>2811</v>
      </c>
      <c r="F474" s="127" t="n">
        <v>46573</v>
      </c>
      <c r="G474" s="127" t="n">
        <v>46583</v>
      </c>
      <c r="H474" s="127" t="n">
        <v>46289</v>
      </c>
      <c r="I474" s="4" t="n">
        <v>0</v>
      </c>
      <c r="J474" s="4" t="n">
        <v>0</v>
      </c>
      <c r="K474" s="4" t="n">
        <v>0</v>
      </c>
      <c r="M474" s="2" t="str">
        <f aca="false">IF(C474="","",IFERROR(INDEX($S$5:$S$304,MATCH(C474,$R$5:$R$304,0))&amp;"","?"))</f>
        <v>20</v>
      </c>
      <c r="N474" s="2" t="n">
        <f aca="false">IF(E474="","",IF(ISNUMBER(SEARCH("SUBSOLO",E474)),IFERROR(-VALUE(LEFT(E474,FIND("º",SUBSTITUTE(E474,"°","º"))-1)),-1),IF(LEFT(E474,6)="TÉRREO",0,IFERROR(VALUE(LEFT(E474,FIND("º",SUBSTITUTE(E474,"°","º"))-1)),""))))</f>
        <v>12</v>
      </c>
      <c r="O474" s="2" t="str">
        <f aca="false">IF(OR(F474="",G474=""),"",IF(G474&lt;='RETRATO 2027'!$K$5,"CONCLUÍDA",IF(F474&lt;='RETRATO 2027'!$K$5,"EM ANDAMENTO","A INICIAR")))</f>
        <v>CONCLUÍDA</v>
      </c>
    </row>
    <row r="475" customFormat="false" ht="15" hidden="false" customHeight="false" outlineLevel="0" collapsed="false">
      <c r="B475" s="4" t="n">
        <v>29981373</v>
      </c>
      <c r="C475" s="4" t="s">
        <v>2431</v>
      </c>
      <c r="D475" s="4" t="s">
        <v>463</v>
      </c>
      <c r="E475" s="4" t="s">
        <v>2811</v>
      </c>
      <c r="F475" s="127" t="n">
        <v>46573</v>
      </c>
      <c r="G475" s="127" t="n">
        <v>46583</v>
      </c>
      <c r="H475" s="127" t="n">
        <v>46289</v>
      </c>
      <c r="I475" s="4" t="n">
        <v>0</v>
      </c>
      <c r="J475" s="4" t="n">
        <v>0</v>
      </c>
      <c r="K475" s="4" t="n">
        <v>0</v>
      </c>
      <c r="M475" s="2" t="str">
        <f aca="false">IF(C475="","",IFERROR(INDEX($S$5:$S$304,MATCH(C475,$R$5:$R$304,0))&amp;"","?"))</f>
        <v>21</v>
      </c>
      <c r="N475" s="2" t="n">
        <f aca="false">IF(E475="","",IF(ISNUMBER(SEARCH("SUBSOLO",E475)),IFERROR(-VALUE(LEFT(E475,FIND("º",SUBSTITUTE(E475,"°","º"))-1)),-1),IF(LEFT(E475,6)="TÉRREO",0,IFERROR(VALUE(LEFT(E475,FIND("º",SUBSTITUTE(E475,"°","º"))-1)),""))))</f>
        <v>12</v>
      </c>
      <c r="O475" s="2" t="str">
        <f aca="false">IF(OR(F475="",G475=""),"",IF(G475&lt;='RETRATO 2027'!$K$5,"CONCLUÍDA",IF(F475&lt;='RETRATO 2027'!$K$5,"EM ANDAMENTO","A INICIAR")))</f>
        <v>CONCLUÍDA</v>
      </c>
    </row>
    <row r="476" customFormat="false" ht="15" hidden="false" customHeight="false" outlineLevel="0" collapsed="false">
      <c r="B476" s="4" t="n">
        <v>29981320</v>
      </c>
      <c r="C476" s="4" t="s">
        <v>2422</v>
      </c>
      <c r="D476" s="4" t="s">
        <v>463</v>
      </c>
      <c r="E476" s="4" t="s">
        <v>2812</v>
      </c>
      <c r="F476" s="127" t="n">
        <v>46573</v>
      </c>
      <c r="G476" s="127" t="n">
        <v>46583</v>
      </c>
      <c r="H476" s="127" t="n">
        <v>46289</v>
      </c>
      <c r="I476" s="4" t="n">
        <v>0</v>
      </c>
      <c r="J476" s="4" t="n">
        <v>0</v>
      </c>
      <c r="K476" s="4" t="n">
        <v>0</v>
      </c>
      <c r="M476" s="2" t="str">
        <f aca="false">IF(C476="","",IFERROR(INDEX($S$5:$S$304,MATCH(C476,$R$5:$R$304,0))&amp;"","?"))</f>
        <v>29</v>
      </c>
      <c r="N476" s="2" t="n">
        <f aca="false">IF(E476="","",IF(ISNUMBER(SEARCH("SUBSOLO",E476)),IFERROR(-VALUE(LEFT(E476,FIND("º",SUBSTITUTE(E476,"°","º"))-1)),-1),IF(LEFT(E476,6)="TÉRREO",0,IFERROR(VALUE(LEFT(E476,FIND("º",SUBSTITUTE(E476,"°","º"))-1)),""))))</f>
        <v>13</v>
      </c>
      <c r="O476" s="2" t="str">
        <f aca="false">IF(OR(F476="",G476=""),"",IF(G476&lt;='RETRATO 2027'!$K$5,"CONCLUÍDA",IF(F476&lt;='RETRATO 2027'!$K$5,"EM ANDAMENTO","A INICIAR")))</f>
        <v>CONCLUÍDA</v>
      </c>
    </row>
    <row r="477" customFormat="false" ht="15" hidden="false" customHeight="false" outlineLevel="0" collapsed="false">
      <c r="B477" s="4" t="n">
        <v>29981286</v>
      </c>
      <c r="C477" s="4" t="s">
        <v>2413</v>
      </c>
      <c r="D477" s="4" t="s">
        <v>463</v>
      </c>
      <c r="E477" s="4" t="s">
        <v>2813</v>
      </c>
      <c r="F477" s="127" t="n">
        <v>46573</v>
      </c>
      <c r="G477" s="127" t="n">
        <v>46583</v>
      </c>
      <c r="H477" s="127" t="n">
        <v>46289</v>
      </c>
      <c r="I477" s="4" t="n">
        <v>0</v>
      </c>
      <c r="J477" s="4" t="n">
        <v>0</v>
      </c>
      <c r="K477" s="4" t="n">
        <v>0</v>
      </c>
      <c r="M477" s="2" t="str">
        <f aca="false">IF(C477="","",IFERROR(INDEX($S$5:$S$304,MATCH(C477,$R$5:$R$304,0))&amp;"","?"))</f>
        <v>21</v>
      </c>
      <c r="N477" s="2" t="n">
        <f aca="false">IF(E477="","",IF(ISNUMBER(SEARCH("SUBSOLO",E477)),IFERROR(-VALUE(LEFT(E477,FIND("º",SUBSTITUTE(E477,"°","º"))-1)),-1),IF(LEFT(E477,6)="TÉRREO",0,IFERROR(VALUE(LEFT(E477,FIND("º",SUBSTITUTE(E477,"°","º"))-1)),""))))</f>
        <v>14</v>
      </c>
      <c r="O477" s="2" t="str">
        <f aca="false">IF(OR(F477="",G477=""),"",IF(G477&lt;='RETRATO 2027'!$K$5,"CONCLUÍDA",IF(F477&lt;='RETRATO 2027'!$K$5,"EM ANDAMENTO","A INICIAR")))</f>
        <v>CONCLUÍDA</v>
      </c>
    </row>
    <row r="478" customFormat="false" ht="15" hidden="false" customHeight="false" outlineLevel="0" collapsed="false">
      <c r="B478" s="4" t="n">
        <v>29981285</v>
      </c>
      <c r="C478" s="4" t="s">
        <v>2416</v>
      </c>
      <c r="D478" s="4" t="s">
        <v>463</v>
      </c>
      <c r="E478" s="4" t="s">
        <v>2813</v>
      </c>
      <c r="F478" s="127" t="n">
        <v>46575</v>
      </c>
      <c r="G478" s="127" t="n">
        <v>46587</v>
      </c>
      <c r="H478" s="127" t="n">
        <v>46289</v>
      </c>
      <c r="I478" s="4" t="n">
        <v>0</v>
      </c>
      <c r="J478" s="4" t="n">
        <v>0</v>
      </c>
      <c r="K478" s="4" t="n">
        <v>0</v>
      </c>
      <c r="M478" s="2" t="str">
        <f aca="false">IF(C478="","",IFERROR(INDEX($S$5:$S$304,MATCH(C478,$R$5:$R$304,0))&amp;"","?"))</f>
        <v>18</v>
      </c>
      <c r="N478" s="2" t="n">
        <f aca="false">IF(E478="","",IF(ISNUMBER(SEARCH("SUBSOLO",E478)),IFERROR(-VALUE(LEFT(E478,FIND("º",SUBSTITUTE(E478,"°","º"))-1)),-1),IF(LEFT(E478,6)="TÉRREO",0,IFERROR(VALUE(LEFT(E478,FIND("º",SUBSTITUTE(E478,"°","º"))-1)),""))))</f>
        <v>14</v>
      </c>
      <c r="O478" s="2" t="str">
        <f aca="false">IF(OR(F478="",G478=""),"",IF(G478&lt;='RETRATO 2027'!$K$5,"CONCLUÍDA",IF(F478&lt;='RETRATO 2027'!$K$5,"EM ANDAMENTO","A INICIAR")))</f>
        <v>CONCLUÍDA</v>
      </c>
    </row>
    <row r="479" customFormat="false" ht="15" hidden="false" customHeight="false" outlineLevel="0" collapsed="false">
      <c r="B479" s="4" t="n">
        <v>29981259</v>
      </c>
      <c r="C479" s="4" t="s">
        <v>2410</v>
      </c>
      <c r="D479" s="4" t="s">
        <v>463</v>
      </c>
      <c r="E479" s="4" t="s">
        <v>2814</v>
      </c>
      <c r="F479" s="127" t="n">
        <v>46580</v>
      </c>
      <c r="G479" s="127" t="n">
        <v>46590</v>
      </c>
      <c r="H479" s="127" t="n">
        <v>46289</v>
      </c>
      <c r="I479" s="4" t="n">
        <v>0</v>
      </c>
      <c r="J479" s="4" t="n">
        <v>0</v>
      </c>
      <c r="K479" s="4" t="n">
        <v>0</v>
      </c>
      <c r="M479" s="2" t="str">
        <f aca="false">IF(C479="","",IFERROR(INDEX($S$5:$S$304,MATCH(C479,$R$5:$R$304,0))&amp;"","?"))</f>
        <v>22</v>
      </c>
      <c r="N479" s="2" t="n">
        <f aca="false">IF(E479="","",IF(ISNUMBER(SEARCH("SUBSOLO",E479)),IFERROR(-VALUE(LEFT(E479,FIND("º",SUBSTITUTE(E479,"°","º"))-1)),-1),IF(LEFT(E479,6)="TÉRREO",0,IFERROR(VALUE(LEFT(E479,FIND("º",SUBSTITUTE(E479,"°","º"))-1)),""))))</f>
        <v>15</v>
      </c>
      <c r="O479" s="2" t="str">
        <f aca="false">IF(OR(F479="",G479=""),"",IF(G479&lt;='RETRATO 2027'!$K$5,"CONCLUÍDA",IF(F479&lt;='RETRATO 2027'!$K$5,"EM ANDAMENTO","A INICIAR")))</f>
        <v>CONCLUÍDA</v>
      </c>
    </row>
    <row r="480" customFormat="false" ht="15" hidden="false" customHeight="false" outlineLevel="0" collapsed="false">
      <c r="B480" s="4" t="n">
        <v>29981210</v>
      </c>
      <c r="C480" s="4" t="s">
        <v>168</v>
      </c>
      <c r="D480" s="4" t="s">
        <v>463</v>
      </c>
      <c r="E480" s="4" t="s">
        <v>2815</v>
      </c>
      <c r="F480" s="127" t="n">
        <v>46580</v>
      </c>
      <c r="G480" s="127" t="n">
        <v>46590</v>
      </c>
      <c r="H480" s="127" t="n">
        <v>46289</v>
      </c>
      <c r="I480" s="4" t="n">
        <v>0</v>
      </c>
      <c r="J480" s="4" t="n">
        <v>0</v>
      </c>
      <c r="K480" s="4" t="n">
        <v>0</v>
      </c>
      <c r="M480" s="2" t="str">
        <f aca="false">IF(C480="","",IFERROR(INDEX($S$5:$S$304,MATCH(C480,$R$5:$R$304,0))&amp;"","?"))</f>
        <v>18</v>
      </c>
      <c r="N480" s="2" t="n">
        <f aca="false">IF(E480="","",IF(ISNUMBER(SEARCH("SUBSOLO",E480)),IFERROR(-VALUE(LEFT(E480,FIND("º",SUBSTITUTE(E480,"°","º"))-1)),-1),IF(LEFT(E480,6)="TÉRREO",0,IFERROR(VALUE(LEFT(E480,FIND("º",SUBSTITUTE(E480,"°","º"))-1)),""))))</f>
        <v>16</v>
      </c>
      <c r="O480" s="2" t="str">
        <f aca="false">IF(OR(F480="",G480=""),"",IF(G480&lt;='RETRATO 2027'!$K$5,"CONCLUÍDA",IF(F480&lt;='RETRATO 2027'!$K$5,"EM ANDAMENTO","A INICIAR")))</f>
        <v>CONCLUÍDA</v>
      </c>
    </row>
    <row r="481" customFormat="false" ht="15" hidden="false" customHeight="false" outlineLevel="0" collapsed="false">
      <c r="B481" s="4" t="n">
        <v>29940960</v>
      </c>
      <c r="C481" s="4" t="s">
        <v>2341</v>
      </c>
      <c r="D481" s="4" t="s">
        <v>463</v>
      </c>
      <c r="E481" s="4" t="s">
        <v>2823</v>
      </c>
      <c r="F481" s="127" t="n">
        <v>46581</v>
      </c>
      <c r="G481" s="127" t="n">
        <v>46590</v>
      </c>
      <c r="H481" s="127" t="n">
        <v>46289</v>
      </c>
      <c r="I481" s="4" t="n">
        <v>0</v>
      </c>
      <c r="J481" s="4" t="n">
        <v>0</v>
      </c>
      <c r="K481" s="4" t="n">
        <v>0</v>
      </c>
      <c r="M481" s="2" t="str">
        <f aca="false">IF(C481="","",IFERROR(INDEX($S$5:$S$304,MATCH(C481,$R$5:$R$304,0))&amp;"","?"))</f>
        <v>17</v>
      </c>
      <c r="N481" s="2" t="n">
        <f aca="false">IF(E481="","",IF(ISNUMBER(SEARCH("SUBSOLO",E481)),IFERROR(-VALUE(LEFT(E481,FIND("º",SUBSTITUTE(E481,"°","º"))-1)),-1),IF(LEFT(E481,6)="TÉRREO",0,IFERROR(VALUE(LEFT(E481,FIND("º",SUBSTITUTE(E481,"°","º"))-1)),""))))</f>
        <v>20</v>
      </c>
      <c r="O481" s="2" t="str">
        <f aca="false">IF(OR(F481="",G481=""),"",IF(G481&lt;='RETRATO 2027'!$K$5,"CONCLUÍDA",IF(F481&lt;='RETRATO 2027'!$K$5,"EM ANDAMENTO","A INICIAR")))</f>
        <v>CONCLUÍDA</v>
      </c>
    </row>
    <row r="482" customFormat="false" ht="15" hidden="false" customHeight="false" outlineLevel="0" collapsed="false">
      <c r="B482" s="4" t="n">
        <v>31529028</v>
      </c>
      <c r="C482" s="4" t="s">
        <v>2341</v>
      </c>
      <c r="D482" s="4" t="s">
        <v>2312</v>
      </c>
      <c r="E482" s="4" t="s">
        <v>2823</v>
      </c>
      <c r="F482" s="127" t="n">
        <v>46581</v>
      </c>
      <c r="G482" s="127" t="n">
        <v>46584</v>
      </c>
      <c r="H482" s="127" t="n">
        <v>46289</v>
      </c>
      <c r="I482" s="4" t="n">
        <v>0</v>
      </c>
      <c r="J482" s="4" t="n">
        <v>0</v>
      </c>
      <c r="K482" s="4" t="n">
        <v>0</v>
      </c>
      <c r="M482" s="2" t="str">
        <f aca="false">IF(C482="","",IFERROR(INDEX($S$5:$S$304,MATCH(C482,$R$5:$R$304,0))&amp;"","?"))</f>
        <v>17</v>
      </c>
      <c r="N482" s="2" t="n">
        <f aca="false">IF(E482="","",IF(ISNUMBER(SEARCH("SUBSOLO",E482)),IFERROR(-VALUE(LEFT(E482,FIND("º",SUBSTITUTE(E482,"°","º"))-1)),-1),IF(LEFT(E482,6)="TÉRREO",0,IFERROR(VALUE(LEFT(E482,FIND("º",SUBSTITUTE(E482,"°","º"))-1)),""))))</f>
        <v>20</v>
      </c>
      <c r="O482" s="2" t="str">
        <f aca="false">IF(OR(F482="",G482=""),"",IF(G482&lt;='RETRATO 2027'!$K$5,"CONCLUÍDA",IF(F482&lt;='RETRATO 2027'!$K$5,"EM ANDAMENTO","A INICIAR")))</f>
        <v>CONCLUÍDA</v>
      </c>
    </row>
    <row r="483" customFormat="false" ht="15" hidden="false" customHeight="false" outlineLevel="0" collapsed="false">
      <c r="B483" s="4" t="n">
        <v>31529029</v>
      </c>
      <c r="C483" s="4" t="s">
        <v>2341</v>
      </c>
      <c r="D483" s="4" t="s">
        <v>2309</v>
      </c>
      <c r="E483" s="4" t="s">
        <v>2823</v>
      </c>
      <c r="F483" s="127" t="n">
        <v>46587</v>
      </c>
      <c r="G483" s="127" t="n">
        <v>46589</v>
      </c>
      <c r="H483" s="127" t="n">
        <v>46289</v>
      </c>
      <c r="I483" s="4" t="n">
        <v>0</v>
      </c>
      <c r="J483" s="4" t="n">
        <v>0</v>
      </c>
      <c r="K483" s="4" t="n">
        <v>0</v>
      </c>
      <c r="M483" s="2" t="str">
        <f aca="false">IF(C483="","",IFERROR(INDEX($S$5:$S$304,MATCH(C483,$R$5:$R$304,0))&amp;"","?"))</f>
        <v>17</v>
      </c>
      <c r="N483" s="2" t="n">
        <f aca="false">IF(E483="","",IF(ISNUMBER(SEARCH("SUBSOLO",E483)),IFERROR(-VALUE(LEFT(E483,FIND("º",SUBSTITUTE(E483,"°","º"))-1)),-1),IF(LEFT(E483,6)="TÉRREO",0,IFERROR(VALUE(LEFT(E483,FIND("º",SUBSTITUTE(E483,"°","º"))-1)),""))))</f>
        <v>20</v>
      </c>
      <c r="O483" s="2" t="str">
        <f aca="false">IF(OR(F483="",G483=""),"",IF(G483&lt;='RETRATO 2027'!$K$5,"CONCLUÍDA",IF(F483&lt;='RETRATO 2027'!$K$5,"EM ANDAMENTO","A INICIAR")))</f>
        <v>CONCLUÍDA</v>
      </c>
    </row>
    <row r="484" customFormat="false" ht="15" hidden="false" customHeight="false" outlineLevel="0" collapsed="false">
      <c r="B484" s="4" t="n">
        <v>31529030</v>
      </c>
      <c r="C484" s="4" t="s">
        <v>2341</v>
      </c>
      <c r="D484" s="4" t="s">
        <v>2314</v>
      </c>
      <c r="E484" s="4" t="s">
        <v>2823</v>
      </c>
      <c r="F484" s="127" t="n">
        <v>46590</v>
      </c>
      <c r="G484" s="127" t="n">
        <v>46590</v>
      </c>
      <c r="H484" s="127" t="n">
        <v>46289</v>
      </c>
      <c r="I484" s="4" t="n">
        <v>0</v>
      </c>
      <c r="J484" s="4" t="n">
        <v>0</v>
      </c>
      <c r="K484" s="4" t="n">
        <v>0</v>
      </c>
      <c r="M484" s="2" t="str">
        <f aca="false">IF(C484="","",IFERROR(INDEX($S$5:$S$304,MATCH(C484,$R$5:$R$304,0))&amp;"","?"))</f>
        <v>17</v>
      </c>
      <c r="N484" s="2" t="n">
        <f aca="false">IF(E484="","",IF(ISNUMBER(SEARCH("SUBSOLO",E484)),IFERROR(-VALUE(LEFT(E484,FIND("º",SUBSTITUTE(E484,"°","º"))-1)),-1),IF(LEFT(E484,6)="TÉRREO",0,IFERROR(VALUE(LEFT(E484,FIND("º",SUBSTITUTE(E484,"°","º"))-1)),""))))</f>
        <v>20</v>
      </c>
      <c r="O484" s="2" t="str">
        <f aca="false">IF(OR(F484="",G484=""),"",IF(G484&lt;='RETRATO 2027'!$K$5,"CONCLUÍDA",IF(F484&lt;='RETRATO 2027'!$K$5,"EM ANDAMENTO","A INICIAR")))</f>
        <v>CONCLUÍDA</v>
      </c>
    </row>
    <row r="485" customFormat="false" ht="15" hidden="false" customHeight="false" outlineLevel="0" collapsed="false">
      <c r="B485" s="4" t="n">
        <v>31529031</v>
      </c>
      <c r="C485" s="4" t="s">
        <v>2341</v>
      </c>
      <c r="D485" s="4" t="s">
        <v>2758</v>
      </c>
      <c r="E485" s="4" t="s">
        <v>2823</v>
      </c>
      <c r="F485" s="127" t="n">
        <v>46590</v>
      </c>
      <c r="G485" s="127" t="n">
        <v>46590</v>
      </c>
      <c r="H485" s="127" t="n">
        <v>46289</v>
      </c>
      <c r="I485" s="4" t="n">
        <v>0</v>
      </c>
      <c r="J485" s="4" t="n">
        <v>0</v>
      </c>
      <c r="K485" s="4" t="n">
        <v>0</v>
      </c>
      <c r="M485" s="2" t="str">
        <f aca="false">IF(C485="","",IFERROR(INDEX($S$5:$S$304,MATCH(C485,$R$5:$R$304,0))&amp;"","?"))</f>
        <v>17</v>
      </c>
      <c r="N485" s="2" t="n">
        <f aca="false">IF(E485="","",IF(ISNUMBER(SEARCH("SUBSOLO",E485)),IFERROR(-VALUE(LEFT(E485,FIND("º",SUBSTITUTE(E485,"°","º"))-1)),-1),IF(LEFT(E485,6)="TÉRREO",0,IFERROR(VALUE(LEFT(E485,FIND("º",SUBSTITUTE(E485,"°","º"))-1)),""))))</f>
        <v>20</v>
      </c>
      <c r="O485" s="2" t="str">
        <f aca="false">IF(OR(F485="",G485=""),"",IF(G485&lt;='RETRATO 2027'!$K$5,"CONCLUÍDA",IF(F485&lt;='RETRATO 2027'!$K$5,"EM ANDAMENTO","A INICIAR")))</f>
        <v>CONCLUÍDA</v>
      </c>
    </row>
    <row r="486" customFormat="false" ht="15" hidden="false" customHeight="false" outlineLevel="0" collapsed="false">
      <c r="B486" s="4" t="n">
        <v>30205691</v>
      </c>
      <c r="C486" s="4" t="s">
        <v>2422</v>
      </c>
      <c r="D486" s="4" t="s">
        <v>463</v>
      </c>
      <c r="E486" s="4" t="s">
        <v>2819</v>
      </c>
      <c r="F486" s="127" t="n">
        <v>46583</v>
      </c>
      <c r="G486" s="127" t="n">
        <v>46596</v>
      </c>
      <c r="H486" s="127" t="n">
        <v>46289</v>
      </c>
      <c r="I486" s="4" t="n">
        <v>0</v>
      </c>
      <c r="J486" s="4" t="n">
        <v>0</v>
      </c>
      <c r="K486" s="4" t="n">
        <v>0</v>
      </c>
      <c r="M486" s="2" t="str">
        <f aca="false">IF(C486="","",IFERROR(INDEX($S$5:$S$304,MATCH(C486,$R$5:$R$304,0))&amp;"","?"))</f>
        <v>29</v>
      </c>
      <c r="N486" s="2" t="n">
        <f aca="false">IF(E486="","",IF(ISNUMBER(SEARCH("SUBSOLO",E486)),IFERROR(-VALUE(LEFT(E486,FIND("º",SUBSTITUTE(E486,"°","º"))-1)),-1),IF(LEFT(E486,6)="TÉRREO",0,IFERROR(VALUE(LEFT(E486,FIND("º",SUBSTITUTE(E486,"°","º"))-1)),""))))</f>
        <v>0</v>
      </c>
      <c r="O486" s="2" t="str">
        <f aca="false">IF(OR(F486="",G486=""),"",IF(G486&lt;='RETRATO 2027'!$K$5,"CONCLUÍDA",IF(F486&lt;='RETRATO 2027'!$K$5,"EM ANDAMENTO","A INICIAR")))</f>
        <v>CONCLUÍDA</v>
      </c>
    </row>
    <row r="487" customFormat="false" ht="15" hidden="false" customHeight="false" outlineLevel="0" collapsed="false">
      <c r="B487" s="4" t="n">
        <v>30205658</v>
      </c>
      <c r="C487" s="4" t="s">
        <v>2413</v>
      </c>
      <c r="D487" s="4" t="s">
        <v>463</v>
      </c>
      <c r="E487" s="4" t="s">
        <v>2821</v>
      </c>
      <c r="F487" s="127" t="n">
        <v>46583</v>
      </c>
      <c r="G487" s="127" t="n">
        <v>46596</v>
      </c>
      <c r="H487" s="127" t="n">
        <v>46289</v>
      </c>
      <c r="I487" s="4" t="n">
        <v>0</v>
      </c>
      <c r="J487" s="4" t="n">
        <v>0</v>
      </c>
      <c r="K487" s="4" t="n">
        <v>0</v>
      </c>
      <c r="M487" s="2" t="str">
        <f aca="false">IF(C487="","",IFERROR(INDEX($S$5:$S$304,MATCH(C487,$R$5:$R$304,0))&amp;"","?"))</f>
        <v>21</v>
      </c>
      <c r="N487" s="2" t="n">
        <f aca="false">IF(E487="","",IF(ISNUMBER(SEARCH("SUBSOLO",E487)),IFERROR(-VALUE(LEFT(E487,FIND("º",SUBSTITUTE(E487,"°","º"))-1)),-1),IF(LEFT(E487,6)="TÉRREO",0,IFERROR(VALUE(LEFT(E487,FIND("º",SUBSTITUTE(E487,"°","º"))-1)),""))))</f>
        <v>0</v>
      </c>
      <c r="O487" s="2" t="str">
        <f aca="false">IF(OR(F487="",G487=""),"",IF(G487&lt;='RETRATO 2027'!$K$5,"CONCLUÍDA",IF(F487&lt;='RETRATO 2027'!$K$5,"EM ANDAMENTO","A INICIAR")))</f>
        <v>CONCLUÍDA</v>
      </c>
    </row>
    <row r="488" customFormat="false" ht="15" hidden="false" customHeight="false" outlineLevel="0" collapsed="false">
      <c r="B488" s="4" t="n">
        <v>30205657</v>
      </c>
      <c r="C488" s="4" t="s">
        <v>2410</v>
      </c>
      <c r="D488" s="4" t="s">
        <v>463</v>
      </c>
      <c r="E488" s="4" t="s">
        <v>2821</v>
      </c>
      <c r="F488" s="127" t="n">
        <v>46583</v>
      </c>
      <c r="G488" s="127" t="n">
        <v>46596</v>
      </c>
      <c r="H488" s="127" t="n">
        <v>46289</v>
      </c>
      <c r="I488" s="4" t="n">
        <v>0</v>
      </c>
      <c r="J488" s="4" t="n">
        <v>0</v>
      </c>
      <c r="K488" s="4" t="n">
        <v>0</v>
      </c>
      <c r="M488" s="2" t="str">
        <f aca="false">IF(C488="","",IFERROR(INDEX($S$5:$S$304,MATCH(C488,$R$5:$R$304,0))&amp;"","?"))</f>
        <v>22</v>
      </c>
      <c r="N488" s="2" t="n">
        <f aca="false">IF(E488="","",IF(ISNUMBER(SEARCH("SUBSOLO",E488)),IFERROR(-VALUE(LEFT(E488,FIND("º",SUBSTITUTE(E488,"°","º"))-1)),-1),IF(LEFT(E488,6)="TÉRREO",0,IFERROR(VALUE(LEFT(E488,FIND("º",SUBSTITUTE(E488,"°","º"))-1)),""))))</f>
        <v>0</v>
      </c>
      <c r="O488" s="2" t="str">
        <f aca="false">IF(OR(F488="",G488=""),"",IF(G488&lt;='RETRATO 2027'!$K$5,"CONCLUÍDA",IF(F488&lt;='RETRATO 2027'!$K$5,"EM ANDAMENTO","A INICIAR")))</f>
        <v>CONCLUÍDA</v>
      </c>
    </row>
    <row r="489" customFormat="false" ht="15" hidden="false" customHeight="false" outlineLevel="0" collapsed="false">
      <c r="B489" s="4" t="n">
        <v>30205659</v>
      </c>
      <c r="C489" s="4" t="s">
        <v>2416</v>
      </c>
      <c r="D489" s="4" t="s">
        <v>463</v>
      </c>
      <c r="E489" s="4" t="s">
        <v>2821</v>
      </c>
      <c r="F489" s="127" t="n">
        <v>46583</v>
      </c>
      <c r="G489" s="127" t="n">
        <v>46596</v>
      </c>
      <c r="H489" s="127" t="n">
        <v>46289</v>
      </c>
      <c r="I489" s="4" t="n">
        <v>0</v>
      </c>
      <c r="J489" s="4" t="n">
        <v>0</v>
      </c>
      <c r="K489" s="4" t="n">
        <v>0</v>
      </c>
      <c r="M489" s="2" t="str">
        <f aca="false">IF(C489="","",IFERROR(INDEX($S$5:$S$304,MATCH(C489,$R$5:$R$304,0))&amp;"","?"))</f>
        <v>18</v>
      </c>
      <c r="N489" s="2" t="n">
        <f aca="false">IF(E489="","",IF(ISNUMBER(SEARCH("SUBSOLO",E489)),IFERROR(-VALUE(LEFT(E489,FIND("º",SUBSTITUTE(E489,"°","º"))-1)),-1),IF(LEFT(E489,6)="TÉRREO",0,IFERROR(VALUE(LEFT(E489,FIND("º",SUBSTITUTE(E489,"°","º"))-1)),""))))</f>
        <v>0</v>
      </c>
      <c r="O489" s="2" t="str">
        <f aca="false">IF(OR(F489="",G489=""),"",IF(G489&lt;='RETRATO 2027'!$K$5,"CONCLUÍDA",IF(F489&lt;='RETRATO 2027'!$K$5,"EM ANDAMENTO","A INICIAR")))</f>
        <v>CONCLUÍDA</v>
      </c>
    </row>
    <row r="490" customFormat="false" ht="15" hidden="false" customHeight="false" outlineLevel="0" collapsed="false">
      <c r="B490" s="4" t="n">
        <v>30205629</v>
      </c>
      <c r="C490" s="4" t="s">
        <v>168</v>
      </c>
      <c r="D490" s="4" t="s">
        <v>463</v>
      </c>
      <c r="E490" s="4" t="s">
        <v>2824</v>
      </c>
      <c r="F490" s="127" t="n">
        <v>46583</v>
      </c>
      <c r="G490" s="127" t="n">
        <v>46596</v>
      </c>
      <c r="H490" s="127" t="n">
        <v>46289</v>
      </c>
      <c r="I490" s="4" t="n">
        <v>0</v>
      </c>
      <c r="J490" s="4" t="n">
        <v>0</v>
      </c>
      <c r="K490" s="4" t="n">
        <v>0</v>
      </c>
      <c r="M490" s="2" t="str">
        <f aca="false">IF(C490="","",IFERROR(INDEX($S$5:$S$304,MATCH(C490,$R$5:$R$304,0))&amp;"","?"))</f>
        <v>18</v>
      </c>
      <c r="N490" s="2" t="n">
        <f aca="false">IF(E490="","",IF(ISNUMBER(SEARCH("SUBSOLO",E490)),IFERROR(-VALUE(LEFT(E490,FIND("º",SUBSTITUTE(E490,"°","º"))-1)),-1),IF(LEFT(E490,6)="TÉRREO",0,IFERROR(VALUE(LEFT(E490,FIND("º",SUBSTITUTE(E490,"°","º"))-1)),""))))</f>
        <v>0</v>
      </c>
      <c r="O490" s="2" t="str">
        <f aca="false">IF(OR(F490="",G490=""),"",IF(G490&lt;='RETRATO 2027'!$K$5,"CONCLUÍDA",IF(F490&lt;='RETRATO 2027'!$K$5,"EM ANDAMENTO","A INICIAR")))</f>
        <v>CONCLUÍDA</v>
      </c>
    </row>
    <row r="491" customFormat="false" ht="15" hidden="false" customHeight="false" outlineLevel="0" collapsed="false">
      <c r="B491" s="4" t="n">
        <v>32750355</v>
      </c>
      <c r="C491" s="4" t="s">
        <v>2458</v>
      </c>
      <c r="D491" s="4" t="s">
        <v>463</v>
      </c>
      <c r="E491" s="4" t="s">
        <v>2803</v>
      </c>
      <c r="F491" s="127" t="n">
        <v>46584</v>
      </c>
      <c r="G491" s="127" t="n">
        <v>46596</v>
      </c>
      <c r="H491" s="127" t="n">
        <v>46289</v>
      </c>
      <c r="I491" s="4" t="n">
        <v>0</v>
      </c>
      <c r="J491" s="4" t="n">
        <v>0</v>
      </c>
      <c r="K491" s="4" t="n">
        <v>0</v>
      </c>
      <c r="M491" s="2" t="str">
        <f aca="false">IF(C491="","",IFERROR(INDEX($S$5:$S$304,MATCH(C491,$R$5:$R$304,0))&amp;"","?"))</f>
        <v>21</v>
      </c>
      <c r="N491" s="2" t="n">
        <f aca="false">IF(E491="","",IF(ISNUMBER(SEARCH("SUBSOLO",E491)),IFERROR(-VALUE(LEFT(E491,FIND("º",SUBSTITUTE(E491,"°","º"))-1)),-1),IF(LEFT(E491,6)="TÉRREO",0,IFERROR(VALUE(LEFT(E491,FIND("º",SUBSTITUTE(E491,"°","º"))-1)),""))))</f>
        <v>7</v>
      </c>
      <c r="O491" s="2" t="str">
        <f aca="false">IF(OR(F491="",G491=""),"",IF(G491&lt;='RETRATO 2027'!$K$5,"CONCLUÍDA",IF(F491&lt;='RETRATO 2027'!$K$5,"EM ANDAMENTO","A INICIAR")))</f>
        <v>CONCLUÍDA</v>
      </c>
    </row>
    <row r="492" customFormat="false" ht="15" hidden="false" customHeight="false" outlineLevel="0" collapsed="false">
      <c r="B492" s="4" t="n">
        <v>32750381</v>
      </c>
      <c r="C492" s="4" t="s">
        <v>2461</v>
      </c>
      <c r="D492" s="4" t="s">
        <v>463</v>
      </c>
      <c r="E492" s="4" t="s">
        <v>2803</v>
      </c>
      <c r="F492" s="127" t="n">
        <v>46584</v>
      </c>
      <c r="G492" s="127" t="n">
        <v>46596</v>
      </c>
      <c r="H492" s="127" t="n">
        <v>46289</v>
      </c>
      <c r="I492" s="4" t="n">
        <v>0</v>
      </c>
      <c r="J492" s="4" t="n">
        <v>0</v>
      </c>
      <c r="K492" s="4" t="n">
        <v>0</v>
      </c>
      <c r="M492" s="2" t="str">
        <f aca="false">IF(C492="","",IFERROR(INDEX($S$5:$S$304,MATCH(C492,$R$5:$R$304,0))&amp;"","?"))</f>
        <v>20</v>
      </c>
      <c r="N492" s="2" t="n">
        <f aca="false">IF(E492="","",IF(ISNUMBER(SEARCH("SUBSOLO",E492)),IFERROR(-VALUE(LEFT(E492,FIND("º",SUBSTITUTE(E492,"°","º"))-1)),-1),IF(LEFT(E492,6)="TÉRREO",0,IFERROR(VALUE(LEFT(E492,FIND("º",SUBSTITUTE(E492,"°","º"))-1)),""))))</f>
        <v>7</v>
      </c>
      <c r="O492" s="2" t="str">
        <f aca="false">IF(OR(F492="",G492=""),"",IF(G492&lt;='RETRATO 2027'!$K$5,"CONCLUÍDA",IF(F492&lt;='RETRATO 2027'!$K$5,"EM ANDAMENTO","A INICIAR")))</f>
        <v>CONCLUÍDA</v>
      </c>
    </row>
    <row r="493" customFormat="false" ht="15" hidden="false" customHeight="false" outlineLevel="0" collapsed="false">
      <c r="B493" s="4" t="n">
        <v>32750407</v>
      </c>
      <c r="C493" s="4" t="s">
        <v>2464</v>
      </c>
      <c r="D493" s="4" t="s">
        <v>463</v>
      </c>
      <c r="E493" s="4" t="s">
        <v>2803</v>
      </c>
      <c r="F493" s="127" t="n">
        <v>46584</v>
      </c>
      <c r="G493" s="127" t="n">
        <v>46596</v>
      </c>
      <c r="H493" s="127" t="n">
        <v>46289</v>
      </c>
      <c r="I493" s="4" t="n">
        <v>0</v>
      </c>
      <c r="J493" s="4" t="n">
        <v>0</v>
      </c>
      <c r="K493" s="4" t="n">
        <v>0</v>
      </c>
      <c r="M493" s="2" t="str">
        <f aca="false">IF(C493="","",IFERROR(INDEX($S$5:$S$304,MATCH(C493,$R$5:$R$304,0))&amp;"","?"))</f>
        <v>21</v>
      </c>
      <c r="N493" s="2" t="n">
        <f aca="false">IF(E493="","",IF(ISNUMBER(SEARCH("SUBSOLO",E493)),IFERROR(-VALUE(LEFT(E493,FIND("º",SUBSTITUTE(E493,"°","º"))-1)),-1),IF(LEFT(E493,6)="TÉRREO",0,IFERROR(VALUE(LEFT(E493,FIND("º",SUBSTITUTE(E493,"°","º"))-1)),""))))</f>
        <v>7</v>
      </c>
      <c r="O493" s="2" t="str">
        <f aca="false">IF(OR(F493="",G493=""),"",IF(G493&lt;='RETRATO 2027'!$K$5,"CONCLUÍDA",IF(F493&lt;='RETRATO 2027'!$K$5,"EM ANDAMENTO","A INICIAR")))</f>
        <v>CONCLUÍDA</v>
      </c>
    </row>
    <row r="494" customFormat="false" ht="15" hidden="false" customHeight="false" outlineLevel="0" collapsed="false">
      <c r="B494" s="4" t="n">
        <v>33896825</v>
      </c>
      <c r="C494" s="4" t="s">
        <v>2467</v>
      </c>
      <c r="D494" s="4" t="s">
        <v>463</v>
      </c>
      <c r="E494" s="4" t="s">
        <v>2803</v>
      </c>
      <c r="F494" s="127" t="n">
        <v>46584</v>
      </c>
      <c r="G494" s="127" t="n">
        <v>46596</v>
      </c>
      <c r="H494" s="127" t="n">
        <v>46289</v>
      </c>
      <c r="I494" s="4" t="n">
        <v>0</v>
      </c>
      <c r="J494" s="4" t="n">
        <v>0</v>
      </c>
      <c r="K494" s="4" t="n">
        <v>0</v>
      </c>
      <c r="M494" s="2" t="str">
        <f aca="false">IF(C494="","",IFERROR(INDEX($S$5:$S$304,MATCH(C494,$R$5:$R$304,0))&amp;"","?"))</f>
        <v>23</v>
      </c>
      <c r="N494" s="2" t="n">
        <f aca="false">IF(E494="","",IF(ISNUMBER(SEARCH("SUBSOLO",E494)),IFERROR(-VALUE(LEFT(E494,FIND("º",SUBSTITUTE(E494,"°","º"))-1)),-1),IF(LEFT(E494,6)="TÉRREO",0,IFERROR(VALUE(LEFT(E494,FIND("º",SUBSTITUTE(E494,"°","º"))-1)),""))))</f>
        <v>7</v>
      </c>
      <c r="O494" s="2" t="str">
        <f aca="false">IF(OR(F494="",G494=""),"",IF(G494&lt;='RETRATO 2027'!$K$5,"CONCLUÍDA",IF(F494&lt;='RETRATO 2027'!$K$5,"EM ANDAMENTO","A INICIAR")))</f>
        <v>CONCLUÍDA</v>
      </c>
    </row>
    <row r="495" customFormat="false" ht="15" hidden="false" customHeight="false" outlineLevel="0" collapsed="false">
      <c r="B495" s="4" t="n">
        <v>32749851</v>
      </c>
      <c r="C495" s="4" t="s">
        <v>2455</v>
      </c>
      <c r="D495" s="4" t="s">
        <v>463</v>
      </c>
      <c r="E495" s="4" t="s">
        <v>2804</v>
      </c>
      <c r="F495" s="127" t="n">
        <v>46584</v>
      </c>
      <c r="G495" s="127" t="n">
        <v>46596</v>
      </c>
      <c r="H495" s="127" t="n">
        <v>46289</v>
      </c>
      <c r="I495" s="4" t="n">
        <v>0</v>
      </c>
      <c r="J495" s="4" t="n">
        <v>0</v>
      </c>
      <c r="K495" s="4" t="n">
        <v>0</v>
      </c>
      <c r="M495" s="2" t="str">
        <f aca="false">IF(C495="","",IFERROR(INDEX($S$5:$S$304,MATCH(C495,$R$5:$R$304,0))&amp;"","?"))</f>
        <v>18</v>
      </c>
      <c r="N495" s="2" t="n">
        <f aca="false">IF(E495="","",IF(ISNUMBER(SEARCH("SUBSOLO",E495)),IFERROR(-VALUE(LEFT(E495,FIND("º",SUBSTITUTE(E495,"°","º"))-1)),-1),IF(LEFT(E495,6)="TÉRREO",0,IFERROR(VALUE(LEFT(E495,FIND("º",SUBSTITUTE(E495,"°","º"))-1)),""))))</f>
        <v>8</v>
      </c>
      <c r="O495" s="2" t="str">
        <f aca="false">IF(OR(F495="",G495=""),"",IF(G495&lt;='RETRATO 2027'!$K$5,"CONCLUÍDA",IF(F495&lt;='RETRATO 2027'!$K$5,"EM ANDAMENTO","A INICIAR")))</f>
        <v>CONCLUÍDA</v>
      </c>
    </row>
    <row r="496" customFormat="false" ht="15" hidden="false" customHeight="false" outlineLevel="0" collapsed="false">
      <c r="B496" s="4" t="n">
        <v>29981473</v>
      </c>
      <c r="C496" s="4" t="s">
        <v>2449</v>
      </c>
      <c r="D496" s="4" t="s">
        <v>463</v>
      </c>
      <c r="E496" s="4" t="s">
        <v>2805</v>
      </c>
      <c r="F496" s="127" t="n">
        <v>46584</v>
      </c>
      <c r="G496" s="127" t="n">
        <v>46596</v>
      </c>
      <c r="H496" s="127" t="n">
        <v>46289</v>
      </c>
      <c r="I496" s="4" t="n">
        <v>0</v>
      </c>
      <c r="J496" s="4" t="n">
        <v>0</v>
      </c>
      <c r="K496" s="4" t="n">
        <v>0</v>
      </c>
      <c r="M496" s="2" t="str">
        <f aca="false">IF(C496="","",IFERROR(INDEX($S$5:$S$304,MATCH(C496,$R$5:$R$304,0))&amp;"","?"))</f>
        <v>28</v>
      </c>
      <c r="N496" s="2" t="n">
        <f aca="false">IF(E496="","",IF(ISNUMBER(SEARCH("SUBSOLO",E496)),IFERROR(-VALUE(LEFT(E496,FIND("º",SUBSTITUTE(E496,"°","º"))-1)),-1),IF(LEFT(E496,6)="TÉRREO",0,IFERROR(VALUE(LEFT(E496,FIND("º",SUBSTITUTE(E496,"°","º"))-1)),""))))</f>
        <v>9</v>
      </c>
      <c r="O496" s="2" t="str">
        <f aca="false">IF(OR(F496="",G496=""),"",IF(G496&lt;='RETRATO 2027'!$K$5,"CONCLUÍDA",IF(F496&lt;='RETRATO 2027'!$K$5,"EM ANDAMENTO","A INICIAR")))</f>
        <v>CONCLUÍDA</v>
      </c>
    </row>
    <row r="497" customFormat="false" ht="15" hidden="false" customHeight="false" outlineLevel="0" collapsed="false">
      <c r="B497" s="4" t="n">
        <v>29981413</v>
      </c>
      <c r="C497" s="4" t="s">
        <v>2440</v>
      </c>
      <c r="D497" s="4" t="s">
        <v>463</v>
      </c>
      <c r="E497" s="4" t="s">
        <v>2809</v>
      </c>
      <c r="F497" s="127" t="n">
        <v>46584</v>
      </c>
      <c r="G497" s="127" t="n">
        <v>46596</v>
      </c>
      <c r="H497" s="127" t="n">
        <v>46289</v>
      </c>
      <c r="I497" s="4" t="n">
        <v>0</v>
      </c>
      <c r="J497" s="4" t="n">
        <v>0</v>
      </c>
      <c r="K497" s="4" t="n">
        <v>0</v>
      </c>
      <c r="M497" s="2" t="str">
        <f aca="false">IF(C497="","",IFERROR(INDEX($S$5:$S$304,MATCH(C497,$R$5:$R$304,0))&amp;"","?"))</f>
        <v>21</v>
      </c>
      <c r="N497" s="2" t="n">
        <f aca="false">IF(E497="","",IF(ISNUMBER(SEARCH("SUBSOLO",E497)),IFERROR(-VALUE(LEFT(E497,FIND("º",SUBSTITUTE(E497,"°","º"))-1)),-1),IF(LEFT(E497,6)="TÉRREO",0,IFERROR(VALUE(LEFT(E497,FIND("º",SUBSTITUTE(E497,"°","º"))-1)),""))))</f>
        <v>10</v>
      </c>
      <c r="O497" s="2" t="str">
        <f aca="false">IF(OR(F497="",G497=""),"",IF(G497&lt;='RETRATO 2027'!$K$5,"CONCLUÍDA",IF(F497&lt;='RETRATO 2027'!$K$5,"EM ANDAMENTO","A INICIAR")))</f>
        <v>CONCLUÍDA</v>
      </c>
    </row>
    <row r="498" customFormat="false" ht="15" hidden="false" customHeight="false" outlineLevel="0" collapsed="false">
      <c r="B498" s="4" t="n">
        <v>29981446</v>
      </c>
      <c r="C498" s="4" t="s">
        <v>2443</v>
      </c>
      <c r="D498" s="4" t="s">
        <v>463</v>
      </c>
      <c r="E498" s="4" t="s">
        <v>2809</v>
      </c>
      <c r="F498" s="127" t="n">
        <v>46584</v>
      </c>
      <c r="G498" s="127" t="n">
        <v>46596</v>
      </c>
      <c r="H498" s="127" t="n">
        <v>46289</v>
      </c>
      <c r="I498" s="4" t="n">
        <v>0</v>
      </c>
      <c r="J498" s="4" t="n">
        <v>0</v>
      </c>
      <c r="K498" s="4" t="n">
        <v>0</v>
      </c>
      <c r="M498" s="2" t="str">
        <f aca="false">IF(C498="","",IFERROR(INDEX($S$5:$S$304,MATCH(C498,$R$5:$R$304,0))&amp;"","?"))</f>
        <v>20</v>
      </c>
      <c r="N498" s="2" t="n">
        <f aca="false">IF(E498="","",IF(ISNUMBER(SEARCH("SUBSOLO",E498)),IFERROR(-VALUE(LEFT(E498,FIND("º",SUBSTITUTE(E498,"°","º"))-1)),-1),IF(LEFT(E498,6)="TÉRREO",0,IFERROR(VALUE(LEFT(E498,FIND("º",SUBSTITUTE(E498,"°","º"))-1)),""))))</f>
        <v>10</v>
      </c>
      <c r="O498" s="2" t="str">
        <f aca="false">IF(OR(F498="",G498=""),"",IF(G498&lt;='RETRATO 2027'!$K$5,"CONCLUÍDA",IF(F498&lt;='RETRATO 2027'!$K$5,"EM ANDAMENTO","A INICIAR")))</f>
        <v>CONCLUÍDA</v>
      </c>
    </row>
    <row r="499" customFormat="false" ht="15" hidden="false" customHeight="false" outlineLevel="0" collapsed="false">
      <c r="B499" s="4" t="n">
        <v>29981375</v>
      </c>
      <c r="C499" s="4" t="s">
        <v>2437</v>
      </c>
      <c r="D499" s="4" t="s">
        <v>463</v>
      </c>
      <c r="E499" s="4" t="s">
        <v>2810</v>
      </c>
      <c r="F499" s="127" t="n">
        <v>46584</v>
      </c>
      <c r="G499" s="127" t="n">
        <v>46596</v>
      </c>
      <c r="H499" s="127" t="n">
        <v>46289</v>
      </c>
      <c r="I499" s="4" t="n">
        <v>0</v>
      </c>
      <c r="J499" s="4" t="n">
        <v>0</v>
      </c>
      <c r="K499" s="4" t="n">
        <v>0</v>
      </c>
      <c r="M499" s="2" t="str">
        <f aca="false">IF(C499="","",IFERROR(INDEX($S$5:$S$304,MATCH(C499,$R$5:$R$304,0))&amp;"","?"))</f>
        <v>29</v>
      </c>
      <c r="N499" s="2" t="n">
        <f aca="false">IF(E499="","",IF(ISNUMBER(SEARCH("SUBSOLO",E499)),IFERROR(-VALUE(LEFT(E499,FIND("º",SUBSTITUTE(E499,"°","º"))-1)),-1),IF(LEFT(E499,6)="TÉRREO",0,IFERROR(VALUE(LEFT(E499,FIND("º",SUBSTITUTE(E499,"°","º"))-1)),""))))</f>
        <v>11</v>
      </c>
      <c r="O499" s="2" t="str">
        <f aca="false">IF(OR(F499="",G499=""),"",IF(G499&lt;='RETRATO 2027'!$K$5,"CONCLUÍDA",IF(F499&lt;='RETRATO 2027'!$K$5,"EM ANDAMENTO","A INICIAR")))</f>
        <v>CONCLUÍDA</v>
      </c>
    </row>
    <row r="500" customFormat="false" ht="15" hidden="false" customHeight="false" outlineLevel="0" collapsed="false">
      <c r="B500" s="4" t="n">
        <v>29981341</v>
      </c>
      <c r="C500" s="4" t="s">
        <v>2434</v>
      </c>
      <c r="D500" s="4" t="s">
        <v>463</v>
      </c>
      <c r="E500" s="4" t="s">
        <v>2811</v>
      </c>
      <c r="F500" s="127" t="n">
        <v>46584</v>
      </c>
      <c r="G500" s="127" t="n">
        <v>46596</v>
      </c>
      <c r="H500" s="127" t="n">
        <v>46289</v>
      </c>
      <c r="I500" s="4" t="n">
        <v>0</v>
      </c>
      <c r="J500" s="4" t="n">
        <v>0</v>
      </c>
      <c r="K500" s="4" t="n">
        <v>0</v>
      </c>
      <c r="M500" s="2" t="str">
        <f aca="false">IF(C500="","",IFERROR(INDEX($S$5:$S$304,MATCH(C500,$R$5:$R$304,0))&amp;"","?"))</f>
        <v>25</v>
      </c>
      <c r="N500" s="2" t="n">
        <f aca="false">IF(E500="","",IF(ISNUMBER(SEARCH("SUBSOLO",E500)),IFERROR(-VALUE(LEFT(E500,FIND("º",SUBSTITUTE(E500,"°","º"))-1)),-1),IF(LEFT(E500,6)="TÉRREO",0,IFERROR(VALUE(LEFT(E500,FIND("º",SUBSTITUTE(E500,"°","º"))-1)),""))))</f>
        <v>12</v>
      </c>
      <c r="O500" s="2" t="str">
        <f aca="false">IF(OR(F500="",G500=""),"",IF(G500&lt;='RETRATO 2027'!$K$5,"CONCLUÍDA",IF(F500&lt;='RETRATO 2027'!$K$5,"EM ANDAMENTO","A INICIAR")))</f>
        <v>CONCLUÍDA</v>
      </c>
    </row>
    <row r="501" customFormat="false" ht="15" hidden="false" customHeight="false" outlineLevel="0" collapsed="false">
      <c r="B501" s="4" t="n">
        <v>29981334</v>
      </c>
      <c r="C501" s="4" t="s">
        <v>2425</v>
      </c>
      <c r="D501" s="4" t="s">
        <v>463</v>
      </c>
      <c r="E501" s="4" t="s">
        <v>2812</v>
      </c>
      <c r="F501" s="127" t="n">
        <v>46584</v>
      </c>
      <c r="G501" s="127" t="n">
        <v>46596</v>
      </c>
      <c r="H501" s="127" t="n">
        <v>46289</v>
      </c>
      <c r="I501" s="4" t="n">
        <v>0</v>
      </c>
      <c r="J501" s="4" t="n">
        <v>0</v>
      </c>
      <c r="K501" s="4" t="n">
        <v>0</v>
      </c>
      <c r="M501" s="2" t="str">
        <f aca="false">IF(C501="","",IFERROR(INDEX($S$5:$S$304,MATCH(C501,$R$5:$R$304,0))&amp;"","?"))</f>
        <v>21</v>
      </c>
      <c r="N501" s="2" t="n">
        <f aca="false">IF(E501="","",IF(ISNUMBER(SEARCH("SUBSOLO",E501)),IFERROR(-VALUE(LEFT(E501,FIND("º",SUBSTITUTE(E501,"°","º"))-1)),-1),IF(LEFT(E501,6)="TÉRREO",0,IFERROR(VALUE(LEFT(E501,FIND("º",SUBSTITUTE(E501,"°","º"))-1)),""))))</f>
        <v>13</v>
      </c>
      <c r="O501" s="2" t="str">
        <f aca="false">IF(OR(F501="",G501=""),"",IF(G501&lt;='RETRATO 2027'!$K$5,"CONCLUÍDA",IF(F501&lt;='RETRATO 2027'!$K$5,"EM ANDAMENTO","A INICIAR")))</f>
        <v>CONCLUÍDA</v>
      </c>
    </row>
    <row r="502" customFormat="false" ht="15" hidden="false" customHeight="false" outlineLevel="0" collapsed="false">
      <c r="B502" s="4" t="n">
        <v>29981303</v>
      </c>
      <c r="C502" s="4" t="s">
        <v>2428</v>
      </c>
      <c r="D502" s="4" t="s">
        <v>463</v>
      </c>
      <c r="E502" s="4" t="s">
        <v>2812</v>
      </c>
      <c r="F502" s="127" t="n">
        <v>46584</v>
      </c>
      <c r="G502" s="127" t="n">
        <v>46596</v>
      </c>
      <c r="H502" s="127" t="n">
        <v>46289</v>
      </c>
      <c r="I502" s="4" t="n">
        <v>0</v>
      </c>
      <c r="J502" s="4" t="n">
        <v>0</v>
      </c>
      <c r="K502" s="4" t="n">
        <v>0</v>
      </c>
      <c r="M502" s="2" t="str">
        <f aca="false">IF(C502="","",IFERROR(INDEX($S$5:$S$304,MATCH(C502,$R$5:$R$304,0))&amp;"","?"))</f>
        <v>20</v>
      </c>
      <c r="N502" s="2" t="n">
        <f aca="false">IF(E502="","",IF(ISNUMBER(SEARCH("SUBSOLO",E502)),IFERROR(-VALUE(LEFT(E502,FIND("º",SUBSTITUTE(E502,"°","º"))-1)),-1),IF(LEFT(E502,6)="TÉRREO",0,IFERROR(VALUE(LEFT(E502,FIND("º",SUBSTITUTE(E502,"°","º"))-1)),""))))</f>
        <v>13</v>
      </c>
      <c r="O502" s="2" t="str">
        <f aca="false">IF(OR(F502="",G502=""),"",IF(G502&lt;='RETRATO 2027'!$K$5,"CONCLUÍDA",IF(F502&lt;='RETRATO 2027'!$K$5,"EM ANDAMENTO","A INICIAR")))</f>
        <v>CONCLUÍDA</v>
      </c>
    </row>
    <row r="503" customFormat="false" ht="15" hidden="false" customHeight="false" outlineLevel="0" collapsed="false">
      <c r="B503" s="4" t="n">
        <v>29981336</v>
      </c>
      <c r="C503" s="4" t="s">
        <v>2431</v>
      </c>
      <c r="D503" s="4" t="s">
        <v>463</v>
      </c>
      <c r="E503" s="4" t="s">
        <v>2812</v>
      </c>
      <c r="F503" s="127" t="n">
        <v>46584</v>
      </c>
      <c r="G503" s="127" t="n">
        <v>46596</v>
      </c>
      <c r="H503" s="127" t="n">
        <v>46289</v>
      </c>
      <c r="I503" s="4" t="n">
        <v>0</v>
      </c>
      <c r="J503" s="4" t="n">
        <v>0</v>
      </c>
      <c r="K503" s="4" t="n">
        <v>0</v>
      </c>
      <c r="M503" s="2" t="str">
        <f aca="false">IF(C503="","",IFERROR(INDEX($S$5:$S$304,MATCH(C503,$R$5:$R$304,0))&amp;"","?"))</f>
        <v>21</v>
      </c>
      <c r="N503" s="2" t="n">
        <f aca="false">IF(E503="","",IF(ISNUMBER(SEARCH("SUBSOLO",E503)),IFERROR(-VALUE(LEFT(E503,FIND("º",SUBSTITUTE(E503,"°","º"))-1)),-1),IF(LEFT(E503,6)="TÉRREO",0,IFERROR(VALUE(LEFT(E503,FIND("º",SUBSTITUTE(E503,"°","º"))-1)),""))))</f>
        <v>13</v>
      </c>
      <c r="O503" s="2" t="str">
        <f aca="false">IF(OR(F503="",G503=""),"",IF(G503&lt;='RETRATO 2027'!$K$5,"CONCLUÍDA",IF(F503&lt;='RETRATO 2027'!$K$5,"EM ANDAMENTO","A INICIAR")))</f>
        <v>CONCLUÍDA</v>
      </c>
    </row>
    <row r="504" customFormat="false" ht="15" hidden="false" customHeight="false" outlineLevel="0" collapsed="false">
      <c r="B504" s="4" t="n">
        <v>29981283</v>
      </c>
      <c r="C504" s="4" t="s">
        <v>2422</v>
      </c>
      <c r="D504" s="4" t="s">
        <v>463</v>
      </c>
      <c r="E504" s="4" t="s">
        <v>2813</v>
      </c>
      <c r="F504" s="127" t="n">
        <v>46584</v>
      </c>
      <c r="G504" s="127" t="n">
        <v>46596</v>
      </c>
      <c r="H504" s="127" t="n">
        <v>46289</v>
      </c>
      <c r="I504" s="4" t="n">
        <v>0</v>
      </c>
      <c r="J504" s="4" t="n">
        <v>0</v>
      </c>
      <c r="K504" s="4" t="n">
        <v>0</v>
      </c>
      <c r="M504" s="2" t="str">
        <f aca="false">IF(C504="","",IFERROR(INDEX($S$5:$S$304,MATCH(C504,$R$5:$R$304,0))&amp;"","?"))</f>
        <v>29</v>
      </c>
      <c r="N504" s="2" t="n">
        <f aca="false">IF(E504="","",IF(ISNUMBER(SEARCH("SUBSOLO",E504)),IFERROR(-VALUE(LEFT(E504,FIND("º",SUBSTITUTE(E504,"°","º"))-1)),-1),IF(LEFT(E504,6)="TÉRREO",0,IFERROR(VALUE(LEFT(E504,FIND("º",SUBSTITUTE(E504,"°","º"))-1)),""))))</f>
        <v>14</v>
      </c>
      <c r="O504" s="2" t="str">
        <f aca="false">IF(OR(F504="",G504=""),"",IF(G504&lt;='RETRATO 2027'!$K$5,"CONCLUÍDA",IF(F504&lt;='RETRATO 2027'!$K$5,"EM ANDAMENTO","A INICIAR")))</f>
        <v>CONCLUÍDA</v>
      </c>
    </row>
    <row r="505" customFormat="false" ht="15" hidden="false" customHeight="false" outlineLevel="0" collapsed="false">
      <c r="B505" s="4" t="n">
        <v>29981249</v>
      </c>
      <c r="C505" s="4" t="s">
        <v>2413</v>
      </c>
      <c r="D505" s="4" t="s">
        <v>463</v>
      </c>
      <c r="E505" s="4" t="s">
        <v>2814</v>
      </c>
      <c r="F505" s="127" t="n">
        <v>46584</v>
      </c>
      <c r="G505" s="127" t="n">
        <v>46596</v>
      </c>
      <c r="H505" s="127" t="n">
        <v>46289</v>
      </c>
      <c r="I505" s="4" t="n">
        <v>0</v>
      </c>
      <c r="J505" s="4" t="n">
        <v>0</v>
      </c>
      <c r="K505" s="4" t="n">
        <v>0</v>
      </c>
      <c r="M505" s="2" t="str">
        <f aca="false">IF(C505="","",IFERROR(INDEX($S$5:$S$304,MATCH(C505,$R$5:$R$304,0))&amp;"","?"))</f>
        <v>21</v>
      </c>
      <c r="N505" s="2" t="n">
        <f aca="false">IF(E505="","",IF(ISNUMBER(SEARCH("SUBSOLO",E505)),IFERROR(-VALUE(LEFT(E505,FIND("º",SUBSTITUTE(E505,"°","º"))-1)),-1),IF(LEFT(E505,6)="TÉRREO",0,IFERROR(VALUE(LEFT(E505,FIND("º",SUBSTITUTE(E505,"°","º"))-1)),""))))</f>
        <v>15</v>
      </c>
      <c r="O505" s="2" t="str">
        <f aca="false">IF(OR(F505="",G505=""),"",IF(G505&lt;='RETRATO 2027'!$K$5,"CONCLUÍDA",IF(F505&lt;='RETRATO 2027'!$K$5,"EM ANDAMENTO","A INICIAR")))</f>
        <v>CONCLUÍDA</v>
      </c>
    </row>
    <row r="506" customFormat="false" ht="15" hidden="false" customHeight="false" outlineLevel="0" collapsed="false">
      <c r="B506" s="4" t="n">
        <v>29981248</v>
      </c>
      <c r="C506" s="4" t="s">
        <v>2416</v>
      </c>
      <c r="D506" s="4" t="s">
        <v>463</v>
      </c>
      <c r="E506" s="4" t="s">
        <v>2814</v>
      </c>
      <c r="F506" s="127" t="n">
        <v>46588</v>
      </c>
      <c r="G506" s="127" t="n">
        <v>46598</v>
      </c>
      <c r="H506" s="127" t="n">
        <v>46289</v>
      </c>
      <c r="I506" s="4" t="n">
        <v>0</v>
      </c>
      <c r="J506" s="4" t="n">
        <v>0</v>
      </c>
      <c r="K506" s="4" t="n">
        <v>0</v>
      </c>
      <c r="M506" s="2" t="str">
        <f aca="false">IF(C506="","",IFERROR(INDEX($S$5:$S$304,MATCH(C506,$R$5:$R$304,0))&amp;"","?"))</f>
        <v>18</v>
      </c>
      <c r="N506" s="2" t="n">
        <f aca="false">IF(E506="","",IF(ISNUMBER(SEARCH("SUBSOLO",E506)),IFERROR(-VALUE(LEFT(E506,FIND("º",SUBSTITUTE(E506,"°","º"))-1)),-1),IF(LEFT(E506,6)="TÉRREO",0,IFERROR(VALUE(LEFT(E506,FIND("º",SUBSTITUTE(E506,"°","º"))-1)),""))))</f>
        <v>15</v>
      </c>
      <c r="O506" s="2" t="str">
        <f aca="false">IF(OR(F506="",G506=""),"",IF(G506&lt;='RETRATO 2027'!$K$5,"CONCLUÍDA",IF(F506&lt;='RETRATO 2027'!$K$5,"EM ANDAMENTO","A INICIAR")))</f>
        <v>CONCLUÍDA</v>
      </c>
    </row>
    <row r="507" customFormat="false" ht="15" hidden="false" customHeight="false" outlineLevel="0" collapsed="false">
      <c r="B507" s="4" t="n">
        <v>29981222</v>
      </c>
      <c r="C507" s="4" t="s">
        <v>2410</v>
      </c>
      <c r="D507" s="4" t="s">
        <v>463</v>
      </c>
      <c r="E507" s="4" t="s">
        <v>2815</v>
      </c>
      <c r="F507" s="127" t="n">
        <v>46591</v>
      </c>
      <c r="G507" s="127" t="n">
        <v>46603</v>
      </c>
      <c r="H507" s="127" t="n">
        <v>46289</v>
      </c>
      <c r="I507" s="4" t="n">
        <v>0</v>
      </c>
      <c r="J507" s="4" t="n">
        <v>0</v>
      </c>
      <c r="K507" s="4" t="n">
        <v>0</v>
      </c>
      <c r="M507" s="2" t="str">
        <f aca="false">IF(C507="","",IFERROR(INDEX($S$5:$S$304,MATCH(C507,$R$5:$R$304,0))&amp;"","?"))</f>
        <v>22</v>
      </c>
      <c r="N507" s="2" t="n">
        <f aca="false">IF(E507="","",IF(ISNUMBER(SEARCH("SUBSOLO",E507)),IFERROR(-VALUE(LEFT(E507,FIND("º",SUBSTITUTE(E507,"°","º"))-1)),-1),IF(LEFT(E507,6)="TÉRREO",0,IFERROR(VALUE(LEFT(E507,FIND("º",SUBSTITUTE(E507,"°","º"))-1)),""))))</f>
        <v>16</v>
      </c>
      <c r="O507" s="2" t="str">
        <f aca="false">IF(OR(F507="",G507=""),"",IF(G507&lt;='RETRATO 2027'!$K$5,"CONCLUÍDA",IF(F507&lt;='RETRATO 2027'!$K$5,"EM ANDAMENTO","A INICIAR")))</f>
        <v>CONCLUÍDA</v>
      </c>
    </row>
    <row r="508" customFormat="false" ht="15" hidden="false" customHeight="false" outlineLevel="0" collapsed="false">
      <c r="B508" s="4" t="n">
        <v>29981173</v>
      </c>
      <c r="C508" s="4" t="s">
        <v>168</v>
      </c>
      <c r="D508" s="4" t="s">
        <v>463</v>
      </c>
      <c r="E508" s="4" t="s">
        <v>2818</v>
      </c>
      <c r="F508" s="127" t="n">
        <v>46591</v>
      </c>
      <c r="G508" s="127" t="n">
        <v>46603</v>
      </c>
      <c r="H508" s="127" t="n">
        <v>46289</v>
      </c>
      <c r="I508" s="4" t="n">
        <v>0</v>
      </c>
      <c r="J508" s="4" t="n">
        <v>0</v>
      </c>
      <c r="K508" s="4" t="n">
        <v>0</v>
      </c>
      <c r="M508" s="2" t="str">
        <f aca="false">IF(C508="","",IFERROR(INDEX($S$5:$S$304,MATCH(C508,$R$5:$R$304,0))&amp;"","?"))</f>
        <v>18</v>
      </c>
      <c r="N508" s="2" t="n">
        <f aca="false">IF(E508="","",IF(ISNUMBER(SEARCH("SUBSOLO",E508)),IFERROR(-VALUE(LEFT(E508,FIND("º",SUBSTITUTE(E508,"°","º"))-1)),-1),IF(LEFT(E508,6)="TÉRREO",0,IFERROR(VALUE(LEFT(E508,FIND("º",SUBSTITUTE(E508,"°","º"))-1)),""))))</f>
        <v>17</v>
      </c>
      <c r="O508" s="2" t="str">
        <f aca="false">IF(OR(F508="",G508=""),"",IF(G508&lt;='RETRATO 2027'!$K$5,"CONCLUÍDA",IF(F508&lt;='RETRATO 2027'!$K$5,"EM ANDAMENTO","A INICIAR")))</f>
        <v>CONCLUÍDA</v>
      </c>
    </row>
    <row r="509" customFormat="false" ht="15" hidden="false" customHeight="false" outlineLevel="0" collapsed="false">
      <c r="B509" s="4" t="n">
        <v>29940961</v>
      </c>
      <c r="C509" s="4" t="s">
        <v>2341</v>
      </c>
      <c r="D509" s="4" t="s">
        <v>463</v>
      </c>
      <c r="E509" s="4" t="s">
        <v>2825</v>
      </c>
      <c r="F509" s="127" t="n">
        <v>46591</v>
      </c>
      <c r="G509" s="127" t="n">
        <v>46603</v>
      </c>
      <c r="H509" s="127" t="n">
        <v>46289</v>
      </c>
      <c r="I509" s="4" t="n">
        <v>0</v>
      </c>
      <c r="J509" s="4" t="n">
        <v>0</v>
      </c>
      <c r="K509" s="4" t="n">
        <v>0</v>
      </c>
      <c r="M509" s="2" t="str">
        <f aca="false">IF(C509="","",IFERROR(INDEX($S$5:$S$304,MATCH(C509,$R$5:$R$304,0))&amp;"","?"))</f>
        <v>17</v>
      </c>
      <c r="N509" s="2" t="n">
        <f aca="false">IF(E509="","",IF(ISNUMBER(SEARCH("SUBSOLO",E509)),IFERROR(-VALUE(LEFT(E509,FIND("º",SUBSTITUTE(E509,"°","º"))-1)),-1),IF(LEFT(E509,6)="TÉRREO",0,IFERROR(VALUE(LEFT(E509,FIND("º",SUBSTITUTE(E509,"°","º"))-1)),""))))</f>
        <v>21</v>
      </c>
      <c r="O509" s="2" t="str">
        <f aca="false">IF(OR(F509="",G509=""),"",IF(G509&lt;='RETRATO 2027'!$K$5,"CONCLUÍDA",IF(F509&lt;='RETRATO 2027'!$K$5,"EM ANDAMENTO","A INICIAR")))</f>
        <v>CONCLUÍDA</v>
      </c>
    </row>
    <row r="510" customFormat="false" ht="15" hidden="false" customHeight="false" outlineLevel="0" collapsed="false">
      <c r="B510" s="4" t="n">
        <v>31529032</v>
      </c>
      <c r="C510" s="4" t="s">
        <v>2341</v>
      </c>
      <c r="D510" s="4" t="s">
        <v>2312</v>
      </c>
      <c r="E510" s="4" t="s">
        <v>2825</v>
      </c>
      <c r="F510" s="127" t="n">
        <v>46591</v>
      </c>
      <c r="G510" s="127" t="n">
        <v>46597</v>
      </c>
      <c r="H510" s="127" t="n">
        <v>46289</v>
      </c>
      <c r="I510" s="4" t="n">
        <v>0</v>
      </c>
      <c r="J510" s="4" t="n">
        <v>0</v>
      </c>
      <c r="K510" s="4" t="n">
        <v>0</v>
      </c>
      <c r="M510" s="2" t="str">
        <f aca="false">IF(C510="","",IFERROR(INDEX($S$5:$S$304,MATCH(C510,$R$5:$R$304,0))&amp;"","?"))</f>
        <v>17</v>
      </c>
      <c r="N510" s="2" t="n">
        <f aca="false">IF(E510="","",IF(ISNUMBER(SEARCH("SUBSOLO",E510)),IFERROR(-VALUE(LEFT(E510,FIND("º",SUBSTITUTE(E510,"°","º"))-1)),-1),IF(LEFT(E510,6)="TÉRREO",0,IFERROR(VALUE(LEFT(E510,FIND("º",SUBSTITUTE(E510,"°","º"))-1)),""))))</f>
        <v>21</v>
      </c>
      <c r="O510" s="2" t="str">
        <f aca="false">IF(OR(F510="",G510=""),"",IF(G510&lt;='RETRATO 2027'!$K$5,"CONCLUÍDA",IF(F510&lt;='RETRATO 2027'!$K$5,"EM ANDAMENTO","A INICIAR")))</f>
        <v>CONCLUÍDA</v>
      </c>
    </row>
    <row r="511" customFormat="false" ht="15" hidden="false" customHeight="false" outlineLevel="0" collapsed="false">
      <c r="B511" s="4" t="n">
        <v>31529033</v>
      </c>
      <c r="C511" s="4" t="s">
        <v>2341</v>
      </c>
      <c r="D511" s="4" t="s">
        <v>2309</v>
      </c>
      <c r="E511" s="4" t="s">
        <v>2825</v>
      </c>
      <c r="F511" s="127" t="n">
        <v>46598</v>
      </c>
      <c r="G511" s="127" t="n">
        <v>46602</v>
      </c>
      <c r="H511" s="127" t="n">
        <v>46289</v>
      </c>
      <c r="I511" s="4" t="n">
        <v>0</v>
      </c>
      <c r="J511" s="4" t="n">
        <v>0</v>
      </c>
      <c r="K511" s="4" t="n">
        <v>0</v>
      </c>
      <c r="M511" s="2" t="str">
        <f aca="false">IF(C511="","",IFERROR(INDEX($S$5:$S$304,MATCH(C511,$R$5:$R$304,0))&amp;"","?"))</f>
        <v>17</v>
      </c>
      <c r="N511" s="2" t="n">
        <f aca="false">IF(E511="","",IF(ISNUMBER(SEARCH("SUBSOLO",E511)),IFERROR(-VALUE(LEFT(E511,FIND("º",SUBSTITUTE(E511,"°","º"))-1)),-1),IF(LEFT(E511,6)="TÉRREO",0,IFERROR(VALUE(LEFT(E511,FIND("º",SUBSTITUTE(E511,"°","º"))-1)),""))))</f>
        <v>21</v>
      </c>
      <c r="O511" s="2" t="str">
        <f aca="false">IF(OR(F511="",G511=""),"",IF(G511&lt;='RETRATO 2027'!$K$5,"CONCLUÍDA",IF(F511&lt;='RETRATO 2027'!$K$5,"EM ANDAMENTO","A INICIAR")))</f>
        <v>CONCLUÍDA</v>
      </c>
    </row>
    <row r="512" customFormat="false" ht="15" hidden="false" customHeight="false" outlineLevel="0" collapsed="false">
      <c r="B512" s="4" t="n">
        <v>31529034</v>
      </c>
      <c r="C512" s="4" t="s">
        <v>2341</v>
      </c>
      <c r="D512" s="4" t="s">
        <v>2314</v>
      </c>
      <c r="E512" s="4" t="s">
        <v>2825</v>
      </c>
      <c r="F512" s="127" t="n">
        <v>46603</v>
      </c>
      <c r="G512" s="127" t="n">
        <v>46603</v>
      </c>
      <c r="H512" s="127" t="n">
        <v>46289</v>
      </c>
      <c r="I512" s="4" t="n">
        <v>0</v>
      </c>
      <c r="J512" s="4" t="n">
        <v>0</v>
      </c>
      <c r="K512" s="4" t="n">
        <v>0</v>
      </c>
      <c r="M512" s="2" t="str">
        <f aca="false">IF(C512="","",IFERROR(INDEX($S$5:$S$304,MATCH(C512,$R$5:$R$304,0))&amp;"","?"))</f>
        <v>17</v>
      </c>
      <c r="N512" s="2" t="n">
        <f aca="false">IF(E512="","",IF(ISNUMBER(SEARCH("SUBSOLO",E512)),IFERROR(-VALUE(LEFT(E512,FIND("º",SUBSTITUTE(E512,"°","º"))-1)),-1),IF(LEFT(E512,6)="TÉRREO",0,IFERROR(VALUE(LEFT(E512,FIND("º",SUBSTITUTE(E512,"°","º"))-1)),""))))</f>
        <v>21</v>
      </c>
      <c r="O512" s="2" t="str">
        <f aca="false">IF(OR(F512="",G512=""),"",IF(G512&lt;='RETRATO 2027'!$K$5,"CONCLUÍDA",IF(F512&lt;='RETRATO 2027'!$K$5,"EM ANDAMENTO","A INICIAR")))</f>
        <v>CONCLUÍDA</v>
      </c>
    </row>
    <row r="513" customFormat="false" ht="15" hidden="false" customHeight="false" outlineLevel="0" collapsed="false">
      <c r="B513" s="4" t="n">
        <v>31529035</v>
      </c>
      <c r="C513" s="4" t="s">
        <v>2341</v>
      </c>
      <c r="D513" s="4" t="s">
        <v>2758</v>
      </c>
      <c r="E513" s="4" t="s">
        <v>2825</v>
      </c>
      <c r="F513" s="127" t="n">
        <v>46603</v>
      </c>
      <c r="G513" s="127" t="n">
        <v>46603</v>
      </c>
      <c r="H513" s="127" t="n">
        <v>46289</v>
      </c>
      <c r="I513" s="4" t="n">
        <v>0</v>
      </c>
      <c r="J513" s="4" t="n">
        <v>0</v>
      </c>
      <c r="K513" s="4" t="n">
        <v>0</v>
      </c>
      <c r="M513" s="2" t="str">
        <f aca="false">IF(C513="","",IFERROR(INDEX($S$5:$S$304,MATCH(C513,$R$5:$R$304,0))&amp;"","?"))</f>
        <v>17</v>
      </c>
      <c r="N513" s="2" t="n">
        <f aca="false">IF(E513="","",IF(ISNUMBER(SEARCH("SUBSOLO",E513)),IFERROR(-VALUE(LEFT(E513,FIND("º",SUBSTITUTE(E513,"°","º"))-1)),-1),IF(LEFT(E513,6)="TÉRREO",0,IFERROR(VALUE(LEFT(E513,FIND("º",SUBSTITUTE(E513,"°","º"))-1)),""))))</f>
        <v>21</v>
      </c>
      <c r="O513" s="2" t="str">
        <f aca="false">IF(OR(F513="",G513=""),"",IF(G513&lt;='RETRATO 2027'!$K$5,"CONCLUÍDA",IF(F513&lt;='RETRATO 2027'!$K$5,"EM ANDAMENTO","A INICIAR")))</f>
        <v>CONCLUÍDA</v>
      </c>
    </row>
    <row r="514" customFormat="false" ht="15" hidden="false" customHeight="false" outlineLevel="0" collapsed="false">
      <c r="B514" s="4" t="n">
        <v>30205692</v>
      </c>
      <c r="C514" s="4" t="s">
        <v>2428</v>
      </c>
      <c r="D514" s="4" t="s">
        <v>463</v>
      </c>
      <c r="E514" s="4" t="s">
        <v>2819</v>
      </c>
      <c r="F514" s="127" t="n">
        <v>46597</v>
      </c>
      <c r="G514" s="127" t="n">
        <v>46605</v>
      </c>
      <c r="H514" s="127" t="n">
        <v>46289</v>
      </c>
      <c r="I514" s="4" t="n">
        <v>0</v>
      </c>
      <c r="J514" s="4" t="n">
        <v>0</v>
      </c>
      <c r="K514" s="4" t="n">
        <v>0</v>
      </c>
      <c r="M514" s="2" t="str">
        <f aca="false">IF(C514="","",IFERROR(INDEX($S$5:$S$304,MATCH(C514,$R$5:$R$304,0))&amp;"","?"))</f>
        <v>20</v>
      </c>
      <c r="N514" s="2" t="n">
        <f aca="false">IF(E514="","",IF(ISNUMBER(SEARCH("SUBSOLO",E514)),IFERROR(-VALUE(LEFT(E514,FIND("º",SUBSTITUTE(E514,"°","º"))-1)),-1),IF(LEFT(E514,6)="TÉRREO",0,IFERROR(VALUE(LEFT(E514,FIND("º",SUBSTITUTE(E514,"°","º"))-1)),""))))</f>
        <v>0</v>
      </c>
      <c r="O514" s="2" t="str">
        <f aca="false">IF(OR(F514="",G514=""),"",IF(G514&lt;='RETRATO 2027'!$K$5,"CONCLUÍDA",IF(F514&lt;='RETRATO 2027'!$K$5,"EM ANDAMENTO","A INICIAR")))</f>
        <v>CONCLUÍDA</v>
      </c>
    </row>
    <row r="515" customFormat="false" ht="15" hidden="false" customHeight="false" outlineLevel="0" collapsed="false">
      <c r="B515" s="4" t="n">
        <v>30205693</v>
      </c>
      <c r="C515" s="4" t="s">
        <v>2452</v>
      </c>
      <c r="D515" s="4" t="s">
        <v>463</v>
      </c>
      <c r="E515" s="4" t="s">
        <v>2819</v>
      </c>
      <c r="F515" s="127" t="n">
        <v>46597</v>
      </c>
      <c r="G515" s="127" t="n">
        <v>46610</v>
      </c>
      <c r="H515" s="127" t="n">
        <v>46289</v>
      </c>
      <c r="I515" s="4" t="n">
        <v>0</v>
      </c>
      <c r="J515" s="4" t="n">
        <v>0</v>
      </c>
      <c r="K515" s="4" t="n">
        <v>0</v>
      </c>
      <c r="M515" s="2" t="str">
        <f aca="false">IF(C515="","",IFERROR(INDEX($S$5:$S$304,MATCH(C515,$R$5:$R$304,0))&amp;"","?"))</f>
        <v>21</v>
      </c>
      <c r="N515" s="2" t="n">
        <f aca="false">IF(E515="","",IF(ISNUMBER(SEARCH("SUBSOLO",E515)),IFERROR(-VALUE(LEFT(E515,FIND("º",SUBSTITUTE(E515,"°","º"))-1)),-1),IF(LEFT(E515,6)="TÉRREO",0,IFERROR(VALUE(LEFT(E515,FIND("º",SUBSTITUTE(E515,"°","º"))-1)),""))))</f>
        <v>0</v>
      </c>
      <c r="O515" s="2" t="str">
        <f aca="false">IF(OR(F515="",G515=""),"",IF(G515&lt;='RETRATO 2027'!$K$5,"CONCLUÍDA",IF(F515&lt;='RETRATO 2027'!$K$5,"EM ANDAMENTO","A INICIAR")))</f>
        <v>CONCLUÍDA</v>
      </c>
    </row>
    <row r="516" customFormat="false" ht="15" hidden="false" customHeight="false" outlineLevel="0" collapsed="false">
      <c r="B516" s="4" t="n">
        <v>30205664</v>
      </c>
      <c r="C516" s="4" t="s">
        <v>2422</v>
      </c>
      <c r="D516" s="4" t="s">
        <v>463</v>
      </c>
      <c r="E516" s="4" t="s">
        <v>2821</v>
      </c>
      <c r="F516" s="127" t="n">
        <v>46597</v>
      </c>
      <c r="G516" s="127" t="n">
        <v>46610</v>
      </c>
      <c r="H516" s="127" t="n">
        <v>46289</v>
      </c>
      <c r="I516" s="4" t="n">
        <v>0</v>
      </c>
      <c r="J516" s="4" t="n">
        <v>0</v>
      </c>
      <c r="K516" s="4" t="n">
        <v>0</v>
      </c>
      <c r="M516" s="2" t="str">
        <f aca="false">IF(C516="","",IFERROR(INDEX($S$5:$S$304,MATCH(C516,$R$5:$R$304,0))&amp;"","?"))</f>
        <v>29</v>
      </c>
      <c r="N516" s="2" t="n">
        <f aca="false">IF(E516="","",IF(ISNUMBER(SEARCH("SUBSOLO",E516)),IFERROR(-VALUE(LEFT(E516,FIND("º",SUBSTITUTE(E516,"°","º"))-1)),-1),IF(LEFT(E516,6)="TÉRREO",0,IFERROR(VALUE(LEFT(E516,FIND("º",SUBSTITUTE(E516,"°","º"))-1)),""))))</f>
        <v>0</v>
      </c>
      <c r="O516" s="2" t="str">
        <f aca="false">IF(OR(F516="",G516=""),"",IF(G516&lt;='RETRATO 2027'!$K$5,"CONCLUÍDA",IF(F516&lt;='RETRATO 2027'!$K$5,"EM ANDAMENTO","A INICIAR")))</f>
        <v>CONCLUÍDA</v>
      </c>
    </row>
    <row r="517" customFormat="false" ht="15" hidden="false" customHeight="false" outlineLevel="0" collapsed="false">
      <c r="B517" s="4" t="n">
        <v>30205631</v>
      </c>
      <c r="C517" s="4" t="s">
        <v>2413</v>
      </c>
      <c r="D517" s="4" t="s">
        <v>463</v>
      </c>
      <c r="E517" s="4" t="s">
        <v>2824</v>
      </c>
      <c r="F517" s="127" t="n">
        <v>46597</v>
      </c>
      <c r="G517" s="127" t="n">
        <v>46610</v>
      </c>
      <c r="H517" s="127" t="n">
        <v>46289</v>
      </c>
      <c r="I517" s="4" t="n">
        <v>0</v>
      </c>
      <c r="J517" s="4" t="n">
        <v>0</v>
      </c>
      <c r="K517" s="4" t="n">
        <v>0</v>
      </c>
      <c r="M517" s="2" t="str">
        <f aca="false">IF(C517="","",IFERROR(INDEX($S$5:$S$304,MATCH(C517,$R$5:$R$304,0))&amp;"","?"))</f>
        <v>21</v>
      </c>
      <c r="N517" s="2" t="n">
        <f aca="false">IF(E517="","",IF(ISNUMBER(SEARCH("SUBSOLO",E517)),IFERROR(-VALUE(LEFT(E517,FIND("º",SUBSTITUTE(E517,"°","º"))-1)),-1),IF(LEFT(E517,6)="TÉRREO",0,IFERROR(VALUE(LEFT(E517,FIND("º",SUBSTITUTE(E517,"°","º"))-1)),""))))</f>
        <v>0</v>
      </c>
      <c r="O517" s="2" t="str">
        <f aca="false">IF(OR(F517="",G517=""),"",IF(G517&lt;='RETRATO 2027'!$K$5,"CONCLUÍDA",IF(F517&lt;='RETRATO 2027'!$K$5,"EM ANDAMENTO","A INICIAR")))</f>
        <v>CONCLUÍDA</v>
      </c>
    </row>
    <row r="518" customFormat="false" ht="15" hidden="false" customHeight="false" outlineLevel="0" collapsed="false">
      <c r="B518" s="4" t="n">
        <v>30205630</v>
      </c>
      <c r="C518" s="4" t="s">
        <v>2410</v>
      </c>
      <c r="D518" s="4" t="s">
        <v>463</v>
      </c>
      <c r="E518" s="4" t="s">
        <v>2824</v>
      </c>
      <c r="F518" s="127" t="n">
        <v>46597</v>
      </c>
      <c r="G518" s="127" t="n">
        <v>46610</v>
      </c>
      <c r="H518" s="127" t="n">
        <v>46289</v>
      </c>
      <c r="I518" s="4" t="n">
        <v>0</v>
      </c>
      <c r="J518" s="4" t="n">
        <v>0</v>
      </c>
      <c r="K518" s="4" t="n">
        <v>0</v>
      </c>
      <c r="M518" s="2" t="str">
        <f aca="false">IF(C518="","",IFERROR(INDEX($S$5:$S$304,MATCH(C518,$R$5:$R$304,0))&amp;"","?"))</f>
        <v>22</v>
      </c>
      <c r="N518" s="2" t="n">
        <f aca="false">IF(E518="","",IF(ISNUMBER(SEARCH("SUBSOLO",E518)),IFERROR(-VALUE(LEFT(E518,FIND("º",SUBSTITUTE(E518,"°","º"))-1)),-1),IF(LEFT(E518,6)="TÉRREO",0,IFERROR(VALUE(LEFT(E518,FIND("º",SUBSTITUTE(E518,"°","º"))-1)),""))))</f>
        <v>0</v>
      </c>
      <c r="O518" s="2" t="str">
        <f aca="false">IF(OR(F518="",G518=""),"",IF(G518&lt;='RETRATO 2027'!$K$5,"CONCLUÍDA",IF(F518&lt;='RETRATO 2027'!$K$5,"EM ANDAMENTO","A INICIAR")))</f>
        <v>CONCLUÍDA</v>
      </c>
    </row>
    <row r="519" customFormat="false" ht="15" hidden="false" customHeight="false" outlineLevel="0" collapsed="false">
      <c r="B519" s="4" t="n">
        <v>30205632</v>
      </c>
      <c r="C519" s="4" t="s">
        <v>2416</v>
      </c>
      <c r="D519" s="4" t="s">
        <v>463</v>
      </c>
      <c r="E519" s="4" t="s">
        <v>2824</v>
      </c>
      <c r="F519" s="127" t="n">
        <v>46597</v>
      </c>
      <c r="G519" s="127" t="n">
        <v>46610</v>
      </c>
      <c r="H519" s="127" t="n">
        <v>46289</v>
      </c>
      <c r="I519" s="4" t="n">
        <v>0</v>
      </c>
      <c r="J519" s="4" t="n">
        <v>0</v>
      </c>
      <c r="K519" s="4" t="n">
        <v>0</v>
      </c>
      <c r="M519" s="2" t="str">
        <f aca="false">IF(C519="","",IFERROR(INDEX($S$5:$S$304,MATCH(C519,$R$5:$R$304,0))&amp;"","?"))</f>
        <v>18</v>
      </c>
      <c r="N519" s="2" t="n">
        <f aca="false">IF(E519="","",IF(ISNUMBER(SEARCH("SUBSOLO",E519)),IFERROR(-VALUE(LEFT(E519,FIND("º",SUBSTITUTE(E519,"°","º"))-1)),-1),IF(LEFT(E519,6)="TÉRREO",0,IFERROR(VALUE(LEFT(E519,FIND("º",SUBSTITUTE(E519,"°","º"))-1)),""))))</f>
        <v>0</v>
      </c>
      <c r="O519" s="2" t="str">
        <f aca="false">IF(OR(F519="",G519=""),"",IF(G519&lt;='RETRATO 2027'!$K$5,"CONCLUÍDA",IF(F519&lt;='RETRATO 2027'!$K$5,"EM ANDAMENTO","A INICIAR")))</f>
        <v>CONCLUÍDA</v>
      </c>
    </row>
    <row r="520" customFormat="false" ht="15" hidden="false" customHeight="false" outlineLevel="0" collapsed="false">
      <c r="B520" s="4" t="n">
        <v>30205602</v>
      </c>
      <c r="C520" s="4" t="s">
        <v>168</v>
      </c>
      <c r="D520" s="4" t="s">
        <v>463</v>
      </c>
      <c r="E520" s="4" t="s">
        <v>2826</v>
      </c>
      <c r="F520" s="127" t="n">
        <v>46597</v>
      </c>
      <c r="G520" s="127" t="n">
        <v>46610</v>
      </c>
      <c r="H520" s="127" t="n">
        <v>46289</v>
      </c>
      <c r="I520" s="4" t="n">
        <v>0</v>
      </c>
      <c r="J520" s="4" t="n">
        <v>0</v>
      </c>
      <c r="K520" s="4" t="n">
        <v>0</v>
      </c>
      <c r="M520" s="2" t="str">
        <f aca="false">IF(C520="","",IFERROR(INDEX($S$5:$S$304,MATCH(C520,$R$5:$R$304,0))&amp;"","?"))</f>
        <v>18</v>
      </c>
      <c r="N520" s="2" t="n">
        <f aca="false">IF(E520="","",IF(ISNUMBER(SEARCH("SUBSOLO",E520)),IFERROR(-VALUE(LEFT(E520,FIND("º",SUBSTITUTE(E520,"°","º"))-1)),-1),IF(LEFT(E520,6)="TÉRREO",0,IFERROR(VALUE(LEFT(E520,FIND("º",SUBSTITUTE(E520,"°","º"))-1)),""))))</f>
        <v>0</v>
      </c>
      <c r="O520" s="2" t="str">
        <f aca="false">IF(OR(F520="",G520=""),"",IF(G520&lt;='RETRATO 2027'!$K$5,"CONCLUÍDA",IF(F520&lt;='RETRATO 2027'!$K$5,"EM ANDAMENTO","A INICIAR")))</f>
        <v>CONCLUÍDA</v>
      </c>
    </row>
    <row r="521" customFormat="false" ht="15" hidden="false" customHeight="false" outlineLevel="0" collapsed="false">
      <c r="B521" s="4" t="n">
        <v>32750433</v>
      </c>
      <c r="C521" s="4" t="s">
        <v>2470</v>
      </c>
      <c r="D521" s="4" t="s">
        <v>463</v>
      </c>
      <c r="E521" s="4" t="s">
        <v>2803</v>
      </c>
      <c r="F521" s="127" t="n">
        <v>46597</v>
      </c>
      <c r="G521" s="127" t="n">
        <v>46609</v>
      </c>
      <c r="H521" s="127" t="n">
        <v>46289</v>
      </c>
      <c r="I521" s="4" t="n">
        <v>0</v>
      </c>
      <c r="J521" s="4" t="n">
        <v>0</v>
      </c>
      <c r="K521" s="4" t="n">
        <v>0</v>
      </c>
      <c r="M521" s="2" t="str">
        <f aca="false">IF(C521="","",IFERROR(INDEX($S$5:$S$304,MATCH(C521,$R$5:$R$304,0))&amp;"","?"))</f>
        <v>18</v>
      </c>
      <c r="N521" s="2" t="n">
        <f aca="false">IF(E521="","",IF(ISNUMBER(SEARCH("SUBSOLO",E521)),IFERROR(-VALUE(LEFT(E521,FIND("º",SUBSTITUTE(E521,"°","º"))-1)),-1),IF(LEFT(E521,6)="TÉRREO",0,IFERROR(VALUE(LEFT(E521,FIND("º",SUBSTITUTE(E521,"°","º"))-1)),""))))</f>
        <v>7</v>
      </c>
      <c r="O521" s="2" t="str">
        <f aca="false">IF(OR(F521="",G521=""),"",IF(G521&lt;='RETRATO 2027'!$K$5,"CONCLUÍDA",IF(F521&lt;='RETRATO 2027'!$K$5,"EM ANDAMENTO","A INICIAR")))</f>
        <v>CONCLUÍDA</v>
      </c>
    </row>
    <row r="522" customFormat="false" ht="15" hidden="false" customHeight="false" outlineLevel="0" collapsed="false">
      <c r="B522" s="4" t="n">
        <v>32750356</v>
      </c>
      <c r="C522" s="4" t="s">
        <v>2458</v>
      </c>
      <c r="D522" s="4" t="s">
        <v>463</v>
      </c>
      <c r="E522" s="4" t="s">
        <v>2804</v>
      </c>
      <c r="F522" s="127" t="n">
        <v>46597</v>
      </c>
      <c r="G522" s="127" t="n">
        <v>46609</v>
      </c>
      <c r="H522" s="127" t="n">
        <v>46289</v>
      </c>
      <c r="I522" s="4" t="n">
        <v>0</v>
      </c>
      <c r="J522" s="4" t="n">
        <v>0</v>
      </c>
      <c r="K522" s="4" t="n">
        <v>0</v>
      </c>
      <c r="M522" s="2" t="str">
        <f aca="false">IF(C522="","",IFERROR(INDEX($S$5:$S$304,MATCH(C522,$R$5:$R$304,0))&amp;"","?"))</f>
        <v>21</v>
      </c>
      <c r="N522" s="2" t="n">
        <f aca="false">IF(E522="","",IF(ISNUMBER(SEARCH("SUBSOLO",E522)),IFERROR(-VALUE(LEFT(E522,FIND("º",SUBSTITUTE(E522,"°","º"))-1)),-1),IF(LEFT(E522,6)="TÉRREO",0,IFERROR(VALUE(LEFT(E522,FIND("º",SUBSTITUTE(E522,"°","º"))-1)),""))))</f>
        <v>8</v>
      </c>
      <c r="O522" s="2" t="str">
        <f aca="false">IF(OR(F522="",G522=""),"",IF(G522&lt;='RETRATO 2027'!$K$5,"CONCLUÍDA",IF(F522&lt;='RETRATO 2027'!$K$5,"EM ANDAMENTO","A INICIAR")))</f>
        <v>CONCLUÍDA</v>
      </c>
    </row>
    <row r="523" customFormat="false" ht="15" hidden="false" customHeight="false" outlineLevel="0" collapsed="false">
      <c r="B523" s="4" t="n">
        <v>32750382</v>
      </c>
      <c r="C523" s="4" t="s">
        <v>2461</v>
      </c>
      <c r="D523" s="4" t="s">
        <v>463</v>
      </c>
      <c r="E523" s="4" t="s">
        <v>2804</v>
      </c>
      <c r="F523" s="127" t="n">
        <v>46597</v>
      </c>
      <c r="G523" s="127" t="n">
        <v>46609</v>
      </c>
      <c r="H523" s="127" t="n">
        <v>46289</v>
      </c>
      <c r="I523" s="4" t="n">
        <v>0</v>
      </c>
      <c r="J523" s="4" t="n">
        <v>0</v>
      </c>
      <c r="K523" s="4" t="n">
        <v>0</v>
      </c>
      <c r="M523" s="2" t="str">
        <f aca="false">IF(C523="","",IFERROR(INDEX($S$5:$S$304,MATCH(C523,$R$5:$R$304,0))&amp;"","?"))</f>
        <v>20</v>
      </c>
      <c r="N523" s="2" t="n">
        <f aca="false">IF(E523="","",IF(ISNUMBER(SEARCH("SUBSOLO",E523)),IFERROR(-VALUE(LEFT(E523,FIND("º",SUBSTITUTE(E523,"°","º"))-1)),-1),IF(LEFT(E523,6)="TÉRREO",0,IFERROR(VALUE(LEFT(E523,FIND("º",SUBSTITUTE(E523,"°","º"))-1)),""))))</f>
        <v>8</v>
      </c>
      <c r="O523" s="2" t="str">
        <f aca="false">IF(OR(F523="",G523=""),"",IF(G523&lt;='RETRATO 2027'!$K$5,"CONCLUÍDA",IF(F523&lt;='RETRATO 2027'!$K$5,"EM ANDAMENTO","A INICIAR")))</f>
        <v>CONCLUÍDA</v>
      </c>
    </row>
    <row r="524" customFormat="false" ht="15" hidden="false" customHeight="false" outlineLevel="0" collapsed="false">
      <c r="B524" s="4" t="n">
        <v>32750408</v>
      </c>
      <c r="C524" s="4" t="s">
        <v>2464</v>
      </c>
      <c r="D524" s="4" t="s">
        <v>463</v>
      </c>
      <c r="E524" s="4" t="s">
        <v>2804</v>
      </c>
      <c r="F524" s="127" t="n">
        <v>46597</v>
      </c>
      <c r="G524" s="127" t="n">
        <v>46609</v>
      </c>
      <c r="H524" s="127" t="n">
        <v>46289</v>
      </c>
      <c r="I524" s="4" t="n">
        <v>0</v>
      </c>
      <c r="J524" s="4" t="n">
        <v>0</v>
      </c>
      <c r="K524" s="4" t="n">
        <v>0</v>
      </c>
      <c r="M524" s="2" t="str">
        <f aca="false">IF(C524="","",IFERROR(INDEX($S$5:$S$304,MATCH(C524,$R$5:$R$304,0))&amp;"","?"))</f>
        <v>21</v>
      </c>
      <c r="N524" s="2" t="n">
        <f aca="false">IF(E524="","",IF(ISNUMBER(SEARCH("SUBSOLO",E524)),IFERROR(-VALUE(LEFT(E524,FIND("º",SUBSTITUTE(E524,"°","º"))-1)),-1),IF(LEFT(E524,6)="TÉRREO",0,IFERROR(VALUE(LEFT(E524,FIND("º",SUBSTITUTE(E524,"°","º"))-1)),""))))</f>
        <v>8</v>
      </c>
      <c r="O524" s="2" t="str">
        <f aca="false">IF(OR(F524="",G524=""),"",IF(G524&lt;='RETRATO 2027'!$K$5,"CONCLUÍDA",IF(F524&lt;='RETRATO 2027'!$K$5,"EM ANDAMENTO","A INICIAR")))</f>
        <v>CONCLUÍDA</v>
      </c>
    </row>
    <row r="525" customFormat="false" ht="15" hidden="false" customHeight="false" outlineLevel="0" collapsed="false">
      <c r="B525" s="4" t="n">
        <v>33896826</v>
      </c>
      <c r="C525" s="4" t="s">
        <v>2467</v>
      </c>
      <c r="D525" s="4" t="s">
        <v>463</v>
      </c>
      <c r="E525" s="4" t="s">
        <v>2804</v>
      </c>
      <c r="F525" s="127" t="n">
        <v>46597</v>
      </c>
      <c r="G525" s="127" t="n">
        <v>46609</v>
      </c>
      <c r="H525" s="127" t="n">
        <v>46289</v>
      </c>
      <c r="I525" s="4" t="n">
        <v>0</v>
      </c>
      <c r="J525" s="4" t="n">
        <v>0</v>
      </c>
      <c r="K525" s="4" t="n">
        <v>0</v>
      </c>
      <c r="M525" s="2" t="str">
        <f aca="false">IF(C525="","",IFERROR(INDEX($S$5:$S$304,MATCH(C525,$R$5:$R$304,0))&amp;"","?"))</f>
        <v>23</v>
      </c>
      <c r="N525" s="2" t="n">
        <f aca="false">IF(E525="","",IF(ISNUMBER(SEARCH("SUBSOLO",E525)),IFERROR(-VALUE(LEFT(E525,FIND("º",SUBSTITUTE(E525,"°","º"))-1)),-1),IF(LEFT(E525,6)="TÉRREO",0,IFERROR(VALUE(LEFT(E525,FIND("º",SUBSTITUTE(E525,"°","º"))-1)),""))))</f>
        <v>8</v>
      </c>
      <c r="O525" s="2" t="str">
        <f aca="false">IF(OR(F525="",G525=""),"",IF(G525&lt;='RETRATO 2027'!$K$5,"CONCLUÍDA",IF(F525&lt;='RETRATO 2027'!$K$5,"EM ANDAMENTO","A INICIAR")))</f>
        <v>CONCLUÍDA</v>
      </c>
    </row>
    <row r="526" customFormat="false" ht="15" hidden="false" customHeight="false" outlineLevel="0" collapsed="false">
      <c r="B526" s="4" t="n">
        <v>32749852</v>
      </c>
      <c r="C526" s="4" t="s">
        <v>2455</v>
      </c>
      <c r="D526" s="4" t="s">
        <v>463</v>
      </c>
      <c r="E526" s="4" t="s">
        <v>2805</v>
      </c>
      <c r="F526" s="127" t="n">
        <v>46597</v>
      </c>
      <c r="G526" s="127" t="n">
        <v>46609</v>
      </c>
      <c r="H526" s="127" t="n">
        <v>46289</v>
      </c>
      <c r="I526" s="4" t="n">
        <v>0</v>
      </c>
      <c r="J526" s="4" t="n">
        <v>0</v>
      </c>
      <c r="K526" s="4" t="n">
        <v>0</v>
      </c>
      <c r="M526" s="2" t="str">
        <f aca="false">IF(C526="","",IFERROR(INDEX($S$5:$S$304,MATCH(C526,$R$5:$R$304,0))&amp;"","?"))</f>
        <v>18</v>
      </c>
      <c r="N526" s="2" t="n">
        <f aca="false">IF(E526="","",IF(ISNUMBER(SEARCH("SUBSOLO",E526)),IFERROR(-VALUE(LEFT(E526,FIND("º",SUBSTITUTE(E526,"°","º"))-1)),-1),IF(LEFT(E526,6)="TÉRREO",0,IFERROR(VALUE(LEFT(E526,FIND("º",SUBSTITUTE(E526,"°","º"))-1)),""))))</f>
        <v>9</v>
      </c>
      <c r="O526" s="2" t="str">
        <f aca="false">IF(OR(F526="",G526=""),"",IF(G526&lt;='RETRATO 2027'!$K$5,"CONCLUÍDA",IF(F526&lt;='RETRATO 2027'!$K$5,"EM ANDAMENTO","A INICIAR")))</f>
        <v>CONCLUÍDA</v>
      </c>
    </row>
    <row r="527" customFormat="false" ht="15" hidden="false" customHeight="false" outlineLevel="0" collapsed="false">
      <c r="B527" s="4" t="n">
        <v>29981436</v>
      </c>
      <c r="C527" s="4" t="s">
        <v>2449</v>
      </c>
      <c r="D527" s="4" t="s">
        <v>463</v>
      </c>
      <c r="E527" s="4" t="s">
        <v>2809</v>
      </c>
      <c r="F527" s="127" t="n">
        <v>46597</v>
      </c>
      <c r="G527" s="127" t="n">
        <v>46609</v>
      </c>
      <c r="H527" s="127" t="n">
        <v>46289</v>
      </c>
      <c r="I527" s="4" t="n">
        <v>0</v>
      </c>
      <c r="J527" s="4" t="n">
        <v>0</v>
      </c>
      <c r="K527" s="4" t="n">
        <v>0</v>
      </c>
      <c r="M527" s="2" t="str">
        <f aca="false">IF(C527="","",IFERROR(INDEX($S$5:$S$304,MATCH(C527,$R$5:$R$304,0))&amp;"","?"))</f>
        <v>28</v>
      </c>
      <c r="N527" s="2" t="n">
        <f aca="false">IF(E527="","",IF(ISNUMBER(SEARCH("SUBSOLO",E527)),IFERROR(-VALUE(LEFT(E527,FIND("º",SUBSTITUTE(E527,"°","º"))-1)),-1),IF(LEFT(E527,6)="TÉRREO",0,IFERROR(VALUE(LEFT(E527,FIND("º",SUBSTITUTE(E527,"°","º"))-1)),""))))</f>
        <v>10</v>
      </c>
      <c r="O527" s="2" t="str">
        <f aca="false">IF(OR(F527="",G527=""),"",IF(G527&lt;='RETRATO 2027'!$K$5,"CONCLUÍDA",IF(F527&lt;='RETRATO 2027'!$K$5,"EM ANDAMENTO","A INICIAR")))</f>
        <v>CONCLUÍDA</v>
      </c>
    </row>
    <row r="528" customFormat="false" ht="15" hidden="false" customHeight="false" outlineLevel="0" collapsed="false">
      <c r="B528" s="4" t="n">
        <v>29981376</v>
      </c>
      <c r="C528" s="4" t="s">
        <v>2440</v>
      </c>
      <c r="D528" s="4" t="s">
        <v>463</v>
      </c>
      <c r="E528" s="4" t="s">
        <v>2810</v>
      </c>
      <c r="F528" s="127" t="n">
        <v>46597</v>
      </c>
      <c r="G528" s="127" t="n">
        <v>46609</v>
      </c>
      <c r="H528" s="127" t="n">
        <v>46289</v>
      </c>
      <c r="I528" s="4" t="n">
        <v>0</v>
      </c>
      <c r="J528" s="4" t="n">
        <v>0</v>
      </c>
      <c r="K528" s="4" t="n">
        <v>0</v>
      </c>
      <c r="M528" s="2" t="str">
        <f aca="false">IF(C528="","",IFERROR(INDEX($S$5:$S$304,MATCH(C528,$R$5:$R$304,0))&amp;"","?"))</f>
        <v>21</v>
      </c>
      <c r="N528" s="2" t="n">
        <f aca="false">IF(E528="","",IF(ISNUMBER(SEARCH("SUBSOLO",E528)),IFERROR(-VALUE(LEFT(E528,FIND("º",SUBSTITUTE(E528,"°","º"))-1)),-1),IF(LEFT(E528,6)="TÉRREO",0,IFERROR(VALUE(LEFT(E528,FIND("º",SUBSTITUTE(E528,"°","º"))-1)),""))))</f>
        <v>11</v>
      </c>
      <c r="O528" s="2" t="str">
        <f aca="false">IF(OR(F528="",G528=""),"",IF(G528&lt;='RETRATO 2027'!$K$5,"CONCLUÍDA",IF(F528&lt;='RETRATO 2027'!$K$5,"EM ANDAMENTO","A INICIAR")))</f>
        <v>CONCLUÍDA</v>
      </c>
    </row>
    <row r="529" customFormat="false" ht="15" hidden="false" customHeight="false" outlineLevel="0" collapsed="false">
      <c r="B529" s="4" t="n">
        <v>29981409</v>
      </c>
      <c r="C529" s="4" t="s">
        <v>2443</v>
      </c>
      <c r="D529" s="4" t="s">
        <v>463</v>
      </c>
      <c r="E529" s="4" t="s">
        <v>2810</v>
      </c>
      <c r="F529" s="127" t="n">
        <v>46597</v>
      </c>
      <c r="G529" s="127" t="n">
        <v>46609</v>
      </c>
      <c r="H529" s="127" t="n">
        <v>46289</v>
      </c>
      <c r="I529" s="4" t="n">
        <v>0</v>
      </c>
      <c r="J529" s="4" t="n">
        <v>0</v>
      </c>
      <c r="K529" s="4" t="n">
        <v>0</v>
      </c>
      <c r="M529" s="2" t="str">
        <f aca="false">IF(C529="","",IFERROR(INDEX($S$5:$S$304,MATCH(C529,$R$5:$R$304,0))&amp;"","?"))</f>
        <v>20</v>
      </c>
      <c r="N529" s="2" t="n">
        <f aca="false">IF(E529="","",IF(ISNUMBER(SEARCH("SUBSOLO",E529)),IFERROR(-VALUE(LEFT(E529,FIND("º",SUBSTITUTE(E529,"°","º"))-1)),-1),IF(LEFT(E529,6)="TÉRREO",0,IFERROR(VALUE(LEFT(E529,FIND("º",SUBSTITUTE(E529,"°","º"))-1)),""))))</f>
        <v>11</v>
      </c>
      <c r="O529" s="2" t="str">
        <f aca="false">IF(OR(F529="",G529=""),"",IF(G529&lt;='RETRATO 2027'!$K$5,"CONCLUÍDA",IF(F529&lt;='RETRATO 2027'!$K$5,"EM ANDAMENTO","A INICIAR")))</f>
        <v>CONCLUÍDA</v>
      </c>
    </row>
    <row r="530" customFormat="false" ht="15" hidden="false" customHeight="false" outlineLevel="0" collapsed="false">
      <c r="B530" s="4" t="n">
        <v>29981338</v>
      </c>
      <c r="C530" s="4" t="s">
        <v>2437</v>
      </c>
      <c r="D530" s="4" t="s">
        <v>463</v>
      </c>
      <c r="E530" s="4" t="s">
        <v>2811</v>
      </c>
      <c r="F530" s="127" t="n">
        <v>46597</v>
      </c>
      <c r="G530" s="127" t="n">
        <v>46609</v>
      </c>
      <c r="H530" s="127" t="n">
        <v>46289</v>
      </c>
      <c r="I530" s="4" t="n">
        <v>0</v>
      </c>
      <c r="J530" s="4" t="n">
        <v>0</v>
      </c>
      <c r="K530" s="4" t="n">
        <v>0</v>
      </c>
      <c r="M530" s="2" t="str">
        <f aca="false">IF(C530="","",IFERROR(INDEX($S$5:$S$304,MATCH(C530,$R$5:$R$304,0))&amp;"","?"))</f>
        <v>29</v>
      </c>
      <c r="N530" s="2" t="n">
        <f aca="false">IF(E530="","",IF(ISNUMBER(SEARCH("SUBSOLO",E530)),IFERROR(-VALUE(LEFT(E530,FIND("º",SUBSTITUTE(E530,"°","º"))-1)),-1),IF(LEFT(E530,6)="TÉRREO",0,IFERROR(VALUE(LEFT(E530,FIND("º",SUBSTITUTE(E530,"°","º"))-1)),""))))</f>
        <v>12</v>
      </c>
      <c r="O530" s="2" t="str">
        <f aca="false">IF(OR(F530="",G530=""),"",IF(G530&lt;='RETRATO 2027'!$K$5,"CONCLUÍDA",IF(F530&lt;='RETRATO 2027'!$K$5,"EM ANDAMENTO","A INICIAR")))</f>
        <v>CONCLUÍDA</v>
      </c>
    </row>
    <row r="531" customFormat="false" ht="15" hidden="false" customHeight="false" outlineLevel="0" collapsed="false">
      <c r="B531" s="4" t="n">
        <v>29981304</v>
      </c>
      <c r="C531" s="4" t="s">
        <v>2434</v>
      </c>
      <c r="D531" s="4" t="s">
        <v>463</v>
      </c>
      <c r="E531" s="4" t="s">
        <v>2812</v>
      </c>
      <c r="F531" s="127" t="n">
        <v>46597</v>
      </c>
      <c r="G531" s="127" t="n">
        <v>46609</v>
      </c>
      <c r="H531" s="127" t="n">
        <v>46289</v>
      </c>
      <c r="I531" s="4" t="n">
        <v>0</v>
      </c>
      <c r="J531" s="4" t="n">
        <v>0</v>
      </c>
      <c r="K531" s="4" t="n">
        <v>0</v>
      </c>
      <c r="M531" s="2" t="str">
        <f aca="false">IF(C531="","",IFERROR(INDEX($S$5:$S$304,MATCH(C531,$R$5:$R$304,0))&amp;"","?"))</f>
        <v>25</v>
      </c>
      <c r="N531" s="2" t="n">
        <f aca="false">IF(E531="","",IF(ISNUMBER(SEARCH("SUBSOLO",E531)),IFERROR(-VALUE(LEFT(E531,FIND("º",SUBSTITUTE(E531,"°","º"))-1)),-1),IF(LEFT(E531,6)="TÉRREO",0,IFERROR(VALUE(LEFT(E531,FIND("º",SUBSTITUTE(E531,"°","º"))-1)),""))))</f>
        <v>13</v>
      </c>
      <c r="O531" s="2" t="str">
        <f aca="false">IF(OR(F531="",G531=""),"",IF(G531&lt;='RETRATO 2027'!$K$5,"CONCLUÍDA",IF(F531&lt;='RETRATO 2027'!$K$5,"EM ANDAMENTO","A INICIAR")))</f>
        <v>CONCLUÍDA</v>
      </c>
    </row>
    <row r="532" customFormat="false" ht="15" hidden="false" customHeight="false" outlineLevel="0" collapsed="false">
      <c r="B532" s="4" t="n">
        <v>29981297</v>
      </c>
      <c r="C532" s="4" t="s">
        <v>2425</v>
      </c>
      <c r="D532" s="4" t="s">
        <v>463</v>
      </c>
      <c r="E532" s="4" t="s">
        <v>2813</v>
      </c>
      <c r="F532" s="127" t="n">
        <v>46597</v>
      </c>
      <c r="G532" s="127" t="n">
        <v>46609</v>
      </c>
      <c r="H532" s="127" t="n">
        <v>46289</v>
      </c>
      <c r="I532" s="4" t="n">
        <v>0</v>
      </c>
      <c r="J532" s="4" t="n">
        <v>0</v>
      </c>
      <c r="K532" s="4" t="n">
        <v>0</v>
      </c>
      <c r="M532" s="2" t="str">
        <f aca="false">IF(C532="","",IFERROR(INDEX($S$5:$S$304,MATCH(C532,$R$5:$R$304,0))&amp;"","?"))</f>
        <v>21</v>
      </c>
      <c r="N532" s="2" t="n">
        <f aca="false">IF(E532="","",IF(ISNUMBER(SEARCH("SUBSOLO",E532)),IFERROR(-VALUE(LEFT(E532,FIND("º",SUBSTITUTE(E532,"°","º"))-1)),-1),IF(LEFT(E532,6)="TÉRREO",0,IFERROR(VALUE(LEFT(E532,FIND("º",SUBSTITUTE(E532,"°","º"))-1)),""))))</f>
        <v>14</v>
      </c>
      <c r="O532" s="2" t="str">
        <f aca="false">IF(OR(F532="",G532=""),"",IF(G532&lt;='RETRATO 2027'!$K$5,"CONCLUÍDA",IF(F532&lt;='RETRATO 2027'!$K$5,"EM ANDAMENTO","A INICIAR")))</f>
        <v>CONCLUÍDA</v>
      </c>
    </row>
    <row r="533" customFormat="false" ht="15" hidden="false" customHeight="false" outlineLevel="0" collapsed="false">
      <c r="B533" s="4" t="n">
        <v>29981266</v>
      </c>
      <c r="C533" s="4" t="s">
        <v>2428</v>
      </c>
      <c r="D533" s="4" t="s">
        <v>463</v>
      </c>
      <c r="E533" s="4" t="s">
        <v>2813</v>
      </c>
      <c r="F533" s="127" t="n">
        <v>46597</v>
      </c>
      <c r="G533" s="127" t="n">
        <v>46609</v>
      </c>
      <c r="H533" s="127" t="n">
        <v>46289</v>
      </c>
      <c r="I533" s="4" t="n">
        <v>0</v>
      </c>
      <c r="J533" s="4" t="n">
        <v>0</v>
      </c>
      <c r="K533" s="4" t="n">
        <v>0</v>
      </c>
      <c r="M533" s="2" t="str">
        <f aca="false">IF(C533="","",IFERROR(INDEX($S$5:$S$304,MATCH(C533,$R$5:$R$304,0))&amp;"","?"))</f>
        <v>20</v>
      </c>
      <c r="N533" s="2" t="n">
        <f aca="false">IF(E533="","",IF(ISNUMBER(SEARCH("SUBSOLO",E533)),IFERROR(-VALUE(LEFT(E533,FIND("º",SUBSTITUTE(E533,"°","º"))-1)),-1),IF(LEFT(E533,6)="TÉRREO",0,IFERROR(VALUE(LEFT(E533,FIND("º",SUBSTITUTE(E533,"°","º"))-1)),""))))</f>
        <v>14</v>
      </c>
      <c r="O533" s="2" t="str">
        <f aca="false">IF(OR(F533="",G533=""),"",IF(G533&lt;='RETRATO 2027'!$K$5,"CONCLUÍDA",IF(F533&lt;='RETRATO 2027'!$K$5,"EM ANDAMENTO","A INICIAR")))</f>
        <v>CONCLUÍDA</v>
      </c>
    </row>
    <row r="534" customFormat="false" ht="15" hidden="false" customHeight="false" outlineLevel="0" collapsed="false">
      <c r="B534" s="4" t="n">
        <v>29981299</v>
      </c>
      <c r="C534" s="4" t="s">
        <v>2431</v>
      </c>
      <c r="D534" s="4" t="s">
        <v>463</v>
      </c>
      <c r="E534" s="4" t="s">
        <v>2813</v>
      </c>
      <c r="F534" s="127" t="n">
        <v>46597</v>
      </c>
      <c r="G534" s="127" t="n">
        <v>46609</v>
      </c>
      <c r="H534" s="127" t="n">
        <v>46289</v>
      </c>
      <c r="I534" s="4" t="n">
        <v>0</v>
      </c>
      <c r="J534" s="4" t="n">
        <v>0</v>
      </c>
      <c r="K534" s="4" t="n">
        <v>0</v>
      </c>
      <c r="M534" s="2" t="str">
        <f aca="false">IF(C534="","",IFERROR(INDEX($S$5:$S$304,MATCH(C534,$R$5:$R$304,0))&amp;"","?"))</f>
        <v>21</v>
      </c>
      <c r="N534" s="2" t="n">
        <f aca="false">IF(E534="","",IF(ISNUMBER(SEARCH("SUBSOLO",E534)),IFERROR(-VALUE(LEFT(E534,FIND("º",SUBSTITUTE(E534,"°","º"))-1)),-1),IF(LEFT(E534,6)="TÉRREO",0,IFERROR(VALUE(LEFT(E534,FIND("º",SUBSTITUTE(E534,"°","º"))-1)),""))))</f>
        <v>14</v>
      </c>
      <c r="O534" s="2" t="str">
        <f aca="false">IF(OR(F534="",G534=""),"",IF(G534&lt;='RETRATO 2027'!$K$5,"CONCLUÍDA",IF(F534&lt;='RETRATO 2027'!$K$5,"EM ANDAMENTO","A INICIAR")))</f>
        <v>CONCLUÍDA</v>
      </c>
    </row>
    <row r="535" customFormat="false" ht="15" hidden="false" customHeight="false" outlineLevel="0" collapsed="false">
      <c r="B535" s="4" t="n">
        <v>29981246</v>
      </c>
      <c r="C535" s="4" t="s">
        <v>2422</v>
      </c>
      <c r="D535" s="4" t="s">
        <v>463</v>
      </c>
      <c r="E535" s="4" t="s">
        <v>2814</v>
      </c>
      <c r="F535" s="127" t="n">
        <v>46597</v>
      </c>
      <c r="G535" s="127" t="n">
        <v>46609</v>
      </c>
      <c r="H535" s="127" t="n">
        <v>46289</v>
      </c>
      <c r="I535" s="4" t="n">
        <v>0</v>
      </c>
      <c r="J535" s="4" t="n">
        <v>0</v>
      </c>
      <c r="K535" s="4" t="n">
        <v>0</v>
      </c>
      <c r="M535" s="2" t="str">
        <f aca="false">IF(C535="","",IFERROR(INDEX($S$5:$S$304,MATCH(C535,$R$5:$R$304,0))&amp;"","?"))</f>
        <v>29</v>
      </c>
      <c r="N535" s="2" t="n">
        <f aca="false">IF(E535="","",IF(ISNUMBER(SEARCH("SUBSOLO",E535)),IFERROR(-VALUE(LEFT(E535,FIND("º",SUBSTITUTE(E535,"°","º"))-1)),-1),IF(LEFT(E535,6)="TÉRREO",0,IFERROR(VALUE(LEFT(E535,FIND("º",SUBSTITUTE(E535,"°","º"))-1)),""))))</f>
        <v>15</v>
      </c>
      <c r="O535" s="2" t="str">
        <f aca="false">IF(OR(F535="",G535=""),"",IF(G535&lt;='RETRATO 2027'!$K$5,"CONCLUÍDA",IF(F535&lt;='RETRATO 2027'!$K$5,"EM ANDAMENTO","A INICIAR")))</f>
        <v>CONCLUÍDA</v>
      </c>
    </row>
    <row r="536" customFormat="false" ht="15" hidden="false" customHeight="false" outlineLevel="0" collapsed="false">
      <c r="B536" s="4" t="n">
        <v>29981212</v>
      </c>
      <c r="C536" s="4" t="s">
        <v>2413</v>
      </c>
      <c r="D536" s="4" t="s">
        <v>463</v>
      </c>
      <c r="E536" s="4" t="s">
        <v>2815</v>
      </c>
      <c r="F536" s="127" t="n">
        <v>46597</v>
      </c>
      <c r="G536" s="127" t="n">
        <v>46609</v>
      </c>
      <c r="H536" s="127" t="n">
        <v>46289</v>
      </c>
      <c r="I536" s="4" t="n">
        <v>0</v>
      </c>
      <c r="J536" s="4" t="n">
        <v>0</v>
      </c>
      <c r="K536" s="4" t="n">
        <v>0</v>
      </c>
      <c r="M536" s="2" t="str">
        <f aca="false">IF(C536="","",IFERROR(INDEX($S$5:$S$304,MATCH(C536,$R$5:$R$304,0))&amp;"","?"))</f>
        <v>21</v>
      </c>
      <c r="N536" s="2" t="n">
        <f aca="false">IF(E536="","",IF(ISNUMBER(SEARCH("SUBSOLO",E536)),IFERROR(-VALUE(LEFT(E536,FIND("º",SUBSTITUTE(E536,"°","º"))-1)),-1),IF(LEFT(E536,6)="TÉRREO",0,IFERROR(VALUE(LEFT(E536,FIND("º",SUBSTITUTE(E536,"°","º"))-1)),""))))</f>
        <v>16</v>
      </c>
      <c r="O536" s="2" t="str">
        <f aca="false">IF(OR(F536="",G536=""),"",IF(G536&lt;='RETRATO 2027'!$K$5,"CONCLUÍDA",IF(F536&lt;='RETRATO 2027'!$K$5,"EM ANDAMENTO","A INICIAR")))</f>
        <v>CONCLUÍDA</v>
      </c>
    </row>
    <row r="537" customFormat="false" ht="15" hidden="false" customHeight="false" outlineLevel="0" collapsed="false">
      <c r="B537" s="4" t="n">
        <v>30205721</v>
      </c>
      <c r="C537" s="4" t="s">
        <v>194</v>
      </c>
      <c r="D537" s="4" t="s">
        <v>463</v>
      </c>
      <c r="E537" s="4" t="s">
        <v>2740</v>
      </c>
      <c r="F537" s="127" t="n">
        <v>46601</v>
      </c>
      <c r="G537" s="127" t="n">
        <v>46612</v>
      </c>
      <c r="H537" s="127" t="n">
        <v>46289</v>
      </c>
      <c r="I537" s="4" t="n">
        <v>0</v>
      </c>
      <c r="J537" s="4" t="n">
        <v>0</v>
      </c>
      <c r="K537" s="4" t="n">
        <v>0</v>
      </c>
      <c r="M537" s="2" t="str">
        <f aca="false">IF(C537="","",IFERROR(INDEX($S$5:$S$304,MATCH(C537,$R$5:$R$304,0))&amp;"","?"))</f>
        <v>26</v>
      </c>
      <c r="N537" s="2" t="n">
        <f aca="false">IF(E537="","",IF(ISNUMBER(SEARCH("SUBSOLO",E537)),IFERROR(-VALUE(LEFT(E537,FIND("º",SUBSTITUTE(E537,"°","º"))-1)),-1),IF(LEFT(E537,6)="TÉRREO",0,IFERROR(VALUE(LEFT(E537,FIND("º",SUBSTITUTE(E537,"°","º"))-1)),""))))</f>
        <v>-1</v>
      </c>
      <c r="O537" s="2" t="str">
        <f aca="false">IF(OR(F537="",G537=""),"",IF(G537&lt;='RETRATO 2027'!$K$5,"CONCLUÍDA",IF(F537&lt;='RETRATO 2027'!$K$5,"EM ANDAMENTO","A INICIAR")))</f>
        <v>CONCLUÍDA</v>
      </c>
    </row>
    <row r="538" customFormat="false" ht="15" hidden="false" customHeight="false" outlineLevel="0" collapsed="false">
      <c r="B538" s="4" t="n">
        <v>29981211</v>
      </c>
      <c r="C538" s="4" t="s">
        <v>2416</v>
      </c>
      <c r="D538" s="4" t="s">
        <v>463</v>
      </c>
      <c r="E538" s="4" t="s">
        <v>2815</v>
      </c>
      <c r="F538" s="127" t="n">
        <v>46601</v>
      </c>
      <c r="G538" s="127" t="n">
        <v>46611</v>
      </c>
      <c r="H538" s="127" t="n">
        <v>46289</v>
      </c>
      <c r="I538" s="4" t="n">
        <v>0</v>
      </c>
      <c r="J538" s="4" t="n">
        <v>0</v>
      </c>
      <c r="K538" s="4" t="n">
        <v>0</v>
      </c>
      <c r="M538" s="2" t="str">
        <f aca="false">IF(C538="","",IFERROR(INDEX($S$5:$S$304,MATCH(C538,$R$5:$R$304,0))&amp;"","?"))</f>
        <v>18</v>
      </c>
      <c r="N538" s="2" t="n">
        <f aca="false">IF(E538="","",IF(ISNUMBER(SEARCH("SUBSOLO",E538)),IFERROR(-VALUE(LEFT(E538,FIND("º",SUBSTITUTE(E538,"°","º"))-1)),-1),IF(LEFT(E538,6)="TÉRREO",0,IFERROR(VALUE(LEFT(E538,FIND("º",SUBSTITUTE(E538,"°","º"))-1)),""))))</f>
        <v>16</v>
      </c>
      <c r="O538" s="2" t="str">
        <f aca="false">IF(OR(F538="",G538=""),"",IF(G538&lt;='RETRATO 2027'!$K$5,"CONCLUÍDA",IF(F538&lt;='RETRATO 2027'!$K$5,"EM ANDAMENTO","A INICIAR")))</f>
        <v>CONCLUÍDA</v>
      </c>
    </row>
    <row r="539" customFormat="false" ht="15" hidden="false" customHeight="false" outlineLevel="0" collapsed="false">
      <c r="B539" s="4" t="n">
        <v>29981185</v>
      </c>
      <c r="C539" s="4" t="s">
        <v>2410</v>
      </c>
      <c r="D539" s="4" t="s">
        <v>463</v>
      </c>
      <c r="E539" s="4" t="s">
        <v>2818</v>
      </c>
      <c r="F539" s="127" t="n">
        <v>46604</v>
      </c>
      <c r="G539" s="127" t="n">
        <v>46616</v>
      </c>
      <c r="H539" s="127" t="n">
        <v>46289</v>
      </c>
      <c r="I539" s="4" t="n">
        <v>0</v>
      </c>
      <c r="J539" s="4" t="n">
        <v>0</v>
      </c>
      <c r="K539" s="4" t="n">
        <v>0</v>
      </c>
      <c r="M539" s="2" t="str">
        <f aca="false">IF(C539="","",IFERROR(INDEX($S$5:$S$304,MATCH(C539,$R$5:$R$304,0))&amp;"","?"))</f>
        <v>22</v>
      </c>
      <c r="N539" s="2" t="n">
        <f aca="false">IF(E539="","",IF(ISNUMBER(SEARCH("SUBSOLO",E539)),IFERROR(-VALUE(LEFT(E539,FIND("º",SUBSTITUTE(E539,"°","º"))-1)),-1),IF(LEFT(E539,6)="TÉRREO",0,IFERROR(VALUE(LEFT(E539,FIND("º",SUBSTITUTE(E539,"°","º"))-1)),""))))</f>
        <v>17</v>
      </c>
      <c r="O539" s="2" t="str">
        <f aca="false">IF(OR(F539="",G539=""),"",IF(G539&lt;='RETRATO 2027'!$K$5,"CONCLUÍDA",IF(F539&lt;='RETRATO 2027'!$K$5,"EM ANDAMENTO","A INICIAR")))</f>
        <v>CONCLUÍDA</v>
      </c>
    </row>
    <row r="540" customFormat="false" ht="15" hidden="false" customHeight="false" outlineLevel="0" collapsed="false">
      <c r="B540" s="4" t="n">
        <v>29981136</v>
      </c>
      <c r="C540" s="4" t="s">
        <v>168</v>
      </c>
      <c r="D540" s="4" t="s">
        <v>463</v>
      </c>
      <c r="E540" s="4" t="s">
        <v>2820</v>
      </c>
      <c r="F540" s="127" t="n">
        <v>46604</v>
      </c>
      <c r="G540" s="127" t="n">
        <v>46616</v>
      </c>
      <c r="H540" s="127" t="n">
        <v>46289</v>
      </c>
      <c r="I540" s="4" t="n">
        <v>0</v>
      </c>
      <c r="J540" s="4" t="n">
        <v>0</v>
      </c>
      <c r="K540" s="4" t="n">
        <v>0</v>
      </c>
      <c r="M540" s="2" t="str">
        <f aca="false">IF(C540="","",IFERROR(INDEX($S$5:$S$304,MATCH(C540,$R$5:$R$304,0))&amp;"","?"))</f>
        <v>18</v>
      </c>
      <c r="N540" s="2" t="n">
        <f aca="false">IF(E540="","",IF(ISNUMBER(SEARCH("SUBSOLO",E540)),IFERROR(-VALUE(LEFT(E540,FIND("º",SUBSTITUTE(E540,"°","º"))-1)),-1),IF(LEFT(E540,6)="TÉRREO",0,IFERROR(VALUE(LEFT(E540,FIND("º",SUBSTITUTE(E540,"°","º"))-1)),""))))</f>
        <v>18</v>
      </c>
      <c r="O540" s="2" t="str">
        <f aca="false">IF(OR(F540="",G540=""),"",IF(G540&lt;='RETRATO 2027'!$K$5,"CONCLUÍDA",IF(F540&lt;='RETRATO 2027'!$K$5,"EM ANDAMENTO","A INICIAR")))</f>
        <v>CONCLUÍDA</v>
      </c>
    </row>
    <row r="541" customFormat="false" ht="15" hidden="false" customHeight="false" outlineLevel="0" collapsed="false">
      <c r="B541" s="4" t="n">
        <v>29940962</v>
      </c>
      <c r="C541" s="4" t="s">
        <v>2341</v>
      </c>
      <c r="D541" s="4" t="s">
        <v>463</v>
      </c>
      <c r="E541" s="4" t="s">
        <v>2827</v>
      </c>
      <c r="F541" s="127" t="n">
        <v>46604</v>
      </c>
      <c r="G541" s="127" t="n">
        <v>46615</v>
      </c>
      <c r="H541" s="127" t="n">
        <v>46289</v>
      </c>
      <c r="I541" s="4" t="n">
        <v>0</v>
      </c>
      <c r="J541" s="4" t="n">
        <v>0</v>
      </c>
      <c r="K541" s="4" t="n">
        <v>0</v>
      </c>
      <c r="M541" s="2" t="str">
        <f aca="false">IF(C541="","",IFERROR(INDEX($S$5:$S$304,MATCH(C541,$R$5:$R$304,0))&amp;"","?"))</f>
        <v>17</v>
      </c>
      <c r="N541" s="2" t="n">
        <f aca="false">IF(E541="","",IF(ISNUMBER(SEARCH("SUBSOLO",E541)),IFERROR(-VALUE(LEFT(E541,FIND("º",SUBSTITUTE(E541,"°","º"))-1)),-1),IF(LEFT(E541,6)="TÉRREO",0,IFERROR(VALUE(LEFT(E541,FIND("º",SUBSTITUTE(E541,"°","º"))-1)),""))))</f>
        <v>22</v>
      </c>
      <c r="O541" s="2" t="str">
        <f aca="false">IF(OR(F541="",G541=""),"",IF(G541&lt;='RETRATO 2027'!$K$5,"CONCLUÍDA",IF(F541&lt;='RETRATO 2027'!$K$5,"EM ANDAMENTO","A INICIAR")))</f>
        <v>CONCLUÍDA</v>
      </c>
    </row>
    <row r="542" customFormat="false" ht="15" hidden="false" customHeight="false" outlineLevel="0" collapsed="false">
      <c r="B542" s="4" t="n">
        <v>31529036</v>
      </c>
      <c r="C542" s="4" t="s">
        <v>2341</v>
      </c>
      <c r="D542" s="4" t="s">
        <v>2312</v>
      </c>
      <c r="E542" s="4" t="s">
        <v>2827</v>
      </c>
      <c r="F542" s="127" t="n">
        <v>46604</v>
      </c>
      <c r="G542" s="127" t="n">
        <v>46609</v>
      </c>
      <c r="H542" s="127" t="n">
        <v>46289</v>
      </c>
      <c r="I542" s="4" t="n">
        <v>0</v>
      </c>
      <c r="J542" s="4" t="n">
        <v>0</v>
      </c>
      <c r="K542" s="4" t="n">
        <v>0</v>
      </c>
      <c r="M542" s="2" t="str">
        <f aca="false">IF(C542="","",IFERROR(INDEX($S$5:$S$304,MATCH(C542,$R$5:$R$304,0))&amp;"","?"))</f>
        <v>17</v>
      </c>
      <c r="N542" s="2" t="n">
        <f aca="false">IF(E542="","",IF(ISNUMBER(SEARCH("SUBSOLO",E542)),IFERROR(-VALUE(LEFT(E542,FIND("º",SUBSTITUTE(E542,"°","º"))-1)),-1),IF(LEFT(E542,6)="TÉRREO",0,IFERROR(VALUE(LEFT(E542,FIND("º",SUBSTITUTE(E542,"°","º"))-1)),""))))</f>
        <v>22</v>
      </c>
      <c r="O542" s="2" t="str">
        <f aca="false">IF(OR(F542="",G542=""),"",IF(G542&lt;='RETRATO 2027'!$K$5,"CONCLUÍDA",IF(F542&lt;='RETRATO 2027'!$K$5,"EM ANDAMENTO","A INICIAR")))</f>
        <v>CONCLUÍDA</v>
      </c>
    </row>
    <row r="543" customFormat="false" ht="15" hidden="false" customHeight="false" outlineLevel="0" collapsed="false">
      <c r="B543" s="4" t="n">
        <v>31529037</v>
      </c>
      <c r="C543" s="4" t="s">
        <v>2341</v>
      </c>
      <c r="D543" s="4" t="s">
        <v>2309</v>
      </c>
      <c r="E543" s="4" t="s">
        <v>2827</v>
      </c>
      <c r="F543" s="127" t="n">
        <v>46610</v>
      </c>
      <c r="G543" s="127" t="n">
        <v>46612</v>
      </c>
      <c r="H543" s="127" t="n">
        <v>46289</v>
      </c>
      <c r="I543" s="4" t="n">
        <v>0</v>
      </c>
      <c r="J543" s="4" t="n">
        <v>0</v>
      </c>
      <c r="K543" s="4" t="n">
        <v>0</v>
      </c>
      <c r="M543" s="2" t="str">
        <f aca="false">IF(C543="","",IFERROR(INDEX($S$5:$S$304,MATCH(C543,$R$5:$R$304,0))&amp;"","?"))</f>
        <v>17</v>
      </c>
      <c r="N543" s="2" t="n">
        <f aca="false">IF(E543="","",IF(ISNUMBER(SEARCH("SUBSOLO",E543)),IFERROR(-VALUE(LEFT(E543,FIND("º",SUBSTITUTE(E543,"°","º"))-1)),-1),IF(LEFT(E543,6)="TÉRREO",0,IFERROR(VALUE(LEFT(E543,FIND("º",SUBSTITUTE(E543,"°","º"))-1)),""))))</f>
        <v>22</v>
      </c>
      <c r="O543" s="2" t="str">
        <f aca="false">IF(OR(F543="",G543=""),"",IF(G543&lt;='RETRATO 2027'!$K$5,"CONCLUÍDA",IF(F543&lt;='RETRATO 2027'!$K$5,"EM ANDAMENTO","A INICIAR")))</f>
        <v>CONCLUÍDA</v>
      </c>
    </row>
    <row r="544" customFormat="false" ht="15" hidden="false" customHeight="false" outlineLevel="0" collapsed="false">
      <c r="B544" s="4" t="n">
        <v>31529038</v>
      </c>
      <c r="C544" s="4" t="s">
        <v>2341</v>
      </c>
      <c r="D544" s="4" t="s">
        <v>2314</v>
      </c>
      <c r="E544" s="4" t="s">
        <v>2827</v>
      </c>
      <c r="F544" s="127" t="n">
        <v>46615</v>
      </c>
      <c r="G544" s="127" t="n">
        <v>46615</v>
      </c>
      <c r="H544" s="127" t="n">
        <v>46289</v>
      </c>
      <c r="I544" s="4" t="n">
        <v>0</v>
      </c>
      <c r="J544" s="4" t="n">
        <v>0</v>
      </c>
      <c r="K544" s="4" t="n">
        <v>0</v>
      </c>
      <c r="M544" s="2" t="str">
        <f aca="false">IF(C544="","",IFERROR(INDEX($S$5:$S$304,MATCH(C544,$R$5:$R$304,0))&amp;"","?"))</f>
        <v>17</v>
      </c>
      <c r="N544" s="2" t="n">
        <f aca="false">IF(E544="","",IF(ISNUMBER(SEARCH("SUBSOLO",E544)),IFERROR(-VALUE(LEFT(E544,FIND("º",SUBSTITUTE(E544,"°","º"))-1)),-1),IF(LEFT(E544,6)="TÉRREO",0,IFERROR(VALUE(LEFT(E544,FIND("º",SUBSTITUTE(E544,"°","º"))-1)),""))))</f>
        <v>22</v>
      </c>
      <c r="O544" s="2" t="str">
        <f aca="false">IF(OR(F544="",G544=""),"",IF(G544&lt;='RETRATO 2027'!$K$5,"CONCLUÍDA",IF(F544&lt;='RETRATO 2027'!$K$5,"EM ANDAMENTO","A INICIAR")))</f>
        <v>CONCLUÍDA</v>
      </c>
    </row>
    <row r="545" customFormat="false" ht="15" hidden="false" customHeight="false" outlineLevel="0" collapsed="false">
      <c r="B545" s="4" t="n">
        <v>31529039</v>
      </c>
      <c r="C545" s="4" t="s">
        <v>2341</v>
      </c>
      <c r="D545" s="4" t="s">
        <v>2758</v>
      </c>
      <c r="E545" s="4" t="s">
        <v>2827</v>
      </c>
      <c r="F545" s="127" t="n">
        <v>46615</v>
      </c>
      <c r="G545" s="127" t="n">
        <v>46615</v>
      </c>
      <c r="H545" s="127" t="n">
        <v>46289</v>
      </c>
      <c r="I545" s="4" t="n">
        <v>0</v>
      </c>
      <c r="J545" s="4" t="n">
        <v>0</v>
      </c>
      <c r="K545" s="4" t="n">
        <v>0</v>
      </c>
      <c r="M545" s="2" t="str">
        <f aca="false">IF(C545="","",IFERROR(INDEX($S$5:$S$304,MATCH(C545,$R$5:$R$304,0))&amp;"","?"))</f>
        <v>17</v>
      </c>
      <c r="N545" s="2" t="n">
        <f aca="false">IF(E545="","",IF(ISNUMBER(SEARCH("SUBSOLO",E545)),IFERROR(-VALUE(LEFT(E545,FIND("º",SUBSTITUTE(E545,"°","º"))-1)),-1),IF(LEFT(E545,6)="TÉRREO",0,IFERROR(VALUE(LEFT(E545,FIND("º",SUBSTITUTE(E545,"°","º"))-1)),""))))</f>
        <v>22</v>
      </c>
      <c r="O545" s="2" t="str">
        <f aca="false">IF(OR(F545="",G545=""),"",IF(G545&lt;='RETRATO 2027'!$K$5,"CONCLUÍDA",IF(F545&lt;='RETRATO 2027'!$K$5,"EM ANDAMENTO","A INICIAR")))</f>
        <v>CONCLUÍDA</v>
      </c>
    </row>
    <row r="546" customFormat="false" ht="15" hidden="false" customHeight="false" outlineLevel="0" collapsed="false">
      <c r="B546" s="4" t="n">
        <v>30171477</v>
      </c>
      <c r="C546" s="4" t="s">
        <v>194</v>
      </c>
      <c r="D546" s="4" t="s">
        <v>463</v>
      </c>
      <c r="E546" s="4" t="s">
        <v>2784</v>
      </c>
      <c r="F546" s="127" t="n">
        <v>46608</v>
      </c>
      <c r="G546" s="127" t="n">
        <v>46619</v>
      </c>
      <c r="H546" s="127" t="n">
        <v>46289</v>
      </c>
      <c r="I546" s="4" t="n">
        <v>0</v>
      </c>
      <c r="J546" s="4" t="n">
        <v>0</v>
      </c>
      <c r="K546" s="4" t="n">
        <v>0</v>
      </c>
      <c r="M546" s="2" t="str">
        <f aca="false">IF(C546="","",IFERROR(INDEX($S$5:$S$304,MATCH(C546,$R$5:$R$304,0))&amp;"","?"))</f>
        <v>26</v>
      </c>
      <c r="N546" s="2" t="n">
        <f aca="false">IF(E546="","",IF(ISNUMBER(SEARCH("SUBSOLO",E546)),IFERROR(-VALUE(LEFT(E546,FIND("º",SUBSTITUTE(E546,"°","º"))-1)),-1),IF(LEFT(E546,6)="TÉRREO",0,IFERROR(VALUE(LEFT(E546,FIND("º",SUBSTITUTE(E546,"°","º"))-1)),""))))</f>
        <v>2</v>
      </c>
      <c r="O546" s="2" t="str">
        <f aca="false">IF(OR(F546="",G546=""),"",IF(G546&lt;='RETRATO 2027'!$K$5,"CONCLUÍDA",IF(F546&lt;='RETRATO 2027'!$K$5,"EM ANDAMENTO","A INICIAR")))</f>
        <v>CONCLUÍDA</v>
      </c>
    </row>
    <row r="547" customFormat="false" ht="15" hidden="false" customHeight="false" outlineLevel="0" collapsed="false">
      <c r="B547" s="4" t="n">
        <v>30171478</v>
      </c>
      <c r="C547" s="4" t="s">
        <v>2437</v>
      </c>
      <c r="D547" s="4" t="s">
        <v>463</v>
      </c>
      <c r="E547" s="4" t="s">
        <v>2784</v>
      </c>
      <c r="F547" s="127" t="n">
        <v>46608</v>
      </c>
      <c r="G547" s="127" t="n">
        <v>46668</v>
      </c>
      <c r="H547" s="127" t="n">
        <v>46289</v>
      </c>
      <c r="I547" s="4" t="n">
        <v>0</v>
      </c>
      <c r="J547" s="4" t="n">
        <v>0</v>
      </c>
      <c r="K547" s="4" t="n">
        <v>0</v>
      </c>
      <c r="M547" s="2" t="str">
        <f aca="false">IF(C547="","",IFERROR(INDEX($S$5:$S$304,MATCH(C547,$R$5:$R$304,0))&amp;"","?"))</f>
        <v>29</v>
      </c>
      <c r="N547" s="2" t="n">
        <f aca="false">IF(E547="","",IF(ISNUMBER(SEARCH("SUBSOLO",E547)),IFERROR(-VALUE(LEFT(E547,FIND("º",SUBSTITUTE(E547,"°","º"))-1)),-1),IF(LEFT(E547,6)="TÉRREO",0,IFERROR(VALUE(LEFT(E547,FIND("º",SUBSTITUTE(E547,"°","º"))-1)),""))))</f>
        <v>2</v>
      </c>
      <c r="O547" s="2" t="str">
        <f aca="false">IF(OR(F547="",G547=""),"",IF(G547&lt;='RETRATO 2027'!$K$5,"CONCLUÍDA",IF(F547&lt;='RETRATO 2027'!$K$5,"EM ANDAMENTO","A INICIAR")))</f>
        <v>CONCLUÍDA</v>
      </c>
    </row>
    <row r="548" customFormat="false" ht="15" hidden="false" customHeight="false" outlineLevel="0" collapsed="false">
      <c r="B548" s="4" t="n">
        <v>29981546</v>
      </c>
      <c r="C548" s="4" t="s">
        <v>171</v>
      </c>
      <c r="D548" s="4" t="s">
        <v>463</v>
      </c>
      <c r="E548" s="4" t="s">
        <v>2803</v>
      </c>
      <c r="F548" s="127" t="n">
        <v>46610</v>
      </c>
      <c r="G548" s="127" t="n">
        <v>46622</v>
      </c>
      <c r="H548" s="127" t="n">
        <v>46289</v>
      </c>
      <c r="I548" s="4" t="n">
        <v>0</v>
      </c>
      <c r="J548" s="4" t="n">
        <v>0</v>
      </c>
      <c r="K548" s="4" t="n">
        <v>0</v>
      </c>
      <c r="M548" s="2" t="str">
        <f aca="false">IF(C548="","",IFERROR(INDEX($S$5:$S$304,MATCH(C548,$R$5:$R$304,0))&amp;"","?"))</f>
        <v>19</v>
      </c>
      <c r="N548" s="2" t="n">
        <f aca="false">IF(E548="","",IF(ISNUMBER(SEARCH("SUBSOLO",E548)),IFERROR(-VALUE(LEFT(E548,FIND("º",SUBSTITUTE(E548,"°","º"))-1)),-1),IF(LEFT(E548,6)="TÉRREO",0,IFERROR(VALUE(LEFT(E548,FIND("º",SUBSTITUTE(E548,"°","º"))-1)),""))))</f>
        <v>7</v>
      </c>
      <c r="O548" s="2" t="str">
        <f aca="false">IF(OR(F548="",G548=""),"",IF(G548&lt;='RETRATO 2027'!$K$5,"CONCLUÍDA",IF(F548&lt;='RETRATO 2027'!$K$5,"EM ANDAMENTO","A INICIAR")))</f>
        <v>CONCLUÍDA</v>
      </c>
    </row>
    <row r="549" customFormat="false" ht="15" hidden="false" customHeight="false" outlineLevel="0" collapsed="false">
      <c r="B549" s="4" t="n">
        <v>32750434</v>
      </c>
      <c r="C549" s="4" t="s">
        <v>2470</v>
      </c>
      <c r="D549" s="4" t="s">
        <v>463</v>
      </c>
      <c r="E549" s="4" t="s">
        <v>2804</v>
      </c>
      <c r="F549" s="127" t="n">
        <v>46610</v>
      </c>
      <c r="G549" s="127" t="n">
        <v>46622</v>
      </c>
      <c r="H549" s="127" t="n">
        <v>46289</v>
      </c>
      <c r="I549" s="4" t="n">
        <v>0</v>
      </c>
      <c r="J549" s="4" t="n">
        <v>0</v>
      </c>
      <c r="K549" s="4" t="n">
        <v>0</v>
      </c>
      <c r="M549" s="2" t="str">
        <f aca="false">IF(C549="","",IFERROR(INDEX($S$5:$S$304,MATCH(C549,$R$5:$R$304,0))&amp;"","?"))</f>
        <v>18</v>
      </c>
      <c r="N549" s="2" t="n">
        <f aca="false">IF(E549="","",IF(ISNUMBER(SEARCH("SUBSOLO",E549)),IFERROR(-VALUE(LEFT(E549,FIND("º",SUBSTITUTE(E549,"°","º"))-1)),-1),IF(LEFT(E549,6)="TÉRREO",0,IFERROR(VALUE(LEFT(E549,FIND("º",SUBSTITUTE(E549,"°","º"))-1)),""))))</f>
        <v>8</v>
      </c>
      <c r="O549" s="2" t="str">
        <f aca="false">IF(OR(F549="",G549=""),"",IF(G549&lt;='RETRATO 2027'!$K$5,"CONCLUÍDA",IF(F549&lt;='RETRATO 2027'!$K$5,"EM ANDAMENTO","A INICIAR")))</f>
        <v>CONCLUÍDA</v>
      </c>
    </row>
    <row r="550" customFormat="false" ht="15" hidden="false" customHeight="false" outlineLevel="0" collapsed="false">
      <c r="B550" s="4" t="n">
        <v>32750357</v>
      </c>
      <c r="C550" s="4" t="s">
        <v>2458</v>
      </c>
      <c r="D550" s="4" t="s">
        <v>463</v>
      </c>
      <c r="E550" s="4" t="s">
        <v>2805</v>
      </c>
      <c r="F550" s="127" t="n">
        <v>46610</v>
      </c>
      <c r="G550" s="127" t="n">
        <v>46622</v>
      </c>
      <c r="H550" s="127" t="n">
        <v>46289</v>
      </c>
      <c r="I550" s="4" t="n">
        <v>0</v>
      </c>
      <c r="J550" s="4" t="n">
        <v>0</v>
      </c>
      <c r="K550" s="4" t="n">
        <v>0</v>
      </c>
      <c r="M550" s="2" t="str">
        <f aca="false">IF(C550="","",IFERROR(INDEX($S$5:$S$304,MATCH(C550,$R$5:$R$304,0))&amp;"","?"))</f>
        <v>21</v>
      </c>
      <c r="N550" s="2" t="n">
        <f aca="false">IF(E550="","",IF(ISNUMBER(SEARCH("SUBSOLO",E550)),IFERROR(-VALUE(LEFT(E550,FIND("º",SUBSTITUTE(E550,"°","º"))-1)),-1),IF(LEFT(E550,6)="TÉRREO",0,IFERROR(VALUE(LEFT(E550,FIND("º",SUBSTITUTE(E550,"°","º"))-1)),""))))</f>
        <v>9</v>
      </c>
      <c r="O550" s="2" t="str">
        <f aca="false">IF(OR(F550="",G550=""),"",IF(G550&lt;='RETRATO 2027'!$K$5,"CONCLUÍDA",IF(F550&lt;='RETRATO 2027'!$K$5,"EM ANDAMENTO","A INICIAR")))</f>
        <v>CONCLUÍDA</v>
      </c>
    </row>
    <row r="551" customFormat="false" ht="15" hidden="false" customHeight="false" outlineLevel="0" collapsed="false">
      <c r="B551" s="4" t="n">
        <v>32750383</v>
      </c>
      <c r="C551" s="4" t="s">
        <v>2461</v>
      </c>
      <c r="D551" s="4" t="s">
        <v>463</v>
      </c>
      <c r="E551" s="4" t="s">
        <v>2805</v>
      </c>
      <c r="F551" s="127" t="n">
        <v>46610</v>
      </c>
      <c r="G551" s="127" t="n">
        <v>46622</v>
      </c>
      <c r="H551" s="127" t="n">
        <v>46289</v>
      </c>
      <c r="I551" s="4" t="n">
        <v>0</v>
      </c>
      <c r="J551" s="4" t="n">
        <v>0</v>
      </c>
      <c r="K551" s="4" t="n">
        <v>0</v>
      </c>
      <c r="M551" s="2" t="str">
        <f aca="false">IF(C551="","",IFERROR(INDEX($S$5:$S$304,MATCH(C551,$R$5:$R$304,0))&amp;"","?"))</f>
        <v>20</v>
      </c>
      <c r="N551" s="2" t="n">
        <f aca="false">IF(E551="","",IF(ISNUMBER(SEARCH("SUBSOLO",E551)),IFERROR(-VALUE(LEFT(E551,FIND("º",SUBSTITUTE(E551,"°","º"))-1)),-1),IF(LEFT(E551,6)="TÉRREO",0,IFERROR(VALUE(LEFT(E551,FIND("º",SUBSTITUTE(E551,"°","º"))-1)),""))))</f>
        <v>9</v>
      </c>
      <c r="O551" s="2" t="str">
        <f aca="false">IF(OR(F551="",G551=""),"",IF(G551&lt;='RETRATO 2027'!$K$5,"CONCLUÍDA",IF(F551&lt;='RETRATO 2027'!$K$5,"EM ANDAMENTO","A INICIAR")))</f>
        <v>CONCLUÍDA</v>
      </c>
    </row>
    <row r="552" customFormat="false" ht="15" hidden="false" customHeight="false" outlineLevel="0" collapsed="false">
      <c r="B552" s="4" t="n">
        <v>32750409</v>
      </c>
      <c r="C552" s="4" t="s">
        <v>2464</v>
      </c>
      <c r="D552" s="4" t="s">
        <v>463</v>
      </c>
      <c r="E552" s="4" t="s">
        <v>2805</v>
      </c>
      <c r="F552" s="127" t="n">
        <v>46610</v>
      </c>
      <c r="G552" s="127" t="n">
        <v>46622</v>
      </c>
      <c r="H552" s="127" t="n">
        <v>46289</v>
      </c>
      <c r="I552" s="4" t="n">
        <v>0</v>
      </c>
      <c r="J552" s="4" t="n">
        <v>0</v>
      </c>
      <c r="K552" s="4" t="n">
        <v>0</v>
      </c>
      <c r="M552" s="2" t="str">
        <f aca="false">IF(C552="","",IFERROR(INDEX($S$5:$S$304,MATCH(C552,$R$5:$R$304,0))&amp;"","?"))</f>
        <v>21</v>
      </c>
      <c r="N552" s="2" t="n">
        <f aca="false">IF(E552="","",IF(ISNUMBER(SEARCH("SUBSOLO",E552)),IFERROR(-VALUE(LEFT(E552,FIND("º",SUBSTITUTE(E552,"°","º"))-1)),-1),IF(LEFT(E552,6)="TÉRREO",0,IFERROR(VALUE(LEFT(E552,FIND("º",SUBSTITUTE(E552,"°","º"))-1)),""))))</f>
        <v>9</v>
      </c>
      <c r="O552" s="2" t="str">
        <f aca="false">IF(OR(F552="",G552=""),"",IF(G552&lt;='RETRATO 2027'!$K$5,"CONCLUÍDA",IF(F552&lt;='RETRATO 2027'!$K$5,"EM ANDAMENTO","A INICIAR")))</f>
        <v>CONCLUÍDA</v>
      </c>
    </row>
    <row r="553" customFormat="false" ht="15" hidden="false" customHeight="false" outlineLevel="0" collapsed="false">
      <c r="B553" s="4" t="n">
        <v>33896827</v>
      </c>
      <c r="C553" s="4" t="s">
        <v>2467</v>
      </c>
      <c r="D553" s="4" t="s">
        <v>463</v>
      </c>
      <c r="E553" s="4" t="s">
        <v>2805</v>
      </c>
      <c r="F553" s="127" t="n">
        <v>46610</v>
      </c>
      <c r="G553" s="127" t="n">
        <v>46622</v>
      </c>
      <c r="H553" s="127" t="n">
        <v>46289</v>
      </c>
      <c r="I553" s="4" t="n">
        <v>0</v>
      </c>
      <c r="J553" s="4" t="n">
        <v>0</v>
      </c>
      <c r="K553" s="4" t="n">
        <v>0</v>
      </c>
      <c r="M553" s="2" t="str">
        <f aca="false">IF(C553="","",IFERROR(INDEX($S$5:$S$304,MATCH(C553,$R$5:$R$304,0))&amp;"","?"))</f>
        <v>23</v>
      </c>
      <c r="N553" s="2" t="n">
        <f aca="false">IF(E553="","",IF(ISNUMBER(SEARCH("SUBSOLO",E553)),IFERROR(-VALUE(LEFT(E553,FIND("º",SUBSTITUTE(E553,"°","º"))-1)),-1),IF(LEFT(E553,6)="TÉRREO",0,IFERROR(VALUE(LEFT(E553,FIND("º",SUBSTITUTE(E553,"°","º"))-1)),""))))</f>
        <v>9</v>
      </c>
      <c r="O553" s="2" t="str">
        <f aca="false">IF(OR(F553="",G553=""),"",IF(G553&lt;='RETRATO 2027'!$K$5,"CONCLUÍDA",IF(F553&lt;='RETRATO 2027'!$K$5,"EM ANDAMENTO","A INICIAR")))</f>
        <v>CONCLUÍDA</v>
      </c>
    </row>
    <row r="554" customFormat="false" ht="15" hidden="false" customHeight="false" outlineLevel="0" collapsed="false">
      <c r="B554" s="4" t="n">
        <v>32749853</v>
      </c>
      <c r="C554" s="4" t="s">
        <v>2455</v>
      </c>
      <c r="D554" s="4" t="s">
        <v>463</v>
      </c>
      <c r="E554" s="4" t="s">
        <v>2809</v>
      </c>
      <c r="F554" s="127" t="n">
        <v>46610</v>
      </c>
      <c r="G554" s="127" t="n">
        <v>46622</v>
      </c>
      <c r="H554" s="127" t="n">
        <v>46289</v>
      </c>
      <c r="I554" s="4" t="n">
        <v>0</v>
      </c>
      <c r="J554" s="4" t="n">
        <v>0</v>
      </c>
      <c r="K554" s="4" t="n">
        <v>0</v>
      </c>
      <c r="M554" s="2" t="str">
        <f aca="false">IF(C554="","",IFERROR(INDEX($S$5:$S$304,MATCH(C554,$R$5:$R$304,0))&amp;"","?"))</f>
        <v>18</v>
      </c>
      <c r="N554" s="2" t="n">
        <f aca="false">IF(E554="","",IF(ISNUMBER(SEARCH("SUBSOLO",E554)),IFERROR(-VALUE(LEFT(E554,FIND("º",SUBSTITUTE(E554,"°","º"))-1)),-1),IF(LEFT(E554,6)="TÉRREO",0,IFERROR(VALUE(LEFT(E554,FIND("º",SUBSTITUTE(E554,"°","º"))-1)),""))))</f>
        <v>10</v>
      </c>
      <c r="O554" s="2" t="str">
        <f aca="false">IF(OR(F554="",G554=""),"",IF(G554&lt;='RETRATO 2027'!$K$5,"CONCLUÍDA",IF(F554&lt;='RETRATO 2027'!$K$5,"EM ANDAMENTO","A INICIAR")))</f>
        <v>CONCLUÍDA</v>
      </c>
    </row>
    <row r="555" customFormat="false" ht="15" hidden="false" customHeight="false" outlineLevel="0" collapsed="false">
      <c r="B555" s="4" t="n">
        <v>29981399</v>
      </c>
      <c r="C555" s="4" t="s">
        <v>2449</v>
      </c>
      <c r="D555" s="4" t="s">
        <v>463</v>
      </c>
      <c r="E555" s="4" t="s">
        <v>2810</v>
      </c>
      <c r="F555" s="127" t="n">
        <v>46610</v>
      </c>
      <c r="G555" s="127" t="n">
        <v>46622</v>
      </c>
      <c r="H555" s="127" t="n">
        <v>46289</v>
      </c>
      <c r="I555" s="4" t="n">
        <v>0</v>
      </c>
      <c r="J555" s="4" t="n">
        <v>0</v>
      </c>
      <c r="K555" s="4" t="n">
        <v>0</v>
      </c>
      <c r="M555" s="2" t="str">
        <f aca="false">IF(C555="","",IFERROR(INDEX($S$5:$S$304,MATCH(C555,$R$5:$R$304,0))&amp;"","?"))</f>
        <v>28</v>
      </c>
      <c r="N555" s="2" t="n">
        <f aca="false">IF(E555="","",IF(ISNUMBER(SEARCH("SUBSOLO",E555)),IFERROR(-VALUE(LEFT(E555,FIND("º",SUBSTITUTE(E555,"°","º"))-1)),-1),IF(LEFT(E555,6)="TÉRREO",0,IFERROR(VALUE(LEFT(E555,FIND("º",SUBSTITUTE(E555,"°","º"))-1)),""))))</f>
        <v>11</v>
      </c>
      <c r="O555" s="2" t="str">
        <f aca="false">IF(OR(F555="",G555=""),"",IF(G555&lt;='RETRATO 2027'!$K$5,"CONCLUÍDA",IF(F555&lt;='RETRATO 2027'!$K$5,"EM ANDAMENTO","A INICIAR")))</f>
        <v>CONCLUÍDA</v>
      </c>
    </row>
    <row r="556" customFormat="false" ht="15" hidden="false" customHeight="false" outlineLevel="0" collapsed="false">
      <c r="B556" s="4" t="n">
        <v>29981339</v>
      </c>
      <c r="C556" s="4" t="s">
        <v>2440</v>
      </c>
      <c r="D556" s="4" t="s">
        <v>463</v>
      </c>
      <c r="E556" s="4" t="s">
        <v>2811</v>
      </c>
      <c r="F556" s="127" t="n">
        <v>46610</v>
      </c>
      <c r="G556" s="127" t="n">
        <v>46622</v>
      </c>
      <c r="H556" s="127" t="n">
        <v>46289</v>
      </c>
      <c r="I556" s="4" t="n">
        <v>0</v>
      </c>
      <c r="J556" s="4" t="n">
        <v>0</v>
      </c>
      <c r="K556" s="4" t="n">
        <v>0</v>
      </c>
      <c r="M556" s="2" t="str">
        <f aca="false">IF(C556="","",IFERROR(INDEX($S$5:$S$304,MATCH(C556,$R$5:$R$304,0))&amp;"","?"))</f>
        <v>21</v>
      </c>
      <c r="N556" s="2" t="n">
        <f aca="false">IF(E556="","",IF(ISNUMBER(SEARCH("SUBSOLO",E556)),IFERROR(-VALUE(LEFT(E556,FIND("º",SUBSTITUTE(E556,"°","º"))-1)),-1),IF(LEFT(E556,6)="TÉRREO",0,IFERROR(VALUE(LEFT(E556,FIND("º",SUBSTITUTE(E556,"°","º"))-1)),""))))</f>
        <v>12</v>
      </c>
      <c r="O556" s="2" t="str">
        <f aca="false">IF(OR(F556="",G556=""),"",IF(G556&lt;='RETRATO 2027'!$K$5,"CONCLUÍDA",IF(F556&lt;='RETRATO 2027'!$K$5,"EM ANDAMENTO","A INICIAR")))</f>
        <v>CONCLUÍDA</v>
      </c>
    </row>
    <row r="557" customFormat="false" ht="15" hidden="false" customHeight="false" outlineLevel="0" collapsed="false">
      <c r="B557" s="4" t="n">
        <v>29981372</v>
      </c>
      <c r="C557" s="4" t="s">
        <v>2443</v>
      </c>
      <c r="D557" s="4" t="s">
        <v>463</v>
      </c>
      <c r="E557" s="4" t="s">
        <v>2811</v>
      </c>
      <c r="F557" s="127" t="n">
        <v>46610</v>
      </c>
      <c r="G557" s="127" t="n">
        <v>46622</v>
      </c>
      <c r="H557" s="127" t="n">
        <v>46289</v>
      </c>
      <c r="I557" s="4" t="n">
        <v>0</v>
      </c>
      <c r="J557" s="4" t="n">
        <v>0</v>
      </c>
      <c r="K557" s="4" t="n">
        <v>0</v>
      </c>
      <c r="M557" s="2" t="str">
        <f aca="false">IF(C557="","",IFERROR(INDEX($S$5:$S$304,MATCH(C557,$R$5:$R$304,0))&amp;"","?"))</f>
        <v>20</v>
      </c>
      <c r="N557" s="2" t="n">
        <f aca="false">IF(E557="","",IF(ISNUMBER(SEARCH("SUBSOLO",E557)),IFERROR(-VALUE(LEFT(E557,FIND("º",SUBSTITUTE(E557,"°","º"))-1)),-1),IF(LEFT(E557,6)="TÉRREO",0,IFERROR(VALUE(LEFT(E557,FIND("º",SUBSTITUTE(E557,"°","º"))-1)),""))))</f>
        <v>12</v>
      </c>
      <c r="O557" s="2" t="str">
        <f aca="false">IF(OR(F557="",G557=""),"",IF(G557&lt;='RETRATO 2027'!$K$5,"CONCLUÍDA",IF(F557&lt;='RETRATO 2027'!$K$5,"EM ANDAMENTO","A INICIAR")))</f>
        <v>CONCLUÍDA</v>
      </c>
    </row>
    <row r="558" customFormat="false" ht="15" hidden="false" customHeight="false" outlineLevel="0" collapsed="false">
      <c r="B558" s="4" t="n">
        <v>29981301</v>
      </c>
      <c r="C558" s="4" t="s">
        <v>2437</v>
      </c>
      <c r="D558" s="4" t="s">
        <v>463</v>
      </c>
      <c r="E558" s="4" t="s">
        <v>2812</v>
      </c>
      <c r="F558" s="127" t="n">
        <v>46610</v>
      </c>
      <c r="G558" s="127" t="n">
        <v>46622</v>
      </c>
      <c r="H558" s="127" t="n">
        <v>46289</v>
      </c>
      <c r="I558" s="4" t="n">
        <v>0</v>
      </c>
      <c r="J558" s="4" t="n">
        <v>0</v>
      </c>
      <c r="K558" s="4" t="n">
        <v>0</v>
      </c>
      <c r="M558" s="2" t="str">
        <f aca="false">IF(C558="","",IFERROR(INDEX($S$5:$S$304,MATCH(C558,$R$5:$R$304,0))&amp;"","?"))</f>
        <v>29</v>
      </c>
      <c r="N558" s="2" t="n">
        <f aca="false">IF(E558="","",IF(ISNUMBER(SEARCH("SUBSOLO",E558)),IFERROR(-VALUE(LEFT(E558,FIND("º",SUBSTITUTE(E558,"°","º"))-1)),-1),IF(LEFT(E558,6)="TÉRREO",0,IFERROR(VALUE(LEFT(E558,FIND("º",SUBSTITUTE(E558,"°","º"))-1)),""))))</f>
        <v>13</v>
      </c>
      <c r="O558" s="2" t="str">
        <f aca="false">IF(OR(F558="",G558=""),"",IF(G558&lt;='RETRATO 2027'!$K$5,"CONCLUÍDA",IF(F558&lt;='RETRATO 2027'!$K$5,"EM ANDAMENTO","A INICIAR")))</f>
        <v>CONCLUÍDA</v>
      </c>
    </row>
    <row r="559" customFormat="false" ht="15" hidden="false" customHeight="false" outlineLevel="0" collapsed="false">
      <c r="B559" s="4" t="n">
        <v>29981267</v>
      </c>
      <c r="C559" s="4" t="s">
        <v>2434</v>
      </c>
      <c r="D559" s="4" t="s">
        <v>463</v>
      </c>
      <c r="E559" s="4" t="s">
        <v>2813</v>
      </c>
      <c r="F559" s="127" t="n">
        <v>46610</v>
      </c>
      <c r="G559" s="127" t="n">
        <v>46622</v>
      </c>
      <c r="H559" s="127" t="n">
        <v>46289</v>
      </c>
      <c r="I559" s="4" t="n">
        <v>0</v>
      </c>
      <c r="J559" s="4" t="n">
        <v>0</v>
      </c>
      <c r="K559" s="4" t="n">
        <v>0</v>
      </c>
      <c r="M559" s="2" t="str">
        <f aca="false">IF(C559="","",IFERROR(INDEX($S$5:$S$304,MATCH(C559,$R$5:$R$304,0))&amp;"","?"))</f>
        <v>25</v>
      </c>
      <c r="N559" s="2" t="n">
        <f aca="false">IF(E559="","",IF(ISNUMBER(SEARCH("SUBSOLO",E559)),IFERROR(-VALUE(LEFT(E559,FIND("º",SUBSTITUTE(E559,"°","º"))-1)),-1),IF(LEFT(E559,6)="TÉRREO",0,IFERROR(VALUE(LEFT(E559,FIND("º",SUBSTITUTE(E559,"°","º"))-1)),""))))</f>
        <v>14</v>
      </c>
      <c r="O559" s="2" t="str">
        <f aca="false">IF(OR(F559="",G559=""),"",IF(G559&lt;='RETRATO 2027'!$K$5,"CONCLUÍDA",IF(F559&lt;='RETRATO 2027'!$K$5,"EM ANDAMENTO","A INICIAR")))</f>
        <v>CONCLUÍDA</v>
      </c>
    </row>
    <row r="560" customFormat="false" ht="15" hidden="false" customHeight="false" outlineLevel="0" collapsed="false">
      <c r="B560" s="4" t="n">
        <v>29981260</v>
      </c>
      <c r="C560" s="4" t="s">
        <v>2425</v>
      </c>
      <c r="D560" s="4" t="s">
        <v>463</v>
      </c>
      <c r="E560" s="4" t="s">
        <v>2814</v>
      </c>
      <c r="F560" s="127" t="n">
        <v>46610</v>
      </c>
      <c r="G560" s="127" t="n">
        <v>46622</v>
      </c>
      <c r="H560" s="127" t="n">
        <v>46289</v>
      </c>
      <c r="I560" s="4" t="n">
        <v>0</v>
      </c>
      <c r="J560" s="4" t="n">
        <v>0</v>
      </c>
      <c r="K560" s="4" t="n">
        <v>0</v>
      </c>
      <c r="M560" s="2" t="str">
        <f aca="false">IF(C560="","",IFERROR(INDEX($S$5:$S$304,MATCH(C560,$R$5:$R$304,0))&amp;"","?"))</f>
        <v>21</v>
      </c>
      <c r="N560" s="2" t="n">
        <f aca="false">IF(E560="","",IF(ISNUMBER(SEARCH("SUBSOLO",E560)),IFERROR(-VALUE(LEFT(E560,FIND("º",SUBSTITUTE(E560,"°","º"))-1)),-1),IF(LEFT(E560,6)="TÉRREO",0,IFERROR(VALUE(LEFT(E560,FIND("º",SUBSTITUTE(E560,"°","º"))-1)),""))))</f>
        <v>15</v>
      </c>
      <c r="O560" s="2" t="str">
        <f aca="false">IF(OR(F560="",G560=""),"",IF(G560&lt;='RETRATO 2027'!$K$5,"CONCLUÍDA",IF(F560&lt;='RETRATO 2027'!$K$5,"EM ANDAMENTO","A INICIAR")))</f>
        <v>CONCLUÍDA</v>
      </c>
    </row>
    <row r="561" customFormat="false" ht="15" hidden="false" customHeight="false" outlineLevel="0" collapsed="false">
      <c r="B561" s="4" t="n">
        <v>29981229</v>
      </c>
      <c r="C561" s="4" t="s">
        <v>2428</v>
      </c>
      <c r="D561" s="4" t="s">
        <v>463</v>
      </c>
      <c r="E561" s="4" t="s">
        <v>2814</v>
      </c>
      <c r="F561" s="127" t="n">
        <v>46610</v>
      </c>
      <c r="G561" s="127" t="n">
        <v>46622</v>
      </c>
      <c r="H561" s="127" t="n">
        <v>46289</v>
      </c>
      <c r="I561" s="4" t="n">
        <v>0</v>
      </c>
      <c r="J561" s="4" t="n">
        <v>0</v>
      </c>
      <c r="K561" s="4" t="n">
        <v>0</v>
      </c>
      <c r="M561" s="2" t="str">
        <f aca="false">IF(C561="","",IFERROR(INDEX($S$5:$S$304,MATCH(C561,$R$5:$R$304,0))&amp;"","?"))</f>
        <v>20</v>
      </c>
      <c r="N561" s="2" t="n">
        <f aca="false">IF(E561="","",IF(ISNUMBER(SEARCH("SUBSOLO",E561)),IFERROR(-VALUE(LEFT(E561,FIND("º",SUBSTITUTE(E561,"°","º"))-1)),-1),IF(LEFT(E561,6)="TÉRREO",0,IFERROR(VALUE(LEFT(E561,FIND("º",SUBSTITUTE(E561,"°","º"))-1)),""))))</f>
        <v>15</v>
      </c>
      <c r="O561" s="2" t="str">
        <f aca="false">IF(OR(F561="",G561=""),"",IF(G561&lt;='RETRATO 2027'!$K$5,"CONCLUÍDA",IF(F561&lt;='RETRATO 2027'!$K$5,"EM ANDAMENTO","A INICIAR")))</f>
        <v>CONCLUÍDA</v>
      </c>
    </row>
    <row r="562" customFormat="false" ht="15" hidden="false" customHeight="false" outlineLevel="0" collapsed="false">
      <c r="B562" s="4" t="n">
        <v>29981262</v>
      </c>
      <c r="C562" s="4" t="s">
        <v>2431</v>
      </c>
      <c r="D562" s="4" t="s">
        <v>463</v>
      </c>
      <c r="E562" s="4" t="s">
        <v>2814</v>
      </c>
      <c r="F562" s="127" t="n">
        <v>46610</v>
      </c>
      <c r="G562" s="127" t="n">
        <v>46622</v>
      </c>
      <c r="H562" s="127" t="n">
        <v>46289</v>
      </c>
      <c r="I562" s="4" t="n">
        <v>0</v>
      </c>
      <c r="J562" s="4" t="n">
        <v>0</v>
      </c>
      <c r="K562" s="4" t="n">
        <v>0</v>
      </c>
      <c r="M562" s="2" t="str">
        <f aca="false">IF(C562="","",IFERROR(INDEX($S$5:$S$304,MATCH(C562,$R$5:$R$304,0))&amp;"","?"))</f>
        <v>21</v>
      </c>
      <c r="N562" s="2" t="n">
        <f aca="false">IF(E562="","",IF(ISNUMBER(SEARCH("SUBSOLO",E562)),IFERROR(-VALUE(LEFT(E562,FIND("º",SUBSTITUTE(E562,"°","º"))-1)),-1),IF(LEFT(E562,6)="TÉRREO",0,IFERROR(VALUE(LEFT(E562,FIND("º",SUBSTITUTE(E562,"°","º"))-1)),""))))</f>
        <v>15</v>
      </c>
      <c r="O562" s="2" t="str">
        <f aca="false">IF(OR(F562="",G562=""),"",IF(G562&lt;='RETRATO 2027'!$K$5,"CONCLUÍDA",IF(F562&lt;='RETRATO 2027'!$K$5,"EM ANDAMENTO","A INICIAR")))</f>
        <v>CONCLUÍDA</v>
      </c>
    </row>
    <row r="563" customFormat="false" ht="15" hidden="false" customHeight="false" outlineLevel="0" collapsed="false">
      <c r="B563" s="4" t="n">
        <v>29981209</v>
      </c>
      <c r="C563" s="4" t="s">
        <v>2422</v>
      </c>
      <c r="D563" s="4" t="s">
        <v>463</v>
      </c>
      <c r="E563" s="4" t="s">
        <v>2815</v>
      </c>
      <c r="F563" s="127" t="n">
        <v>46610</v>
      </c>
      <c r="G563" s="127" t="n">
        <v>46622</v>
      </c>
      <c r="H563" s="127" t="n">
        <v>46289</v>
      </c>
      <c r="I563" s="4" t="n">
        <v>0</v>
      </c>
      <c r="J563" s="4" t="n">
        <v>0</v>
      </c>
      <c r="K563" s="4" t="n">
        <v>0</v>
      </c>
      <c r="M563" s="2" t="str">
        <f aca="false">IF(C563="","",IFERROR(INDEX($S$5:$S$304,MATCH(C563,$R$5:$R$304,0))&amp;"","?"))</f>
        <v>29</v>
      </c>
      <c r="N563" s="2" t="n">
        <f aca="false">IF(E563="","",IF(ISNUMBER(SEARCH("SUBSOLO",E563)),IFERROR(-VALUE(LEFT(E563,FIND("º",SUBSTITUTE(E563,"°","º"))-1)),-1),IF(LEFT(E563,6)="TÉRREO",0,IFERROR(VALUE(LEFT(E563,FIND("º",SUBSTITUTE(E563,"°","º"))-1)),""))))</f>
        <v>16</v>
      </c>
      <c r="O563" s="2" t="str">
        <f aca="false">IF(OR(F563="",G563=""),"",IF(G563&lt;='RETRATO 2027'!$K$5,"CONCLUÍDA",IF(F563&lt;='RETRATO 2027'!$K$5,"EM ANDAMENTO","A INICIAR")))</f>
        <v>CONCLUÍDA</v>
      </c>
    </row>
    <row r="564" customFormat="false" ht="15" hidden="false" customHeight="false" outlineLevel="0" collapsed="false">
      <c r="B564" s="4" t="n">
        <v>29981175</v>
      </c>
      <c r="C564" s="4" t="s">
        <v>2413</v>
      </c>
      <c r="D564" s="4" t="s">
        <v>463</v>
      </c>
      <c r="E564" s="4" t="s">
        <v>2818</v>
      </c>
      <c r="F564" s="127" t="n">
        <v>46610</v>
      </c>
      <c r="G564" s="127" t="n">
        <v>46622</v>
      </c>
      <c r="H564" s="127" t="n">
        <v>46289</v>
      </c>
      <c r="I564" s="4" t="n">
        <v>0</v>
      </c>
      <c r="J564" s="4" t="n">
        <v>0</v>
      </c>
      <c r="K564" s="4" t="n">
        <v>0</v>
      </c>
      <c r="M564" s="2" t="str">
        <f aca="false">IF(C564="","",IFERROR(INDEX($S$5:$S$304,MATCH(C564,$R$5:$R$304,0))&amp;"","?"))</f>
        <v>21</v>
      </c>
      <c r="N564" s="2" t="n">
        <f aca="false">IF(E564="","",IF(ISNUMBER(SEARCH("SUBSOLO",E564)),IFERROR(-VALUE(LEFT(E564,FIND("º",SUBSTITUTE(E564,"°","º"))-1)),-1),IF(LEFT(E564,6)="TÉRREO",0,IFERROR(VALUE(LEFT(E564,FIND("º",SUBSTITUTE(E564,"°","º"))-1)),""))))</f>
        <v>17</v>
      </c>
      <c r="O564" s="2" t="str">
        <f aca="false">IF(OR(F564="",G564=""),"",IF(G564&lt;='RETRATO 2027'!$K$5,"CONCLUÍDA",IF(F564&lt;='RETRATO 2027'!$K$5,"EM ANDAMENTO","A INICIAR")))</f>
        <v>CONCLUÍDA</v>
      </c>
    </row>
    <row r="565" customFormat="false" ht="15" hidden="false" customHeight="false" outlineLevel="0" collapsed="false">
      <c r="B565" s="4" t="n">
        <v>30205696</v>
      </c>
      <c r="C565" s="4" t="s">
        <v>2437</v>
      </c>
      <c r="D565" s="4" t="s">
        <v>463</v>
      </c>
      <c r="E565" s="4" t="s">
        <v>2819</v>
      </c>
      <c r="F565" s="127" t="n">
        <v>46611</v>
      </c>
      <c r="G565" s="127" t="n">
        <v>46624</v>
      </c>
      <c r="H565" s="127" t="n">
        <v>46289</v>
      </c>
      <c r="I565" s="4" t="n">
        <v>0</v>
      </c>
      <c r="J565" s="4" t="n">
        <v>0</v>
      </c>
      <c r="K565" s="4" t="n">
        <v>0</v>
      </c>
      <c r="M565" s="2" t="str">
        <f aca="false">IF(C565="","",IFERROR(INDEX($S$5:$S$304,MATCH(C565,$R$5:$R$304,0))&amp;"","?"))</f>
        <v>29</v>
      </c>
      <c r="N565" s="2" t="n">
        <f aca="false">IF(E565="","",IF(ISNUMBER(SEARCH("SUBSOLO",E565)),IFERROR(-VALUE(LEFT(E565,FIND("º",SUBSTITUTE(E565,"°","º"))-1)),-1),IF(LEFT(E565,6)="TÉRREO",0,IFERROR(VALUE(LEFT(E565,FIND("º",SUBSTITUTE(E565,"°","º"))-1)),""))))</f>
        <v>0</v>
      </c>
      <c r="O565" s="2" t="str">
        <f aca="false">IF(OR(F565="",G565=""),"",IF(G565&lt;='RETRATO 2027'!$K$5,"CONCLUÍDA",IF(F565&lt;='RETRATO 2027'!$K$5,"EM ANDAMENTO","A INICIAR")))</f>
        <v>CONCLUÍDA</v>
      </c>
    </row>
    <row r="566" customFormat="false" ht="15" hidden="false" customHeight="false" outlineLevel="0" collapsed="false">
      <c r="B566" s="4" t="n">
        <v>30205665</v>
      </c>
      <c r="C566" s="4" t="s">
        <v>2428</v>
      </c>
      <c r="D566" s="4" t="s">
        <v>463</v>
      </c>
      <c r="E566" s="4" t="s">
        <v>2821</v>
      </c>
      <c r="F566" s="127" t="n">
        <v>46611</v>
      </c>
      <c r="G566" s="127" t="n">
        <v>46619</v>
      </c>
      <c r="H566" s="127" t="n">
        <v>46289</v>
      </c>
      <c r="I566" s="4" t="n">
        <v>0</v>
      </c>
      <c r="J566" s="4" t="n">
        <v>0</v>
      </c>
      <c r="K566" s="4" t="n">
        <v>0</v>
      </c>
      <c r="M566" s="2" t="str">
        <f aca="false">IF(C566="","",IFERROR(INDEX($S$5:$S$304,MATCH(C566,$R$5:$R$304,0))&amp;"","?"))</f>
        <v>20</v>
      </c>
      <c r="N566" s="2" t="n">
        <f aca="false">IF(E566="","",IF(ISNUMBER(SEARCH("SUBSOLO",E566)),IFERROR(-VALUE(LEFT(E566,FIND("º",SUBSTITUTE(E566,"°","º"))-1)),-1),IF(LEFT(E566,6)="TÉRREO",0,IFERROR(VALUE(LEFT(E566,FIND("º",SUBSTITUTE(E566,"°","º"))-1)),""))))</f>
        <v>0</v>
      </c>
      <c r="O566" s="2" t="str">
        <f aca="false">IF(OR(F566="",G566=""),"",IF(G566&lt;='RETRATO 2027'!$K$5,"CONCLUÍDA",IF(F566&lt;='RETRATO 2027'!$K$5,"EM ANDAMENTO","A INICIAR")))</f>
        <v>CONCLUÍDA</v>
      </c>
    </row>
    <row r="567" customFormat="false" ht="15" hidden="false" customHeight="false" outlineLevel="0" collapsed="false">
      <c r="B567" s="4" t="n">
        <v>30205666</v>
      </c>
      <c r="C567" s="4" t="s">
        <v>2452</v>
      </c>
      <c r="D567" s="4" t="s">
        <v>463</v>
      </c>
      <c r="E567" s="4" t="s">
        <v>2821</v>
      </c>
      <c r="F567" s="127" t="n">
        <v>46611</v>
      </c>
      <c r="G567" s="127" t="n">
        <v>46624</v>
      </c>
      <c r="H567" s="127" t="n">
        <v>46289</v>
      </c>
      <c r="I567" s="4" t="n">
        <v>0</v>
      </c>
      <c r="J567" s="4" t="n">
        <v>0</v>
      </c>
      <c r="K567" s="4" t="n">
        <v>0</v>
      </c>
      <c r="M567" s="2" t="str">
        <f aca="false">IF(C567="","",IFERROR(INDEX($S$5:$S$304,MATCH(C567,$R$5:$R$304,0))&amp;"","?"))</f>
        <v>21</v>
      </c>
      <c r="N567" s="2" t="n">
        <f aca="false">IF(E567="","",IF(ISNUMBER(SEARCH("SUBSOLO",E567)),IFERROR(-VALUE(LEFT(E567,FIND("º",SUBSTITUTE(E567,"°","º"))-1)),-1),IF(LEFT(E567,6)="TÉRREO",0,IFERROR(VALUE(LEFT(E567,FIND("º",SUBSTITUTE(E567,"°","º"))-1)),""))))</f>
        <v>0</v>
      </c>
      <c r="O567" s="2" t="str">
        <f aca="false">IF(OR(F567="",G567=""),"",IF(G567&lt;='RETRATO 2027'!$K$5,"CONCLUÍDA",IF(F567&lt;='RETRATO 2027'!$K$5,"EM ANDAMENTO","A INICIAR")))</f>
        <v>CONCLUÍDA</v>
      </c>
    </row>
    <row r="568" customFormat="false" ht="15" hidden="false" customHeight="false" outlineLevel="0" collapsed="false">
      <c r="B568" s="4" t="n">
        <v>30205637</v>
      </c>
      <c r="C568" s="4" t="s">
        <v>2422</v>
      </c>
      <c r="D568" s="4" t="s">
        <v>463</v>
      </c>
      <c r="E568" s="4" t="s">
        <v>2824</v>
      </c>
      <c r="F568" s="127" t="n">
        <v>46611</v>
      </c>
      <c r="G568" s="127" t="n">
        <v>46624</v>
      </c>
      <c r="H568" s="127" t="n">
        <v>46289</v>
      </c>
      <c r="I568" s="4" t="n">
        <v>0</v>
      </c>
      <c r="J568" s="4" t="n">
        <v>0</v>
      </c>
      <c r="K568" s="4" t="n">
        <v>0</v>
      </c>
      <c r="M568" s="2" t="str">
        <f aca="false">IF(C568="","",IFERROR(INDEX($S$5:$S$304,MATCH(C568,$R$5:$R$304,0))&amp;"","?"))</f>
        <v>29</v>
      </c>
      <c r="N568" s="2" t="n">
        <f aca="false">IF(E568="","",IF(ISNUMBER(SEARCH("SUBSOLO",E568)),IFERROR(-VALUE(LEFT(E568,FIND("º",SUBSTITUTE(E568,"°","º"))-1)),-1),IF(LEFT(E568,6)="TÉRREO",0,IFERROR(VALUE(LEFT(E568,FIND("º",SUBSTITUTE(E568,"°","º"))-1)),""))))</f>
        <v>0</v>
      </c>
      <c r="O568" s="2" t="str">
        <f aca="false">IF(OR(F568="",G568=""),"",IF(G568&lt;='RETRATO 2027'!$K$5,"CONCLUÍDA",IF(F568&lt;='RETRATO 2027'!$K$5,"EM ANDAMENTO","A INICIAR")))</f>
        <v>CONCLUÍDA</v>
      </c>
    </row>
    <row r="569" customFormat="false" ht="15" hidden="false" customHeight="false" outlineLevel="0" collapsed="false">
      <c r="B569" s="4" t="n">
        <v>30205604</v>
      </c>
      <c r="C569" s="4" t="s">
        <v>2413</v>
      </c>
      <c r="D569" s="4" t="s">
        <v>463</v>
      </c>
      <c r="E569" s="4" t="s">
        <v>2826</v>
      </c>
      <c r="F569" s="127" t="n">
        <v>46611</v>
      </c>
      <c r="G569" s="127" t="n">
        <v>46624</v>
      </c>
      <c r="H569" s="127" t="n">
        <v>46289</v>
      </c>
      <c r="I569" s="4" t="n">
        <v>0</v>
      </c>
      <c r="J569" s="4" t="n">
        <v>0</v>
      </c>
      <c r="K569" s="4" t="n">
        <v>0</v>
      </c>
      <c r="M569" s="2" t="str">
        <f aca="false">IF(C569="","",IFERROR(INDEX($S$5:$S$304,MATCH(C569,$R$5:$R$304,0))&amp;"","?"))</f>
        <v>21</v>
      </c>
      <c r="N569" s="2" t="n">
        <f aca="false">IF(E569="","",IF(ISNUMBER(SEARCH("SUBSOLO",E569)),IFERROR(-VALUE(LEFT(E569,FIND("º",SUBSTITUTE(E569,"°","º"))-1)),-1),IF(LEFT(E569,6)="TÉRREO",0,IFERROR(VALUE(LEFT(E569,FIND("º",SUBSTITUTE(E569,"°","º"))-1)),""))))</f>
        <v>0</v>
      </c>
      <c r="O569" s="2" t="str">
        <f aca="false">IF(OR(F569="",G569=""),"",IF(G569&lt;='RETRATO 2027'!$K$5,"CONCLUÍDA",IF(F569&lt;='RETRATO 2027'!$K$5,"EM ANDAMENTO","A INICIAR")))</f>
        <v>CONCLUÍDA</v>
      </c>
    </row>
    <row r="570" customFormat="false" ht="15" hidden="false" customHeight="false" outlineLevel="0" collapsed="false">
      <c r="B570" s="4" t="n">
        <v>30205603</v>
      </c>
      <c r="C570" s="4" t="s">
        <v>2410</v>
      </c>
      <c r="D570" s="4" t="s">
        <v>463</v>
      </c>
      <c r="E570" s="4" t="s">
        <v>2826</v>
      </c>
      <c r="F570" s="127" t="n">
        <v>46611</v>
      </c>
      <c r="G570" s="127" t="n">
        <v>46624</v>
      </c>
      <c r="H570" s="127" t="n">
        <v>46289</v>
      </c>
      <c r="I570" s="4" t="n">
        <v>0</v>
      </c>
      <c r="J570" s="4" t="n">
        <v>0</v>
      </c>
      <c r="K570" s="4" t="n">
        <v>0</v>
      </c>
      <c r="M570" s="2" t="str">
        <f aca="false">IF(C570="","",IFERROR(INDEX($S$5:$S$304,MATCH(C570,$R$5:$R$304,0))&amp;"","?"))</f>
        <v>22</v>
      </c>
      <c r="N570" s="2" t="n">
        <f aca="false">IF(E570="","",IF(ISNUMBER(SEARCH("SUBSOLO",E570)),IFERROR(-VALUE(LEFT(E570,FIND("º",SUBSTITUTE(E570,"°","º"))-1)),-1),IF(LEFT(E570,6)="TÉRREO",0,IFERROR(VALUE(LEFT(E570,FIND("º",SUBSTITUTE(E570,"°","º"))-1)),""))))</f>
        <v>0</v>
      </c>
      <c r="O570" s="2" t="str">
        <f aca="false">IF(OR(F570="",G570=""),"",IF(G570&lt;='RETRATO 2027'!$K$5,"CONCLUÍDA",IF(F570&lt;='RETRATO 2027'!$K$5,"EM ANDAMENTO","A INICIAR")))</f>
        <v>CONCLUÍDA</v>
      </c>
    </row>
    <row r="571" customFormat="false" ht="15" hidden="false" customHeight="false" outlineLevel="0" collapsed="false">
      <c r="B571" s="4" t="n">
        <v>30205605</v>
      </c>
      <c r="C571" s="4" t="s">
        <v>2416</v>
      </c>
      <c r="D571" s="4" t="s">
        <v>463</v>
      </c>
      <c r="E571" s="4" t="s">
        <v>2826</v>
      </c>
      <c r="F571" s="127" t="n">
        <v>46611</v>
      </c>
      <c r="G571" s="127" t="n">
        <v>46624</v>
      </c>
      <c r="H571" s="127" t="n">
        <v>46289</v>
      </c>
      <c r="I571" s="4" t="n">
        <v>0</v>
      </c>
      <c r="J571" s="4" t="n">
        <v>0</v>
      </c>
      <c r="K571" s="4" t="n">
        <v>0</v>
      </c>
      <c r="M571" s="2" t="str">
        <f aca="false">IF(C571="","",IFERROR(INDEX($S$5:$S$304,MATCH(C571,$R$5:$R$304,0))&amp;"","?"))</f>
        <v>18</v>
      </c>
      <c r="N571" s="2" t="n">
        <f aca="false">IF(E571="","",IF(ISNUMBER(SEARCH("SUBSOLO",E571)),IFERROR(-VALUE(LEFT(E571,FIND("º",SUBSTITUTE(E571,"°","º"))-1)),-1),IF(LEFT(E571,6)="TÉRREO",0,IFERROR(VALUE(LEFT(E571,FIND("º",SUBSTITUTE(E571,"°","º"))-1)),""))))</f>
        <v>0</v>
      </c>
      <c r="O571" s="2" t="str">
        <f aca="false">IF(OR(F571="",G571=""),"",IF(G571&lt;='RETRATO 2027'!$K$5,"CONCLUÍDA",IF(F571&lt;='RETRATO 2027'!$K$5,"EM ANDAMENTO","A INICIAR")))</f>
        <v>CONCLUÍDA</v>
      </c>
    </row>
    <row r="572" customFormat="false" ht="15" hidden="false" customHeight="false" outlineLevel="0" collapsed="false">
      <c r="B572" s="4" t="n">
        <v>30205575</v>
      </c>
      <c r="C572" s="4" t="s">
        <v>168</v>
      </c>
      <c r="D572" s="4" t="s">
        <v>463</v>
      </c>
      <c r="E572" s="4" t="s">
        <v>2828</v>
      </c>
      <c r="F572" s="127" t="n">
        <v>46611</v>
      </c>
      <c r="G572" s="127" t="n">
        <v>46624</v>
      </c>
      <c r="H572" s="127" t="n">
        <v>46289</v>
      </c>
      <c r="I572" s="4" t="n">
        <v>0</v>
      </c>
      <c r="J572" s="4" t="n">
        <v>0</v>
      </c>
      <c r="K572" s="4" t="n">
        <v>0</v>
      </c>
      <c r="M572" s="2" t="str">
        <f aca="false">IF(C572="","",IFERROR(INDEX($S$5:$S$304,MATCH(C572,$R$5:$R$304,0))&amp;"","?"))</f>
        <v>18</v>
      </c>
      <c r="N572" s="2" t="n">
        <f aca="false">IF(E572="","",IF(ISNUMBER(SEARCH("SUBSOLO",E572)),IFERROR(-VALUE(LEFT(E572,FIND("º",SUBSTITUTE(E572,"°","º"))-1)),-1),IF(LEFT(E572,6)="TÉRREO",0,IFERROR(VALUE(LEFT(E572,FIND("º",SUBSTITUTE(E572,"°","º"))-1)),""))))</f>
        <v>0</v>
      </c>
      <c r="O572" s="2" t="str">
        <f aca="false">IF(OR(F572="",G572=""),"",IF(G572&lt;='RETRATO 2027'!$K$5,"CONCLUÍDA",IF(F572&lt;='RETRATO 2027'!$K$5,"EM ANDAMENTO","A INICIAR")))</f>
        <v>CONCLUÍDA</v>
      </c>
    </row>
    <row r="573" customFormat="false" ht="15" hidden="false" customHeight="false" outlineLevel="0" collapsed="false">
      <c r="B573" s="4" t="n">
        <v>30171454</v>
      </c>
      <c r="C573" s="4" t="s">
        <v>2422</v>
      </c>
      <c r="D573" s="4" t="s">
        <v>463</v>
      </c>
      <c r="E573" s="4" t="s">
        <v>2790</v>
      </c>
      <c r="F573" s="127" t="n">
        <v>46612</v>
      </c>
      <c r="G573" s="127" t="n">
        <v>46625</v>
      </c>
      <c r="H573" s="127" t="n">
        <v>46289</v>
      </c>
      <c r="I573" s="4" t="n">
        <v>0</v>
      </c>
      <c r="J573" s="4" t="n">
        <v>0</v>
      </c>
      <c r="K573" s="4" t="n">
        <v>0</v>
      </c>
      <c r="M573" s="2" t="str">
        <f aca="false">IF(C573="","",IFERROR(INDEX($S$5:$S$304,MATCH(C573,$R$5:$R$304,0))&amp;"","?"))</f>
        <v>29</v>
      </c>
      <c r="N573" s="2" t="n">
        <f aca="false">IF(E573="","",IF(ISNUMBER(SEARCH("SUBSOLO",E573)),IFERROR(-VALUE(LEFT(E573,FIND("º",SUBSTITUTE(E573,"°","º"))-1)),-1),IF(LEFT(E573,6)="TÉRREO",0,IFERROR(VALUE(LEFT(E573,FIND("º",SUBSTITUTE(E573,"°","º"))-1)),""))))</f>
        <v>3</v>
      </c>
      <c r="O573" s="2" t="str">
        <f aca="false">IF(OR(F573="",G573=""),"",IF(G573&lt;='RETRATO 2027'!$K$5,"CONCLUÍDA",IF(F573&lt;='RETRATO 2027'!$K$5,"EM ANDAMENTO","A INICIAR")))</f>
        <v>CONCLUÍDA</v>
      </c>
    </row>
    <row r="574" customFormat="false" ht="15" hidden="false" customHeight="false" outlineLevel="0" collapsed="false">
      <c r="B574" s="4" t="n">
        <v>30171460</v>
      </c>
      <c r="C574" s="4" t="s">
        <v>2446</v>
      </c>
      <c r="D574" s="4" t="s">
        <v>463</v>
      </c>
      <c r="E574" s="4" t="s">
        <v>2790</v>
      </c>
      <c r="F574" s="127" t="n">
        <v>46612</v>
      </c>
      <c r="G574" s="127" t="n">
        <v>46625</v>
      </c>
      <c r="H574" s="127" t="n">
        <v>46289</v>
      </c>
      <c r="I574" s="4" t="n">
        <v>0</v>
      </c>
      <c r="J574" s="4" t="n">
        <v>0</v>
      </c>
      <c r="K574" s="4" t="n">
        <v>0</v>
      </c>
      <c r="M574" s="2" t="str">
        <f aca="false">IF(C574="","",IFERROR(INDEX($S$5:$S$304,MATCH(C574,$R$5:$R$304,0))&amp;"","?"))</f>
        <v>26</v>
      </c>
      <c r="N574" s="2" t="n">
        <f aca="false">IF(E574="","",IF(ISNUMBER(SEARCH("SUBSOLO",E574)),IFERROR(-VALUE(LEFT(E574,FIND("º",SUBSTITUTE(E574,"°","º"))-1)),-1),IF(LEFT(E574,6)="TÉRREO",0,IFERROR(VALUE(LEFT(E574,FIND("º",SUBSTITUTE(E574,"°","º"))-1)),""))))</f>
        <v>3</v>
      </c>
      <c r="O574" s="2" t="str">
        <f aca="false">IF(OR(F574="",G574=""),"",IF(G574&lt;='RETRATO 2027'!$K$5,"CONCLUÍDA",IF(F574&lt;='RETRATO 2027'!$K$5,"EM ANDAMENTO","A INICIAR")))</f>
        <v>CONCLUÍDA</v>
      </c>
    </row>
    <row r="575" customFormat="false" ht="15" hidden="false" customHeight="false" outlineLevel="0" collapsed="false">
      <c r="B575" s="4" t="n">
        <v>30171425</v>
      </c>
      <c r="C575" s="4" t="s">
        <v>168</v>
      </c>
      <c r="D575" s="4" t="s">
        <v>463</v>
      </c>
      <c r="E575" s="4" t="s">
        <v>2800</v>
      </c>
      <c r="F575" s="127" t="n">
        <v>46612</v>
      </c>
      <c r="G575" s="127" t="n">
        <v>46675</v>
      </c>
      <c r="H575" s="127" t="n">
        <v>46289</v>
      </c>
      <c r="I575" s="4" t="n">
        <v>0</v>
      </c>
      <c r="J575" s="4" t="n">
        <v>0</v>
      </c>
      <c r="K575" s="4" t="n">
        <v>0</v>
      </c>
      <c r="M575" s="2" t="str">
        <f aca="false">IF(C575="","",IFERROR(INDEX($S$5:$S$304,MATCH(C575,$R$5:$R$304,0))&amp;"","?"))</f>
        <v>18</v>
      </c>
      <c r="N575" s="2" t="n">
        <f aca="false">IF(E575="","",IF(ISNUMBER(SEARCH("SUBSOLO",E575)),IFERROR(-VALUE(LEFT(E575,FIND("º",SUBSTITUTE(E575,"°","º"))-1)),-1),IF(LEFT(E575,6)="TÉRREO",0,IFERROR(VALUE(LEFT(E575,FIND("º",SUBSTITUTE(E575,"°","º"))-1)),""))))</f>
        <v>4</v>
      </c>
      <c r="O575" s="2" t="str">
        <f aca="false">IF(OR(F575="",G575=""),"",IF(G575&lt;='RETRATO 2027'!$K$5,"CONCLUÍDA",IF(F575&lt;='RETRATO 2027'!$K$5,"EM ANDAMENTO","A INICIAR")))</f>
        <v>CONCLUÍDA</v>
      </c>
    </row>
    <row r="576" customFormat="false" ht="15" hidden="false" customHeight="false" outlineLevel="0" collapsed="false">
      <c r="B576" s="4" t="n">
        <v>30171409</v>
      </c>
      <c r="C576" s="4" t="s">
        <v>2396</v>
      </c>
      <c r="D576" s="4" t="s">
        <v>463</v>
      </c>
      <c r="E576" s="4" t="s">
        <v>2801</v>
      </c>
      <c r="F576" s="127" t="n">
        <v>46612</v>
      </c>
      <c r="G576" s="127" t="n">
        <v>46675</v>
      </c>
      <c r="H576" s="127" t="n">
        <v>46289</v>
      </c>
      <c r="I576" s="4" t="n">
        <v>0</v>
      </c>
      <c r="J576" s="4" t="n">
        <v>0</v>
      </c>
      <c r="K576" s="4" t="n">
        <v>0</v>
      </c>
      <c r="M576" s="2" t="str">
        <f aca="false">IF(C576="","",IFERROR(INDEX($S$5:$S$304,MATCH(C576,$R$5:$R$304,0))&amp;"","?"))</f>
        <v>20</v>
      </c>
      <c r="N576" s="2" t="n">
        <f aca="false">IF(E576="","",IF(ISNUMBER(SEARCH("SUBSOLO",E576)),IFERROR(-VALUE(LEFT(E576,FIND("º",SUBSTITUTE(E576,"°","º"))-1)),-1),IF(LEFT(E576,6)="TÉRREO",0,IFERROR(VALUE(LEFT(E576,FIND("º",SUBSTITUTE(E576,"°","º"))-1)),""))))</f>
        <v>5</v>
      </c>
      <c r="O576" s="2" t="str">
        <f aca="false">IF(OR(F576="",G576=""),"",IF(G576&lt;='RETRATO 2027'!$K$5,"CONCLUÍDA",IF(F576&lt;='RETRATO 2027'!$K$5,"EM ANDAMENTO","A INICIAR")))</f>
        <v>CONCLUÍDA</v>
      </c>
    </row>
    <row r="577" customFormat="false" ht="15" hidden="false" customHeight="false" outlineLevel="0" collapsed="false">
      <c r="B577" s="4" t="n">
        <v>29981174</v>
      </c>
      <c r="C577" s="4" t="s">
        <v>2416</v>
      </c>
      <c r="D577" s="4" t="s">
        <v>463</v>
      </c>
      <c r="E577" s="4" t="s">
        <v>2818</v>
      </c>
      <c r="F577" s="127" t="n">
        <v>46612</v>
      </c>
      <c r="G577" s="127" t="n">
        <v>46624</v>
      </c>
      <c r="H577" s="127" t="n">
        <v>46289</v>
      </c>
      <c r="I577" s="4" t="n">
        <v>0</v>
      </c>
      <c r="J577" s="4" t="n">
        <v>0</v>
      </c>
      <c r="K577" s="4" t="n">
        <v>0</v>
      </c>
      <c r="M577" s="2" t="str">
        <f aca="false">IF(C577="","",IFERROR(INDEX($S$5:$S$304,MATCH(C577,$R$5:$R$304,0))&amp;"","?"))</f>
        <v>18</v>
      </c>
      <c r="N577" s="2" t="n">
        <f aca="false">IF(E577="","",IF(ISNUMBER(SEARCH("SUBSOLO",E577)),IFERROR(-VALUE(LEFT(E577,FIND("º",SUBSTITUTE(E577,"°","º"))-1)),-1),IF(LEFT(E577,6)="TÉRREO",0,IFERROR(VALUE(LEFT(E577,FIND("º",SUBSTITUTE(E577,"°","º"))-1)),""))))</f>
        <v>17</v>
      </c>
      <c r="O577" s="2" t="str">
        <f aca="false">IF(OR(F577="",G577=""),"",IF(G577&lt;='RETRATO 2027'!$K$5,"CONCLUÍDA",IF(F577&lt;='RETRATO 2027'!$K$5,"EM ANDAMENTO","A INICIAR")))</f>
        <v>CONCLUÍDA</v>
      </c>
    </row>
    <row r="578" customFormat="false" ht="15" hidden="false" customHeight="false" outlineLevel="0" collapsed="false">
      <c r="B578" s="4" t="n">
        <v>29940963</v>
      </c>
      <c r="C578" s="4" t="s">
        <v>2341</v>
      </c>
      <c r="D578" s="4" t="s">
        <v>463</v>
      </c>
      <c r="E578" s="4" t="s">
        <v>2829</v>
      </c>
      <c r="F578" s="127" t="n">
        <v>46616</v>
      </c>
      <c r="G578" s="127" t="n">
        <v>46625</v>
      </c>
      <c r="H578" s="127" t="n">
        <v>46289</v>
      </c>
      <c r="I578" s="4" t="n">
        <v>0</v>
      </c>
      <c r="J578" s="4" t="n">
        <v>0</v>
      </c>
      <c r="K578" s="4" t="n">
        <v>0</v>
      </c>
      <c r="M578" s="2" t="str">
        <f aca="false">IF(C578="","",IFERROR(INDEX($S$5:$S$304,MATCH(C578,$R$5:$R$304,0))&amp;"","?"))</f>
        <v>17</v>
      </c>
      <c r="N578" s="2" t="n">
        <f aca="false">IF(E578="","",IF(ISNUMBER(SEARCH("SUBSOLO",E578)),IFERROR(-VALUE(LEFT(E578,FIND("º",SUBSTITUTE(E578,"°","º"))-1)),-1),IF(LEFT(E578,6)="TÉRREO",0,IFERROR(VALUE(LEFT(E578,FIND("º",SUBSTITUTE(E578,"°","º"))-1)),""))))</f>
        <v>23</v>
      </c>
      <c r="O578" s="2" t="str">
        <f aca="false">IF(OR(F578="",G578=""),"",IF(G578&lt;='RETRATO 2027'!$K$5,"CONCLUÍDA",IF(F578&lt;='RETRATO 2027'!$K$5,"EM ANDAMENTO","A INICIAR")))</f>
        <v>CONCLUÍDA</v>
      </c>
    </row>
    <row r="579" customFormat="false" ht="15" hidden="false" customHeight="false" outlineLevel="0" collapsed="false">
      <c r="B579" s="4" t="n">
        <v>31529040</v>
      </c>
      <c r="C579" s="4" t="s">
        <v>2341</v>
      </c>
      <c r="D579" s="4" t="s">
        <v>2312</v>
      </c>
      <c r="E579" s="4" t="s">
        <v>2829</v>
      </c>
      <c r="F579" s="127" t="n">
        <v>46616</v>
      </c>
      <c r="G579" s="127" t="n">
        <v>46619</v>
      </c>
      <c r="H579" s="127" t="n">
        <v>46289</v>
      </c>
      <c r="I579" s="4" t="n">
        <v>0</v>
      </c>
      <c r="J579" s="4" t="n">
        <v>0</v>
      </c>
      <c r="K579" s="4" t="n">
        <v>0</v>
      </c>
      <c r="M579" s="2" t="str">
        <f aca="false">IF(C579="","",IFERROR(INDEX($S$5:$S$304,MATCH(C579,$R$5:$R$304,0))&amp;"","?"))</f>
        <v>17</v>
      </c>
      <c r="N579" s="2" t="n">
        <f aca="false">IF(E579="","",IF(ISNUMBER(SEARCH("SUBSOLO",E579)),IFERROR(-VALUE(LEFT(E579,FIND("º",SUBSTITUTE(E579,"°","º"))-1)),-1),IF(LEFT(E579,6)="TÉRREO",0,IFERROR(VALUE(LEFT(E579,FIND("º",SUBSTITUTE(E579,"°","º"))-1)),""))))</f>
        <v>23</v>
      </c>
      <c r="O579" s="2" t="str">
        <f aca="false">IF(OR(F579="",G579=""),"",IF(G579&lt;='RETRATO 2027'!$K$5,"CONCLUÍDA",IF(F579&lt;='RETRATO 2027'!$K$5,"EM ANDAMENTO","A INICIAR")))</f>
        <v>CONCLUÍDA</v>
      </c>
    </row>
    <row r="580" customFormat="false" ht="15" hidden="false" customHeight="false" outlineLevel="0" collapsed="false">
      <c r="B580" s="4" t="n">
        <v>31529041</v>
      </c>
      <c r="C580" s="4" t="s">
        <v>2341</v>
      </c>
      <c r="D580" s="4" t="s">
        <v>2309</v>
      </c>
      <c r="E580" s="4" t="s">
        <v>2829</v>
      </c>
      <c r="F580" s="127" t="n">
        <v>46622</v>
      </c>
      <c r="G580" s="127" t="n">
        <v>46624</v>
      </c>
      <c r="H580" s="127" t="n">
        <v>46289</v>
      </c>
      <c r="I580" s="4" t="n">
        <v>0</v>
      </c>
      <c r="J580" s="4" t="n">
        <v>0</v>
      </c>
      <c r="K580" s="4" t="n">
        <v>0</v>
      </c>
      <c r="M580" s="2" t="str">
        <f aca="false">IF(C580="","",IFERROR(INDEX($S$5:$S$304,MATCH(C580,$R$5:$R$304,0))&amp;"","?"))</f>
        <v>17</v>
      </c>
      <c r="N580" s="2" t="n">
        <f aca="false">IF(E580="","",IF(ISNUMBER(SEARCH("SUBSOLO",E580)),IFERROR(-VALUE(LEFT(E580,FIND("º",SUBSTITUTE(E580,"°","º"))-1)),-1),IF(LEFT(E580,6)="TÉRREO",0,IFERROR(VALUE(LEFT(E580,FIND("º",SUBSTITUTE(E580,"°","º"))-1)),""))))</f>
        <v>23</v>
      </c>
      <c r="O580" s="2" t="str">
        <f aca="false">IF(OR(F580="",G580=""),"",IF(G580&lt;='RETRATO 2027'!$K$5,"CONCLUÍDA",IF(F580&lt;='RETRATO 2027'!$K$5,"EM ANDAMENTO","A INICIAR")))</f>
        <v>CONCLUÍDA</v>
      </c>
    </row>
    <row r="581" customFormat="false" ht="15" hidden="false" customHeight="false" outlineLevel="0" collapsed="false">
      <c r="B581" s="4" t="n">
        <v>31529042</v>
      </c>
      <c r="C581" s="4" t="s">
        <v>2341</v>
      </c>
      <c r="D581" s="4" t="s">
        <v>2314</v>
      </c>
      <c r="E581" s="4" t="s">
        <v>2829</v>
      </c>
      <c r="F581" s="127" t="n">
        <v>46625</v>
      </c>
      <c r="G581" s="127" t="n">
        <v>46625</v>
      </c>
      <c r="H581" s="127" t="n">
        <v>46289</v>
      </c>
      <c r="I581" s="4" t="n">
        <v>0</v>
      </c>
      <c r="J581" s="4" t="n">
        <v>0</v>
      </c>
      <c r="K581" s="4" t="n">
        <v>0</v>
      </c>
      <c r="M581" s="2" t="str">
        <f aca="false">IF(C581="","",IFERROR(INDEX($S$5:$S$304,MATCH(C581,$R$5:$R$304,0))&amp;"","?"))</f>
        <v>17</v>
      </c>
      <c r="N581" s="2" t="n">
        <f aca="false">IF(E581="","",IF(ISNUMBER(SEARCH("SUBSOLO",E581)),IFERROR(-VALUE(LEFT(E581,FIND("º",SUBSTITUTE(E581,"°","º"))-1)),-1),IF(LEFT(E581,6)="TÉRREO",0,IFERROR(VALUE(LEFT(E581,FIND("º",SUBSTITUTE(E581,"°","º"))-1)),""))))</f>
        <v>23</v>
      </c>
      <c r="O581" s="2" t="str">
        <f aca="false">IF(OR(F581="",G581=""),"",IF(G581&lt;='RETRATO 2027'!$K$5,"CONCLUÍDA",IF(F581&lt;='RETRATO 2027'!$K$5,"EM ANDAMENTO","A INICIAR")))</f>
        <v>CONCLUÍDA</v>
      </c>
    </row>
    <row r="582" customFormat="false" ht="15" hidden="false" customHeight="false" outlineLevel="0" collapsed="false">
      <c r="B582" s="4" t="n">
        <v>31529043</v>
      </c>
      <c r="C582" s="4" t="s">
        <v>2341</v>
      </c>
      <c r="D582" s="4" t="s">
        <v>2758</v>
      </c>
      <c r="E582" s="4" t="s">
        <v>2829</v>
      </c>
      <c r="F582" s="127" t="n">
        <v>46625</v>
      </c>
      <c r="G582" s="127" t="n">
        <v>46625</v>
      </c>
      <c r="H582" s="127" t="n">
        <v>46289</v>
      </c>
      <c r="I582" s="4" t="n">
        <v>0</v>
      </c>
      <c r="J582" s="4" t="n">
        <v>0</v>
      </c>
      <c r="K582" s="4" t="n">
        <v>0</v>
      </c>
      <c r="M582" s="2" t="str">
        <f aca="false">IF(C582="","",IFERROR(INDEX($S$5:$S$304,MATCH(C582,$R$5:$R$304,0))&amp;"","?"))</f>
        <v>17</v>
      </c>
      <c r="N582" s="2" t="n">
        <f aca="false">IF(E582="","",IF(ISNUMBER(SEARCH("SUBSOLO",E582)),IFERROR(-VALUE(LEFT(E582,FIND("º",SUBSTITUTE(E582,"°","º"))-1)),-1),IF(LEFT(E582,6)="TÉRREO",0,IFERROR(VALUE(LEFT(E582,FIND("º",SUBSTITUTE(E582,"°","º"))-1)),""))))</f>
        <v>23</v>
      </c>
      <c r="O582" s="2" t="str">
        <f aca="false">IF(OR(F582="",G582=""),"",IF(G582&lt;='RETRATO 2027'!$K$5,"CONCLUÍDA",IF(F582&lt;='RETRATO 2027'!$K$5,"EM ANDAMENTO","A INICIAR")))</f>
        <v>CONCLUÍDA</v>
      </c>
    </row>
    <row r="583" customFormat="false" ht="15" hidden="false" customHeight="false" outlineLevel="0" collapsed="false">
      <c r="B583" s="4" t="n">
        <v>29981148</v>
      </c>
      <c r="C583" s="4" t="s">
        <v>2410</v>
      </c>
      <c r="D583" s="4" t="s">
        <v>463</v>
      </c>
      <c r="E583" s="4" t="s">
        <v>2820</v>
      </c>
      <c r="F583" s="127" t="n">
        <v>46617</v>
      </c>
      <c r="G583" s="127" t="n">
        <v>46629</v>
      </c>
      <c r="H583" s="127" t="n">
        <v>46289</v>
      </c>
      <c r="I583" s="4" t="n">
        <v>0</v>
      </c>
      <c r="J583" s="4" t="n">
        <v>0</v>
      </c>
      <c r="K583" s="4" t="n">
        <v>0</v>
      </c>
      <c r="M583" s="2" t="str">
        <f aca="false">IF(C583="","",IFERROR(INDEX($S$5:$S$304,MATCH(C583,$R$5:$R$304,0))&amp;"","?"))</f>
        <v>22</v>
      </c>
      <c r="N583" s="2" t="n">
        <f aca="false">IF(E583="","",IF(ISNUMBER(SEARCH("SUBSOLO",E583)),IFERROR(-VALUE(LEFT(E583,FIND("º",SUBSTITUTE(E583,"°","º"))-1)),-1),IF(LEFT(E583,6)="TÉRREO",0,IFERROR(VALUE(LEFT(E583,FIND("º",SUBSTITUTE(E583,"°","º"))-1)),""))))</f>
        <v>18</v>
      </c>
      <c r="O583" s="2" t="str">
        <f aca="false">IF(OR(F583="",G583=""),"",IF(G583&lt;='RETRATO 2027'!$K$5,"CONCLUÍDA",IF(F583&lt;='RETRATO 2027'!$K$5,"EM ANDAMENTO","A INICIAR")))</f>
        <v>CONCLUÍDA</v>
      </c>
    </row>
    <row r="584" customFormat="false" ht="15" hidden="false" customHeight="false" outlineLevel="0" collapsed="false">
      <c r="B584" s="4" t="n">
        <v>29981062</v>
      </c>
      <c r="C584" s="4" t="s">
        <v>168</v>
      </c>
      <c r="D584" s="4" t="s">
        <v>463</v>
      </c>
      <c r="E584" s="4" t="s">
        <v>2823</v>
      </c>
      <c r="F584" s="127" t="n">
        <v>46617</v>
      </c>
      <c r="G584" s="127" t="n">
        <v>46629</v>
      </c>
      <c r="H584" s="127" t="n">
        <v>46289</v>
      </c>
      <c r="I584" s="4" t="n">
        <v>0</v>
      </c>
      <c r="J584" s="4" t="n">
        <v>0</v>
      </c>
      <c r="K584" s="4" t="n">
        <v>0</v>
      </c>
      <c r="M584" s="2" t="str">
        <f aca="false">IF(C584="","",IFERROR(INDEX($S$5:$S$304,MATCH(C584,$R$5:$R$304,0))&amp;"","?"))</f>
        <v>18</v>
      </c>
      <c r="N584" s="2" t="n">
        <f aca="false">IF(E584="","",IF(ISNUMBER(SEARCH("SUBSOLO",E584)),IFERROR(-VALUE(LEFT(E584,FIND("º",SUBSTITUTE(E584,"°","º"))-1)),-1),IF(LEFT(E584,6)="TÉRREO",0,IFERROR(VALUE(LEFT(E584,FIND("º",SUBSTITUTE(E584,"°","º"))-1)),""))))</f>
        <v>20</v>
      </c>
      <c r="O584" s="2" t="str">
        <f aca="false">IF(OR(F584="",G584=""),"",IF(G584&lt;='RETRATO 2027'!$K$5,"CONCLUÍDA",IF(F584&lt;='RETRATO 2027'!$K$5,"EM ANDAMENTO","A INICIAR")))</f>
        <v>CONCLUÍDA</v>
      </c>
    </row>
    <row r="585" customFormat="false" ht="15" hidden="false" customHeight="false" outlineLevel="0" collapsed="false">
      <c r="B585" s="4" t="n">
        <v>31789419</v>
      </c>
      <c r="C585" s="4" t="s">
        <v>2477</v>
      </c>
      <c r="D585" s="4" t="s">
        <v>463</v>
      </c>
      <c r="E585" s="4" t="s">
        <v>2678</v>
      </c>
      <c r="F585" s="127" t="n">
        <v>46617</v>
      </c>
      <c r="G585" s="127" t="n">
        <v>46638</v>
      </c>
      <c r="H585" s="127" t="n">
        <v>46289</v>
      </c>
      <c r="I585" s="4" t="n">
        <v>0</v>
      </c>
      <c r="J585" s="4" t="n">
        <v>0</v>
      </c>
      <c r="K585" s="4" t="n">
        <v>0</v>
      </c>
      <c r="M585" s="2" t="str">
        <f aca="false">IF(C585="","",IFERROR(INDEX($S$5:$S$304,MATCH(C585,$R$5:$R$304,0))&amp;"","?"))</f>
        <v>32</v>
      </c>
      <c r="N585" s="2" t="str">
        <f aca="false">IF(E585="","",IF(ISNUMBER(SEARCH("SUBSOLO",E585)),IFERROR(-VALUE(LEFT(E585,FIND("º",SUBSTITUTE(E585,"°","º"))-1)),-1),IF(LEFT(E585,6)="TÉRREO",0,IFERROR(VALUE(LEFT(E585,FIND("º",SUBSTITUTE(E585,"°","º"))-1)),""))))</f>
        <v/>
      </c>
      <c r="O585" s="2" t="str">
        <f aca="false">IF(OR(F585="",G585=""),"",IF(G585&lt;='RETRATO 2027'!$K$5,"CONCLUÍDA",IF(F585&lt;='RETRATO 2027'!$K$5,"EM ANDAMENTO","A INICIAR")))</f>
        <v>CONCLUÍDA</v>
      </c>
    </row>
    <row r="586" customFormat="false" ht="15" hidden="false" customHeight="false" outlineLevel="0" collapsed="false">
      <c r="B586" s="4" t="n">
        <v>30171455</v>
      </c>
      <c r="C586" s="4" t="s">
        <v>2416</v>
      </c>
      <c r="D586" s="4" t="s">
        <v>463</v>
      </c>
      <c r="E586" s="4" t="s">
        <v>2790</v>
      </c>
      <c r="F586" s="127" t="n">
        <v>46622</v>
      </c>
      <c r="G586" s="127" t="n">
        <v>46633</v>
      </c>
      <c r="H586" s="127" t="n">
        <v>46289</v>
      </c>
      <c r="I586" s="4" t="n">
        <v>0</v>
      </c>
      <c r="J586" s="4" t="n">
        <v>0</v>
      </c>
      <c r="K586" s="4" t="n">
        <v>0</v>
      </c>
      <c r="M586" s="2" t="str">
        <f aca="false">IF(C586="","",IFERROR(INDEX($S$5:$S$304,MATCH(C586,$R$5:$R$304,0))&amp;"","?"))</f>
        <v>18</v>
      </c>
      <c r="N586" s="2" t="n">
        <f aca="false">IF(E586="","",IF(ISNUMBER(SEARCH("SUBSOLO",E586)),IFERROR(-VALUE(LEFT(E586,FIND("º",SUBSTITUTE(E586,"°","º"))-1)),-1),IF(LEFT(E586,6)="TÉRREO",0,IFERROR(VALUE(LEFT(E586,FIND("º",SUBSTITUTE(E586,"°","º"))-1)),""))))</f>
        <v>3</v>
      </c>
      <c r="O586" s="2" t="str">
        <f aca="false">IF(OR(F586="",G586=""),"",IF(G586&lt;='RETRATO 2027'!$K$5,"CONCLUÍDA",IF(F586&lt;='RETRATO 2027'!$K$5,"EM ANDAMENTO","A INICIAR")))</f>
        <v>CONCLUÍDA</v>
      </c>
    </row>
    <row r="587" customFormat="false" ht="15" hidden="false" customHeight="false" outlineLevel="0" collapsed="false">
      <c r="B587" s="4" t="n">
        <v>29981548</v>
      </c>
      <c r="C587" s="4" t="s">
        <v>2480</v>
      </c>
      <c r="D587" s="4" t="s">
        <v>463</v>
      </c>
      <c r="E587" s="4" t="s">
        <v>2803</v>
      </c>
      <c r="F587" s="127" t="n">
        <v>46623</v>
      </c>
      <c r="G587" s="127" t="n">
        <v>46633</v>
      </c>
      <c r="H587" s="127" t="n">
        <v>46289</v>
      </c>
      <c r="I587" s="4" t="n">
        <v>0</v>
      </c>
      <c r="J587" s="4" t="n">
        <v>0</v>
      </c>
      <c r="K587" s="4" t="n">
        <v>0</v>
      </c>
      <c r="M587" s="2" t="str">
        <f aca="false">IF(C587="","",IFERROR(INDEX($S$5:$S$304,MATCH(C587,$R$5:$R$304,0))&amp;"","?"))</f>
        <v>30</v>
      </c>
      <c r="N587" s="2" t="n">
        <f aca="false">IF(E587="","",IF(ISNUMBER(SEARCH("SUBSOLO",E587)),IFERROR(-VALUE(LEFT(E587,FIND("º",SUBSTITUTE(E587,"°","º"))-1)),-1),IF(LEFT(E587,6)="TÉRREO",0,IFERROR(VALUE(LEFT(E587,FIND("º",SUBSTITUTE(E587,"°","º"))-1)),""))))</f>
        <v>7</v>
      </c>
      <c r="O587" s="2" t="str">
        <f aca="false">IF(OR(F587="",G587=""),"",IF(G587&lt;='RETRATO 2027'!$K$5,"CONCLUÍDA",IF(F587&lt;='RETRATO 2027'!$K$5,"EM ANDAMENTO","A INICIAR")))</f>
        <v>CONCLUÍDA</v>
      </c>
    </row>
    <row r="588" customFormat="false" ht="15" hidden="false" customHeight="false" outlineLevel="0" collapsed="false">
      <c r="B588" s="4" t="n">
        <v>29981509</v>
      </c>
      <c r="C588" s="4" t="s">
        <v>171</v>
      </c>
      <c r="D588" s="4" t="s">
        <v>463</v>
      </c>
      <c r="E588" s="4" t="s">
        <v>2804</v>
      </c>
      <c r="F588" s="127" t="n">
        <v>46623</v>
      </c>
      <c r="G588" s="127" t="n">
        <v>46633</v>
      </c>
      <c r="H588" s="127" t="n">
        <v>46289</v>
      </c>
      <c r="I588" s="4" t="n">
        <v>0</v>
      </c>
      <c r="J588" s="4" t="n">
        <v>0</v>
      </c>
      <c r="K588" s="4" t="n">
        <v>0</v>
      </c>
      <c r="M588" s="2" t="str">
        <f aca="false">IF(C588="","",IFERROR(INDEX($S$5:$S$304,MATCH(C588,$R$5:$R$304,0))&amp;"","?"))</f>
        <v>19</v>
      </c>
      <c r="N588" s="2" t="n">
        <f aca="false">IF(E588="","",IF(ISNUMBER(SEARCH("SUBSOLO",E588)),IFERROR(-VALUE(LEFT(E588,FIND("º",SUBSTITUTE(E588,"°","º"))-1)),-1),IF(LEFT(E588,6)="TÉRREO",0,IFERROR(VALUE(LEFT(E588,FIND("º",SUBSTITUTE(E588,"°","º"))-1)),""))))</f>
        <v>8</v>
      </c>
      <c r="O588" s="2" t="str">
        <f aca="false">IF(OR(F588="",G588=""),"",IF(G588&lt;='RETRATO 2027'!$K$5,"CONCLUÍDA",IF(F588&lt;='RETRATO 2027'!$K$5,"EM ANDAMENTO","A INICIAR")))</f>
        <v>CONCLUÍDA</v>
      </c>
    </row>
    <row r="589" customFormat="false" ht="15" hidden="false" customHeight="false" outlineLevel="0" collapsed="false">
      <c r="B589" s="4" t="n">
        <v>32750435</v>
      </c>
      <c r="C589" s="4" t="s">
        <v>2470</v>
      </c>
      <c r="D589" s="4" t="s">
        <v>463</v>
      </c>
      <c r="E589" s="4" t="s">
        <v>2805</v>
      </c>
      <c r="F589" s="127" t="n">
        <v>46623</v>
      </c>
      <c r="G589" s="127" t="n">
        <v>46633</v>
      </c>
      <c r="H589" s="127" t="n">
        <v>46289</v>
      </c>
      <c r="I589" s="4" t="n">
        <v>0</v>
      </c>
      <c r="J589" s="4" t="n">
        <v>0</v>
      </c>
      <c r="K589" s="4" t="n">
        <v>0</v>
      </c>
      <c r="M589" s="2" t="str">
        <f aca="false">IF(C589="","",IFERROR(INDEX($S$5:$S$304,MATCH(C589,$R$5:$R$304,0))&amp;"","?"))</f>
        <v>18</v>
      </c>
      <c r="N589" s="2" t="n">
        <f aca="false">IF(E589="","",IF(ISNUMBER(SEARCH("SUBSOLO",E589)),IFERROR(-VALUE(LEFT(E589,FIND("º",SUBSTITUTE(E589,"°","º"))-1)),-1),IF(LEFT(E589,6)="TÉRREO",0,IFERROR(VALUE(LEFT(E589,FIND("º",SUBSTITUTE(E589,"°","º"))-1)),""))))</f>
        <v>9</v>
      </c>
      <c r="O589" s="2" t="str">
        <f aca="false">IF(OR(F589="",G589=""),"",IF(G589&lt;='RETRATO 2027'!$K$5,"CONCLUÍDA",IF(F589&lt;='RETRATO 2027'!$K$5,"EM ANDAMENTO","A INICIAR")))</f>
        <v>CONCLUÍDA</v>
      </c>
    </row>
    <row r="590" customFormat="false" ht="15" hidden="false" customHeight="false" outlineLevel="0" collapsed="false">
      <c r="B590" s="4" t="n">
        <v>32750358</v>
      </c>
      <c r="C590" s="4" t="s">
        <v>2458</v>
      </c>
      <c r="D590" s="4" t="s">
        <v>463</v>
      </c>
      <c r="E590" s="4" t="s">
        <v>2809</v>
      </c>
      <c r="F590" s="127" t="n">
        <v>46623</v>
      </c>
      <c r="G590" s="127" t="n">
        <v>46633</v>
      </c>
      <c r="H590" s="127" t="n">
        <v>46289</v>
      </c>
      <c r="I590" s="4" t="n">
        <v>0</v>
      </c>
      <c r="J590" s="4" t="n">
        <v>0</v>
      </c>
      <c r="K590" s="4" t="n">
        <v>0</v>
      </c>
      <c r="M590" s="2" t="str">
        <f aca="false">IF(C590="","",IFERROR(INDEX($S$5:$S$304,MATCH(C590,$R$5:$R$304,0))&amp;"","?"))</f>
        <v>21</v>
      </c>
      <c r="N590" s="2" t="n">
        <f aca="false">IF(E590="","",IF(ISNUMBER(SEARCH("SUBSOLO",E590)),IFERROR(-VALUE(LEFT(E590,FIND("º",SUBSTITUTE(E590,"°","º"))-1)),-1),IF(LEFT(E590,6)="TÉRREO",0,IFERROR(VALUE(LEFT(E590,FIND("º",SUBSTITUTE(E590,"°","º"))-1)),""))))</f>
        <v>10</v>
      </c>
      <c r="O590" s="2" t="str">
        <f aca="false">IF(OR(F590="",G590=""),"",IF(G590&lt;='RETRATO 2027'!$K$5,"CONCLUÍDA",IF(F590&lt;='RETRATO 2027'!$K$5,"EM ANDAMENTO","A INICIAR")))</f>
        <v>CONCLUÍDA</v>
      </c>
    </row>
    <row r="591" customFormat="false" ht="15" hidden="false" customHeight="false" outlineLevel="0" collapsed="false">
      <c r="B591" s="4" t="n">
        <v>32750384</v>
      </c>
      <c r="C591" s="4" t="s">
        <v>2461</v>
      </c>
      <c r="D591" s="4" t="s">
        <v>463</v>
      </c>
      <c r="E591" s="4" t="s">
        <v>2809</v>
      </c>
      <c r="F591" s="127" t="n">
        <v>46623</v>
      </c>
      <c r="G591" s="127" t="n">
        <v>46633</v>
      </c>
      <c r="H591" s="127" t="n">
        <v>46289</v>
      </c>
      <c r="I591" s="4" t="n">
        <v>0</v>
      </c>
      <c r="J591" s="4" t="n">
        <v>0</v>
      </c>
      <c r="K591" s="4" t="n">
        <v>0</v>
      </c>
      <c r="M591" s="2" t="str">
        <f aca="false">IF(C591="","",IFERROR(INDEX($S$5:$S$304,MATCH(C591,$R$5:$R$304,0))&amp;"","?"))</f>
        <v>20</v>
      </c>
      <c r="N591" s="2" t="n">
        <f aca="false">IF(E591="","",IF(ISNUMBER(SEARCH("SUBSOLO",E591)),IFERROR(-VALUE(LEFT(E591,FIND("º",SUBSTITUTE(E591,"°","º"))-1)),-1),IF(LEFT(E591,6)="TÉRREO",0,IFERROR(VALUE(LEFT(E591,FIND("º",SUBSTITUTE(E591,"°","º"))-1)),""))))</f>
        <v>10</v>
      </c>
      <c r="O591" s="2" t="str">
        <f aca="false">IF(OR(F591="",G591=""),"",IF(G591&lt;='RETRATO 2027'!$K$5,"CONCLUÍDA",IF(F591&lt;='RETRATO 2027'!$K$5,"EM ANDAMENTO","A INICIAR")))</f>
        <v>CONCLUÍDA</v>
      </c>
    </row>
    <row r="592" customFormat="false" ht="15" hidden="false" customHeight="false" outlineLevel="0" collapsed="false">
      <c r="B592" s="4" t="n">
        <v>32750410</v>
      </c>
      <c r="C592" s="4" t="s">
        <v>2464</v>
      </c>
      <c r="D592" s="4" t="s">
        <v>463</v>
      </c>
      <c r="E592" s="4" t="s">
        <v>2809</v>
      </c>
      <c r="F592" s="127" t="n">
        <v>46623</v>
      </c>
      <c r="G592" s="127" t="n">
        <v>46633</v>
      </c>
      <c r="H592" s="127" t="n">
        <v>46289</v>
      </c>
      <c r="I592" s="4" t="n">
        <v>0</v>
      </c>
      <c r="J592" s="4" t="n">
        <v>0</v>
      </c>
      <c r="K592" s="4" t="n">
        <v>0</v>
      </c>
      <c r="M592" s="2" t="str">
        <f aca="false">IF(C592="","",IFERROR(INDEX($S$5:$S$304,MATCH(C592,$R$5:$R$304,0))&amp;"","?"))</f>
        <v>21</v>
      </c>
      <c r="N592" s="2" t="n">
        <f aca="false">IF(E592="","",IF(ISNUMBER(SEARCH("SUBSOLO",E592)),IFERROR(-VALUE(LEFT(E592,FIND("º",SUBSTITUTE(E592,"°","º"))-1)),-1),IF(LEFT(E592,6)="TÉRREO",0,IFERROR(VALUE(LEFT(E592,FIND("º",SUBSTITUTE(E592,"°","º"))-1)),""))))</f>
        <v>10</v>
      </c>
      <c r="O592" s="2" t="str">
        <f aca="false">IF(OR(F592="",G592=""),"",IF(G592&lt;='RETRATO 2027'!$K$5,"CONCLUÍDA",IF(F592&lt;='RETRATO 2027'!$K$5,"EM ANDAMENTO","A INICIAR")))</f>
        <v>CONCLUÍDA</v>
      </c>
    </row>
    <row r="593" customFormat="false" ht="15" hidden="false" customHeight="false" outlineLevel="0" collapsed="false">
      <c r="B593" s="4" t="n">
        <v>33896828</v>
      </c>
      <c r="C593" s="4" t="s">
        <v>2467</v>
      </c>
      <c r="D593" s="4" t="s">
        <v>463</v>
      </c>
      <c r="E593" s="4" t="s">
        <v>2809</v>
      </c>
      <c r="F593" s="127" t="n">
        <v>46623</v>
      </c>
      <c r="G593" s="127" t="n">
        <v>46633</v>
      </c>
      <c r="H593" s="127" t="n">
        <v>46289</v>
      </c>
      <c r="I593" s="4" t="n">
        <v>0</v>
      </c>
      <c r="J593" s="4" t="n">
        <v>0</v>
      </c>
      <c r="K593" s="4" t="n">
        <v>0</v>
      </c>
      <c r="M593" s="2" t="str">
        <f aca="false">IF(C593="","",IFERROR(INDEX($S$5:$S$304,MATCH(C593,$R$5:$R$304,0))&amp;"","?"))</f>
        <v>23</v>
      </c>
      <c r="N593" s="2" t="n">
        <f aca="false">IF(E593="","",IF(ISNUMBER(SEARCH("SUBSOLO",E593)),IFERROR(-VALUE(LEFT(E593,FIND("º",SUBSTITUTE(E593,"°","º"))-1)),-1),IF(LEFT(E593,6)="TÉRREO",0,IFERROR(VALUE(LEFT(E593,FIND("º",SUBSTITUTE(E593,"°","º"))-1)),""))))</f>
        <v>10</v>
      </c>
      <c r="O593" s="2" t="str">
        <f aca="false">IF(OR(F593="",G593=""),"",IF(G593&lt;='RETRATO 2027'!$K$5,"CONCLUÍDA",IF(F593&lt;='RETRATO 2027'!$K$5,"EM ANDAMENTO","A INICIAR")))</f>
        <v>CONCLUÍDA</v>
      </c>
    </row>
    <row r="594" customFormat="false" ht="15" hidden="false" customHeight="false" outlineLevel="0" collapsed="false">
      <c r="B594" s="4" t="n">
        <v>32749854</v>
      </c>
      <c r="C594" s="4" t="s">
        <v>2455</v>
      </c>
      <c r="D594" s="4" t="s">
        <v>463</v>
      </c>
      <c r="E594" s="4" t="s">
        <v>2810</v>
      </c>
      <c r="F594" s="127" t="n">
        <v>46623</v>
      </c>
      <c r="G594" s="127" t="n">
        <v>46633</v>
      </c>
      <c r="H594" s="127" t="n">
        <v>46289</v>
      </c>
      <c r="I594" s="4" t="n">
        <v>0</v>
      </c>
      <c r="J594" s="4" t="n">
        <v>0</v>
      </c>
      <c r="K594" s="4" t="n">
        <v>0</v>
      </c>
      <c r="M594" s="2" t="str">
        <f aca="false">IF(C594="","",IFERROR(INDEX($S$5:$S$304,MATCH(C594,$R$5:$R$304,0))&amp;"","?"))</f>
        <v>18</v>
      </c>
      <c r="N594" s="2" t="n">
        <f aca="false">IF(E594="","",IF(ISNUMBER(SEARCH("SUBSOLO",E594)),IFERROR(-VALUE(LEFT(E594,FIND("º",SUBSTITUTE(E594,"°","º"))-1)),-1),IF(LEFT(E594,6)="TÉRREO",0,IFERROR(VALUE(LEFT(E594,FIND("º",SUBSTITUTE(E594,"°","º"))-1)),""))))</f>
        <v>11</v>
      </c>
      <c r="O594" s="2" t="str">
        <f aca="false">IF(OR(F594="",G594=""),"",IF(G594&lt;='RETRATO 2027'!$K$5,"CONCLUÍDA",IF(F594&lt;='RETRATO 2027'!$K$5,"EM ANDAMENTO","A INICIAR")))</f>
        <v>CONCLUÍDA</v>
      </c>
    </row>
    <row r="595" customFormat="false" ht="15" hidden="false" customHeight="false" outlineLevel="0" collapsed="false">
      <c r="B595" s="4" t="n">
        <v>29981362</v>
      </c>
      <c r="C595" s="4" t="s">
        <v>2449</v>
      </c>
      <c r="D595" s="4" t="s">
        <v>463</v>
      </c>
      <c r="E595" s="4" t="s">
        <v>2811</v>
      </c>
      <c r="F595" s="127" t="n">
        <v>46623</v>
      </c>
      <c r="G595" s="127" t="n">
        <v>46633</v>
      </c>
      <c r="H595" s="127" t="n">
        <v>46289</v>
      </c>
      <c r="I595" s="4" t="n">
        <v>0</v>
      </c>
      <c r="J595" s="4" t="n">
        <v>0</v>
      </c>
      <c r="K595" s="4" t="n">
        <v>0</v>
      </c>
      <c r="M595" s="2" t="str">
        <f aca="false">IF(C595="","",IFERROR(INDEX($S$5:$S$304,MATCH(C595,$R$5:$R$304,0))&amp;"","?"))</f>
        <v>28</v>
      </c>
      <c r="N595" s="2" t="n">
        <f aca="false">IF(E595="","",IF(ISNUMBER(SEARCH("SUBSOLO",E595)),IFERROR(-VALUE(LEFT(E595,FIND("º",SUBSTITUTE(E595,"°","º"))-1)),-1),IF(LEFT(E595,6)="TÉRREO",0,IFERROR(VALUE(LEFT(E595,FIND("º",SUBSTITUTE(E595,"°","º"))-1)),""))))</f>
        <v>12</v>
      </c>
      <c r="O595" s="2" t="str">
        <f aca="false">IF(OR(F595="",G595=""),"",IF(G595&lt;='RETRATO 2027'!$K$5,"CONCLUÍDA",IF(F595&lt;='RETRATO 2027'!$K$5,"EM ANDAMENTO","A INICIAR")))</f>
        <v>CONCLUÍDA</v>
      </c>
    </row>
    <row r="596" customFormat="false" ht="15" hidden="false" customHeight="false" outlineLevel="0" collapsed="false">
      <c r="B596" s="4" t="n">
        <v>29981302</v>
      </c>
      <c r="C596" s="4" t="s">
        <v>2440</v>
      </c>
      <c r="D596" s="4" t="s">
        <v>463</v>
      </c>
      <c r="E596" s="4" t="s">
        <v>2812</v>
      </c>
      <c r="F596" s="127" t="n">
        <v>46623</v>
      </c>
      <c r="G596" s="127" t="n">
        <v>46633</v>
      </c>
      <c r="H596" s="127" t="n">
        <v>46289</v>
      </c>
      <c r="I596" s="4" t="n">
        <v>0</v>
      </c>
      <c r="J596" s="4" t="n">
        <v>0</v>
      </c>
      <c r="K596" s="4" t="n">
        <v>0</v>
      </c>
      <c r="M596" s="2" t="str">
        <f aca="false">IF(C596="","",IFERROR(INDEX($S$5:$S$304,MATCH(C596,$R$5:$R$304,0))&amp;"","?"))</f>
        <v>21</v>
      </c>
      <c r="N596" s="2" t="n">
        <f aca="false">IF(E596="","",IF(ISNUMBER(SEARCH("SUBSOLO",E596)),IFERROR(-VALUE(LEFT(E596,FIND("º",SUBSTITUTE(E596,"°","º"))-1)),-1),IF(LEFT(E596,6)="TÉRREO",0,IFERROR(VALUE(LEFT(E596,FIND("º",SUBSTITUTE(E596,"°","º"))-1)),""))))</f>
        <v>13</v>
      </c>
      <c r="O596" s="2" t="str">
        <f aca="false">IF(OR(F596="",G596=""),"",IF(G596&lt;='RETRATO 2027'!$K$5,"CONCLUÍDA",IF(F596&lt;='RETRATO 2027'!$K$5,"EM ANDAMENTO","A INICIAR")))</f>
        <v>CONCLUÍDA</v>
      </c>
    </row>
    <row r="597" customFormat="false" ht="15" hidden="false" customHeight="false" outlineLevel="0" collapsed="false">
      <c r="B597" s="4" t="n">
        <v>29981335</v>
      </c>
      <c r="C597" s="4" t="s">
        <v>2443</v>
      </c>
      <c r="D597" s="4" t="s">
        <v>463</v>
      </c>
      <c r="E597" s="4" t="s">
        <v>2812</v>
      </c>
      <c r="F597" s="127" t="n">
        <v>46623</v>
      </c>
      <c r="G597" s="127" t="n">
        <v>46633</v>
      </c>
      <c r="H597" s="127" t="n">
        <v>46289</v>
      </c>
      <c r="I597" s="4" t="n">
        <v>0</v>
      </c>
      <c r="J597" s="4" t="n">
        <v>0</v>
      </c>
      <c r="K597" s="4" t="n">
        <v>0</v>
      </c>
      <c r="M597" s="2" t="str">
        <f aca="false">IF(C597="","",IFERROR(INDEX($S$5:$S$304,MATCH(C597,$R$5:$R$304,0))&amp;"","?"))</f>
        <v>20</v>
      </c>
      <c r="N597" s="2" t="n">
        <f aca="false">IF(E597="","",IF(ISNUMBER(SEARCH("SUBSOLO",E597)),IFERROR(-VALUE(LEFT(E597,FIND("º",SUBSTITUTE(E597,"°","º"))-1)),-1),IF(LEFT(E597,6)="TÉRREO",0,IFERROR(VALUE(LEFT(E597,FIND("º",SUBSTITUTE(E597,"°","º"))-1)),""))))</f>
        <v>13</v>
      </c>
      <c r="O597" s="2" t="str">
        <f aca="false">IF(OR(F597="",G597=""),"",IF(G597&lt;='RETRATO 2027'!$K$5,"CONCLUÍDA",IF(F597&lt;='RETRATO 2027'!$K$5,"EM ANDAMENTO","A INICIAR")))</f>
        <v>CONCLUÍDA</v>
      </c>
    </row>
    <row r="598" customFormat="false" ht="15" hidden="false" customHeight="false" outlineLevel="0" collapsed="false">
      <c r="B598" s="4" t="n">
        <v>29981264</v>
      </c>
      <c r="C598" s="4" t="s">
        <v>2437</v>
      </c>
      <c r="D598" s="4" t="s">
        <v>463</v>
      </c>
      <c r="E598" s="4" t="s">
        <v>2813</v>
      </c>
      <c r="F598" s="127" t="n">
        <v>46623</v>
      </c>
      <c r="G598" s="127" t="n">
        <v>46633</v>
      </c>
      <c r="H598" s="127" t="n">
        <v>46289</v>
      </c>
      <c r="I598" s="4" t="n">
        <v>0</v>
      </c>
      <c r="J598" s="4" t="n">
        <v>0</v>
      </c>
      <c r="K598" s="4" t="n">
        <v>0</v>
      </c>
      <c r="M598" s="2" t="str">
        <f aca="false">IF(C598="","",IFERROR(INDEX($S$5:$S$304,MATCH(C598,$R$5:$R$304,0))&amp;"","?"))</f>
        <v>29</v>
      </c>
      <c r="N598" s="2" t="n">
        <f aca="false">IF(E598="","",IF(ISNUMBER(SEARCH("SUBSOLO",E598)),IFERROR(-VALUE(LEFT(E598,FIND("º",SUBSTITUTE(E598,"°","º"))-1)),-1),IF(LEFT(E598,6)="TÉRREO",0,IFERROR(VALUE(LEFT(E598,FIND("º",SUBSTITUTE(E598,"°","º"))-1)),""))))</f>
        <v>14</v>
      </c>
      <c r="O598" s="2" t="str">
        <f aca="false">IF(OR(F598="",G598=""),"",IF(G598&lt;='RETRATO 2027'!$K$5,"CONCLUÍDA",IF(F598&lt;='RETRATO 2027'!$K$5,"EM ANDAMENTO","A INICIAR")))</f>
        <v>CONCLUÍDA</v>
      </c>
    </row>
    <row r="599" customFormat="false" ht="15" hidden="false" customHeight="false" outlineLevel="0" collapsed="false">
      <c r="B599" s="4" t="n">
        <v>29981230</v>
      </c>
      <c r="C599" s="4" t="s">
        <v>2434</v>
      </c>
      <c r="D599" s="4" t="s">
        <v>463</v>
      </c>
      <c r="E599" s="4" t="s">
        <v>2814</v>
      </c>
      <c r="F599" s="127" t="n">
        <v>46623</v>
      </c>
      <c r="G599" s="127" t="n">
        <v>46633</v>
      </c>
      <c r="H599" s="127" t="n">
        <v>46289</v>
      </c>
      <c r="I599" s="4" t="n">
        <v>0</v>
      </c>
      <c r="J599" s="4" t="n">
        <v>0</v>
      </c>
      <c r="K599" s="4" t="n">
        <v>0</v>
      </c>
      <c r="M599" s="2" t="str">
        <f aca="false">IF(C599="","",IFERROR(INDEX($S$5:$S$304,MATCH(C599,$R$5:$R$304,0))&amp;"","?"))</f>
        <v>25</v>
      </c>
      <c r="N599" s="2" t="n">
        <f aca="false">IF(E599="","",IF(ISNUMBER(SEARCH("SUBSOLO",E599)),IFERROR(-VALUE(LEFT(E599,FIND("º",SUBSTITUTE(E599,"°","º"))-1)),-1),IF(LEFT(E599,6)="TÉRREO",0,IFERROR(VALUE(LEFT(E599,FIND("º",SUBSTITUTE(E599,"°","º"))-1)),""))))</f>
        <v>15</v>
      </c>
      <c r="O599" s="2" t="str">
        <f aca="false">IF(OR(F599="",G599=""),"",IF(G599&lt;='RETRATO 2027'!$K$5,"CONCLUÍDA",IF(F599&lt;='RETRATO 2027'!$K$5,"EM ANDAMENTO","A INICIAR")))</f>
        <v>CONCLUÍDA</v>
      </c>
    </row>
    <row r="600" customFormat="false" ht="15" hidden="false" customHeight="false" outlineLevel="0" collapsed="false">
      <c r="B600" s="4" t="n">
        <v>29981223</v>
      </c>
      <c r="C600" s="4" t="s">
        <v>2425</v>
      </c>
      <c r="D600" s="4" t="s">
        <v>463</v>
      </c>
      <c r="E600" s="4" t="s">
        <v>2815</v>
      </c>
      <c r="F600" s="127" t="n">
        <v>46623</v>
      </c>
      <c r="G600" s="127" t="n">
        <v>46633</v>
      </c>
      <c r="H600" s="127" t="n">
        <v>46289</v>
      </c>
      <c r="I600" s="4" t="n">
        <v>0</v>
      </c>
      <c r="J600" s="4" t="n">
        <v>0</v>
      </c>
      <c r="K600" s="4" t="n">
        <v>0</v>
      </c>
      <c r="M600" s="2" t="str">
        <f aca="false">IF(C600="","",IFERROR(INDEX($S$5:$S$304,MATCH(C600,$R$5:$R$304,0))&amp;"","?"))</f>
        <v>21</v>
      </c>
      <c r="N600" s="2" t="n">
        <f aca="false">IF(E600="","",IF(ISNUMBER(SEARCH("SUBSOLO",E600)),IFERROR(-VALUE(LEFT(E600,FIND("º",SUBSTITUTE(E600,"°","º"))-1)),-1),IF(LEFT(E600,6)="TÉRREO",0,IFERROR(VALUE(LEFT(E600,FIND("º",SUBSTITUTE(E600,"°","º"))-1)),""))))</f>
        <v>16</v>
      </c>
      <c r="O600" s="2" t="str">
        <f aca="false">IF(OR(F600="",G600=""),"",IF(G600&lt;='RETRATO 2027'!$K$5,"CONCLUÍDA",IF(F600&lt;='RETRATO 2027'!$K$5,"EM ANDAMENTO","A INICIAR")))</f>
        <v>CONCLUÍDA</v>
      </c>
    </row>
    <row r="601" customFormat="false" ht="15" hidden="false" customHeight="false" outlineLevel="0" collapsed="false">
      <c r="B601" s="4" t="n">
        <v>29981192</v>
      </c>
      <c r="C601" s="4" t="s">
        <v>2428</v>
      </c>
      <c r="D601" s="4" t="s">
        <v>463</v>
      </c>
      <c r="E601" s="4" t="s">
        <v>2815</v>
      </c>
      <c r="F601" s="127" t="n">
        <v>46623</v>
      </c>
      <c r="G601" s="127" t="n">
        <v>46633</v>
      </c>
      <c r="H601" s="127" t="n">
        <v>46289</v>
      </c>
      <c r="I601" s="4" t="n">
        <v>0</v>
      </c>
      <c r="J601" s="4" t="n">
        <v>0</v>
      </c>
      <c r="K601" s="4" t="n">
        <v>0</v>
      </c>
      <c r="M601" s="2" t="str">
        <f aca="false">IF(C601="","",IFERROR(INDEX($S$5:$S$304,MATCH(C601,$R$5:$R$304,0))&amp;"","?"))</f>
        <v>20</v>
      </c>
      <c r="N601" s="2" t="n">
        <f aca="false">IF(E601="","",IF(ISNUMBER(SEARCH("SUBSOLO",E601)),IFERROR(-VALUE(LEFT(E601,FIND("º",SUBSTITUTE(E601,"°","º"))-1)),-1),IF(LEFT(E601,6)="TÉRREO",0,IFERROR(VALUE(LEFT(E601,FIND("º",SUBSTITUTE(E601,"°","º"))-1)),""))))</f>
        <v>16</v>
      </c>
      <c r="O601" s="2" t="str">
        <f aca="false">IF(OR(F601="",G601=""),"",IF(G601&lt;='RETRATO 2027'!$K$5,"CONCLUÍDA",IF(F601&lt;='RETRATO 2027'!$K$5,"EM ANDAMENTO","A INICIAR")))</f>
        <v>CONCLUÍDA</v>
      </c>
    </row>
    <row r="602" customFormat="false" ht="15" hidden="false" customHeight="false" outlineLevel="0" collapsed="false">
      <c r="B602" s="4" t="n">
        <v>29981225</v>
      </c>
      <c r="C602" s="4" t="s">
        <v>2431</v>
      </c>
      <c r="D602" s="4" t="s">
        <v>463</v>
      </c>
      <c r="E602" s="4" t="s">
        <v>2815</v>
      </c>
      <c r="F602" s="127" t="n">
        <v>46623</v>
      </c>
      <c r="G602" s="127" t="n">
        <v>46633</v>
      </c>
      <c r="H602" s="127" t="n">
        <v>46289</v>
      </c>
      <c r="I602" s="4" t="n">
        <v>0</v>
      </c>
      <c r="J602" s="4" t="n">
        <v>0</v>
      </c>
      <c r="K602" s="4" t="n">
        <v>0</v>
      </c>
      <c r="M602" s="2" t="str">
        <f aca="false">IF(C602="","",IFERROR(INDEX($S$5:$S$304,MATCH(C602,$R$5:$R$304,0))&amp;"","?"))</f>
        <v>21</v>
      </c>
      <c r="N602" s="2" t="n">
        <f aca="false">IF(E602="","",IF(ISNUMBER(SEARCH("SUBSOLO",E602)),IFERROR(-VALUE(LEFT(E602,FIND("º",SUBSTITUTE(E602,"°","º"))-1)),-1),IF(LEFT(E602,6)="TÉRREO",0,IFERROR(VALUE(LEFT(E602,FIND("º",SUBSTITUTE(E602,"°","º"))-1)),""))))</f>
        <v>16</v>
      </c>
      <c r="O602" s="2" t="str">
        <f aca="false">IF(OR(F602="",G602=""),"",IF(G602&lt;='RETRATO 2027'!$K$5,"CONCLUÍDA",IF(F602&lt;='RETRATO 2027'!$K$5,"EM ANDAMENTO","A INICIAR")))</f>
        <v>CONCLUÍDA</v>
      </c>
    </row>
    <row r="603" customFormat="false" ht="15" hidden="false" customHeight="false" outlineLevel="0" collapsed="false">
      <c r="B603" s="4" t="n">
        <v>29981172</v>
      </c>
      <c r="C603" s="4" t="s">
        <v>2422</v>
      </c>
      <c r="D603" s="4" t="s">
        <v>463</v>
      </c>
      <c r="E603" s="4" t="s">
        <v>2818</v>
      </c>
      <c r="F603" s="127" t="n">
        <v>46623</v>
      </c>
      <c r="G603" s="127" t="n">
        <v>46633</v>
      </c>
      <c r="H603" s="127" t="n">
        <v>46289</v>
      </c>
      <c r="I603" s="4" t="n">
        <v>0</v>
      </c>
      <c r="J603" s="4" t="n">
        <v>0</v>
      </c>
      <c r="K603" s="4" t="n">
        <v>0</v>
      </c>
      <c r="M603" s="2" t="str">
        <f aca="false">IF(C603="","",IFERROR(INDEX($S$5:$S$304,MATCH(C603,$R$5:$R$304,0))&amp;"","?"))</f>
        <v>29</v>
      </c>
      <c r="N603" s="2" t="n">
        <f aca="false">IF(E603="","",IF(ISNUMBER(SEARCH("SUBSOLO",E603)),IFERROR(-VALUE(LEFT(E603,FIND("º",SUBSTITUTE(E603,"°","º"))-1)),-1),IF(LEFT(E603,6)="TÉRREO",0,IFERROR(VALUE(LEFT(E603,FIND("º",SUBSTITUTE(E603,"°","º"))-1)),""))))</f>
        <v>17</v>
      </c>
      <c r="O603" s="2" t="str">
        <f aca="false">IF(OR(F603="",G603=""),"",IF(G603&lt;='RETRATO 2027'!$K$5,"CONCLUÍDA",IF(F603&lt;='RETRATO 2027'!$K$5,"EM ANDAMENTO","A INICIAR")))</f>
        <v>CONCLUÍDA</v>
      </c>
    </row>
    <row r="604" customFormat="false" ht="15" hidden="false" customHeight="false" outlineLevel="0" collapsed="false">
      <c r="B604" s="4" t="n">
        <v>29981138</v>
      </c>
      <c r="C604" s="4" t="s">
        <v>2413</v>
      </c>
      <c r="D604" s="4" t="s">
        <v>463</v>
      </c>
      <c r="E604" s="4" t="s">
        <v>2820</v>
      </c>
      <c r="F604" s="127" t="n">
        <v>46623</v>
      </c>
      <c r="G604" s="127" t="n">
        <v>46633</v>
      </c>
      <c r="H604" s="127" t="n">
        <v>46289</v>
      </c>
      <c r="I604" s="4" t="n">
        <v>0</v>
      </c>
      <c r="J604" s="4" t="n">
        <v>0</v>
      </c>
      <c r="K604" s="4" t="n">
        <v>0</v>
      </c>
      <c r="M604" s="2" t="str">
        <f aca="false">IF(C604="","",IFERROR(INDEX($S$5:$S$304,MATCH(C604,$R$5:$R$304,0))&amp;"","?"))</f>
        <v>21</v>
      </c>
      <c r="N604" s="2" t="n">
        <f aca="false">IF(E604="","",IF(ISNUMBER(SEARCH("SUBSOLO",E604)),IFERROR(-VALUE(LEFT(E604,FIND("º",SUBSTITUTE(E604,"°","º"))-1)),-1),IF(LEFT(E604,6)="TÉRREO",0,IFERROR(VALUE(LEFT(E604,FIND("º",SUBSTITUTE(E604,"°","º"))-1)),""))))</f>
        <v>18</v>
      </c>
      <c r="O604" s="2" t="str">
        <f aca="false">IF(OR(F604="",G604=""),"",IF(G604&lt;='RETRATO 2027'!$K$5,"CONCLUÍDA",IF(F604&lt;='RETRATO 2027'!$K$5,"EM ANDAMENTO","A INICIAR")))</f>
        <v>CONCLUÍDA</v>
      </c>
    </row>
    <row r="605" customFormat="false" ht="15" hidden="false" customHeight="false" outlineLevel="0" collapsed="false">
      <c r="B605" s="4" t="n">
        <v>30205700</v>
      </c>
      <c r="C605" s="4" t="s">
        <v>2449</v>
      </c>
      <c r="D605" s="4" t="s">
        <v>463</v>
      </c>
      <c r="E605" s="4" t="s">
        <v>2819</v>
      </c>
      <c r="F605" s="127" t="n">
        <v>46625</v>
      </c>
      <c r="G605" s="127" t="n">
        <v>46639</v>
      </c>
      <c r="H605" s="127" t="n">
        <v>46289</v>
      </c>
      <c r="I605" s="4" t="n">
        <v>0</v>
      </c>
      <c r="J605" s="4" t="n">
        <v>0</v>
      </c>
      <c r="K605" s="4" t="n">
        <v>0</v>
      </c>
      <c r="M605" s="2" t="str">
        <f aca="false">IF(C605="","",IFERROR(INDEX($S$5:$S$304,MATCH(C605,$R$5:$R$304,0))&amp;"","?"))</f>
        <v>28</v>
      </c>
      <c r="N605" s="2" t="n">
        <f aca="false">IF(E605="","",IF(ISNUMBER(SEARCH("SUBSOLO",E605)),IFERROR(-VALUE(LEFT(E605,FIND("º",SUBSTITUTE(E605,"°","º"))-1)),-1),IF(LEFT(E605,6)="TÉRREO",0,IFERROR(VALUE(LEFT(E605,FIND("º",SUBSTITUTE(E605,"°","º"))-1)),""))))</f>
        <v>0</v>
      </c>
      <c r="O605" s="2" t="str">
        <f aca="false">IF(OR(F605="",G605=""),"",IF(G605&lt;='RETRATO 2027'!$K$5,"CONCLUÍDA",IF(F605&lt;='RETRATO 2027'!$K$5,"EM ANDAMENTO","A INICIAR")))</f>
        <v>CONCLUÍDA</v>
      </c>
    </row>
    <row r="606" customFormat="false" ht="15" hidden="false" customHeight="false" outlineLevel="0" collapsed="false">
      <c r="B606" s="4" t="n">
        <v>31803885</v>
      </c>
      <c r="C606" s="4" t="s">
        <v>2483</v>
      </c>
      <c r="D606" s="4" t="s">
        <v>463</v>
      </c>
      <c r="E606" s="4" t="s">
        <v>2819</v>
      </c>
      <c r="F606" s="127" t="n">
        <v>46625</v>
      </c>
      <c r="G606" s="127" t="n">
        <v>46673</v>
      </c>
      <c r="H606" s="127" t="n">
        <v>46289</v>
      </c>
      <c r="I606" s="4" t="n">
        <v>0</v>
      </c>
      <c r="J606" s="4" t="n">
        <v>0</v>
      </c>
      <c r="K606" s="4" t="n">
        <v>0</v>
      </c>
      <c r="M606" s="2" t="str">
        <f aca="false">IF(C606="","",IFERROR(INDEX($S$5:$S$304,MATCH(C606,$R$5:$R$304,0))&amp;"","?"))</f>
        <v>32</v>
      </c>
      <c r="N606" s="2" t="n">
        <f aca="false">IF(E606="","",IF(ISNUMBER(SEARCH("SUBSOLO",E606)),IFERROR(-VALUE(LEFT(E606,FIND("º",SUBSTITUTE(E606,"°","º"))-1)),-1),IF(LEFT(E606,6)="TÉRREO",0,IFERROR(VALUE(LEFT(E606,FIND("º",SUBSTITUTE(E606,"°","º"))-1)),""))))</f>
        <v>0</v>
      </c>
      <c r="O606" s="2" t="str">
        <f aca="false">IF(OR(F606="",G606=""),"",IF(G606&lt;='RETRATO 2027'!$K$5,"CONCLUÍDA",IF(F606&lt;='RETRATO 2027'!$K$5,"EM ANDAMENTO","A INICIAR")))</f>
        <v>CONCLUÍDA</v>
      </c>
    </row>
    <row r="607" customFormat="false" ht="15" hidden="false" customHeight="false" outlineLevel="0" collapsed="false">
      <c r="B607" s="4" t="n">
        <v>30205669</v>
      </c>
      <c r="C607" s="4" t="s">
        <v>2437</v>
      </c>
      <c r="D607" s="4" t="s">
        <v>463</v>
      </c>
      <c r="E607" s="4" t="s">
        <v>2821</v>
      </c>
      <c r="F607" s="127" t="n">
        <v>46625</v>
      </c>
      <c r="G607" s="127" t="n">
        <v>46639</v>
      </c>
      <c r="H607" s="127" t="n">
        <v>46289</v>
      </c>
      <c r="I607" s="4" t="n">
        <v>0</v>
      </c>
      <c r="J607" s="4" t="n">
        <v>0</v>
      </c>
      <c r="K607" s="4" t="n">
        <v>0</v>
      </c>
      <c r="M607" s="2" t="str">
        <f aca="false">IF(C607="","",IFERROR(INDEX($S$5:$S$304,MATCH(C607,$R$5:$R$304,0))&amp;"","?"))</f>
        <v>29</v>
      </c>
      <c r="N607" s="2" t="n">
        <f aca="false">IF(E607="","",IF(ISNUMBER(SEARCH("SUBSOLO",E607)),IFERROR(-VALUE(LEFT(E607,FIND("º",SUBSTITUTE(E607,"°","º"))-1)),-1),IF(LEFT(E607,6)="TÉRREO",0,IFERROR(VALUE(LEFT(E607,FIND("º",SUBSTITUTE(E607,"°","º"))-1)),""))))</f>
        <v>0</v>
      </c>
      <c r="O607" s="2" t="str">
        <f aca="false">IF(OR(F607="",G607=""),"",IF(G607&lt;='RETRATO 2027'!$K$5,"CONCLUÍDA",IF(F607&lt;='RETRATO 2027'!$K$5,"EM ANDAMENTO","A INICIAR")))</f>
        <v>CONCLUÍDA</v>
      </c>
    </row>
    <row r="608" customFormat="false" ht="15" hidden="false" customHeight="false" outlineLevel="0" collapsed="false">
      <c r="B608" s="4" t="n">
        <v>30205638</v>
      </c>
      <c r="C608" s="4" t="s">
        <v>2428</v>
      </c>
      <c r="D608" s="4" t="s">
        <v>463</v>
      </c>
      <c r="E608" s="4" t="s">
        <v>2824</v>
      </c>
      <c r="F608" s="127" t="n">
        <v>46625</v>
      </c>
      <c r="G608" s="127" t="n">
        <v>46633</v>
      </c>
      <c r="H608" s="127" t="n">
        <v>46289</v>
      </c>
      <c r="I608" s="4" t="n">
        <v>0</v>
      </c>
      <c r="J608" s="4" t="n">
        <v>0</v>
      </c>
      <c r="K608" s="4" t="n">
        <v>0</v>
      </c>
      <c r="M608" s="2" t="str">
        <f aca="false">IF(C608="","",IFERROR(INDEX($S$5:$S$304,MATCH(C608,$R$5:$R$304,0))&amp;"","?"))</f>
        <v>20</v>
      </c>
      <c r="N608" s="2" t="n">
        <f aca="false">IF(E608="","",IF(ISNUMBER(SEARCH("SUBSOLO",E608)),IFERROR(-VALUE(LEFT(E608,FIND("º",SUBSTITUTE(E608,"°","º"))-1)),-1),IF(LEFT(E608,6)="TÉRREO",0,IFERROR(VALUE(LEFT(E608,FIND("º",SUBSTITUTE(E608,"°","º"))-1)),""))))</f>
        <v>0</v>
      </c>
      <c r="O608" s="2" t="str">
        <f aca="false">IF(OR(F608="",G608=""),"",IF(G608&lt;='RETRATO 2027'!$K$5,"CONCLUÍDA",IF(F608&lt;='RETRATO 2027'!$K$5,"EM ANDAMENTO","A INICIAR")))</f>
        <v>CONCLUÍDA</v>
      </c>
    </row>
    <row r="609" customFormat="false" ht="15" hidden="false" customHeight="false" outlineLevel="0" collapsed="false">
      <c r="B609" s="4" t="n">
        <v>30205639</v>
      </c>
      <c r="C609" s="4" t="s">
        <v>2452</v>
      </c>
      <c r="D609" s="4" t="s">
        <v>463</v>
      </c>
      <c r="E609" s="4" t="s">
        <v>2824</v>
      </c>
      <c r="F609" s="127" t="n">
        <v>46625</v>
      </c>
      <c r="G609" s="127" t="n">
        <v>46639</v>
      </c>
      <c r="H609" s="127" t="n">
        <v>46289</v>
      </c>
      <c r="I609" s="4" t="n">
        <v>0</v>
      </c>
      <c r="J609" s="4" t="n">
        <v>0</v>
      </c>
      <c r="K609" s="4" t="n">
        <v>0</v>
      </c>
      <c r="M609" s="2" t="str">
        <f aca="false">IF(C609="","",IFERROR(INDEX($S$5:$S$304,MATCH(C609,$R$5:$R$304,0))&amp;"","?"))</f>
        <v>21</v>
      </c>
      <c r="N609" s="2" t="n">
        <f aca="false">IF(E609="","",IF(ISNUMBER(SEARCH("SUBSOLO",E609)),IFERROR(-VALUE(LEFT(E609,FIND("º",SUBSTITUTE(E609,"°","º"))-1)),-1),IF(LEFT(E609,6)="TÉRREO",0,IFERROR(VALUE(LEFT(E609,FIND("º",SUBSTITUTE(E609,"°","º"))-1)),""))))</f>
        <v>0</v>
      </c>
      <c r="O609" s="2" t="str">
        <f aca="false">IF(OR(F609="",G609=""),"",IF(G609&lt;='RETRATO 2027'!$K$5,"CONCLUÍDA",IF(F609&lt;='RETRATO 2027'!$K$5,"EM ANDAMENTO","A INICIAR")))</f>
        <v>CONCLUÍDA</v>
      </c>
    </row>
    <row r="610" customFormat="false" ht="15" hidden="false" customHeight="false" outlineLevel="0" collapsed="false">
      <c r="B610" s="4" t="n">
        <v>30205610</v>
      </c>
      <c r="C610" s="4" t="s">
        <v>2422</v>
      </c>
      <c r="D610" s="4" t="s">
        <v>463</v>
      </c>
      <c r="E610" s="4" t="s">
        <v>2826</v>
      </c>
      <c r="F610" s="127" t="n">
        <v>46625</v>
      </c>
      <c r="G610" s="127" t="n">
        <v>46639</v>
      </c>
      <c r="H610" s="127" t="n">
        <v>46289</v>
      </c>
      <c r="I610" s="4" t="n">
        <v>0</v>
      </c>
      <c r="J610" s="4" t="n">
        <v>0</v>
      </c>
      <c r="K610" s="4" t="n">
        <v>0</v>
      </c>
      <c r="M610" s="2" t="str">
        <f aca="false">IF(C610="","",IFERROR(INDEX($S$5:$S$304,MATCH(C610,$R$5:$R$304,0))&amp;"","?"))</f>
        <v>29</v>
      </c>
      <c r="N610" s="2" t="n">
        <f aca="false">IF(E610="","",IF(ISNUMBER(SEARCH("SUBSOLO",E610)),IFERROR(-VALUE(LEFT(E610,FIND("º",SUBSTITUTE(E610,"°","º"))-1)),-1),IF(LEFT(E610,6)="TÉRREO",0,IFERROR(VALUE(LEFT(E610,FIND("º",SUBSTITUTE(E610,"°","º"))-1)),""))))</f>
        <v>0</v>
      </c>
      <c r="O610" s="2" t="str">
        <f aca="false">IF(OR(F610="",G610=""),"",IF(G610&lt;='RETRATO 2027'!$K$5,"CONCLUÍDA",IF(F610&lt;='RETRATO 2027'!$K$5,"EM ANDAMENTO","A INICIAR")))</f>
        <v>CONCLUÍDA</v>
      </c>
    </row>
    <row r="611" customFormat="false" ht="15" hidden="false" customHeight="false" outlineLevel="0" collapsed="false">
      <c r="B611" s="4" t="n">
        <v>30205577</v>
      </c>
      <c r="C611" s="4" t="s">
        <v>2413</v>
      </c>
      <c r="D611" s="4" t="s">
        <v>463</v>
      </c>
      <c r="E611" s="4" t="s">
        <v>2828</v>
      </c>
      <c r="F611" s="127" t="n">
        <v>46625</v>
      </c>
      <c r="G611" s="127" t="n">
        <v>46639</v>
      </c>
      <c r="H611" s="127" t="n">
        <v>46289</v>
      </c>
      <c r="I611" s="4" t="n">
        <v>0</v>
      </c>
      <c r="J611" s="4" t="n">
        <v>0</v>
      </c>
      <c r="K611" s="4" t="n">
        <v>0</v>
      </c>
      <c r="M611" s="2" t="str">
        <f aca="false">IF(C611="","",IFERROR(INDEX($S$5:$S$304,MATCH(C611,$R$5:$R$304,0))&amp;"","?"))</f>
        <v>21</v>
      </c>
      <c r="N611" s="2" t="n">
        <f aca="false">IF(E611="","",IF(ISNUMBER(SEARCH("SUBSOLO",E611)),IFERROR(-VALUE(LEFT(E611,FIND("º",SUBSTITUTE(E611,"°","º"))-1)),-1),IF(LEFT(E611,6)="TÉRREO",0,IFERROR(VALUE(LEFT(E611,FIND("º",SUBSTITUTE(E611,"°","º"))-1)),""))))</f>
        <v>0</v>
      </c>
      <c r="O611" s="2" t="str">
        <f aca="false">IF(OR(F611="",G611=""),"",IF(G611&lt;='RETRATO 2027'!$K$5,"CONCLUÍDA",IF(F611&lt;='RETRATO 2027'!$K$5,"EM ANDAMENTO","A INICIAR")))</f>
        <v>CONCLUÍDA</v>
      </c>
    </row>
    <row r="612" customFormat="false" ht="15" hidden="false" customHeight="false" outlineLevel="0" collapsed="false">
      <c r="B612" s="4" t="n">
        <v>30205576</v>
      </c>
      <c r="C612" s="4" t="s">
        <v>2410</v>
      </c>
      <c r="D612" s="4" t="s">
        <v>463</v>
      </c>
      <c r="E612" s="4" t="s">
        <v>2828</v>
      </c>
      <c r="F612" s="127" t="n">
        <v>46625</v>
      </c>
      <c r="G612" s="127" t="n">
        <v>46639</v>
      </c>
      <c r="H612" s="127" t="n">
        <v>46289</v>
      </c>
      <c r="I612" s="4" t="n">
        <v>0</v>
      </c>
      <c r="J612" s="4" t="n">
        <v>0</v>
      </c>
      <c r="K612" s="4" t="n">
        <v>0</v>
      </c>
      <c r="M612" s="2" t="str">
        <f aca="false">IF(C612="","",IFERROR(INDEX($S$5:$S$304,MATCH(C612,$R$5:$R$304,0))&amp;"","?"))</f>
        <v>22</v>
      </c>
      <c r="N612" s="2" t="n">
        <f aca="false">IF(E612="","",IF(ISNUMBER(SEARCH("SUBSOLO",E612)),IFERROR(-VALUE(LEFT(E612,FIND("º",SUBSTITUTE(E612,"°","º"))-1)),-1),IF(LEFT(E612,6)="TÉRREO",0,IFERROR(VALUE(LEFT(E612,FIND("º",SUBSTITUTE(E612,"°","º"))-1)),""))))</f>
        <v>0</v>
      </c>
      <c r="O612" s="2" t="str">
        <f aca="false">IF(OR(F612="",G612=""),"",IF(G612&lt;='RETRATO 2027'!$K$5,"CONCLUÍDA",IF(F612&lt;='RETRATO 2027'!$K$5,"EM ANDAMENTO","A INICIAR")))</f>
        <v>CONCLUÍDA</v>
      </c>
    </row>
    <row r="613" customFormat="false" ht="15" hidden="false" customHeight="false" outlineLevel="0" collapsed="false">
      <c r="B613" s="4" t="n">
        <v>30205578</v>
      </c>
      <c r="C613" s="4" t="s">
        <v>2416</v>
      </c>
      <c r="D613" s="4" t="s">
        <v>463</v>
      </c>
      <c r="E613" s="4" t="s">
        <v>2828</v>
      </c>
      <c r="F613" s="127" t="n">
        <v>46625</v>
      </c>
      <c r="G613" s="127" t="n">
        <v>46639</v>
      </c>
      <c r="H613" s="127" t="n">
        <v>46289</v>
      </c>
      <c r="I613" s="4" t="n">
        <v>0</v>
      </c>
      <c r="J613" s="4" t="n">
        <v>0</v>
      </c>
      <c r="K613" s="4" t="n">
        <v>0</v>
      </c>
      <c r="M613" s="2" t="str">
        <f aca="false">IF(C613="","",IFERROR(INDEX($S$5:$S$304,MATCH(C613,$R$5:$R$304,0))&amp;"","?"))</f>
        <v>18</v>
      </c>
      <c r="N613" s="2" t="n">
        <f aca="false">IF(E613="","",IF(ISNUMBER(SEARCH("SUBSOLO",E613)),IFERROR(-VALUE(LEFT(E613,FIND("º",SUBSTITUTE(E613,"°","º"))-1)),-1),IF(LEFT(E613,6)="TÉRREO",0,IFERROR(VALUE(LEFT(E613,FIND("º",SUBSTITUTE(E613,"°","º"))-1)),""))))</f>
        <v>0</v>
      </c>
      <c r="O613" s="2" t="str">
        <f aca="false">IF(OR(F613="",G613=""),"",IF(G613&lt;='RETRATO 2027'!$K$5,"CONCLUÍDA",IF(F613&lt;='RETRATO 2027'!$K$5,"EM ANDAMENTO","A INICIAR")))</f>
        <v>CONCLUÍDA</v>
      </c>
    </row>
    <row r="614" customFormat="false" ht="15" hidden="false" customHeight="false" outlineLevel="0" collapsed="false">
      <c r="B614" s="4" t="n">
        <v>30205548</v>
      </c>
      <c r="C614" s="4" t="s">
        <v>168</v>
      </c>
      <c r="D614" s="4" t="s">
        <v>463</v>
      </c>
      <c r="E614" s="4" t="s">
        <v>2830</v>
      </c>
      <c r="F614" s="127" t="n">
        <v>46625</v>
      </c>
      <c r="G614" s="127" t="n">
        <v>46639</v>
      </c>
      <c r="H614" s="127" t="n">
        <v>46289</v>
      </c>
      <c r="I614" s="4" t="n">
        <v>0</v>
      </c>
      <c r="J614" s="4" t="n">
        <v>0</v>
      </c>
      <c r="K614" s="4" t="n">
        <v>0</v>
      </c>
      <c r="M614" s="2" t="str">
        <f aca="false">IF(C614="","",IFERROR(INDEX($S$5:$S$304,MATCH(C614,$R$5:$R$304,0))&amp;"","?"))</f>
        <v>18</v>
      </c>
      <c r="N614" s="2" t="n">
        <f aca="false">IF(E614="","",IF(ISNUMBER(SEARCH("SUBSOLO",E614)),IFERROR(-VALUE(LEFT(E614,FIND("º",SUBSTITUTE(E614,"°","º"))-1)),-1),IF(LEFT(E614,6)="TÉRREO",0,IFERROR(VALUE(LEFT(E614,FIND("º",SUBSTITUTE(E614,"°","º"))-1)),""))))</f>
        <v>0</v>
      </c>
      <c r="O614" s="2" t="str">
        <f aca="false">IF(OR(F614="",G614=""),"",IF(G614&lt;='RETRATO 2027'!$K$5,"CONCLUÍDA",IF(F614&lt;='RETRATO 2027'!$K$5,"EM ANDAMENTO","A INICIAR")))</f>
        <v>CONCLUÍDA</v>
      </c>
    </row>
    <row r="615" customFormat="false" ht="15" hidden="false" customHeight="false" outlineLevel="0" collapsed="false">
      <c r="B615" s="4" t="n">
        <v>29981137</v>
      </c>
      <c r="C615" s="4" t="s">
        <v>2416</v>
      </c>
      <c r="D615" s="4" t="s">
        <v>463</v>
      </c>
      <c r="E615" s="4" t="s">
        <v>2820</v>
      </c>
      <c r="F615" s="127" t="n">
        <v>46625</v>
      </c>
      <c r="G615" s="127" t="n">
        <v>46638</v>
      </c>
      <c r="H615" s="127" t="n">
        <v>46289</v>
      </c>
      <c r="I615" s="4" t="n">
        <v>0</v>
      </c>
      <c r="J615" s="4" t="n">
        <v>0</v>
      </c>
      <c r="K615" s="4" t="n">
        <v>0</v>
      </c>
      <c r="M615" s="2" t="str">
        <f aca="false">IF(C615="","",IFERROR(INDEX($S$5:$S$304,MATCH(C615,$R$5:$R$304,0))&amp;"","?"))</f>
        <v>18</v>
      </c>
      <c r="N615" s="2" t="n">
        <f aca="false">IF(E615="","",IF(ISNUMBER(SEARCH("SUBSOLO",E615)),IFERROR(-VALUE(LEFT(E615,FIND("º",SUBSTITUTE(E615,"°","º"))-1)),-1),IF(LEFT(E615,6)="TÉRREO",0,IFERROR(VALUE(LEFT(E615,FIND("º",SUBSTITUTE(E615,"°","º"))-1)),""))))</f>
        <v>18</v>
      </c>
      <c r="O615" s="2" t="str">
        <f aca="false">IF(OR(F615="",G615=""),"",IF(G615&lt;='RETRATO 2027'!$K$5,"CONCLUÍDA",IF(F615&lt;='RETRATO 2027'!$K$5,"EM ANDAMENTO","A INICIAR")))</f>
        <v>CONCLUÍDA</v>
      </c>
    </row>
    <row r="616" customFormat="false" ht="15" hidden="false" customHeight="false" outlineLevel="0" collapsed="false">
      <c r="B616" s="4" t="n">
        <v>30171463</v>
      </c>
      <c r="C616" s="4" t="s">
        <v>2428</v>
      </c>
      <c r="D616" s="4" t="s">
        <v>463</v>
      </c>
      <c r="E616" s="4" t="s">
        <v>2790</v>
      </c>
      <c r="F616" s="127" t="n">
        <v>46626</v>
      </c>
      <c r="G616" s="127" t="n">
        <v>46668</v>
      </c>
      <c r="H616" s="127" t="n">
        <v>46289</v>
      </c>
      <c r="I616" s="4" t="n">
        <v>0</v>
      </c>
      <c r="J616" s="4" t="n">
        <v>0</v>
      </c>
      <c r="K616" s="4" t="n">
        <v>0</v>
      </c>
      <c r="M616" s="2" t="str">
        <f aca="false">IF(C616="","",IFERROR(INDEX($S$5:$S$304,MATCH(C616,$R$5:$R$304,0))&amp;"","?"))</f>
        <v>20</v>
      </c>
      <c r="N616" s="2" t="n">
        <f aca="false">IF(E616="","",IF(ISNUMBER(SEARCH("SUBSOLO",E616)),IFERROR(-VALUE(LEFT(E616,FIND("º",SUBSTITUTE(E616,"°","º"))-1)),-1),IF(LEFT(E616,6)="TÉRREO",0,IFERROR(VALUE(LEFT(E616,FIND("º",SUBSTITUTE(E616,"°","º"))-1)),""))))</f>
        <v>3</v>
      </c>
      <c r="O616" s="2" t="str">
        <f aca="false">IF(OR(F616="",G616=""),"",IF(G616&lt;='RETRATO 2027'!$K$5,"CONCLUÍDA",IF(F616&lt;='RETRATO 2027'!$K$5,"EM ANDAMENTO","A INICIAR")))</f>
        <v>CONCLUÍDA</v>
      </c>
    </row>
    <row r="617" customFormat="false" ht="15" hidden="false" customHeight="false" outlineLevel="0" collapsed="false">
      <c r="B617" s="4" t="n">
        <v>30171448</v>
      </c>
      <c r="C617" s="4" t="s">
        <v>2452</v>
      </c>
      <c r="D617" s="4" t="s">
        <v>463</v>
      </c>
      <c r="E617" s="4" t="s">
        <v>2790</v>
      </c>
      <c r="F617" s="127" t="n">
        <v>46626</v>
      </c>
      <c r="G617" s="127" t="n">
        <v>46668</v>
      </c>
      <c r="H617" s="127" t="n">
        <v>46289</v>
      </c>
      <c r="I617" s="4" t="n">
        <v>0</v>
      </c>
      <c r="J617" s="4" t="n">
        <v>0</v>
      </c>
      <c r="K617" s="4" t="n">
        <v>0</v>
      </c>
      <c r="M617" s="2" t="str">
        <f aca="false">IF(C617="","",IFERROR(INDEX($S$5:$S$304,MATCH(C617,$R$5:$R$304,0))&amp;"","?"))</f>
        <v>21</v>
      </c>
      <c r="N617" s="2" t="n">
        <f aca="false">IF(E617="","",IF(ISNUMBER(SEARCH("SUBSOLO",E617)),IFERROR(-VALUE(LEFT(E617,FIND("º",SUBSTITUTE(E617,"°","º"))-1)),-1),IF(LEFT(E617,6)="TÉRREO",0,IFERROR(VALUE(LEFT(E617,FIND("º",SUBSTITUTE(E617,"°","º"))-1)),""))))</f>
        <v>3</v>
      </c>
      <c r="O617" s="2" t="str">
        <f aca="false">IF(OR(F617="",G617=""),"",IF(G617&lt;='RETRATO 2027'!$K$5,"CONCLUÍDA",IF(F617&lt;='RETRATO 2027'!$K$5,"EM ANDAMENTO","A INICIAR")))</f>
        <v>CONCLUÍDA</v>
      </c>
    </row>
    <row r="618" customFormat="false" ht="15" hidden="false" customHeight="false" outlineLevel="0" collapsed="false">
      <c r="B618" s="4" t="n">
        <v>29940964</v>
      </c>
      <c r="C618" s="4" t="s">
        <v>2341</v>
      </c>
      <c r="D618" s="4" t="s">
        <v>463</v>
      </c>
      <c r="E618" s="4" t="s">
        <v>2831</v>
      </c>
      <c r="F618" s="127" t="n">
        <v>46626</v>
      </c>
      <c r="G618" s="127" t="n">
        <v>46639</v>
      </c>
      <c r="H618" s="127" t="n">
        <v>46289</v>
      </c>
      <c r="I618" s="4" t="n">
        <v>0</v>
      </c>
      <c r="J618" s="4" t="n">
        <v>0</v>
      </c>
      <c r="K618" s="4" t="n">
        <v>0</v>
      </c>
      <c r="M618" s="2" t="str">
        <f aca="false">IF(C618="","",IFERROR(INDEX($S$5:$S$304,MATCH(C618,$R$5:$R$304,0))&amp;"","?"))</f>
        <v>17</v>
      </c>
      <c r="N618" s="2" t="n">
        <f aca="false">IF(E618="","",IF(ISNUMBER(SEARCH("SUBSOLO",E618)),IFERROR(-VALUE(LEFT(E618,FIND("º",SUBSTITUTE(E618,"°","º"))-1)),-1),IF(LEFT(E618,6)="TÉRREO",0,IFERROR(VALUE(LEFT(E618,FIND("º",SUBSTITUTE(E618,"°","º"))-1)),""))))</f>
        <v>24</v>
      </c>
      <c r="O618" s="2" t="str">
        <f aca="false">IF(OR(F618="",G618=""),"",IF(G618&lt;='RETRATO 2027'!$K$5,"CONCLUÍDA",IF(F618&lt;='RETRATO 2027'!$K$5,"EM ANDAMENTO","A INICIAR")))</f>
        <v>CONCLUÍDA</v>
      </c>
    </row>
    <row r="619" customFormat="false" ht="15" hidden="false" customHeight="false" outlineLevel="0" collapsed="false">
      <c r="B619" s="4" t="n">
        <v>31529044</v>
      </c>
      <c r="C619" s="4" t="s">
        <v>2341</v>
      </c>
      <c r="D619" s="4" t="s">
        <v>2312</v>
      </c>
      <c r="E619" s="4" t="s">
        <v>2831</v>
      </c>
      <c r="F619" s="127" t="n">
        <v>46626</v>
      </c>
      <c r="G619" s="127" t="n">
        <v>46632</v>
      </c>
      <c r="H619" s="127" t="n">
        <v>46289</v>
      </c>
      <c r="I619" s="4" t="n">
        <v>0</v>
      </c>
      <c r="J619" s="4" t="n">
        <v>0</v>
      </c>
      <c r="K619" s="4" t="n">
        <v>0</v>
      </c>
      <c r="M619" s="2" t="str">
        <f aca="false">IF(C619="","",IFERROR(INDEX($S$5:$S$304,MATCH(C619,$R$5:$R$304,0))&amp;"","?"))</f>
        <v>17</v>
      </c>
      <c r="N619" s="2" t="n">
        <f aca="false">IF(E619="","",IF(ISNUMBER(SEARCH("SUBSOLO",E619)),IFERROR(-VALUE(LEFT(E619,FIND("º",SUBSTITUTE(E619,"°","º"))-1)),-1),IF(LEFT(E619,6)="TÉRREO",0,IFERROR(VALUE(LEFT(E619,FIND("º",SUBSTITUTE(E619,"°","º"))-1)),""))))</f>
        <v>24</v>
      </c>
      <c r="O619" s="2" t="str">
        <f aca="false">IF(OR(F619="",G619=""),"",IF(G619&lt;='RETRATO 2027'!$K$5,"CONCLUÍDA",IF(F619&lt;='RETRATO 2027'!$K$5,"EM ANDAMENTO","A INICIAR")))</f>
        <v>CONCLUÍDA</v>
      </c>
    </row>
    <row r="620" customFormat="false" ht="15" hidden="false" customHeight="false" outlineLevel="0" collapsed="false">
      <c r="B620" s="4" t="n">
        <v>31529045</v>
      </c>
      <c r="C620" s="4" t="s">
        <v>2341</v>
      </c>
      <c r="D620" s="4" t="s">
        <v>2309</v>
      </c>
      <c r="E620" s="4" t="s">
        <v>2831</v>
      </c>
      <c r="F620" s="127" t="n">
        <v>46633</v>
      </c>
      <c r="G620" s="127" t="n">
        <v>46638</v>
      </c>
      <c r="H620" s="127" t="n">
        <v>46289</v>
      </c>
      <c r="I620" s="4" t="n">
        <v>0</v>
      </c>
      <c r="J620" s="4" t="n">
        <v>0</v>
      </c>
      <c r="K620" s="4" t="n">
        <v>0</v>
      </c>
      <c r="M620" s="2" t="str">
        <f aca="false">IF(C620="","",IFERROR(INDEX($S$5:$S$304,MATCH(C620,$R$5:$R$304,0))&amp;"","?"))</f>
        <v>17</v>
      </c>
      <c r="N620" s="2" t="n">
        <f aca="false">IF(E620="","",IF(ISNUMBER(SEARCH("SUBSOLO",E620)),IFERROR(-VALUE(LEFT(E620,FIND("º",SUBSTITUTE(E620,"°","º"))-1)),-1),IF(LEFT(E620,6)="TÉRREO",0,IFERROR(VALUE(LEFT(E620,FIND("º",SUBSTITUTE(E620,"°","º"))-1)),""))))</f>
        <v>24</v>
      </c>
      <c r="O620" s="2" t="str">
        <f aca="false">IF(OR(F620="",G620=""),"",IF(G620&lt;='RETRATO 2027'!$K$5,"CONCLUÍDA",IF(F620&lt;='RETRATO 2027'!$K$5,"EM ANDAMENTO","A INICIAR")))</f>
        <v>CONCLUÍDA</v>
      </c>
    </row>
    <row r="621" customFormat="false" ht="15" hidden="false" customHeight="false" outlineLevel="0" collapsed="false">
      <c r="B621" s="4" t="n">
        <v>31529046</v>
      </c>
      <c r="C621" s="4" t="s">
        <v>2341</v>
      </c>
      <c r="D621" s="4" t="s">
        <v>2314</v>
      </c>
      <c r="E621" s="4" t="s">
        <v>2831</v>
      </c>
      <c r="F621" s="127" t="n">
        <v>46639</v>
      </c>
      <c r="G621" s="127" t="n">
        <v>46639</v>
      </c>
      <c r="H621" s="127" t="n">
        <v>46289</v>
      </c>
      <c r="I621" s="4" t="n">
        <v>0</v>
      </c>
      <c r="J621" s="4" t="n">
        <v>0</v>
      </c>
      <c r="K621" s="4" t="n">
        <v>0</v>
      </c>
      <c r="M621" s="2" t="str">
        <f aca="false">IF(C621="","",IFERROR(INDEX($S$5:$S$304,MATCH(C621,$R$5:$R$304,0))&amp;"","?"))</f>
        <v>17</v>
      </c>
      <c r="N621" s="2" t="n">
        <f aca="false">IF(E621="","",IF(ISNUMBER(SEARCH("SUBSOLO",E621)),IFERROR(-VALUE(LEFT(E621,FIND("º",SUBSTITUTE(E621,"°","º"))-1)),-1),IF(LEFT(E621,6)="TÉRREO",0,IFERROR(VALUE(LEFT(E621,FIND("º",SUBSTITUTE(E621,"°","º"))-1)),""))))</f>
        <v>24</v>
      </c>
      <c r="O621" s="2" t="str">
        <f aca="false">IF(OR(F621="",G621=""),"",IF(G621&lt;='RETRATO 2027'!$K$5,"CONCLUÍDA",IF(F621&lt;='RETRATO 2027'!$K$5,"EM ANDAMENTO","A INICIAR")))</f>
        <v>CONCLUÍDA</v>
      </c>
    </row>
    <row r="622" customFormat="false" ht="15" hidden="false" customHeight="false" outlineLevel="0" collapsed="false">
      <c r="B622" s="4" t="n">
        <v>31529047</v>
      </c>
      <c r="C622" s="4" t="s">
        <v>2341</v>
      </c>
      <c r="D622" s="4" t="s">
        <v>2758</v>
      </c>
      <c r="E622" s="4" t="s">
        <v>2831</v>
      </c>
      <c r="F622" s="127" t="n">
        <v>46639</v>
      </c>
      <c r="G622" s="127" t="n">
        <v>46639</v>
      </c>
      <c r="H622" s="127" t="n">
        <v>46289</v>
      </c>
      <c r="I622" s="4" t="n">
        <v>0</v>
      </c>
      <c r="J622" s="4" t="n">
        <v>0</v>
      </c>
      <c r="K622" s="4" t="n">
        <v>0</v>
      </c>
      <c r="M622" s="2" t="str">
        <f aca="false">IF(C622="","",IFERROR(INDEX($S$5:$S$304,MATCH(C622,$R$5:$R$304,0))&amp;"","?"))</f>
        <v>17</v>
      </c>
      <c r="N622" s="2" t="n">
        <f aca="false">IF(E622="","",IF(ISNUMBER(SEARCH("SUBSOLO",E622)),IFERROR(-VALUE(LEFT(E622,FIND("º",SUBSTITUTE(E622,"°","º"))-1)),-1),IF(LEFT(E622,6)="TÉRREO",0,IFERROR(VALUE(LEFT(E622,FIND("º",SUBSTITUTE(E622,"°","º"))-1)),""))))</f>
        <v>24</v>
      </c>
      <c r="O622" s="2" t="str">
        <f aca="false">IF(OR(F622="",G622=""),"",IF(G622&lt;='RETRATO 2027'!$K$5,"CONCLUÍDA",IF(F622&lt;='RETRATO 2027'!$K$5,"EM ANDAMENTO","A INICIAR")))</f>
        <v>CONCLUÍDA</v>
      </c>
    </row>
    <row r="623" customFormat="false" ht="15" hidden="false" customHeight="false" outlineLevel="0" collapsed="false">
      <c r="B623" s="4" t="n">
        <v>29981074</v>
      </c>
      <c r="C623" s="4" t="s">
        <v>2410</v>
      </c>
      <c r="D623" s="4" t="s">
        <v>463</v>
      </c>
      <c r="E623" s="4" t="s">
        <v>2823</v>
      </c>
      <c r="F623" s="127" t="n">
        <v>46630</v>
      </c>
      <c r="G623" s="127" t="n">
        <v>46643</v>
      </c>
      <c r="H623" s="127" t="n">
        <v>46289</v>
      </c>
      <c r="I623" s="4" t="n">
        <v>0</v>
      </c>
      <c r="J623" s="4" t="n">
        <v>0</v>
      </c>
      <c r="K623" s="4" t="n">
        <v>0</v>
      </c>
      <c r="M623" s="2" t="str">
        <f aca="false">IF(C623="","",IFERROR(INDEX($S$5:$S$304,MATCH(C623,$R$5:$R$304,0))&amp;"","?"))</f>
        <v>22</v>
      </c>
      <c r="N623" s="2" t="n">
        <f aca="false">IF(E623="","",IF(ISNUMBER(SEARCH("SUBSOLO",E623)),IFERROR(-VALUE(LEFT(E623,FIND("º",SUBSTITUTE(E623,"°","º"))-1)),-1),IF(LEFT(E623,6)="TÉRREO",0,IFERROR(VALUE(LEFT(E623,FIND("º",SUBSTITUTE(E623,"°","º"))-1)),""))))</f>
        <v>20</v>
      </c>
      <c r="O623" s="2" t="str">
        <f aca="false">IF(OR(F623="",G623=""),"",IF(G623&lt;='RETRATO 2027'!$K$5,"CONCLUÍDA",IF(F623&lt;='RETRATO 2027'!$K$5,"EM ANDAMENTO","A INICIAR")))</f>
        <v>CONCLUÍDA</v>
      </c>
    </row>
    <row r="624" customFormat="false" ht="15" hidden="false" customHeight="false" outlineLevel="0" collapsed="false">
      <c r="B624" s="4" t="n">
        <v>29981025</v>
      </c>
      <c r="C624" s="4" t="s">
        <v>168</v>
      </c>
      <c r="D624" s="4" t="s">
        <v>463</v>
      </c>
      <c r="E624" s="4" t="s">
        <v>2825</v>
      </c>
      <c r="F624" s="127" t="n">
        <v>46630</v>
      </c>
      <c r="G624" s="127" t="n">
        <v>46643</v>
      </c>
      <c r="H624" s="127" t="n">
        <v>46289</v>
      </c>
      <c r="I624" s="4" t="n">
        <v>0</v>
      </c>
      <c r="J624" s="4" t="n">
        <v>0</v>
      </c>
      <c r="K624" s="4" t="n">
        <v>0</v>
      </c>
      <c r="M624" s="2" t="str">
        <f aca="false">IF(C624="","",IFERROR(INDEX($S$5:$S$304,MATCH(C624,$R$5:$R$304,0))&amp;"","?"))</f>
        <v>18</v>
      </c>
      <c r="N624" s="2" t="n">
        <f aca="false">IF(E624="","",IF(ISNUMBER(SEARCH("SUBSOLO",E624)),IFERROR(-VALUE(LEFT(E624,FIND("º",SUBSTITUTE(E624,"°","º"))-1)),-1),IF(LEFT(E624,6)="TÉRREO",0,IFERROR(VALUE(LEFT(E624,FIND("º",SUBSTITUTE(E624,"°","º"))-1)),""))))</f>
        <v>21</v>
      </c>
      <c r="O624" s="2" t="str">
        <f aca="false">IF(OR(F624="",G624=""),"",IF(G624&lt;='RETRATO 2027'!$K$5,"CONCLUÍDA",IF(F624&lt;='RETRATO 2027'!$K$5,"EM ANDAMENTO","A INICIAR")))</f>
        <v>CONCLUÍDA</v>
      </c>
    </row>
    <row r="625" customFormat="false" ht="15" hidden="false" customHeight="false" outlineLevel="0" collapsed="false">
      <c r="B625" s="4" t="n">
        <v>30205722</v>
      </c>
      <c r="C625" s="4" t="s">
        <v>2437</v>
      </c>
      <c r="D625" s="4" t="s">
        <v>463</v>
      </c>
      <c r="E625" s="4" t="s">
        <v>2740</v>
      </c>
      <c r="F625" s="127" t="n">
        <v>46631</v>
      </c>
      <c r="G625" s="127" t="n">
        <v>46661</v>
      </c>
      <c r="H625" s="127" t="n">
        <v>46289</v>
      </c>
      <c r="I625" s="4" t="n">
        <v>0</v>
      </c>
      <c r="J625" s="4" t="n">
        <v>0</v>
      </c>
      <c r="K625" s="4" t="n">
        <v>0</v>
      </c>
      <c r="M625" s="2" t="str">
        <f aca="false">IF(C625="","",IFERROR(INDEX($S$5:$S$304,MATCH(C625,$R$5:$R$304,0))&amp;"","?"))</f>
        <v>29</v>
      </c>
      <c r="N625" s="2" t="n">
        <f aca="false">IF(E625="","",IF(ISNUMBER(SEARCH("SUBSOLO",E625)),IFERROR(-VALUE(LEFT(E625,FIND("º",SUBSTITUTE(E625,"°","º"))-1)),-1),IF(LEFT(E625,6)="TÉRREO",0,IFERROR(VALUE(LEFT(E625,FIND("º",SUBSTITUTE(E625,"°","º"))-1)),""))))</f>
        <v>-1</v>
      </c>
      <c r="O625" s="2" t="str">
        <f aca="false">IF(OR(F625="",G625=""),"",IF(G625&lt;='RETRATO 2027'!$K$5,"CONCLUÍDA",IF(F625&lt;='RETRATO 2027'!$K$5,"EM ANDAMENTO","A INICIAR")))</f>
        <v>CONCLUÍDA</v>
      </c>
    </row>
    <row r="626" customFormat="false" ht="15" hidden="false" customHeight="false" outlineLevel="0" collapsed="false">
      <c r="B626" s="4" t="n">
        <v>29981532</v>
      </c>
      <c r="C626" s="4" t="s">
        <v>2486</v>
      </c>
      <c r="D626" s="4" t="s">
        <v>463</v>
      </c>
      <c r="E626" s="4" t="s">
        <v>2803</v>
      </c>
      <c r="F626" s="127" t="n">
        <v>46636</v>
      </c>
      <c r="G626" s="127" t="n">
        <v>46647</v>
      </c>
      <c r="H626" s="127" t="n">
        <v>46289</v>
      </c>
      <c r="I626" s="4" t="n">
        <v>0</v>
      </c>
      <c r="J626" s="4" t="n">
        <v>0</v>
      </c>
      <c r="K626" s="4" t="n">
        <v>0</v>
      </c>
      <c r="M626" s="2" t="str">
        <f aca="false">IF(C626="","",IFERROR(INDEX($S$5:$S$304,MATCH(C626,$R$5:$R$304,0))&amp;"","?"))</f>
        <v>30</v>
      </c>
      <c r="N626" s="2" t="n">
        <f aca="false">IF(E626="","",IF(ISNUMBER(SEARCH("SUBSOLO",E626)),IFERROR(-VALUE(LEFT(E626,FIND("º",SUBSTITUTE(E626,"°","º"))-1)),-1),IF(LEFT(E626,6)="TÉRREO",0,IFERROR(VALUE(LEFT(E626,FIND("º",SUBSTITUTE(E626,"°","º"))-1)),""))))</f>
        <v>7</v>
      </c>
      <c r="O626" s="2" t="str">
        <f aca="false">IF(OR(F626="",G626=""),"",IF(G626&lt;='RETRATO 2027'!$K$5,"CONCLUÍDA",IF(F626&lt;='RETRATO 2027'!$K$5,"EM ANDAMENTO","A INICIAR")))</f>
        <v>CONCLUÍDA</v>
      </c>
    </row>
    <row r="627" customFormat="false" ht="15" hidden="false" customHeight="false" outlineLevel="0" collapsed="false">
      <c r="B627" s="4" t="n">
        <v>29981511</v>
      </c>
      <c r="C627" s="4" t="s">
        <v>2480</v>
      </c>
      <c r="D627" s="4" t="s">
        <v>463</v>
      </c>
      <c r="E627" s="4" t="s">
        <v>2804</v>
      </c>
      <c r="F627" s="127" t="n">
        <v>46636</v>
      </c>
      <c r="G627" s="127" t="n">
        <v>46647</v>
      </c>
      <c r="H627" s="127" t="n">
        <v>46289</v>
      </c>
      <c r="I627" s="4" t="n">
        <v>0</v>
      </c>
      <c r="J627" s="4" t="n">
        <v>0</v>
      </c>
      <c r="K627" s="4" t="n">
        <v>0</v>
      </c>
      <c r="M627" s="2" t="str">
        <f aca="false">IF(C627="","",IFERROR(INDEX($S$5:$S$304,MATCH(C627,$R$5:$R$304,0))&amp;"","?"))</f>
        <v>30</v>
      </c>
      <c r="N627" s="2" t="n">
        <f aca="false">IF(E627="","",IF(ISNUMBER(SEARCH("SUBSOLO",E627)),IFERROR(-VALUE(LEFT(E627,FIND("º",SUBSTITUTE(E627,"°","º"))-1)),-1),IF(LEFT(E627,6)="TÉRREO",0,IFERROR(VALUE(LEFT(E627,FIND("º",SUBSTITUTE(E627,"°","º"))-1)),""))))</f>
        <v>8</v>
      </c>
      <c r="O627" s="2" t="str">
        <f aca="false">IF(OR(F627="",G627=""),"",IF(G627&lt;='RETRATO 2027'!$K$5,"CONCLUÍDA",IF(F627&lt;='RETRATO 2027'!$K$5,"EM ANDAMENTO","A INICIAR")))</f>
        <v>CONCLUÍDA</v>
      </c>
    </row>
    <row r="628" customFormat="false" ht="15" hidden="false" customHeight="false" outlineLevel="0" collapsed="false">
      <c r="B628" s="4" t="n">
        <v>29981472</v>
      </c>
      <c r="C628" s="4" t="s">
        <v>171</v>
      </c>
      <c r="D628" s="4" t="s">
        <v>463</v>
      </c>
      <c r="E628" s="4" t="s">
        <v>2805</v>
      </c>
      <c r="F628" s="127" t="n">
        <v>46636</v>
      </c>
      <c r="G628" s="127" t="n">
        <v>46647</v>
      </c>
      <c r="H628" s="127" t="n">
        <v>46289</v>
      </c>
      <c r="I628" s="4" t="n">
        <v>0</v>
      </c>
      <c r="J628" s="4" t="n">
        <v>0</v>
      </c>
      <c r="K628" s="4" t="n">
        <v>0</v>
      </c>
      <c r="M628" s="2" t="str">
        <f aca="false">IF(C628="","",IFERROR(INDEX($S$5:$S$304,MATCH(C628,$R$5:$R$304,0))&amp;"","?"))</f>
        <v>19</v>
      </c>
      <c r="N628" s="2" t="n">
        <f aca="false">IF(E628="","",IF(ISNUMBER(SEARCH("SUBSOLO",E628)),IFERROR(-VALUE(LEFT(E628,FIND("º",SUBSTITUTE(E628,"°","º"))-1)),-1),IF(LEFT(E628,6)="TÉRREO",0,IFERROR(VALUE(LEFT(E628,FIND("º",SUBSTITUTE(E628,"°","º"))-1)),""))))</f>
        <v>9</v>
      </c>
      <c r="O628" s="2" t="str">
        <f aca="false">IF(OR(F628="",G628=""),"",IF(G628&lt;='RETRATO 2027'!$K$5,"CONCLUÍDA",IF(F628&lt;='RETRATO 2027'!$K$5,"EM ANDAMENTO","A INICIAR")))</f>
        <v>CONCLUÍDA</v>
      </c>
    </row>
    <row r="629" customFormat="false" ht="15" hidden="false" customHeight="false" outlineLevel="0" collapsed="false">
      <c r="B629" s="4" t="n">
        <v>32750436</v>
      </c>
      <c r="C629" s="4" t="s">
        <v>2470</v>
      </c>
      <c r="D629" s="4" t="s">
        <v>463</v>
      </c>
      <c r="E629" s="4" t="s">
        <v>2809</v>
      </c>
      <c r="F629" s="127" t="n">
        <v>46636</v>
      </c>
      <c r="G629" s="127" t="n">
        <v>46647</v>
      </c>
      <c r="H629" s="127" t="n">
        <v>46289</v>
      </c>
      <c r="I629" s="4" t="n">
        <v>0</v>
      </c>
      <c r="J629" s="4" t="n">
        <v>0</v>
      </c>
      <c r="K629" s="4" t="n">
        <v>0</v>
      </c>
      <c r="M629" s="2" t="str">
        <f aca="false">IF(C629="","",IFERROR(INDEX($S$5:$S$304,MATCH(C629,$R$5:$R$304,0))&amp;"","?"))</f>
        <v>18</v>
      </c>
      <c r="N629" s="2" t="n">
        <f aca="false">IF(E629="","",IF(ISNUMBER(SEARCH("SUBSOLO",E629)),IFERROR(-VALUE(LEFT(E629,FIND("º",SUBSTITUTE(E629,"°","º"))-1)),-1),IF(LEFT(E629,6)="TÉRREO",0,IFERROR(VALUE(LEFT(E629,FIND("º",SUBSTITUTE(E629,"°","º"))-1)),""))))</f>
        <v>10</v>
      </c>
      <c r="O629" s="2" t="str">
        <f aca="false">IF(OR(F629="",G629=""),"",IF(G629&lt;='RETRATO 2027'!$K$5,"CONCLUÍDA",IF(F629&lt;='RETRATO 2027'!$K$5,"EM ANDAMENTO","A INICIAR")))</f>
        <v>CONCLUÍDA</v>
      </c>
    </row>
    <row r="630" customFormat="false" ht="15" hidden="false" customHeight="false" outlineLevel="0" collapsed="false">
      <c r="B630" s="4" t="n">
        <v>32750359</v>
      </c>
      <c r="C630" s="4" t="s">
        <v>2458</v>
      </c>
      <c r="D630" s="4" t="s">
        <v>463</v>
      </c>
      <c r="E630" s="4" t="s">
        <v>2810</v>
      </c>
      <c r="F630" s="127" t="n">
        <v>46636</v>
      </c>
      <c r="G630" s="127" t="n">
        <v>46647</v>
      </c>
      <c r="H630" s="127" t="n">
        <v>46289</v>
      </c>
      <c r="I630" s="4" t="n">
        <v>0</v>
      </c>
      <c r="J630" s="4" t="n">
        <v>0</v>
      </c>
      <c r="K630" s="4" t="n">
        <v>0</v>
      </c>
      <c r="M630" s="2" t="str">
        <f aca="false">IF(C630="","",IFERROR(INDEX($S$5:$S$304,MATCH(C630,$R$5:$R$304,0))&amp;"","?"))</f>
        <v>21</v>
      </c>
      <c r="N630" s="2" t="n">
        <f aca="false">IF(E630="","",IF(ISNUMBER(SEARCH("SUBSOLO",E630)),IFERROR(-VALUE(LEFT(E630,FIND("º",SUBSTITUTE(E630,"°","º"))-1)),-1),IF(LEFT(E630,6)="TÉRREO",0,IFERROR(VALUE(LEFT(E630,FIND("º",SUBSTITUTE(E630,"°","º"))-1)),""))))</f>
        <v>11</v>
      </c>
      <c r="O630" s="2" t="str">
        <f aca="false">IF(OR(F630="",G630=""),"",IF(G630&lt;='RETRATO 2027'!$K$5,"CONCLUÍDA",IF(F630&lt;='RETRATO 2027'!$K$5,"EM ANDAMENTO","A INICIAR")))</f>
        <v>CONCLUÍDA</v>
      </c>
    </row>
    <row r="631" customFormat="false" ht="15" hidden="false" customHeight="false" outlineLevel="0" collapsed="false">
      <c r="B631" s="4" t="n">
        <v>32750385</v>
      </c>
      <c r="C631" s="4" t="s">
        <v>2461</v>
      </c>
      <c r="D631" s="4" t="s">
        <v>463</v>
      </c>
      <c r="E631" s="4" t="s">
        <v>2810</v>
      </c>
      <c r="F631" s="127" t="n">
        <v>46636</v>
      </c>
      <c r="G631" s="127" t="n">
        <v>46647</v>
      </c>
      <c r="H631" s="127" t="n">
        <v>46289</v>
      </c>
      <c r="I631" s="4" t="n">
        <v>0</v>
      </c>
      <c r="J631" s="4" t="n">
        <v>0</v>
      </c>
      <c r="K631" s="4" t="n">
        <v>0</v>
      </c>
      <c r="M631" s="2" t="str">
        <f aca="false">IF(C631="","",IFERROR(INDEX($S$5:$S$304,MATCH(C631,$R$5:$R$304,0))&amp;"","?"))</f>
        <v>20</v>
      </c>
      <c r="N631" s="2" t="n">
        <f aca="false">IF(E631="","",IF(ISNUMBER(SEARCH("SUBSOLO",E631)),IFERROR(-VALUE(LEFT(E631,FIND("º",SUBSTITUTE(E631,"°","º"))-1)),-1),IF(LEFT(E631,6)="TÉRREO",0,IFERROR(VALUE(LEFT(E631,FIND("º",SUBSTITUTE(E631,"°","º"))-1)),""))))</f>
        <v>11</v>
      </c>
      <c r="O631" s="2" t="str">
        <f aca="false">IF(OR(F631="",G631=""),"",IF(G631&lt;='RETRATO 2027'!$K$5,"CONCLUÍDA",IF(F631&lt;='RETRATO 2027'!$K$5,"EM ANDAMENTO","A INICIAR")))</f>
        <v>CONCLUÍDA</v>
      </c>
    </row>
    <row r="632" customFormat="false" ht="15" hidden="false" customHeight="false" outlineLevel="0" collapsed="false">
      <c r="B632" s="4" t="n">
        <v>32750411</v>
      </c>
      <c r="C632" s="4" t="s">
        <v>2464</v>
      </c>
      <c r="D632" s="4" t="s">
        <v>463</v>
      </c>
      <c r="E632" s="4" t="s">
        <v>2810</v>
      </c>
      <c r="F632" s="127" t="n">
        <v>46636</v>
      </c>
      <c r="G632" s="127" t="n">
        <v>46647</v>
      </c>
      <c r="H632" s="127" t="n">
        <v>46289</v>
      </c>
      <c r="I632" s="4" t="n">
        <v>0</v>
      </c>
      <c r="J632" s="4" t="n">
        <v>0</v>
      </c>
      <c r="K632" s="4" t="n">
        <v>0</v>
      </c>
      <c r="M632" s="2" t="str">
        <f aca="false">IF(C632="","",IFERROR(INDEX($S$5:$S$304,MATCH(C632,$R$5:$R$304,0))&amp;"","?"))</f>
        <v>21</v>
      </c>
      <c r="N632" s="2" t="n">
        <f aca="false">IF(E632="","",IF(ISNUMBER(SEARCH("SUBSOLO",E632)),IFERROR(-VALUE(LEFT(E632,FIND("º",SUBSTITUTE(E632,"°","º"))-1)),-1),IF(LEFT(E632,6)="TÉRREO",0,IFERROR(VALUE(LEFT(E632,FIND("º",SUBSTITUTE(E632,"°","º"))-1)),""))))</f>
        <v>11</v>
      </c>
      <c r="O632" s="2" t="str">
        <f aca="false">IF(OR(F632="",G632=""),"",IF(G632&lt;='RETRATO 2027'!$K$5,"CONCLUÍDA",IF(F632&lt;='RETRATO 2027'!$K$5,"EM ANDAMENTO","A INICIAR")))</f>
        <v>CONCLUÍDA</v>
      </c>
    </row>
    <row r="633" customFormat="false" ht="15" hidden="false" customHeight="false" outlineLevel="0" collapsed="false">
      <c r="B633" s="4" t="n">
        <v>33896829</v>
      </c>
      <c r="C633" s="4" t="s">
        <v>2467</v>
      </c>
      <c r="D633" s="4" t="s">
        <v>463</v>
      </c>
      <c r="E633" s="4" t="s">
        <v>2810</v>
      </c>
      <c r="F633" s="127" t="n">
        <v>46636</v>
      </c>
      <c r="G633" s="127" t="n">
        <v>46647</v>
      </c>
      <c r="H633" s="127" t="n">
        <v>46289</v>
      </c>
      <c r="I633" s="4" t="n">
        <v>0</v>
      </c>
      <c r="J633" s="4" t="n">
        <v>0</v>
      </c>
      <c r="K633" s="4" t="n">
        <v>0</v>
      </c>
      <c r="M633" s="2" t="str">
        <f aca="false">IF(C633="","",IFERROR(INDEX($S$5:$S$304,MATCH(C633,$R$5:$R$304,0))&amp;"","?"))</f>
        <v>23</v>
      </c>
      <c r="N633" s="2" t="n">
        <f aca="false">IF(E633="","",IF(ISNUMBER(SEARCH("SUBSOLO",E633)),IFERROR(-VALUE(LEFT(E633,FIND("º",SUBSTITUTE(E633,"°","º"))-1)),-1),IF(LEFT(E633,6)="TÉRREO",0,IFERROR(VALUE(LEFT(E633,FIND("º",SUBSTITUTE(E633,"°","º"))-1)),""))))</f>
        <v>11</v>
      </c>
      <c r="O633" s="2" t="str">
        <f aca="false">IF(OR(F633="",G633=""),"",IF(G633&lt;='RETRATO 2027'!$K$5,"CONCLUÍDA",IF(F633&lt;='RETRATO 2027'!$K$5,"EM ANDAMENTO","A INICIAR")))</f>
        <v>CONCLUÍDA</v>
      </c>
    </row>
    <row r="634" customFormat="false" ht="15" hidden="false" customHeight="false" outlineLevel="0" collapsed="false">
      <c r="B634" s="4" t="n">
        <v>32749855</v>
      </c>
      <c r="C634" s="4" t="s">
        <v>2455</v>
      </c>
      <c r="D634" s="4" t="s">
        <v>463</v>
      </c>
      <c r="E634" s="4" t="s">
        <v>2811</v>
      </c>
      <c r="F634" s="127" t="n">
        <v>46636</v>
      </c>
      <c r="G634" s="127" t="n">
        <v>46647</v>
      </c>
      <c r="H634" s="127" t="n">
        <v>46289</v>
      </c>
      <c r="I634" s="4" t="n">
        <v>0</v>
      </c>
      <c r="J634" s="4" t="n">
        <v>0</v>
      </c>
      <c r="K634" s="4" t="n">
        <v>0</v>
      </c>
      <c r="M634" s="2" t="str">
        <f aca="false">IF(C634="","",IFERROR(INDEX($S$5:$S$304,MATCH(C634,$R$5:$R$304,0))&amp;"","?"))</f>
        <v>18</v>
      </c>
      <c r="N634" s="2" t="n">
        <f aca="false">IF(E634="","",IF(ISNUMBER(SEARCH("SUBSOLO",E634)),IFERROR(-VALUE(LEFT(E634,FIND("º",SUBSTITUTE(E634,"°","º"))-1)),-1),IF(LEFT(E634,6)="TÉRREO",0,IFERROR(VALUE(LEFT(E634,FIND("º",SUBSTITUTE(E634,"°","º"))-1)),""))))</f>
        <v>12</v>
      </c>
      <c r="O634" s="2" t="str">
        <f aca="false">IF(OR(F634="",G634=""),"",IF(G634&lt;='RETRATO 2027'!$K$5,"CONCLUÍDA",IF(F634&lt;='RETRATO 2027'!$K$5,"EM ANDAMENTO","A INICIAR")))</f>
        <v>CONCLUÍDA</v>
      </c>
    </row>
    <row r="635" customFormat="false" ht="15" hidden="false" customHeight="false" outlineLevel="0" collapsed="false">
      <c r="B635" s="4" t="n">
        <v>29981325</v>
      </c>
      <c r="C635" s="4" t="s">
        <v>2449</v>
      </c>
      <c r="D635" s="4" t="s">
        <v>463</v>
      </c>
      <c r="E635" s="4" t="s">
        <v>2812</v>
      </c>
      <c r="F635" s="127" t="n">
        <v>46636</v>
      </c>
      <c r="G635" s="127" t="n">
        <v>46647</v>
      </c>
      <c r="H635" s="127" t="n">
        <v>46289</v>
      </c>
      <c r="I635" s="4" t="n">
        <v>0</v>
      </c>
      <c r="J635" s="4" t="n">
        <v>0</v>
      </c>
      <c r="K635" s="4" t="n">
        <v>0</v>
      </c>
      <c r="M635" s="2" t="str">
        <f aca="false">IF(C635="","",IFERROR(INDEX($S$5:$S$304,MATCH(C635,$R$5:$R$304,0))&amp;"","?"))</f>
        <v>28</v>
      </c>
      <c r="N635" s="2" t="n">
        <f aca="false">IF(E635="","",IF(ISNUMBER(SEARCH("SUBSOLO",E635)),IFERROR(-VALUE(LEFT(E635,FIND("º",SUBSTITUTE(E635,"°","º"))-1)),-1),IF(LEFT(E635,6)="TÉRREO",0,IFERROR(VALUE(LEFT(E635,FIND("º",SUBSTITUTE(E635,"°","º"))-1)),""))))</f>
        <v>13</v>
      </c>
      <c r="O635" s="2" t="str">
        <f aca="false">IF(OR(F635="",G635=""),"",IF(G635&lt;='RETRATO 2027'!$K$5,"CONCLUÍDA",IF(F635&lt;='RETRATO 2027'!$K$5,"EM ANDAMENTO","A INICIAR")))</f>
        <v>CONCLUÍDA</v>
      </c>
    </row>
    <row r="636" customFormat="false" ht="15" hidden="false" customHeight="false" outlineLevel="0" collapsed="false">
      <c r="B636" s="4" t="n">
        <v>29981265</v>
      </c>
      <c r="C636" s="4" t="s">
        <v>2440</v>
      </c>
      <c r="D636" s="4" t="s">
        <v>463</v>
      </c>
      <c r="E636" s="4" t="s">
        <v>2813</v>
      </c>
      <c r="F636" s="127" t="n">
        <v>46636</v>
      </c>
      <c r="G636" s="127" t="n">
        <v>46647</v>
      </c>
      <c r="H636" s="127" t="n">
        <v>46289</v>
      </c>
      <c r="I636" s="4" t="n">
        <v>0</v>
      </c>
      <c r="J636" s="4" t="n">
        <v>0</v>
      </c>
      <c r="K636" s="4" t="n">
        <v>0</v>
      </c>
      <c r="M636" s="2" t="str">
        <f aca="false">IF(C636="","",IFERROR(INDEX($S$5:$S$304,MATCH(C636,$R$5:$R$304,0))&amp;"","?"))</f>
        <v>21</v>
      </c>
      <c r="N636" s="2" t="n">
        <f aca="false">IF(E636="","",IF(ISNUMBER(SEARCH("SUBSOLO",E636)),IFERROR(-VALUE(LEFT(E636,FIND("º",SUBSTITUTE(E636,"°","º"))-1)),-1),IF(LEFT(E636,6)="TÉRREO",0,IFERROR(VALUE(LEFT(E636,FIND("º",SUBSTITUTE(E636,"°","º"))-1)),""))))</f>
        <v>14</v>
      </c>
      <c r="O636" s="2" t="str">
        <f aca="false">IF(OR(F636="",G636=""),"",IF(G636&lt;='RETRATO 2027'!$K$5,"CONCLUÍDA",IF(F636&lt;='RETRATO 2027'!$K$5,"EM ANDAMENTO","A INICIAR")))</f>
        <v>CONCLUÍDA</v>
      </c>
    </row>
    <row r="637" customFormat="false" ht="15" hidden="false" customHeight="false" outlineLevel="0" collapsed="false">
      <c r="B637" s="4" t="n">
        <v>29981298</v>
      </c>
      <c r="C637" s="4" t="s">
        <v>2443</v>
      </c>
      <c r="D637" s="4" t="s">
        <v>463</v>
      </c>
      <c r="E637" s="4" t="s">
        <v>2813</v>
      </c>
      <c r="F637" s="127" t="n">
        <v>46636</v>
      </c>
      <c r="G637" s="127" t="n">
        <v>46647</v>
      </c>
      <c r="H637" s="127" t="n">
        <v>46289</v>
      </c>
      <c r="I637" s="4" t="n">
        <v>0</v>
      </c>
      <c r="J637" s="4" t="n">
        <v>0</v>
      </c>
      <c r="K637" s="4" t="n">
        <v>0</v>
      </c>
      <c r="M637" s="2" t="str">
        <f aca="false">IF(C637="","",IFERROR(INDEX($S$5:$S$304,MATCH(C637,$R$5:$R$304,0))&amp;"","?"))</f>
        <v>20</v>
      </c>
      <c r="N637" s="2" t="n">
        <f aca="false">IF(E637="","",IF(ISNUMBER(SEARCH("SUBSOLO",E637)),IFERROR(-VALUE(LEFT(E637,FIND("º",SUBSTITUTE(E637,"°","º"))-1)),-1),IF(LEFT(E637,6)="TÉRREO",0,IFERROR(VALUE(LEFT(E637,FIND("º",SUBSTITUTE(E637,"°","º"))-1)),""))))</f>
        <v>14</v>
      </c>
      <c r="O637" s="2" t="str">
        <f aca="false">IF(OR(F637="",G637=""),"",IF(G637&lt;='RETRATO 2027'!$K$5,"CONCLUÍDA",IF(F637&lt;='RETRATO 2027'!$K$5,"EM ANDAMENTO","A INICIAR")))</f>
        <v>CONCLUÍDA</v>
      </c>
    </row>
    <row r="638" customFormat="false" ht="15" hidden="false" customHeight="false" outlineLevel="0" collapsed="false">
      <c r="B638" s="4" t="n">
        <v>29981227</v>
      </c>
      <c r="C638" s="4" t="s">
        <v>2437</v>
      </c>
      <c r="D638" s="4" t="s">
        <v>463</v>
      </c>
      <c r="E638" s="4" t="s">
        <v>2814</v>
      </c>
      <c r="F638" s="127" t="n">
        <v>46636</v>
      </c>
      <c r="G638" s="127" t="n">
        <v>46647</v>
      </c>
      <c r="H638" s="127" t="n">
        <v>46289</v>
      </c>
      <c r="I638" s="4" t="n">
        <v>0</v>
      </c>
      <c r="J638" s="4" t="n">
        <v>0</v>
      </c>
      <c r="K638" s="4" t="n">
        <v>0</v>
      </c>
      <c r="M638" s="2" t="str">
        <f aca="false">IF(C638="","",IFERROR(INDEX($S$5:$S$304,MATCH(C638,$R$5:$R$304,0))&amp;"","?"))</f>
        <v>29</v>
      </c>
      <c r="N638" s="2" t="n">
        <f aca="false">IF(E638="","",IF(ISNUMBER(SEARCH("SUBSOLO",E638)),IFERROR(-VALUE(LEFT(E638,FIND("º",SUBSTITUTE(E638,"°","º"))-1)),-1),IF(LEFT(E638,6)="TÉRREO",0,IFERROR(VALUE(LEFT(E638,FIND("º",SUBSTITUTE(E638,"°","º"))-1)),""))))</f>
        <v>15</v>
      </c>
      <c r="O638" s="2" t="str">
        <f aca="false">IF(OR(F638="",G638=""),"",IF(G638&lt;='RETRATO 2027'!$K$5,"CONCLUÍDA",IF(F638&lt;='RETRATO 2027'!$K$5,"EM ANDAMENTO","A INICIAR")))</f>
        <v>CONCLUÍDA</v>
      </c>
    </row>
    <row r="639" customFormat="false" ht="15" hidden="false" customHeight="false" outlineLevel="0" collapsed="false">
      <c r="B639" s="4" t="n">
        <v>29981193</v>
      </c>
      <c r="C639" s="4" t="s">
        <v>2434</v>
      </c>
      <c r="D639" s="4" t="s">
        <v>463</v>
      </c>
      <c r="E639" s="4" t="s">
        <v>2815</v>
      </c>
      <c r="F639" s="127" t="n">
        <v>46636</v>
      </c>
      <c r="G639" s="127" t="n">
        <v>46647</v>
      </c>
      <c r="H639" s="127" t="n">
        <v>46289</v>
      </c>
      <c r="I639" s="4" t="n">
        <v>0</v>
      </c>
      <c r="J639" s="4" t="n">
        <v>0</v>
      </c>
      <c r="K639" s="4" t="n">
        <v>0</v>
      </c>
      <c r="M639" s="2" t="str">
        <f aca="false">IF(C639="","",IFERROR(INDEX($S$5:$S$304,MATCH(C639,$R$5:$R$304,0))&amp;"","?"))</f>
        <v>25</v>
      </c>
      <c r="N639" s="2" t="n">
        <f aca="false">IF(E639="","",IF(ISNUMBER(SEARCH("SUBSOLO",E639)),IFERROR(-VALUE(LEFT(E639,FIND("º",SUBSTITUTE(E639,"°","º"))-1)),-1),IF(LEFT(E639,6)="TÉRREO",0,IFERROR(VALUE(LEFT(E639,FIND("º",SUBSTITUTE(E639,"°","º"))-1)),""))))</f>
        <v>16</v>
      </c>
      <c r="O639" s="2" t="str">
        <f aca="false">IF(OR(F639="",G639=""),"",IF(G639&lt;='RETRATO 2027'!$K$5,"CONCLUÍDA",IF(F639&lt;='RETRATO 2027'!$K$5,"EM ANDAMENTO","A INICIAR")))</f>
        <v>CONCLUÍDA</v>
      </c>
    </row>
    <row r="640" customFormat="false" ht="15" hidden="false" customHeight="false" outlineLevel="0" collapsed="false">
      <c r="B640" s="4" t="n">
        <v>29981186</v>
      </c>
      <c r="C640" s="4" t="s">
        <v>2425</v>
      </c>
      <c r="D640" s="4" t="s">
        <v>463</v>
      </c>
      <c r="E640" s="4" t="s">
        <v>2818</v>
      </c>
      <c r="F640" s="127" t="n">
        <v>46636</v>
      </c>
      <c r="G640" s="127" t="n">
        <v>46647</v>
      </c>
      <c r="H640" s="127" t="n">
        <v>46289</v>
      </c>
      <c r="I640" s="4" t="n">
        <v>0</v>
      </c>
      <c r="J640" s="4" t="n">
        <v>0</v>
      </c>
      <c r="K640" s="4" t="n">
        <v>0</v>
      </c>
      <c r="M640" s="2" t="str">
        <f aca="false">IF(C640="","",IFERROR(INDEX($S$5:$S$304,MATCH(C640,$R$5:$R$304,0))&amp;"","?"))</f>
        <v>21</v>
      </c>
      <c r="N640" s="2" t="n">
        <f aca="false">IF(E640="","",IF(ISNUMBER(SEARCH("SUBSOLO",E640)),IFERROR(-VALUE(LEFT(E640,FIND("º",SUBSTITUTE(E640,"°","º"))-1)),-1),IF(LEFT(E640,6)="TÉRREO",0,IFERROR(VALUE(LEFT(E640,FIND("º",SUBSTITUTE(E640,"°","º"))-1)),""))))</f>
        <v>17</v>
      </c>
      <c r="O640" s="2" t="str">
        <f aca="false">IF(OR(F640="",G640=""),"",IF(G640&lt;='RETRATO 2027'!$K$5,"CONCLUÍDA",IF(F640&lt;='RETRATO 2027'!$K$5,"EM ANDAMENTO","A INICIAR")))</f>
        <v>CONCLUÍDA</v>
      </c>
    </row>
    <row r="641" customFormat="false" ht="15" hidden="false" customHeight="false" outlineLevel="0" collapsed="false">
      <c r="B641" s="4" t="n">
        <v>29981155</v>
      </c>
      <c r="C641" s="4" t="s">
        <v>2428</v>
      </c>
      <c r="D641" s="4" t="s">
        <v>463</v>
      </c>
      <c r="E641" s="4" t="s">
        <v>2818</v>
      </c>
      <c r="F641" s="127" t="n">
        <v>46636</v>
      </c>
      <c r="G641" s="127" t="n">
        <v>46647</v>
      </c>
      <c r="H641" s="127" t="n">
        <v>46289</v>
      </c>
      <c r="I641" s="4" t="n">
        <v>0</v>
      </c>
      <c r="J641" s="4" t="n">
        <v>0</v>
      </c>
      <c r="K641" s="4" t="n">
        <v>0</v>
      </c>
      <c r="M641" s="2" t="str">
        <f aca="false">IF(C641="","",IFERROR(INDEX($S$5:$S$304,MATCH(C641,$R$5:$R$304,0))&amp;"","?"))</f>
        <v>20</v>
      </c>
      <c r="N641" s="2" t="n">
        <f aca="false">IF(E641="","",IF(ISNUMBER(SEARCH("SUBSOLO",E641)),IFERROR(-VALUE(LEFT(E641,FIND("º",SUBSTITUTE(E641,"°","º"))-1)),-1),IF(LEFT(E641,6)="TÉRREO",0,IFERROR(VALUE(LEFT(E641,FIND("º",SUBSTITUTE(E641,"°","º"))-1)),""))))</f>
        <v>17</v>
      </c>
      <c r="O641" s="2" t="str">
        <f aca="false">IF(OR(F641="",G641=""),"",IF(G641&lt;='RETRATO 2027'!$K$5,"CONCLUÍDA",IF(F641&lt;='RETRATO 2027'!$K$5,"EM ANDAMENTO","A INICIAR")))</f>
        <v>CONCLUÍDA</v>
      </c>
    </row>
    <row r="642" customFormat="false" ht="15" hidden="false" customHeight="false" outlineLevel="0" collapsed="false">
      <c r="B642" s="4" t="n">
        <v>29981188</v>
      </c>
      <c r="C642" s="4" t="s">
        <v>2431</v>
      </c>
      <c r="D642" s="4" t="s">
        <v>463</v>
      </c>
      <c r="E642" s="4" t="s">
        <v>2818</v>
      </c>
      <c r="F642" s="127" t="n">
        <v>46636</v>
      </c>
      <c r="G642" s="127" t="n">
        <v>46647</v>
      </c>
      <c r="H642" s="127" t="n">
        <v>46289</v>
      </c>
      <c r="I642" s="4" t="n">
        <v>0</v>
      </c>
      <c r="J642" s="4" t="n">
        <v>0</v>
      </c>
      <c r="K642" s="4" t="n">
        <v>0</v>
      </c>
      <c r="M642" s="2" t="str">
        <f aca="false">IF(C642="","",IFERROR(INDEX($S$5:$S$304,MATCH(C642,$R$5:$R$304,0))&amp;"","?"))</f>
        <v>21</v>
      </c>
      <c r="N642" s="2" t="n">
        <f aca="false">IF(E642="","",IF(ISNUMBER(SEARCH("SUBSOLO",E642)),IFERROR(-VALUE(LEFT(E642,FIND("º",SUBSTITUTE(E642,"°","º"))-1)),-1),IF(LEFT(E642,6)="TÉRREO",0,IFERROR(VALUE(LEFT(E642,FIND("º",SUBSTITUTE(E642,"°","º"))-1)),""))))</f>
        <v>17</v>
      </c>
      <c r="O642" s="2" t="str">
        <f aca="false">IF(OR(F642="",G642=""),"",IF(G642&lt;='RETRATO 2027'!$K$5,"CONCLUÍDA",IF(F642&lt;='RETRATO 2027'!$K$5,"EM ANDAMENTO","A INICIAR")))</f>
        <v>CONCLUÍDA</v>
      </c>
    </row>
    <row r="643" customFormat="false" ht="15" hidden="false" customHeight="false" outlineLevel="0" collapsed="false">
      <c r="B643" s="4" t="n">
        <v>29981135</v>
      </c>
      <c r="C643" s="4" t="s">
        <v>2422</v>
      </c>
      <c r="D643" s="4" t="s">
        <v>463</v>
      </c>
      <c r="E643" s="4" t="s">
        <v>2820</v>
      </c>
      <c r="F643" s="127" t="n">
        <v>46636</v>
      </c>
      <c r="G643" s="127" t="n">
        <v>46647</v>
      </c>
      <c r="H643" s="127" t="n">
        <v>46289</v>
      </c>
      <c r="I643" s="4" t="n">
        <v>0</v>
      </c>
      <c r="J643" s="4" t="n">
        <v>0</v>
      </c>
      <c r="K643" s="4" t="n">
        <v>0</v>
      </c>
      <c r="M643" s="2" t="str">
        <f aca="false">IF(C643="","",IFERROR(INDEX($S$5:$S$304,MATCH(C643,$R$5:$R$304,0))&amp;"","?"))</f>
        <v>29</v>
      </c>
      <c r="N643" s="2" t="n">
        <f aca="false">IF(E643="","",IF(ISNUMBER(SEARCH("SUBSOLO",E643)),IFERROR(-VALUE(LEFT(E643,FIND("º",SUBSTITUTE(E643,"°","º"))-1)),-1),IF(LEFT(E643,6)="TÉRREO",0,IFERROR(VALUE(LEFT(E643,FIND("º",SUBSTITUTE(E643,"°","º"))-1)),""))))</f>
        <v>18</v>
      </c>
      <c r="O643" s="2" t="str">
        <f aca="false">IF(OR(F643="",G643=""),"",IF(G643&lt;='RETRATO 2027'!$K$5,"CONCLUÍDA",IF(F643&lt;='RETRATO 2027'!$K$5,"EM ANDAMENTO","A INICIAR")))</f>
        <v>CONCLUÍDA</v>
      </c>
    </row>
    <row r="644" customFormat="false" ht="15" hidden="false" customHeight="false" outlineLevel="0" collapsed="false">
      <c r="B644" s="4" t="n">
        <v>29981064</v>
      </c>
      <c r="C644" s="4" t="s">
        <v>2413</v>
      </c>
      <c r="D644" s="4" t="s">
        <v>463</v>
      </c>
      <c r="E644" s="4" t="s">
        <v>2823</v>
      </c>
      <c r="F644" s="127" t="n">
        <v>46636</v>
      </c>
      <c r="G644" s="127" t="n">
        <v>46647</v>
      </c>
      <c r="H644" s="127" t="n">
        <v>46289</v>
      </c>
      <c r="I644" s="4" t="n">
        <v>0</v>
      </c>
      <c r="J644" s="4" t="n">
        <v>0</v>
      </c>
      <c r="K644" s="4" t="n">
        <v>0</v>
      </c>
      <c r="M644" s="2" t="str">
        <f aca="false">IF(C644="","",IFERROR(INDEX($S$5:$S$304,MATCH(C644,$R$5:$R$304,0))&amp;"","?"))</f>
        <v>21</v>
      </c>
      <c r="N644" s="2" t="n">
        <f aca="false">IF(E644="","",IF(ISNUMBER(SEARCH("SUBSOLO",E644)),IFERROR(-VALUE(LEFT(E644,FIND("º",SUBSTITUTE(E644,"°","º"))-1)),-1),IF(LEFT(E644,6)="TÉRREO",0,IFERROR(VALUE(LEFT(E644,FIND("º",SUBSTITUTE(E644,"°","º"))-1)),""))))</f>
        <v>20</v>
      </c>
      <c r="O644" s="2" t="str">
        <f aca="false">IF(OR(F644="",G644=""),"",IF(G644&lt;='RETRATO 2027'!$K$5,"CONCLUÍDA",IF(F644&lt;='RETRATO 2027'!$K$5,"EM ANDAMENTO","A INICIAR")))</f>
        <v>CONCLUÍDA</v>
      </c>
    </row>
    <row r="645" customFormat="false" ht="15" hidden="false" customHeight="false" outlineLevel="0" collapsed="false">
      <c r="B645" s="4" t="n">
        <v>29981063</v>
      </c>
      <c r="C645" s="4" t="s">
        <v>2416</v>
      </c>
      <c r="D645" s="4" t="s">
        <v>463</v>
      </c>
      <c r="E645" s="4" t="s">
        <v>2823</v>
      </c>
      <c r="F645" s="127" t="n">
        <v>46639</v>
      </c>
      <c r="G645" s="127" t="n">
        <v>46651</v>
      </c>
      <c r="H645" s="127" t="n">
        <v>46289</v>
      </c>
      <c r="I645" s="4" t="n">
        <v>0</v>
      </c>
      <c r="J645" s="4" t="n">
        <v>0</v>
      </c>
      <c r="K645" s="4" t="n">
        <v>0</v>
      </c>
      <c r="M645" s="2" t="str">
        <f aca="false">IF(C645="","",IFERROR(INDEX($S$5:$S$304,MATCH(C645,$R$5:$R$304,0))&amp;"","?"))</f>
        <v>18</v>
      </c>
      <c r="N645" s="2" t="n">
        <f aca="false">IF(E645="","",IF(ISNUMBER(SEARCH("SUBSOLO",E645)),IFERROR(-VALUE(LEFT(E645,FIND("º",SUBSTITUTE(E645,"°","º"))-1)),-1),IF(LEFT(E645,6)="TÉRREO",0,IFERROR(VALUE(LEFT(E645,FIND("º",SUBSTITUTE(E645,"°","º"))-1)),""))))</f>
        <v>20</v>
      </c>
      <c r="O645" s="2" t="str">
        <f aca="false">IF(OR(F645="",G645=""),"",IF(G645&lt;='RETRATO 2027'!$K$5,"CONCLUÍDA",IF(F645&lt;='RETRATO 2027'!$K$5,"EM ANDAMENTO","A INICIAR")))</f>
        <v>CONCLUÍDA</v>
      </c>
    </row>
    <row r="646" customFormat="false" ht="15" hidden="false" customHeight="false" outlineLevel="0" collapsed="false">
      <c r="B646" s="4" t="n">
        <v>31789446</v>
      </c>
      <c r="C646" s="4" t="s">
        <v>2489</v>
      </c>
      <c r="D646" s="4" t="s">
        <v>463</v>
      </c>
      <c r="E646" s="4" t="s">
        <v>2678</v>
      </c>
      <c r="F646" s="127" t="n">
        <v>46639</v>
      </c>
      <c r="G646" s="127" t="n">
        <v>46696</v>
      </c>
      <c r="H646" s="127" t="n">
        <v>46289</v>
      </c>
      <c r="I646" s="4" t="n">
        <v>0</v>
      </c>
      <c r="J646" s="4" t="n">
        <v>0</v>
      </c>
      <c r="K646" s="4" t="n">
        <v>0</v>
      </c>
      <c r="M646" s="2" t="str">
        <f aca="false">IF(C646="","",IFERROR(INDEX($S$5:$S$304,MATCH(C646,$R$5:$R$304,0))&amp;"","?"))</f>
        <v>32</v>
      </c>
      <c r="N646" s="2" t="str">
        <f aca="false">IF(E646="","",IF(ISNUMBER(SEARCH("SUBSOLO",E646)),IFERROR(-VALUE(LEFT(E646,FIND("º",SUBSTITUTE(E646,"°","º"))-1)),-1),IF(LEFT(E646,6)="TÉRREO",0,IFERROR(VALUE(LEFT(E646,FIND("º",SUBSTITUTE(E646,"°","º"))-1)),""))))</f>
        <v/>
      </c>
      <c r="O646" s="2" t="str">
        <f aca="false">IF(OR(F646="",G646=""),"",IF(G646&lt;='RETRATO 2027'!$K$5,"CONCLUÍDA",IF(F646&lt;='RETRATO 2027'!$K$5,"EM ANDAMENTO","A INICIAR")))</f>
        <v>CONCLUÍDA</v>
      </c>
    </row>
    <row r="647" customFormat="false" ht="15" hidden="false" customHeight="false" outlineLevel="0" collapsed="false">
      <c r="B647" s="4" t="n">
        <v>30205701</v>
      </c>
      <c r="C647" s="4" t="s">
        <v>2492</v>
      </c>
      <c r="D647" s="4" t="s">
        <v>463</v>
      </c>
      <c r="E647" s="4" t="s">
        <v>2819</v>
      </c>
      <c r="F647" s="127" t="n">
        <v>46640</v>
      </c>
      <c r="G647" s="127" t="n">
        <v>46653</v>
      </c>
      <c r="H647" s="127" t="n">
        <v>46289</v>
      </c>
      <c r="I647" s="4" t="n">
        <v>0</v>
      </c>
      <c r="J647" s="4" t="n">
        <v>0</v>
      </c>
      <c r="K647" s="4" t="n">
        <v>0</v>
      </c>
      <c r="M647" s="2" t="str">
        <f aca="false">IF(C647="","",IFERROR(INDEX($S$5:$S$304,MATCH(C647,$R$5:$R$304,0))&amp;"","?"))</f>
        <v>18</v>
      </c>
      <c r="N647" s="2" t="n">
        <f aca="false">IF(E647="","",IF(ISNUMBER(SEARCH("SUBSOLO",E647)),IFERROR(-VALUE(LEFT(E647,FIND("º",SUBSTITUTE(E647,"°","º"))-1)),-1),IF(LEFT(E647,6)="TÉRREO",0,IFERROR(VALUE(LEFT(E647,FIND("º",SUBSTITUTE(E647,"°","º"))-1)),""))))</f>
        <v>0</v>
      </c>
      <c r="O647" s="2" t="str">
        <f aca="false">IF(OR(F647="",G647=""),"",IF(G647&lt;='RETRATO 2027'!$K$5,"CONCLUÍDA",IF(F647&lt;='RETRATO 2027'!$K$5,"EM ANDAMENTO","A INICIAR")))</f>
        <v>CONCLUÍDA</v>
      </c>
    </row>
    <row r="648" customFormat="false" ht="15" hidden="false" customHeight="false" outlineLevel="0" collapsed="false">
      <c r="B648" s="4" t="n">
        <v>30205673</v>
      </c>
      <c r="C648" s="4" t="s">
        <v>2449</v>
      </c>
      <c r="D648" s="4" t="s">
        <v>463</v>
      </c>
      <c r="E648" s="4" t="s">
        <v>2821</v>
      </c>
      <c r="F648" s="127" t="n">
        <v>46640</v>
      </c>
      <c r="G648" s="127" t="n">
        <v>46653</v>
      </c>
      <c r="H648" s="127" t="n">
        <v>46289</v>
      </c>
      <c r="I648" s="4" t="n">
        <v>0</v>
      </c>
      <c r="J648" s="4" t="n">
        <v>0</v>
      </c>
      <c r="K648" s="4" t="n">
        <v>0</v>
      </c>
      <c r="M648" s="2" t="str">
        <f aca="false">IF(C648="","",IFERROR(INDEX($S$5:$S$304,MATCH(C648,$R$5:$R$304,0))&amp;"","?"))</f>
        <v>28</v>
      </c>
      <c r="N648" s="2" t="n">
        <f aca="false">IF(E648="","",IF(ISNUMBER(SEARCH("SUBSOLO",E648)),IFERROR(-VALUE(LEFT(E648,FIND("º",SUBSTITUTE(E648,"°","º"))-1)),-1),IF(LEFT(E648,6)="TÉRREO",0,IFERROR(VALUE(LEFT(E648,FIND("º",SUBSTITUTE(E648,"°","º"))-1)),""))))</f>
        <v>0</v>
      </c>
      <c r="O648" s="2" t="str">
        <f aca="false">IF(OR(F648="",G648=""),"",IF(G648&lt;='RETRATO 2027'!$K$5,"CONCLUÍDA",IF(F648&lt;='RETRATO 2027'!$K$5,"EM ANDAMENTO","A INICIAR")))</f>
        <v>CONCLUÍDA</v>
      </c>
    </row>
    <row r="649" customFormat="false" ht="15" hidden="false" customHeight="false" outlineLevel="0" collapsed="false">
      <c r="B649" s="4" t="n">
        <v>31803886</v>
      </c>
      <c r="C649" s="4" t="s">
        <v>2483</v>
      </c>
      <c r="D649" s="4" t="s">
        <v>463</v>
      </c>
      <c r="E649" s="4" t="s">
        <v>2821</v>
      </c>
      <c r="F649" s="127" t="n">
        <v>46640</v>
      </c>
      <c r="G649" s="127" t="n">
        <v>46687</v>
      </c>
      <c r="H649" s="127" t="n">
        <v>46289</v>
      </c>
      <c r="I649" s="4" t="n">
        <v>0</v>
      </c>
      <c r="J649" s="4" t="n">
        <v>0</v>
      </c>
      <c r="K649" s="4" t="n">
        <v>0</v>
      </c>
      <c r="M649" s="2" t="str">
        <f aca="false">IF(C649="","",IFERROR(INDEX($S$5:$S$304,MATCH(C649,$R$5:$R$304,0))&amp;"","?"))</f>
        <v>32</v>
      </c>
      <c r="N649" s="2" t="n">
        <f aca="false">IF(E649="","",IF(ISNUMBER(SEARCH("SUBSOLO",E649)),IFERROR(-VALUE(LEFT(E649,FIND("º",SUBSTITUTE(E649,"°","º"))-1)),-1),IF(LEFT(E649,6)="TÉRREO",0,IFERROR(VALUE(LEFT(E649,FIND("º",SUBSTITUTE(E649,"°","º"))-1)),""))))</f>
        <v>0</v>
      </c>
      <c r="O649" s="2" t="str">
        <f aca="false">IF(OR(F649="",G649=""),"",IF(G649&lt;='RETRATO 2027'!$K$5,"CONCLUÍDA",IF(F649&lt;='RETRATO 2027'!$K$5,"EM ANDAMENTO","A INICIAR")))</f>
        <v>CONCLUÍDA</v>
      </c>
    </row>
    <row r="650" customFormat="false" ht="15" hidden="false" customHeight="false" outlineLevel="0" collapsed="false">
      <c r="B650" s="4" t="n">
        <v>30205642</v>
      </c>
      <c r="C650" s="4" t="s">
        <v>2437</v>
      </c>
      <c r="D650" s="4" t="s">
        <v>463</v>
      </c>
      <c r="E650" s="4" t="s">
        <v>2824</v>
      </c>
      <c r="F650" s="127" t="n">
        <v>46640</v>
      </c>
      <c r="G650" s="127" t="n">
        <v>46653</v>
      </c>
      <c r="H650" s="127" t="n">
        <v>46289</v>
      </c>
      <c r="I650" s="4" t="n">
        <v>0</v>
      </c>
      <c r="J650" s="4" t="n">
        <v>0</v>
      </c>
      <c r="K650" s="4" t="n">
        <v>0</v>
      </c>
      <c r="M650" s="2" t="str">
        <f aca="false">IF(C650="","",IFERROR(INDEX($S$5:$S$304,MATCH(C650,$R$5:$R$304,0))&amp;"","?"))</f>
        <v>29</v>
      </c>
      <c r="N650" s="2" t="n">
        <f aca="false">IF(E650="","",IF(ISNUMBER(SEARCH("SUBSOLO",E650)),IFERROR(-VALUE(LEFT(E650,FIND("º",SUBSTITUTE(E650,"°","º"))-1)),-1),IF(LEFT(E650,6)="TÉRREO",0,IFERROR(VALUE(LEFT(E650,FIND("º",SUBSTITUTE(E650,"°","º"))-1)),""))))</f>
        <v>0</v>
      </c>
      <c r="O650" s="2" t="str">
        <f aca="false">IF(OR(F650="",G650=""),"",IF(G650&lt;='RETRATO 2027'!$K$5,"CONCLUÍDA",IF(F650&lt;='RETRATO 2027'!$K$5,"EM ANDAMENTO","A INICIAR")))</f>
        <v>CONCLUÍDA</v>
      </c>
    </row>
    <row r="651" customFormat="false" ht="15" hidden="false" customHeight="false" outlineLevel="0" collapsed="false">
      <c r="B651" s="4" t="n">
        <v>30205611</v>
      </c>
      <c r="C651" s="4" t="s">
        <v>2428</v>
      </c>
      <c r="D651" s="4" t="s">
        <v>463</v>
      </c>
      <c r="E651" s="4" t="s">
        <v>2826</v>
      </c>
      <c r="F651" s="127" t="n">
        <v>46640</v>
      </c>
      <c r="G651" s="127" t="n">
        <v>46650</v>
      </c>
      <c r="H651" s="127" t="n">
        <v>46289</v>
      </c>
      <c r="I651" s="4" t="n">
        <v>0</v>
      </c>
      <c r="J651" s="4" t="n">
        <v>0</v>
      </c>
      <c r="K651" s="4" t="n">
        <v>0</v>
      </c>
      <c r="M651" s="2" t="str">
        <f aca="false">IF(C651="","",IFERROR(INDEX($S$5:$S$304,MATCH(C651,$R$5:$R$304,0))&amp;"","?"))</f>
        <v>20</v>
      </c>
      <c r="N651" s="2" t="n">
        <f aca="false">IF(E651="","",IF(ISNUMBER(SEARCH("SUBSOLO",E651)),IFERROR(-VALUE(LEFT(E651,FIND("º",SUBSTITUTE(E651,"°","º"))-1)),-1),IF(LEFT(E651,6)="TÉRREO",0,IFERROR(VALUE(LEFT(E651,FIND("º",SUBSTITUTE(E651,"°","º"))-1)),""))))</f>
        <v>0</v>
      </c>
      <c r="O651" s="2" t="str">
        <f aca="false">IF(OR(F651="",G651=""),"",IF(G651&lt;='RETRATO 2027'!$K$5,"CONCLUÍDA",IF(F651&lt;='RETRATO 2027'!$K$5,"EM ANDAMENTO","A INICIAR")))</f>
        <v>CONCLUÍDA</v>
      </c>
    </row>
    <row r="652" customFormat="false" ht="15" hidden="false" customHeight="false" outlineLevel="0" collapsed="false">
      <c r="B652" s="4" t="n">
        <v>30205612</v>
      </c>
      <c r="C652" s="4" t="s">
        <v>2452</v>
      </c>
      <c r="D652" s="4" t="s">
        <v>463</v>
      </c>
      <c r="E652" s="4" t="s">
        <v>2826</v>
      </c>
      <c r="F652" s="127" t="n">
        <v>46640</v>
      </c>
      <c r="G652" s="127" t="n">
        <v>46653</v>
      </c>
      <c r="H652" s="127" t="n">
        <v>46289</v>
      </c>
      <c r="I652" s="4" t="n">
        <v>0</v>
      </c>
      <c r="J652" s="4" t="n">
        <v>0</v>
      </c>
      <c r="K652" s="4" t="n">
        <v>0</v>
      </c>
      <c r="M652" s="2" t="str">
        <f aca="false">IF(C652="","",IFERROR(INDEX($S$5:$S$304,MATCH(C652,$R$5:$R$304,0))&amp;"","?"))</f>
        <v>21</v>
      </c>
      <c r="N652" s="2" t="n">
        <f aca="false">IF(E652="","",IF(ISNUMBER(SEARCH("SUBSOLO",E652)),IFERROR(-VALUE(LEFT(E652,FIND("º",SUBSTITUTE(E652,"°","º"))-1)),-1),IF(LEFT(E652,6)="TÉRREO",0,IFERROR(VALUE(LEFT(E652,FIND("º",SUBSTITUTE(E652,"°","º"))-1)),""))))</f>
        <v>0</v>
      </c>
      <c r="O652" s="2" t="str">
        <f aca="false">IF(OR(F652="",G652=""),"",IF(G652&lt;='RETRATO 2027'!$K$5,"CONCLUÍDA",IF(F652&lt;='RETRATO 2027'!$K$5,"EM ANDAMENTO","A INICIAR")))</f>
        <v>CONCLUÍDA</v>
      </c>
    </row>
    <row r="653" customFormat="false" ht="15" hidden="false" customHeight="false" outlineLevel="0" collapsed="false">
      <c r="B653" s="4" t="n">
        <v>30205583</v>
      </c>
      <c r="C653" s="4" t="s">
        <v>2422</v>
      </c>
      <c r="D653" s="4" t="s">
        <v>463</v>
      </c>
      <c r="E653" s="4" t="s">
        <v>2828</v>
      </c>
      <c r="F653" s="127" t="n">
        <v>46640</v>
      </c>
      <c r="G653" s="127" t="n">
        <v>46653</v>
      </c>
      <c r="H653" s="127" t="n">
        <v>46289</v>
      </c>
      <c r="I653" s="4" t="n">
        <v>0</v>
      </c>
      <c r="J653" s="4" t="n">
        <v>0</v>
      </c>
      <c r="K653" s="4" t="n">
        <v>0</v>
      </c>
      <c r="M653" s="2" t="str">
        <f aca="false">IF(C653="","",IFERROR(INDEX($S$5:$S$304,MATCH(C653,$R$5:$R$304,0))&amp;"","?"))</f>
        <v>29</v>
      </c>
      <c r="N653" s="2" t="n">
        <f aca="false">IF(E653="","",IF(ISNUMBER(SEARCH("SUBSOLO",E653)),IFERROR(-VALUE(LEFT(E653,FIND("º",SUBSTITUTE(E653,"°","º"))-1)),-1),IF(LEFT(E653,6)="TÉRREO",0,IFERROR(VALUE(LEFT(E653,FIND("º",SUBSTITUTE(E653,"°","º"))-1)),""))))</f>
        <v>0</v>
      </c>
      <c r="O653" s="2" t="str">
        <f aca="false">IF(OR(F653="",G653=""),"",IF(G653&lt;='RETRATO 2027'!$K$5,"CONCLUÍDA",IF(F653&lt;='RETRATO 2027'!$K$5,"EM ANDAMENTO","A INICIAR")))</f>
        <v>CONCLUÍDA</v>
      </c>
    </row>
    <row r="654" customFormat="false" ht="15" hidden="false" customHeight="false" outlineLevel="0" collapsed="false">
      <c r="B654" s="4" t="n">
        <v>30205550</v>
      </c>
      <c r="C654" s="4" t="s">
        <v>2413</v>
      </c>
      <c r="D654" s="4" t="s">
        <v>463</v>
      </c>
      <c r="E654" s="4" t="s">
        <v>2830</v>
      </c>
      <c r="F654" s="127" t="n">
        <v>46640</v>
      </c>
      <c r="G654" s="127" t="n">
        <v>46653</v>
      </c>
      <c r="H654" s="127" t="n">
        <v>46289</v>
      </c>
      <c r="I654" s="4" t="n">
        <v>0</v>
      </c>
      <c r="J654" s="4" t="n">
        <v>0</v>
      </c>
      <c r="K654" s="4" t="n">
        <v>0</v>
      </c>
      <c r="M654" s="2" t="str">
        <f aca="false">IF(C654="","",IFERROR(INDEX($S$5:$S$304,MATCH(C654,$R$5:$R$304,0))&amp;"","?"))</f>
        <v>21</v>
      </c>
      <c r="N654" s="2" t="n">
        <f aca="false">IF(E654="","",IF(ISNUMBER(SEARCH("SUBSOLO",E654)),IFERROR(-VALUE(LEFT(E654,FIND("º",SUBSTITUTE(E654,"°","º"))-1)),-1),IF(LEFT(E654,6)="TÉRREO",0,IFERROR(VALUE(LEFT(E654,FIND("º",SUBSTITUTE(E654,"°","º"))-1)),""))))</f>
        <v>0</v>
      </c>
      <c r="O654" s="2" t="str">
        <f aca="false">IF(OR(F654="",G654=""),"",IF(G654&lt;='RETRATO 2027'!$K$5,"CONCLUÍDA",IF(F654&lt;='RETRATO 2027'!$K$5,"EM ANDAMENTO","A INICIAR")))</f>
        <v>CONCLUÍDA</v>
      </c>
    </row>
    <row r="655" customFormat="false" ht="15" hidden="false" customHeight="false" outlineLevel="0" collapsed="false">
      <c r="B655" s="4" t="n">
        <v>30205549</v>
      </c>
      <c r="C655" s="4" t="s">
        <v>2410</v>
      </c>
      <c r="D655" s="4" t="s">
        <v>463</v>
      </c>
      <c r="E655" s="4" t="s">
        <v>2830</v>
      </c>
      <c r="F655" s="127" t="n">
        <v>46640</v>
      </c>
      <c r="G655" s="127" t="n">
        <v>46653</v>
      </c>
      <c r="H655" s="127" t="n">
        <v>46289</v>
      </c>
      <c r="I655" s="4" t="n">
        <v>0</v>
      </c>
      <c r="J655" s="4" t="n">
        <v>0</v>
      </c>
      <c r="K655" s="4" t="n">
        <v>0</v>
      </c>
      <c r="M655" s="2" t="str">
        <f aca="false">IF(C655="","",IFERROR(INDEX($S$5:$S$304,MATCH(C655,$R$5:$R$304,0))&amp;"","?"))</f>
        <v>22</v>
      </c>
      <c r="N655" s="2" t="n">
        <f aca="false">IF(E655="","",IF(ISNUMBER(SEARCH("SUBSOLO",E655)),IFERROR(-VALUE(LEFT(E655,FIND("º",SUBSTITUTE(E655,"°","º"))-1)),-1),IF(LEFT(E655,6)="TÉRREO",0,IFERROR(VALUE(LEFT(E655,FIND("º",SUBSTITUTE(E655,"°","º"))-1)),""))))</f>
        <v>0</v>
      </c>
      <c r="O655" s="2" t="str">
        <f aca="false">IF(OR(F655="",G655=""),"",IF(G655&lt;='RETRATO 2027'!$K$5,"CONCLUÍDA",IF(F655&lt;='RETRATO 2027'!$K$5,"EM ANDAMENTO","A INICIAR")))</f>
        <v>CONCLUÍDA</v>
      </c>
    </row>
    <row r="656" customFormat="false" ht="15" hidden="false" customHeight="false" outlineLevel="0" collapsed="false">
      <c r="B656" s="4" t="n">
        <v>30205551</v>
      </c>
      <c r="C656" s="4" t="s">
        <v>2416</v>
      </c>
      <c r="D656" s="4" t="s">
        <v>463</v>
      </c>
      <c r="E656" s="4" t="s">
        <v>2830</v>
      </c>
      <c r="F656" s="127" t="n">
        <v>46640</v>
      </c>
      <c r="G656" s="127" t="n">
        <v>46653</v>
      </c>
      <c r="H656" s="127" t="n">
        <v>46289</v>
      </c>
      <c r="I656" s="4" t="n">
        <v>0</v>
      </c>
      <c r="J656" s="4" t="n">
        <v>0</v>
      </c>
      <c r="K656" s="4" t="n">
        <v>0</v>
      </c>
      <c r="M656" s="2" t="str">
        <f aca="false">IF(C656="","",IFERROR(INDEX($S$5:$S$304,MATCH(C656,$R$5:$R$304,0))&amp;"","?"))</f>
        <v>18</v>
      </c>
      <c r="N656" s="2" t="n">
        <f aca="false">IF(E656="","",IF(ISNUMBER(SEARCH("SUBSOLO",E656)),IFERROR(-VALUE(LEFT(E656,FIND("º",SUBSTITUTE(E656,"°","º"))-1)),-1),IF(LEFT(E656,6)="TÉRREO",0,IFERROR(VALUE(LEFT(E656,FIND("º",SUBSTITUTE(E656,"°","º"))-1)),""))))</f>
        <v>0</v>
      </c>
      <c r="O656" s="2" t="str">
        <f aca="false">IF(OR(F656="",G656=""),"",IF(G656&lt;='RETRATO 2027'!$K$5,"CONCLUÍDA",IF(F656&lt;='RETRATO 2027'!$K$5,"EM ANDAMENTO","A INICIAR")))</f>
        <v>CONCLUÍDA</v>
      </c>
    </row>
    <row r="657" customFormat="false" ht="15" hidden="false" customHeight="false" outlineLevel="0" collapsed="false">
      <c r="B657" s="4" t="n">
        <v>30205521</v>
      </c>
      <c r="C657" s="4" t="s">
        <v>168</v>
      </c>
      <c r="D657" s="4" t="s">
        <v>463</v>
      </c>
      <c r="E657" s="4" t="s">
        <v>2832</v>
      </c>
      <c r="F657" s="127" t="n">
        <v>46640</v>
      </c>
      <c r="G657" s="127" t="n">
        <v>46653</v>
      </c>
      <c r="H657" s="127" t="n">
        <v>46289</v>
      </c>
      <c r="I657" s="4" t="n">
        <v>0</v>
      </c>
      <c r="J657" s="4" t="n">
        <v>0</v>
      </c>
      <c r="K657" s="4" t="n">
        <v>0</v>
      </c>
      <c r="M657" s="2" t="str">
        <f aca="false">IF(C657="","",IFERROR(INDEX($S$5:$S$304,MATCH(C657,$R$5:$R$304,0))&amp;"","?"))</f>
        <v>18</v>
      </c>
      <c r="N657" s="2" t="n">
        <f aca="false">IF(E657="","",IF(ISNUMBER(SEARCH("SUBSOLO",E657)),IFERROR(-VALUE(LEFT(E657,FIND("º",SUBSTITUTE(E657,"°","º"))-1)),-1),IF(LEFT(E657,6)="TÉRREO",0,IFERROR(VALUE(LEFT(E657,FIND("º",SUBSTITUTE(E657,"°","º"))-1)),""))))</f>
        <v>0</v>
      </c>
      <c r="O657" s="2" t="str">
        <f aca="false">IF(OR(F657="",G657=""),"",IF(G657&lt;='RETRATO 2027'!$K$5,"CONCLUÍDA",IF(F657&lt;='RETRATO 2027'!$K$5,"EM ANDAMENTO","A INICIAR")))</f>
        <v>CONCLUÍDA</v>
      </c>
    </row>
    <row r="658" customFormat="false" ht="15" hidden="false" customHeight="false" outlineLevel="0" collapsed="false">
      <c r="B658" s="4" t="n">
        <v>29941091</v>
      </c>
      <c r="C658" s="4" t="s">
        <v>2341</v>
      </c>
      <c r="D658" s="4" t="s">
        <v>463</v>
      </c>
      <c r="E658" s="4" t="s">
        <v>2833</v>
      </c>
      <c r="F658" s="127" t="n">
        <v>46640</v>
      </c>
      <c r="G658" s="127" t="n">
        <v>46652</v>
      </c>
      <c r="H658" s="127" t="n">
        <v>46289</v>
      </c>
      <c r="I658" s="4" t="n">
        <v>0</v>
      </c>
      <c r="J658" s="4" t="n">
        <v>0</v>
      </c>
      <c r="K658" s="4" t="n">
        <v>0</v>
      </c>
      <c r="M658" s="2" t="str">
        <f aca="false">IF(C658="","",IFERROR(INDEX($S$5:$S$304,MATCH(C658,$R$5:$R$304,0))&amp;"","?"))</f>
        <v>17</v>
      </c>
      <c r="N658" s="2" t="n">
        <f aca="false">IF(E658="","",IF(ISNUMBER(SEARCH("SUBSOLO",E658)),IFERROR(-VALUE(LEFT(E658,FIND("º",SUBSTITUTE(E658,"°","º"))-1)),-1),IF(LEFT(E658,6)="TÉRREO",0,IFERROR(VALUE(LEFT(E658,FIND("º",SUBSTITUTE(E658,"°","º"))-1)),""))))</f>
        <v>25</v>
      </c>
      <c r="O658" s="2" t="str">
        <f aca="false">IF(OR(F658="",G658=""),"",IF(G658&lt;='RETRATO 2027'!$K$5,"CONCLUÍDA",IF(F658&lt;='RETRATO 2027'!$K$5,"EM ANDAMENTO","A INICIAR")))</f>
        <v>CONCLUÍDA</v>
      </c>
    </row>
    <row r="659" customFormat="false" ht="15" hidden="false" customHeight="false" outlineLevel="0" collapsed="false">
      <c r="B659" s="4" t="n">
        <v>31529048</v>
      </c>
      <c r="C659" s="4" t="s">
        <v>2341</v>
      </c>
      <c r="D659" s="4" t="s">
        <v>2312</v>
      </c>
      <c r="E659" s="4" t="s">
        <v>2833</v>
      </c>
      <c r="F659" s="127" t="n">
        <v>46640</v>
      </c>
      <c r="G659" s="127" t="n">
        <v>46646</v>
      </c>
      <c r="H659" s="127" t="n">
        <v>46289</v>
      </c>
      <c r="I659" s="4" t="n">
        <v>0</v>
      </c>
      <c r="J659" s="4" t="n">
        <v>0</v>
      </c>
      <c r="K659" s="4" t="n">
        <v>0</v>
      </c>
      <c r="M659" s="2" t="str">
        <f aca="false">IF(C659="","",IFERROR(INDEX($S$5:$S$304,MATCH(C659,$R$5:$R$304,0))&amp;"","?"))</f>
        <v>17</v>
      </c>
      <c r="N659" s="2" t="n">
        <f aca="false">IF(E659="","",IF(ISNUMBER(SEARCH("SUBSOLO",E659)),IFERROR(-VALUE(LEFT(E659,FIND("º",SUBSTITUTE(E659,"°","º"))-1)),-1),IF(LEFT(E659,6)="TÉRREO",0,IFERROR(VALUE(LEFT(E659,FIND("º",SUBSTITUTE(E659,"°","º"))-1)),""))))</f>
        <v>25</v>
      </c>
      <c r="O659" s="2" t="str">
        <f aca="false">IF(OR(F659="",G659=""),"",IF(G659&lt;='RETRATO 2027'!$K$5,"CONCLUÍDA",IF(F659&lt;='RETRATO 2027'!$K$5,"EM ANDAMENTO","A INICIAR")))</f>
        <v>CONCLUÍDA</v>
      </c>
    </row>
    <row r="660" customFormat="false" ht="15" hidden="false" customHeight="false" outlineLevel="0" collapsed="false">
      <c r="B660" s="4" t="n">
        <v>31529049</v>
      </c>
      <c r="C660" s="4" t="s">
        <v>2341</v>
      </c>
      <c r="D660" s="4" t="s">
        <v>2309</v>
      </c>
      <c r="E660" s="4" t="s">
        <v>2833</v>
      </c>
      <c r="F660" s="127" t="n">
        <v>46647</v>
      </c>
      <c r="G660" s="127" t="n">
        <v>46651</v>
      </c>
      <c r="H660" s="127" t="n">
        <v>46289</v>
      </c>
      <c r="I660" s="4" t="n">
        <v>0</v>
      </c>
      <c r="J660" s="4" t="n">
        <v>0</v>
      </c>
      <c r="K660" s="4" t="n">
        <v>0</v>
      </c>
      <c r="M660" s="2" t="str">
        <f aca="false">IF(C660="","",IFERROR(INDEX($S$5:$S$304,MATCH(C660,$R$5:$R$304,0))&amp;"","?"))</f>
        <v>17</v>
      </c>
      <c r="N660" s="2" t="n">
        <f aca="false">IF(E660="","",IF(ISNUMBER(SEARCH("SUBSOLO",E660)),IFERROR(-VALUE(LEFT(E660,FIND("º",SUBSTITUTE(E660,"°","º"))-1)),-1),IF(LEFT(E660,6)="TÉRREO",0,IFERROR(VALUE(LEFT(E660,FIND("º",SUBSTITUTE(E660,"°","º"))-1)),""))))</f>
        <v>25</v>
      </c>
      <c r="O660" s="2" t="str">
        <f aca="false">IF(OR(F660="",G660=""),"",IF(G660&lt;='RETRATO 2027'!$K$5,"CONCLUÍDA",IF(F660&lt;='RETRATO 2027'!$K$5,"EM ANDAMENTO","A INICIAR")))</f>
        <v>CONCLUÍDA</v>
      </c>
    </row>
    <row r="661" customFormat="false" ht="15" hidden="false" customHeight="false" outlineLevel="0" collapsed="false">
      <c r="B661" s="4" t="n">
        <v>31529050</v>
      </c>
      <c r="C661" s="4" t="s">
        <v>2341</v>
      </c>
      <c r="D661" s="4" t="s">
        <v>2314</v>
      </c>
      <c r="E661" s="4" t="s">
        <v>2833</v>
      </c>
      <c r="F661" s="127" t="n">
        <v>46652</v>
      </c>
      <c r="G661" s="127" t="n">
        <v>46652</v>
      </c>
      <c r="H661" s="127" t="n">
        <v>46289</v>
      </c>
      <c r="I661" s="4" t="n">
        <v>0</v>
      </c>
      <c r="J661" s="4" t="n">
        <v>0</v>
      </c>
      <c r="K661" s="4" t="n">
        <v>0</v>
      </c>
      <c r="M661" s="2" t="str">
        <f aca="false">IF(C661="","",IFERROR(INDEX($S$5:$S$304,MATCH(C661,$R$5:$R$304,0))&amp;"","?"))</f>
        <v>17</v>
      </c>
      <c r="N661" s="2" t="n">
        <f aca="false">IF(E661="","",IF(ISNUMBER(SEARCH("SUBSOLO",E661)),IFERROR(-VALUE(LEFT(E661,FIND("º",SUBSTITUTE(E661,"°","º"))-1)),-1),IF(LEFT(E661,6)="TÉRREO",0,IFERROR(VALUE(LEFT(E661,FIND("º",SUBSTITUTE(E661,"°","º"))-1)),""))))</f>
        <v>25</v>
      </c>
      <c r="O661" s="2" t="str">
        <f aca="false">IF(OR(F661="",G661=""),"",IF(G661&lt;='RETRATO 2027'!$K$5,"CONCLUÍDA",IF(F661&lt;='RETRATO 2027'!$K$5,"EM ANDAMENTO","A INICIAR")))</f>
        <v>CONCLUÍDA</v>
      </c>
    </row>
    <row r="662" customFormat="false" ht="15" hidden="false" customHeight="false" outlineLevel="0" collapsed="false">
      <c r="B662" s="4" t="n">
        <v>31529051</v>
      </c>
      <c r="C662" s="4" t="s">
        <v>2341</v>
      </c>
      <c r="D662" s="4" t="s">
        <v>2758</v>
      </c>
      <c r="E662" s="4" t="s">
        <v>2833</v>
      </c>
      <c r="F662" s="127" t="n">
        <v>46652</v>
      </c>
      <c r="G662" s="127" t="n">
        <v>46652</v>
      </c>
      <c r="H662" s="127" t="n">
        <v>46289</v>
      </c>
      <c r="I662" s="4" t="n">
        <v>0</v>
      </c>
      <c r="J662" s="4" t="n">
        <v>0</v>
      </c>
      <c r="K662" s="4" t="n">
        <v>0</v>
      </c>
      <c r="M662" s="2" t="str">
        <f aca="false">IF(C662="","",IFERROR(INDEX($S$5:$S$304,MATCH(C662,$R$5:$R$304,0))&amp;"","?"))</f>
        <v>17</v>
      </c>
      <c r="N662" s="2" t="n">
        <f aca="false">IF(E662="","",IF(ISNUMBER(SEARCH("SUBSOLO",E662)),IFERROR(-VALUE(LEFT(E662,FIND("º",SUBSTITUTE(E662,"°","º"))-1)),-1),IF(LEFT(E662,6)="TÉRREO",0,IFERROR(VALUE(LEFT(E662,FIND("º",SUBSTITUTE(E662,"°","º"))-1)),""))))</f>
        <v>25</v>
      </c>
      <c r="O662" s="2" t="str">
        <f aca="false">IF(OR(F662="",G662=""),"",IF(G662&lt;='RETRATO 2027'!$K$5,"CONCLUÍDA",IF(F662&lt;='RETRATO 2027'!$K$5,"EM ANDAMENTO","A INICIAR")))</f>
        <v>CONCLUÍDA</v>
      </c>
    </row>
    <row r="663" customFormat="false" ht="15" hidden="false" customHeight="false" outlineLevel="0" collapsed="false">
      <c r="B663" s="4" t="n">
        <v>29981037</v>
      </c>
      <c r="C663" s="4" t="s">
        <v>2410</v>
      </c>
      <c r="D663" s="4" t="s">
        <v>463</v>
      </c>
      <c r="E663" s="4" t="s">
        <v>2825</v>
      </c>
      <c r="F663" s="127" t="n">
        <v>46644</v>
      </c>
      <c r="G663" s="127" t="n">
        <v>46654</v>
      </c>
      <c r="H663" s="127" t="n">
        <v>46289</v>
      </c>
      <c r="I663" s="4" t="n">
        <v>0</v>
      </c>
      <c r="J663" s="4" t="n">
        <v>0</v>
      </c>
      <c r="K663" s="4" t="n">
        <v>0</v>
      </c>
      <c r="M663" s="2" t="str">
        <f aca="false">IF(C663="","",IFERROR(INDEX($S$5:$S$304,MATCH(C663,$R$5:$R$304,0))&amp;"","?"))</f>
        <v>22</v>
      </c>
      <c r="N663" s="2" t="n">
        <f aca="false">IF(E663="","",IF(ISNUMBER(SEARCH("SUBSOLO",E663)),IFERROR(-VALUE(LEFT(E663,FIND("º",SUBSTITUTE(E663,"°","º"))-1)),-1),IF(LEFT(E663,6)="TÉRREO",0,IFERROR(VALUE(LEFT(E663,FIND("º",SUBSTITUTE(E663,"°","º"))-1)),""))))</f>
        <v>21</v>
      </c>
      <c r="O663" s="2" t="str">
        <f aca="false">IF(OR(F663="",G663=""),"",IF(G663&lt;='RETRATO 2027'!$K$5,"CONCLUÍDA",IF(F663&lt;='RETRATO 2027'!$K$5,"EM ANDAMENTO","A INICIAR")))</f>
        <v>CONCLUÍDA</v>
      </c>
    </row>
    <row r="664" customFormat="false" ht="15" hidden="false" customHeight="false" outlineLevel="0" collapsed="false">
      <c r="B664" s="4" t="n">
        <v>29980988</v>
      </c>
      <c r="C664" s="4" t="s">
        <v>168</v>
      </c>
      <c r="D664" s="4" t="s">
        <v>463</v>
      </c>
      <c r="E664" s="4" t="s">
        <v>2827</v>
      </c>
      <c r="F664" s="127" t="n">
        <v>46644</v>
      </c>
      <c r="G664" s="127" t="n">
        <v>46654</v>
      </c>
      <c r="H664" s="127" t="n">
        <v>46289</v>
      </c>
      <c r="I664" s="4" t="n">
        <v>0</v>
      </c>
      <c r="J664" s="4" t="n">
        <v>0</v>
      </c>
      <c r="K664" s="4" t="n">
        <v>0</v>
      </c>
      <c r="M664" s="2" t="str">
        <f aca="false">IF(C664="","",IFERROR(INDEX($S$5:$S$304,MATCH(C664,$R$5:$R$304,0))&amp;"","?"))</f>
        <v>18</v>
      </c>
      <c r="N664" s="2" t="n">
        <f aca="false">IF(E664="","",IF(ISNUMBER(SEARCH("SUBSOLO",E664)),IFERROR(-VALUE(LEFT(E664,FIND("º",SUBSTITUTE(E664,"°","º"))-1)),-1),IF(LEFT(E664,6)="TÉRREO",0,IFERROR(VALUE(LEFT(E664,FIND("º",SUBSTITUTE(E664,"°","º"))-1)),""))))</f>
        <v>22</v>
      </c>
      <c r="O664" s="2" t="str">
        <f aca="false">IF(OR(F664="",G664=""),"",IF(G664&lt;='RETRATO 2027'!$K$5,"CONCLUÍDA",IF(F664&lt;='RETRATO 2027'!$K$5,"EM ANDAMENTO","A INICIAR")))</f>
        <v>CONCLUÍDA</v>
      </c>
    </row>
    <row r="665" customFormat="false" ht="15" hidden="false" customHeight="false" outlineLevel="0" collapsed="false">
      <c r="B665" s="4" t="n">
        <v>30171499</v>
      </c>
      <c r="C665" s="4" t="s">
        <v>2495</v>
      </c>
      <c r="D665" s="4" t="s">
        <v>463</v>
      </c>
      <c r="E665" s="4" t="s">
        <v>2817</v>
      </c>
      <c r="F665" s="127" t="n">
        <v>46650</v>
      </c>
      <c r="G665" s="127" t="n">
        <v>46947</v>
      </c>
      <c r="H665" s="127" t="n">
        <v>46289</v>
      </c>
      <c r="I665" s="4" t="n">
        <v>0</v>
      </c>
      <c r="J665" s="4" t="n">
        <v>0</v>
      </c>
      <c r="K665" s="4" t="n">
        <v>0</v>
      </c>
      <c r="M665" s="2" t="str">
        <f aca="false">IF(C665="","",IFERROR(INDEX($S$5:$S$304,MATCH(C665,$R$5:$R$304,0))&amp;"","?"))</f>
        <v>24</v>
      </c>
      <c r="N665" s="2" t="str">
        <f aca="false">IF(E665="","",IF(ISNUMBER(SEARCH("SUBSOLO",E665)),IFERROR(-VALUE(LEFT(E665,FIND("º",SUBSTITUTE(E665,"°","º"))-1)),-1),IF(LEFT(E665,6)="TÉRREO",0,IFERROR(VALUE(LEFT(E665,FIND("º",SUBSTITUTE(E665,"°","º"))-1)),""))))</f>
        <v/>
      </c>
      <c r="O665" s="2" t="str">
        <f aca="false">IF(OR(F665="",G665=""),"",IF(G665&lt;='RETRATO 2027'!$K$5,"CONCLUÍDA",IF(F665&lt;='RETRATO 2027'!$K$5,"EM ANDAMENTO","A INICIAR")))</f>
        <v>EM ANDAMENTO</v>
      </c>
    </row>
    <row r="666" customFormat="false" ht="15" hidden="false" customHeight="false" outlineLevel="0" collapsed="false">
      <c r="B666" s="4" t="n">
        <v>34184758</v>
      </c>
      <c r="C666" s="4" t="s">
        <v>2498</v>
      </c>
      <c r="D666" s="4" t="s">
        <v>463</v>
      </c>
      <c r="E666" s="4" t="s">
        <v>2817</v>
      </c>
      <c r="F666" s="127" t="n">
        <v>46650</v>
      </c>
      <c r="G666" s="127" t="n">
        <v>46969</v>
      </c>
      <c r="H666" s="127" t="n">
        <v>46289</v>
      </c>
      <c r="I666" s="4" t="n">
        <v>0</v>
      </c>
      <c r="J666" s="4" t="n">
        <v>0</v>
      </c>
      <c r="K666" s="4" t="n">
        <v>0</v>
      </c>
      <c r="M666" s="2" t="str">
        <f aca="false">IF(C666="","",IFERROR(INDEX($S$5:$S$304,MATCH(C666,$R$5:$R$304,0))&amp;"","?"))</f>
        <v>30</v>
      </c>
      <c r="N666" s="2" t="str">
        <f aca="false">IF(E666="","",IF(ISNUMBER(SEARCH("SUBSOLO",E666)),IFERROR(-VALUE(LEFT(E666,FIND("º",SUBSTITUTE(E666,"°","º"))-1)),-1),IF(LEFT(E666,6)="TÉRREO",0,IFERROR(VALUE(LEFT(E666,FIND("º",SUBSTITUTE(E666,"°","º"))-1)),""))))</f>
        <v/>
      </c>
      <c r="O666" s="2" t="str">
        <f aca="false">IF(OR(F666="",G666=""),"",IF(G666&lt;='RETRATO 2027'!$K$5,"CONCLUÍDA",IF(F666&lt;='RETRATO 2027'!$K$5,"EM ANDAMENTO","A INICIAR")))</f>
        <v>EM ANDAMENTO</v>
      </c>
    </row>
    <row r="667" customFormat="false" ht="15" hidden="false" customHeight="false" outlineLevel="0" collapsed="false">
      <c r="B667" s="4" t="n">
        <v>29981533</v>
      </c>
      <c r="C667" s="4" t="s">
        <v>2501</v>
      </c>
      <c r="D667" s="4" t="s">
        <v>463</v>
      </c>
      <c r="E667" s="4" t="s">
        <v>2803</v>
      </c>
      <c r="F667" s="127" t="n">
        <v>46650</v>
      </c>
      <c r="G667" s="127" t="n">
        <v>46660</v>
      </c>
      <c r="H667" s="127" t="n">
        <v>46289</v>
      </c>
      <c r="I667" s="4" t="n">
        <v>0</v>
      </c>
      <c r="J667" s="4" t="n">
        <v>0</v>
      </c>
      <c r="K667" s="4" t="n">
        <v>0</v>
      </c>
      <c r="M667" s="2" t="str">
        <f aca="false">IF(C667="","",IFERROR(INDEX($S$5:$S$304,MATCH(C667,$R$5:$R$304,0))&amp;"","?"))</f>
        <v>30</v>
      </c>
      <c r="N667" s="2" t="n">
        <f aca="false">IF(E667="","",IF(ISNUMBER(SEARCH("SUBSOLO",E667)),IFERROR(-VALUE(LEFT(E667,FIND("º",SUBSTITUTE(E667,"°","º"))-1)),-1),IF(LEFT(E667,6)="TÉRREO",0,IFERROR(VALUE(LEFT(E667,FIND("º",SUBSTITUTE(E667,"°","º"))-1)),""))))</f>
        <v>7</v>
      </c>
      <c r="O667" s="2" t="str">
        <f aca="false">IF(OR(F667="",G667=""),"",IF(G667&lt;='RETRATO 2027'!$K$5,"CONCLUÍDA",IF(F667&lt;='RETRATO 2027'!$K$5,"EM ANDAMENTO","A INICIAR")))</f>
        <v>CONCLUÍDA</v>
      </c>
    </row>
    <row r="668" customFormat="false" ht="15" hidden="false" customHeight="false" outlineLevel="0" collapsed="false">
      <c r="B668" s="4" t="n">
        <v>29981495</v>
      </c>
      <c r="C668" s="4" t="s">
        <v>2486</v>
      </c>
      <c r="D668" s="4" t="s">
        <v>463</v>
      </c>
      <c r="E668" s="4" t="s">
        <v>2804</v>
      </c>
      <c r="F668" s="127" t="n">
        <v>46650</v>
      </c>
      <c r="G668" s="127" t="n">
        <v>46660</v>
      </c>
      <c r="H668" s="127" t="n">
        <v>46289</v>
      </c>
      <c r="I668" s="4" t="n">
        <v>0</v>
      </c>
      <c r="J668" s="4" t="n">
        <v>0</v>
      </c>
      <c r="K668" s="4" t="n">
        <v>0</v>
      </c>
      <c r="M668" s="2" t="str">
        <f aca="false">IF(C668="","",IFERROR(INDEX($S$5:$S$304,MATCH(C668,$R$5:$R$304,0))&amp;"","?"))</f>
        <v>30</v>
      </c>
      <c r="N668" s="2" t="n">
        <f aca="false">IF(E668="","",IF(ISNUMBER(SEARCH("SUBSOLO",E668)),IFERROR(-VALUE(LEFT(E668,FIND("º",SUBSTITUTE(E668,"°","º"))-1)),-1),IF(LEFT(E668,6)="TÉRREO",0,IFERROR(VALUE(LEFT(E668,FIND("º",SUBSTITUTE(E668,"°","º"))-1)),""))))</f>
        <v>8</v>
      </c>
      <c r="O668" s="2" t="str">
        <f aca="false">IF(OR(F668="",G668=""),"",IF(G668&lt;='RETRATO 2027'!$K$5,"CONCLUÍDA",IF(F668&lt;='RETRATO 2027'!$K$5,"EM ANDAMENTO","A INICIAR")))</f>
        <v>CONCLUÍDA</v>
      </c>
    </row>
    <row r="669" customFormat="false" ht="15" hidden="false" customHeight="false" outlineLevel="0" collapsed="false">
      <c r="B669" s="4" t="n">
        <v>29981474</v>
      </c>
      <c r="C669" s="4" t="s">
        <v>2480</v>
      </c>
      <c r="D669" s="4" t="s">
        <v>463</v>
      </c>
      <c r="E669" s="4" t="s">
        <v>2805</v>
      </c>
      <c r="F669" s="127" t="n">
        <v>46650</v>
      </c>
      <c r="G669" s="127" t="n">
        <v>46660</v>
      </c>
      <c r="H669" s="127" t="n">
        <v>46289</v>
      </c>
      <c r="I669" s="4" t="n">
        <v>0</v>
      </c>
      <c r="J669" s="4" t="n">
        <v>0</v>
      </c>
      <c r="K669" s="4" t="n">
        <v>0</v>
      </c>
      <c r="M669" s="2" t="str">
        <f aca="false">IF(C669="","",IFERROR(INDEX($S$5:$S$304,MATCH(C669,$R$5:$R$304,0))&amp;"","?"))</f>
        <v>30</v>
      </c>
      <c r="N669" s="2" t="n">
        <f aca="false">IF(E669="","",IF(ISNUMBER(SEARCH("SUBSOLO",E669)),IFERROR(-VALUE(LEFT(E669,FIND("º",SUBSTITUTE(E669,"°","º"))-1)),-1),IF(LEFT(E669,6)="TÉRREO",0,IFERROR(VALUE(LEFT(E669,FIND("º",SUBSTITUTE(E669,"°","º"))-1)),""))))</f>
        <v>9</v>
      </c>
      <c r="O669" s="2" t="str">
        <f aca="false">IF(OR(F669="",G669=""),"",IF(G669&lt;='RETRATO 2027'!$K$5,"CONCLUÍDA",IF(F669&lt;='RETRATO 2027'!$K$5,"EM ANDAMENTO","A INICIAR")))</f>
        <v>CONCLUÍDA</v>
      </c>
    </row>
    <row r="670" customFormat="false" ht="15" hidden="false" customHeight="false" outlineLevel="0" collapsed="false">
      <c r="B670" s="4" t="n">
        <v>29981435</v>
      </c>
      <c r="C670" s="4" t="s">
        <v>171</v>
      </c>
      <c r="D670" s="4" t="s">
        <v>463</v>
      </c>
      <c r="E670" s="4" t="s">
        <v>2809</v>
      </c>
      <c r="F670" s="127" t="n">
        <v>46650</v>
      </c>
      <c r="G670" s="127" t="n">
        <v>46660</v>
      </c>
      <c r="H670" s="127" t="n">
        <v>46289</v>
      </c>
      <c r="I670" s="4" t="n">
        <v>0</v>
      </c>
      <c r="J670" s="4" t="n">
        <v>0</v>
      </c>
      <c r="K670" s="4" t="n">
        <v>0</v>
      </c>
      <c r="M670" s="2" t="str">
        <f aca="false">IF(C670="","",IFERROR(INDEX($S$5:$S$304,MATCH(C670,$R$5:$R$304,0))&amp;"","?"))</f>
        <v>19</v>
      </c>
      <c r="N670" s="2" t="n">
        <f aca="false">IF(E670="","",IF(ISNUMBER(SEARCH("SUBSOLO",E670)),IFERROR(-VALUE(LEFT(E670,FIND("º",SUBSTITUTE(E670,"°","º"))-1)),-1),IF(LEFT(E670,6)="TÉRREO",0,IFERROR(VALUE(LEFT(E670,FIND("º",SUBSTITUTE(E670,"°","º"))-1)),""))))</f>
        <v>10</v>
      </c>
      <c r="O670" s="2" t="str">
        <f aca="false">IF(OR(F670="",G670=""),"",IF(G670&lt;='RETRATO 2027'!$K$5,"CONCLUÍDA",IF(F670&lt;='RETRATO 2027'!$K$5,"EM ANDAMENTO","A INICIAR")))</f>
        <v>CONCLUÍDA</v>
      </c>
    </row>
    <row r="671" customFormat="false" ht="15" hidden="false" customHeight="false" outlineLevel="0" collapsed="false">
      <c r="B671" s="4" t="n">
        <v>32750437</v>
      </c>
      <c r="C671" s="4" t="s">
        <v>2470</v>
      </c>
      <c r="D671" s="4" t="s">
        <v>463</v>
      </c>
      <c r="E671" s="4" t="s">
        <v>2810</v>
      </c>
      <c r="F671" s="127" t="n">
        <v>46650</v>
      </c>
      <c r="G671" s="127" t="n">
        <v>46660</v>
      </c>
      <c r="H671" s="127" t="n">
        <v>46289</v>
      </c>
      <c r="I671" s="4" t="n">
        <v>0</v>
      </c>
      <c r="J671" s="4" t="n">
        <v>0</v>
      </c>
      <c r="K671" s="4" t="n">
        <v>0</v>
      </c>
      <c r="M671" s="2" t="str">
        <f aca="false">IF(C671="","",IFERROR(INDEX($S$5:$S$304,MATCH(C671,$R$5:$R$304,0))&amp;"","?"))</f>
        <v>18</v>
      </c>
      <c r="N671" s="2" t="n">
        <f aca="false">IF(E671="","",IF(ISNUMBER(SEARCH("SUBSOLO",E671)),IFERROR(-VALUE(LEFT(E671,FIND("º",SUBSTITUTE(E671,"°","º"))-1)),-1),IF(LEFT(E671,6)="TÉRREO",0,IFERROR(VALUE(LEFT(E671,FIND("º",SUBSTITUTE(E671,"°","º"))-1)),""))))</f>
        <v>11</v>
      </c>
      <c r="O671" s="2" t="str">
        <f aca="false">IF(OR(F671="",G671=""),"",IF(G671&lt;='RETRATO 2027'!$K$5,"CONCLUÍDA",IF(F671&lt;='RETRATO 2027'!$K$5,"EM ANDAMENTO","A INICIAR")))</f>
        <v>CONCLUÍDA</v>
      </c>
    </row>
    <row r="672" customFormat="false" ht="15" hidden="false" customHeight="false" outlineLevel="0" collapsed="false">
      <c r="B672" s="4" t="n">
        <v>32750360</v>
      </c>
      <c r="C672" s="4" t="s">
        <v>2458</v>
      </c>
      <c r="D672" s="4" t="s">
        <v>463</v>
      </c>
      <c r="E672" s="4" t="s">
        <v>2811</v>
      </c>
      <c r="F672" s="127" t="n">
        <v>46650</v>
      </c>
      <c r="G672" s="127" t="n">
        <v>46660</v>
      </c>
      <c r="H672" s="127" t="n">
        <v>46289</v>
      </c>
      <c r="I672" s="4" t="n">
        <v>0</v>
      </c>
      <c r="J672" s="4" t="n">
        <v>0</v>
      </c>
      <c r="K672" s="4" t="n">
        <v>0</v>
      </c>
      <c r="M672" s="2" t="str">
        <f aca="false">IF(C672="","",IFERROR(INDEX($S$5:$S$304,MATCH(C672,$R$5:$R$304,0))&amp;"","?"))</f>
        <v>21</v>
      </c>
      <c r="N672" s="2" t="n">
        <f aca="false">IF(E672="","",IF(ISNUMBER(SEARCH("SUBSOLO",E672)),IFERROR(-VALUE(LEFT(E672,FIND("º",SUBSTITUTE(E672,"°","º"))-1)),-1),IF(LEFT(E672,6)="TÉRREO",0,IFERROR(VALUE(LEFT(E672,FIND("º",SUBSTITUTE(E672,"°","º"))-1)),""))))</f>
        <v>12</v>
      </c>
      <c r="O672" s="2" t="str">
        <f aca="false">IF(OR(F672="",G672=""),"",IF(G672&lt;='RETRATO 2027'!$K$5,"CONCLUÍDA",IF(F672&lt;='RETRATO 2027'!$K$5,"EM ANDAMENTO","A INICIAR")))</f>
        <v>CONCLUÍDA</v>
      </c>
    </row>
    <row r="673" customFormat="false" ht="15" hidden="false" customHeight="false" outlineLevel="0" collapsed="false">
      <c r="B673" s="4" t="n">
        <v>32750386</v>
      </c>
      <c r="C673" s="4" t="s">
        <v>2461</v>
      </c>
      <c r="D673" s="4" t="s">
        <v>463</v>
      </c>
      <c r="E673" s="4" t="s">
        <v>2811</v>
      </c>
      <c r="F673" s="127" t="n">
        <v>46650</v>
      </c>
      <c r="G673" s="127" t="n">
        <v>46660</v>
      </c>
      <c r="H673" s="127" t="n">
        <v>46289</v>
      </c>
      <c r="I673" s="4" t="n">
        <v>0</v>
      </c>
      <c r="J673" s="4" t="n">
        <v>0</v>
      </c>
      <c r="K673" s="4" t="n">
        <v>0</v>
      </c>
      <c r="M673" s="2" t="str">
        <f aca="false">IF(C673="","",IFERROR(INDEX($S$5:$S$304,MATCH(C673,$R$5:$R$304,0))&amp;"","?"))</f>
        <v>20</v>
      </c>
      <c r="N673" s="2" t="n">
        <f aca="false">IF(E673="","",IF(ISNUMBER(SEARCH("SUBSOLO",E673)),IFERROR(-VALUE(LEFT(E673,FIND("º",SUBSTITUTE(E673,"°","º"))-1)),-1),IF(LEFT(E673,6)="TÉRREO",0,IFERROR(VALUE(LEFT(E673,FIND("º",SUBSTITUTE(E673,"°","º"))-1)),""))))</f>
        <v>12</v>
      </c>
      <c r="O673" s="2" t="str">
        <f aca="false">IF(OR(F673="",G673=""),"",IF(G673&lt;='RETRATO 2027'!$K$5,"CONCLUÍDA",IF(F673&lt;='RETRATO 2027'!$K$5,"EM ANDAMENTO","A INICIAR")))</f>
        <v>CONCLUÍDA</v>
      </c>
    </row>
    <row r="674" customFormat="false" ht="15" hidden="false" customHeight="false" outlineLevel="0" collapsed="false">
      <c r="B674" s="4" t="n">
        <v>32750412</v>
      </c>
      <c r="C674" s="4" t="s">
        <v>2464</v>
      </c>
      <c r="D674" s="4" t="s">
        <v>463</v>
      </c>
      <c r="E674" s="4" t="s">
        <v>2811</v>
      </c>
      <c r="F674" s="127" t="n">
        <v>46650</v>
      </c>
      <c r="G674" s="127" t="n">
        <v>46660</v>
      </c>
      <c r="H674" s="127" t="n">
        <v>46289</v>
      </c>
      <c r="I674" s="4" t="n">
        <v>0</v>
      </c>
      <c r="J674" s="4" t="n">
        <v>0</v>
      </c>
      <c r="K674" s="4" t="n">
        <v>0</v>
      </c>
      <c r="M674" s="2" t="str">
        <f aca="false">IF(C674="","",IFERROR(INDEX($S$5:$S$304,MATCH(C674,$R$5:$R$304,0))&amp;"","?"))</f>
        <v>21</v>
      </c>
      <c r="N674" s="2" t="n">
        <f aca="false">IF(E674="","",IF(ISNUMBER(SEARCH("SUBSOLO",E674)),IFERROR(-VALUE(LEFT(E674,FIND("º",SUBSTITUTE(E674,"°","º"))-1)),-1),IF(LEFT(E674,6)="TÉRREO",0,IFERROR(VALUE(LEFT(E674,FIND("º",SUBSTITUTE(E674,"°","º"))-1)),""))))</f>
        <v>12</v>
      </c>
      <c r="O674" s="2" t="str">
        <f aca="false">IF(OR(F674="",G674=""),"",IF(G674&lt;='RETRATO 2027'!$K$5,"CONCLUÍDA",IF(F674&lt;='RETRATO 2027'!$K$5,"EM ANDAMENTO","A INICIAR")))</f>
        <v>CONCLUÍDA</v>
      </c>
    </row>
    <row r="675" customFormat="false" ht="15" hidden="false" customHeight="false" outlineLevel="0" collapsed="false">
      <c r="B675" s="4" t="n">
        <v>33896830</v>
      </c>
      <c r="C675" s="4" t="s">
        <v>2467</v>
      </c>
      <c r="D675" s="4" t="s">
        <v>463</v>
      </c>
      <c r="E675" s="4" t="s">
        <v>2811</v>
      </c>
      <c r="F675" s="127" t="n">
        <v>46650</v>
      </c>
      <c r="G675" s="127" t="n">
        <v>46660</v>
      </c>
      <c r="H675" s="127" t="n">
        <v>46289</v>
      </c>
      <c r="I675" s="4" t="n">
        <v>0</v>
      </c>
      <c r="J675" s="4" t="n">
        <v>0</v>
      </c>
      <c r="K675" s="4" t="n">
        <v>0</v>
      </c>
      <c r="M675" s="2" t="str">
        <f aca="false">IF(C675="","",IFERROR(INDEX($S$5:$S$304,MATCH(C675,$R$5:$R$304,0))&amp;"","?"))</f>
        <v>23</v>
      </c>
      <c r="N675" s="2" t="n">
        <f aca="false">IF(E675="","",IF(ISNUMBER(SEARCH("SUBSOLO",E675)),IFERROR(-VALUE(LEFT(E675,FIND("º",SUBSTITUTE(E675,"°","º"))-1)),-1),IF(LEFT(E675,6)="TÉRREO",0,IFERROR(VALUE(LEFT(E675,FIND("º",SUBSTITUTE(E675,"°","º"))-1)),""))))</f>
        <v>12</v>
      </c>
      <c r="O675" s="2" t="str">
        <f aca="false">IF(OR(F675="",G675=""),"",IF(G675&lt;='RETRATO 2027'!$K$5,"CONCLUÍDA",IF(F675&lt;='RETRATO 2027'!$K$5,"EM ANDAMENTO","A INICIAR")))</f>
        <v>CONCLUÍDA</v>
      </c>
    </row>
    <row r="676" customFormat="false" ht="15" hidden="false" customHeight="false" outlineLevel="0" collapsed="false">
      <c r="B676" s="4" t="n">
        <v>32749856</v>
      </c>
      <c r="C676" s="4" t="s">
        <v>2455</v>
      </c>
      <c r="D676" s="4" t="s">
        <v>463</v>
      </c>
      <c r="E676" s="4" t="s">
        <v>2812</v>
      </c>
      <c r="F676" s="127" t="n">
        <v>46650</v>
      </c>
      <c r="G676" s="127" t="n">
        <v>46660</v>
      </c>
      <c r="H676" s="127" t="n">
        <v>46289</v>
      </c>
      <c r="I676" s="4" t="n">
        <v>0</v>
      </c>
      <c r="J676" s="4" t="n">
        <v>0</v>
      </c>
      <c r="K676" s="4" t="n">
        <v>0</v>
      </c>
      <c r="M676" s="2" t="str">
        <f aca="false">IF(C676="","",IFERROR(INDEX($S$5:$S$304,MATCH(C676,$R$5:$R$304,0))&amp;"","?"))</f>
        <v>18</v>
      </c>
      <c r="N676" s="2" t="n">
        <f aca="false">IF(E676="","",IF(ISNUMBER(SEARCH("SUBSOLO",E676)),IFERROR(-VALUE(LEFT(E676,FIND("º",SUBSTITUTE(E676,"°","º"))-1)),-1),IF(LEFT(E676,6)="TÉRREO",0,IFERROR(VALUE(LEFT(E676,FIND("º",SUBSTITUTE(E676,"°","º"))-1)),""))))</f>
        <v>13</v>
      </c>
      <c r="O676" s="2" t="str">
        <f aca="false">IF(OR(F676="",G676=""),"",IF(G676&lt;='RETRATO 2027'!$K$5,"CONCLUÍDA",IF(F676&lt;='RETRATO 2027'!$K$5,"EM ANDAMENTO","A INICIAR")))</f>
        <v>CONCLUÍDA</v>
      </c>
    </row>
    <row r="677" customFormat="false" ht="15" hidden="false" customHeight="false" outlineLevel="0" collapsed="false">
      <c r="B677" s="4" t="n">
        <v>29981288</v>
      </c>
      <c r="C677" s="4" t="s">
        <v>2449</v>
      </c>
      <c r="D677" s="4" t="s">
        <v>463</v>
      </c>
      <c r="E677" s="4" t="s">
        <v>2813</v>
      </c>
      <c r="F677" s="127" t="n">
        <v>46650</v>
      </c>
      <c r="G677" s="127" t="n">
        <v>46660</v>
      </c>
      <c r="H677" s="127" t="n">
        <v>46289</v>
      </c>
      <c r="I677" s="4" t="n">
        <v>0</v>
      </c>
      <c r="J677" s="4" t="n">
        <v>0</v>
      </c>
      <c r="K677" s="4" t="n">
        <v>0</v>
      </c>
      <c r="M677" s="2" t="str">
        <f aca="false">IF(C677="","",IFERROR(INDEX($S$5:$S$304,MATCH(C677,$R$5:$R$304,0))&amp;"","?"))</f>
        <v>28</v>
      </c>
      <c r="N677" s="2" t="n">
        <f aca="false">IF(E677="","",IF(ISNUMBER(SEARCH("SUBSOLO",E677)),IFERROR(-VALUE(LEFT(E677,FIND("º",SUBSTITUTE(E677,"°","º"))-1)),-1),IF(LEFT(E677,6)="TÉRREO",0,IFERROR(VALUE(LEFT(E677,FIND("º",SUBSTITUTE(E677,"°","º"))-1)),""))))</f>
        <v>14</v>
      </c>
      <c r="O677" s="2" t="str">
        <f aca="false">IF(OR(F677="",G677=""),"",IF(G677&lt;='RETRATO 2027'!$K$5,"CONCLUÍDA",IF(F677&lt;='RETRATO 2027'!$K$5,"EM ANDAMENTO","A INICIAR")))</f>
        <v>CONCLUÍDA</v>
      </c>
    </row>
    <row r="678" customFormat="false" ht="15" hidden="false" customHeight="false" outlineLevel="0" collapsed="false">
      <c r="B678" s="4" t="n">
        <v>29981228</v>
      </c>
      <c r="C678" s="4" t="s">
        <v>2440</v>
      </c>
      <c r="D678" s="4" t="s">
        <v>463</v>
      </c>
      <c r="E678" s="4" t="s">
        <v>2814</v>
      </c>
      <c r="F678" s="127" t="n">
        <v>46650</v>
      </c>
      <c r="G678" s="127" t="n">
        <v>46660</v>
      </c>
      <c r="H678" s="127" t="n">
        <v>46289</v>
      </c>
      <c r="I678" s="4" t="n">
        <v>0</v>
      </c>
      <c r="J678" s="4" t="n">
        <v>0</v>
      </c>
      <c r="K678" s="4" t="n">
        <v>0</v>
      </c>
      <c r="M678" s="2" t="str">
        <f aca="false">IF(C678="","",IFERROR(INDEX($S$5:$S$304,MATCH(C678,$R$5:$R$304,0))&amp;"","?"))</f>
        <v>21</v>
      </c>
      <c r="N678" s="2" t="n">
        <f aca="false">IF(E678="","",IF(ISNUMBER(SEARCH("SUBSOLO",E678)),IFERROR(-VALUE(LEFT(E678,FIND("º",SUBSTITUTE(E678,"°","º"))-1)),-1),IF(LEFT(E678,6)="TÉRREO",0,IFERROR(VALUE(LEFT(E678,FIND("º",SUBSTITUTE(E678,"°","º"))-1)),""))))</f>
        <v>15</v>
      </c>
      <c r="O678" s="2" t="str">
        <f aca="false">IF(OR(F678="",G678=""),"",IF(G678&lt;='RETRATO 2027'!$K$5,"CONCLUÍDA",IF(F678&lt;='RETRATO 2027'!$K$5,"EM ANDAMENTO","A INICIAR")))</f>
        <v>CONCLUÍDA</v>
      </c>
    </row>
    <row r="679" customFormat="false" ht="15" hidden="false" customHeight="false" outlineLevel="0" collapsed="false">
      <c r="B679" s="4" t="n">
        <v>29981261</v>
      </c>
      <c r="C679" s="4" t="s">
        <v>2443</v>
      </c>
      <c r="D679" s="4" t="s">
        <v>463</v>
      </c>
      <c r="E679" s="4" t="s">
        <v>2814</v>
      </c>
      <c r="F679" s="127" t="n">
        <v>46650</v>
      </c>
      <c r="G679" s="127" t="n">
        <v>46660</v>
      </c>
      <c r="H679" s="127" t="n">
        <v>46289</v>
      </c>
      <c r="I679" s="4" t="n">
        <v>0</v>
      </c>
      <c r="J679" s="4" t="n">
        <v>0</v>
      </c>
      <c r="K679" s="4" t="n">
        <v>0</v>
      </c>
      <c r="M679" s="2" t="str">
        <f aca="false">IF(C679="","",IFERROR(INDEX($S$5:$S$304,MATCH(C679,$R$5:$R$304,0))&amp;"","?"))</f>
        <v>20</v>
      </c>
      <c r="N679" s="2" t="n">
        <f aca="false">IF(E679="","",IF(ISNUMBER(SEARCH("SUBSOLO",E679)),IFERROR(-VALUE(LEFT(E679,FIND("º",SUBSTITUTE(E679,"°","º"))-1)),-1),IF(LEFT(E679,6)="TÉRREO",0,IFERROR(VALUE(LEFT(E679,FIND("º",SUBSTITUTE(E679,"°","º"))-1)),""))))</f>
        <v>15</v>
      </c>
      <c r="O679" s="2" t="str">
        <f aca="false">IF(OR(F679="",G679=""),"",IF(G679&lt;='RETRATO 2027'!$K$5,"CONCLUÍDA",IF(F679&lt;='RETRATO 2027'!$K$5,"EM ANDAMENTO","A INICIAR")))</f>
        <v>CONCLUÍDA</v>
      </c>
    </row>
    <row r="680" customFormat="false" ht="15" hidden="false" customHeight="false" outlineLevel="0" collapsed="false">
      <c r="B680" s="4" t="n">
        <v>29981190</v>
      </c>
      <c r="C680" s="4" t="s">
        <v>2437</v>
      </c>
      <c r="D680" s="4" t="s">
        <v>463</v>
      </c>
      <c r="E680" s="4" t="s">
        <v>2815</v>
      </c>
      <c r="F680" s="127" t="n">
        <v>46650</v>
      </c>
      <c r="G680" s="127" t="n">
        <v>46660</v>
      </c>
      <c r="H680" s="127" t="n">
        <v>46289</v>
      </c>
      <c r="I680" s="4" t="n">
        <v>0</v>
      </c>
      <c r="J680" s="4" t="n">
        <v>0</v>
      </c>
      <c r="K680" s="4" t="n">
        <v>0</v>
      </c>
      <c r="M680" s="2" t="str">
        <f aca="false">IF(C680="","",IFERROR(INDEX($S$5:$S$304,MATCH(C680,$R$5:$R$304,0))&amp;"","?"))</f>
        <v>29</v>
      </c>
      <c r="N680" s="2" t="n">
        <f aca="false">IF(E680="","",IF(ISNUMBER(SEARCH("SUBSOLO",E680)),IFERROR(-VALUE(LEFT(E680,FIND("º",SUBSTITUTE(E680,"°","º"))-1)),-1),IF(LEFT(E680,6)="TÉRREO",0,IFERROR(VALUE(LEFT(E680,FIND("º",SUBSTITUTE(E680,"°","º"))-1)),""))))</f>
        <v>16</v>
      </c>
      <c r="O680" s="2" t="str">
        <f aca="false">IF(OR(F680="",G680=""),"",IF(G680&lt;='RETRATO 2027'!$K$5,"CONCLUÍDA",IF(F680&lt;='RETRATO 2027'!$K$5,"EM ANDAMENTO","A INICIAR")))</f>
        <v>CONCLUÍDA</v>
      </c>
    </row>
    <row r="681" customFormat="false" ht="15" hidden="false" customHeight="false" outlineLevel="0" collapsed="false">
      <c r="B681" s="4" t="n">
        <v>29981156</v>
      </c>
      <c r="C681" s="4" t="s">
        <v>2434</v>
      </c>
      <c r="D681" s="4" t="s">
        <v>463</v>
      </c>
      <c r="E681" s="4" t="s">
        <v>2818</v>
      </c>
      <c r="F681" s="127" t="n">
        <v>46650</v>
      </c>
      <c r="G681" s="127" t="n">
        <v>46660</v>
      </c>
      <c r="H681" s="127" t="n">
        <v>46289</v>
      </c>
      <c r="I681" s="4" t="n">
        <v>0</v>
      </c>
      <c r="J681" s="4" t="n">
        <v>0</v>
      </c>
      <c r="K681" s="4" t="n">
        <v>0</v>
      </c>
      <c r="M681" s="2" t="str">
        <f aca="false">IF(C681="","",IFERROR(INDEX($S$5:$S$304,MATCH(C681,$R$5:$R$304,0))&amp;"","?"))</f>
        <v>25</v>
      </c>
      <c r="N681" s="2" t="n">
        <f aca="false">IF(E681="","",IF(ISNUMBER(SEARCH("SUBSOLO",E681)),IFERROR(-VALUE(LEFT(E681,FIND("º",SUBSTITUTE(E681,"°","º"))-1)),-1),IF(LEFT(E681,6)="TÉRREO",0,IFERROR(VALUE(LEFT(E681,FIND("º",SUBSTITUTE(E681,"°","º"))-1)),""))))</f>
        <v>17</v>
      </c>
      <c r="O681" s="2" t="str">
        <f aca="false">IF(OR(F681="",G681=""),"",IF(G681&lt;='RETRATO 2027'!$K$5,"CONCLUÍDA",IF(F681&lt;='RETRATO 2027'!$K$5,"EM ANDAMENTO","A INICIAR")))</f>
        <v>CONCLUÍDA</v>
      </c>
    </row>
    <row r="682" customFormat="false" ht="15" hidden="false" customHeight="false" outlineLevel="0" collapsed="false">
      <c r="B682" s="4" t="n">
        <v>29981149</v>
      </c>
      <c r="C682" s="4" t="s">
        <v>2425</v>
      </c>
      <c r="D682" s="4" t="s">
        <v>463</v>
      </c>
      <c r="E682" s="4" t="s">
        <v>2820</v>
      </c>
      <c r="F682" s="127" t="n">
        <v>46650</v>
      </c>
      <c r="G682" s="127" t="n">
        <v>46660</v>
      </c>
      <c r="H682" s="127" t="n">
        <v>46289</v>
      </c>
      <c r="I682" s="4" t="n">
        <v>0</v>
      </c>
      <c r="J682" s="4" t="n">
        <v>0</v>
      </c>
      <c r="K682" s="4" t="n">
        <v>0</v>
      </c>
      <c r="M682" s="2" t="str">
        <f aca="false">IF(C682="","",IFERROR(INDEX($S$5:$S$304,MATCH(C682,$R$5:$R$304,0))&amp;"","?"))</f>
        <v>21</v>
      </c>
      <c r="N682" s="2" t="n">
        <f aca="false">IF(E682="","",IF(ISNUMBER(SEARCH("SUBSOLO",E682)),IFERROR(-VALUE(LEFT(E682,FIND("º",SUBSTITUTE(E682,"°","º"))-1)),-1),IF(LEFT(E682,6)="TÉRREO",0,IFERROR(VALUE(LEFT(E682,FIND("º",SUBSTITUTE(E682,"°","º"))-1)),""))))</f>
        <v>18</v>
      </c>
      <c r="O682" s="2" t="str">
        <f aca="false">IF(OR(F682="",G682=""),"",IF(G682&lt;='RETRATO 2027'!$K$5,"CONCLUÍDA",IF(F682&lt;='RETRATO 2027'!$K$5,"EM ANDAMENTO","A INICIAR")))</f>
        <v>CONCLUÍDA</v>
      </c>
    </row>
    <row r="683" customFormat="false" ht="15" hidden="false" customHeight="false" outlineLevel="0" collapsed="false">
      <c r="B683" s="4" t="n">
        <v>29981118</v>
      </c>
      <c r="C683" s="4" t="s">
        <v>2428</v>
      </c>
      <c r="D683" s="4" t="s">
        <v>463</v>
      </c>
      <c r="E683" s="4" t="s">
        <v>2820</v>
      </c>
      <c r="F683" s="127" t="n">
        <v>46650</v>
      </c>
      <c r="G683" s="127" t="n">
        <v>46660</v>
      </c>
      <c r="H683" s="127" t="n">
        <v>46289</v>
      </c>
      <c r="I683" s="4" t="n">
        <v>0</v>
      </c>
      <c r="J683" s="4" t="n">
        <v>0</v>
      </c>
      <c r="K683" s="4" t="n">
        <v>0</v>
      </c>
      <c r="M683" s="2" t="str">
        <f aca="false">IF(C683="","",IFERROR(INDEX($S$5:$S$304,MATCH(C683,$R$5:$R$304,0))&amp;"","?"))</f>
        <v>20</v>
      </c>
      <c r="N683" s="2" t="n">
        <f aca="false">IF(E683="","",IF(ISNUMBER(SEARCH("SUBSOLO",E683)),IFERROR(-VALUE(LEFT(E683,FIND("º",SUBSTITUTE(E683,"°","º"))-1)),-1),IF(LEFT(E683,6)="TÉRREO",0,IFERROR(VALUE(LEFT(E683,FIND("º",SUBSTITUTE(E683,"°","º"))-1)),""))))</f>
        <v>18</v>
      </c>
      <c r="O683" s="2" t="str">
        <f aca="false">IF(OR(F683="",G683=""),"",IF(G683&lt;='RETRATO 2027'!$K$5,"CONCLUÍDA",IF(F683&lt;='RETRATO 2027'!$K$5,"EM ANDAMENTO","A INICIAR")))</f>
        <v>CONCLUÍDA</v>
      </c>
    </row>
    <row r="684" customFormat="false" ht="15" hidden="false" customHeight="false" outlineLevel="0" collapsed="false">
      <c r="B684" s="4" t="n">
        <v>29981151</v>
      </c>
      <c r="C684" s="4" t="s">
        <v>2431</v>
      </c>
      <c r="D684" s="4" t="s">
        <v>463</v>
      </c>
      <c r="E684" s="4" t="s">
        <v>2820</v>
      </c>
      <c r="F684" s="127" t="n">
        <v>46650</v>
      </c>
      <c r="G684" s="127" t="n">
        <v>46660</v>
      </c>
      <c r="H684" s="127" t="n">
        <v>46289</v>
      </c>
      <c r="I684" s="4" t="n">
        <v>0</v>
      </c>
      <c r="J684" s="4" t="n">
        <v>0</v>
      </c>
      <c r="K684" s="4" t="n">
        <v>0</v>
      </c>
      <c r="M684" s="2" t="str">
        <f aca="false">IF(C684="","",IFERROR(INDEX($S$5:$S$304,MATCH(C684,$R$5:$R$304,0))&amp;"","?"))</f>
        <v>21</v>
      </c>
      <c r="N684" s="2" t="n">
        <f aca="false">IF(E684="","",IF(ISNUMBER(SEARCH("SUBSOLO",E684)),IFERROR(-VALUE(LEFT(E684,FIND("º",SUBSTITUTE(E684,"°","º"))-1)),-1),IF(LEFT(E684,6)="TÉRREO",0,IFERROR(VALUE(LEFT(E684,FIND("º",SUBSTITUTE(E684,"°","º"))-1)),""))))</f>
        <v>18</v>
      </c>
      <c r="O684" s="2" t="str">
        <f aca="false">IF(OR(F684="",G684=""),"",IF(G684&lt;='RETRATO 2027'!$K$5,"CONCLUÍDA",IF(F684&lt;='RETRATO 2027'!$K$5,"EM ANDAMENTO","A INICIAR")))</f>
        <v>CONCLUÍDA</v>
      </c>
    </row>
    <row r="685" customFormat="false" ht="15" hidden="false" customHeight="false" outlineLevel="0" collapsed="false">
      <c r="B685" s="4" t="n">
        <v>29981061</v>
      </c>
      <c r="C685" s="4" t="s">
        <v>2422</v>
      </c>
      <c r="D685" s="4" t="s">
        <v>463</v>
      </c>
      <c r="E685" s="4" t="s">
        <v>2823</v>
      </c>
      <c r="F685" s="127" t="n">
        <v>46650</v>
      </c>
      <c r="G685" s="127" t="n">
        <v>46660</v>
      </c>
      <c r="H685" s="127" t="n">
        <v>46289</v>
      </c>
      <c r="I685" s="4" t="n">
        <v>0</v>
      </c>
      <c r="J685" s="4" t="n">
        <v>0</v>
      </c>
      <c r="K685" s="4" t="n">
        <v>0</v>
      </c>
      <c r="M685" s="2" t="str">
        <f aca="false">IF(C685="","",IFERROR(INDEX($S$5:$S$304,MATCH(C685,$R$5:$R$304,0))&amp;"","?"))</f>
        <v>29</v>
      </c>
      <c r="N685" s="2" t="n">
        <f aca="false">IF(E685="","",IF(ISNUMBER(SEARCH("SUBSOLO",E685)),IFERROR(-VALUE(LEFT(E685,FIND("º",SUBSTITUTE(E685,"°","º"))-1)),-1),IF(LEFT(E685,6)="TÉRREO",0,IFERROR(VALUE(LEFT(E685,FIND("º",SUBSTITUTE(E685,"°","º"))-1)),""))))</f>
        <v>20</v>
      </c>
      <c r="O685" s="2" t="str">
        <f aca="false">IF(OR(F685="",G685=""),"",IF(G685&lt;='RETRATO 2027'!$K$5,"CONCLUÍDA",IF(F685&lt;='RETRATO 2027'!$K$5,"EM ANDAMENTO","A INICIAR")))</f>
        <v>CONCLUÍDA</v>
      </c>
    </row>
    <row r="686" customFormat="false" ht="15" hidden="false" customHeight="false" outlineLevel="0" collapsed="false">
      <c r="B686" s="4" t="n">
        <v>29981027</v>
      </c>
      <c r="C686" s="4" t="s">
        <v>2413</v>
      </c>
      <c r="D686" s="4" t="s">
        <v>463</v>
      </c>
      <c r="E686" s="4" t="s">
        <v>2825</v>
      </c>
      <c r="F686" s="127" t="n">
        <v>46650</v>
      </c>
      <c r="G686" s="127" t="n">
        <v>46660</v>
      </c>
      <c r="H686" s="127" t="n">
        <v>46289</v>
      </c>
      <c r="I686" s="4" t="n">
        <v>0</v>
      </c>
      <c r="J686" s="4" t="n">
        <v>0</v>
      </c>
      <c r="K686" s="4" t="n">
        <v>0</v>
      </c>
      <c r="M686" s="2" t="str">
        <f aca="false">IF(C686="","",IFERROR(INDEX($S$5:$S$304,MATCH(C686,$R$5:$R$304,0))&amp;"","?"))</f>
        <v>21</v>
      </c>
      <c r="N686" s="2" t="n">
        <f aca="false">IF(E686="","",IF(ISNUMBER(SEARCH("SUBSOLO",E686)),IFERROR(-VALUE(LEFT(E686,FIND("º",SUBSTITUTE(E686,"°","º"))-1)),-1),IF(LEFT(E686,6)="TÉRREO",0,IFERROR(VALUE(LEFT(E686,FIND("º",SUBSTITUTE(E686,"°","º"))-1)),""))))</f>
        <v>21</v>
      </c>
      <c r="O686" s="2" t="str">
        <f aca="false">IF(OR(F686="",G686=""),"",IF(G686&lt;='RETRATO 2027'!$K$5,"CONCLUÍDA",IF(F686&lt;='RETRATO 2027'!$K$5,"EM ANDAMENTO","A INICIAR")))</f>
        <v>CONCLUÍDA</v>
      </c>
    </row>
    <row r="687" customFormat="false" ht="15" hidden="false" customHeight="false" outlineLevel="0" collapsed="false">
      <c r="B687" s="4" t="n">
        <v>29981026</v>
      </c>
      <c r="C687" s="4" t="s">
        <v>2416</v>
      </c>
      <c r="D687" s="4" t="s">
        <v>463</v>
      </c>
      <c r="E687" s="4" t="s">
        <v>2825</v>
      </c>
      <c r="F687" s="127" t="n">
        <v>46652</v>
      </c>
      <c r="G687" s="127" t="n">
        <v>46664</v>
      </c>
      <c r="H687" s="127" t="n">
        <v>46289</v>
      </c>
      <c r="I687" s="4" t="n">
        <v>0</v>
      </c>
      <c r="J687" s="4" t="n">
        <v>0</v>
      </c>
      <c r="K687" s="4" t="n">
        <v>0</v>
      </c>
      <c r="M687" s="2" t="str">
        <f aca="false">IF(C687="","",IFERROR(INDEX($S$5:$S$304,MATCH(C687,$R$5:$R$304,0))&amp;"","?"))</f>
        <v>18</v>
      </c>
      <c r="N687" s="2" t="n">
        <f aca="false">IF(E687="","",IF(ISNUMBER(SEARCH("SUBSOLO",E687)),IFERROR(-VALUE(LEFT(E687,FIND("º",SUBSTITUTE(E687,"°","º"))-1)),-1),IF(LEFT(E687,6)="TÉRREO",0,IFERROR(VALUE(LEFT(E687,FIND("º",SUBSTITUTE(E687,"°","º"))-1)),""))))</f>
        <v>21</v>
      </c>
      <c r="O687" s="2" t="str">
        <f aca="false">IF(OR(F687="",G687=""),"",IF(G687&lt;='RETRATO 2027'!$K$5,"CONCLUÍDA",IF(F687&lt;='RETRATO 2027'!$K$5,"EM ANDAMENTO","A INICIAR")))</f>
        <v>CONCLUÍDA</v>
      </c>
    </row>
    <row r="688" customFormat="false" ht="15" hidden="false" customHeight="false" outlineLevel="0" collapsed="false">
      <c r="B688" s="4" t="n">
        <v>29941111</v>
      </c>
      <c r="C688" s="4" t="s">
        <v>2341</v>
      </c>
      <c r="D688" s="4" t="s">
        <v>463</v>
      </c>
      <c r="E688" s="4" t="s">
        <v>2834</v>
      </c>
      <c r="F688" s="127" t="n">
        <v>46653</v>
      </c>
      <c r="G688" s="127" t="n">
        <v>46664</v>
      </c>
      <c r="H688" s="127" t="n">
        <v>46289</v>
      </c>
      <c r="I688" s="4" t="n">
        <v>0</v>
      </c>
      <c r="J688" s="4" t="n">
        <v>0</v>
      </c>
      <c r="K688" s="4" t="n">
        <v>0</v>
      </c>
      <c r="M688" s="2" t="str">
        <f aca="false">IF(C688="","",IFERROR(INDEX($S$5:$S$304,MATCH(C688,$R$5:$R$304,0))&amp;"","?"))</f>
        <v>17</v>
      </c>
      <c r="N688" s="2" t="n">
        <f aca="false">IF(E688="","",IF(ISNUMBER(SEARCH("SUBSOLO",E688)),IFERROR(-VALUE(LEFT(E688,FIND("º",SUBSTITUTE(E688,"°","º"))-1)),-1),IF(LEFT(E688,6)="TÉRREO",0,IFERROR(VALUE(LEFT(E688,FIND("º",SUBSTITUTE(E688,"°","º"))-1)),""))))</f>
        <v>26</v>
      </c>
      <c r="O688" s="2" t="str">
        <f aca="false">IF(OR(F688="",G688=""),"",IF(G688&lt;='RETRATO 2027'!$K$5,"CONCLUÍDA",IF(F688&lt;='RETRATO 2027'!$K$5,"EM ANDAMENTO","A INICIAR")))</f>
        <v>CONCLUÍDA</v>
      </c>
    </row>
    <row r="689" customFormat="false" ht="15" hidden="false" customHeight="false" outlineLevel="0" collapsed="false">
      <c r="B689" s="4" t="n">
        <v>31529054</v>
      </c>
      <c r="C689" s="4" t="s">
        <v>2341</v>
      </c>
      <c r="D689" s="4" t="s">
        <v>2312</v>
      </c>
      <c r="E689" s="4" t="s">
        <v>2834</v>
      </c>
      <c r="F689" s="127" t="n">
        <v>46653</v>
      </c>
      <c r="G689" s="127" t="n">
        <v>46658</v>
      </c>
      <c r="H689" s="127" t="n">
        <v>46289</v>
      </c>
      <c r="I689" s="4" t="n">
        <v>0</v>
      </c>
      <c r="J689" s="4" t="n">
        <v>0</v>
      </c>
      <c r="K689" s="4" t="n">
        <v>0</v>
      </c>
      <c r="M689" s="2" t="str">
        <f aca="false">IF(C689="","",IFERROR(INDEX($S$5:$S$304,MATCH(C689,$R$5:$R$304,0))&amp;"","?"))</f>
        <v>17</v>
      </c>
      <c r="N689" s="2" t="n">
        <f aca="false">IF(E689="","",IF(ISNUMBER(SEARCH("SUBSOLO",E689)),IFERROR(-VALUE(LEFT(E689,FIND("º",SUBSTITUTE(E689,"°","º"))-1)),-1),IF(LEFT(E689,6)="TÉRREO",0,IFERROR(VALUE(LEFT(E689,FIND("º",SUBSTITUTE(E689,"°","º"))-1)),""))))</f>
        <v>26</v>
      </c>
      <c r="O689" s="2" t="str">
        <f aca="false">IF(OR(F689="",G689=""),"",IF(G689&lt;='RETRATO 2027'!$K$5,"CONCLUÍDA",IF(F689&lt;='RETRATO 2027'!$K$5,"EM ANDAMENTO","A INICIAR")))</f>
        <v>CONCLUÍDA</v>
      </c>
    </row>
    <row r="690" customFormat="false" ht="15" hidden="false" customHeight="false" outlineLevel="0" collapsed="false">
      <c r="B690" s="4" t="n">
        <v>31529055</v>
      </c>
      <c r="C690" s="4" t="s">
        <v>2341</v>
      </c>
      <c r="D690" s="4" t="s">
        <v>2309</v>
      </c>
      <c r="E690" s="4" t="s">
        <v>2834</v>
      </c>
      <c r="F690" s="127" t="n">
        <v>46659</v>
      </c>
      <c r="G690" s="127" t="n">
        <v>46661</v>
      </c>
      <c r="H690" s="127" t="n">
        <v>46289</v>
      </c>
      <c r="I690" s="4" t="n">
        <v>0</v>
      </c>
      <c r="J690" s="4" t="n">
        <v>0</v>
      </c>
      <c r="K690" s="4" t="n">
        <v>0</v>
      </c>
      <c r="M690" s="2" t="str">
        <f aca="false">IF(C690="","",IFERROR(INDEX($S$5:$S$304,MATCH(C690,$R$5:$R$304,0))&amp;"","?"))</f>
        <v>17</v>
      </c>
      <c r="N690" s="2" t="n">
        <f aca="false">IF(E690="","",IF(ISNUMBER(SEARCH("SUBSOLO",E690)),IFERROR(-VALUE(LEFT(E690,FIND("º",SUBSTITUTE(E690,"°","º"))-1)),-1),IF(LEFT(E690,6)="TÉRREO",0,IFERROR(VALUE(LEFT(E690,FIND("º",SUBSTITUTE(E690,"°","º"))-1)),""))))</f>
        <v>26</v>
      </c>
      <c r="O690" s="2" t="str">
        <f aca="false">IF(OR(F690="",G690=""),"",IF(G690&lt;='RETRATO 2027'!$K$5,"CONCLUÍDA",IF(F690&lt;='RETRATO 2027'!$K$5,"EM ANDAMENTO","A INICIAR")))</f>
        <v>CONCLUÍDA</v>
      </c>
    </row>
    <row r="691" customFormat="false" ht="15" hidden="false" customHeight="false" outlineLevel="0" collapsed="false">
      <c r="B691" s="4" t="n">
        <v>31529056</v>
      </c>
      <c r="C691" s="4" t="s">
        <v>2341</v>
      </c>
      <c r="D691" s="4" t="s">
        <v>2314</v>
      </c>
      <c r="E691" s="4" t="s">
        <v>2834</v>
      </c>
      <c r="F691" s="127" t="n">
        <v>46664</v>
      </c>
      <c r="G691" s="127" t="n">
        <v>46664</v>
      </c>
      <c r="H691" s="127" t="n">
        <v>46289</v>
      </c>
      <c r="I691" s="4" t="n">
        <v>0</v>
      </c>
      <c r="J691" s="4" t="n">
        <v>0</v>
      </c>
      <c r="K691" s="4" t="n">
        <v>0</v>
      </c>
      <c r="M691" s="2" t="str">
        <f aca="false">IF(C691="","",IFERROR(INDEX($S$5:$S$304,MATCH(C691,$R$5:$R$304,0))&amp;"","?"))</f>
        <v>17</v>
      </c>
      <c r="N691" s="2" t="n">
        <f aca="false">IF(E691="","",IF(ISNUMBER(SEARCH("SUBSOLO",E691)),IFERROR(-VALUE(LEFT(E691,FIND("º",SUBSTITUTE(E691,"°","º"))-1)),-1),IF(LEFT(E691,6)="TÉRREO",0,IFERROR(VALUE(LEFT(E691,FIND("º",SUBSTITUTE(E691,"°","º"))-1)),""))))</f>
        <v>26</v>
      </c>
      <c r="O691" s="2" t="str">
        <f aca="false">IF(OR(F691="",G691=""),"",IF(G691&lt;='RETRATO 2027'!$K$5,"CONCLUÍDA",IF(F691&lt;='RETRATO 2027'!$K$5,"EM ANDAMENTO","A INICIAR")))</f>
        <v>CONCLUÍDA</v>
      </c>
    </row>
    <row r="692" customFormat="false" ht="15" hidden="false" customHeight="false" outlineLevel="0" collapsed="false">
      <c r="B692" s="4" t="n">
        <v>31529057</v>
      </c>
      <c r="C692" s="4" t="s">
        <v>2341</v>
      </c>
      <c r="D692" s="4" t="s">
        <v>2758</v>
      </c>
      <c r="E692" s="4" t="s">
        <v>2834</v>
      </c>
      <c r="F692" s="127" t="n">
        <v>46664</v>
      </c>
      <c r="G692" s="127" t="n">
        <v>46664</v>
      </c>
      <c r="H692" s="127" t="n">
        <v>46289</v>
      </c>
      <c r="I692" s="4" t="n">
        <v>0</v>
      </c>
      <c r="J692" s="4" t="n">
        <v>0</v>
      </c>
      <c r="K692" s="4" t="n">
        <v>0</v>
      </c>
      <c r="M692" s="2" t="str">
        <f aca="false">IF(C692="","",IFERROR(INDEX($S$5:$S$304,MATCH(C692,$R$5:$R$304,0))&amp;"","?"))</f>
        <v>17</v>
      </c>
      <c r="N692" s="2" t="n">
        <f aca="false">IF(E692="","",IF(ISNUMBER(SEARCH("SUBSOLO",E692)),IFERROR(-VALUE(LEFT(E692,FIND("º",SUBSTITUTE(E692,"°","º"))-1)),-1),IF(LEFT(E692,6)="TÉRREO",0,IFERROR(VALUE(LEFT(E692,FIND("º",SUBSTITUTE(E692,"°","º"))-1)),""))))</f>
        <v>26</v>
      </c>
      <c r="O692" s="2" t="str">
        <f aca="false">IF(OR(F692="",G692=""),"",IF(G692&lt;='RETRATO 2027'!$K$5,"CONCLUÍDA",IF(F692&lt;='RETRATO 2027'!$K$5,"EM ANDAMENTO","A INICIAR")))</f>
        <v>CONCLUÍDA</v>
      </c>
    </row>
    <row r="693" customFormat="false" ht="15" hidden="false" customHeight="false" outlineLevel="0" collapsed="false">
      <c r="B693" s="4" t="n">
        <v>30205708</v>
      </c>
      <c r="C693" s="4" t="s">
        <v>2480</v>
      </c>
      <c r="D693" s="4" t="s">
        <v>463</v>
      </c>
      <c r="E693" s="4" t="s">
        <v>2819</v>
      </c>
      <c r="F693" s="127" t="n">
        <v>46654</v>
      </c>
      <c r="G693" s="127" t="n">
        <v>46667</v>
      </c>
      <c r="H693" s="127" t="n">
        <v>46289</v>
      </c>
      <c r="I693" s="4" t="n">
        <v>0</v>
      </c>
      <c r="J693" s="4" t="n">
        <v>0</v>
      </c>
      <c r="K693" s="4" t="n">
        <v>0</v>
      </c>
      <c r="M693" s="2" t="str">
        <f aca="false">IF(C693="","",IFERROR(INDEX($S$5:$S$304,MATCH(C693,$R$5:$R$304,0))&amp;"","?"))</f>
        <v>30</v>
      </c>
      <c r="N693" s="2" t="n">
        <f aca="false">IF(E693="","",IF(ISNUMBER(SEARCH("SUBSOLO",E693)),IFERROR(-VALUE(LEFT(E693,FIND("º",SUBSTITUTE(E693,"°","º"))-1)),-1),IF(LEFT(E693,6)="TÉRREO",0,IFERROR(VALUE(LEFT(E693,FIND("º",SUBSTITUTE(E693,"°","º"))-1)),""))))</f>
        <v>0</v>
      </c>
      <c r="O693" s="2" t="str">
        <f aca="false">IF(OR(F693="",G693=""),"",IF(G693&lt;='RETRATO 2027'!$K$5,"CONCLUÍDA",IF(F693&lt;='RETRATO 2027'!$K$5,"EM ANDAMENTO","A INICIAR")))</f>
        <v>CONCLUÍDA</v>
      </c>
    </row>
    <row r="694" customFormat="false" ht="15" hidden="false" customHeight="false" outlineLevel="0" collapsed="false">
      <c r="B694" s="4" t="n">
        <v>30205674</v>
      </c>
      <c r="C694" s="4" t="s">
        <v>2492</v>
      </c>
      <c r="D694" s="4" t="s">
        <v>463</v>
      </c>
      <c r="E694" s="4" t="s">
        <v>2821</v>
      </c>
      <c r="F694" s="127" t="n">
        <v>46654</v>
      </c>
      <c r="G694" s="127" t="n">
        <v>46667</v>
      </c>
      <c r="H694" s="127" t="n">
        <v>46289</v>
      </c>
      <c r="I694" s="4" t="n">
        <v>0</v>
      </c>
      <c r="J694" s="4" t="n">
        <v>0</v>
      </c>
      <c r="K694" s="4" t="n">
        <v>0</v>
      </c>
      <c r="M694" s="2" t="str">
        <f aca="false">IF(C694="","",IFERROR(INDEX($S$5:$S$304,MATCH(C694,$R$5:$R$304,0))&amp;"","?"))</f>
        <v>18</v>
      </c>
      <c r="N694" s="2" t="n">
        <f aca="false">IF(E694="","",IF(ISNUMBER(SEARCH("SUBSOLO",E694)),IFERROR(-VALUE(LEFT(E694,FIND("º",SUBSTITUTE(E694,"°","º"))-1)),-1),IF(LEFT(E694,6)="TÉRREO",0,IFERROR(VALUE(LEFT(E694,FIND("º",SUBSTITUTE(E694,"°","º"))-1)),""))))</f>
        <v>0</v>
      </c>
      <c r="O694" s="2" t="str">
        <f aca="false">IF(OR(F694="",G694=""),"",IF(G694&lt;='RETRATO 2027'!$K$5,"CONCLUÍDA",IF(F694&lt;='RETRATO 2027'!$K$5,"EM ANDAMENTO","A INICIAR")))</f>
        <v>CONCLUÍDA</v>
      </c>
    </row>
    <row r="695" customFormat="false" ht="15" hidden="false" customHeight="false" outlineLevel="0" collapsed="false">
      <c r="B695" s="4" t="n">
        <v>30205646</v>
      </c>
      <c r="C695" s="4" t="s">
        <v>2449</v>
      </c>
      <c r="D695" s="4" t="s">
        <v>463</v>
      </c>
      <c r="E695" s="4" t="s">
        <v>2824</v>
      </c>
      <c r="F695" s="127" t="n">
        <v>46654</v>
      </c>
      <c r="G695" s="127" t="n">
        <v>46667</v>
      </c>
      <c r="H695" s="127" t="n">
        <v>46289</v>
      </c>
      <c r="I695" s="4" t="n">
        <v>0</v>
      </c>
      <c r="J695" s="4" t="n">
        <v>0</v>
      </c>
      <c r="K695" s="4" t="n">
        <v>0</v>
      </c>
      <c r="M695" s="2" t="str">
        <f aca="false">IF(C695="","",IFERROR(INDEX($S$5:$S$304,MATCH(C695,$R$5:$R$304,0))&amp;"","?"))</f>
        <v>28</v>
      </c>
      <c r="N695" s="2" t="n">
        <f aca="false">IF(E695="","",IF(ISNUMBER(SEARCH("SUBSOLO",E695)),IFERROR(-VALUE(LEFT(E695,FIND("º",SUBSTITUTE(E695,"°","º"))-1)),-1),IF(LEFT(E695,6)="TÉRREO",0,IFERROR(VALUE(LEFT(E695,FIND("º",SUBSTITUTE(E695,"°","º"))-1)),""))))</f>
        <v>0</v>
      </c>
      <c r="O695" s="2" t="str">
        <f aca="false">IF(OR(F695="",G695=""),"",IF(G695&lt;='RETRATO 2027'!$K$5,"CONCLUÍDA",IF(F695&lt;='RETRATO 2027'!$K$5,"EM ANDAMENTO","A INICIAR")))</f>
        <v>CONCLUÍDA</v>
      </c>
    </row>
    <row r="696" customFormat="false" ht="15" hidden="false" customHeight="false" outlineLevel="0" collapsed="false">
      <c r="B696" s="4" t="n">
        <v>31803887</v>
      </c>
      <c r="C696" s="4" t="s">
        <v>2483</v>
      </c>
      <c r="D696" s="4" t="s">
        <v>463</v>
      </c>
      <c r="E696" s="4" t="s">
        <v>2824</v>
      </c>
      <c r="F696" s="127" t="n">
        <v>46654</v>
      </c>
      <c r="G696" s="127" t="n">
        <v>46702</v>
      </c>
      <c r="H696" s="127" t="n">
        <v>46289</v>
      </c>
      <c r="I696" s="4" t="n">
        <v>0</v>
      </c>
      <c r="J696" s="4" t="n">
        <v>0</v>
      </c>
      <c r="K696" s="4" t="n">
        <v>0</v>
      </c>
      <c r="M696" s="2" t="str">
        <f aca="false">IF(C696="","",IFERROR(INDEX($S$5:$S$304,MATCH(C696,$R$5:$R$304,0))&amp;"","?"))</f>
        <v>32</v>
      </c>
      <c r="N696" s="2" t="n">
        <f aca="false">IF(E696="","",IF(ISNUMBER(SEARCH("SUBSOLO",E696)),IFERROR(-VALUE(LEFT(E696,FIND("º",SUBSTITUTE(E696,"°","º"))-1)),-1),IF(LEFT(E696,6)="TÉRREO",0,IFERROR(VALUE(LEFT(E696,FIND("º",SUBSTITUTE(E696,"°","º"))-1)),""))))</f>
        <v>0</v>
      </c>
      <c r="O696" s="2" t="str">
        <f aca="false">IF(OR(F696="",G696=""),"",IF(G696&lt;='RETRATO 2027'!$K$5,"CONCLUÍDA",IF(F696&lt;='RETRATO 2027'!$K$5,"EM ANDAMENTO","A INICIAR")))</f>
        <v>CONCLUÍDA</v>
      </c>
    </row>
    <row r="697" customFormat="false" ht="15" hidden="false" customHeight="false" outlineLevel="0" collapsed="false">
      <c r="B697" s="4" t="n">
        <v>30205615</v>
      </c>
      <c r="C697" s="4" t="s">
        <v>2437</v>
      </c>
      <c r="D697" s="4" t="s">
        <v>463</v>
      </c>
      <c r="E697" s="4" t="s">
        <v>2826</v>
      </c>
      <c r="F697" s="127" t="n">
        <v>46654</v>
      </c>
      <c r="G697" s="127" t="n">
        <v>46667</v>
      </c>
      <c r="H697" s="127" t="n">
        <v>46289</v>
      </c>
      <c r="I697" s="4" t="n">
        <v>0</v>
      </c>
      <c r="J697" s="4" t="n">
        <v>0</v>
      </c>
      <c r="K697" s="4" t="n">
        <v>0</v>
      </c>
      <c r="M697" s="2" t="str">
        <f aca="false">IF(C697="","",IFERROR(INDEX($S$5:$S$304,MATCH(C697,$R$5:$R$304,0))&amp;"","?"))</f>
        <v>29</v>
      </c>
      <c r="N697" s="2" t="n">
        <f aca="false">IF(E697="","",IF(ISNUMBER(SEARCH("SUBSOLO",E697)),IFERROR(-VALUE(LEFT(E697,FIND("º",SUBSTITUTE(E697,"°","º"))-1)),-1),IF(LEFT(E697,6)="TÉRREO",0,IFERROR(VALUE(LEFT(E697,FIND("º",SUBSTITUTE(E697,"°","º"))-1)),""))))</f>
        <v>0</v>
      </c>
      <c r="O697" s="2" t="str">
        <f aca="false">IF(OR(F697="",G697=""),"",IF(G697&lt;='RETRATO 2027'!$K$5,"CONCLUÍDA",IF(F697&lt;='RETRATO 2027'!$K$5,"EM ANDAMENTO","A INICIAR")))</f>
        <v>CONCLUÍDA</v>
      </c>
    </row>
    <row r="698" customFormat="false" ht="15" hidden="false" customHeight="false" outlineLevel="0" collapsed="false">
      <c r="B698" s="4" t="n">
        <v>30205584</v>
      </c>
      <c r="C698" s="4" t="s">
        <v>2428</v>
      </c>
      <c r="D698" s="4" t="s">
        <v>463</v>
      </c>
      <c r="E698" s="4" t="s">
        <v>2828</v>
      </c>
      <c r="F698" s="127" t="n">
        <v>46654</v>
      </c>
      <c r="G698" s="127" t="n">
        <v>46664</v>
      </c>
      <c r="H698" s="127" t="n">
        <v>46289</v>
      </c>
      <c r="I698" s="4" t="n">
        <v>0</v>
      </c>
      <c r="J698" s="4" t="n">
        <v>0</v>
      </c>
      <c r="K698" s="4" t="n">
        <v>0</v>
      </c>
      <c r="M698" s="2" t="str">
        <f aca="false">IF(C698="","",IFERROR(INDEX($S$5:$S$304,MATCH(C698,$R$5:$R$304,0))&amp;"","?"))</f>
        <v>20</v>
      </c>
      <c r="N698" s="2" t="n">
        <f aca="false">IF(E698="","",IF(ISNUMBER(SEARCH("SUBSOLO",E698)),IFERROR(-VALUE(LEFT(E698,FIND("º",SUBSTITUTE(E698,"°","º"))-1)),-1),IF(LEFT(E698,6)="TÉRREO",0,IFERROR(VALUE(LEFT(E698,FIND("º",SUBSTITUTE(E698,"°","º"))-1)),""))))</f>
        <v>0</v>
      </c>
      <c r="O698" s="2" t="str">
        <f aca="false">IF(OR(F698="",G698=""),"",IF(G698&lt;='RETRATO 2027'!$K$5,"CONCLUÍDA",IF(F698&lt;='RETRATO 2027'!$K$5,"EM ANDAMENTO","A INICIAR")))</f>
        <v>CONCLUÍDA</v>
      </c>
    </row>
    <row r="699" customFormat="false" ht="15" hidden="false" customHeight="false" outlineLevel="0" collapsed="false">
      <c r="B699" s="4" t="n">
        <v>30205585</v>
      </c>
      <c r="C699" s="4" t="s">
        <v>2452</v>
      </c>
      <c r="D699" s="4" t="s">
        <v>463</v>
      </c>
      <c r="E699" s="4" t="s">
        <v>2828</v>
      </c>
      <c r="F699" s="127" t="n">
        <v>46654</v>
      </c>
      <c r="G699" s="127" t="n">
        <v>46667</v>
      </c>
      <c r="H699" s="127" t="n">
        <v>46289</v>
      </c>
      <c r="I699" s="4" t="n">
        <v>0</v>
      </c>
      <c r="J699" s="4" t="n">
        <v>0</v>
      </c>
      <c r="K699" s="4" t="n">
        <v>0</v>
      </c>
      <c r="M699" s="2" t="str">
        <f aca="false">IF(C699="","",IFERROR(INDEX($S$5:$S$304,MATCH(C699,$R$5:$R$304,0))&amp;"","?"))</f>
        <v>21</v>
      </c>
      <c r="N699" s="2" t="n">
        <f aca="false">IF(E699="","",IF(ISNUMBER(SEARCH("SUBSOLO",E699)),IFERROR(-VALUE(LEFT(E699,FIND("º",SUBSTITUTE(E699,"°","º"))-1)),-1),IF(LEFT(E699,6)="TÉRREO",0,IFERROR(VALUE(LEFT(E699,FIND("º",SUBSTITUTE(E699,"°","º"))-1)),""))))</f>
        <v>0</v>
      </c>
      <c r="O699" s="2" t="str">
        <f aca="false">IF(OR(F699="",G699=""),"",IF(G699&lt;='RETRATO 2027'!$K$5,"CONCLUÍDA",IF(F699&lt;='RETRATO 2027'!$K$5,"EM ANDAMENTO","A INICIAR")))</f>
        <v>CONCLUÍDA</v>
      </c>
    </row>
    <row r="700" customFormat="false" ht="15" hidden="false" customHeight="false" outlineLevel="0" collapsed="false">
      <c r="B700" s="4" t="n">
        <v>30205556</v>
      </c>
      <c r="C700" s="4" t="s">
        <v>2422</v>
      </c>
      <c r="D700" s="4" t="s">
        <v>463</v>
      </c>
      <c r="E700" s="4" t="s">
        <v>2830</v>
      </c>
      <c r="F700" s="127" t="n">
        <v>46654</v>
      </c>
      <c r="G700" s="127" t="n">
        <v>46667</v>
      </c>
      <c r="H700" s="127" t="n">
        <v>46289</v>
      </c>
      <c r="I700" s="4" t="n">
        <v>0</v>
      </c>
      <c r="J700" s="4" t="n">
        <v>0</v>
      </c>
      <c r="K700" s="4" t="n">
        <v>0</v>
      </c>
      <c r="M700" s="2" t="str">
        <f aca="false">IF(C700="","",IFERROR(INDEX($S$5:$S$304,MATCH(C700,$R$5:$R$304,0))&amp;"","?"))</f>
        <v>29</v>
      </c>
      <c r="N700" s="2" t="n">
        <f aca="false">IF(E700="","",IF(ISNUMBER(SEARCH("SUBSOLO",E700)),IFERROR(-VALUE(LEFT(E700,FIND("º",SUBSTITUTE(E700,"°","º"))-1)),-1),IF(LEFT(E700,6)="TÉRREO",0,IFERROR(VALUE(LEFT(E700,FIND("º",SUBSTITUTE(E700,"°","º"))-1)),""))))</f>
        <v>0</v>
      </c>
      <c r="O700" s="2" t="str">
        <f aca="false">IF(OR(F700="",G700=""),"",IF(G700&lt;='RETRATO 2027'!$K$5,"CONCLUÍDA",IF(F700&lt;='RETRATO 2027'!$K$5,"EM ANDAMENTO","A INICIAR")))</f>
        <v>CONCLUÍDA</v>
      </c>
    </row>
    <row r="701" customFormat="false" ht="15" hidden="false" customHeight="false" outlineLevel="0" collapsed="false">
      <c r="B701" s="4" t="n">
        <v>30205523</v>
      </c>
      <c r="C701" s="4" t="s">
        <v>2413</v>
      </c>
      <c r="D701" s="4" t="s">
        <v>463</v>
      </c>
      <c r="E701" s="4" t="s">
        <v>2832</v>
      </c>
      <c r="F701" s="127" t="n">
        <v>46654</v>
      </c>
      <c r="G701" s="127" t="n">
        <v>46667</v>
      </c>
      <c r="H701" s="127" t="n">
        <v>46289</v>
      </c>
      <c r="I701" s="4" t="n">
        <v>0</v>
      </c>
      <c r="J701" s="4" t="n">
        <v>0</v>
      </c>
      <c r="K701" s="4" t="n">
        <v>0</v>
      </c>
      <c r="M701" s="2" t="str">
        <f aca="false">IF(C701="","",IFERROR(INDEX($S$5:$S$304,MATCH(C701,$R$5:$R$304,0))&amp;"","?"))</f>
        <v>21</v>
      </c>
      <c r="N701" s="2" t="n">
        <f aca="false">IF(E701="","",IF(ISNUMBER(SEARCH("SUBSOLO",E701)),IFERROR(-VALUE(LEFT(E701,FIND("º",SUBSTITUTE(E701,"°","º"))-1)),-1),IF(LEFT(E701,6)="TÉRREO",0,IFERROR(VALUE(LEFT(E701,FIND("º",SUBSTITUTE(E701,"°","º"))-1)),""))))</f>
        <v>0</v>
      </c>
      <c r="O701" s="2" t="str">
        <f aca="false">IF(OR(F701="",G701=""),"",IF(G701&lt;='RETRATO 2027'!$K$5,"CONCLUÍDA",IF(F701&lt;='RETRATO 2027'!$K$5,"EM ANDAMENTO","A INICIAR")))</f>
        <v>CONCLUÍDA</v>
      </c>
    </row>
    <row r="702" customFormat="false" ht="15" hidden="false" customHeight="false" outlineLevel="0" collapsed="false">
      <c r="B702" s="4" t="n">
        <v>30205522</v>
      </c>
      <c r="C702" s="4" t="s">
        <v>2410</v>
      </c>
      <c r="D702" s="4" t="s">
        <v>463</v>
      </c>
      <c r="E702" s="4" t="s">
        <v>2832</v>
      </c>
      <c r="F702" s="127" t="n">
        <v>46654</v>
      </c>
      <c r="G702" s="127" t="n">
        <v>46667</v>
      </c>
      <c r="H702" s="127" t="n">
        <v>46289</v>
      </c>
      <c r="I702" s="4" t="n">
        <v>0</v>
      </c>
      <c r="J702" s="4" t="n">
        <v>0</v>
      </c>
      <c r="K702" s="4" t="n">
        <v>0</v>
      </c>
      <c r="M702" s="2" t="str">
        <f aca="false">IF(C702="","",IFERROR(INDEX($S$5:$S$304,MATCH(C702,$R$5:$R$304,0))&amp;"","?"))</f>
        <v>22</v>
      </c>
      <c r="N702" s="2" t="n">
        <f aca="false">IF(E702="","",IF(ISNUMBER(SEARCH("SUBSOLO",E702)),IFERROR(-VALUE(LEFT(E702,FIND("º",SUBSTITUTE(E702,"°","º"))-1)),-1),IF(LEFT(E702,6)="TÉRREO",0,IFERROR(VALUE(LEFT(E702,FIND("º",SUBSTITUTE(E702,"°","º"))-1)),""))))</f>
        <v>0</v>
      </c>
      <c r="O702" s="2" t="str">
        <f aca="false">IF(OR(F702="",G702=""),"",IF(G702&lt;='RETRATO 2027'!$K$5,"CONCLUÍDA",IF(F702&lt;='RETRATO 2027'!$K$5,"EM ANDAMENTO","A INICIAR")))</f>
        <v>CONCLUÍDA</v>
      </c>
    </row>
    <row r="703" customFormat="false" ht="15" hidden="false" customHeight="false" outlineLevel="0" collapsed="false">
      <c r="B703" s="4" t="n">
        <v>30205524</v>
      </c>
      <c r="C703" s="4" t="s">
        <v>2416</v>
      </c>
      <c r="D703" s="4" t="s">
        <v>463</v>
      </c>
      <c r="E703" s="4" t="s">
        <v>2832</v>
      </c>
      <c r="F703" s="127" t="n">
        <v>46654</v>
      </c>
      <c r="G703" s="127" t="n">
        <v>46667</v>
      </c>
      <c r="H703" s="127" t="n">
        <v>46289</v>
      </c>
      <c r="I703" s="4" t="n">
        <v>0</v>
      </c>
      <c r="J703" s="4" t="n">
        <v>0</v>
      </c>
      <c r="K703" s="4" t="n">
        <v>0</v>
      </c>
      <c r="M703" s="2" t="str">
        <f aca="false">IF(C703="","",IFERROR(INDEX($S$5:$S$304,MATCH(C703,$R$5:$R$304,0))&amp;"","?"))</f>
        <v>18</v>
      </c>
      <c r="N703" s="2" t="n">
        <f aca="false">IF(E703="","",IF(ISNUMBER(SEARCH("SUBSOLO",E703)),IFERROR(-VALUE(LEFT(E703,FIND("º",SUBSTITUTE(E703,"°","º"))-1)),-1),IF(LEFT(E703,6)="TÉRREO",0,IFERROR(VALUE(LEFT(E703,FIND("º",SUBSTITUTE(E703,"°","º"))-1)),""))))</f>
        <v>0</v>
      </c>
      <c r="O703" s="2" t="str">
        <f aca="false">IF(OR(F703="",G703=""),"",IF(G703&lt;='RETRATO 2027'!$K$5,"CONCLUÍDA",IF(F703&lt;='RETRATO 2027'!$K$5,"EM ANDAMENTO","A INICIAR")))</f>
        <v>CONCLUÍDA</v>
      </c>
    </row>
    <row r="704" customFormat="false" ht="15" hidden="false" customHeight="false" outlineLevel="0" collapsed="false">
      <c r="B704" s="4" t="n">
        <v>30205775</v>
      </c>
      <c r="C704" s="4" t="s">
        <v>168</v>
      </c>
      <c r="D704" s="4" t="s">
        <v>463</v>
      </c>
      <c r="E704" s="4" t="s">
        <v>2835</v>
      </c>
      <c r="F704" s="127" t="n">
        <v>46654</v>
      </c>
      <c r="G704" s="127" t="n">
        <v>46675</v>
      </c>
      <c r="H704" s="127" t="n">
        <v>46289</v>
      </c>
      <c r="I704" s="4" t="n">
        <v>0</v>
      </c>
      <c r="J704" s="4" t="n">
        <v>0</v>
      </c>
      <c r="K704" s="4" t="n">
        <v>0</v>
      </c>
      <c r="M704" s="2" t="str">
        <f aca="false">IF(C704="","",IFERROR(INDEX($S$5:$S$304,MATCH(C704,$R$5:$R$304,0))&amp;"","?"))</f>
        <v>18</v>
      </c>
      <c r="N704" s="2" t="n">
        <f aca="false">IF(E704="","",IF(ISNUMBER(SEARCH("SUBSOLO",E704)),IFERROR(-VALUE(LEFT(E704,FIND("º",SUBSTITUTE(E704,"°","º"))-1)),-1),IF(LEFT(E704,6)="TÉRREO",0,IFERROR(VALUE(LEFT(E704,FIND("º",SUBSTITUTE(E704,"°","º"))-1)),""))))</f>
        <v>0</v>
      </c>
      <c r="O704" s="2" t="str">
        <f aca="false">IF(OR(F704="",G704=""),"",IF(G704&lt;='RETRATO 2027'!$K$5,"CONCLUÍDA",IF(F704&lt;='RETRATO 2027'!$K$5,"EM ANDAMENTO","A INICIAR")))</f>
        <v>CONCLUÍDA</v>
      </c>
    </row>
    <row r="705" customFormat="false" ht="15" hidden="false" customHeight="false" outlineLevel="0" collapsed="false">
      <c r="B705" s="4" t="n">
        <v>34179684</v>
      </c>
      <c r="C705" s="4" t="s">
        <v>77</v>
      </c>
      <c r="D705" s="4" t="s">
        <v>463</v>
      </c>
      <c r="E705" s="4" t="s">
        <v>2836</v>
      </c>
      <c r="F705" s="127" t="n">
        <v>46654</v>
      </c>
      <c r="G705" s="127" t="n">
        <v>46720</v>
      </c>
      <c r="H705" s="127" t="n">
        <v>46289</v>
      </c>
      <c r="I705" s="4" t="n">
        <v>0</v>
      </c>
      <c r="J705" s="4" t="n">
        <v>0</v>
      </c>
      <c r="K705" s="4" t="n">
        <v>0</v>
      </c>
      <c r="M705" s="2" t="str">
        <f aca="false">IF(C705="","",IFERROR(INDEX($S$5:$S$304,MATCH(C705,$R$5:$R$304,0))&amp;"","?"))</f>
        <v>20</v>
      </c>
      <c r="N705" s="2" t="n">
        <f aca="false">IF(E705="","",IF(ISNUMBER(SEARCH("SUBSOLO",E705)),IFERROR(-VALUE(LEFT(E705,FIND("º",SUBSTITUTE(E705,"°","º"))-1)),-1),IF(LEFT(E705,6)="TÉRREO",0,IFERROR(VALUE(LEFT(E705,FIND("º",SUBSTITUTE(E705,"°","º"))-1)),""))))</f>
        <v>0</v>
      </c>
      <c r="O705" s="2" t="str">
        <f aca="false">IF(OR(F705="",G705=""),"",IF(G705&lt;='RETRATO 2027'!$K$5,"CONCLUÍDA",IF(F705&lt;='RETRATO 2027'!$K$5,"EM ANDAMENTO","A INICIAR")))</f>
        <v>CONCLUÍDA</v>
      </c>
    </row>
    <row r="706" customFormat="false" ht="15" hidden="false" customHeight="false" outlineLevel="0" collapsed="false">
      <c r="B706" s="4" t="n">
        <v>34179687</v>
      </c>
      <c r="C706" s="4" t="s">
        <v>2505</v>
      </c>
      <c r="D706" s="4" t="s">
        <v>463</v>
      </c>
      <c r="E706" s="4" t="s">
        <v>2836</v>
      </c>
      <c r="F706" s="127" t="n">
        <v>46654</v>
      </c>
      <c r="G706" s="127" t="n">
        <v>46720</v>
      </c>
      <c r="H706" s="127" t="n">
        <v>46289</v>
      </c>
      <c r="I706" s="4" t="n">
        <v>0</v>
      </c>
      <c r="J706" s="4" t="n">
        <v>0</v>
      </c>
      <c r="K706" s="4" t="n">
        <v>0</v>
      </c>
      <c r="M706" s="2" t="str">
        <f aca="false">IF(C706="","",IFERROR(INDEX($S$5:$S$304,MATCH(C706,$R$5:$R$304,0))&amp;"","?"))</f>
        <v>21</v>
      </c>
      <c r="N706" s="2" t="n">
        <f aca="false">IF(E706="","",IF(ISNUMBER(SEARCH("SUBSOLO",E706)),IFERROR(-VALUE(LEFT(E706,FIND("º",SUBSTITUTE(E706,"°","º"))-1)),-1),IF(LEFT(E706,6)="TÉRREO",0,IFERROR(VALUE(LEFT(E706,FIND("º",SUBSTITUTE(E706,"°","º"))-1)),""))))</f>
        <v>0</v>
      </c>
      <c r="O706" s="2" t="str">
        <f aca="false">IF(OR(F706="",G706=""),"",IF(G706&lt;='RETRATO 2027'!$K$5,"CONCLUÍDA",IF(F706&lt;='RETRATO 2027'!$K$5,"EM ANDAMENTO","A INICIAR")))</f>
        <v>CONCLUÍDA</v>
      </c>
    </row>
    <row r="707" customFormat="false" ht="15" hidden="false" customHeight="false" outlineLevel="0" collapsed="false">
      <c r="B707" s="4" t="n">
        <v>30205762</v>
      </c>
      <c r="C707" s="4" t="s">
        <v>77</v>
      </c>
      <c r="D707" s="4" t="s">
        <v>463</v>
      </c>
      <c r="E707" s="4" t="s">
        <v>2837</v>
      </c>
      <c r="F707" s="127" t="n">
        <v>46654</v>
      </c>
      <c r="G707" s="127" t="n">
        <v>46720</v>
      </c>
      <c r="H707" s="127" t="n">
        <v>46289</v>
      </c>
      <c r="I707" s="4" t="n">
        <v>0</v>
      </c>
      <c r="J707" s="4" t="n">
        <v>0</v>
      </c>
      <c r="K707" s="4" t="n">
        <v>0</v>
      </c>
      <c r="M707" s="2" t="str">
        <f aca="false">IF(C707="","",IFERROR(INDEX($S$5:$S$304,MATCH(C707,$R$5:$R$304,0))&amp;"","?"))</f>
        <v>20</v>
      </c>
      <c r="N707" s="2" t="n">
        <f aca="false">IF(E707="","",IF(ISNUMBER(SEARCH("SUBSOLO",E707)),IFERROR(-VALUE(LEFT(E707,FIND("º",SUBSTITUTE(E707,"°","º"))-1)),-1),IF(LEFT(E707,6)="TÉRREO",0,IFERROR(VALUE(LEFT(E707,FIND("º",SUBSTITUTE(E707,"°","º"))-1)),""))))</f>
        <v>0</v>
      </c>
      <c r="O707" s="2" t="str">
        <f aca="false">IF(OR(F707="",G707=""),"",IF(G707&lt;='RETRATO 2027'!$K$5,"CONCLUÍDA",IF(F707&lt;='RETRATO 2027'!$K$5,"EM ANDAMENTO","A INICIAR")))</f>
        <v>CONCLUÍDA</v>
      </c>
    </row>
    <row r="708" customFormat="false" ht="15" hidden="false" customHeight="false" outlineLevel="0" collapsed="false">
      <c r="B708" s="4" t="n">
        <v>30205763</v>
      </c>
      <c r="C708" s="4" t="s">
        <v>2505</v>
      </c>
      <c r="D708" s="4" t="s">
        <v>463</v>
      </c>
      <c r="E708" s="4" t="s">
        <v>2837</v>
      </c>
      <c r="F708" s="127" t="n">
        <v>46654</v>
      </c>
      <c r="G708" s="127" t="n">
        <v>46720</v>
      </c>
      <c r="H708" s="127" t="n">
        <v>46289</v>
      </c>
      <c r="I708" s="4" t="n">
        <v>0</v>
      </c>
      <c r="J708" s="4" t="n">
        <v>0</v>
      </c>
      <c r="K708" s="4" t="n">
        <v>0</v>
      </c>
      <c r="M708" s="2" t="str">
        <f aca="false">IF(C708="","",IFERROR(INDEX($S$5:$S$304,MATCH(C708,$R$5:$R$304,0))&amp;"","?"))</f>
        <v>21</v>
      </c>
      <c r="N708" s="2" t="n">
        <f aca="false">IF(E708="","",IF(ISNUMBER(SEARCH("SUBSOLO",E708)),IFERROR(-VALUE(LEFT(E708,FIND("º",SUBSTITUTE(E708,"°","º"))-1)),-1),IF(LEFT(E708,6)="TÉRREO",0,IFERROR(VALUE(LEFT(E708,FIND("º",SUBSTITUTE(E708,"°","º"))-1)),""))))</f>
        <v>0</v>
      </c>
      <c r="O708" s="2" t="str">
        <f aca="false">IF(OR(F708="",G708=""),"",IF(G708&lt;='RETRATO 2027'!$K$5,"CONCLUÍDA",IF(F708&lt;='RETRATO 2027'!$K$5,"EM ANDAMENTO","A INICIAR")))</f>
        <v>CONCLUÍDA</v>
      </c>
    </row>
    <row r="709" customFormat="false" ht="15" hidden="false" customHeight="false" outlineLevel="0" collapsed="false">
      <c r="B709" s="4" t="n">
        <v>29981000</v>
      </c>
      <c r="C709" s="4" t="s">
        <v>2410</v>
      </c>
      <c r="D709" s="4" t="s">
        <v>463</v>
      </c>
      <c r="E709" s="4" t="s">
        <v>2827</v>
      </c>
      <c r="F709" s="127" t="n">
        <v>46657</v>
      </c>
      <c r="G709" s="127" t="n">
        <v>46667</v>
      </c>
      <c r="H709" s="127" t="n">
        <v>46289</v>
      </c>
      <c r="I709" s="4" t="n">
        <v>0</v>
      </c>
      <c r="J709" s="4" t="n">
        <v>0</v>
      </c>
      <c r="K709" s="4" t="n">
        <v>0</v>
      </c>
      <c r="M709" s="2" t="str">
        <f aca="false">IF(C709="","",IFERROR(INDEX($S$5:$S$304,MATCH(C709,$R$5:$R$304,0))&amp;"","?"))</f>
        <v>22</v>
      </c>
      <c r="N709" s="2" t="n">
        <f aca="false">IF(E709="","",IF(ISNUMBER(SEARCH("SUBSOLO",E709)),IFERROR(-VALUE(LEFT(E709,FIND("º",SUBSTITUTE(E709,"°","º"))-1)),-1),IF(LEFT(E709,6)="TÉRREO",0,IFERROR(VALUE(LEFT(E709,FIND("º",SUBSTITUTE(E709,"°","º"))-1)),""))))</f>
        <v>22</v>
      </c>
      <c r="O709" s="2" t="str">
        <f aca="false">IF(OR(F709="",G709=""),"",IF(G709&lt;='RETRATO 2027'!$K$5,"CONCLUÍDA",IF(F709&lt;='RETRATO 2027'!$K$5,"EM ANDAMENTO","A INICIAR")))</f>
        <v>CONCLUÍDA</v>
      </c>
    </row>
    <row r="710" customFormat="false" ht="15" hidden="false" customHeight="false" outlineLevel="0" collapsed="false">
      <c r="B710" s="4" t="n">
        <v>29980951</v>
      </c>
      <c r="C710" s="4" t="s">
        <v>168</v>
      </c>
      <c r="D710" s="4" t="s">
        <v>463</v>
      </c>
      <c r="E710" s="4" t="s">
        <v>2829</v>
      </c>
      <c r="F710" s="127" t="n">
        <v>46657</v>
      </c>
      <c r="G710" s="127" t="n">
        <v>46667</v>
      </c>
      <c r="H710" s="127" t="n">
        <v>46289</v>
      </c>
      <c r="I710" s="4" t="n">
        <v>0</v>
      </c>
      <c r="J710" s="4" t="n">
        <v>0</v>
      </c>
      <c r="K710" s="4" t="n">
        <v>0</v>
      </c>
      <c r="M710" s="2" t="str">
        <f aca="false">IF(C710="","",IFERROR(INDEX($S$5:$S$304,MATCH(C710,$R$5:$R$304,0))&amp;"","?"))</f>
        <v>18</v>
      </c>
      <c r="N710" s="2" t="n">
        <f aca="false">IF(E710="","",IF(ISNUMBER(SEARCH("SUBSOLO",E710)),IFERROR(-VALUE(LEFT(E710,FIND("º",SUBSTITUTE(E710,"°","º"))-1)),-1),IF(LEFT(E710,6)="TÉRREO",0,IFERROR(VALUE(LEFT(E710,FIND("º",SUBSTITUTE(E710,"°","º"))-1)),""))))</f>
        <v>23</v>
      </c>
      <c r="O710" s="2" t="str">
        <f aca="false">IF(OR(F710="",G710=""),"",IF(G710&lt;='RETRATO 2027'!$K$5,"CONCLUÍDA",IF(F710&lt;='RETRATO 2027'!$K$5,"EM ANDAMENTO","A INICIAR")))</f>
        <v>CONCLUÍDA</v>
      </c>
    </row>
    <row r="711" customFormat="false" ht="15" hidden="false" customHeight="false" outlineLevel="0" collapsed="false">
      <c r="B711" s="4" t="n">
        <v>29981549</v>
      </c>
      <c r="C711" s="4" t="s">
        <v>2508</v>
      </c>
      <c r="D711" s="4" t="s">
        <v>463</v>
      </c>
      <c r="E711" s="4" t="s">
        <v>2803</v>
      </c>
      <c r="F711" s="127" t="n">
        <v>46661</v>
      </c>
      <c r="G711" s="127" t="n">
        <v>46674</v>
      </c>
      <c r="H711" s="127" t="n">
        <v>46289</v>
      </c>
      <c r="I711" s="4" t="n">
        <v>0</v>
      </c>
      <c r="J711" s="4" t="n">
        <v>0</v>
      </c>
      <c r="K711" s="4" t="n">
        <v>0</v>
      </c>
      <c r="M711" s="2" t="str">
        <f aca="false">IF(C711="","",IFERROR(INDEX($S$5:$S$304,MATCH(C711,$R$5:$R$304,0))&amp;"","?"))</f>
        <v>20</v>
      </c>
      <c r="N711" s="2" t="n">
        <f aca="false">IF(E711="","",IF(ISNUMBER(SEARCH("SUBSOLO",E711)),IFERROR(-VALUE(LEFT(E711,FIND("º",SUBSTITUTE(E711,"°","º"))-1)),-1),IF(LEFT(E711,6)="TÉRREO",0,IFERROR(VALUE(LEFT(E711,FIND("º",SUBSTITUTE(E711,"°","º"))-1)),""))))</f>
        <v>7</v>
      </c>
      <c r="O711" s="2" t="str">
        <f aca="false">IF(OR(F711="",G711=""),"",IF(G711&lt;='RETRATO 2027'!$K$5,"CONCLUÍDA",IF(F711&lt;='RETRATO 2027'!$K$5,"EM ANDAMENTO","A INICIAR")))</f>
        <v>CONCLUÍDA</v>
      </c>
    </row>
    <row r="712" customFormat="false" ht="15" hidden="false" customHeight="false" outlineLevel="0" collapsed="false">
      <c r="B712" s="4" t="n">
        <v>29981554</v>
      </c>
      <c r="C712" s="4" t="s">
        <v>2511</v>
      </c>
      <c r="D712" s="4" t="s">
        <v>463</v>
      </c>
      <c r="E712" s="4" t="s">
        <v>2803</v>
      </c>
      <c r="F712" s="127" t="n">
        <v>46661</v>
      </c>
      <c r="G712" s="127" t="n">
        <v>46674</v>
      </c>
      <c r="H712" s="127" t="n">
        <v>46289</v>
      </c>
      <c r="I712" s="4" t="n">
        <v>0</v>
      </c>
      <c r="J712" s="4" t="n">
        <v>0</v>
      </c>
      <c r="K712" s="4" t="n">
        <v>0</v>
      </c>
      <c r="M712" s="2" t="str">
        <f aca="false">IF(C712="","",IFERROR(INDEX($S$5:$S$304,MATCH(C712,$R$5:$R$304,0))&amp;"","?"))</f>
        <v>20</v>
      </c>
      <c r="N712" s="2" t="n">
        <f aca="false">IF(E712="","",IF(ISNUMBER(SEARCH("SUBSOLO",E712)),IFERROR(-VALUE(LEFT(E712,FIND("º",SUBSTITUTE(E712,"°","º"))-1)),-1),IF(LEFT(E712,6)="TÉRREO",0,IFERROR(VALUE(LEFT(E712,FIND("º",SUBSTITUTE(E712,"°","º"))-1)),""))))</f>
        <v>7</v>
      </c>
      <c r="O712" s="2" t="str">
        <f aca="false">IF(OR(F712="",G712=""),"",IF(G712&lt;='RETRATO 2027'!$K$5,"CONCLUÍDA",IF(F712&lt;='RETRATO 2027'!$K$5,"EM ANDAMENTO","A INICIAR")))</f>
        <v>CONCLUÍDA</v>
      </c>
    </row>
    <row r="713" customFormat="false" ht="15" hidden="false" customHeight="false" outlineLevel="0" collapsed="false">
      <c r="B713" s="4" t="n">
        <v>30214069</v>
      </c>
      <c r="C713" s="4" t="s">
        <v>2514</v>
      </c>
      <c r="D713" s="4" t="s">
        <v>463</v>
      </c>
      <c r="E713" s="4" t="s">
        <v>2803</v>
      </c>
      <c r="F713" s="127" t="n">
        <v>46661</v>
      </c>
      <c r="G713" s="127" t="n">
        <v>46675</v>
      </c>
      <c r="H713" s="127" t="n">
        <v>46289</v>
      </c>
      <c r="I713" s="4" t="n">
        <v>0</v>
      </c>
      <c r="J713" s="4" t="n">
        <v>0</v>
      </c>
      <c r="K713" s="4" t="n">
        <v>0</v>
      </c>
      <c r="M713" s="2" t="str">
        <f aca="false">IF(C713="","",IFERROR(INDEX($S$5:$S$304,MATCH(C713,$R$5:$R$304,0))&amp;"","?"))</f>
        <v>20</v>
      </c>
      <c r="N713" s="2" t="n">
        <f aca="false">IF(E713="","",IF(ISNUMBER(SEARCH("SUBSOLO",E713)),IFERROR(-VALUE(LEFT(E713,FIND("º",SUBSTITUTE(E713,"°","º"))-1)),-1),IF(LEFT(E713,6)="TÉRREO",0,IFERROR(VALUE(LEFT(E713,FIND("º",SUBSTITUTE(E713,"°","º"))-1)),""))))</f>
        <v>7</v>
      </c>
      <c r="O713" s="2" t="str">
        <f aca="false">IF(OR(F713="",G713=""),"",IF(G713&lt;='RETRATO 2027'!$K$5,"CONCLUÍDA",IF(F713&lt;='RETRATO 2027'!$K$5,"EM ANDAMENTO","A INICIAR")))</f>
        <v>CONCLUÍDA</v>
      </c>
    </row>
    <row r="714" customFormat="false" ht="15" hidden="false" customHeight="false" outlineLevel="0" collapsed="false">
      <c r="B714" s="4" t="n">
        <v>29981496</v>
      </c>
      <c r="C714" s="4" t="s">
        <v>2501</v>
      </c>
      <c r="D714" s="4" t="s">
        <v>463</v>
      </c>
      <c r="E714" s="4" t="s">
        <v>2804</v>
      </c>
      <c r="F714" s="127" t="n">
        <v>46661</v>
      </c>
      <c r="G714" s="127" t="n">
        <v>46674</v>
      </c>
      <c r="H714" s="127" t="n">
        <v>46289</v>
      </c>
      <c r="I714" s="4" t="n">
        <v>0</v>
      </c>
      <c r="J714" s="4" t="n">
        <v>0</v>
      </c>
      <c r="K714" s="4" t="n">
        <v>0</v>
      </c>
      <c r="M714" s="2" t="str">
        <f aca="false">IF(C714="","",IFERROR(INDEX($S$5:$S$304,MATCH(C714,$R$5:$R$304,0))&amp;"","?"))</f>
        <v>30</v>
      </c>
      <c r="N714" s="2" t="n">
        <f aca="false">IF(E714="","",IF(ISNUMBER(SEARCH("SUBSOLO",E714)),IFERROR(-VALUE(LEFT(E714,FIND("º",SUBSTITUTE(E714,"°","º"))-1)),-1),IF(LEFT(E714,6)="TÉRREO",0,IFERROR(VALUE(LEFT(E714,FIND("º",SUBSTITUTE(E714,"°","º"))-1)),""))))</f>
        <v>8</v>
      </c>
      <c r="O714" s="2" t="str">
        <f aca="false">IF(OR(F714="",G714=""),"",IF(G714&lt;='RETRATO 2027'!$K$5,"CONCLUÍDA",IF(F714&lt;='RETRATO 2027'!$K$5,"EM ANDAMENTO","A INICIAR")))</f>
        <v>CONCLUÍDA</v>
      </c>
    </row>
    <row r="715" customFormat="false" ht="15" hidden="false" customHeight="false" outlineLevel="0" collapsed="false">
      <c r="B715" s="4" t="n">
        <v>29981458</v>
      </c>
      <c r="C715" s="4" t="s">
        <v>2486</v>
      </c>
      <c r="D715" s="4" t="s">
        <v>463</v>
      </c>
      <c r="E715" s="4" t="s">
        <v>2805</v>
      </c>
      <c r="F715" s="127" t="n">
        <v>46661</v>
      </c>
      <c r="G715" s="127" t="n">
        <v>46674</v>
      </c>
      <c r="H715" s="127" t="n">
        <v>46289</v>
      </c>
      <c r="I715" s="4" t="n">
        <v>0</v>
      </c>
      <c r="J715" s="4" t="n">
        <v>0</v>
      </c>
      <c r="K715" s="4" t="n">
        <v>0</v>
      </c>
      <c r="M715" s="2" t="str">
        <f aca="false">IF(C715="","",IFERROR(INDEX($S$5:$S$304,MATCH(C715,$R$5:$R$304,0))&amp;"","?"))</f>
        <v>30</v>
      </c>
      <c r="N715" s="2" t="n">
        <f aca="false">IF(E715="","",IF(ISNUMBER(SEARCH("SUBSOLO",E715)),IFERROR(-VALUE(LEFT(E715,FIND("º",SUBSTITUTE(E715,"°","º"))-1)),-1),IF(LEFT(E715,6)="TÉRREO",0,IFERROR(VALUE(LEFT(E715,FIND("º",SUBSTITUTE(E715,"°","º"))-1)),""))))</f>
        <v>9</v>
      </c>
      <c r="O715" s="2" t="str">
        <f aca="false">IF(OR(F715="",G715=""),"",IF(G715&lt;='RETRATO 2027'!$K$5,"CONCLUÍDA",IF(F715&lt;='RETRATO 2027'!$K$5,"EM ANDAMENTO","A INICIAR")))</f>
        <v>CONCLUÍDA</v>
      </c>
    </row>
    <row r="716" customFormat="false" ht="15" hidden="false" customHeight="false" outlineLevel="0" collapsed="false">
      <c r="B716" s="4" t="n">
        <v>29981437</v>
      </c>
      <c r="C716" s="4" t="s">
        <v>2480</v>
      </c>
      <c r="D716" s="4" t="s">
        <v>463</v>
      </c>
      <c r="E716" s="4" t="s">
        <v>2809</v>
      </c>
      <c r="F716" s="127" t="n">
        <v>46661</v>
      </c>
      <c r="G716" s="127" t="n">
        <v>46674</v>
      </c>
      <c r="H716" s="127" t="n">
        <v>46289</v>
      </c>
      <c r="I716" s="4" t="n">
        <v>0</v>
      </c>
      <c r="J716" s="4" t="n">
        <v>0</v>
      </c>
      <c r="K716" s="4" t="n">
        <v>0</v>
      </c>
      <c r="M716" s="2" t="str">
        <f aca="false">IF(C716="","",IFERROR(INDEX($S$5:$S$304,MATCH(C716,$R$5:$R$304,0))&amp;"","?"))</f>
        <v>30</v>
      </c>
      <c r="N716" s="2" t="n">
        <f aca="false">IF(E716="","",IF(ISNUMBER(SEARCH("SUBSOLO",E716)),IFERROR(-VALUE(LEFT(E716,FIND("º",SUBSTITUTE(E716,"°","º"))-1)),-1),IF(LEFT(E716,6)="TÉRREO",0,IFERROR(VALUE(LEFT(E716,FIND("º",SUBSTITUTE(E716,"°","º"))-1)),""))))</f>
        <v>10</v>
      </c>
      <c r="O716" s="2" t="str">
        <f aca="false">IF(OR(F716="",G716=""),"",IF(G716&lt;='RETRATO 2027'!$K$5,"CONCLUÍDA",IF(F716&lt;='RETRATO 2027'!$K$5,"EM ANDAMENTO","A INICIAR")))</f>
        <v>CONCLUÍDA</v>
      </c>
    </row>
    <row r="717" customFormat="false" ht="15" hidden="false" customHeight="false" outlineLevel="0" collapsed="false">
      <c r="B717" s="4" t="n">
        <v>29981398</v>
      </c>
      <c r="C717" s="4" t="s">
        <v>171</v>
      </c>
      <c r="D717" s="4" t="s">
        <v>463</v>
      </c>
      <c r="E717" s="4" t="s">
        <v>2810</v>
      </c>
      <c r="F717" s="127" t="n">
        <v>46661</v>
      </c>
      <c r="G717" s="127" t="n">
        <v>46674</v>
      </c>
      <c r="H717" s="127" t="n">
        <v>46289</v>
      </c>
      <c r="I717" s="4" t="n">
        <v>0</v>
      </c>
      <c r="J717" s="4" t="n">
        <v>0</v>
      </c>
      <c r="K717" s="4" t="n">
        <v>0</v>
      </c>
      <c r="M717" s="2" t="str">
        <f aca="false">IF(C717="","",IFERROR(INDEX($S$5:$S$304,MATCH(C717,$R$5:$R$304,0))&amp;"","?"))</f>
        <v>19</v>
      </c>
      <c r="N717" s="2" t="n">
        <f aca="false">IF(E717="","",IF(ISNUMBER(SEARCH("SUBSOLO",E717)),IFERROR(-VALUE(LEFT(E717,FIND("º",SUBSTITUTE(E717,"°","º"))-1)),-1),IF(LEFT(E717,6)="TÉRREO",0,IFERROR(VALUE(LEFT(E717,FIND("º",SUBSTITUTE(E717,"°","º"))-1)),""))))</f>
        <v>11</v>
      </c>
      <c r="O717" s="2" t="str">
        <f aca="false">IF(OR(F717="",G717=""),"",IF(G717&lt;='RETRATO 2027'!$K$5,"CONCLUÍDA",IF(F717&lt;='RETRATO 2027'!$K$5,"EM ANDAMENTO","A INICIAR")))</f>
        <v>CONCLUÍDA</v>
      </c>
    </row>
    <row r="718" customFormat="false" ht="15" hidden="false" customHeight="false" outlineLevel="0" collapsed="false">
      <c r="B718" s="4" t="n">
        <v>32750438</v>
      </c>
      <c r="C718" s="4" t="s">
        <v>2470</v>
      </c>
      <c r="D718" s="4" t="s">
        <v>463</v>
      </c>
      <c r="E718" s="4" t="s">
        <v>2811</v>
      </c>
      <c r="F718" s="127" t="n">
        <v>46661</v>
      </c>
      <c r="G718" s="127" t="n">
        <v>46674</v>
      </c>
      <c r="H718" s="127" t="n">
        <v>46289</v>
      </c>
      <c r="I718" s="4" t="n">
        <v>0</v>
      </c>
      <c r="J718" s="4" t="n">
        <v>0</v>
      </c>
      <c r="K718" s="4" t="n">
        <v>0</v>
      </c>
      <c r="M718" s="2" t="str">
        <f aca="false">IF(C718="","",IFERROR(INDEX($S$5:$S$304,MATCH(C718,$R$5:$R$304,0))&amp;"","?"))</f>
        <v>18</v>
      </c>
      <c r="N718" s="2" t="n">
        <f aca="false">IF(E718="","",IF(ISNUMBER(SEARCH("SUBSOLO",E718)),IFERROR(-VALUE(LEFT(E718,FIND("º",SUBSTITUTE(E718,"°","º"))-1)),-1),IF(LEFT(E718,6)="TÉRREO",0,IFERROR(VALUE(LEFT(E718,FIND("º",SUBSTITUTE(E718,"°","º"))-1)),""))))</f>
        <v>12</v>
      </c>
      <c r="O718" s="2" t="str">
        <f aca="false">IF(OR(F718="",G718=""),"",IF(G718&lt;='RETRATO 2027'!$K$5,"CONCLUÍDA",IF(F718&lt;='RETRATO 2027'!$K$5,"EM ANDAMENTO","A INICIAR")))</f>
        <v>CONCLUÍDA</v>
      </c>
    </row>
    <row r="719" customFormat="false" ht="15" hidden="false" customHeight="false" outlineLevel="0" collapsed="false">
      <c r="B719" s="4" t="n">
        <v>32750361</v>
      </c>
      <c r="C719" s="4" t="s">
        <v>2458</v>
      </c>
      <c r="D719" s="4" t="s">
        <v>463</v>
      </c>
      <c r="E719" s="4" t="s">
        <v>2812</v>
      </c>
      <c r="F719" s="127" t="n">
        <v>46661</v>
      </c>
      <c r="G719" s="127" t="n">
        <v>46674</v>
      </c>
      <c r="H719" s="127" t="n">
        <v>46289</v>
      </c>
      <c r="I719" s="4" t="n">
        <v>0</v>
      </c>
      <c r="J719" s="4" t="n">
        <v>0</v>
      </c>
      <c r="K719" s="4" t="n">
        <v>0</v>
      </c>
      <c r="M719" s="2" t="str">
        <f aca="false">IF(C719="","",IFERROR(INDEX($S$5:$S$304,MATCH(C719,$R$5:$R$304,0))&amp;"","?"))</f>
        <v>21</v>
      </c>
      <c r="N719" s="2" t="n">
        <f aca="false">IF(E719="","",IF(ISNUMBER(SEARCH("SUBSOLO",E719)),IFERROR(-VALUE(LEFT(E719,FIND("º",SUBSTITUTE(E719,"°","º"))-1)),-1),IF(LEFT(E719,6)="TÉRREO",0,IFERROR(VALUE(LEFT(E719,FIND("º",SUBSTITUTE(E719,"°","º"))-1)),""))))</f>
        <v>13</v>
      </c>
      <c r="O719" s="2" t="str">
        <f aca="false">IF(OR(F719="",G719=""),"",IF(G719&lt;='RETRATO 2027'!$K$5,"CONCLUÍDA",IF(F719&lt;='RETRATO 2027'!$K$5,"EM ANDAMENTO","A INICIAR")))</f>
        <v>CONCLUÍDA</v>
      </c>
    </row>
    <row r="720" customFormat="false" ht="15" hidden="false" customHeight="false" outlineLevel="0" collapsed="false">
      <c r="B720" s="4" t="n">
        <v>32750387</v>
      </c>
      <c r="C720" s="4" t="s">
        <v>2461</v>
      </c>
      <c r="D720" s="4" t="s">
        <v>463</v>
      </c>
      <c r="E720" s="4" t="s">
        <v>2812</v>
      </c>
      <c r="F720" s="127" t="n">
        <v>46661</v>
      </c>
      <c r="G720" s="127" t="n">
        <v>46674</v>
      </c>
      <c r="H720" s="127" t="n">
        <v>46289</v>
      </c>
      <c r="I720" s="4" t="n">
        <v>0</v>
      </c>
      <c r="J720" s="4" t="n">
        <v>0</v>
      </c>
      <c r="K720" s="4" t="n">
        <v>0</v>
      </c>
      <c r="M720" s="2" t="str">
        <f aca="false">IF(C720="","",IFERROR(INDEX($S$5:$S$304,MATCH(C720,$R$5:$R$304,0))&amp;"","?"))</f>
        <v>20</v>
      </c>
      <c r="N720" s="2" t="n">
        <f aca="false">IF(E720="","",IF(ISNUMBER(SEARCH("SUBSOLO",E720)),IFERROR(-VALUE(LEFT(E720,FIND("º",SUBSTITUTE(E720,"°","º"))-1)),-1),IF(LEFT(E720,6)="TÉRREO",0,IFERROR(VALUE(LEFT(E720,FIND("º",SUBSTITUTE(E720,"°","º"))-1)),""))))</f>
        <v>13</v>
      </c>
      <c r="O720" s="2" t="str">
        <f aca="false">IF(OR(F720="",G720=""),"",IF(G720&lt;='RETRATO 2027'!$K$5,"CONCLUÍDA",IF(F720&lt;='RETRATO 2027'!$K$5,"EM ANDAMENTO","A INICIAR")))</f>
        <v>CONCLUÍDA</v>
      </c>
    </row>
    <row r="721" customFormat="false" ht="15" hidden="false" customHeight="false" outlineLevel="0" collapsed="false">
      <c r="B721" s="4" t="n">
        <v>32750413</v>
      </c>
      <c r="C721" s="4" t="s">
        <v>2464</v>
      </c>
      <c r="D721" s="4" t="s">
        <v>463</v>
      </c>
      <c r="E721" s="4" t="s">
        <v>2812</v>
      </c>
      <c r="F721" s="127" t="n">
        <v>46661</v>
      </c>
      <c r="G721" s="127" t="n">
        <v>46674</v>
      </c>
      <c r="H721" s="127" t="n">
        <v>46289</v>
      </c>
      <c r="I721" s="4" t="n">
        <v>0</v>
      </c>
      <c r="J721" s="4" t="n">
        <v>0</v>
      </c>
      <c r="K721" s="4" t="n">
        <v>0</v>
      </c>
      <c r="M721" s="2" t="str">
        <f aca="false">IF(C721="","",IFERROR(INDEX($S$5:$S$304,MATCH(C721,$R$5:$R$304,0))&amp;"","?"))</f>
        <v>21</v>
      </c>
      <c r="N721" s="2" t="n">
        <f aca="false">IF(E721="","",IF(ISNUMBER(SEARCH("SUBSOLO",E721)),IFERROR(-VALUE(LEFT(E721,FIND("º",SUBSTITUTE(E721,"°","º"))-1)),-1),IF(LEFT(E721,6)="TÉRREO",0,IFERROR(VALUE(LEFT(E721,FIND("º",SUBSTITUTE(E721,"°","º"))-1)),""))))</f>
        <v>13</v>
      </c>
      <c r="O721" s="2" t="str">
        <f aca="false">IF(OR(F721="",G721=""),"",IF(G721&lt;='RETRATO 2027'!$K$5,"CONCLUÍDA",IF(F721&lt;='RETRATO 2027'!$K$5,"EM ANDAMENTO","A INICIAR")))</f>
        <v>CONCLUÍDA</v>
      </c>
    </row>
    <row r="722" customFormat="false" ht="15" hidden="false" customHeight="false" outlineLevel="0" collapsed="false">
      <c r="B722" s="4" t="n">
        <v>33896831</v>
      </c>
      <c r="C722" s="4" t="s">
        <v>2467</v>
      </c>
      <c r="D722" s="4" t="s">
        <v>463</v>
      </c>
      <c r="E722" s="4" t="s">
        <v>2812</v>
      </c>
      <c r="F722" s="127" t="n">
        <v>46661</v>
      </c>
      <c r="G722" s="127" t="n">
        <v>46674</v>
      </c>
      <c r="H722" s="127" t="n">
        <v>46289</v>
      </c>
      <c r="I722" s="4" t="n">
        <v>0</v>
      </c>
      <c r="J722" s="4" t="n">
        <v>0</v>
      </c>
      <c r="K722" s="4" t="n">
        <v>0</v>
      </c>
      <c r="M722" s="2" t="str">
        <f aca="false">IF(C722="","",IFERROR(INDEX($S$5:$S$304,MATCH(C722,$R$5:$R$304,0))&amp;"","?"))</f>
        <v>23</v>
      </c>
      <c r="N722" s="2" t="n">
        <f aca="false">IF(E722="","",IF(ISNUMBER(SEARCH("SUBSOLO",E722)),IFERROR(-VALUE(LEFT(E722,FIND("º",SUBSTITUTE(E722,"°","º"))-1)),-1),IF(LEFT(E722,6)="TÉRREO",0,IFERROR(VALUE(LEFT(E722,FIND("º",SUBSTITUTE(E722,"°","º"))-1)),""))))</f>
        <v>13</v>
      </c>
      <c r="O722" s="2" t="str">
        <f aca="false">IF(OR(F722="",G722=""),"",IF(G722&lt;='RETRATO 2027'!$K$5,"CONCLUÍDA",IF(F722&lt;='RETRATO 2027'!$K$5,"EM ANDAMENTO","A INICIAR")))</f>
        <v>CONCLUÍDA</v>
      </c>
    </row>
    <row r="723" customFormat="false" ht="15" hidden="false" customHeight="false" outlineLevel="0" collapsed="false">
      <c r="B723" s="4" t="n">
        <v>32749857</v>
      </c>
      <c r="C723" s="4" t="s">
        <v>2455</v>
      </c>
      <c r="D723" s="4" t="s">
        <v>463</v>
      </c>
      <c r="E723" s="4" t="s">
        <v>2813</v>
      </c>
      <c r="F723" s="127" t="n">
        <v>46661</v>
      </c>
      <c r="G723" s="127" t="n">
        <v>46674</v>
      </c>
      <c r="H723" s="127" t="n">
        <v>46289</v>
      </c>
      <c r="I723" s="4" t="n">
        <v>0</v>
      </c>
      <c r="J723" s="4" t="n">
        <v>0</v>
      </c>
      <c r="K723" s="4" t="n">
        <v>0</v>
      </c>
      <c r="M723" s="2" t="str">
        <f aca="false">IF(C723="","",IFERROR(INDEX($S$5:$S$304,MATCH(C723,$R$5:$R$304,0))&amp;"","?"))</f>
        <v>18</v>
      </c>
      <c r="N723" s="2" t="n">
        <f aca="false">IF(E723="","",IF(ISNUMBER(SEARCH("SUBSOLO",E723)),IFERROR(-VALUE(LEFT(E723,FIND("º",SUBSTITUTE(E723,"°","º"))-1)),-1),IF(LEFT(E723,6)="TÉRREO",0,IFERROR(VALUE(LEFT(E723,FIND("º",SUBSTITUTE(E723,"°","º"))-1)),""))))</f>
        <v>14</v>
      </c>
      <c r="O723" s="2" t="str">
        <f aca="false">IF(OR(F723="",G723=""),"",IF(G723&lt;='RETRATO 2027'!$K$5,"CONCLUÍDA",IF(F723&lt;='RETRATO 2027'!$K$5,"EM ANDAMENTO","A INICIAR")))</f>
        <v>CONCLUÍDA</v>
      </c>
    </row>
    <row r="724" customFormat="false" ht="15" hidden="false" customHeight="false" outlineLevel="0" collapsed="false">
      <c r="B724" s="4" t="n">
        <v>29981251</v>
      </c>
      <c r="C724" s="4" t="s">
        <v>2449</v>
      </c>
      <c r="D724" s="4" t="s">
        <v>463</v>
      </c>
      <c r="E724" s="4" t="s">
        <v>2814</v>
      </c>
      <c r="F724" s="127" t="n">
        <v>46661</v>
      </c>
      <c r="G724" s="127" t="n">
        <v>46674</v>
      </c>
      <c r="H724" s="127" t="n">
        <v>46289</v>
      </c>
      <c r="I724" s="4" t="n">
        <v>0</v>
      </c>
      <c r="J724" s="4" t="n">
        <v>0</v>
      </c>
      <c r="K724" s="4" t="n">
        <v>0</v>
      </c>
      <c r="M724" s="2" t="str">
        <f aca="false">IF(C724="","",IFERROR(INDEX($S$5:$S$304,MATCH(C724,$R$5:$R$304,0))&amp;"","?"))</f>
        <v>28</v>
      </c>
      <c r="N724" s="2" t="n">
        <f aca="false">IF(E724="","",IF(ISNUMBER(SEARCH("SUBSOLO",E724)),IFERROR(-VALUE(LEFT(E724,FIND("º",SUBSTITUTE(E724,"°","º"))-1)),-1),IF(LEFT(E724,6)="TÉRREO",0,IFERROR(VALUE(LEFT(E724,FIND("º",SUBSTITUTE(E724,"°","º"))-1)),""))))</f>
        <v>15</v>
      </c>
      <c r="O724" s="2" t="str">
        <f aca="false">IF(OR(F724="",G724=""),"",IF(G724&lt;='RETRATO 2027'!$K$5,"CONCLUÍDA",IF(F724&lt;='RETRATO 2027'!$K$5,"EM ANDAMENTO","A INICIAR")))</f>
        <v>CONCLUÍDA</v>
      </c>
    </row>
    <row r="725" customFormat="false" ht="15" hidden="false" customHeight="false" outlineLevel="0" collapsed="false">
      <c r="B725" s="4" t="n">
        <v>29981191</v>
      </c>
      <c r="C725" s="4" t="s">
        <v>2440</v>
      </c>
      <c r="D725" s="4" t="s">
        <v>463</v>
      </c>
      <c r="E725" s="4" t="s">
        <v>2815</v>
      </c>
      <c r="F725" s="127" t="n">
        <v>46661</v>
      </c>
      <c r="G725" s="127" t="n">
        <v>46674</v>
      </c>
      <c r="H725" s="127" t="n">
        <v>46289</v>
      </c>
      <c r="I725" s="4" t="n">
        <v>0</v>
      </c>
      <c r="J725" s="4" t="n">
        <v>0</v>
      </c>
      <c r="K725" s="4" t="n">
        <v>0</v>
      </c>
      <c r="M725" s="2" t="str">
        <f aca="false">IF(C725="","",IFERROR(INDEX($S$5:$S$304,MATCH(C725,$R$5:$R$304,0))&amp;"","?"))</f>
        <v>21</v>
      </c>
      <c r="N725" s="2" t="n">
        <f aca="false">IF(E725="","",IF(ISNUMBER(SEARCH("SUBSOLO",E725)),IFERROR(-VALUE(LEFT(E725,FIND("º",SUBSTITUTE(E725,"°","º"))-1)),-1),IF(LEFT(E725,6)="TÉRREO",0,IFERROR(VALUE(LEFT(E725,FIND("º",SUBSTITUTE(E725,"°","º"))-1)),""))))</f>
        <v>16</v>
      </c>
      <c r="O725" s="2" t="str">
        <f aca="false">IF(OR(F725="",G725=""),"",IF(G725&lt;='RETRATO 2027'!$K$5,"CONCLUÍDA",IF(F725&lt;='RETRATO 2027'!$K$5,"EM ANDAMENTO","A INICIAR")))</f>
        <v>CONCLUÍDA</v>
      </c>
    </row>
    <row r="726" customFormat="false" ht="15" hidden="false" customHeight="false" outlineLevel="0" collapsed="false">
      <c r="B726" s="4" t="n">
        <v>29981224</v>
      </c>
      <c r="C726" s="4" t="s">
        <v>2443</v>
      </c>
      <c r="D726" s="4" t="s">
        <v>463</v>
      </c>
      <c r="E726" s="4" t="s">
        <v>2815</v>
      </c>
      <c r="F726" s="127" t="n">
        <v>46661</v>
      </c>
      <c r="G726" s="127" t="n">
        <v>46674</v>
      </c>
      <c r="H726" s="127" t="n">
        <v>46289</v>
      </c>
      <c r="I726" s="4" t="n">
        <v>0</v>
      </c>
      <c r="J726" s="4" t="n">
        <v>0</v>
      </c>
      <c r="K726" s="4" t="n">
        <v>0</v>
      </c>
      <c r="M726" s="2" t="str">
        <f aca="false">IF(C726="","",IFERROR(INDEX($S$5:$S$304,MATCH(C726,$R$5:$R$304,0))&amp;"","?"))</f>
        <v>20</v>
      </c>
      <c r="N726" s="2" t="n">
        <f aca="false">IF(E726="","",IF(ISNUMBER(SEARCH("SUBSOLO",E726)),IFERROR(-VALUE(LEFT(E726,FIND("º",SUBSTITUTE(E726,"°","º"))-1)),-1),IF(LEFT(E726,6)="TÉRREO",0,IFERROR(VALUE(LEFT(E726,FIND("º",SUBSTITUTE(E726,"°","º"))-1)),""))))</f>
        <v>16</v>
      </c>
      <c r="O726" s="2" t="str">
        <f aca="false">IF(OR(F726="",G726=""),"",IF(G726&lt;='RETRATO 2027'!$K$5,"CONCLUÍDA",IF(F726&lt;='RETRATO 2027'!$K$5,"EM ANDAMENTO","A INICIAR")))</f>
        <v>CONCLUÍDA</v>
      </c>
    </row>
    <row r="727" customFormat="false" ht="15" hidden="false" customHeight="false" outlineLevel="0" collapsed="false">
      <c r="B727" s="4" t="n">
        <v>29981153</v>
      </c>
      <c r="C727" s="4" t="s">
        <v>2437</v>
      </c>
      <c r="D727" s="4" t="s">
        <v>463</v>
      </c>
      <c r="E727" s="4" t="s">
        <v>2818</v>
      </c>
      <c r="F727" s="127" t="n">
        <v>46661</v>
      </c>
      <c r="G727" s="127" t="n">
        <v>46674</v>
      </c>
      <c r="H727" s="127" t="n">
        <v>46289</v>
      </c>
      <c r="I727" s="4" t="n">
        <v>0</v>
      </c>
      <c r="J727" s="4" t="n">
        <v>0</v>
      </c>
      <c r="K727" s="4" t="n">
        <v>0</v>
      </c>
      <c r="M727" s="2" t="str">
        <f aca="false">IF(C727="","",IFERROR(INDEX($S$5:$S$304,MATCH(C727,$R$5:$R$304,0))&amp;"","?"))</f>
        <v>29</v>
      </c>
      <c r="N727" s="2" t="n">
        <f aca="false">IF(E727="","",IF(ISNUMBER(SEARCH("SUBSOLO",E727)),IFERROR(-VALUE(LEFT(E727,FIND("º",SUBSTITUTE(E727,"°","º"))-1)),-1),IF(LEFT(E727,6)="TÉRREO",0,IFERROR(VALUE(LEFT(E727,FIND("º",SUBSTITUTE(E727,"°","º"))-1)),""))))</f>
        <v>17</v>
      </c>
      <c r="O727" s="2" t="str">
        <f aca="false">IF(OR(F727="",G727=""),"",IF(G727&lt;='RETRATO 2027'!$K$5,"CONCLUÍDA",IF(F727&lt;='RETRATO 2027'!$K$5,"EM ANDAMENTO","A INICIAR")))</f>
        <v>CONCLUÍDA</v>
      </c>
    </row>
    <row r="728" customFormat="false" ht="15" hidden="false" customHeight="false" outlineLevel="0" collapsed="false">
      <c r="B728" s="4" t="n">
        <v>29981119</v>
      </c>
      <c r="C728" s="4" t="s">
        <v>2434</v>
      </c>
      <c r="D728" s="4" t="s">
        <v>463</v>
      </c>
      <c r="E728" s="4" t="s">
        <v>2820</v>
      </c>
      <c r="F728" s="127" t="n">
        <v>46661</v>
      </c>
      <c r="G728" s="127" t="n">
        <v>46674</v>
      </c>
      <c r="H728" s="127" t="n">
        <v>46289</v>
      </c>
      <c r="I728" s="4" t="n">
        <v>0</v>
      </c>
      <c r="J728" s="4" t="n">
        <v>0</v>
      </c>
      <c r="K728" s="4" t="n">
        <v>0</v>
      </c>
      <c r="M728" s="2" t="str">
        <f aca="false">IF(C728="","",IFERROR(INDEX($S$5:$S$304,MATCH(C728,$R$5:$R$304,0))&amp;"","?"))</f>
        <v>25</v>
      </c>
      <c r="N728" s="2" t="n">
        <f aca="false">IF(E728="","",IF(ISNUMBER(SEARCH("SUBSOLO",E728)),IFERROR(-VALUE(LEFT(E728,FIND("º",SUBSTITUTE(E728,"°","º"))-1)),-1),IF(LEFT(E728,6)="TÉRREO",0,IFERROR(VALUE(LEFT(E728,FIND("º",SUBSTITUTE(E728,"°","º"))-1)),""))))</f>
        <v>18</v>
      </c>
      <c r="O728" s="2" t="str">
        <f aca="false">IF(OR(F728="",G728=""),"",IF(G728&lt;='RETRATO 2027'!$K$5,"CONCLUÍDA",IF(F728&lt;='RETRATO 2027'!$K$5,"EM ANDAMENTO","A INICIAR")))</f>
        <v>CONCLUÍDA</v>
      </c>
    </row>
    <row r="729" customFormat="false" ht="15" hidden="false" customHeight="false" outlineLevel="0" collapsed="false">
      <c r="B729" s="4" t="n">
        <v>29981075</v>
      </c>
      <c r="C729" s="4" t="s">
        <v>2425</v>
      </c>
      <c r="D729" s="4" t="s">
        <v>463</v>
      </c>
      <c r="E729" s="4" t="s">
        <v>2823</v>
      </c>
      <c r="F729" s="127" t="n">
        <v>46661</v>
      </c>
      <c r="G729" s="127" t="n">
        <v>46674</v>
      </c>
      <c r="H729" s="127" t="n">
        <v>46289</v>
      </c>
      <c r="I729" s="4" t="n">
        <v>0</v>
      </c>
      <c r="J729" s="4" t="n">
        <v>0</v>
      </c>
      <c r="K729" s="4" t="n">
        <v>0</v>
      </c>
      <c r="M729" s="2" t="str">
        <f aca="false">IF(C729="","",IFERROR(INDEX($S$5:$S$304,MATCH(C729,$R$5:$R$304,0))&amp;"","?"))</f>
        <v>21</v>
      </c>
      <c r="N729" s="2" t="n">
        <f aca="false">IF(E729="","",IF(ISNUMBER(SEARCH("SUBSOLO",E729)),IFERROR(-VALUE(LEFT(E729,FIND("º",SUBSTITUTE(E729,"°","º"))-1)),-1),IF(LEFT(E729,6)="TÉRREO",0,IFERROR(VALUE(LEFT(E729,FIND("º",SUBSTITUTE(E729,"°","º"))-1)),""))))</f>
        <v>20</v>
      </c>
      <c r="O729" s="2" t="str">
        <f aca="false">IF(OR(F729="",G729=""),"",IF(G729&lt;='RETRATO 2027'!$K$5,"CONCLUÍDA",IF(F729&lt;='RETRATO 2027'!$K$5,"EM ANDAMENTO","A INICIAR")))</f>
        <v>CONCLUÍDA</v>
      </c>
    </row>
    <row r="730" customFormat="false" ht="15" hidden="false" customHeight="false" outlineLevel="0" collapsed="false">
      <c r="B730" s="4" t="n">
        <v>29981044</v>
      </c>
      <c r="C730" s="4" t="s">
        <v>2428</v>
      </c>
      <c r="D730" s="4" t="s">
        <v>463</v>
      </c>
      <c r="E730" s="4" t="s">
        <v>2823</v>
      </c>
      <c r="F730" s="127" t="n">
        <v>46661</v>
      </c>
      <c r="G730" s="127" t="n">
        <v>46674</v>
      </c>
      <c r="H730" s="127" t="n">
        <v>46289</v>
      </c>
      <c r="I730" s="4" t="n">
        <v>0</v>
      </c>
      <c r="J730" s="4" t="n">
        <v>0</v>
      </c>
      <c r="K730" s="4" t="n">
        <v>0</v>
      </c>
      <c r="M730" s="2" t="str">
        <f aca="false">IF(C730="","",IFERROR(INDEX($S$5:$S$304,MATCH(C730,$R$5:$R$304,0))&amp;"","?"))</f>
        <v>20</v>
      </c>
      <c r="N730" s="2" t="n">
        <f aca="false">IF(E730="","",IF(ISNUMBER(SEARCH("SUBSOLO",E730)),IFERROR(-VALUE(LEFT(E730,FIND("º",SUBSTITUTE(E730,"°","º"))-1)),-1),IF(LEFT(E730,6)="TÉRREO",0,IFERROR(VALUE(LEFT(E730,FIND("º",SUBSTITUTE(E730,"°","º"))-1)),""))))</f>
        <v>20</v>
      </c>
      <c r="O730" s="2" t="str">
        <f aca="false">IF(OR(F730="",G730=""),"",IF(G730&lt;='RETRATO 2027'!$K$5,"CONCLUÍDA",IF(F730&lt;='RETRATO 2027'!$K$5,"EM ANDAMENTO","A INICIAR")))</f>
        <v>CONCLUÍDA</v>
      </c>
    </row>
    <row r="731" customFormat="false" ht="15" hidden="false" customHeight="false" outlineLevel="0" collapsed="false">
      <c r="B731" s="4" t="n">
        <v>29981077</v>
      </c>
      <c r="C731" s="4" t="s">
        <v>2431</v>
      </c>
      <c r="D731" s="4" t="s">
        <v>463</v>
      </c>
      <c r="E731" s="4" t="s">
        <v>2823</v>
      </c>
      <c r="F731" s="127" t="n">
        <v>46661</v>
      </c>
      <c r="G731" s="127" t="n">
        <v>46674</v>
      </c>
      <c r="H731" s="127" t="n">
        <v>46289</v>
      </c>
      <c r="I731" s="4" t="n">
        <v>0</v>
      </c>
      <c r="J731" s="4" t="n">
        <v>0</v>
      </c>
      <c r="K731" s="4" t="n">
        <v>0</v>
      </c>
      <c r="M731" s="2" t="str">
        <f aca="false">IF(C731="","",IFERROR(INDEX($S$5:$S$304,MATCH(C731,$R$5:$R$304,0))&amp;"","?"))</f>
        <v>21</v>
      </c>
      <c r="N731" s="2" t="n">
        <f aca="false">IF(E731="","",IF(ISNUMBER(SEARCH("SUBSOLO",E731)),IFERROR(-VALUE(LEFT(E731,FIND("º",SUBSTITUTE(E731,"°","º"))-1)),-1),IF(LEFT(E731,6)="TÉRREO",0,IFERROR(VALUE(LEFT(E731,FIND("º",SUBSTITUTE(E731,"°","º"))-1)),""))))</f>
        <v>20</v>
      </c>
      <c r="O731" s="2" t="str">
        <f aca="false">IF(OR(F731="",G731=""),"",IF(G731&lt;='RETRATO 2027'!$K$5,"CONCLUÍDA",IF(F731&lt;='RETRATO 2027'!$K$5,"EM ANDAMENTO","A INICIAR")))</f>
        <v>CONCLUÍDA</v>
      </c>
    </row>
    <row r="732" customFormat="false" ht="15" hidden="false" customHeight="false" outlineLevel="0" collapsed="false">
      <c r="B732" s="4" t="n">
        <v>29981024</v>
      </c>
      <c r="C732" s="4" t="s">
        <v>2422</v>
      </c>
      <c r="D732" s="4" t="s">
        <v>463</v>
      </c>
      <c r="E732" s="4" t="s">
        <v>2825</v>
      </c>
      <c r="F732" s="127" t="n">
        <v>46661</v>
      </c>
      <c r="G732" s="127" t="n">
        <v>46674</v>
      </c>
      <c r="H732" s="127" t="n">
        <v>46289</v>
      </c>
      <c r="I732" s="4" t="n">
        <v>0</v>
      </c>
      <c r="J732" s="4" t="n">
        <v>0</v>
      </c>
      <c r="K732" s="4" t="n">
        <v>0</v>
      </c>
      <c r="M732" s="2" t="str">
        <f aca="false">IF(C732="","",IFERROR(INDEX($S$5:$S$304,MATCH(C732,$R$5:$R$304,0))&amp;"","?"))</f>
        <v>29</v>
      </c>
      <c r="N732" s="2" t="n">
        <f aca="false">IF(E732="","",IF(ISNUMBER(SEARCH("SUBSOLO",E732)),IFERROR(-VALUE(LEFT(E732,FIND("º",SUBSTITUTE(E732,"°","º"))-1)),-1),IF(LEFT(E732,6)="TÉRREO",0,IFERROR(VALUE(LEFT(E732,FIND("º",SUBSTITUTE(E732,"°","º"))-1)),""))))</f>
        <v>21</v>
      </c>
      <c r="O732" s="2" t="str">
        <f aca="false">IF(OR(F732="",G732=""),"",IF(G732&lt;='RETRATO 2027'!$K$5,"CONCLUÍDA",IF(F732&lt;='RETRATO 2027'!$K$5,"EM ANDAMENTO","A INICIAR")))</f>
        <v>CONCLUÍDA</v>
      </c>
    </row>
    <row r="733" customFormat="false" ht="15" hidden="false" customHeight="false" outlineLevel="0" collapsed="false">
      <c r="B733" s="4" t="n">
        <v>29980990</v>
      </c>
      <c r="C733" s="4" t="s">
        <v>2413</v>
      </c>
      <c r="D733" s="4" t="s">
        <v>463</v>
      </c>
      <c r="E733" s="4" t="s">
        <v>2827</v>
      </c>
      <c r="F733" s="127" t="n">
        <v>46661</v>
      </c>
      <c r="G733" s="127" t="n">
        <v>46674</v>
      </c>
      <c r="H733" s="127" t="n">
        <v>46289</v>
      </c>
      <c r="I733" s="4" t="n">
        <v>0</v>
      </c>
      <c r="J733" s="4" t="n">
        <v>0</v>
      </c>
      <c r="K733" s="4" t="n">
        <v>0</v>
      </c>
      <c r="M733" s="2" t="str">
        <f aca="false">IF(C733="","",IFERROR(INDEX($S$5:$S$304,MATCH(C733,$R$5:$R$304,0))&amp;"","?"))</f>
        <v>21</v>
      </c>
      <c r="N733" s="2" t="n">
        <f aca="false">IF(E733="","",IF(ISNUMBER(SEARCH("SUBSOLO",E733)),IFERROR(-VALUE(LEFT(E733,FIND("º",SUBSTITUTE(E733,"°","º"))-1)),-1),IF(LEFT(E733,6)="TÉRREO",0,IFERROR(VALUE(LEFT(E733,FIND("º",SUBSTITUTE(E733,"°","º"))-1)),""))))</f>
        <v>22</v>
      </c>
      <c r="O733" s="2" t="str">
        <f aca="false">IF(OR(F733="",G733=""),"",IF(G733&lt;='RETRATO 2027'!$K$5,"CONCLUÍDA",IF(F733&lt;='RETRATO 2027'!$K$5,"EM ANDAMENTO","A INICIAR")))</f>
        <v>CONCLUÍDA</v>
      </c>
    </row>
    <row r="734" customFormat="false" ht="15" hidden="false" customHeight="false" outlineLevel="0" collapsed="false">
      <c r="B734" s="4" t="n">
        <v>30205715</v>
      </c>
      <c r="C734" s="4" t="s">
        <v>2413</v>
      </c>
      <c r="D734" s="4" t="s">
        <v>463</v>
      </c>
      <c r="E734" s="4" t="s">
        <v>2740</v>
      </c>
      <c r="F734" s="127" t="n">
        <v>46664</v>
      </c>
      <c r="G734" s="127" t="n">
        <v>46678</v>
      </c>
      <c r="H734" s="127" t="n">
        <v>46289</v>
      </c>
      <c r="I734" s="4" t="n">
        <v>0</v>
      </c>
      <c r="J734" s="4" t="n">
        <v>0</v>
      </c>
      <c r="K734" s="4" t="n">
        <v>0</v>
      </c>
      <c r="M734" s="2" t="str">
        <f aca="false">IF(C734="","",IFERROR(INDEX($S$5:$S$304,MATCH(C734,$R$5:$R$304,0))&amp;"","?"))</f>
        <v>21</v>
      </c>
      <c r="N734" s="2" t="n">
        <f aca="false">IF(E734="","",IF(ISNUMBER(SEARCH("SUBSOLO",E734)),IFERROR(-VALUE(LEFT(E734,FIND("º",SUBSTITUTE(E734,"°","º"))-1)),-1),IF(LEFT(E734,6)="TÉRREO",0,IFERROR(VALUE(LEFT(E734,FIND("º",SUBSTITUTE(E734,"°","º"))-1)),""))))</f>
        <v>-1</v>
      </c>
      <c r="O734" s="2" t="str">
        <f aca="false">IF(OR(F734="",G734=""),"",IF(G734&lt;='RETRATO 2027'!$K$5,"CONCLUÍDA",IF(F734&lt;='RETRATO 2027'!$K$5,"EM ANDAMENTO","A INICIAR")))</f>
        <v>CONCLUÍDA</v>
      </c>
    </row>
    <row r="735" customFormat="false" ht="15" hidden="false" customHeight="false" outlineLevel="0" collapsed="false">
      <c r="B735" s="4" t="n">
        <v>30205716</v>
      </c>
      <c r="C735" s="4" t="s">
        <v>2443</v>
      </c>
      <c r="D735" s="4" t="s">
        <v>463</v>
      </c>
      <c r="E735" s="4" t="s">
        <v>2740</v>
      </c>
      <c r="F735" s="127" t="n">
        <v>46664</v>
      </c>
      <c r="G735" s="127" t="n">
        <v>46695</v>
      </c>
      <c r="H735" s="127" t="n">
        <v>46289</v>
      </c>
      <c r="I735" s="4" t="n">
        <v>0</v>
      </c>
      <c r="J735" s="4" t="n">
        <v>0</v>
      </c>
      <c r="K735" s="4" t="n">
        <v>0</v>
      </c>
      <c r="M735" s="2" t="str">
        <f aca="false">IF(C735="","",IFERROR(INDEX($S$5:$S$304,MATCH(C735,$R$5:$R$304,0))&amp;"","?"))</f>
        <v>20</v>
      </c>
      <c r="N735" s="2" t="n">
        <f aca="false">IF(E735="","",IF(ISNUMBER(SEARCH("SUBSOLO",E735)),IFERROR(-VALUE(LEFT(E735,FIND("º",SUBSTITUTE(E735,"°","º"))-1)),-1),IF(LEFT(E735,6)="TÉRREO",0,IFERROR(VALUE(LEFT(E735,FIND("º",SUBSTITUTE(E735,"°","º"))-1)),""))))</f>
        <v>-1</v>
      </c>
      <c r="O735" s="2" t="str">
        <f aca="false">IF(OR(F735="",G735=""),"",IF(G735&lt;='RETRATO 2027'!$K$5,"CONCLUÍDA",IF(F735&lt;='RETRATO 2027'!$K$5,"EM ANDAMENTO","A INICIAR")))</f>
        <v>CONCLUÍDA</v>
      </c>
    </row>
    <row r="736" customFormat="false" ht="15" hidden="false" customHeight="false" outlineLevel="0" collapsed="false">
      <c r="B736" s="4" t="n">
        <v>30205728</v>
      </c>
      <c r="C736" s="4" t="s">
        <v>2517</v>
      </c>
      <c r="D736" s="4" t="s">
        <v>463</v>
      </c>
      <c r="E736" s="4" t="s">
        <v>2740</v>
      </c>
      <c r="F736" s="127" t="n">
        <v>46664</v>
      </c>
      <c r="G736" s="127" t="n">
        <v>46678</v>
      </c>
      <c r="H736" s="127" t="n">
        <v>46289</v>
      </c>
      <c r="I736" s="4" t="n">
        <v>0</v>
      </c>
      <c r="J736" s="4" t="n">
        <v>0</v>
      </c>
      <c r="K736" s="4" t="n">
        <v>0</v>
      </c>
      <c r="M736" s="2" t="str">
        <f aca="false">IF(C736="","",IFERROR(INDEX($S$5:$S$304,MATCH(C736,$R$5:$R$304,0))&amp;"","?"))</f>
        <v>22</v>
      </c>
      <c r="N736" s="2" t="n">
        <f aca="false">IF(E736="","",IF(ISNUMBER(SEARCH("SUBSOLO",E736)),IFERROR(-VALUE(LEFT(E736,FIND("º",SUBSTITUTE(E736,"°","º"))-1)),-1),IF(LEFT(E736,6)="TÉRREO",0,IFERROR(VALUE(LEFT(E736,FIND("º",SUBSTITUTE(E736,"°","º"))-1)),""))))</f>
        <v>-1</v>
      </c>
      <c r="O736" s="2" t="str">
        <f aca="false">IF(OR(F736="",G736=""),"",IF(G736&lt;='RETRATO 2027'!$K$5,"CONCLUÍDA",IF(F736&lt;='RETRATO 2027'!$K$5,"EM ANDAMENTO","A INICIAR")))</f>
        <v>CONCLUÍDA</v>
      </c>
    </row>
    <row r="737" customFormat="false" ht="15" hidden="false" customHeight="false" outlineLevel="0" collapsed="false">
      <c r="B737" s="4" t="n">
        <v>29980989</v>
      </c>
      <c r="C737" s="4" t="s">
        <v>2416</v>
      </c>
      <c r="D737" s="4" t="s">
        <v>463</v>
      </c>
      <c r="E737" s="4" t="s">
        <v>2827</v>
      </c>
      <c r="F737" s="127" t="n">
        <v>46665</v>
      </c>
      <c r="G737" s="127" t="n">
        <v>46678</v>
      </c>
      <c r="H737" s="127" t="n">
        <v>46289</v>
      </c>
      <c r="I737" s="4" t="n">
        <v>0</v>
      </c>
      <c r="J737" s="4" t="n">
        <v>0</v>
      </c>
      <c r="K737" s="4" t="n">
        <v>0</v>
      </c>
      <c r="M737" s="2" t="str">
        <f aca="false">IF(C737="","",IFERROR(INDEX($S$5:$S$304,MATCH(C737,$R$5:$R$304,0))&amp;"","?"))</f>
        <v>18</v>
      </c>
      <c r="N737" s="2" t="n">
        <f aca="false">IF(E737="","",IF(ISNUMBER(SEARCH("SUBSOLO",E737)),IFERROR(-VALUE(LEFT(E737,FIND("º",SUBSTITUTE(E737,"°","º"))-1)),-1),IF(LEFT(E737,6)="TÉRREO",0,IFERROR(VALUE(LEFT(E737,FIND("º",SUBSTITUTE(E737,"°","º"))-1)),""))))</f>
        <v>22</v>
      </c>
      <c r="O737" s="2" t="str">
        <f aca="false">IF(OR(F737="",G737=""),"",IF(G737&lt;='RETRATO 2027'!$K$5,"CONCLUÍDA",IF(F737&lt;='RETRATO 2027'!$K$5,"EM ANDAMENTO","A INICIAR")))</f>
        <v>CONCLUÍDA</v>
      </c>
    </row>
    <row r="738" customFormat="false" ht="15" hidden="false" customHeight="false" outlineLevel="0" collapsed="false">
      <c r="B738" s="4" t="n">
        <v>29940965</v>
      </c>
      <c r="C738" s="4" t="s">
        <v>2341</v>
      </c>
      <c r="D738" s="4" t="s">
        <v>463</v>
      </c>
      <c r="E738" s="4" t="s">
        <v>2838</v>
      </c>
      <c r="F738" s="127" t="n">
        <v>46665</v>
      </c>
      <c r="G738" s="127" t="n">
        <v>46678</v>
      </c>
      <c r="H738" s="127" t="n">
        <v>46289</v>
      </c>
      <c r="I738" s="4" t="n">
        <v>0</v>
      </c>
      <c r="J738" s="4" t="n">
        <v>0</v>
      </c>
      <c r="K738" s="4" t="n">
        <v>0</v>
      </c>
      <c r="M738" s="2" t="str">
        <f aca="false">IF(C738="","",IFERROR(INDEX($S$5:$S$304,MATCH(C738,$R$5:$R$304,0))&amp;"","?"))</f>
        <v>17</v>
      </c>
      <c r="N738" s="2" t="n">
        <f aca="false">IF(E738="","",IF(ISNUMBER(SEARCH("SUBSOLO",E738)),IFERROR(-VALUE(LEFT(E738,FIND("º",SUBSTITUTE(E738,"°","º"))-1)),-1),IF(LEFT(E738,6)="TÉRREO",0,IFERROR(VALUE(LEFT(E738,FIND("º",SUBSTITUTE(E738,"°","º"))-1)),""))))</f>
        <v>27</v>
      </c>
      <c r="O738" s="2" t="str">
        <f aca="false">IF(OR(F738="",G738=""),"",IF(G738&lt;='RETRATO 2027'!$K$5,"CONCLUÍDA",IF(F738&lt;='RETRATO 2027'!$K$5,"EM ANDAMENTO","A INICIAR")))</f>
        <v>CONCLUÍDA</v>
      </c>
    </row>
    <row r="739" customFormat="false" ht="15" hidden="false" customHeight="false" outlineLevel="0" collapsed="false">
      <c r="B739" s="4" t="n">
        <v>31529058</v>
      </c>
      <c r="C739" s="4" t="s">
        <v>2341</v>
      </c>
      <c r="D739" s="4" t="s">
        <v>2312</v>
      </c>
      <c r="E739" s="4" t="s">
        <v>2838</v>
      </c>
      <c r="F739" s="127" t="n">
        <v>46665</v>
      </c>
      <c r="G739" s="127" t="n">
        <v>46671</v>
      </c>
      <c r="H739" s="127" t="n">
        <v>46289</v>
      </c>
      <c r="I739" s="4" t="n">
        <v>0</v>
      </c>
      <c r="J739" s="4" t="n">
        <v>0</v>
      </c>
      <c r="K739" s="4" t="n">
        <v>0</v>
      </c>
      <c r="M739" s="2" t="str">
        <f aca="false">IF(C739="","",IFERROR(INDEX($S$5:$S$304,MATCH(C739,$R$5:$R$304,0))&amp;"","?"))</f>
        <v>17</v>
      </c>
      <c r="N739" s="2" t="n">
        <f aca="false">IF(E739="","",IF(ISNUMBER(SEARCH("SUBSOLO",E739)),IFERROR(-VALUE(LEFT(E739,FIND("º",SUBSTITUTE(E739,"°","º"))-1)),-1),IF(LEFT(E739,6)="TÉRREO",0,IFERROR(VALUE(LEFT(E739,FIND("º",SUBSTITUTE(E739,"°","º"))-1)),""))))</f>
        <v>27</v>
      </c>
      <c r="O739" s="2" t="str">
        <f aca="false">IF(OR(F739="",G739=""),"",IF(G739&lt;='RETRATO 2027'!$K$5,"CONCLUÍDA",IF(F739&lt;='RETRATO 2027'!$K$5,"EM ANDAMENTO","A INICIAR")))</f>
        <v>CONCLUÍDA</v>
      </c>
    </row>
    <row r="740" customFormat="false" ht="15" hidden="false" customHeight="false" outlineLevel="0" collapsed="false">
      <c r="B740" s="4" t="n">
        <v>31529059</v>
      </c>
      <c r="C740" s="4" t="s">
        <v>2341</v>
      </c>
      <c r="D740" s="4" t="s">
        <v>2309</v>
      </c>
      <c r="E740" s="4" t="s">
        <v>2838</v>
      </c>
      <c r="F740" s="127" t="n">
        <v>46673</v>
      </c>
      <c r="G740" s="127" t="n">
        <v>46675</v>
      </c>
      <c r="H740" s="127" t="n">
        <v>46289</v>
      </c>
      <c r="I740" s="4" t="n">
        <v>0</v>
      </c>
      <c r="J740" s="4" t="n">
        <v>0</v>
      </c>
      <c r="K740" s="4" t="n">
        <v>0</v>
      </c>
      <c r="M740" s="2" t="str">
        <f aca="false">IF(C740="","",IFERROR(INDEX($S$5:$S$304,MATCH(C740,$R$5:$R$304,0))&amp;"","?"))</f>
        <v>17</v>
      </c>
      <c r="N740" s="2" t="n">
        <f aca="false">IF(E740="","",IF(ISNUMBER(SEARCH("SUBSOLO",E740)),IFERROR(-VALUE(LEFT(E740,FIND("º",SUBSTITUTE(E740,"°","º"))-1)),-1),IF(LEFT(E740,6)="TÉRREO",0,IFERROR(VALUE(LEFT(E740,FIND("º",SUBSTITUTE(E740,"°","º"))-1)),""))))</f>
        <v>27</v>
      </c>
      <c r="O740" s="2" t="str">
        <f aca="false">IF(OR(F740="",G740=""),"",IF(G740&lt;='RETRATO 2027'!$K$5,"CONCLUÍDA",IF(F740&lt;='RETRATO 2027'!$K$5,"EM ANDAMENTO","A INICIAR")))</f>
        <v>CONCLUÍDA</v>
      </c>
    </row>
    <row r="741" customFormat="false" ht="15" hidden="false" customHeight="false" outlineLevel="0" collapsed="false">
      <c r="B741" s="4" t="n">
        <v>31529060</v>
      </c>
      <c r="C741" s="4" t="s">
        <v>2341</v>
      </c>
      <c r="D741" s="4" t="s">
        <v>2314</v>
      </c>
      <c r="E741" s="4" t="s">
        <v>2838</v>
      </c>
      <c r="F741" s="127" t="n">
        <v>46678</v>
      </c>
      <c r="G741" s="127" t="n">
        <v>46678</v>
      </c>
      <c r="H741" s="127" t="n">
        <v>46289</v>
      </c>
      <c r="I741" s="4" t="n">
        <v>0</v>
      </c>
      <c r="J741" s="4" t="n">
        <v>0</v>
      </c>
      <c r="K741" s="4" t="n">
        <v>0</v>
      </c>
      <c r="M741" s="2" t="str">
        <f aca="false">IF(C741="","",IFERROR(INDEX($S$5:$S$304,MATCH(C741,$R$5:$R$304,0))&amp;"","?"))</f>
        <v>17</v>
      </c>
      <c r="N741" s="2" t="n">
        <f aca="false">IF(E741="","",IF(ISNUMBER(SEARCH("SUBSOLO",E741)),IFERROR(-VALUE(LEFT(E741,FIND("º",SUBSTITUTE(E741,"°","º"))-1)),-1),IF(LEFT(E741,6)="TÉRREO",0,IFERROR(VALUE(LEFT(E741,FIND("º",SUBSTITUTE(E741,"°","º"))-1)),""))))</f>
        <v>27</v>
      </c>
      <c r="O741" s="2" t="str">
        <f aca="false">IF(OR(F741="",G741=""),"",IF(G741&lt;='RETRATO 2027'!$K$5,"CONCLUÍDA",IF(F741&lt;='RETRATO 2027'!$K$5,"EM ANDAMENTO","A INICIAR")))</f>
        <v>CONCLUÍDA</v>
      </c>
    </row>
    <row r="742" customFormat="false" ht="15" hidden="false" customHeight="false" outlineLevel="0" collapsed="false">
      <c r="B742" s="4" t="n">
        <v>31529061</v>
      </c>
      <c r="C742" s="4" t="s">
        <v>2341</v>
      </c>
      <c r="D742" s="4" t="s">
        <v>2758</v>
      </c>
      <c r="E742" s="4" t="s">
        <v>2838</v>
      </c>
      <c r="F742" s="127" t="n">
        <v>46678</v>
      </c>
      <c r="G742" s="127" t="n">
        <v>46678</v>
      </c>
      <c r="H742" s="127" t="n">
        <v>46289</v>
      </c>
      <c r="I742" s="4" t="n">
        <v>0</v>
      </c>
      <c r="J742" s="4" t="n">
        <v>0</v>
      </c>
      <c r="K742" s="4" t="n">
        <v>0</v>
      </c>
      <c r="M742" s="2" t="str">
        <f aca="false">IF(C742="","",IFERROR(INDEX($S$5:$S$304,MATCH(C742,$R$5:$R$304,0))&amp;"","?"))</f>
        <v>17</v>
      </c>
      <c r="N742" s="2" t="n">
        <f aca="false">IF(E742="","",IF(ISNUMBER(SEARCH("SUBSOLO",E742)),IFERROR(-VALUE(LEFT(E742,FIND("º",SUBSTITUTE(E742,"°","º"))-1)),-1),IF(LEFT(E742,6)="TÉRREO",0,IFERROR(VALUE(LEFT(E742,FIND("º",SUBSTITUTE(E742,"°","º"))-1)),""))))</f>
        <v>27</v>
      </c>
      <c r="O742" s="2" t="str">
        <f aca="false">IF(OR(F742="",G742=""),"",IF(G742&lt;='RETRATO 2027'!$K$5,"CONCLUÍDA",IF(F742&lt;='RETRATO 2027'!$K$5,"EM ANDAMENTO","A INICIAR")))</f>
        <v>CONCLUÍDA</v>
      </c>
    </row>
    <row r="743" customFormat="false" ht="15" hidden="false" customHeight="false" outlineLevel="0" collapsed="false">
      <c r="B743" s="4" t="n">
        <v>30214546</v>
      </c>
      <c r="C743" s="4" t="s">
        <v>2514</v>
      </c>
      <c r="D743" s="4" t="s">
        <v>463</v>
      </c>
      <c r="E743" s="4" t="s">
        <v>2817</v>
      </c>
      <c r="F743" s="127" t="n">
        <v>46666</v>
      </c>
      <c r="G743" s="127" t="n">
        <v>46965</v>
      </c>
      <c r="H743" s="127" t="n">
        <v>46289</v>
      </c>
      <c r="I743" s="4" t="n">
        <v>0</v>
      </c>
      <c r="J743" s="4" t="n">
        <v>0</v>
      </c>
      <c r="K743" s="4" t="n">
        <v>0</v>
      </c>
      <c r="M743" s="2" t="str">
        <f aca="false">IF(C743="","",IFERROR(INDEX($S$5:$S$304,MATCH(C743,$R$5:$R$304,0))&amp;"","?"))</f>
        <v>20</v>
      </c>
      <c r="N743" s="2" t="str">
        <f aca="false">IF(E743="","",IF(ISNUMBER(SEARCH("SUBSOLO",E743)),IFERROR(-VALUE(LEFT(E743,FIND("º",SUBSTITUTE(E743,"°","º"))-1)),-1),IF(LEFT(E743,6)="TÉRREO",0,IFERROR(VALUE(LEFT(E743,FIND("º",SUBSTITUTE(E743,"°","º"))-1)),""))))</f>
        <v/>
      </c>
      <c r="O743" s="2" t="str">
        <f aca="false">IF(OR(F743="",G743=""),"",IF(G743&lt;='RETRATO 2027'!$K$5,"CONCLUÍDA",IF(F743&lt;='RETRATO 2027'!$K$5,"EM ANDAMENTO","A INICIAR")))</f>
        <v>EM ANDAMENTO</v>
      </c>
    </row>
    <row r="744" customFormat="false" ht="15" hidden="false" customHeight="false" outlineLevel="0" collapsed="false">
      <c r="B744" s="4" t="n">
        <v>30205704</v>
      </c>
      <c r="C744" s="4" t="s">
        <v>2486</v>
      </c>
      <c r="D744" s="4" t="s">
        <v>463</v>
      </c>
      <c r="E744" s="4" t="s">
        <v>2819</v>
      </c>
      <c r="F744" s="127" t="n">
        <v>46668</v>
      </c>
      <c r="G744" s="127" t="n">
        <v>46682</v>
      </c>
      <c r="H744" s="127" t="n">
        <v>46289</v>
      </c>
      <c r="I744" s="4" t="n">
        <v>0</v>
      </c>
      <c r="J744" s="4" t="n">
        <v>0</v>
      </c>
      <c r="K744" s="4" t="n">
        <v>0</v>
      </c>
      <c r="M744" s="2" t="str">
        <f aca="false">IF(C744="","",IFERROR(INDEX($S$5:$S$304,MATCH(C744,$R$5:$R$304,0))&amp;"","?"))</f>
        <v>30</v>
      </c>
      <c r="N744" s="2" t="n">
        <f aca="false">IF(E744="","",IF(ISNUMBER(SEARCH("SUBSOLO",E744)),IFERROR(-VALUE(LEFT(E744,FIND("º",SUBSTITUTE(E744,"°","º"))-1)),-1),IF(LEFT(E744,6)="TÉRREO",0,IFERROR(VALUE(LEFT(E744,FIND("º",SUBSTITUTE(E744,"°","º"))-1)),""))))</f>
        <v>0</v>
      </c>
      <c r="O744" s="2" t="str">
        <f aca="false">IF(OR(F744="",G744=""),"",IF(G744&lt;='RETRATO 2027'!$K$5,"CONCLUÍDA",IF(F744&lt;='RETRATO 2027'!$K$5,"EM ANDAMENTO","A INICIAR")))</f>
        <v>CONCLUÍDA</v>
      </c>
    </row>
    <row r="745" customFormat="false" ht="15" hidden="false" customHeight="false" outlineLevel="0" collapsed="false">
      <c r="B745" s="4" t="n">
        <v>30205681</v>
      </c>
      <c r="C745" s="4" t="s">
        <v>2480</v>
      </c>
      <c r="D745" s="4" t="s">
        <v>463</v>
      </c>
      <c r="E745" s="4" t="s">
        <v>2821</v>
      </c>
      <c r="F745" s="127" t="n">
        <v>46668</v>
      </c>
      <c r="G745" s="127" t="n">
        <v>46682</v>
      </c>
      <c r="H745" s="127" t="n">
        <v>46289</v>
      </c>
      <c r="I745" s="4" t="n">
        <v>0</v>
      </c>
      <c r="J745" s="4" t="n">
        <v>0</v>
      </c>
      <c r="K745" s="4" t="n">
        <v>0</v>
      </c>
      <c r="M745" s="2" t="str">
        <f aca="false">IF(C745="","",IFERROR(INDEX($S$5:$S$304,MATCH(C745,$R$5:$R$304,0))&amp;"","?"))</f>
        <v>30</v>
      </c>
      <c r="N745" s="2" t="n">
        <f aca="false">IF(E745="","",IF(ISNUMBER(SEARCH("SUBSOLO",E745)),IFERROR(-VALUE(LEFT(E745,FIND("º",SUBSTITUTE(E745,"°","º"))-1)),-1),IF(LEFT(E745,6)="TÉRREO",0,IFERROR(VALUE(LEFT(E745,FIND("º",SUBSTITUTE(E745,"°","º"))-1)),""))))</f>
        <v>0</v>
      </c>
      <c r="O745" s="2" t="str">
        <f aca="false">IF(OR(F745="",G745=""),"",IF(G745&lt;='RETRATO 2027'!$K$5,"CONCLUÍDA",IF(F745&lt;='RETRATO 2027'!$K$5,"EM ANDAMENTO","A INICIAR")))</f>
        <v>CONCLUÍDA</v>
      </c>
    </row>
    <row r="746" customFormat="false" ht="15" hidden="false" customHeight="false" outlineLevel="0" collapsed="false">
      <c r="B746" s="4" t="n">
        <v>30205647</v>
      </c>
      <c r="C746" s="4" t="s">
        <v>2492</v>
      </c>
      <c r="D746" s="4" t="s">
        <v>463</v>
      </c>
      <c r="E746" s="4" t="s">
        <v>2824</v>
      </c>
      <c r="F746" s="127" t="n">
        <v>46668</v>
      </c>
      <c r="G746" s="127" t="n">
        <v>46682</v>
      </c>
      <c r="H746" s="127" t="n">
        <v>46289</v>
      </c>
      <c r="I746" s="4" t="n">
        <v>0</v>
      </c>
      <c r="J746" s="4" t="n">
        <v>0</v>
      </c>
      <c r="K746" s="4" t="n">
        <v>0</v>
      </c>
      <c r="M746" s="2" t="str">
        <f aca="false">IF(C746="","",IFERROR(INDEX($S$5:$S$304,MATCH(C746,$R$5:$R$304,0))&amp;"","?"))</f>
        <v>18</v>
      </c>
      <c r="N746" s="2" t="n">
        <f aca="false">IF(E746="","",IF(ISNUMBER(SEARCH("SUBSOLO",E746)),IFERROR(-VALUE(LEFT(E746,FIND("º",SUBSTITUTE(E746,"°","º"))-1)),-1),IF(LEFT(E746,6)="TÉRREO",0,IFERROR(VALUE(LEFT(E746,FIND("º",SUBSTITUTE(E746,"°","º"))-1)),""))))</f>
        <v>0</v>
      </c>
      <c r="O746" s="2" t="str">
        <f aca="false">IF(OR(F746="",G746=""),"",IF(G746&lt;='RETRATO 2027'!$K$5,"CONCLUÍDA",IF(F746&lt;='RETRATO 2027'!$K$5,"EM ANDAMENTO","A INICIAR")))</f>
        <v>CONCLUÍDA</v>
      </c>
    </row>
    <row r="747" customFormat="false" ht="15" hidden="false" customHeight="false" outlineLevel="0" collapsed="false">
      <c r="B747" s="4" t="n">
        <v>30205619</v>
      </c>
      <c r="C747" s="4" t="s">
        <v>2449</v>
      </c>
      <c r="D747" s="4" t="s">
        <v>463</v>
      </c>
      <c r="E747" s="4" t="s">
        <v>2826</v>
      </c>
      <c r="F747" s="127" t="n">
        <v>46668</v>
      </c>
      <c r="G747" s="127" t="n">
        <v>46682</v>
      </c>
      <c r="H747" s="127" t="n">
        <v>46289</v>
      </c>
      <c r="I747" s="4" t="n">
        <v>0</v>
      </c>
      <c r="J747" s="4" t="n">
        <v>0</v>
      </c>
      <c r="K747" s="4" t="n">
        <v>0</v>
      </c>
      <c r="M747" s="2" t="str">
        <f aca="false">IF(C747="","",IFERROR(INDEX($S$5:$S$304,MATCH(C747,$R$5:$R$304,0))&amp;"","?"))</f>
        <v>28</v>
      </c>
      <c r="N747" s="2" t="n">
        <f aca="false">IF(E747="","",IF(ISNUMBER(SEARCH("SUBSOLO",E747)),IFERROR(-VALUE(LEFT(E747,FIND("º",SUBSTITUTE(E747,"°","º"))-1)),-1),IF(LEFT(E747,6)="TÉRREO",0,IFERROR(VALUE(LEFT(E747,FIND("º",SUBSTITUTE(E747,"°","º"))-1)),""))))</f>
        <v>0</v>
      </c>
      <c r="O747" s="2" t="str">
        <f aca="false">IF(OR(F747="",G747=""),"",IF(G747&lt;='RETRATO 2027'!$K$5,"CONCLUÍDA",IF(F747&lt;='RETRATO 2027'!$K$5,"EM ANDAMENTO","A INICIAR")))</f>
        <v>CONCLUÍDA</v>
      </c>
    </row>
    <row r="748" customFormat="false" ht="15" hidden="false" customHeight="false" outlineLevel="0" collapsed="false">
      <c r="B748" s="4" t="n">
        <v>31803888</v>
      </c>
      <c r="C748" s="4" t="s">
        <v>2483</v>
      </c>
      <c r="D748" s="4" t="s">
        <v>463</v>
      </c>
      <c r="E748" s="4" t="s">
        <v>2826</v>
      </c>
      <c r="F748" s="127" t="n">
        <v>46668</v>
      </c>
      <c r="G748" s="127" t="n">
        <v>46717</v>
      </c>
      <c r="H748" s="127" t="n">
        <v>46289</v>
      </c>
      <c r="I748" s="4" t="n">
        <v>0</v>
      </c>
      <c r="J748" s="4" t="n">
        <v>0</v>
      </c>
      <c r="K748" s="4" t="n">
        <v>0</v>
      </c>
      <c r="M748" s="2" t="str">
        <f aca="false">IF(C748="","",IFERROR(INDEX($S$5:$S$304,MATCH(C748,$R$5:$R$304,0))&amp;"","?"))</f>
        <v>32</v>
      </c>
      <c r="N748" s="2" t="n">
        <f aca="false">IF(E748="","",IF(ISNUMBER(SEARCH("SUBSOLO",E748)),IFERROR(-VALUE(LEFT(E748,FIND("º",SUBSTITUTE(E748,"°","º"))-1)),-1),IF(LEFT(E748,6)="TÉRREO",0,IFERROR(VALUE(LEFT(E748,FIND("º",SUBSTITUTE(E748,"°","º"))-1)),""))))</f>
        <v>0</v>
      </c>
      <c r="O748" s="2" t="str">
        <f aca="false">IF(OR(F748="",G748=""),"",IF(G748&lt;='RETRATO 2027'!$K$5,"CONCLUÍDA",IF(F748&lt;='RETRATO 2027'!$K$5,"EM ANDAMENTO","A INICIAR")))</f>
        <v>CONCLUÍDA</v>
      </c>
    </row>
    <row r="749" customFormat="false" ht="15" hidden="false" customHeight="false" outlineLevel="0" collapsed="false">
      <c r="B749" s="4" t="n">
        <v>30205588</v>
      </c>
      <c r="C749" s="4" t="s">
        <v>2437</v>
      </c>
      <c r="D749" s="4" t="s">
        <v>463</v>
      </c>
      <c r="E749" s="4" t="s">
        <v>2828</v>
      </c>
      <c r="F749" s="127" t="n">
        <v>46668</v>
      </c>
      <c r="G749" s="127" t="n">
        <v>46682</v>
      </c>
      <c r="H749" s="127" t="n">
        <v>46289</v>
      </c>
      <c r="I749" s="4" t="n">
        <v>0</v>
      </c>
      <c r="J749" s="4" t="n">
        <v>0</v>
      </c>
      <c r="K749" s="4" t="n">
        <v>0</v>
      </c>
      <c r="M749" s="2" t="str">
        <f aca="false">IF(C749="","",IFERROR(INDEX($S$5:$S$304,MATCH(C749,$R$5:$R$304,0))&amp;"","?"))</f>
        <v>29</v>
      </c>
      <c r="N749" s="2" t="n">
        <f aca="false">IF(E749="","",IF(ISNUMBER(SEARCH("SUBSOLO",E749)),IFERROR(-VALUE(LEFT(E749,FIND("º",SUBSTITUTE(E749,"°","º"))-1)),-1),IF(LEFT(E749,6)="TÉRREO",0,IFERROR(VALUE(LEFT(E749,FIND("º",SUBSTITUTE(E749,"°","º"))-1)),""))))</f>
        <v>0</v>
      </c>
      <c r="O749" s="2" t="str">
        <f aca="false">IF(OR(F749="",G749=""),"",IF(G749&lt;='RETRATO 2027'!$K$5,"CONCLUÍDA",IF(F749&lt;='RETRATO 2027'!$K$5,"EM ANDAMENTO","A INICIAR")))</f>
        <v>CONCLUÍDA</v>
      </c>
    </row>
    <row r="750" customFormat="false" ht="15" hidden="false" customHeight="false" outlineLevel="0" collapsed="false">
      <c r="B750" s="4" t="n">
        <v>30205557</v>
      </c>
      <c r="C750" s="4" t="s">
        <v>2428</v>
      </c>
      <c r="D750" s="4" t="s">
        <v>463</v>
      </c>
      <c r="E750" s="4" t="s">
        <v>2830</v>
      </c>
      <c r="F750" s="127" t="n">
        <v>46668</v>
      </c>
      <c r="G750" s="127" t="n">
        <v>46679</v>
      </c>
      <c r="H750" s="127" t="n">
        <v>46289</v>
      </c>
      <c r="I750" s="4" t="n">
        <v>0</v>
      </c>
      <c r="J750" s="4" t="n">
        <v>0</v>
      </c>
      <c r="K750" s="4" t="n">
        <v>0</v>
      </c>
      <c r="M750" s="2" t="str">
        <f aca="false">IF(C750="","",IFERROR(INDEX($S$5:$S$304,MATCH(C750,$R$5:$R$304,0))&amp;"","?"))</f>
        <v>20</v>
      </c>
      <c r="N750" s="2" t="n">
        <f aca="false">IF(E750="","",IF(ISNUMBER(SEARCH("SUBSOLO",E750)),IFERROR(-VALUE(LEFT(E750,FIND("º",SUBSTITUTE(E750,"°","º"))-1)),-1),IF(LEFT(E750,6)="TÉRREO",0,IFERROR(VALUE(LEFT(E750,FIND("º",SUBSTITUTE(E750,"°","º"))-1)),""))))</f>
        <v>0</v>
      </c>
      <c r="O750" s="2" t="str">
        <f aca="false">IF(OR(F750="",G750=""),"",IF(G750&lt;='RETRATO 2027'!$K$5,"CONCLUÍDA",IF(F750&lt;='RETRATO 2027'!$K$5,"EM ANDAMENTO","A INICIAR")))</f>
        <v>CONCLUÍDA</v>
      </c>
    </row>
    <row r="751" customFormat="false" ht="15" hidden="false" customHeight="false" outlineLevel="0" collapsed="false">
      <c r="B751" s="4" t="n">
        <v>30205558</v>
      </c>
      <c r="C751" s="4" t="s">
        <v>2452</v>
      </c>
      <c r="D751" s="4" t="s">
        <v>463</v>
      </c>
      <c r="E751" s="4" t="s">
        <v>2830</v>
      </c>
      <c r="F751" s="127" t="n">
        <v>46668</v>
      </c>
      <c r="G751" s="127" t="n">
        <v>46682</v>
      </c>
      <c r="H751" s="127" t="n">
        <v>46289</v>
      </c>
      <c r="I751" s="4" t="n">
        <v>0</v>
      </c>
      <c r="J751" s="4" t="n">
        <v>0</v>
      </c>
      <c r="K751" s="4" t="n">
        <v>0</v>
      </c>
      <c r="M751" s="2" t="str">
        <f aca="false">IF(C751="","",IFERROR(INDEX($S$5:$S$304,MATCH(C751,$R$5:$R$304,0))&amp;"","?"))</f>
        <v>21</v>
      </c>
      <c r="N751" s="2" t="n">
        <f aca="false">IF(E751="","",IF(ISNUMBER(SEARCH("SUBSOLO",E751)),IFERROR(-VALUE(LEFT(E751,FIND("º",SUBSTITUTE(E751,"°","º"))-1)),-1),IF(LEFT(E751,6)="TÉRREO",0,IFERROR(VALUE(LEFT(E751,FIND("º",SUBSTITUTE(E751,"°","º"))-1)),""))))</f>
        <v>0</v>
      </c>
      <c r="O751" s="2" t="str">
        <f aca="false">IF(OR(F751="",G751=""),"",IF(G751&lt;='RETRATO 2027'!$K$5,"CONCLUÍDA",IF(F751&lt;='RETRATO 2027'!$K$5,"EM ANDAMENTO","A INICIAR")))</f>
        <v>CONCLUÍDA</v>
      </c>
    </row>
    <row r="752" customFormat="false" ht="15" hidden="false" customHeight="false" outlineLevel="0" collapsed="false">
      <c r="B752" s="4" t="n">
        <v>30205529</v>
      </c>
      <c r="C752" s="4" t="s">
        <v>2422</v>
      </c>
      <c r="D752" s="4" t="s">
        <v>463</v>
      </c>
      <c r="E752" s="4" t="s">
        <v>2832</v>
      </c>
      <c r="F752" s="127" t="n">
        <v>46668</v>
      </c>
      <c r="G752" s="127" t="n">
        <v>46682</v>
      </c>
      <c r="H752" s="127" t="n">
        <v>46289</v>
      </c>
      <c r="I752" s="4" t="n">
        <v>0</v>
      </c>
      <c r="J752" s="4" t="n">
        <v>0</v>
      </c>
      <c r="K752" s="4" t="n">
        <v>0</v>
      </c>
      <c r="M752" s="2" t="str">
        <f aca="false">IF(C752="","",IFERROR(INDEX($S$5:$S$304,MATCH(C752,$R$5:$R$304,0))&amp;"","?"))</f>
        <v>29</v>
      </c>
      <c r="N752" s="2" t="n">
        <f aca="false">IF(E752="","",IF(ISNUMBER(SEARCH("SUBSOLO",E752)),IFERROR(-VALUE(LEFT(E752,FIND("º",SUBSTITUTE(E752,"°","º"))-1)),-1),IF(LEFT(E752,6)="TÉRREO",0,IFERROR(VALUE(LEFT(E752,FIND("º",SUBSTITUTE(E752,"°","º"))-1)),""))))</f>
        <v>0</v>
      </c>
      <c r="O752" s="2" t="str">
        <f aca="false">IF(OR(F752="",G752=""),"",IF(G752&lt;='RETRATO 2027'!$K$5,"CONCLUÍDA",IF(F752&lt;='RETRATO 2027'!$K$5,"EM ANDAMENTO","A INICIAR")))</f>
        <v>CONCLUÍDA</v>
      </c>
    </row>
    <row r="753" customFormat="false" ht="15" hidden="false" customHeight="false" outlineLevel="0" collapsed="false">
      <c r="B753" s="4" t="n">
        <v>29980963</v>
      </c>
      <c r="C753" s="4" t="s">
        <v>2410</v>
      </c>
      <c r="D753" s="4" t="s">
        <v>463</v>
      </c>
      <c r="E753" s="4" t="s">
        <v>2829</v>
      </c>
      <c r="F753" s="127" t="n">
        <v>46668</v>
      </c>
      <c r="G753" s="127" t="n">
        <v>46681</v>
      </c>
      <c r="H753" s="127" t="n">
        <v>46289</v>
      </c>
      <c r="I753" s="4" t="n">
        <v>0</v>
      </c>
      <c r="J753" s="4" t="n">
        <v>0</v>
      </c>
      <c r="K753" s="4" t="n">
        <v>0</v>
      </c>
      <c r="M753" s="2" t="str">
        <f aca="false">IF(C753="","",IFERROR(INDEX($S$5:$S$304,MATCH(C753,$R$5:$R$304,0))&amp;"","?"))</f>
        <v>22</v>
      </c>
      <c r="N753" s="2" t="n">
        <f aca="false">IF(E753="","",IF(ISNUMBER(SEARCH("SUBSOLO",E753)),IFERROR(-VALUE(LEFT(E753,FIND("º",SUBSTITUTE(E753,"°","º"))-1)),-1),IF(LEFT(E753,6)="TÉRREO",0,IFERROR(VALUE(LEFT(E753,FIND("º",SUBSTITUTE(E753,"°","º"))-1)),""))))</f>
        <v>23</v>
      </c>
      <c r="O753" s="2" t="str">
        <f aca="false">IF(OR(F753="",G753=""),"",IF(G753&lt;='RETRATO 2027'!$K$5,"CONCLUÍDA",IF(F753&lt;='RETRATO 2027'!$K$5,"EM ANDAMENTO","A INICIAR")))</f>
        <v>CONCLUÍDA</v>
      </c>
    </row>
    <row r="754" customFormat="false" ht="15" hidden="false" customHeight="false" outlineLevel="0" collapsed="false">
      <c r="B754" s="4" t="n">
        <v>29980914</v>
      </c>
      <c r="C754" s="4" t="s">
        <v>168</v>
      </c>
      <c r="D754" s="4" t="s">
        <v>463</v>
      </c>
      <c r="E754" s="4" t="s">
        <v>2831</v>
      </c>
      <c r="F754" s="127" t="n">
        <v>46668</v>
      </c>
      <c r="G754" s="127" t="n">
        <v>46681</v>
      </c>
      <c r="H754" s="127" t="n">
        <v>46289</v>
      </c>
      <c r="I754" s="4" t="n">
        <v>0</v>
      </c>
      <c r="J754" s="4" t="n">
        <v>0</v>
      </c>
      <c r="K754" s="4" t="n">
        <v>0</v>
      </c>
      <c r="M754" s="2" t="str">
        <f aca="false">IF(C754="","",IFERROR(INDEX($S$5:$S$304,MATCH(C754,$R$5:$R$304,0))&amp;"","?"))</f>
        <v>18</v>
      </c>
      <c r="N754" s="2" t="n">
        <f aca="false">IF(E754="","",IF(ISNUMBER(SEARCH("SUBSOLO",E754)),IFERROR(-VALUE(LEFT(E754,FIND("º",SUBSTITUTE(E754,"°","º"))-1)),-1),IF(LEFT(E754,6)="TÉRREO",0,IFERROR(VALUE(LEFT(E754,FIND("º",SUBSTITUTE(E754,"°","º"))-1)),""))))</f>
        <v>24</v>
      </c>
      <c r="O754" s="2" t="str">
        <f aca="false">IF(OR(F754="",G754=""),"",IF(G754&lt;='RETRATO 2027'!$K$5,"CONCLUÍDA",IF(F754&lt;='RETRATO 2027'!$K$5,"EM ANDAMENTO","A INICIAR")))</f>
        <v>CONCLUÍDA</v>
      </c>
    </row>
    <row r="755" customFormat="false" ht="15" hidden="false" customHeight="false" outlineLevel="0" collapsed="false">
      <c r="B755" s="4" t="n">
        <v>30205930</v>
      </c>
      <c r="C755" s="4" t="s">
        <v>171</v>
      </c>
      <c r="D755" s="4" t="s">
        <v>463</v>
      </c>
      <c r="E755" s="4" t="s">
        <v>2784</v>
      </c>
      <c r="F755" s="127" t="n">
        <v>46671</v>
      </c>
      <c r="G755" s="127" t="n">
        <v>46685</v>
      </c>
      <c r="H755" s="127" t="n">
        <v>46289</v>
      </c>
      <c r="I755" s="4" t="n">
        <v>0</v>
      </c>
      <c r="J755" s="4" t="n">
        <v>0</v>
      </c>
      <c r="K755" s="4" t="n">
        <v>0</v>
      </c>
      <c r="M755" s="2" t="str">
        <f aca="false">IF(C755="","",IFERROR(INDEX($S$5:$S$304,MATCH(C755,$R$5:$R$304,0))&amp;"","?"))</f>
        <v>19</v>
      </c>
      <c r="N755" s="2" t="n">
        <f aca="false">IF(E755="","",IF(ISNUMBER(SEARCH("SUBSOLO",E755)),IFERROR(-VALUE(LEFT(E755,FIND("º",SUBSTITUTE(E755,"°","º"))-1)),-1),IF(LEFT(E755,6)="TÉRREO",0,IFERROR(VALUE(LEFT(E755,FIND("º",SUBSTITUTE(E755,"°","º"))-1)),""))))</f>
        <v>2</v>
      </c>
      <c r="O755" s="2" t="str">
        <f aca="false">IF(OR(F755="",G755=""),"",IF(G755&lt;='RETRATO 2027'!$K$5,"CONCLUÍDA",IF(F755&lt;='RETRATO 2027'!$K$5,"EM ANDAMENTO","A INICIAR")))</f>
        <v>CONCLUÍDA</v>
      </c>
    </row>
    <row r="756" customFormat="false" ht="15" hidden="false" customHeight="false" outlineLevel="0" collapsed="false">
      <c r="B756" s="4" t="n">
        <v>30171471</v>
      </c>
      <c r="C756" s="4" t="s">
        <v>2413</v>
      </c>
      <c r="D756" s="4" t="s">
        <v>463</v>
      </c>
      <c r="E756" s="4" t="s">
        <v>2784</v>
      </c>
      <c r="F756" s="127" t="n">
        <v>46671</v>
      </c>
      <c r="G756" s="127" t="n">
        <v>46700</v>
      </c>
      <c r="H756" s="127" t="n">
        <v>46289</v>
      </c>
      <c r="I756" s="4" t="n">
        <v>0</v>
      </c>
      <c r="J756" s="4" t="n">
        <v>0</v>
      </c>
      <c r="K756" s="4" t="n">
        <v>0</v>
      </c>
      <c r="M756" s="2" t="str">
        <f aca="false">IF(C756="","",IFERROR(INDEX($S$5:$S$304,MATCH(C756,$R$5:$R$304,0))&amp;"","?"))</f>
        <v>21</v>
      </c>
      <c r="N756" s="2" t="n">
        <f aca="false">IF(E756="","",IF(ISNUMBER(SEARCH("SUBSOLO",E756)),IFERROR(-VALUE(LEFT(E756,FIND("º",SUBSTITUTE(E756,"°","º"))-1)),-1),IF(LEFT(E756,6)="TÉRREO",0,IFERROR(VALUE(LEFT(E756,FIND("º",SUBSTITUTE(E756,"°","º"))-1)),""))))</f>
        <v>2</v>
      </c>
      <c r="O756" s="2" t="str">
        <f aca="false">IF(OR(F756="",G756=""),"",IF(G756&lt;='RETRATO 2027'!$K$5,"CONCLUÍDA",IF(F756&lt;='RETRATO 2027'!$K$5,"EM ANDAMENTO","A INICIAR")))</f>
        <v>CONCLUÍDA</v>
      </c>
    </row>
    <row r="757" customFormat="false" ht="15" hidden="false" customHeight="false" outlineLevel="0" collapsed="false">
      <c r="B757" s="4" t="n">
        <v>30171472</v>
      </c>
      <c r="C757" s="4" t="s">
        <v>2443</v>
      </c>
      <c r="D757" s="4" t="s">
        <v>463</v>
      </c>
      <c r="E757" s="4" t="s">
        <v>2784</v>
      </c>
      <c r="F757" s="127" t="n">
        <v>46671</v>
      </c>
      <c r="G757" s="127" t="n">
        <v>46700</v>
      </c>
      <c r="H757" s="127" t="n">
        <v>46289</v>
      </c>
      <c r="I757" s="4" t="n">
        <v>0</v>
      </c>
      <c r="J757" s="4" t="n">
        <v>0</v>
      </c>
      <c r="K757" s="4" t="n">
        <v>0</v>
      </c>
      <c r="M757" s="2" t="str">
        <f aca="false">IF(C757="","",IFERROR(INDEX($S$5:$S$304,MATCH(C757,$R$5:$R$304,0))&amp;"","?"))</f>
        <v>20</v>
      </c>
      <c r="N757" s="2" t="n">
        <f aca="false">IF(E757="","",IF(ISNUMBER(SEARCH("SUBSOLO",E757)),IFERROR(-VALUE(LEFT(E757,FIND("º",SUBSTITUTE(E757,"°","º"))-1)),-1),IF(LEFT(E757,6)="TÉRREO",0,IFERROR(VALUE(LEFT(E757,FIND("º",SUBSTITUTE(E757,"°","º"))-1)),""))))</f>
        <v>2</v>
      </c>
      <c r="O757" s="2" t="str">
        <f aca="false">IF(OR(F757="",G757=""),"",IF(G757&lt;='RETRATO 2027'!$K$5,"CONCLUÍDA",IF(F757&lt;='RETRATO 2027'!$K$5,"EM ANDAMENTO","A INICIAR")))</f>
        <v>CONCLUÍDA</v>
      </c>
    </row>
    <row r="758" customFormat="false" ht="15" hidden="false" customHeight="false" outlineLevel="0" collapsed="false">
      <c r="B758" s="4" t="n">
        <v>30171484</v>
      </c>
      <c r="C758" s="4" t="s">
        <v>2517</v>
      </c>
      <c r="D758" s="4" t="s">
        <v>463</v>
      </c>
      <c r="E758" s="4" t="s">
        <v>2784</v>
      </c>
      <c r="F758" s="127" t="n">
        <v>46671</v>
      </c>
      <c r="G758" s="127" t="n">
        <v>46700</v>
      </c>
      <c r="H758" s="127" t="n">
        <v>46289</v>
      </c>
      <c r="I758" s="4" t="n">
        <v>0</v>
      </c>
      <c r="J758" s="4" t="n">
        <v>0</v>
      </c>
      <c r="K758" s="4" t="n">
        <v>0</v>
      </c>
      <c r="M758" s="2" t="str">
        <f aca="false">IF(C758="","",IFERROR(INDEX($S$5:$S$304,MATCH(C758,$R$5:$R$304,0))&amp;"","?"))</f>
        <v>22</v>
      </c>
      <c r="N758" s="2" t="n">
        <f aca="false">IF(E758="","",IF(ISNUMBER(SEARCH("SUBSOLO",E758)),IFERROR(-VALUE(LEFT(E758,FIND("º",SUBSTITUTE(E758,"°","º"))-1)),-1),IF(LEFT(E758,6)="TÉRREO",0,IFERROR(VALUE(LEFT(E758,FIND("º",SUBSTITUTE(E758,"°","º"))-1)),""))))</f>
        <v>2</v>
      </c>
      <c r="O758" s="2" t="str">
        <f aca="false">IF(OR(F758="",G758=""),"",IF(G758&lt;='RETRATO 2027'!$K$5,"CONCLUÍDA",IF(F758&lt;='RETRATO 2027'!$K$5,"EM ANDAMENTO","A INICIAR")))</f>
        <v>CONCLUÍDA</v>
      </c>
    </row>
    <row r="759" customFormat="false" ht="15" hidden="false" customHeight="false" outlineLevel="0" collapsed="false">
      <c r="B759" s="4" t="n">
        <v>30171449</v>
      </c>
      <c r="C759" s="4" t="s">
        <v>194</v>
      </c>
      <c r="D759" s="4" t="s">
        <v>463</v>
      </c>
      <c r="E759" s="4" t="s">
        <v>2790</v>
      </c>
      <c r="F759" s="127" t="n">
        <v>46671</v>
      </c>
      <c r="G759" s="127" t="n">
        <v>46685</v>
      </c>
      <c r="H759" s="127" t="n">
        <v>46289</v>
      </c>
      <c r="I759" s="4" t="n">
        <v>0</v>
      </c>
      <c r="J759" s="4" t="n">
        <v>0</v>
      </c>
      <c r="K759" s="4" t="n">
        <v>0</v>
      </c>
      <c r="M759" s="2" t="str">
        <f aca="false">IF(C759="","",IFERROR(INDEX($S$5:$S$304,MATCH(C759,$R$5:$R$304,0))&amp;"","?"))</f>
        <v>26</v>
      </c>
      <c r="N759" s="2" t="n">
        <f aca="false">IF(E759="","",IF(ISNUMBER(SEARCH("SUBSOLO",E759)),IFERROR(-VALUE(LEFT(E759,FIND("º",SUBSTITUTE(E759,"°","º"))-1)),-1),IF(LEFT(E759,6)="TÉRREO",0,IFERROR(VALUE(LEFT(E759,FIND("º",SUBSTITUTE(E759,"°","º"))-1)),""))))</f>
        <v>3</v>
      </c>
      <c r="O759" s="2" t="str">
        <f aca="false">IF(OR(F759="",G759=""),"",IF(G759&lt;='RETRATO 2027'!$K$5,"CONCLUÍDA",IF(F759&lt;='RETRATO 2027'!$K$5,"EM ANDAMENTO","A INICIAR")))</f>
        <v>CONCLUÍDA</v>
      </c>
    </row>
    <row r="760" customFormat="false" ht="15" hidden="false" customHeight="false" outlineLevel="0" collapsed="false">
      <c r="B760" s="4" t="n">
        <v>30171450</v>
      </c>
      <c r="C760" s="4" t="s">
        <v>2437</v>
      </c>
      <c r="D760" s="4" t="s">
        <v>463</v>
      </c>
      <c r="E760" s="4" t="s">
        <v>2790</v>
      </c>
      <c r="F760" s="127" t="n">
        <v>46671</v>
      </c>
      <c r="G760" s="127" t="n">
        <v>46736</v>
      </c>
      <c r="H760" s="127" t="n">
        <v>46289</v>
      </c>
      <c r="I760" s="4" t="n">
        <v>0</v>
      </c>
      <c r="J760" s="4" t="n">
        <v>0</v>
      </c>
      <c r="K760" s="4" t="n">
        <v>0</v>
      </c>
      <c r="M760" s="2" t="str">
        <f aca="false">IF(C760="","",IFERROR(INDEX($S$5:$S$304,MATCH(C760,$R$5:$R$304,0))&amp;"","?"))</f>
        <v>29</v>
      </c>
      <c r="N760" s="2" t="n">
        <f aca="false">IF(E760="","",IF(ISNUMBER(SEARCH("SUBSOLO",E760)),IFERROR(-VALUE(LEFT(E760,FIND("º",SUBSTITUTE(E760,"°","º"))-1)),-1),IF(LEFT(E760,6)="TÉRREO",0,IFERROR(VALUE(LEFT(E760,FIND("º",SUBSTITUTE(E760,"°","º"))-1)),""))))</f>
        <v>3</v>
      </c>
      <c r="O760" s="2" t="str">
        <f aca="false">IF(OR(F760="",G760=""),"",IF(G760&lt;='RETRATO 2027'!$K$5,"CONCLUÍDA",IF(F760&lt;='RETRATO 2027'!$K$5,"EM ANDAMENTO","A INICIAR")))</f>
        <v>CONCLUÍDA</v>
      </c>
    </row>
    <row r="761" customFormat="false" ht="15" hidden="false" customHeight="false" outlineLevel="0" collapsed="false">
      <c r="B761" s="4" t="n">
        <v>31789529</v>
      </c>
      <c r="C761" s="4" t="s">
        <v>2520</v>
      </c>
      <c r="D761" s="4" t="s">
        <v>463</v>
      </c>
      <c r="E761" s="4" t="s">
        <v>2678</v>
      </c>
      <c r="F761" s="127" t="n">
        <v>46674</v>
      </c>
      <c r="G761" s="127" t="n">
        <v>46695</v>
      </c>
      <c r="H761" s="127" t="n">
        <v>46289</v>
      </c>
      <c r="I761" s="4" t="n">
        <v>0</v>
      </c>
      <c r="J761" s="4" t="n">
        <v>0</v>
      </c>
      <c r="K761" s="4" t="n">
        <v>0</v>
      </c>
      <c r="M761" s="2" t="str">
        <f aca="false">IF(C761="","",IFERROR(INDEX($S$5:$S$304,MATCH(C761,$R$5:$R$304,0))&amp;"","?"))</f>
        <v>32</v>
      </c>
      <c r="N761" s="2" t="str">
        <f aca="false">IF(E761="","",IF(ISNUMBER(SEARCH("SUBSOLO",E761)),IFERROR(-VALUE(LEFT(E761,FIND("º",SUBSTITUTE(E761,"°","º"))-1)),-1),IF(LEFT(E761,6)="TÉRREO",0,IFERROR(VALUE(LEFT(E761,FIND("º",SUBSTITUTE(E761,"°","º"))-1)),""))))</f>
        <v/>
      </c>
      <c r="O761" s="2" t="str">
        <f aca="false">IF(OR(F761="",G761=""),"",IF(G761&lt;='RETRATO 2027'!$K$5,"CONCLUÍDA",IF(F761&lt;='RETRATO 2027'!$K$5,"EM ANDAMENTO","A INICIAR")))</f>
        <v>CONCLUÍDA</v>
      </c>
    </row>
    <row r="762" customFormat="false" ht="15" hidden="false" customHeight="false" outlineLevel="0" collapsed="false">
      <c r="B762" s="4" t="n">
        <v>29981551</v>
      </c>
      <c r="C762" s="4" t="s">
        <v>216</v>
      </c>
      <c r="D762" s="4" t="s">
        <v>463</v>
      </c>
      <c r="E762" s="4" t="s">
        <v>2803</v>
      </c>
      <c r="F762" s="127" t="n">
        <v>46675</v>
      </c>
      <c r="G762" s="127" t="n">
        <v>46687</v>
      </c>
      <c r="H762" s="127" t="n">
        <v>46289</v>
      </c>
      <c r="I762" s="4" t="n">
        <v>0</v>
      </c>
      <c r="J762" s="4" t="n">
        <v>0</v>
      </c>
      <c r="K762" s="4" t="n">
        <v>0</v>
      </c>
      <c r="M762" s="2" t="str">
        <f aca="false">IF(C762="","",IFERROR(INDEX($S$5:$S$304,MATCH(C762,$R$5:$R$304,0))&amp;"","?"))</f>
        <v>33</v>
      </c>
      <c r="N762" s="2" t="n">
        <f aca="false">IF(E762="","",IF(ISNUMBER(SEARCH("SUBSOLO",E762)),IFERROR(-VALUE(LEFT(E762,FIND("º",SUBSTITUTE(E762,"°","º"))-1)),-1),IF(LEFT(E762,6)="TÉRREO",0,IFERROR(VALUE(LEFT(E762,FIND("º",SUBSTITUTE(E762,"°","º"))-1)),""))))</f>
        <v>7</v>
      </c>
      <c r="O762" s="2" t="str">
        <f aca="false">IF(OR(F762="",G762=""),"",IF(G762&lt;='RETRATO 2027'!$K$5,"CONCLUÍDA",IF(F762&lt;='RETRATO 2027'!$K$5,"EM ANDAMENTO","A INICIAR")))</f>
        <v>CONCLUÍDA</v>
      </c>
    </row>
    <row r="763" customFormat="false" ht="15" hidden="false" customHeight="false" outlineLevel="0" collapsed="false">
      <c r="B763" s="4" t="n">
        <v>29981512</v>
      </c>
      <c r="C763" s="4" t="s">
        <v>2508</v>
      </c>
      <c r="D763" s="4" t="s">
        <v>463</v>
      </c>
      <c r="E763" s="4" t="s">
        <v>2804</v>
      </c>
      <c r="F763" s="127" t="n">
        <v>46675</v>
      </c>
      <c r="G763" s="127" t="n">
        <v>46687</v>
      </c>
      <c r="H763" s="127" t="n">
        <v>46289</v>
      </c>
      <c r="I763" s="4" t="n">
        <v>0</v>
      </c>
      <c r="J763" s="4" t="n">
        <v>0</v>
      </c>
      <c r="K763" s="4" t="n">
        <v>0</v>
      </c>
      <c r="M763" s="2" t="str">
        <f aca="false">IF(C763="","",IFERROR(INDEX($S$5:$S$304,MATCH(C763,$R$5:$R$304,0))&amp;"","?"))</f>
        <v>20</v>
      </c>
      <c r="N763" s="2" t="n">
        <f aca="false">IF(E763="","",IF(ISNUMBER(SEARCH("SUBSOLO",E763)),IFERROR(-VALUE(LEFT(E763,FIND("º",SUBSTITUTE(E763,"°","º"))-1)),-1),IF(LEFT(E763,6)="TÉRREO",0,IFERROR(VALUE(LEFT(E763,FIND("º",SUBSTITUTE(E763,"°","º"))-1)),""))))</f>
        <v>8</v>
      </c>
      <c r="O763" s="2" t="str">
        <f aca="false">IF(OR(F763="",G763=""),"",IF(G763&lt;='RETRATO 2027'!$K$5,"CONCLUÍDA",IF(F763&lt;='RETRATO 2027'!$K$5,"EM ANDAMENTO","A INICIAR")))</f>
        <v>CONCLUÍDA</v>
      </c>
    </row>
    <row r="764" customFormat="false" ht="15" hidden="false" customHeight="false" outlineLevel="0" collapsed="false">
      <c r="B764" s="4" t="n">
        <v>29981517</v>
      </c>
      <c r="C764" s="4" t="s">
        <v>2511</v>
      </c>
      <c r="D764" s="4" t="s">
        <v>463</v>
      </c>
      <c r="E764" s="4" t="s">
        <v>2804</v>
      </c>
      <c r="F764" s="127" t="n">
        <v>46675</v>
      </c>
      <c r="G764" s="127" t="n">
        <v>46687</v>
      </c>
      <c r="H764" s="127" t="n">
        <v>46289</v>
      </c>
      <c r="I764" s="4" t="n">
        <v>0</v>
      </c>
      <c r="J764" s="4" t="n">
        <v>0</v>
      </c>
      <c r="K764" s="4" t="n">
        <v>0</v>
      </c>
      <c r="M764" s="2" t="str">
        <f aca="false">IF(C764="","",IFERROR(INDEX($S$5:$S$304,MATCH(C764,$R$5:$R$304,0))&amp;"","?"))</f>
        <v>20</v>
      </c>
      <c r="N764" s="2" t="n">
        <f aca="false">IF(E764="","",IF(ISNUMBER(SEARCH("SUBSOLO",E764)),IFERROR(-VALUE(LEFT(E764,FIND("º",SUBSTITUTE(E764,"°","º"))-1)),-1),IF(LEFT(E764,6)="TÉRREO",0,IFERROR(VALUE(LEFT(E764,FIND("º",SUBSTITUTE(E764,"°","º"))-1)),""))))</f>
        <v>8</v>
      </c>
      <c r="O764" s="2" t="str">
        <f aca="false">IF(OR(F764="",G764=""),"",IF(G764&lt;='RETRATO 2027'!$K$5,"CONCLUÍDA",IF(F764&lt;='RETRATO 2027'!$K$5,"EM ANDAMENTO","A INICIAR")))</f>
        <v>CONCLUÍDA</v>
      </c>
    </row>
    <row r="765" customFormat="false" ht="15" hidden="false" customHeight="false" outlineLevel="0" collapsed="false">
      <c r="B765" s="4" t="n">
        <v>30214070</v>
      </c>
      <c r="C765" s="4" t="s">
        <v>2514</v>
      </c>
      <c r="D765" s="4" t="s">
        <v>463</v>
      </c>
      <c r="E765" s="4" t="s">
        <v>2804</v>
      </c>
      <c r="F765" s="127" t="n">
        <v>46675</v>
      </c>
      <c r="G765" s="127" t="n">
        <v>46688</v>
      </c>
      <c r="H765" s="127" t="n">
        <v>46289</v>
      </c>
      <c r="I765" s="4" t="n">
        <v>0</v>
      </c>
      <c r="J765" s="4" t="n">
        <v>0</v>
      </c>
      <c r="K765" s="4" t="n">
        <v>0</v>
      </c>
      <c r="M765" s="2" t="str">
        <f aca="false">IF(C765="","",IFERROR(INDEX($S$5:$S$304,MATCH(C765,$R$5:$R$304,0))&amp;"","?"))</f>
        <v>20</v>
      </c>
      <c r="N765" s="2" t="n">
        <f aca="false">IF(E765="","",IF(ISNUMBER(SEARCH("SUBSOLO",E765)),IFERROR(-VALUE(LEFT(E765,FIND("º",SUBSTITUTE(E765,"°","º"))-1)),-1),IF(LEFT(E765,6)="TÉRREO",0,IFERROR(VALUE(LEFT(E765,FIND("º",SUBSTITUTE(E765,"°","º"))-1)),""))))</f>
        <v>8</v>
      </c>
      <c r="O765" s="2" t="str">
        <f aca="false">IF(OR(F765="",G765=""),"",IF(G765&lt;='RETRATO 2027'!$K$5,"CONCLUÍDA",IF(F765&lt;='RETRATO 2027'!$K$5,"EM ANDAMENTO","A INICIAR")))</f>
        <v>CONCLUÍDA</v>
      </c>
    </row>
    <row r="766" customFormat="false" ht="15" hidden="false" customHeight="false" outlineLevel="0" collapsed="false">
      <c r="B766" s="4" t="n">
        <v>29981459</v>
      </c>
      <c r="C766" s="4" t="s">
        <v>2501</v>
      </c>
      <c r="D766" s="4" t="s">
        <v>463</v>
      </c>
      <c r="E766" s="4" t="s">
        <v>2805</v>
      </c>
      <c r="F766" s="127" t="n">
        <v>46675</v>
      </c>
      <c r="G766" s="127" t="n">
        <v>46687</v>
      </c>
      <c r="H766" s="127" t="n">
        <v>46289</v>
      </c>
      <c r="I766" s="4" t="n">
        <v>0</v>
      </c>
      <c r="J766" s="4" t="n">
        <v>0</v>
      </c>
      <c r="K766" s="4" t="n">
        <v>0</v>
      </c>
      <c r="M766" s="2" t="str">
        <f aca="false">IF(C766="","",IFERROR(INDEX($S$5:$S$304,MATCH(C766,$R$5:$R$304,0))&amp;"","?"))</f>
        <v>30</v>
      </c>
      <c r="N766" s="2" t="n">
        <f aca="false">IF(E766="","",IF(ISNUMBER(SEARCH("SUBSOLO",E766)),IFERROR(-VALUE(LEFT(E766,FIND("º",SUBSTITUTE(E766,"°","º"))-1)),-1),IF(LEFT(E766,6)="TÉRREO",0,IFERROR(VALUE(LEFT(E766,FIND("º",SUBSTITUTE(E766,"°","º"))-1)),""))))</f>
        <v>9</v>
      </c>
      <c r="O766" s="2" t="str">
        <f aca="false">IF(OR(F766="",G766=""),"",IF(G766&lt;='RETRATO 2027'!$K$5,"CONCLUÍDA",IF(F766&lt;='RETRATO 2027'!$K$5,"EM ANDAMENTO","A INICIAR")))</f>
        <v>CONCLUÍDA</v>
      </c>
    </row>
    <row r="767" customFormat="false" ht="15" hidden="false" customHeight="false" outlineLevel="0" collapsed="false">
      <c r="B767" s="4" t="n">
        <v>29981421</v>
      </c>
      <c r="C767" s="4" t="s">
        <v>2486</v>
      </c>
      <c r="D767" s="4" t="s">
        <v>463</v>
      </c>
      <c r="E767" s="4" t="s">
        <v>2809</v>
      </c>
      <c r="F767" s="127" t="n">
        <v>46675</v>
      </c>
      <c r="G767" s="127" t="n">
        <v>46687</v>
      </c>
      <c r="H767" s="127" t="n">
        <v>46289</v>
      </c>
      <c r="I767" s="4" t="n">
        <v>0</v>
      </c>
      <c r="J767" s="4" t="n">
        <v>0</v>
      </c>
      <c r="K767" s="4" t="n">
        <v>0</v>
      </c>
      <c r="M767" s="2" t="str">
        <f aca="false">IF(C767="","",IFERROR(INDEX($S$5:$S$304,MATCH(C767,$R$5:$R$304,0))&amp;"","?"))</f>
        <v>30</v>
      </c>
      <c r="N767" s="2" t="n">
        <f aca="false">IF(E767="","",IF(ISNUMBER(SEARCH("SUBSOLO",E767)),IFERROR(-VALUE(LEFT(E767,FIND("º",SUBSTITUTE(E767,"°","º"))-1)),-1),IF(LEFT(E767,6)="TÉRREO",0,IFERROR(VALUE(LEFT(E767,FIND("º",SUBSTITUTE(E767,"°","º"))-1)),""))))</f>
        <v>10</v>
      </c>
      <c r="O767" s="2" t="str">
        <f aca="false">IF(OR(F767="",G767=""),"",IF(G767&lt;='RETRATO 2027'!$K$5,"CONCLUÍDA",IF(F767&lt;='RETRATO 2027'!$K$5,"EM ANDAMENTO","A INICIAR")))</f>
        <v>CONCLUÍDA</v>
      </c>
    </row>
    <row r="768" customFormat="false" ht="15" hidden="false" customHeight="false" outlineLevel="0" collapsed="false">
      <c r="B768" s="4" t="n">
        <v>29981400</v>
      </c>
      <c r="C768" s="4" t="s">
        <v>2480</v>
      </c>
      <c r="D768" s="4" t="s">
        <v>463</v>
      </c>
      <c r="E768" s="4" t="s">
        <v>2810</v>
      </c>
      <c r="F768" s="127" t="n">
        <v>46675</v>
      </c>
      <c r="G768" s="127" t="n">
        <v>46687</v>
      </c>
      <c r="H768" s="127" t="n">
        <v>46289</v>
      </c>
      <c r="I768" s="4" t="n">
        <v>0</v>
      </c>
      <c r="J768" s="4" t="n">
        <v>0</v>
      </c>
      <c r="K768" s="4" t="n">
        <v>0</v>
      </c>
      <c r="M768" s="2" t="str">
        <f aca="false">IF(C768="","",IFERROR(INDEX($S$5:$S$304,MATCH(C768,$R$5:$R$304,0))&amp;"","?"))</f>
        <v>30</v>
      </c>
      <c r="N768" s="2" t="n">
        <f aca="false">IF(E768="","",IF(ISNUMBER(SEARCH("SUBSOLO",E768)),IFERROR(-VALUE(LEFT(E768,FIND("º",SUBSTITUTE(E768,"°","º"))-1)),-1),IF(LEFT(E768,6)="TÉRREO",0,IFERROR(VALUE(LEFT(E768,FIND("º",SUBSTITUTE(E768,"°","º"))-1)),""))))</f>
        <v>11</v>
      </c>
      <c r="O768" s="2" t="str">
        <f aca="false">IF(OR(F768="",G768=""),"",IF(G768&lt;='RETRATO 2027'!$K$5,"CONCLUÍDA",IF(F768&lt;='RETRATO 2027'!$K$5,"EM ANDAMENTO","A INICIAR")))</f>
        <v>CONCLUÍDA</v>
      </c>
    </row>
    <row r="769" customFormat="false" ht="15" hidden="false" customHeight="false" outlineLevel="0" collapsed="false">
      <c r="B769" s="4" t="n">
        <v>29981361</v>
      </c>
      <c r="C769" s="4" t="s">
        <v>171</v>
      </c>
      <c r="D769" s="4" t="s">
        <v>463</v>
      </c>
      <c r="E769" s="4" t="s">
        <v>2811</v>
      </c>
      <c r="F769" s="127" t="n">
        <v>46675</v>
      </c>
      <c r="G769" s="127" t="n">
        <v>46687</v>
      </c>
      <c r="H769" s="127" t="n">
        <v>46289</v>
      </c>
      <c r="I769" s="4" t="n">
        <v>0</v>
      </c>
      <c r="J769" s="4" t="n">
        <v>0</v>
      </c>
      <c r="K769" s="4" t="n">
        <v>0</v>
      </c>
      <c r="M769" s="2" t="str">
        <f aca="false">IF(C769="","",IFERROR(INDEX($S$5:$S$304,MATCH(C769,$R$5:$R$304,0))&amp;"","?"))</f>
        <v>19</v>
      </c>
      <c r="N769" s="2" t="n">
        <f aca="false">IF(E769="","",IF(ISNUMBER(SEARCH("SUBSOLO",E769)),IFERROR(-VALUE(LEFT(E769,FIND("º",SUBSTITUTE(E769,"°","º"))-1)),-1),IF(LEFT(E769,6)="TÉRREO",0,IFERROR(VALUE(LEFT(E769,FIND("º",SUBSTITUTE(E769,"°","º"))-1)),""))))</f>
        <v>12</v>
      </c>
      <c r="O769" s="2" t="str">
        <f aca="false">IF(OR(F769="",G769=""),"",IF(G769&lt;='RETRATO 2027'!$K$5,"CONCLUÍDA",IF(F769&lt;='RETRATO 2027'!$K$5,"EM ANDAMENTO","A INICIAR")))</f>
        <v>CONCLUÍDA</v>
      </c>
    </row>
    <row r="770" customFormat="false" ht="15" hidden="false" customHeight="false" outlineLevel="0" collapsed="false">
      <c r="B770" s="4" t="n">
        <v>32750439</v>
      </c>
      <c r="C770" s="4" t="s">
        <v>2470</v>
      </c>
      <c r="D770" s="4" t="s">
        <v>463</v>
      </c>
      <c r="E770" s="4" t="s">
        <v>2812</v>
      </c>
      <c r="F770" s="127" t="n">
        <v>46675</v>
      </c>
      <c r="G770" s="127" t="n">
        <v>46687</v>
      </c>
      <c r="H770" s="127" t="n">
        <v>46289</v>
      </c>
      <c r="I770" s="4" t="n">
        <v>0</v>
      </c>
      <c r="J770" s="4" t="n">
        <v>0</v>
      </c>
      <c r="K770" s="4" t="n">
        <v>0</v>
      </c>
      <c r="M770" s="2" t="str">
        <f aca="false">IF(C770="","",IFERROR(INDEX($S$5:$S$304,MATCH(C770,$R$5:$R$304,0))&amp;"","?"))</f>
        <v>18</v>
      </c>
      <c r="N770" s="2" t="n">
        <f aca="false">IF(E770="","",IF(ISNUMBER(SEARCH("SUBSOLO",E770)),IFERROR(-VALUE(LEFT(E770,FIND("º",SUBSTITUTE(E770,"°","º"))-1)),-1),IF(LEFT(E770,6)="TÉRREO",0,IFERROR(VALUE(LEFT(E770,FIND("º",SUBSTITUTE(E770,"°","º"))-1)),""))))</f>
        <v>13</v>
      </c>
      <c r="O770" s="2" t="str">
        <f aca="false">IF(OR(F770="",G770=""),"",IF(G770&lt;='RETRATO 2027'!$K$5,"CONCLUÍDA",IF(F770&lt;='RETRATO 2027'!$K$5,"EM ANDAMENTO","A INICIAR")))</f>
        <v>CONCLUÍDA</v>
      </c>
    </row>
    <row r="771" customFormat="false" ht="15" hidden="false" customHeight="false" outlineLevel="0" collapsed="false">
      <c r="B771" s="4" t="n">
        <v>32750362</v>
      </c>
      <c r="C771" s="4" t="s">
        <v>2458</v>
      </c>
      <c r="D771" s="4" t="s">
        <v>463</v>
      </c>
      <c r="E771" s="4" t="s">
        <v>2813</v>
      </c>
      <c r="F771" s="127" t="n">
        <v>46675</v>
      </c>
      <c r="G771" s="127" t="n">
        <v>46687</v>
      </c>
      <c r="H771" s="127" t="n">
        <v>46289</v>
      </c>
      <c r="I771" s="4" t="n">
        <v>0</v>
      </c>
      <c r="J771" s="4" t="n">
        <v>0</v>
      </c>
      <c r="K771" s="4" t="n">
        <v>0</v>
      </c>
      <c r="M771" s="2" t="str">
        <f aca="false">IF(C771="","",IFERROR(INDEX($S$5:$S$304,MATCH(C771,$R$5:$R$304,0))&amp;"","?"))</f>
        <v>21</v>
      </c>
      <c r="N771" s="2" t="n">
        <f aca="false">IF(E771="","",IF(ISNUMBER(SEARCH("SUBSOLO",E771)),IFERROR(-VALUE(LEFT(E771,FIND("º",SUBSTITUTE(E771,"°","º"))-1)),-1),IF(LEFT(E771,6)="TÉRREO",0,IFERROR(VALUE(LEFT(E771,FIND("º",SUBSTITUTE(E771,"°","º"))-1)),""))))</f>
        <v>14</v>
      </c>
      <c r="O771" s="2" t="str">
        <f aca="false">IF(OR(F771="",G771=""),"",IF(G771&lt;='RETRATO 2027'!$K$5,"CONCLUÍDA",IF(F771&lt;='RETRATO 2027'!$K$5,"EM ANDAMENTO","A INICIAR")))</f>
        <v>CONCLUÍDA</v>
      </c>
    </row>
    <row r="772" customFormat="false" ht="15" hidden="false" customHeight="false" outlineLevel="0" collapsed="false">
      <c r="B772" s="4" t="n">
        <v>32750388</v>
      </c>
      <c r="C772" s="4" t="s">
        <v>2461</v>
      </c>
      <c r="D772" s="4" t="s">
        <v>463</v>
      </c>
      <c r="E772" s="4" t="s">
        <v>2813</v>
      </c>
      <c r="F772" s="127" t="n">
        <v>46675</v>
      </c>
      <c r="G772" s="127" t="n">
        <v>46687</v>
      </c>
      <c r="H772" s="127" t="n">
        <v>46289</v>
      </c>
      <c r="I772" s="4" t="n">
        <v>0</v>
      </c>
      <c r="J772" s="4" t="n">
        <v>0</v>
      </c>
      <c r="K772" s="4" t="n">
        <v>0</v>
      </c>
      <c r="M772" s="2" t="str">
        <f aca="false">IF(C772="","",IFERROR(INDEX($S$5:$S$304,MATCH(C772,$R$5:$R$304,0))&amp;"","?"))</f>
        <v>20</v>
      </c>
      <c r="N772" s="2" t="n">
        <f aca="false">IF(E772="","",IF(ISNUMBER(SEARCH("SUBSOLO",E772)),IFERROR(-VALUE(LEFT(E772,FIND("º",SUBSTITUTE(E772,"°","º"))-1)),-1),IF(LEFT(E772,6)="TÉRREO",0,IFERROR(VALUE(LEFT(E772,FIND("º",SUBSTITUTE(E772,"°","º"))-1)),""))))</f>
        <v>14</v>
      </c>
      <c r="O772" s="2" t="str">
        <f aca="false">IF(OR(F772="",G772=""),"",IF(G772&lt;='RETRATO 2027'!$K$5,"CONCLUÍDA",IF(F772&lt;='RETRATO 2027'!$K$5,"EM ANDAMENTO","A INICIAR")))</f>
        <v>CONCLUÍDA</v>
      </c>
    </row>
    <row r="773" customFormat="false" ht="15" hidden="false" customHeight="false" outlineLevel="0" collapsed="false">
      <c r="B773" s="4" t="n">
        <v>32750414</v>
      </c>
      <c r="C773" s="4" t="s">
        <v>2464</v>
      </c>
      <c r="D773" s="4" t="s">
        <v>463</v>
      </c>
      <c r="E773" s="4" t="s">
        <v>2813</v>
      </c>
      <c r="F773" s="127" t="n">
        <v>46675</v>
      </c>
      <c r="G773" s="127" t="n">
        <v>46687</v>
      </c>
      <c r="H773" s="127" t="n">
        <v>46289</v>
      </c>
      <c r="I773" s="4" t="n">
        <v>0</v>
      </c>
      <c r="J773" s="4" t="n">
        <v>0</v>
      </c>
      <c r="K773" s="4" t="n">
        <v>0</v>
      </c>
      <c r="M773" s="2" t="str">
        <f aca="false">IF(C773="","",IFERROR(INDEX($S$5:$S$304,MATCH(C773,$R$5:$R$304,0))&amp;"","?"))</f>
        <v>21</v>
      </c>
      <c r="N773" s="2" t="n">
        <f aca="false">IF(E773="","",IF(ISNUMBER(SEARCH("SUBSOLO",E773)),IFERROR(-VALUE(LEFT(E773,FIND("º",SUBSTITUTE(E773,"°","º"))-1)),-1),IF(LEFT(E773,6)="TÉRREO",0,IFERROR(VALUE(LEFT(E773,FIND("º",SUBSTITUTE(E773,"°","º"))-1)),""))))</f>
        <v>14</v>
      </c>
      <c r="O773" s="2" t="str">
        <f aca="false">IF(OR(F773="",G773=""),"",IF(G773&lt;='RETRATO 2027'!$K$5,"CONCLUÍDA",IF(F773&lt;='RETRATO 2027'!$K$5,"EM ANDAMENTO","A INICIAR")))</f>
        <v>CONCLUÍDA</v>
      </c>
    </row>
    <row r="774" customFormat="false" ht="15" hidden="false" customHeight="false" outlineLevel="0" collapsed="false">
      <c r="B774" s="4" t="n">
        <v>33896832</v>
      </c>
      <c r="C774" s="4" t="s">
        <v>2467</v>
      </c>
      <c r="D774" s="4" t="s">
        <v>463</v>
      </c>
      <c r="E774" s="4" t="s">
        <v>2813</v>
      </c>
      <c r="F774" s="127" t="n">
        <v>46675</v>
      </c>
      <c r="G774" s="127" t="n">
        <v>46687</v>
      </c>
      <c r="H774" s="127" t="n">
        <v>46289</v>
      </c>
      <c r="I774" s="4" t="n">
        <v>0</v>
      </c>
      <c r="J774" s="4" t="n">
        <v>0</v>
      </c>
      <c r="K774" s="4" t="n">
        <v>0</v>
      </c>
      <c r="M774" s="2" t="str">
        <f aca="false">IF(C774="","",IFERROR(INDEX($S$5:$S$304,MATCH(C774,$R$5:$R$304,0))&amp;"","?"))</f>
        <v>23</v>
      </c>
      <c r="N774" s="2" t="n">
        <f aca="false">IF(E774="","",IF(ISNUMBER(SEARCH("SUBSOLO",E774)),IFERROR(-VALUE(LEFT(E774,FIND("º",SUBSTITUTE(E774,"°","º"))-1)),-1),IF(LEFT(E774,6)="TÉRREO",0,IFERROR(VALUE(LEFT(E774,FIND("º",SUBSTITUTE(E774,"°","º"))-1)),""))))</f>
        <v>14</v>
      </c>
      <c r="O774" s="2" t="str">
        <f aca="false">IF(OR(F774="",G774=""),"",IF(G774&lt;='RETRATO 2027'!$K$5,"CONCLUÍDA",IF(F774&lt;='RETRATO 2027'!$K$5,"EM ANDAMENTO","A INICIAR")))</f>
        <v>CONCLUÍDA</v>
      </c>
    </row>
    <row r="775" customFormat="false" ht="15" hidden="false" customHeight="false" outlineLevel="0" collapsed="false">
      <c r="B775" s="4" t="n">
        <v>32749858</v>
      </c>
      <c r="C775" s="4" t="s">
        <v>2455</v>
      </c>
      <c r="D775" s="4" t="s">
        <v>463</v>
      </c>
      <c r="E775" s="4" t="s">
        <v>2814</v>
      </c>
      <c r="F775" s="127" t="n">
        <v>46675</v>
      </c>
      <c r="G775" s="127" t="n">
        <v>46687</v>
      </c>
      <c r="H775" s="127" t="n">
        <v>46289</v>
      </c>
      <c r="I775" s="4" t="n">
        <v>0</v>
      </c>
      <c r="J775" s="4" t="n">
        <v>0</v>
      </c>
      <c r="K775" s="4" t="n">
        <v>0</v>
      </c>
      <c r="M775" s="2" t="str">
        <f aca="false">IF(C775="","",IFERROR(INDEX($S$5:$S$304,MATCH(C775,$R$5:$R$304,0))&amp;"","?"))</f>
        <v>18</v>
      </c>
      <c r="N775" s="2" t="n">
        <f aca="false">IF(E775="","",IF(ISNUMBER(SEARCH("SUBSOLO",E775)),IFERROR(-VALUE(LEFT(E775,FIND("º",SUBSTITUTE(E775,"°","º"))-1)),-1),IF(LEFT(E775,6)="TÉRREO",0,IFERROR(VALUE(LEFT(E775,FIND("º",SUBSTITUTE(E775,"°","º"))-1)),""))))</f>
        <v>15</v>
      </c>
      <c r="O775" s="2" t="str">
        <f aca="false">IF(OR(F775="",G775=""),"",IF(G775&lt;='RETRATO 2027'!$K$5,"CONCLUÍDA",IF(F775&lt;='RETRATO 2027'!$K$5,"EM ANDAMENTO","A INICIAR")))</f>
        <v>CONCLUÍDA</v>
      </c>
    </row>
    <row r="776" customFormat="false" ht="15" hidden="false" customHeight="false" outlineLevel="0" collapsed="false">
      <c r="B776" s="4" t="n">
        <v>29981214</v>
      </c>
      <c r="C776" s="4" t="s">
        <v>2449</v>
      </c>
      <c r="D776" s="4" t="s">
        <v>463</v>
      </c>
      <c r="E776" s="4" t="s">
        <v>2815</v>
      </c>
      <c r="F776" s="127" t="n">
        <v>46675</v>
      </c>
      <c r="G776" s="127" t="n">
        <v>46687</v>
      </c>
      <c r="H776" s="127" t="n">
        <v>46289</v>
      </c>
      <c r="I776" s="4" t="n">
        <v>0</v>
      </c>
      <c r="J776" s="4" t="n">
        <v>0</v>
      </c>
      <c r="K776" s="4" t="n">
        <v>0</v>
      </c>
      <c r="M776" s="2" t="str">
        <f aca="false">IF(C776="","",IFERROR(INDEX($S$5:$S$304,MATCH(C776,$R$5:$R$304,0))&amp;"","?"))</f>
        <v>28</v>
      </c>
      <c r="N776" s="2" t="n">
        <f aca="false">IF(E776="","",IF(ISNUMBER(SEARCH("SUBSOLO",E776)),IFERROR(-VALUE(LEFT(E776,FIND("º",SUBSTITUTE(E776,"°","º"))-1)),-1),IF(LEFT(E776,6)="TÉRREO",0,IFERROR(VALUE(LEFT(E776,FIND("º",SUBSTITUTE(E776,"°","º"))-1)),""))))</f>
        <v>16</v>
      </c>
      <c r="O776" s="2" t="str">
        <f aca="false">IF(OR(F776="",G776=""),"",IF(G776&lt;='RETRATO 2027'!$K$5,"CONCLUÍDA",IF(F776&lt;='RETRATO 2027'!$K$5,"EM ANDAMENTO","A INICIAR")))</f>
        <v>CONCLUÍDA</v>
      </c>
    </row>
    <row r="777" customFormat="false" ht="15" hidden="false" customHeight="false" outlineLevel="0" collapsed="false">
      <c r="B777" s="4" t="n">
        <v>29981154</v>
      </c>
      <c r="C777" s="4" t="s">
        <v>2440</v>
      </c>
      <c r="D777" s="4" t="s">
        <v>463</v>
      </c>
      <c r="E777" s="4" t="s">
        <v>2818</v>
      </c>
      <c r="F777" s="127" t="n">
        <v>46675</v>
      </c>
      <c r="G777" s="127" t="n">
        <v>46687</v>
      </c>
      <c r="H777" s="127" t="n">
        <v>46289</v>
      </c>
      <c r="I777" s="4" t="n">
        <v>0</v>
      </c>
      <c r="J777" s="4" t="n">
        <v>0</v>
      </c>
      <c r="K777" s="4" t="n">
        <v>0</v>
      </c>
      <c r="M777" s="2" t="str">
        <f aca="false">IF(C777="","",IFERROR(INDEX($S$5:$S$304,MATCH(C777,$R$5:$R$304,0))&amp;"","?"))</f>
        <v>21</v>
      </c>
      <c r="N777" s="2" t="n">
        <f aca="false">IF(E777="","",IF(ISNUMBER(SEARCH("SUBSOLO",E777)),IFERROR(-VALUE(LEFT(E777,FIND("º",SUBSTITUTE(E777,"°","º"))-1)),-1),IF(LEFT(E777,6)="TÉRREO",0,IFERROR(VALUE(LEFT(E777,FIND("º",SUBSTITUTE(E777,"°","º"))-1)),""))))</f>
        <v>17</v>
      </c>
      <c r="O777" s="2" t="str">
        <f aca="false">IF(OR(F777="",G777=""),"",IF(G777&lt;='RETRATO 2027'!$K$5,"CONCLUÍDA",IF(F777&lt;='RETRATO 2027'!$K$5,"EM ANDAMENTO","A INICIAR")))</f>
        <v>CONCLUÍDA</v>
      </c>
    </row>
    <row r="778" customFormat="false" ht="15" hidden="false" customHeight="false" outlineLevel="0" collapsed="false">
      <c r="B778" s="4" t="n">
        <v>29981187</v>
      </c>
      <c r="C778" s="4" t="s">
        <v>2443</v>
      </c>
      <c r="D778" s="4" t="s">
        <v>463</v>
      </c>
      <c r="E778" s="4" t="s">
        <v>2818</v>
      </c>
      <c r="F778" s="127" t="n">
        <v>46675</v>
      </c>
      <c r="G778" s="127" t="n">
        <v>46687</v>
      </c>
      <c r="H778" s="127" t="n">
        <v>46289</v>
      </c>
      <c r="I778" s="4" t="n">
        <v>0</v>
      </c>
      <c r="J778" s="4" t="n">
        <v>0</v>
      </c>
      <c r="K778" s="4" t="n">
        <v>0</v>
      </c>
      <c r="M778" s="2" t="str">
        <f aca="false">IF(C778="","",IFERROR(INDEX($S$5:$S$304,MATCH(C778,$R$5:$R$304,0))&amp;"","?"))</f>
        <v>20</v>
      </c>
      <c r="N778" s="2" t="n">
        <f aca="false">IF(E778="","",IF(ISNUMBER(SEARCH("SUBSOLO",E778)),IFERROR(-VALUE(LEFT(E778,FIND("º",SUBSTITUTE(E778,"°","º"))-1)),-1),IF(LEFT(E778,6)="TÉRREO",0,IFERROR(VALUE(LEFT(E778,FIND("º",SUBSTITUTE(E778,"°","º"))-1)),""))))</f>
        <v>17</v>
      </c>
      <c r="O778" s="2" t="str">
        <f aca="false">IF(OR(F778="",G778=""),"",IF(G778&lt;='RETRATO 2027'!$K$5,"CONCLUÍDA",IF(F778&lt;='RETRATO 2027'!$K$5,"EM ANDAMENTO","A INICIAR")))</f>
        <v>CONCLUÍDA</v>
      </c>
    </row>
    <row r="779" customFormat="false" ht="15" hidden="false" customHeight="false" outlineLevel="0" collapsed="false">
      <c r="B779" s="4" t="n">
        <v>29981116</v>
      </c>
      <c r="C779" s="4" t="s">
        <v>2437</v>
      </c>
      <c r="D779" s="4" t="s">
        <v>463</v>
      </c>
      <c r="E779" s="4" t="s">
        <v>2820</v>
      </c>
      <c r="F779" s="127" t="n">
        <v>46675</v>
      </c>
      <c r="G779" s="127" t="n">
        <v>46687</v>
      </c>
      <c r="H779" s="127" t="n">
        <v>46289</v>
      </c>
      <c r="I779" s="4" t="n">
        <v>0</v>
      </c>
      <c r="J779" s="4" t="n">
        <v>0</v>
      </c>
      <c r="K779" s="4" t="n">
        <v>0</v>
      </c>
      <c r="M779" s="2" t="str">
        <f aca="false">IF(C779="","",IFERROR(INDEX($S$5:$S$304,MATCH(C779,$R$5:$R$304,0))&amp;"","?"))</f>
        <v>29</v>
      </c>
      <c r="N779" s="2" t="n">
        <f aca="false">IF(E779="","",IF(ISNUMBER(SEARCH("SUBSOLO",E779)),IFERROR(-VALUE(LEFT(E779,FIND("º",SUBSTITUTE(E779,"°","º"))-1)),-1),IF(LEFT(E779,6)="TÉRREO",0,IFERROR(VALUE(LEFT(E779,FIND("º",SUBSTITUTE(E779,"°","º"))-1)),""))))</f>
        <v>18</v>
      </c>
      <c r="O779" s="2" t="str">
        <f aca="false">IF(OR(F779="",G779=""),"",IF(G779&lt;='RETRATO 2027'!$K$5,"CONCLUÍDA",IF(F779&lt;='RETRATO 2027'!$K$5,"EM ANDAMENTO","A INICIAR")))</f>
        <v>CONCLUÍDA</v>
      </c>
    </row>
    <row r="780" customFormat="false" ht="15" hidden="false" customHeight="false" outlineLevel="0" collapsed="false">
      <c r="B780" s="4" t="n">
        <v>29981045</v>
      </c>
      <c r="C780" s="4" t="s">
        <v>2434</v>
      </c>
      <c r="D780" s="4" t="s">
        <v>463</v>
      </c>
      <c r="E780" s="4" t="s">
        <v>2823</v>
      </c>
      <c r="F780" s="127" t="n">
        <v>46675</v>
      </c>
      <c r="G780" s="127" t="n">
        <v>46687</v>
      </c>
      <c r="H780" s="127" t="n">
        <v>46289</v>
      </c>
      <c r="I780" s="4" t="n">
        <v>0</v>
      </c>
      <c r="J780" s="4" t="n">
        <v>0</v>
      </c>
      <c r="K780" s="4" t="n">
        <v>0</v>
      </c>
      <c r="M780" s="2" t="str">
        <f aca="false">IF(C780="","",IFERROR(INDEX($S$5:$S$304,MATCH(C780,$R$5:$R$304,0))&amp;"","?"))</f>
        <v>25</v>
      </c>
      <c r="N780" s="2" t="n">
        <f aca="false">IF(E780="","",IF(ISNUMBER(SEARCH("SUBSOLO",E780)),IFERROR(-VALUE(LEFT(E780,FIND("º",SUBSTITUTE(E780,"°","º"))-1)),-1),IF(LEFT(E780,6)="TÉRREO",0,IFERROR(VALUE(LEFT(E780,FIND("º",SUBSTITUTE(E780,"°","º"))-1)),""))))</f>
        <v>20</v>
      </c>
      <c r="O780" s="2" t="str">
        <f aca="false">IF(OR(F780="",G780=""),"",IF(G780&lt;='RETRATO 2027'!$K$5,"CONCLUÍDA",IF(F780&lt;='RETRATO 2027'!$K$5,"EM ANDAMENTO","A INICIAR")))</f>
        <v>CONCLUÍDA</v>
      </c>
    </row>
    <row r="781" customFormat="false" ht="15" hidden="false" customHeight="false" outlineLevel="0" collapsed="false">
      <c r="B781" s="4" t="n">
        <v>29981038</v>
      </c>
      <c r="C781" s="4" t="s">
        <v>2425</v>
      </c>
      <c r="D781" s="4" t="s">
        <v>463</v>
      </c>
      <c r="E781" s="4" t="s">
        <v>2825</v>
      </c>
      <c r="F781" s="127" t="n">
        <v>46675</v>
      </c>
      <c r="G781" s="127" t="n">
        <v>46687</v>
      </c>
      <c r="H781" s="127" t="n">
        <v>46289</v>
      </c>
      <c r="I781" s="4" t="n">
        <v>0</v>
      </c>
      <c r="J781" s="4" t="n">
        <v>0</v>
      </c>
      <c r="K781" s="4" t="n">
        <v>0</v>
      </c>
      <c r="M781" s="2" t="str">
        <f aca="false">IF(C781="","",IFERROR(INDEX($S$5:$S$304,MATCH(C781,$R$5:$R$304,0))&amp;"","?"))</f>
        <v>21</v>
      </c>
      <c r="N781" s="2" t="n">
        <f aca="false">IF(E781="","",IF(ISNUMBER(SEARCH("SUBSOLO",E781)),IFERROR(-VALUE(LEFT(E781,FIND("º",SUBSTITUTE(E781,"°","º"))-1)),-1),IF(LEFT(E781,6)="TÉRREO",0,IFERROR(VALUE(LEFT(E781,FIND("º",SUBSTITUTE(E781,"°","º"))-1)),""))))</f>
        <v>21</v>
      </c>
      <c r="O781" s="2" t="str">
        <f aca="false">IF(OR(F781="",G781=""),"",IF(G781&lt;='RETRATO 2027'!$K$5,"CONCLUÍDA",IF(F781&lt;='RETRATO 2027'!$K$5,"EM ANDAMENTO","A INICIAR")))</f>
        <v>CONCLUÍDA</v>
      </c>
    </row>
    <row r="782" customFormat="false" ht="15" hidden="false" customHeight="false" outlineLevel="0" collapsed="false">
      <c r="B782" s="4" t="n">
        <v>29981007</v>
      </c>
      <c r="C782" s="4" t="s">
        <v>2428</v>
      </c>
      <c r="D782" s="4" t="s">
        <v>463</v>
      </c>
      <c r="E782" s="4" t="s">
        <v>2825</v>
      </c>
      <c r="F782" s="127" t="n">
        <v>46675</v>
      </c>
      <c r="G782" s="127" t="n">
        <v>46687</v>
      </c>
      <c r="H782" s="127" t="n">
        <v>46289</v>
      </c>
      <c r="I782" s="4" t="n">
        <v>0</v>
      </c>
      <c r="J782" s="4" t="n">
        <v>0</v>
      </c>
      <c r="K782" s="4" t="n">
        <v>0</v>
      </c>
      <c r="M782" s="2" t="str">
        <f aca="false">IF(C782="","",IFERROR(INDEX($S$5:$S$304,MATCH(C782,$R$5:$R$304,0))&amp;"","?"))</f>
        <v>20</v>
      </c>
      <c r="N782" s="2" t="n">
        <f aca="false">IF(E782="","",IF(ISNUMBER(SEARCH("SUBSOLO",E782)),IFERROR(-VALUE(LEFT(E782,FIND("º",SUBSTITUTE(E782,"°","º"))-1)),-1),IF(LEFT(E782,6)="TÉRREO",0,IFERROR(VALUE(LEFT(E782,FIND("º",SUBSTITUTE(E782,"°","º"))-1)),""))))</f>
        <v>21</v>
      </c>
      <c r="O782" s="2" t="str">
        <f aca="false">IF(OR(F782="",G782=""),"",IF(G782&lt;='RETRATO 2027'!$K$5,"CONCLUÍDA",IF(F782&lt;='RETRATO 2027'!$K$5,"EM ANDAMENTO","A INICIAR")))</f>
        <v>CONCLUÍDA</v>
      </c>
    </row>
    <row r="783" customFormat="false" ht="15" hidden="false" customHeight="false" outlineLevel="0" collapsed="false">
      <c r="B783" s="4" t="n">
        <v>29981040</v>
      </c>
      <c r="C783" s="4" t="s">
        <v>2431</v>
      </c>
      <c r="D783" s="4" t="s">
        <v>463</v>
      </c>
      <c r="E783" s="4" t="s">
        <v>2825</v>
      </c>
      <c r="F783" s="127" t="n">
        <v>46675</v>
      </c>
      <c r="G783" s="127" t="n">
        <v>46687</v>
      </c>
      <c r="H783" s="127" t="n">
        <v>46289</v>
      </c>
      <c r="I783" s="4" t="n">
        <v>0</v>
      </c>
      <c r="J783" s="4" t="n">
        <v>0</v>
      </c>
      <c r="K783" s="4" t="n">
        <v>0</v>
      </c>
      <c r="M783" s="2" t="str">
        <f aca="false">IF(C783="","",IFERROR(INDEX($S$5:$S$304,MATCH(C783,$R$5:$R$304,0))&amp;"","?"))</f>
        <v>21</v>
      </c>
      <c r="N783" s="2" t="n">
        <f aca="false">IF(E783="","",IF(ISNUMBER(SEARCH("SUBSOLO",E783)),IFERROR(-VALUE(LEFT(E783,FIND("º",SUBSTITUTE(E783,"°","º"))-1)),-1),IF(LEFT(E783,6)="TÉRREO",0,IFERROR(VALUE(LEFT(E783,FIND("º",SUBSTITUTE(E783,"°","º"))-1)),""))))</f>
        <v>21</v>
      </c>
      <c r="O783" s="2" t="str">
        <f aca="false">IF(OR(F783="",G783=""),"",IF(G783&lt;='RETRATO 2027'!$K$5,"CONCLUÍDA",IF(F783&lt;='RETRATO 2027'!$K$5,"EM ANDAMENTO","A INICIAR")))</f>
        <v>CONCLUÍDA</v>
      </c>
    </row>
    <row r="784" customFormat="false" ht="15" hidden="false" customHeight="false" outlineLevel="0" collapsed="false">
      <c r="B784" s="4" t="n">
        <v>29980987</v>
      </c>
      <c r="C784" s="4" t="s">
        <v>2422</v>
      </c>
      <c r="D784" s="4" t="s">
        <v>463</v>
      </c>
      <c r="E784" s="4" t="s">
        <v>2827</v>
      </c>
      <c r="F784" s="127" t="n">
        <v>46675</v>
      </c>
      <c r="G784" s="127" t="n">
        <v>46687</v>
      </c>
      <c r="H784" s="127" t="n">
        <v>46289</v>
      </c>
      <c r="I784" s="4" t="n">
        <v>0</v>
      </c>
      <c r="J784" s="4" t="n">
        <v>0</v>
      </c>
      <c r="K784" s="4" t="n">
        <v>0</v>
      </c>
      <c r="M784" s="2" t="str">
        <f aca="false">IF(C784="","",IFERROR(INDEX($S$5:$S$304,MATCH(C784,$R$5:$R$304,0))&amp;"","?"))</f>
        <v>29</v>
      </c>
      <c r="N784" s="2" t="n">
        <f aca="false">IF(E784="","",IF(ISNUMBER(SEARCH("SUBSOLO",E784)),IFERROR(-VALUE(LEFT(E784,FIND("º",SUBSTITUTE(E784,"°","º"))-1)),-1),IF(LEFT(E784,6)="TÉRREO",0,IFERROR(VALUE(LEFT(E784,FIND("º",SUBSTITUTE(E784,"°","º"))-1)),""))))</f>
        <v>22</v>
      </c>
      <c r="O784" s="2" t="str">
        <f aca="false">IF(OR(F784="",G784=""),"",IF(G784&lt;='RETRATO 2027'!$K$5,"CONCLUÍDA",IF(F784&lt;='RETRATO 2027'!$K$5,"EM ANDAMENTO","A INICIAR")))</f>
        <v>CONCLUÍDA</v>
      </c>
    </row>
    <row r="785" customFormat="false" ht="15" hidden="false" customHeight="false" outlineLevel="0" collapsed="false">
      <c r="B785" s="4" t="n">
        <v>29980953</v>
      </c>
      <c r="C785" s="4" t="s">
        <v>2413</v>
      </c>
      <c r="D785" s="4" t="s">
        <v>463</v>
      </c>
      <c r="E785" s="4" t="s">
        <v>2829</v>
      </c>
      <c r="F785" s="127" t="n">
        <v>46675</v>
      </c>
      <c r="G785" s="127" t="n">
        <v>46687</v>
      </c>
      <c r="H785" s="127" t="n">
        <v>46289</v>
      </c>
      <c r="I785" s="4" t="n">
        <v>0</v>
      </c>
      <c r="J785" s="4" t="n">
        <v>0</v>
      </c>
      <c r="K785" s="4" t="n">
        <v>0</v>
      </c>
      <c r="M785" s="2" t="str">
        <f aca="false">IF(C785="","",IFERROR(INDEX($S$5:$S$304,MATCH(C785,$R$5:$R$304,0))&amp;"","?"))</f>
        <v>21</v>
      </c>
      <c r="N785" s="2" t="n">
        <f aca="false">IF(E785="","",IF(ISNUMBER(SEARCH("SUBSOLO",E785)),IFERROR(-VALUE(LEFT(E785,FIND("º",SUBSTITUTE(E785,"°","º"))-1)),-1),IF(LEFT(E785,6)="TÉRREO",0,IFERROR(VALUE(LEFT(E785,FIND("º",SUBSTITUTE(E785,"°","º"))-1)),""))))</f>
        <v>23</v>
      </c>
      <c r="O785" s="2" t="str">
        <f aca="false">IF(OR(F785="",G785=""),"",IF(G785&lt;='RETRATO 2027'!$K$5,"CONCLUÍDA",IF(F785&lt;='RETRATO 2027'!$K$5,"EM ANDAMENTO","A INICIAR")))</f>
        <v>CONCLUÍDA</v>
      </c>
    </row>
    <row r="786" customFormat="false" ht="15" hidden="false" customHeight="false" outlineLevel="0" collapsed="false">
      <c r="B786" s="4" t="n">
        <v>30205777</v>
      </c>
      <c r="C786" s="4" t="s">
        <v>2413</v>
      </c>
      <c r="D786" s="4" t="s">
        <v>463</v>
      </c>
      <c r="E786" s="4" t="s">
        <v>2835</v>
      </c>
      <c r="F786" s="127" t="n">
        <v>46678</v>
      </c>
      <c r="G786" s="127" t="n">
        <v>46689</v>
      </c>
      <c r="H786" s="127" t="n">
        <v>46289</v>
      </c>
      <c r="I786" s="4" t="n">
        <v>0</v>
      </c>
      <c r="J786" s="4" t="n">
        <v>0</v>
      </c>
      <c r="K786" s="4" t="n">
        <v>0</v>
      </c>
      <c r="M786" s="2" t="str">
        <f aca="false">IF(C786="","",IFERROR(INDEX($S$5:$S$304,MATCH(C786,$R$5:$R$304,0))&amp;"","?"))</f>
        <v>21</v>
      </c>
      <c r="N786" s="2" t="n">
        <f aca="false">IF(E786="","",IF(ISNUMBER(SEARCH("SUBSOLO",E786)),IFERROR(-VALUE(LEFT(E786,FIND("º",SUBSTITUTE(E786,"°","º"))-1)),-1),IF(LEFT(E786,6)="TÉRREO",0,IFERROR(VALUE(LEFT(E786,FIND("º",SUBSTITUTE(E786,"°","º"))-1)),""))))</f>
        <v>0</v>
      </c>
      <c r="O786" s="2" t="str">
        <f aca="false">IF(OR(F786="",G786=""),"",IF(G786&lt;='RETRATO 2027'!$K$5,"CONCLUÍDA",IF(F786&lt;='RETRATO 2027'!$K$5,"EM ANDAMENTO","A INICIAR")))</f>
        <v>CONCLUÍDA</v>
      </c>
    </row>
    <row r="787" customFormat="false" ht="15" hidden="false" customHeight="false" outlineLevel="0" collapsed="false">
      <c r="B787" s="4" t="n">
        <v>30205776</v>
      </c>
      <c r="C787" s="4" t="s">
        <v>2410</v>
      </c>
      <c r="D787" s="4" t="s">
        <v>463</v>
      </c>
      <c r="E787" s="4" t="s">
        <v>2835</v>
      </c>
      <c r="F787" s="127" t="n">
        <v>46678</v>
      </c>
      <c r="G787" s="127" t="n">
        <v>46689</v>
      </c>
      <c r="H787" s="127" t="n">
        <v>46289</v>
      </c>
      <c r="I787" s="4" t="n">
        <v>0</v>
      </c>
      <c r="J787" s="4" t="n">
        <v>0</v>
      </c>
      <c r="K787" s="4" t="n">
        <v>0</v>
      </c>
      <c r="M787" s="2" t="str">
        <f aca="false">IF(C787="","",IFERROR(INDEX($S$5:$S$304,MATCH(C787,$R$5:$R$304,0))&amp;"","?"))</f>
        <v>22</v>
      </c>
      <c r="N787" s="2" t="n">
        <f aca="false">IF(E787="","",IF(ISNUMBER(SEARCH("SUBSOLO",E787)),IFERROR(-VALUE(LEFT(E787,FIND("º",SUBSTITUTE(E787,"°","º"))-1)),-1),IF(LEFT(E787,6)="TÉRREO",0,IFERROR(VALUE(LEFT(E787,FIND("º",SUBSTITUTE(E787,"°","º"))-1)),""))))</f>
        <v>0</v>
      </c>
      <c r="O787" s="2" t="str">
        <f aca="false">IF(OR(F787="",G787=""),"",IF(G787&lt;='RETRATO 2027'!$K$5,"CONCLUÍDA",IF(F787&lt;='RETRATO 2027'!$K$5,"EM ANDAMENTO","A INICIAR")))</f>
        <v>CONCLUÍDA</v>
      </c>
    </row>
    <row r="788" customFormat="false" ht="15" hidden="false" customHeight="false" outlineLevel="0" collapsed="false">
      <c r="B788" s="4" t="n">
        <v>30205778</v>
      </c>
      <c r="C788" s="4" t="s">
        <v>2416</v>
      </c>
      <c r="D788" s="4" t="s">
        <v>463</v>
      </c>
      <c r="E788" s="4" t="s">
        <v>2835</v>
      </c>
      <c r="F788" s="127" t="n">
        <v>46678</v>
      </c>
      <c r="G788" s="127" t="n">
        <v>46689</v>
      </c>
      <c r="H788" s="127" t="n">
        <v>46289</v>
      </c>
      <c r="I788" s="4" t="n">
        <v>0</v>
      </c>
      <c r="J788" s="4" t="n">
        <v>0</v>
      </c>
      <c r="K788" s="4" t="n">
        <v>0</v>
      </c>
      <c r="M788" s="2" t="str">
        <f aca="false">IF(C788="","",IFERROR(INDEX($S$5:$S$304,MATCH(C788,$R$5:$R$304,0))&amp;"","?"))</f>
        <v>18</v>
      </c>
      <c r="N788" s="2" t="n">
        <f aca="false">IF(E788="","",IF(ISNUMBER(SEARCH("SUBSOLO",E788)),IFERROR(-VALUE(LEFT(E788,FIND("º",SUBSTITUTE(E788,"°","º"))-1)),-1),IF(LEFT(E788,6)="TÉRREO",0,IFERROR(VALUE(LEFT(E788,FIND("º",SUBSTITUTE(E788,"°","º"))-1)),""))))</f>
        <v>0</v>
      </c>
      <c r="O788" s="2" t="str">
        <f aca="false">IF(OR(F788="",G788=""),"",IF(G788&lt;='RETRATO 2027'!$K$5,"CONCLUÍDA",IF(F788&lt;='RETRATO 2027'!$K$5,"EM ANDAMENTO","A INICIAR")))</f>
        <v>CONCLUÍDA</v>
      </c>
    </row>
    <row r="789" customFormat="false" ht="15" hidden="false" customHeight="false" outlineLevel="0" collapsed="false">
      <c r="B789" s="4" t="n">
        <v>30205802</v>
      </c>
      <c r="C789" s="4" t="s">
        <v>168</v>
      </c>
      <c r="D789" s="4" t="s">
        <v>463</v>
      </c>
      <c r="E789" s="4" t="s">
        <v>2839</v>
      </c>
      <c r="F789" s="127" t="n">
        <v>46678</v>
      </c>
      <c r="G789" s="127" t="n">
        <v>46689</v>
      </c>
      <c r="H789" s="127" t="n">
        <v>46289</v>
      </c>
      <c r="I789" s="4" t="n">
        <v>0</v>
      </c>
      <c r="J789" s="4" t="n">
        <v>0</v>
      </c>
      <c r="K789" s="4" t="n">
        <v>0</v>
      </c>
      <c r="M789" s="2" t="str">
        <f aca="false">IF(C789="","",IFERROR(INDEX($S$5:$S$304,MATCH(C789,$R$5:$R$304,0))&amp;"","?"))</f>
        <v>18</v>
      </c>
      <c r="N789" s="2" t="n">
        <f aca="false">IF(E789="","",IF(ISNUMBER(SEARCH("SUBSOLO",E789)),IFERROR(-VALUE(LEFT(E789,FIND("º",SUBSTITUTE(E789,"°","º"))-1)),-1),IF(LEFT(E789,6)="TÉRREO",0,IFERROR(VALUE(LEFT(E789,FIND("º",SUBSTITUTE(E789,"°","º"))-1)),""))))</f>
        <v>0</v>
      </c>
      <c r="O789" s="2" t="str">
        <f aca="false">IF(OR(F789="",G789=""),"",IF(G789&lt;='RETRATO 2027'!$K$5,"CONCLUÍDA",IF(F789&lt;='RETRATO 2027'!$K$5,"EM ANDAMENTO","A INICIAR")))</f>
        <v>CONCLUÍDA</v>
      </c>
    </row>
    <row r="790" customFormat="false" ht="15" hidden="false" customHeight="false" outlineLevel="0" collapsed="false">
      <c r="B790" s="4" t="n">
        <v>30171426</v>
      </c>
      <c r="C790" s="4" t="s">
        <v>2422</v>
      </c>
      <c r="D790" s="4" t="s">
        <v>463</v>
      </c>
      <c r="E790" s="4" t="s">
        <v>2800</v>
      </c>
      <c r="F790" s="127" t="n">
        <v>46678</v>
      </c>
      <c r="G790" s="127" t="n">
        <v>46689</v>
      </c>
      <c r="H790" s="127" t="n">
        <v>46289</v>
      </c>
      <c r="I790" s="4" t="n">
        <v>0</v>
      </c>
      <c r="J790" s="4" t="n">
        <v>0</v>
      </c>
      <c r="K790" s="4" t="n">
        <v>0</v>
      </c>
      <c r="M790" s="2" t="str">
        <f aca="false">IF(C790="","",IFERROR(INDEX($S$5:$S$304,MATCH(C790,$R$5:$R$304,0))&amp;"","?"))</f>
        <v>29</v>
      </c>
      <c r="N790" s="2" t="n">
        <f aca="false">IF(E790="","",IF(ISNUMBER(SEARCH("SUBSOLO",E790)),IFERROR(-VALUE(LEFT(E790,FIND("º",SUBSTITUTE(E790,"°","º"))-1)),-1),IF(LEFT(E790,6)="TÉRREO",0,IFERROR(VALUE(LEFT(E790,FIND("º",SUBSTITUTE(E790,"°","º"))-1)),""))))</f>
        <v>4</v>
      </c>
      <c r="O790" s="2" t="str">
        <f aca="false">IF(OR(F790="",G790=""),"",IF(G790&lt;='RETRATO 2027'!$K$5,"CONCLUÍDA",IF(F790&lt;='RETRATO 2027'!$K$5,"EM ANDAMENTO","A INICIAR")))</f>
        <v>CONCLUÍDA</v>
      </c>
    </row>
    <row r="791" customFormat="false" ht="15" hidden="false" customHeight="false" outlineLevel="0" collapsed="false">
      <c r="B791" s="4" t="n">
        <v>30171432</v>
      </c>
      <c r="C791" s="4" t="s">
        <v>2446</v>
      </c>
      <c r="D791" s="4" t="s">
        <v>463</v>
      </c>
      <c r="E791" s="4" t="s">
        <v>2800</v>
      </c>
      <c r="F791" s="127" t="n">
        <v>46678</v>
      </c>
      <c r="G791" s="127" t="n">
        <v>46689</v>
      </c>
      <c r="H791" s="127" t="n">
        <v>46289</v>
      </c>
      <c r="I791" s="4" t="n">
        <v>0</v>
      </c>
      <c r="J791" s="4" t="n">
        <v>0</v>
      </c>
      <c r="K791" s="4" t="n">
        <v>0</v>
      </c>
      <c r="M791" s="2" t="str">
        <f aca="false">IF(C791="","",IFERROR(INDEX($S$5:$S$304,MATCH(C791,$R$5:$R$304,0))&amp;"","?"))</f>
        <v>26</v>
      </c>
      <c r="N791" s="2" t="n">
        <f aca="false">IF(E791="","",IF(ISNUMBER(SEARCH("SUBSOLO",E791)),IFERROR(-VALUE(LEFT(E791,FIND("º",SUBSTITUTE(E791,"°","º"))-1)),-1),IF(LEFT(E791,6)="TÉRREO",0,IFERROR(VALUE(LEFT(E791,FIND("º",SUBSTITUTE(E791,"°","º"))-1)),""))))</f>
        <v>4</v>
      </c>
      <c r="O791" s="2" t="str">
        <f aca="false">IF(OR(F791="",G791=""),"",IF(G791&lt;='RETRATO 2027'!$K$5,"CONCLUÍDA",IF(F791&lt;='RETRATO 2027'!$K$5,"EM ANDAMENTO","A INICIAR")))</f>
        <v>CONCLUÍDA</v>
      </c>
    </row>
    <row r="792" customFormat="false" ht="15" hidden="false" customHeight="false" outlineLevel="0" collapsed="false">
      <c r="B792" s="4" t="n">
        <v>30171397</v>
      </c>
      <c r="C792" s="4" t="s">
        <v>168</v>
      </c>
      <c r="D792" s="4" t="s">
        <v>463</v>
      </c>
      <c r="E792" s="4" t="s">
        <v>2801</v>
      </c>
      <c r="F792" s="127" t="n">
        <v>46678</v>
      </c>
      <c r="G792" s="127" t="n">
        <v>46742</v>
      </c>
      <c r="H792" s="127" t="n">
        <v>46289</v>
      </c>
      <c r="I792" s="4" t="n">
        <v>0</v>
      </c>
      <c r="J792" s="4" t="n">
        <v>0</v>
      </c>
      <c r="K792" s="4" t="n">
        <v>0</v>
      </c>
      <c r="M792" s="2" t="str">
        <f aca="false">IF(C792="","",IFERROR(INDEX($S$5:$S$304,MATCH(C792,$R$5:$R$304,0))&amp;"","?"))</f>
        <v>18</v>
      </c>
      <c r="N792" s="2" t="n">
        <f aca="false">IF(E792="","",IF(ISNUMBER(SEARCH("SUBSOLO",E792)),IFERROR(-VALUE(LEFT(E792,FIND("º",SUBSTITUTE(E792,"°","º"))-1)),-1),IF(LEFT(E792,6)="TÉRREO",0,IFERROR(VALUE(LEFT(E792,FIND("º",SUBSTITUTE(E792,"°","º"))-1)),""))))</f>
        <v>5</v>
      </c>
      <c r="O792" s="2" t="str">
        <f aca="false">IF(OR(F792="",G792=""),"",IF(G792&lt;='RETRATO 2027'!$K$5,"CONCLUÍDA",IF(F792&lt;='RETRATO 2027'!$K$5,"EM ANDAMENTO","A INICIAR")))</f>
        <v>CONCLUÍDA</v>
      </c>
    </row>
    <row r="793" customFormat="false" ht="15" hidden="false" customHeight="false" outlineLevel="0" collapsed="false">
      <c r="B793" s="4" t="n">
        <v>30205712</v>
      </c>
      <c r="C793" s="4" t="s">
        <v>2525</v>
      </c>
      <c r="D793" s="4" t="s">
        <v>463</v>
      </c>
      <c r="E793" s="4" t="s">
        <v>2740</v>
      </c>
      <c r="F793" s="127" t="n">
        <v>46679</v>
      </c>
      <c r="G793" s="127" t="n">
        <v>46692</v>
      </c>
      <c r="H793" s="127" t="n">
        <v>46289</v>
      </c>
      <c r="I793" s="4" t="n">
        <v>0</v>
      </c>
      <c r="J793" s="4" t="n">
        <v>0</v>
      </c>
      <c r="K793" s="4" t="n">
        <v>0</v>
      </c>
      <c r="M793" s="2" t="str">
        <f aca="false">IF(C793="","",IFERROR(INDEX($S$5:$S$304,MATCH(C793,$R$5:$R$304,0))&amp;"","?"))</f>
        <v>18</v>
      </c>
      <c r="N793" s="2" t="n">
        <f aca="false">IF(E793="","",IF(ISNUMBER(SEARCH("SUBSOLO",E793)),IFERROR(-VALUE(LEFT(E793,FIND("º",SUBSTITUTE(E793,"°","º"))-1)),-1),IF(LEFT(E793,6)="TÉRREO",0,IFERROR(VALUE(LEFT(E793,FIND("º",SUBSTITUTE(E793,"°","º"))-1)),""))))</f>
        <v>-1</v>
      </c>
      <c r="O793" s="2" t="str">
        <f aca="false">IF(OR(F793="",G793=""),"",IF(G793&lt;='RETRATO 2027'!$K$5,"CONCLUÍDA",IF(F793&lt;='RETRATO 2027'!$K$5,"EM ANDAMENTO","A INICIAR")))</f>
        <v>CONCLUÍDA</v>
      </c>
    </row>
    <row r="794" customFormat="false" ht="15" hidden="false" customHeight="false" outlineLevel="0" collapsed="false">
      <c r="B794" s="4" t="n">
        <v>30205752</v>
      </c>
      <c r="C794" s="4" t="s">
        <v>2528</v>
      </c>
      <c r="D794" s="4" t="s">
        <v>463</v>
      </c>
      <c r="E794" s="4" t="s">
        <v>2740</v>
      </c>
      <c r="F794" s="127" t="n">
        <v>46679</v>
      </c>
      <c r="G794" s="127" t="n">
        <v>46727</v>
      </c>
      <c r="H794" s="127" t="n">
        <v>46289</v>
      </c>
      <c r="I794" s="4" t="n">
        <v>0</v>
      </c>
      <c r="J794" s="4" t="n">
        <v>0</v>
      </c>
      <c r="K794" s="4" t="n">
        <v>0</v>
      </c>
      <c r="M794" s="2" t="str">
        <f aca="false">IF(C794="","",IFERROR(INDEX($S$5:$S$304,MATCH(C794,$R$5:$R$304,0))&amp;"","?"))</f>
        <v>23</v>
      </c>
      <c r="N794" s="2" t="n">
        <f aca="false">IF(E794="","",IF(ISNUMBER(SEARCH("SUBSOLO",E794)),IFERROR(-VALUE(LEFT(E794,FIND("º",SUBSTITUTE(E794,"°","º"))-1)),-1),IF(LEFT(E794,6)="TÉRREO",0,IFERROR(VALUE(LEFT(E794,FIND("º",SUBSTITUTE(E794,"°","º"))-1)),""))))</f>
        <v>-1</v>
      </c>
      <c r="O794" s="2" t="str">
        <f aca="false">IF(OR(F794="",G794=""),"",IF(G794&lt;='RETRATO 2027'!$K$5,"CONCLUÍDA",IF(F794&lt;='RETRATO 2027'!$K$5,"EM ANDAMENTO","A INICIAR")))</f>
        <v>CONCLUÍDA</v>
      </c>
    </row>
    <row r="795" customFormat="false" ht="15" hidden="false" customHeight="false" outlineLevel="0" collapsed="false">
      <c r="B795" s="4" t="n">
        <v>30205753</v>
      </c>
      <c r="C795" s="4" t="s">
        <v>2531</v>
      </c>
      <c r="D795" s="4" t="s">
        <v>463</v>
      </c>
      <c r="E795" s="4" t="s">
        <v>2740</v>
      </c>
      <c r="F795" s="127" t="n">
        <v>46679</v>
      </c>
      <c r="G795" s="127" t="n">
        <v>46727</v>
      </c>
      <c r="H795" s="127" t="n">
        <v>46289</v>
      </c>
      <c r="I795" s="4" t="n">
        <v>0</v>
      </c>
      <c r="J795" s="4" t="n">
        <v>0</v>
      </c>
      <c r="K795" s="4" t="n">
        <v>0</v>
      </c>
      <c r="M795" s="2" t="str">
        <f aca="false">IF(C795="","",IFERROR(INDEX($S$5:$S$304,MATCH(C795,$R$5:$R$304,0))&amp;"","?"))</f>
        <v>21</v>
      </c>
      <c r="N795" s="2" t="n">
        <f aca="false">IF(E795="","",IF(ISNUMBER(SEARCH("SUBSOLO",E795)),IFERROR(-VALUE(LEFT(E795,FIND("º",SUBSTITUTE(E795,"°","º"))-1)),-1),IF(LEFT(E795,6)="TÉRREO",0,IFERROR(VALUE(LEFT(E795,FIND("º",SUBSTITUTE(E795,"°","º"))-1)),""))))</f>
        <v>-1</v>
      </c>
      <c r="O795" s="2" t="str">
        <f aca="false">IF(OR(F795="",G795=""),"",IF(G795&lt;='RETRATO 2027'!$K$5,"CONCLUÍDA",IF(F795&lt;='RETRATO 2027'!$K$5,"EM ANDAMENTO","A INICIAR")))</f>
        <v>CONCLUÍDA</v>
      </c>
    </row>
    <row r="796" customFormat="false" ht="15" hidden="false" customHeight="false" outlineLevel="0" collapsed="false">
      <c r="B796" s="4" t="n">
        <v>29980952</v>
      </c>
      <c r="C796" s="4" t="s">
        <v>2416</v>
      </c>
      <c r="D796" s="4" t="s">
        <v>463</v>
      </c>
      <c r="E796" s="4" t="s">
        <v>2829</v>
      </c>
      <c r="F796" s="127" t="n">
        <v>46679</v>
      </c>
      <c r="G796" s="127" t="n">
        <v>46689</v>
      </c>
      <c r="H796" s="127" t="n">
        <v>46289</v>
      </c>
      <c r="I796" s="4" t="n">
        <v>0</v>
      </c>
      <c r="J796" s="4" t="n">
        <v>0</v>
      </c>
      <c r="K796" s="4" t="n">
        <v>0</v>
      </c>
      <c r="M796" s="2" t="str">
        <f aca="false">IF(C796="","",IFERROR(INDEX($S$5:$S$304,MATCH(C796,$R$5:$R$304,0))&amp;"","?"))</f>
        <v>18</v>
      </c>
      <c r="N796" s="2" t="n">
        <f aca="false">IF(E796="","",IF(ISNUMBER(SEARCH("SUBSOLO",E796)),IFERROR(-VALUE(LEFT(E796,FIND("º",SUBSTITUTE(E796,"°","º"))-1)),-1),IF(LEFT(E796,6)="TÉRREO",0,IFERROR(VALUE(LEFT(E796,FIND("º",SUBSTITUTE(E796,"°","º"))-1)),""))))</f>
        <v>23</v>
      </c>
      <c r="O796" s="2" t="str">
        <f aca="false">IF(OR(F796="",G796=""),"",IF(G796&lt;='RETRATO 2027'!$K$5,"CONCLUÍDA",IF(F796&lt;='RETRATO 2027'!$K$5,"EM ANDAMENTO","A INICIAR")))</f>
        <v>CONCLUÍDA</v>
      </c>
    </row>
    <row r="797" customFormat="false" ht="15" hidden="false" customHeight="false" outlineLevel="0" collapsed="false">
      <c r="B797" s="4" t="n">
        <v>29941038</v>
      </c>
      <c r="C797" s="4" t="s">
        <v>2341</v>
      </c>
      <c r="D797" s="4" t="s">
        <v>463</v>
      </c>
      <c r="E797" s="4" t="s">
        <v>2840</v>
      </c>
      <c r="F797" s="127" t="n">
        <v>46679</v>
      </c>
      <c r="G797" s="127" t="n">
        <v>46689</v>
      </c>
      <c r="H797" s="127" t="n">
        <v>46289</v>
      </c>
      <c r="I797" s="4" t="n">
        <v>0</v>
      </c>
      <c r="J797" s="4" t="n">
        <v>0</v>
      </c>
      <c r="K797" s="4" t="n">
        <v>0</v>
      </c>
      <c r="M797" s="2" t="str">
        <f aca="false">IF(C797="","",IFERROR(INDEX($S$5:$S$304,MATCH(C797,$R$5:$R$304,0))&amp;"","?"))</f>
        <v>17</v>
      </c>
      <c r="N797" s="2" t="n">
        <f aca="false">IF(E797="","",IF(ISNUMBER(SEARCH("SUBSOLO",E797)),IFERROR(-VALUE(LEFT(E797,FIND("º",SUBSTITUTE(E797,"°","º"))-1)),-1),IF(LEFT(E797,6)="TÉRREO",0,IFERROR(VALUE(LEFT(E797,FIND("º",SUBSTITUTE(E797,"°","º"))-1)),""))))</f>
        <v>28</v>
      </c>
      <c r="O797" s="2" t="str">
        <f aca="false">IF(OR(F797="",G797=""),"",IF(G797&lt;='RETRATO 2027'!$K$5,"CONCLUÍDA",IF(F797&lt;='RETRATO 2027'!$K$5,"EM ANDAMENTO","A INICIAR")))</f>
        <v>CONCLUÍDA</v>
      </c>
    </row>
    <row r="798" customFormat="false" ht="15" hidden="false" customHeight="false" outlineLevel="0" collapsed="false">
      <c r="B798" s="4" t="n">
        <v>31529062</v>
      </c>
      <c r="C798" s="4" t="s">
        <v>2341</v>
      </c>
      <c r="D798" s="4" t="s">
        <v>2312</v>
      </c>
      <c r="E798" s="4" t="s">
        <v>2840</v>
      </c>
      <c r="F798" s="127" t="n">
        <v>46679</v>
      </c>
      <c r="G798" s="127" t="n">
        <v>46685</v>
      </c>
      <c r="H798" s="127" t="n">
        <v>46289</v>
      </c>
      <c r="I798" s="4" t="n">
        <v>0</v>
      </c>
      <c r="J798" s="4" t="n">
        <v>0</v>
      </c>
      <c r="K798" s="4" t="n">
        <v>0</v>
      </c>
      <c r="M798" s="2" t="str">
        <f aca="false">IF(C798="","",IFERROR(INDEX($S$5:$S$304,MATCH(C798,$R$5:$R$304,0))&amp;"","?"))</f>
        <v>17</v>
      </c>
      <c r="N798" s="2" t="n">
        <f aca="false">IF(E798="","",IF(ISNUMBER(SEARCH("SUBSOLO",E798)),IFERROR(-VALUE(LEFT(E798,FIND("º",SUBSTITUTE(E798,"°","º"))-1)),-1),IF(LEFT(E798,6)="TÉRREO",0,IFERROR(VALUE(LEFT(E798,FIND("º",SUBSTITUTE(E798,"°","º"))-1)),""))))</f>
        <v>28</v>
      </c>
      <c r="O798" s="2" t="str">
        <f aca="false">IF(OR(F798="",G798=""),"",IF(G798&lt;='RETRATO 2027'!$K$5,"CONCLUÍDA",IF(F798&lt;='RETRATO 2027'!$K$5,"EM ANDAMENTO","A INICIAR")))</f>
        <v>CONCLUÍDA</v>
      </c>
    </row>
    <row r="799" customFormat="false" ht="15" hidden="false" customHeight="false" outlineLevel="0" collapsed="false">
      <c r="B799" s="4" t="n">
        <v>31529063</v>
      </c>
      <c r="C799" s="4" t="s">
        <v>2341</v>
      </c>
      <c r="D799" s="4" t="s">
        <v>2309</v>
      </c>
      <c r="E799" s="4" t="s">
        <v>2840</v>
      </c>
      <c r="F799" s="127" t="n">
        <v>46686</v>
      </c>
      <c r="G799" s="127" t="n">
        <v>46688</v>
      </c>
      <c r="H799" s="127" t="n">
        <v>46289</v>
      </c>
      <c r="I799" s="4" t="n">
        <v>0</v>
      </c>
      <c r="J799" s="4" t="n">
        <v>0</v>
      </c>
      <c r="K799" s="4" t="n">
        <v>0</v>
      </c>
      <c r="M799" s="2" t="str">
        <f aca="false">IF(C799="","",IFERROR(INDEX($S$5:$S$304,MATCH(C799,$R$5:$R$304,0))&amp;"","?"))</f>
        <v>17</v>
      </c>
      <c r="N799" s="2" t="n">
        <f aca="false">IF(E799="","",IF(ISNUMBER(SEARCH("SUBSOLO",E799)),IFERROR(-VALUE(LEFT(E799,FIND("º",SUBSTITUTE(E799,"°","º"))-1)),-1),IF(LEFT(E799,6)="TÉRREO",0,IFERROR(VALUE(LEFT(E799,FIND("º",SUBSTITUTE(E799,"°","º"))-1)),""))))</f>
        <v>28</v>
      </c>
      <c r="O799" s="2" t="str">
        <f aca="false">IF(OR(F799="",G799=""),"",IF(G799&lt;='RETRATO 2027'!$K$5,"CONCLUÍDA",IF(F799&lt;='RETRATO 2027'!$K$5,"EM ANDAMENTO","A INICIAR")))</f>
        <v>CONCLUÍDA</v>
      </c>
    </row>
    <row r="800" customFormat="false" ht="15" hidden="false" customHeight="false" outlineLevel="0" collapsed="false">
      <c r="B800" s="4" t="n">
        <v>31529064</v>
      </c>
      <c r="C800" s="4" t="s">
        <v>2341</v>
      </c>
      <c r="D800" s="4" t="s">
        <v>2314</v>
      </c>
      <c r="E800" s="4" t="s">
        <v>2840</v>
      </c>
      <c r="F800" s="127" t="n">
        <v>46689</v>
      </c>
      <c r="G800" s="127" t="n">
        <v>46689</v>
      </c>
      <c r="H800" s="127" t="n">
        <v>46289</v>
      </c>
      <c r="I800" s="4" t="n">
        <v>0</v>
      </c>
      <c r="J800" s="4" t="n">
        <v>0</v>
      </c>
      <c r="K800" s="4" t="n">
        <v>0</v>
      </c>
      <c r="M800" s="2" t="str">
        <f aca="false">IF(C800="","",IFERROR(INDEX($S$5:$S$304,MATCH(C800,$R$5:$R$304,0))&amp;"","?"))</f>
        <v>17</v>
      </c>
      <c r="N800" s="2" t="n">
        <f aca="false">IF(E800="","",IF(ISNUMBER(SEARCH("SUBSOLO",E800)),IFERROR(-VALUE(LEFT(E800,FIND("º",SUBSTITUTE(E800,"°","º"))-1)),-1),IF(LEFT(E800,6)="TÉRREO",0,IFERROR(VALUE(LEFT(E800,FIND("º",SUBSTITUTE(E800,"°","º"))-1)),""))))</f>
        <v>28</v>
      </c>
      <c r="O800" s="2" t="str">
        <f aca="false">IF(OR(F800="",G800=""),"",IF(G800&lt;='RETRATO 2027'!$K$5,"CONCLUÍDA",IF(F800&lt;='RETRATO 2027'!$K$5,"EM ANDAMENTO","A INICIAR")))</f>
        <v>CONCLUÍDA</v>
      </c>
    </row>
    <row r="801" customFormat="false" ht="15" hidden="false" customHeight="false" outlineLevel="0" collapsed="false">
      <c r="B801" s="4" t="n">
        <v>31529065</v>
      </c>
      <c r="C801" s="4" t="s">
        <v>2341</v>
      </c>
      <c r="D801" s="4" t="s">
        <v>2758</v>
      </c>
      <c r="E801" s="4" t="s">
        <v>2840</v>
      </c>
      <c r="F801" s="127" t="n">
        <v>46689</v>
      </c>
      <c r="G801" s="127" t="n">
        <v>46689</v>
      </c>
      <c r="H801" s="127" t="n">
        <v>46289</v>
      </c>
      <c r="I801" s="4" t="n">
        <v>0</v>
      </c>
      <c r="J801" s="4" t="n">
        <v>0</v>
      </c>
      <c r="K801" s="4" t="n">
        <v>0</v>
      </c>
      <c r="M801" s="2" t="str">
        <f aca="false">IF(C801="","",IFERROR(INDEX($S$5:$S$304,MATCH(C801,$R$5:$R$304,0))&amp;"","?"))</f>
        <v>17</v>
      </c>
      <c r="N801" s="2" t="n">
        <f aca="false">IF(E801="","",IF(ISNUMBER(SEARCH("SUBSOLO",E801)),IFERROR(-VALUE(LEFT(E801,FIND("º",SUBSTITUTE(E801,"°","º"))-1)),-1),IF(LEFT(E801,6)="TÉRREO",0,IFERROR(VALUE(LEFT(E801,FIND("º",SUBSTITUTE(E801,"°","º"))-1)),""))))</f>
        <v>28</v>
      </c>
      <c r="O801" s="2" t="str">
        <f aca="false">IF(OR(F801="",G801=""),"",IF(G801&lt;='RETRATO 2027'!$K$5,"CONCLUÍDA",IF(F801&lt;='RETRATO 2027'!$K$5,"EM ANDAMENTO","A INICIAR")))</f>
        <v>CONCLUÍDA</v>
      </c>
    </row>
    <row r="802" customFormat="false" ht="15" hidden="false" customHeight="false" outlineLevel="0" collapsed="false">
      <c r="B802" s="4" t="n">
        <v>29980926</v>
      </c>
      <c r="C802" s="4" t="s">
        <v>2410</v>
      </c>
      <c r="D802" s="4" t="s">
        <v>463</v>
      </c>
      <c r="E802" s="4" t="s">
        <v>2831</v>
      </c>
      <c r="F802" s="127" t="n">
        <v>46682</v>
      </c>
      <c r="G802" s="127" t="n">
        <v>46695</v>
      </c>
      <c r="H802" s="127" t="n">
        <v>46289</v>
      </c>
      <c r="I802" s="4" t="n">
        <v>0</v>
      </c>
      <c r="J802" s="4" t="n">
        <v>0</v>
      </c>
      <c r="K802" s="4" t="n">
        <v>0</v>
      </c>
      <c r="M802" s="2" t="str">
        <f aca="false">IF(C802="","",IFERROR(INDEX($S$5:$S$304,MATCH(C802,$R$5:$R$304,0))&amp;"","?"))</f>
        <v>22</v>
      </c>
      <c r="N802" s="2" t="n">
        <f aca="false">IF(E802="","",IF(ISNUMBER(SEARCH("SUBSOLO",E802)),IFERROR(-VALUE(LEFT(E802,FIND("º",SUBSTITUTE(E802,"°","º"))-1)),-1),IF(LEFT(E802,6)="TÉRREO",0,IFERROR(VALUE(LEFT(E802,FIND("º",SUBSTITUTE(E802,"°","º"))-1)),""))))</f>
        <v>24</v>
      </c>
      <c r="O802" s="2" t="str">
        <f aca="false">IF(OR(F802="",G802=""),"",IF(G802&lt;='RETRATO 2027'!$K$5,"CONCLUÍDA",IF(F802&lt;='RETRATO 2027'!$K$5,"EM ANDAMENTO","A INICIAR")))</f>
        <v>CONCLUÍDA</v>
      </c>
    </row>
    <row r="803" customFormat="false" ht="15" hidden="false" customHeight="false" outlineLevel="0" collapsed="false">
      <c r="B803" s="4" t="n">
        <v>29980877</v>
      </c>
      <c r="C803" s="4" t="s">
        <v>168</v>
      </c>
      <c r="D803" s="4" t="s">
        <v>463</v>
      </c>
      <c r="E803" s="4" t="s">
        <v>2833</v>
      </c>
      <c r="F803" s="127" t="n">
        <v>46682</v>
      </c>
      <c r="G803" s="127" t="n">
        <v>46695</v>
      </c>
      <c r="H803" s="127" t="n">
        <v>46289</v>
      </c>
      <c r="I803" s="4" t="n">
        <v>0</v>
      </c>
      <c r="J803" s="4" t="n">
        <v>0</v>
      </c>
      <c r="K803" s="4" t="n">
        <v>0</v>
      </c>
      <c r="M803" s="2" t="str">
        <f aca="false">IF(C803="","",IFERROR(INDEX($S$5:$S$304,MATCH(C803,$R$5:$R$304,0))&amp;"","?"))</f>
        <v>18</v>
      </c>
      <c r="N803" s="2" t="n">
        <f aca="false">IF(E803="","",IF(ISNUMBER(SEARCH("SUBSOLO",E803)),IFERROR(-VALUE(LEFT(E803,FIND("º",SUBSTITUTE(E803,"°","º"))-1)),-1),IF(LEFT(E803,6)="TÉRREO",0,IFERROR(VALUE(LEFT(E803,FIND("º",SUBSTITUTE(E803,"°","º"))-1)),""))))</f>
        <v>25</v>
      </c>
      <c r="O803" s="2" t="str">
        <f aca="false">IF(OR(F803="",G803=""),"",IF(G803&lt;='RETRATO 2027'!$K$5,"CONCLUÍDA",IF(F803&lt;='RETRATO 2027'!$K$5,"EM ANDAMENTO","A INICIAR")))</f>
        <v>CONCLUÍDA</v>
      </c>
    </row>
    <row r="804" customFormat="false" ht="15" hidden="false" customHeight="false" outlineLevel="0" collapsed="false">
      <c r="B804" s="4" t="n">
        <v>30205702</v>
      </c>
      <c r="C804" s="4" t="s">
        <v>2501</v>
      </c>
      <c r="D804" s="4" t="s">
        <v>463</v>
      </c>
      <c r="E804" s="4" t="s">
        <v>2819</v>
      </c>
      <c r="F804" s="127" t="n">
        <v>46685</v>
      </c>
      <c r="G804" s="127" t="n">
        <v>46699</v>
      </c>
      <c r="H804" s="127" t="n">
        <v>46289</v>
      </c>
      <c r="I804" s="4" t="n">
        <v>0</v>
      </c>
      <c r="J804" s="4" t="n">
        <v>0</v>
      </c>
      <c r="K804" s="4" t="n">
        <v>0</v>
      </c>
      <c r="M804" s="2" t="str">
        <f aca="false">IF(C804="","",IFERROR(INDEX($S$5:$S$304,MATCH(C804,$R$5:$R$304,0))&amp;"","?"))</f>
        <v>30</v>
      </c>
      <c r="N804" s="2" t="n">
        <f aca="false">IF(E804="","",IF(ISNUMBER(SEARCH("SUBSOLO",E804)),IFERROR(-VALUE(LEFT(E804,FIND("º",SUBSTITUTE(E804,"°","º"))-1)),-1),IF(LEFT(E804,6)="TÉRREO",0,IFERROR(VALUE(LEFT(E804,FIND("º",SUBSTITUTE(E804,"°","º"))-1)),""))))</f>
        <v>0</v>
      </c>
      <c r="O804" s="2" t="str">
        <f aca="false">IF(OR(F804="",G804=""),"",IF(G804&lt;='RETRATO 2027'!$K$5,"CONCLUÍDA",IF(F804&lt;='RETRATO 2027'!$K$5,"EM ANDAMENTO","A INICIAR")))</f>
        <v>CONCLUÍDA</v>
      </c>
    </row>
    <row r="805" customFormat="false" ht="15" hidden="false" customHeight="false" outlineLevel="0" collapsed="false">
      <c r="B805" s="4" t="n">
        <v>30205677</v>
      </c>
      <c r="C805" s="4" t="s">
        <v>2486</v>
      </c>
      <c r="D805" s="4" t="s">
        <v>463</v>
      </c>
      <c r="E805" s="4" t="s">
        <v>2821</v>
      </c>
      <c r="F805" s="127" t="n">
        <v>46685</v>
      </c>
      <c r="G805" s="127" t="n">
        <v>46699</v>
      </c>
      <c r="H805" s="127" t="n">
        <v>46289</v>
      </c>
      <c r="I805" s="4" t="n">
        <v>0</v>
      </c>
      <c r="J805" s="4" t="n">
        <v>0</v>
      </c>
      <c r="K805" s="4" t="n">
        <v>0</v>
      </c>
      <c r="M805" s="2" t="str">
        <f aca="false">IF(C805="","",IFERROR(INDEX($S$5:$S$304,MATCH(C805,$R$5:$R$304,0))&amp;"","?"))</f>
        <v>30</v>
      </c>
      <c r="N805" s="2" t="n">
        <f aca="false">IF(E805="","",IF(ISNUMBER(SEARCH("SUBSOLO",E805)),IFERROR(-VALUE(LEFT(E805,FIND("º",SUBSTITUTE(E805,"°","º"))-1)),-1),IF(LEFT(E805,6)="TÉRREO",0,IFERROR(VALUE(LEFT(E805,FIND("º",SUBSTITUTE(E805,"°","º"))-1)),""))))</f>
        <v>0</v>
      </c>
      <c r="O805" s="2" t="str">
        <f aca="false">IF(OR(F805="",G805=""),"",IF(G805&lt;='RETRATO 2027'!$K$5,"CONCLUÍDA",IF(F805&lt;='RETRATO 2027'!$K$5,"EM ANDAMENTO","A INICIAR")))</f>
        <v>CONCLUÍDA</v>
      </c>
    </row>
    <row r="806" customFormat="false" ht="15" hidden="false" customHeight="false" outlineLevel="0" collapsed="false">
      <c r="B806" s="4" t="n">
        <v>30205654</v>
      </c>
      <c r="C806" s="4" t="s">
        <v>2480</v>
      </c>
      <c r="D806" s="4" t="s">
        <v>463</v>
      </c>
      <c r="E806" s="4" t="s">
        <v>2824</v>
      </c>
      <c r="F806" s="127" t="n">
        <v>46685</v>
      </c>
      <c r="G806" s="127" t="n">
        <v>46699</v>
      </c>
      <c r="H806" s="127" t="n">
        <v>46289</v>
      </c>
      <c r="I806" s="4" t="n">
        <v>0</v>
      </c>
      <c r="J806" s="4" t="n">
        <v>0</v>
      </c>
      <c r="K806" s="4" t="n">
        <v>0</v>
      </c>
      <c r="M806" s="2" t="str">
        <f aca="false">IF(C806="","",IFERROR(INDEX($S$5:$S$304,MATCH(C806,$R$5:$R$304,0))&amp;"","?"))</f>
        <v>30</v>
      </c>
      <c r="N806" s="2" t="n">
        <f aca="false">IF(E806="","",IF(ISNUMBER(SEARCH("SUBSOLO",E806)),IFERROR(-VALUE(LEFT(E806,FIND("º",SUBSTITUTE(E806,"°","º"))-1)),-1),IF(LEFT(E806,6)="TÉRREO",0,IFERROR(VALUE(LEFT(E806,FIND("º",SUBSTITUTE(E806,"°","º"))-1)),""))))</f>
        <v>0</v>
      </c>
      <c r="O806" s="2" t="str">
        <f aca="false">IF(OR(F806="",G806=""),"",IF(G806&lt;='RETRATO 2027'!$K$5,"CONCLUÍDA",IF(F806&lt;='RETRATO 2027'!$K$5,"EM ANDAMENTO","A INICIAR")))</f>
        <v>CONCLUÍDA</v>
      </c>
    </row>
    <row r="807" customFormat="false" ht="15" hidden="false" customHeight="false" outlineLevel="0" collapsed="false">
      <c r="B807" s="4" t="n">
        <v>30205620</v>
      </c>
      <c r="C807" s="4" t="s">
        <v>2492</v>
      </c>
      <c r="D807" s="4" t="s">
        <v>463</v>
      </c>
      <c r="E807" s="4" t="s">
        <v>2826</v>
      </c>
      <c r="F807" s="127" t="n">
        <v>46685</v>
      </c>
      <c r="G807" s="127" t="n">
        <v>46699</v>
      </c>
      <c r="H807" s="127" t="n">
        <v>46289</v>
      </c>
      <c r="I807" s="4" t="n">
        <v>0</v>
      </c>
      <c r="J807" s="4" t="n">
        <v>0</v>
      </c>
      <c r="K807" s="4" t="n">
        <v>0</v>
      </c>
      <c r="M807" s="2" t="str">
        <f aca="false">IF(C807="","",IFERROR(INDEX($S$5:$S$304,MATCH(C807,$R$5:$R$304,0))&amp;"","?"))</f>
        <v>18</v>
      </c>
      <c r="N807" s="2" t="n">
        <f aca="false">IF(E807="","",IF(ISNUMBER(SEARCH("SUBSOLO",E807)),IFERROR(-VALUE(LEFT(E807,FIND("º",SUBSTITUTE(E807,"°","º"))-1)),-1),IF(LEFT(E807,6)="TÉRREO",0,IFERROR(VALUE(LEFT(E807,FIND("º",SUBSTITUTE(E807,"°","º"))-1)),""))))</f>
        <v>0</v>
      </c>
      <c r="O807" s="2" t="str">
        <f aca="false">IF(OR(F807="",G807=""),"",IF(G807&lt;='RETRATO 2027'!$K$5,"CONCLUÍDA",IF(F807&lt;='RETRATO 2027'!$K$5,"EM ANDAMENTO","A INICIAR")))</f>
        <v>CONCLUÍDA</v>
      </c>
    </row>
    <row r="808" customFormat="false" ht="15" hidden="false" customHeight="false" outlineLevel="0" collapsed="false">
      <c r="B808" s="4" t="n">
        <v>30205592</v>
      </c>
      <c r="C808" s="4" t="s">
        <v>2449</v>
      </c>
      <c r="D808" s="4" t="s">
        <v>463</v>
      </c>
      <c r="E808" s="4" t="s">
        <v>2828</v>
      </c>
      <c r="F808" s="127" t="n">
        <v>46685</v>
      </c>
      <c r="G808" s="127" t="n">
        <v>46699</v>
      </c>
      <c r="H808" s="127" t="n">
        <v>46289</v>
      </c>
      <c r="I808" s="4" t="n">
        <v>0</v>
      </c>
      <c r="J808" s="4" t="n">
        <v>0</v>
      </c>
      <c r="K808" s="4" t="n">
        <v>0</v>
      </c>
      <c r="M808" s="2" t="str">
        <f aca="false">IF(C808="","",IFERROR(INDEX($S$5:$S$304,MATCH(C808,$R$5:$R$304,0))&amp;"","?"))</f>
        <v>28</v>
      </c>
      <c r="N808" s="2" t="n">
        <f aca="false">IF(E808="","",IF(ISNUMBER(SEARCH("SUBSOLO",E808)),IFERROR(-VALUE(LEFT(E808,FIND("º",SUBSTITUTE(E808,"°","º"))-1)),-1),IF(LEFT(E808,6)="TÉRREO",0,IFERROR(VALUE(LEFT(E808,FIND("º",SUBSTITUTE(E808,"°","º"))-1)),""))))</f>
        <v>0</v>
      </c>
      <c r="O808" s="2" t="str">
        <f aca="false">IF(OR(F808="",G808=""),"",IF(G808&lt;='RETRATO 2027'!$K$5,"CONCLUÍDA",IF(F808&lt;='RETRATO 2027'!$K$5,"EM ANDAMENTO","A INICIAR")))</f>
        <v>CONCLUÍDA</v>
      </c>
    </row>
    <row r="809" customFormat="false" ht="15" hidden="false" customHeight="false" outlineLevel="0" collapsed="false">
      <c r="B809" s="4" t="n">
        <v>31803889</v>
      </c>
      <c r="C809" s="4" t="s">
        <v>2483</v>
      </c>
      <c r="D809" s="4" t="s">
        <v>463</v>
      </c>
      <c r="E809" s="4" t="s">
        <v>2828</v>
      </c>
      <c r="F809" s="127" t="n">
        <v>46685</v>
      </c>
      <c r="G809" s="127" t="n">
        <v>46734</v>
      </c>
      <c r="H809" s="127" t="n">
        <v>46289</v>
      </c>
      <c r="I809" s="4" t="n">
        <v>0</v>
      </c>
      <c r="J809" s="4" t="n">
        <v>0</v>
      </c>
      <c r="K809" s="4" t="n">
        <v>0</v>
      </c>
      <c r="M809" s="2" t="str">
        <f aca="false">IF(C809="","",IFERROR(INDEX($S$5:$S$304,MATCH(C809,$R$5:$R$304,0))&amp;"","?"))</f>
        <v>32</v>
      </c>
      <c r="N809" s="2" t="n">
        <f aca="false">IF(E809="","",IF(ISNUMBER(SEARCH("SUBSOLO",E809)),IFERROR(-VALUE(LEFT(E809,FIND("º",SUBSTITUTE(E809,"°","º"))-1)),-1),IF(LEFT(E809,6)="TÉRREO",0,IFERROR(VALUE(LEFT(E809,FIND("º",SUBSTITUTE(E809,"°","º"))-1)),""))))</f>
        <v>0</v>
      </c>
      <c r="O809" s="2" t="str">
        <f aca="false">IF(OR(F809="",G809=""),"",IF(G809&lt;='RETRATO 2027'!$K$5,"CONCLUÍDA",IF(F809&lt;='RETRATO 2027'!$K$5,"EM ANDAMENTO","A INICIAR")))</f>
        <v>CONCLUÍDA</v>
      </c>
    </row>
    <row r="810" customFormat="false" ht="15" hidden="false" customHeight="false" outlineLevel="0" collapsed="false">
      <c r="B810" s="4" t="n">
        <v>30205561</v>
      </c>
      <c r="C810" s="4" t="s">
        <v>2437</v>
      </c>
      <c r="D810" s="4" t="s">
        <v>463</v>
      </c>
      <c r="E810" s="4" t="s">
        <v>2830</v>
      </c>
      <c r="F810" s="127" t="n">
        <v>46685</v>
      </c>
      <c r="G810" s="127" t="n">
        <v>46699</v>
      </c>
      <c r="H810" s="127" t="n">
        <v>46289</v>
      </c>
      <c r="I810" s="4" t="n">
        <v>0</v>
      </c>
      <c r="J810" s="4" t="n">
        <v>0</v>
      </c>
      <c r="K810" s="4" t="n">
        <v>0</v>
      </c>
      <c r="M810" s="2" t="str">
        <f aca="false">IF(C810="","",IFERROR(INDEX($S$5:$S$304,MATCH(C810,$R$5:$R$304,0))&amp;"","?"))</f>
        <v>29</v>
      </c>
      <c r="N810" s="2" t="n">
        <f aca="false">IF(E810="","",IF(ISNUMBER(SEARCH("SUBSOLO",E810)),IFERROR(-VALUE(LEFT(E810,FIND("º",SUBSTITUTE(E810,"°","º"))-1)),-1),IF(LEFT(E810,6)="TÉRREO",0,IFERROR(VALUE(LEFT(E810,FIND("º",SUBSTITUTE(E810,"°","º"))-1)),""))))</f>
        <v>0</v>
      </c>
      <c r="O810" s="2" t="str">
        <f aca="false">IF(OR(F810="",G810=""),"",IF(G810&lt;='RETRATO 2027'!$K$5,"CONCLUÍDA",IF(F810&lt;='RETRATO 2027'!$K$5,"EM ANDAMENTO","A INICIAR")))</f>
        <v>CONCLUÍDA</v>
      </c>
    </row>
    <row r="811" customFormat="false" ht="15" hidden="false" customHeight="false" outlineLevel="0" collapsed="false">
      <c r="B811" s="4" t="n">
        <v>30205530</v>
      </c>
      <c r="C811" s="4" t="s">
        <v>2428</v>
      </c>
      <c r="D811" s="4" t="s">
        <v>463</v>
      </c>
      <c r="E811" s="4" t="s">
        <v>2832</v>
      </c>
      <c r="F811" s="127" t="n">
        <v>46685</v>
      </c>
      <c r="G811" s="127" t="n">
        <v>46694</v>
      </c>
      <c r="H811" s="127" t="n">
        <v>46289</v>
      </c>
      <c r="I811" s="4" t="n">
        <v>0</v>
      </c>
      <c r="J811" s="4" t="n">
        <v>0</v>
      </c>
      <c r="K811" s="4" t="n">
        <v>0</v>
      </c>
      <c r="M811" s="2" t="str">
        <f aca="false">IF(C811="","",IFERROR(INDEX($S$5:$S$304,MATCH(C811,$R$5:$R$304,0))&amp;"","?"))</f>
        <v>20</v>
      </c>
      <c r="N811" s="2" t="n">
        <f aca="false">IF(E811="","",IF(ISNUMBER(SEARCH("SUBSOLO",E811)),IFERROR(-VALUE(LEFT(E811,FIND("º",SUBSTITUTE(E811,"°","º"))-1)),-1),IF(LEFT(E811,6)="TÉRREO",0,IFERROR(VALUE(LEFT(E811,FIND("º",SUBSTITUTE(E811,"°","º"))-1)),""))))</f>
        <v>0</v>
      </c>
      <c r="O811" s="2" t="str">
        <f aca="false">IF(OR(F811="",G811=""),"",IF(G811&lt;='RETRATO 2027'!$K$5,"CONCLUÍDA",IF(F811&lt;='RETRATO 2027'!$K$5,"EM ANDAMENTO","A INICIAR")))</f>
        <v>CONCLUÍDA</v>
      </c>
    </row>
    <row r="812" customFormat="false" ht="15" hidden="false" customHeight="false" outlineLevel="0" collapsed="false">
      <c r="B812" s="4" t="n">
        <v>30205531</v>
      </c>
      <c r="C812" s="4" t="s">
        <v>2452</v>
      </c>
      <c r="D812" s="4" t="s">
        <v>463</v>
      </c>
      <c r="E812" s="4" t="s">
        <v>2832</v>
      </c>
      <c r="F812" s="127" t="n">
        <v>46685</v>
      </c>
      <c r="G812" s="127" t="n">
        <v>46699</v>
      </c>
      <c r="H812" s="127" t="n">
        <v>46289</v>
      </c>
      <c r="I812" s="4" t="n">
        <v>0</v>
      </c>
      <c r="J812" s="4" t="n">
        <v>0</v>
      </c>
      <c r="K812" s="4" t="n">
        <v>0</v>
      </c>
      <c r="M812" s="2" t="str">
        <f aca="false">IF(C812="","",IFERROR(INDEX($S$5:$S$304,MATCH(C812,$R$5:$R$304,0))&amp;"","?"))</f>
        <v>21</v>
      </c>
      <c r="N812" s="2" t="n">
        <f aca="false">IF(E812="","",IF(ISNUMBER(SEARCH("SUBSOLO",E812)),IFERROR(-VALUE(LEFT(E812,FIND("º",SUBSTITUTE(E812,"°","º"))-1)),-1),IF(LEFT(E812,6)="TÉRREO",0,IFERROR(VALUE(LEFT(E812,FIND("º",SUBSTITUTE(E812,"°","º"))-1)),""))))</f>
        <v>0</v>
      </c>
      <c r="O812" s="2" t="str">
        <f aca="false">IF(OR(F812="",G812=""),"",IF(G812&lt;='RETRATO 2027'!$K$5,"CONCLUÍDA",IF(F812&lt;='RETRATO 2027'!$K$5,"EM ANDAMENTO","A INICIAR")))</f>
        <v>CONCLUÍDA</v>
      </c>
    </row>
    <row r="813" customFormat="false" ht="15" hidden="false" customHeight="false" outlineLevel="0" collapsed="false">
      <c r="B813" s="4" t="n">
        <v>30171427</v>
      </c>
      <c r="C813" s="4" t="s">
        <v>2416</v>
      </c>
      <c r="D813" s="4" t="s">
        <v>463</v>
      </c>
      <c r="E813" s="4" t="s">
        <v>2800</v>
      </c>
      <c r="F813" s="127" t="n">
        <v>46686</v>
      </c>
      <c r="G813" s="127" t="n">
        <v>46700</v>
      </c>
      <c r="H813" s="127" t="n">
        <v>46289</v>
      </c>
      <c r="I813" s="4" t="n">
        <v>0</v>
      </c>
      <c r="J813" s="4" t="n">
        <v>0</v>
      </c>
      <c r="K813" s="4" t="n">
        <v>0</v>
      </c>
      <c r="M813" s="2" t="str">
        <f aca="false">IF(C813="","",IFERROR(INDEX($S$5:$S$304,MATCH(C813,$R$5:$R$304,0))&amp;"","?"))</f>
        <v>18</v>
      </c>
      <c r="N813" s="2" t="n">
        <f aca="false">IF(E813="","",IF(ISNUMBER(SEARCH("SUBSOLO",E813)),IFERROR(-VALUE(LEFT(E813,FIND("º",SUBSTITUTE(E813,"°","º"))-1)),-1),IF(LEFT(E813,6)="TÉRREO",0,IFERROR(VALUE(LEFT(E813,FIND("º",SUBSTITUTE(E813,"°","º"))-1)),""))))</f>
        <v>4</v>
      </c>
      <c r="O813" s="2" t="str">
        <f aca="false">IF(OR(F813="",G813=""),"",IF(G813&lt;='RETRATO 2027'!$K$5,"CONCLUÍDA",IF(F813&lt;='RETRATO 2027'!$K$5,"EM ANDAMENTO","A INICIAR")))</f>
        <v>CONCLUÍDA</v>
      </c>
    </row>
    <row r="814" customFormat="false" ht="15" hidden="false" customHeight="false" outlineLevel="0" collapsed="false">
      <c r="B814" s="4" t="n">
        <v>30171504</v>
      </c>
      <c r="C814" s="4" t="s">
        <v>216</v>
      </c>
      <c r="D814" s="4" t="s">
        <v>463</v>
      </c>
      <c r="E814" s="4" t="s">
        <v>2817</v>
      </c>
      <c r="F814" s="127" t="n">
        <v>46688</v>
      </c>
      <c r="G814" s="127" t="n">
        <v>47018</v>
      </c>
      <c r="H814" s="127" t="n">
        <v>46289</v>
      </c>
      <c r="I814" s="4" t="n">
        <v>0</v>
      </c>
      <c r="J814" s="4" t="n">
        <v>0</v>
      </c>
      <c r="K814" s="4" t="n">
        <v>0</v>
      </c>
      <c r="M814" s="2" t="str">
        <f aca="false">IF(C814="","",IFERROR(INDEX($S$5:$S$304,MATCH(C814,$R$5:$R$304,0))&amp;"","?"))</f>
        <v>33</v>
      </c>
      <c r="N814" s="2" t="str">
        <f aca="false">IF(E814="","",IF(ISNUMBER(SEARCH("SUBSOLO",E814)),IFERROR(-VALUE(LEFT(E814,FIND("º",SUBSTITUTE(E814,"°","º"))-1)),-1),IF(LEFT(E814,6)="TÉRREO",0,IFERROR(VALUE(LEFT(E814,FIND("º",SUBSTITUTE(E814,"°","º"))-1)),""))))</f>
        <v/>
      </c>
      <c r="O814" s="2" t="str">
        <f aca="false">IF(OR(F814="",G814=""),"",IF(G814&lt;='RETRATO 2027'!$K$5,"CONCLUÍDA",IF(F814&lt;='RETRATO 2027'!$K$5,"EM ANDAMENTO","A INICIAR")))</f>
        <v>EM ANDAMENTO</v>
      </c>
    </row>
    <row r="815" customFormat="false" ht="15" hidden="false" customHeight="false" outlineLevel="0" collapsed="false">
      <c r="B815" s="4" t="n">
        <v>29981514</v>
      </c>
      <c r="C815" s="4" t="s">
        <v>216</v>
      </c>
      <c r="D815" s="4" t="s">
        <v>463</v>
      </c>
      <c r="E815" s="4" t="s">
        <v>2804</v>
      </c>
      <c r="F815" s="127" t="n">
        <v>46688</v>
      </c>
      <c r="G815" s="127" t="n">
        <v>46701</v>
      </c>
      <c r="H815" s="127" t="n">
        <v>46289</v>
      </c>
      <c r="I815" s="4" t="n">
        <v>0</v>
      </c>
      <c r="J815" s="4" t="n">
        <v>0</v>
      </c>
      <c r="K815" s="4" t="n">
        <v>0</v>
      </c>
      <c r="M815" s="2" t="str">
        <f aca="false">IF(C815="","",IFERROR(INDEX($S$5:$S$304,MATCH(C815,$R$5:$R$304,0))&amp;"","?"))</f>
        <v>33</v>
      </c>
      <c r="N815" s="2" t="n">
        <f aca="false">IF(E815="","",IF(ISNUMBER(SEARCH("SUBSOLO",E815)),IFERROR(-VALUE(LEFT(E815,FIND("º",SUBSTITUTE(E815,"°","º"))-1)),-1),IF(LEFT(E815,6)="TÉRREO",0,IFERROR(VALUE(LEFT(E815,FIND("º",SUBSTITUTE(E815,"°","º"))-1)),""))))</f>
        <v>8</v>
      </c>
      <c r="O815" s="2" t="str">
        <f aca="false">IF(OR(F815="",G815=""),"",IF(G815&lt;='RETRATO 2027'!$K$5,"CONCLUÍDA",IF(F815&lt;='RETRATO 2027'!$K$5,"EM ANDAMENTO","A INICIAR")))</f>
        <v>CONCLUÍDA</v>
      </c>
    </row>
    <row r="816" customFormat="false" ht="15" hidden="false" customHeight="false" outlineLevel="0" collapsed="false">
      <c r="B816" s="4" t="n">
        <v>29981475</v>
      </c>
      <c r="C816" s="4" t="s">
        <v>2508</v>
      </c>
      <c r="D816" s="4" t="s">
        <v>463</v>
      </c>
      <c r="E816" s="4" t="s">
        <v>2805</v>
      </c>
      <c r="F816" s="127" t="n">
        <v>46688</v>
      </c>
      <c r="G816" s="127" t="n">
        <v>46701</v>
      </c>
      <c r="H816" s="127" t="n">
        <v>46289</v>
      </c>
      <c r="I816" s="4" t="n">
        <v>0</v>
      </c>
      <c r="J816" s="4" t="n">
        <v>0</v>
      </c>
      <c r="K816" s="4" t="n">
        <v>0</v>
      </c>
      <c r="M816" s="2" t="str">
        <f aca="false">IF(C816="","",IFERROR(INDEX($S$5:$S$304,MATCH(C816,$R$5:$R$304,0))&amp;"","?"))</f>
        <v>20</v>
      </c>
      <c r="N816" s="2" t="n">
        <f aca="false">IF(E816="","",IF(ISNUMBER(SEARCH("SUBSOLO",E816)),IFERROR(-VALUE(LEFT(E816,FIND("º",SUBSTITUTE(E816,"°","º"))-1)),-1),IF(LEFT(E816,6)="TÉRREO",0,IFERROR(VALUE(LEFT(E816,FIND("º",SUBSTITUTE(E816,"°","º"))-1)),""))))</f>
        <v>9</v>
      </c>
      <c r="O816" s="2" t="str">
        <f aca="false">IF(OR(F816="",G816=""),"",IF(G816&lt;='RETRATO 2027'!$K$5,"CONCLUÍDA",IF(F816&lt;='RETRATO 2027'!$K$5,"EM ANDAMENTO","A INICIAR")))</f>
        <v>CONCLUÍDA</v>
      </c>
    </row>
    <row r="817" customFormat="false" ht="15" hidden="false" customHeight="false" outlineLevel="0" collapsed="false">
      <c r="B817" s="4" t="n">
        <v>29981480</v>
      </c>
      <c r="C817" s="4" t="s">
        <v>2511</v>
      </c>
      <c r="D817" s="4" t="s">
        <v>463</v>
      </c>
      <c r="E817" s="4" t="s">
        <v>2805</v>
      </c>
      <c r="F817" s="127" t="n">
        <v>46688</v>
      </c>
      <c r="G817" s="127" t="n">
        <v>46701</v>
      </c>
      <c r="H817" s="127" t="n">
        <v>46289</v>
      </c>
      <c r="I817" s="4" t="n">
        <v>0</v>
      </c>
      <c r="J817" s="4" t="n">
        <v>0</v>
      </c>
      <c r="K817" s="4" t="n">
        <v>0</v>
      </c>
      <c r="M817" s="2" t="str">
        <f aca="false">IF(C817="","",IFERROR(INDEX($S$5:$S$304,MATCH(C817,$R$5:$R$304,0))&amp;"","?"))</f>
        <v>20</v>
      </c>
      <c r="N817" s="2" t="n">
        <f aca="false">IF(E817="","",IF(ISNUMBER(SEARCH("SUBSOLO",E817)),IFERROR(-VALUE(LEFT(E817,FIND("º",SUBSTITUTE(E817,"°","º"))-1)),-1),IF(LEFT(E817,6)="TÉRREO",0,IFERROR(VALUE(LEFT(E817,FIND("º",SUBSTITUTE(E817,"°","º"))-1)),""))))</f>
        <v>9</v>
      </c>
      <c r="O817" s="2" t="str">
        <f aca="false">IF(OR(F817="",G817=""),"",IF(G817&lt;='RETRATO 2027'!$K$5,"CONCLUÍDA",IF(F817&lt;='RETRATO 2027'!$K$5,"EM ANDAMENTO","A INICIAR")))</f>
        <v>CONCLUÍDA</v>
      </c>
    </row>
    <row r="818" customFormat="false" ht="15" hidden="false" customHeight="false" outlineLevel="0" collapsed="false">
      <c r="B818" s="4" t="n">
        <v>30214071</v>
      </c>
      <c r="C818" s="4" t="s">
        <v>2514</v>
      </c>
      <c r="D818" s="4" t="s">
        <v>463</v>
      </c>
      <c r="E818" s="4" t="s">
        <v>2805</v>
      </c>
      <c r="F818" s="127" t="n">
        <v>46688</v>
      </c>
      <c r="G818" s="127" t="n">
        <v>46702</v>
      </c>
      <c r="H818" s="127" t="n">
        <v>46289</v>
      </c>
      <c r="I818" s="4" t="n">
        <v>0</v>
      </c>
      <c r="J818" s="4" t="n">
        <v>0</v>
      </c>
      <c r="K818" s="4" t="n">
        <v>0</v>
      </c>
      <c r="M818" s="2" t="str">
        <f aca="false">IF(C818="","",IFERROR(INDEX($S$5:$S$304,MATCH(C818,$R$5:$R$304,0))&amp;"","?"))</f>
        <v>20</v>
      </c>
      <c r="N818" s="2" t="n">
        <f aca="false">IF(E818="","",IF(ISNUMBER(SEARCH("SUBSOLO",E818)),IFERROR(-VALUE(LEFT(E818,FIND("º",SUBSTITUTE(E818,"°","º"))-1)),-1),IF(LEFT(E818,6)="TÉRREO",0,IFERROR(VALUE(LEFT(E818,FIND("º",SUBSTITUTE(E818,"°","º"))-1)),""))))</f>
        <v>9</v>
      </c>
      <c r="O818" s="2" t="str">
        <f aca="false">IF(OR(F818="",G818=""),"",IF(G818&lt;='RETRATO 2027'!$K$5,"CONCLUÍDA",IF(F818&lt;='RETRATO 2027'!$K$5,"EM ANDAMENTO","A INICIAR")))</f>
        <v>CONCLUÍDA</v>
      </c>
    </row>
    <row r="819" customFormat="false" ht="15" hidden="false" customHeight="false" outlineLevel="0" collapsed="false">
      <c r="B819" s="4" t="n">
        <v>29981422</v>
      </c>
      <c r="C819" s="4" t="s">
        <v>2501</v>
      </c>
      <c r="D819" s="4" t="s">
        <v>463</v>
      </c>
      <c r="E819" s="4" t="s">
        <v>2809</v>
      </c>
      <c r="F819" s="127" t="n">
        <v>46688</v>
      </c>
      <c r="G819" s="127" t="n">
        <v>46701</v>
      </c>
      <c r="H819" s="127" t="n">
        <v>46289</v>
      </c>
      <c r="I819" s="4" t="n">
        <v>0</v>
      </c>
      <c r="J819" s="4" t="n">
        <v>0</v>
      </c>
      <c r="K819" s="4" t="n">
        <v>0</v>
      </c>
      <c r="M819" s="2" t="str">
        <f aca="false">IF(C819="","",IFERROR(INDEX($S$5:$S$304,MATCH(C819,$R$5:$R$304,0))&amp;"","?"))</f>
        <v>30</v>
      </c>
      <c r="N819" s="2" t="n">
        <f aca="false">IF(E819="","",IF(ISNUMBER(SEARCH("SUBSOLO",E819)),IFERROR(-VALUE(LEFT(E819,FIND("º",SUBSTITUTE(E819,"°","º"))-1)),-1),IF(LEFT(E819,6)="TÉRREO",0,IFERROR(VALUE(LEFT(E819,FIND("º",SUBSTITUTE(E819,"°","º"))-1)),""))))</f>
        <v>10</v>
      </c>
      <c r="O819" s="2" t="str">
        <f aca="false">IF(OR(F819="",G819=""),"",IF(G819&lt;='RETRATO 2027'!$K$5,"CONCLUÍDA",IF(F819&lt;='RETRATO 2027'!$K$5,"EM ANDAMENTO","A INICIAR")))</f>
        <v>CONCLUÍDA</v>
      </c>
    </row>
    <row r="820" customFormat="false" ht="15" hidden="false" customHeight="false" outlineLevel="0" collapsed="false">
      <c r="B820" s="4" t="n">
        <v>29981384</v>
      </c>
      <c r="C820" s="4" t="s">
        <v>2486</v>
      </c>
      <c r="D820" s="4" t="s">
        <v>463</v>
      </c>
      <c r="E820" s="4" t="s">
        <v>2810</v>
      </c>
      <c r="F820" s="127" t="n">
        <v>46688</v>
      </c>
      <c r="G820" s="127" t="n">
        <v>46701</v>
      </c>
      <c r="H820" s="127" t="n">
        <v>46289</v>
      </c>
      <c r="I820" s="4" t="n">
        <v>0</v>
      </c>
      <c r="J820" s="4" t="n">
        <v>0</v>
      </c>
      <c r="K820" s="4" t="n">
        <v>0</v>
      </c>
      <c r="M820" s="2" t="str">
        <f aca="false">IF(C820="","",IFERROR(INDEX($S$5:$S$304,MATCH(C820,$R$5:$R$304,0))&amp;"","?"))</f>
        <v>30</v>
      </c>
      <c r="N820" s="2" t="n">
        <f aca="false">IF(E820="","",IF(ISNUMBER(SEARCH("SUBSOLO",E820)),IFERROR(-VALUE(LEFT(E820,FIND("º",SUBSTITUTE(E820,"°","º"))-1)),-1),IF(LEFT(E820,6)="TÉRREO",0,IFERROR(VALUE(LEFT(E820,FIND("º",SUBSTITUTE(E820,"°","º"))-1)),""))))</f>
        <v>11</v>
      </c>
      <c r="O820" s="2" t="str">
        <f aca="false">IF(OR(F820="",G820=""),"",IF(G820&lt;='RETRATO 2027'!$K$5,"CONCLUÍDA",IF(F820&lt;='RETRATO 2027'!$K$5,"EM ANDAMENTO","A INICIAR")))</f>
        <v>CONCLUÍDA</v>
      </c>
    </row>
    <row r="821" customFormat="false" ht="15" hidden="false" customHeight="false" outlineLevel="0" collapsed="false">
      <c r="B821" s="4" t="n">
        <v>29981363</v>
      </c>
      <c r="C821" s="4" t="s">
        <v>2480</v>
      </c>
      <c r="D821" s="4" t="s">
        <v>463</v>
      </c>
      <c r="E821" s="4" t="s">
        <v>2811</v>
      </c>
      <c r="F821" s="127" t="n">
        <v>46688</v>
      </c>
      <c r="G821" s="127" t="n">
        <v>46701</v>
      </c>
      <c r="H821" s="127" t="n">
        <v>46289</v>
      </c>
      <c r="I821" s="4" t="n">
        <v>0</v>
      </c>
      <c r="J821" s="4" t="n">
        <v>0</v>
      </c>
      <c r="K821" s="4" t="n">
        <v>0</v>
      </c>
      <c r="M821" s="2" t="str">
        <f aca="false">IF(C821="","",IFERROR(INDEX($S$5:$S$304,MATCH(C821,$R$5:$R$304,0))&amp;"","?"))</f>
        <v>30</v>
      </c>
      <c r="N821" s="2" t="n">
        <f aca="false">IF(E821="","",IF(ISNUMBER(SEARCH("SUBSOLO",E821)),IFERROR(-VALUE(LEFT(E821,FIND("º",SUBSTITUTE(E821,"°","º"))-1)),-1),IF(LEFT(E821,6)="TÉRREO",0,IFERROR(VALUE(LEFT(E821,FIND("º",SUBSTITUTE(E821,"°","º"))-1)),""))))</f>
        <v>12</v>
      </c>
      <c r="O821" s="2" t="str">
        <f aca="false">IF(OR(F821="",G821=""),"",IF(G821&lt;='RETRATO 2027'!$K$5,"CONCLUÍDA",IF(F821&lt;='RETRATO 2027'!$K$5,"EM ANDAMENTO","A INICIAR")))</f>
        <v>CONCLUÍDA</v>
      </c>
    </row>
    <row r="822" customFormat="false" ht="15" hidden="false" customHeight="false" outlineLevel="0" collapsed="false">
      <c r="B822" s="4" t="n">
        <v>29981324</v>
      </c>
      <c r="C822" s="4" t="s">
        <v>171</v>
      </c>
      <c r="D822" s="4" t="s">
        <v>463</v>
      </c>
      <c r="E822" s="4" t="s">
        <v>2812</v>
      </c>
      <c r="F822" s="127" t="n">
        <v>46688</v>
      </c>
      <c r="G822" s="127" t="n">
        <v>46701</v>
      </c>
      <c r="H822" s="127" t="n">
        <v>46289</v>
      </c>
      <c r="I822" s="4" t="n">
        <v>0</v>
      </c>
      <c r="J822" s="4" t="n">
        <v>0</v>
      </c>
      <c r="K822" s="4" t="n">
        <v>0</v>
      </c>
      <c r="M822" s="2" t="str">
        <f aca="false">IF(C822="","",IFERROR(INDEX($S$5:$S$304,MATCH(C822,$R$5:$R$304,0))&amp;"","?"))</f>
        <v>19</v>
      </c>
      <c r="N822" s="2" t="n">
        <f aca="false">IF(E822="","",IF(ISNUMBER(SEARCH("SUBSOLO",E822)),IFERROR(-VALUE(LEFT(E822,FIND("º",SUBSTITUTE(E822,"°","º"))-1)),-1),IF(LEFT(E822,6)="TÉRREO",0,IFERROR(VALUE(LEFT(E822,FIND("º",SUBSTITUTE(E822,"°","º"))-1)),""))))</f>
        <v>13</v>
      </c>
      <c r="O822" s="2" t="str">
        <f aca="false">IF(OR(F822="",G822=""),"",IF(G822&lt;='RETRATO 2027'!$K$5,"CONCLUÍDA",IF(F822&lt;='RETRATO 2027'!$K$5,"EM ANDAMENTO","A INICIAR")))</f>
        <v>CONCLUÍDA</v>
      </c>
    </row>
    <row r="823" customFormat="false" ht="15" hidden="false" customHeight="false" outlineLevel="0" collapsed="false">
      <c r="B823" s="4" t="n">
        <v>32750440</v>
      </c>
      <c r="C823" s="4" t="s">
        <v>2470</v>
      </c>
      <c r="D823" s="4" t="s">
        <v>463</v>
      </c>
      <c r="E823" s="4" t="s">
        <v>2813</v>
      </c>
      <c r="F823" s="127" t="n">
        <v>46688</v>
      </c>
      <c r="G823" s="127" t="n">
        <v>46701</v>
      </c>
      <c r="H823" s="127" t="n">
        <v>46289</v>
      </c>
      <c r="I823" s="4" t="n">
        <v>0</v>
      </c>
      <c r="J823" s="4" t="n">
        <v>0</v>
      </c>
      <c r="K823" s="4" t="n">
        <v>0</v>
      </c>
      <c r="M823" s="2" t="str">
        <f aca="false">IF(C823="","",IFERROR(INDEX($S$5:$S$304,MATCH(C823,$R$5:$R$304,0))&amp;"","?"))</f>
        <v>18</v>
      </c>
      <c r="N823" s="2" t="n">
        <f aca="false">IF(E823="","",IF(ISNUMBER(SEARCH("SUBSOLO",E823)),IFERROR(-VALUE(LEFT(E823,FIND("º",SUBSTITUTE(E823,"°","º"))-1)),-1),IF(LEFT(E823,6)="TÉRREO",0,IFERROR(VALUE(LEFT(E823,FIND("º",SUBSTITUTE(E823,"°","º"))-1)),""))))</f>
        <v>14</v>
      </c>
      <c r="O823" s="2" t="str">
        <f aca="false">IF(OR(F823="",G823=""),"",IF(G823&lt;='RETRATO 2027'!$K$5,"CONCLUÍDA",IF(F823&lt;='RETRATO 2027'!$K$5,"EM ANDAMENTO","A INICIAR")))</f>
        <v>CONCLUÍDA</v>
      </c>
    </row>
    <row r="824" customFormat="false" ht="15" hidden="false" customHeight="false" outlineLevel="0" collapsed="false">
      <c r="B824" s="4" t="n">
        <v>32750363</v>
      </c>
      <c r="C824" s="4" t="s">
        <v>2458</v>
      </c>
      <c r="D824" s="4" t="s">
        <v>463</v>
      </c>
      <c r="E824" s="4" t="s">
        <v>2814</v>
      </c>
      <c r="F824" s="127" t="n">
        <v>46688</v>
      </c>
      <c r="G824" s="127" t="n">
        <v>46701</v>
      </c>
      <c r="H824" s="127" t="n">
        <v>46289</v>
      </c>
      <c r="I824" s="4" t="n">
        <v>0</v>
      </c>
      <c r="J824" s="4" t="n">
        <v>0</v>
      </c>
      <c r="K824" s="4" t="n">
        <v>0</v>
      </c>
      <c r="M824" s="2" t="str">
        <f aca="false">IF(C824="","",IFERROR(INDEX($S$5:$S$304,MATCH(C824,$R$5:$R$304,0))&amp;"","?"))</f>
        <v>21</v>
      </c>
      <c r="N824" s="2" t="n">
        <f aca="false">IF(E824="","",IF(ISNUMBER(SEARCH("SUBSOLO",E824)),IFERROR(-VALUE(LEFT(E824,FIND("º",SUBSTITUTE(E824,"°","º"))-1)),-1),IF(LEFT(E824,6)="TÉRREO",0,IFERROR(VALUE(LEFT(E824,FIND("º",SUBSTITUTE(E824,"°","º"))-1)),""))))</f>
        <v>15</v>
      </c>
      <c r="O824" s="2" t="str">
        <f aca="false">IF(OR(F824="",G824=""),"",IF(G824&lt;='RETRATO 2027'!$K$5,"CONCLUÍDA",IF(F824&lt;='RETRATO 2027'!$K$5,"EM ANDAMENTO","A INICIAR")))</f>
        <v>CONCLUÍDA</v>
      </c>
    </row>
    <row r="825" customFormat="false" ht="15" hidden="false" customHeight="false" outlineLevel="0" collapsed="false">
      <c r="B825" s="4" t="n">
        <v>32750389</v>
      </c>
      <c r="C825" s="4" t="s">
        <v>2461</v>
      </c>
      <c r="D825" s="4" t="s">
        <v>463</v>
      </c>
      <c r="E825" s="4" t="s">
        <v>2814</v>
      </c>
      <c r="F825" s="127" t="n">
        <v>46688</v>
      </c>
      <c r="G825" s="127" t="n">
        <v>46701</v>
      </c>
      <c r="H825" s="127" t="n">
        <v>46289</v>
      </c>
      <c r="I825" s="4" t="n">
        <v>0</v>
      </c>
      <c r="J825" s="4" t="n">
        <v>0</v>
      </c>
      <c r="K825" s="4" t="n">
        <v>0</v>
      </c>
      <c r="M825" s="2" t="str">
        <f aca="false">IF(C825="","",IFERROR(INDEX($S$5:$S$304,MATCH(C825,$R$5:$R$304,0))&amp;"","?"))</f>
        <v>20</v>
      </c>
      <c r="N825" s="2" t="n">
        <f aca="false">IF(E825="","",IF(ISNUMBER(SEARCH("SUBSOLO",E825)),IFERROR(-VALUE(LEFT(E825,FIND("º",SUBSTITUTE(E825,"°","º"))-1)),-1),IF(LEFT(E825,6)="TÉRREO",0,IFERROR(VALUE(LEFT(E825,FIND("º",SUBSTITUTE(E825,"°","º"))-1)),""))))</f>
        <v>15</v>
      </c>
      <c r="O825" s="2" t="str">
        <f aca="false">IF(OR(F825="",G825=""),"",IF(G825&lt;='RETRATO 2027'!$K$5,"CONCLUÍDA",IF(F825&lt;='RETRATO 2027'!$K$5,"EM ANDAMENTO","A INICIAR")))</f>
        <v>CONCLUÍDA</v>
      </c>
    </row>
    <row r="826" customFormat="false" ht="15" hidden="false" customHeight="false" outlineLevel="0" collapsed="false">
      <c r="B826" s="4" t="n">
        <v>32750415</v>
      </c>
      <c r="C826" s="4" t="s">
        <v>2464</v>
      </c>
      <c r="D826" s="4" t="s">
        <v>463</v>
      </c>
      <c r="E826" s="4" t="s">
        <v>2814</v>
      </c>
      <c r="F826" s="127" t="n">
        <v>46688</v>
      </c>
      <c r="G826" s="127" t="n">
        <v>46701</v>
      </c>
      <c r="H826" s="127" t="n">
        <v>46289</v>
      </c>
      <c r="I826" s="4" t="n">
        <v>0</v>
      </c>
      <c r="J826" s="4" t="n">
        <v>0</v>
      </c>
      <c r="K826" s="4" t="n">
        <v>0</v>
      </c>
      <c r="M826" s="2" t="str">
        <f aca="false">IF(C826="","",IFERROR(INDEX($S$5:$S$304,MATCH(C826,$R$5:$R$304,0))&amp;"","?"))</f>
        <v>21</v>
      </c>
      <c r="N826" s="2" t="n">
        <f aca="false">IF(E826="","",IF(ISNUMBER(SEARCH("SUBSOLO",E826)),IFERROR(-VALUE(LEFT(E826,FIND("º",SUBSTITUTE(E826,"°","º"))-1)),-1),IF(LEFT(E826,6)="TÉRREO",0,IFERROR(VALUE(LEFT(E826,FIND("º",SUBSTITUTE(E826,"°","º"))-1)),""))))</f>
        <v>15</v>
      </c>
      <c r="O826" s="2" t="str">
        <f aca="false">IF(OR(F826="",G826=""),"",IF(G826&lt;='RETRATO 2027'!$K$5,"CONCLUÍDA",IF(F826&lt;='RETRATO 2027'!$K$5,"EM ANDAMENTO","A INICIAR")))</f>
        <v>CONCLUÍDA</v>
      </c>
    </row>
    <row r="827" customFormat="false" ht="15" hidden="false" customHeight="false" outlineLevel="0" collapsed="false">
      <c r="B827" s="4" t="n">
        <v>33896833</v>
      </c>
      <c r="C827" s="4" t="s">
        <v>2467</v>
      </c>
      <c r="D827" s="4" t="s">
        <v>463</v>
      </c>
      <c r="E827" s="4" t="s">
        <v>2814</v>
      </c>
      <c r="F827" s="127" t="n">
        <v>46688</v>
      </c>
      <c r="G827" s="127" t="n">
        <v>46701</v>
      </c>
      <c r="H827" s="127" t="n">
        <v>46289</v>
      </c>
      <c r="I827" s="4" t="n">
        <v>0</v>
      </c>
      <c r="J827" s="4" t="n">
        <v>0</v>
      </c>
      <c r="K827" s="4" t="n">
        <v>0</v>
      </c>
      <c r="M827" s="2" t="str">
        <f aca="false">IF(C827="","",IFERROR(INDEX($S$5:$S$304,MATCH(C827,$R$5:$R$304,0))&amp;"","?"))</f>
        <v>23</v>
      </c>
      <c r="N827" s="2" t="n">
        <f aca="false">IF(E827="","",IF(ISNUMBER(SEARCH("SUBSOLO",E827)),IFERROR(-VALUE(LEFT(E827,FIND("º",SUBSTITUTE(E827,"°","º"))-1)),-1),IF(LEFT(E827,6)="TÉRREO",0,IFERROR(VALUE(LEFT(E827,FIND("º",SUBSTITUTE(E827,"°","º"))-1)),""))))</f>
        <v>15</v>
      </c>
      <c r="O827" s="2" t="str">
        <f aca="false">IF(OR(F827="",G827=""),"",IF(G827&lt;='RETRATO 2027'!$K$5,"CONCLUÍDA",IF(F827&lt;='RETRATO 2027'!$K$5,"EM ANDAMENTO","A INICIAR")))</f>
        <v>CONCLUÍDA</v>
      </c>
    </row>
    <row r="828" customFormat="false" ht="15" hidden="false" customHeight="false" outlineLevel="0" collapsed="false">
      <c r="B828" s="4" t="n">
        <v>32749859</v>
      </c>
      <c r="C828" s="4" t="s">
        <v>2455</v>
      </c>
      <c r="D828" s="4" t="s">
        <v>463</v>
      </c>
      <c r="E828" s="4" t="s">
        <v>2815</v>
      </c>
      <c r="F828" s="127" t="n">
        <v>46688</v>
      </c>
      <c r="G828" s="127" t="n">
        <v>46701</v>
      </c>
      <c r="H828" s="127" t="n">
        <v>46289</v>
      </c>
      <c r="I828" s="4" t="n">
        <v>0</v>
      </c>
      <c r="J828" s="4" t="n">
        <v>0</v>
      </c>
      <c r="K828" s="4" t="n">
        <v>0</v>
      </c>
      <c r="M828" s="2" t="str">
        <f aca="false">IF(C828="","",IFERROR(INDEX($S$5:$S$304,MATCH(C828,$R$5:$R$304,0))&amp;"","?"))</f>
        <v>18</v>
      </c>
      <c r="N828" s="2" t="n">
        <f aca="false">IF(E828="","",IF(ISNUMBER(SEARCH("SUBSOLO",E828)),IFERROR(-VALUE(LEFT(E828,FIND("º",SUBSTITUTE(E828,"°","º"))-1)),-1),IF(LEFT(E828,6)="TÉRREO",0,IFERROR(VALUE(LEFT(E828,FIND("º",SUBSTITUTE(E828,"°","º"))-1)),""))))</f>
        <v>16</v>
      </c>
      <c r="O828" s="2" t="str">
        <f aca="false">IF(OR(F828="",G828=""),"",IF(G828&lt;='RETRATO 2027'!$K$5,"CONCLUÍDA",IF(F828&lt;='RETRATO 2027'!$K$5,"EM ANDAMENTO","A INICIAR")))</f>
        <v>CONCLUÍDA</v>
      </c>
    </row>
    <row r="829" customFormat="false" ht="15" hidden="false" customHeight="false" outlineLevel="0" collapsed="false">
      <c r="B829" s="4" t="n">
        <v>29981177</v>
      </c>
      <c r="C829" s="4" t="s">
        <v>2449</v>
      </c>
      <c r="D829" s="4" t="s">
        <v>463</v>
      </c>
      <c r="E829" s="4" t="s">
        <v>2818</v>
      </c>
      <c r="F829" s="127" t="n">
        <v>46688</v>
      </c>
      <c r="G829" s="127" t="n">
        <v>46701</v>
      </c>
      <c r="H829" s="127" t="n">
        <v>46289</v>
      </c>
      <c r="I829" s="4" t="n">
        <v>0</v>
      </c>
      <c r="J829" s="4" t="n">
        <v>0</v>
      </c>
      <c r="K829" s="4" t="n">
        <v>0</v>
      </c>
      <c r="M829" s="2" t="str">
        <f aca="false">IF(C829="","",IFERROR(INDEX($S$5:$S$304,MATCH(C829,$R$5:$R$304,0))&amp;"","?"))</f>
        <v>28</v>
      </c>
      <c r="N829" s="2" t="n">
        <f aca="false">IF(E829="","",IF(ISNUMBER(SEARCH("SUBSOLO",E829)),IFERROR(-VALUE(LEFT(E829,FIND("º",SUBSTITUTE(E829,"°","º"))-1)),-1),IF(LEFT(E829,6)="TÉRREO",0,IFERROR(VALUE(LEFT(E829,FIND("º",SUBSTITUTE(E829,"°","º"))-1)),""))))</f>
        <v>17</v>
      </c>
      <c r="O829" s="2" t="str">
        <f aca="false">IF(OR(F829="",G829=""),"",IF(G829&lt;='RETRATO 2027'!$K$5,"CONCLUÍDA",IF(F829&lt;='RETRATO 2027'!$K$5,"EM ANDAMENTO","A INICIAR")))</f>
        <v>CONCLUÍDA</v>
      </c>
    </row>
    <row r="830" customFormat="false" ht="15" hidden="false" customHeight="false" outlineLevel="0" collapsed="false">
      <c r="B830" s="4" t="n">
        <v>29981117</v>
      </c>
      <c r="C830" s="4" t="s">
        <v>2440</v>
      </c>
      <c r="D830" s="4" t="s">
        <v>463</v>
      </c>
      <c r="E830" s="4" t="s">
        <v>2820</v>
      </c>
      <c r="F830" s="127" t="n">
        <v>46688</v>
      </c>
      <c r="G830" s="127" t="n">
        <v>46701</v>
      </c>
      <c r="H830" s="127" t="n">
        <v>46289</v>
      </c>
      <c r="I830" s="4" t="n">
        <v>0</v>
      </c>
      <c r="J830" s="4" t="n">
        <v>0</v>
      </c>
      <c r="K830" s="4" t="n">
        <v>0</v>
      </c>
      <c r="M830" s="2" t="str">
        <f aca="false">IF(C830="","",IFERROR(INDEX($S$5:$S$304,MATCH(C830,$R$5:$R$304,0))&amp;"","?"))</f>
        <v>21</v>
      </c>
      <c r="N830" s="2" t="n">
        <f aca="false">IF(E830="","",IF(ISNUMBER(SEARCH("SUBSOLO",E830)),IFERROR(-VALUE(LEFT(E830,FIND("º",SUBSTITUTE(E830,"°","º"))-1)),-1),IF(LEFT(E830,6)="TÉRREO",0,IFERROR(VALUE(LEFT(E830,FIND("º",SUBSTITUTE(E830,"°","º"))-1)),""))))</f>
        <v>18</v>
      </c>
      <c r="O830" s="2" t="str">
        <f aca="false">IF(OR(F830="",G830=""),"",IF(G830&lt;='RETRATO 2027'!$K$5,"CONCLUÍDA",IF(F830&lt;='RETRATO 2027'!$K$5,"EM ANDAMENTO","A INICIAR")))</f>
        <v>CONCLUÍDA</v>
      </c>
    </row>
    <row r="831" customFormat="false" ht="15" hidden="false" customHeight="false" outlineLevel="0" collapsed="false">
      <c r="B831" s="4" t="n">
        <v>29981150</v>
      </c>
      <c r="C831" s="4" t="s">
        <v>2443</v>
      </c>
      <c r="D831" s="4" t="s">
        <v>463</v>
      </c>
      <c r="E831" s="4" t="s">
        <v>2820</v>
      </c>
      <c r="F831" s="127" t="n">
        <v>46688</v>
      </c>
      <c r="G831" s="127" t="n">
        <v>46701</v>
      </c>
      <c r="H831" s="127" t="n">
        <v>46289</v>
      </c>
      <c r="I831" s="4" t="n">
        <v>0</v>
      </c>
      <c r="J831" s="4" t="n">
        <v>0</v>
      </c>
      <c r="K831" s="4" t="n">
        <v>0</v>
      </c>
      <c r="M831" s="2" t="str">
        <f aca="false">IF(C831="","",IFERROR(INDEX($S$5:$S$304,MATCH(C831,$R$5:$R$304,0))&amp;"","?"))</f>
        <v>20</v>
      </c>
      <c r="N831" s="2" t="n">
        <f aca="false">IF(E831="","",IF(ISNUMBER(SEARCH("SUBSOLO",E831)),IFERROR(-VALUE(LEFT(E831,FIND("º",SUBSTITUTE(E831,"°","º"))-1)),-1),IF(LEFT(E831,6)="TÉRREO",0,IFERROR(VALUE(LEFT(E831,FIND("º",SUBSTITUTE(E831,"°","º"))-1)),""))))</f>
        <v>18</v>
      </c>
      <c r="O831" s="2" t="str">
        <f aca="false">IF(OR(F831="",G831=""),"",IF(G831&lt;='RETRATO 2027'!$K$5,"CONCLUÍDA",IF(F831&lt;='RETRATO 2027'!$K$5,"EM ANDAMENTO","A INICIAR")))</f>
        <v>CONCLUÍDA</v>
      </c>
    </row>
    <row r="832" customFormat="false" ht="15" hidden="false" customHeight="false" outlineLevel="0" collapsed="false">
      <c r="B832" s="4" t="n">
        <v>29981042</v>
      </c>
      <c r="C832" s="4" t="s">
        <v>2437</v>
      </c>
      <c r="D832" s="4" t="s">
        <v>463</v>
      </c>
      <c r="E832" s="4" t="s">
        <v>2823</v>
      </c>
      <c r="F832" s="127" t="n">
        <v>46688</v>
      </c>
      <c r="G832" s="127" t="n">
        <v>46701</v>
      </c>
      <c r="H832" s="127" t="n">
        <v>46289</v>
      </c>
      <c r="I832" s="4" t="n">
        <v>0</v>
      </c>
      <c r="J832" s="4" t="n">
        <v>0</v>
      </c>
      <c r="K832" s="4" t="n">
        <v>0</v>
      </c>
      <c r="M832" s="2" t="str">
        <f aca="false">IF(C832="","",IFERROR(INDEX($S$5:$S$304,MATCH(C832,$R$5:$R$304,0))&amp;"","?"))</f>
        <v>29</v>
      </c>
      <c r="N832" s="2" t="n">
        <f aca="false">IF(E832="","",IF(ISNUMBER(SEARCH("SUBSOLO",E832)),IFERROR(-VALUE(LEFT(E832,FIND("º",SUBSTITUTE(E832,"°","º"))-1)),-1),IF(LEFT(E832,6)="TÉRREO",0,IFERROR(VALUE(LEFT(E832,FIND("º",SUBSTITUTE(E832,"°","º"))-1)),""))))</f>
        <v>20</v>
      </c>
      <c r="O832" s="2" t="str">
        <f aca="false">IF(OR(F832="",G832=""),"",IF(G832&lt;='RETRATO 2027'!$K$5,"CONCLUÍDA",IF(F832&lt;='RETRATO 2027'!$K$5,"EM ANDAMENTO","A INICIAR")))</f>
        <v>CONCLUÍDA</v>
      </c>
    </row>
    <row r="833" customFormat="false" ht="15" hidden="false" customHeight="false" outlineLevel="0" collapsed="false">
      <c r="B833" s="4" t="n">
        <v>29981008</v>
      </c>
      <c r="C833" s="4" t="s">
        <v>2434</v>
      </c>
      <c r="D833" s="4" t="s">
        <v>463</v>
      </c>
      <c r="E833" s="4" t="s">
        <v>2825</v>
      </c>
      <c r="F833" s="127" t="n">
        <v>46688</v>
      </c>
      <c r="G833" s="127" t="n">
        <v>46701</v>
      </c>
      <c r="H833" s="127" t="n">
        <v>46289</v>
      </c>
      <c r="I833" s="4" t="n">
        <v>0</v>
      </c>
      <c r="J833" s="4" t="n">
        <v>0</v>
      </c>
      <c r="K833" s="4" t="n">
        <v>0</v>
      </c>
      <c r="M833" s="2" t="str">
        <f aca="false">IF(C833="","",IFERROR(INDEX($S$5:$S$304,MATCH(C833,$R$5:$R$304,0))&amp;"","?"))</f>
        <v>25</v>
      </c>
      <c r="N833" s="2" t="n">
        <f aca="false">IF(E833="","",IF(ISNUMBER(SEARCH("SUBSOLO",E833)),IFERROR(-VALUE(LEFT(E833,FIND("º",SUBSTITUTE(E833,"°","º"))-1)),-1),IF(LEFT(E833,6)="TÉRREO",0,IFERROR(VALUE(LEFT(E833,FIND("º",SUBSTITUTE(E833,"°","º"))-1)),""))))</f>
        <v>21</v>
      </c>
      <c r="O833" s="2" t="str">
        <f aca="false">IF(OR(F833="",G833=""),"",IF(G833&lt;='RETRATO 2027'!$K$5,"CONCLUÍDA",IF(F833&lt;='RETRATO 2027'!$K$5,"EM ANDAMENTO","A INICIAR")))</f>
        <v>CONCLUÍDA</v>
      </c>
    </row>
    <row r="834" customFormat="false" ht="15" hidden="false" customHeight="false" outlineLevel="0" collapsed="false">
      <c r="B834" s="4" t="n">
        <v>29981001</v>
      </c>
      <c r="C834" s="4" t="s">
        <v>2425</v>
      </c>
      <c r="D834" s="4" t="s">
        <v>463</v>
      </c>
      <c r="E834" s="4" t="s">
        <v>2827</v>
      </c>
      <c r="F834" s="127" t="n">
        <v>46688</v>
      </c>
      <c r="G834" s="127" t="n">
        <v>46701</v>
      </c>
      <c r="H834" s="127" t="n">
        <v>46289</v>
      </c>
      <c r="I834" s="4" t="n">
        <v>0</v>
      </c>
      <c r="J834" s="4" t="n">
        <v>0</v>
      </c>
      <c r="K834" s="4" t="n">
        <v>0</v>
      </c>
      <c r="M834" s="2" t="str">
        <f aca="false">IF(C834="","",IFERROR(INDEX($S$5:$S$304,MATCH(C834,$R$5:$R$304,0))&amp;"","?"))</f>
        <v>21</v>
      </c>
      <c r="N834" s="2" t="n">
        <f aca="false">IF(E834="","",IF(ISNUMBER(SEARCH("SUBSOLO",E834)),IFERROR(-VALUE(LEFT(E834,FIND("º",SUBSTITUTE(E834,"°","º"))-1)),-1),IF(LEFT(E834,6)="TÉRREO",0,IFERROR(VALUE(LEFT(E834,FIND("º",SUBSTITUTE(E834,"°","º"))-1)),""))))</f>
        <v>22</v>
      </c>
      <c r="O834" s="2" t="str">
        <f aca="false">IF(OR(F834="",G834=""),"",IF(G834&lt;='RETRATO 2027'!$K$5,"CONCLUÍDA",IF(F834&lt;='RETRATO 2027'!$K$5,"EM ANDAMENTO","A INICIAR")))</f>
        <v>CONCLUÍDA</v>
      </c>
    </row>
    <row r="835" customFormat="false" ht="15" hidden="false" customHeight="false" outlineLevel="0" collapsed="false">
      <c r="B835" s="4" t="n">
        <v>29980970</v>
      </c>
      <c r="C835" s="4" t="s">
        <v>2428</v>
      </c>
      <c r="D835" s="4" t="s">
        <v>463</v>
      </c>
      <c r="E835" s="4" t="s">
        <v>2827</v>
      </c>
      <c r="F835" s="127" t="n">
        <v>46688</v>
      </c>
      <c r="G835" s="127" t="n">
        <v>46701</v>
      </c>
      <c r="H835" s="127" t="n">
        <v>46289</v>
      </c>
      <c r="I835" s="4" t="n">
        <v>0</v>
      </c>
      <c r="J835" s="4" t="n">
        <v>0</v>
      </c>
      <c r="K835" s="4" t="n">
        <v>0</v>
      </c>
      <c r="M835" s="2" t="str">
        <f aca="false">IF(C835="","",IFERROR(INDEX($S$5:$S$304,MATCH(C835,$R$5:$R$304,0))&amp;"","?"))</f>
        <v>20</v>
      </c>
      <c r="N835" s="2" t="n">
        <f aca="false">IF(E835="","",IF(ISNUMBER(SEARCH("SUBSOLO",E835)),IFERROR(-VALUE(LEFT(E835,FIND("º",SUBSTITUTE(E835,"°","º"))-1)),-1),IF(LEFT(E835,6)="TÉRREO",0,IFERROR(VALUE(LEFT(E835,FIND("º",SUBSTITUTE(E835,"°","º"))-1)),""))))</f>
        <v>22</v>
      </c>
      <c r="O835" s="2" t="str">
        <f aca="false">IF(OR(F835="",G835=""),"",IF(G835&lt;='RETRATO 2027'!$K$5,"CONCLUÍDA",IF(F835&lt;='RETRATO 2027'!$K$5,"EM ANDAMENTO","A INICIAR")))</f>
        <v>CONCLUÍDA</v>
      </c>
    </row>
    <row r="836" customFormat="false" ht="15" hidden="false" customHeight="false" outlineLevel="0" collapsed="false">
      <c r="B836" s="4" t="n">
        <v>29981003</v>
      </c>
      <c r="C836" s="4" t="s">
        <v>2431</v>
      </c>
      <c r="D836" s="4" t="s">
        <v>463</v>
      </c>
      <c r="E836" s="4" t="s">
        <v>2827</v>
      </c>
      <c r="F836" s="127" t="n">
        <v>46688</v>
      </c>
      <c r="G836" s="127" t="n">
        <v>46701</v>
      </c>
      <c r="H836" s="127" t="n">
        <v>46289</v>
      </c>
      <c r="I836" s="4" t="n">
        <v>0</v>
      </c>
      <c r="J836" s="4" t="n">
        <v>0</v>
      </c>
      <c r="K836" s="4" t="n">
        <v>0</v>
      </c>
      <c r="M836" s="2" t="str">
        <f aca="false">IF(C836="","",IFERROR(INDEX($S$5:$S$304,MATCH(C836,$R$5:$R$304,0))&amp;"","?"))</f>
        <v>21</v>
      </c>
      <c r="N836" s="2" t="n">
        <f aca="false">IF(E836="","",IF(ISNUMBER(SEARCH("SUBSOLO",E836)),IFERROR(-VALUE(LEFT(E836,FIND("º",SUBSTITUTE(E836,"°","º"))-1)),-1),IF(LEFT(E836,6)="TÉRREO",0,IFERROR(VALUE(LEFT(E836,FIND("º",SUBSTITUTE(E836,"°","º"))-1)),""))))</f>
        <v>22</v>
      </c>
      <c r="O836" s="2" t="str">
        <f aca="false">IF(OR(F836="",G836=""),"",IF(G836&lt;='RETRATO 2027'!$K$5,"CONCLUÍDA",IF(F836&lt;='RETRATO 2027'!$K$5,"EM ANDAMENTO","A INICIAR")))</f>
        <v>CONCLUÍDA</v>
      </c>
    </row>
    <row r="837" customFormat="false" ht="15" hidden="false" customHeight="false" outlineLevel="0" collapsed="false">
      <c r="B837" s="4" t="n">
        <v>29980950</v>
      </c>
      <c r="C837" s="4" t="s">
        <v>2422</v>
      </c>
      <c r="D837" s="4" t="s">
        <v>463</v>
      </c>
      <c r="E837" s="4" t="s">
        <v>2829</v>
      </c>
      <c r="F837" s="127" t="n">
        <v>46688</v>
      </c>
      <c r="G837" s="127" t="n">
        <v>46701</v>
      </c>
      <c r="H837" s="127" t="n">
        <v>46289</v>
      </c>
      <c r="I837" s="4" t="n">
        <v>0</v>
      </c>
      <c r="J837" s="4" t="n">
        <v>0</v>
      </c>
      <c r="K837" s="4" t="n">
        <v>0</v>
      </c>
      <c r="M837" s="2" t="str">
        <f aca="false">IF(C837="","",IFERROR(INDEX($S$5:$S$304,MATCH(C837,$R$5:$R$304,0))&amp;"","?"))</f>
        <v>29</v>
      </c>
      <c r="N837" s="2" t="n">
        <f aca="false">IF(E837="","",IF(ISNUMBER(SEARCH("SUBSOLO",E837)),IFERROR(-VALUE(LEFT(E837,FIND("º",SUBSTITUTE(E837,"°","º"))-1)),-1),IF(LEFT(E837,6)="TÉRREO",0,IFERROR(VALUE(LEFT(E837,FIND("º",SUBSTITUTE(E837,"°","º"))-1)),""))))</f>
        <v>23</v>
      </c>
      <c r="O837" s="2" t="str">
        <f aca="false">IF(OR(F837="",G837=""),"",IF(G837&lt;='RETRATO 2027'!$K$5,"CONCLUÍDA",IF(F837&lt;='RETRATO 2027'!$K$5,"EM ANDAMENTO","A INICIAR")))</f>
        <v>CONCLUÍDA</v>
      </c>
    </row>
    <row r="838" customFormat="false" ht="15" hidden="false" customHeight="false" outlineLevel="0" collapsed="false">
      <c r="B838" s="4" t="n">
        <v>29980916</v>
      </c>
      <c r="C838" s="4" t="s">
        <v>2413</v>
      </c>
      <c r="D838" s="4" t="s">
        <v>463</v>
      </c>
      <c r="E838" s="4" t="s">
        <v>2831</v>
      </c>
      <c r="F838" s="127" t="n">
        <v>46688</v>
      </c>
      <c r="G838" s="127" t="n">
        <v>46701</v>
      </c>
      <c r="H838" s="127" t="n">
        <v>46289</v>
      </c>
      <c r="I838" s="4" t="n">
        <v>0</v>
      </c>
      <c r="J838" s="4" t="n">
        <v>0</v>
      </c>
      <c r="K838" s="4" t="n">
        <v>0</v>
      </c>
      <c r="M838" s="2" t="str">
        <f aca="false">IF(C838="","",IFERROR(INDEX($S$5:$S$304,MATCH(C838,$R$5:$R$304,0))&amp;"","?"))</f>
        <v>21</v>
      </c>
      <c r="N838" s="2" t="n">
        <f aca="false">IF(E838="","",IF(ISNUMBER(SEARCH("SUBSOLO",E838)),IFERROR(-VALUE(LEFT(E838,FIND("º",SUBSTITUTE(E838,"°","º"))-1)),-1),IF(LEFT(E838,6)="TÉRREO",0,IFERROR(VALUE(LEFT(E838,FIND("º",SUBSTITUTE(E838,"°","º"))-1)),""))))</f>
        <v>24</v>
      </c>
      <c r="O838" s="2" t="str">
        <f aca="false">IF(OR(F838="",G838=""),"",IF(G838&lt;='RETRATO 2027'!$K$5,"CONCLUÍDA",IF(F838&lt;='RETRATO 2027'!$K$5,"EM ANDAMENTO","A INICIAR")))</f>
        <v>CONCLUÍDA</v>
      </c>
    </row>
    <row r="839" customFormat="false" ht="15" hidden="false" customHeight="false" outlineLevel="0" collapsed="false">
      <c r="B839" s="4" t="n">
        <v>30205783</v>
      </c>
      <c r="C839" s="4" t="s">
        <v>2422</v>
      </c>
      <c r="D839" s="4" t="s">
        <v>463</v>
      </c>
      <c r="E839" s="4" t="s">
        <v>2835</v>
      </c>
      <c r="F839" s="127" t="n">
        <v>46692</v>
      </c>
      <c r="G839" s="127" t="n">
        <v>46707</v>
      </c>
      <c r="H839" s="127" t="n">
        <v>46289</v>
      </c>
      <c r="I839" s="4" t="n">
        <v>0</v>
      </c>
      <c r="J839" s="4" t="n">
        <v>0</v>
      </c>
      <c r="K839" s="4" t="n">
        <v>0</v>
      </c>
      <c r="M839" s="2" t="str">
        <f aca="false">IF(C839="","",IFERROR(INDEX($S$5:$S$304,MATCH(C839,$R$5:$R$304,0))&amp;"","?"))</f>
        <v>29</v>
      </c>
      <c r="N839" s="2" t="n">
        <f aca="false">IF(E839="","",IF(ISNUMBER(SEARCH("SUBSOLO",E839)),IFERROR(-VALUE(LEFT(E839,FIND("º",SUBSTITUTE(E839,"°","º"))-1)),-1),IF(LEFT(E839,6)="TÉRREO",0,IFERROR(VALUE(LEFT(E839,FIND("º",SUBSTITUTE(E839,"°","º"))-1)),""))))</f>
        <v>0</v>
      </c>
      <c r="O839" s="2" t="str">
        <f aca="false">IF(OR(F839="",G839=""),"",IF(G839&lt;='RETRATO 2027'!$K$5,"CONCLUÍDA",IF(F839&lt;='RETRATO 2027'!$K$5,"EM ANDAMENTO","A INICIAR")))</f>
        <v>CONCLUÍDA</v>
      </c>
    </row>
    <row r="840" customFormat="false" ht="15" hidden="false" customHeight="false" outlineLevel="0" collapsed="false">
      <c r="B840" s="4" t="n">
        <v>30205804</v>
      </c>
      <c r="C840" s="4" t="s">
        <v>2413</v>
      </c>
      <c r="D840" s="4" t="s">
        <v>463</v>
      </c>
      <c r="E840" s="4" t="s">
        <v>2839</v>
      </c>
      <c r="F840" s="127" t="n">
        <v>46692</v>
      </c>
      <c r="G840" s="127" t="n">
        <v>46707</v>
      </c>
      <c r="H840" s="127" t="n">
        <v>46289</v>
      </c>
      <c r="I840" s="4" t="n">
        <v>0</v>
      </c>
      <c r="J840" s="4" t="n">
        <v>0</v>
      </c>
      <c r="K840" s="4" t="n">
        <v>0</v>
      </c>
      <c r="M840" s="2" t="str">
        <f aca="false">IF(C840="","",IFERROR(INDEX($S$5:$S$304,MATCH(C840,$R$5:$R$304,0))&amp;"","?"))</f>
        <v>21</v>
      </c>
      <c r="N840" s="2" t="n">
        <f aca="false">IF(E840="","",IF(ISNUMBER(SEARCH("SUBSOLO",E840)),IFERROR(-VALUE(LEFT(E840,FIND("º",SUBSTITUTE(E840,"°","º"))-1)),-1),IF(LEFT(E840,6)="TÉRREO",0,IFERROR(VALUE(LEFT(E840,FIND("º",SUBSTITUTE(E840,"°","º"))-1)),""))))</f>
        <v>0</v>
      </c>
      <c r="O840" s="2" t="str">
        <f aca="false">IF(OR(F840="",G840=""),"",IF(G840&lt;='RETRATO 2027'!$K$5,"CONCLUÍDA",IF(F840&lt;='RETRATO 2027'!$K$5,"EM ANDAMENTO","A INICIAR")))</f>
        <v>CONCLUÍDA</v>
      </c>
    </row>
    <row r="841" customFormat="false" ht="15" hidden="false" customHeight="false" outlineLevel="0" collapsed="false">
      <c r="B841" s="4" t="n">
        <v>30205803</v>
      </c>
      <c r="C841" s="4" t="s">
        <v>2410</v>
      </c>
      <c r="D841" s="4" t="s">
        <v>463</v>
      </c>
      <c r="E841" s="4" t="s">
        <v>2839</v>
      </c>
      <c r="F841" s="127" t="n">
        <v>46692</v>
      </c>
      <c r="G841" s="127" t="n">
        <v>46707</v>
      </c>
      <c r="H841" s="127" t="n">
        <v>46289</v>
      </c>
      <c r="I841" s="4" t="n">
        <v>0</v>
      </c>
      <c r="J841" s="4" t="n">
        <v>0</v>
      </c>
      <c r="K841" s="4" t="n">
        <v>0</v>
      </c>
      <c r="M841" s="2" t="str">
        <f aca="false">IF(C841="","",IFERROR(INDEX($S$5:$S$304,MATCH(C841,$R$5:$R$304,0))&amp;"","?"))</f>
        <v>22</v>
      </c>
      <c r="N841" s="2" t="n">
        <f aca="false">IF(E841="","",IF(ISNUMBER(SEARCH("SUBSOLO",E841)),IFERROR(-VALUE(LEFT(E841,FIND("º",SUBSTITUTE(E841,"°","º"))-1)),-1),IF(LEFT(E841,6)="TÉRREO",0,IFERROR(VALUE(LEFT(E841,FIND("º",SUBSTITUTE(E841,"°","º"))-1)),""))))</f>
        <v>0</v>
      </c>
      <c r="O841" s="2" t="str">
        <f aca="false">IF(OR(F841="",G841=""),"",IF(G841&lt;='RETRATO 2027'!$K$5,"CONCLUÍDA",IF(F841&lt;='RETRATO 2027'!$K$5,"EM ANDAMENTO","A INICIAR")))</f>
        <v>CONCLUÍDA</v>
      </c>
    </row>
    <row r="842" customFormat="false" ht="15" hidden="false" customHeight="false" outlineLevel="0" collapsed="false">
      <c r="B842" s="4" t="n">
        <v>30205805</v>
      </c>
      <c r="C842" s="4" t="s">
        <v>2416</v>
      </c>
      <c r="D842" s="4" t="s">
        <v>463</v>
      </c>
      <c r="E842" s="4" t="s">
        <v>2839</v>
      </c>
      <c r="F842" s="127" t="n">
        <v>46692</v>
      </c>
      <c r="G842" s="127" t="n">
        <v>46707</v>
      </c>
      <c r="H842" s="127" t="n">
        <v>46289</v>
      </c>
      <c r="I842" s="4" t="n">
        <v>0</v>
      </c>
      <c r="J842" s="4" t="n">
        <v>0</v>
      </c>
      <c r="K842" s="4" t="n">
        <v>0</v>
      </c>
      <c r="M842" s="2" t="str">
        <f aca="false">IF(C842="","",IFERROR(INDEX($S$5:$S$304,MATCH(C842,$R$5:$R$304,0))&amp;"","?"))</f>
        <v>18</v>
      </c>
      <c r="N842" s="2" t="n">
        <f aca="false">IF(E842="","",IF(ISNUMBER(SEARCH("SUBSOLO",E842)),IFERROR(-VALUE(LEFT(E842,FIND("º",SUBSTITUTE(E842,"°","º"))-1)),-1),IF(LEFT(E842,6)="TÉRREO",0,IFERROR(VALUE(LEFT(E842,FIND("º",SUBSTITUTE(E842,"°","º"))-1)),""))))</f>
        <v>0</v>
      </c>
      <c r="O842" s="2" t="str">
        <f aca="false">IF(OR(F842="",G842=""),"",IF(G842&lt;='RETRATO 2027'!$K$5,"CONCLUÍDA",IF(F842&lt;='RETRATO 2027'!$K$5,"EM ANDAMENTO","A INICIAR")))</f>
        <v>CONCLUÍDA</v>
      </c>
    </row>
    <row r="843" customFormat="false" ht="15" hidden="false" customHeight="false" outlineLevel="0" collapsed="false">
      <c r="B843" s="4" t="n">
        <v>30205834</v>
      </c>
      <c r="C843" s="4" t="s">
        <v>168</v>
      </c>
      <c r="D843" s="4" t="s">
        <v>463</v>
      </c>
      <c r="E843" s="4" t="s">
        <v>2782</v>
      </c>
      <c r="F843" s="127" t="n">
        <v>46692</v>
      </c>
      <c r="G843" s="127" t="n">
        <v>46714</v>
      </c>
      <c r="H843" s="127" t="n">
        <v>46289</v>
      </c>
      <c r="I843" s="4" t="n">
        <v>0</v>
      </c>
      <c r="J843" s="4" t="n">
        <v>0</v>
      </c>
      <c r="K843" s="4" t="n">
        <v>0</v>
      </c>
      <c r="M843" s="2" t="str">
        <f aca="false">IF(C843="","",IFERROR(INDEX($S$5:$S$304,MATCH(C843,$R$5:$R$304,0))&amp;"","?"))</f>
        <v>18</v>
      </c>
      <c r="N843" s="2" t="n">
        <f aca="false">IF(E843="","",IF(ISNUMBER(SEARCH("SUBSOLO",E843)),IFERROR(-VALUE(LEFT(E843,FIND("º",SUBSTITUTE(E843,"°","º"))-1)),-1),IF(LEFT(E843,6)="TÉRREO",0,IFERROR(VALUE(LEFT(E843,FIND("º",SUBSTITUTE(E843,"°","º"))-1)),""))))</f>
        <v>1</v>
      </c>
      <c r="O843" s="2" t="str">
        <f aca="false">IF(OR(F843="",G843=""),"",IF(G843&lt;='RETRATO 2027'!$K$5,"CONCLUÍDA",IF(F843&lt;='RETRATO 2027'!$K$5,"EM ANDAMENTO","A INICIAR")))</f>
        <v>CONCLUÍDA</v>
      </c>
    </row>
    <row r="844" customFormat="false" ht="15" hidden="false" customHeight="false" outlineLevel="0" collapsed="false">
      <c r="B844" s="4" t="n">
        <v>30171435</v>
      </c>
      <c r="C844" s="4" t="s">
        <v>2428</v>
      </c>
      <c r="D844" s="4" t="s">
        <v>463</v>
      </c>
      <c r="E844" s="4" t="s">
        <v>2800</v>
      </c>
      <c r="F844" s="127" t="n">
        <v>46692</v>
      </c>
      <c r="G844" s="127" t="n">
        <v>46736</v>
      </c>
      <c r="H844" s="127" t="n">
        <v>46289</v>
      </c>
      <c r="I844" s="4" t="n">
        <v>0</v>
      </c>
      <c r="J844" s="4" t="n">
        <v>0</v>
      </c>
      <c r="K844" s="4" t="n">
        <v>0</v>
      </c>
      <c r="M844" s="2" t="str">
        <f aca="false">IF(C844="","",IFERROR(INDEX($S$5:$S$304,MATCH(C844,$R$5:$R$304,0))&amp;"","?"))</f>
        <v>20</v>
      </c>
      <c r="N844" s="2" t="n">
        <f aca="false">IF(E844="","",IF(ISNUMBER(SEARCH("SUBSOLO",E844)),IFERROR(-VALUE(LEFT(E844,FIND("º",SUBSTITUTE(E844,"°","º"))-1)),-1),IF(LEFT(E844,6)="TÉRREO",0,IFERROR(VALUE(LEFT(E844,FIND("º",SUBSTITUTE(E844,"°","º"))-1)),""))))</f>
        <v>4</v>
      </c>
      <c r="O844" s="2" t="str">
        <f aca="false">IF(OR(F844="",G844=""),"",IF(G844&lt;='RETRATO 2027'!$K$5,"CONCLUÍDA",IF(F844&lt;='RETRATO 2027'!$K$5,"EM ANDAMENTO","A INICIAR")))</f>
        <v>CONCLUÍDA</v>
      </c>
    </row>
    <row r="845" customFormat="false" ht="15" hidden="false" customHeight="false" outlineLevel="0" collapsed="false">
      <c r="B845" s="4" t="n">
        <v>30171420</v>
      </c>
      <c r="C845" s="4" t="s">
        <v>2452</v>
      </c>
      <c r="D845" s="4" t="s">
        <v>463</v>
      </c>
      <c r="E845" s="4" t="s">
        <v>2800</v>
      </c>
      <c r="F845" s="127" t="n">
        <v>46692</v>
      </c>
      <c r="G845" s="127" t="n">
        <v>46736</v>
      </c>
      <c r="H845" s="127" t="n">
        <v>46289</v>
      </c>
      <c r="I845" s="4" t="n">
        <v>0</v>
      </c>
      <c r="J845" s="4" t="n">
        <v>0</v>
      </c>
      <c r="K845" s="4" t="n">
        <v>0</v>
      </c>
      <c r="M845" s="2" t="str">
        <f aca="false">IF(C845="","",IFERROR(INDEX($S$5:$S$304,MATCH(C845,$R$5:$R$304,0))&amp;"","?"))</f>
        <v>21</v>
      </c>
      <c r="N845" s="2" t="n">
        <f aca="false">IF(E845="","",IF(ISNUMBER(SEARCH("SUBSOLO",E845)),IFERROR(-VALUE(LEFT(E845,FIND("º",SUBSTITUTE(E845,"°","º"))-1)),-1),IF(LEFT(E845,6)="TÉRREO",0,IFERROR(VALUE(LEFT(E845,FIND("º",SUBSTITUTE(E845,"°","º"))-1)),""))))</f>
        <v>4</v>
      </c>
      <c r="O845" s="2" t="str">
        <f aca="false">IF(OR(F845="",G845=""),"",IF(G845&lt;='RETRATO 2027'!$K$5,"CONCLUÍDA",IF(F845&lt;='RETRATO 2027'!$K$5,"EM ANDAMENTO","A INICIAR")))</f>
        <v>CONCLUÍDA</v>
      </c>
    </row>
    <row r="846" customFormat="false" ht="15" hidden="false" customHeight="false" outlineLevel="0" collapsed="false">
      <c r="B846" s="4" t="n">
        <v>29980915</v>
      </c>
      <c r="C846" s="4" t="s">
        <v>2416</v>
      </c>
      <c r="D846" s="4" t="s">
        <v>463</v>
      </c>
      <c r="E846" s="4" t="s">
        <v>2831</v>
      </c>
      <c r="F846" s="127" t="n">
        <v>46692</v>
      </c>
      <c r="G846" s="127" t="n">
        <v>46703</v>
      </c>
      <c r="H846" s="127" t="n">
        <v>46289</v>
      </c>
      <c r="I846" s="4" t="n">
        <v>0</v>
      </c>
      <c r="J846" s="4" t="n">
        <v>0</v>
      </c>
      <c r="K846" s="4" t="n">
        <v>0</v>
      </c>
      <c r="M846" s="2" t="str">
        <f aca="false">IF(C846="","",IFERROR(INDEX($S$5:$S$304,MATCH(C846,$R$5:$R$304,0))&amp;"","?"))</f>
        <v>18</v>
      </c>
      <c r="N846" s="2" t="n">
        <f aca="false">IF(E846="","",IF(ISNUMBER(SEARCH("SUBSOLO",E846)),IFERROR(-VALUE(LEFT(E846,FIND("º",SUBSTITUTE(E846,"°","º"))-1)),-1),IF(LEFT(E846,6)="TÉRREO",0,IFERROR(VALUE(LEFT(E846,FIND("º",SUBSTITUTE(E846,"°","º"))-1)),""))))</f>
        <v>24</v>
      </c>
      <c r="O846" s="2" t="str">
        <f aca="false">IF(OR(F846="",G846=""),"",IF(G846&lt;='RETRATO 2027'!$K$5,"CONCLUÍDA",IF(F846&lt;='RETRATO 2027'!$K$5,"EM ANDAMENTO","A INICIAR")))</f>
        <v>CONCLUÍDA</v>
      </c>
    </row>
    <row r="847" customFormat="false" ht="15" hidden="false" customHeight="false" outlineLevel="0" collapsed="false">
      <c r="B847" s="4" t="n">
        <v>29941039</v>
      </c>
      <c r="C847" s="4" t="s">
        <v>2341</v>
      </c>
      <c r="D847" s="4" t="s">
        <v>463</v>
      </c>
      <c r="E847" s="4" t="s">
        <v>2841</v>
      </c>
      <c r="F847" s="127" t="n">
        <v>46692</v>
      </c>
      <c r="G847" s="127" t="n">
        <v>46703</v>
      </c>
      <c r="H847" s="127" t="n">
        <v>46289</v>
      </c>
      <c r="I847" s="4" t="n">
        <v>0</v>
      </c>
      <c r="J847" s="4" t="n">
        <v>0</v>
      </c>
      <c r="K847" s="4" t="n">
        <v>0</v>
      </c>
      <c r="M847" s="2" t="str">
        <f aca="false">IF(C847="","",IFERROR(INDEX($S$5:$S$304,MATCH(C847,$R$5:$R$304,0))&amp;"","?"))</f>
        <v>17</v>
      </c>
      <c r="N847" s="2" t="n">
        <f aca="false">IF(E847="","",IF(ISNUMBER(SEARCH("SUBSOLO",E847)),IFERROR(-VALUE(LEFT(E847,FIND("º",SUBSTITUTE(E847,"°","º"))-1)),-1),IF(LEFT(E847,6)="TÉRREO",0,IFERROR(VALUE(LEFT(E847,FIND("º",SUBSTITUTE(E847,"°","º"))-1)),""))))</f>
        <v>29</v>
      </c>
      <c r="O847" s="2" t="str">
        <f aca="false">IF(OR(F847="",G847=""),"",IF(G847&lt;='RETRATO 2027'!$K$5,"CONCLUÍDA",IF(F847&lt;='RETRATO 2027'!$K$5,"EM ANDAMENTO","A INICIAR")))</f>
        <v>CONCLUÍDA</v>
      </c>
    </row>
    <row r="848" customFormat="false" ht="15" hidden="false" customHeight="false" outlineLevel="0" collapsed="false">
      <c r="B848" s="4" t="n">
        <v>31529066</v>
      </c>
      <c r="C848" s="4" t="s">
        <v>2341</v>
      </c>
      <c r="D848" s="4" t="s">
        <v>2312</v>
      </c>
      <c r="E848" s="4" t="s">
        <v>2841</v>
      </c>
      <c r="F848" s="127" t="n">
        <v>46692</v>
      </c>
      <c r="G848" s="127" t="n">
        <v>46699</v>
      </c>
      <c r="H848" s="127" t="n">
        <v>46289</v>
      </c>
      <c r="I848" s="4" t="n">
        <v>0</v>
      </c>
      <c r="J848" s="4" t="n">
        <v>0</v>
      </c>
      <c r="K848" s="4" t="n">
        <v>0</v>
      </c>
      <c r="M848" s="2" t="str">
        <f aca="false">IF(C848="","",IFERROR(INDEX($S$5:$S$304,MATCH(C848,$R$5:$R$304,0))&amp;"","?"))</f>
        <v>17</v>
      </c>
      <c r="N848" s="2" t="n">
        <f aca="false">IF(E848="","",IF(ISNUMBER(SEARCH("SUBSOLO",E848)),IFERROR(-VALUE(LEFT(E848,FIND("º",SUBSTITUTE(E848,"°","º"))-1)),-1),IF(LEFT(E848,6)="TÉRREO",0,IFERROR(VALUE(LEFT(E848,FIND("º",SUBSTITUTE(E848,"°","º"))-1)),""))))</f>
        <v>29</v>
      </c>
      <c r="O848" s="2" t="str">
        <f aca="false">IF(OR(F848="",G848=""),"",IF(G848&lt;='RETRATO 2027'!$K$5,"CONCLUÍDA",IF(F848&lt;='RETRATO 2027'!$K$5,"EM ANDAMENTO","A INICIAR")))</f>
        <v>CONCLUÍDA</v>
      </c>
    </row>
    <row r="849" customFormat="false" ht="15" hidden="false" customHeight="false" outlineLevel="0" collapsed="false">
      <c r="B849" s="4" t="n">
        <v>31529067</v>
      </c>
      <c r="C849" s="4" t="s">
        <v>2341</v>
      </c>
      <c r="D849" s="4" t="s">
        <v>2309</v>
      </c>
      <c r="E849" s="4" t="s">
        <v>2841</v>
      </c>
      <c r="F849" s="127" t="n">
        <v>46700</v>
      </c>
      <c r="G849" s="127" t="n">
        <v>46702</v>
      </c>
      <c r="H849" s="127" t="n">
        <v>46289</v>
      </c>
      <c r="I849" s="4" t="n">
        <v>0</v>
      </c>
      <c r="J849" s="4" t="n">
        <v>0</v>
      </c>
      <c r="K849" s="4" t="n">
        <v>0</v>
      </c>
      <c r="M849" s="2" t="str">
        <f aca="false">IF(C849="","",IFERROR(INDEX($S$5:$S$304,MATCH(C849,$R$5:$R$304,0))&amp;"","?"))</f>
        <v>17</v>
      </c>
      <c r="N849" s="2" t="n">
        <f aca="false">IF(E849="","",IF(ISNUMBER(SEARCH("SUBSOLO",E849)),IFERROR(-VALUE(LEFT(E849,FIND("º",SUBSTITUTE(E849,"°","º"))-1)),-1),IF(LEFT(E849,6)="TÉRREO",0,IFERROR(VALUE(LEFT(E849,FIND("º",SUBSTITUTE(E849,"°","º"))-1)),""))))</f>
        <v>29</v>
      </c>
      <c r="O849" s="2" t="str">
        <f aca="false">IF(OR(F849="",G849=""),"",IF(G849&lt;='RETRATO 2027'!$K$5,"CONCLUÍDA",IF(F849&lt;='RETRATO 2027'!$K$5,"EM ANDAMENTO","A INICIAR")))</f>
        <v>CONCLUÍDA</v>
      </c>
    </row>
    <row r="850" customFormat="false" ht="15" hidden="false" customHeight="false" outlineLevel="0" collapsed="false">
      <c r="B850" s="4" t="n">
        <v>31529068</v>
      </c>
      <c r="C850" s="4" t="s">
        <v>2341</v>
      </c>
      <c r="D850" s="4" t="s">
        <v>2314</v>
      </c>
      <c r="E850" s="4" t="s">
        <v>2841</v>
      </c>
      <c r="F850" s="127" t="n">
        <v>46703</v>
      </c>
      <c r="G850" s="127" t="n">
        <v>46703</v>
      </c>
      <c r="H850" s="127" t="n">
        <v>46289</v>
      </c>
      <c r="I850" s="4" t="n">
        <v>0</v>
      </c>
      <c r="J850" s="4" t="n">
        <v>0</v>
      </c>
      <c r="K850" s="4" t="n">
        <v>0</v>
      </c>
      <c r="M850" s="2" t="str">
        <f aca="false">IF(C850="","",IFERROR(INDEX($S$5:$S$304,MATCH(C850,$R$5:$R$304,0))&amp;"","?"))</f>
        <v>17</v>
      </c>
      <c r="N850" s="2" t="n">
        <f aca="false">IF(E850="","",IF(ISNUMBER(SEARCH("SUBSOLO",E850)),IFERROR(-VALUE(LEFT(E850,FIND("º",SUBSTITUTE(E850,"°","º"))-1)),-1),IF(LEFT(E850,6)="TÉRREO",0,IFERROR(VALUE(LEFT(E850,FIND("º",SUBSTITUTE(E850,"°","º"))-1)),""))))</f>
        <v>29</v>
      </c>
      <c r="O850" s="2" t="str">
        <f aca="false">IF(OR(F850="",G850=""),"",IF(G850&lt;='RETRATO 2027'!$K$5,"CONCLUÍDA",IF(F850&lt;='RETRATO 2027'!$K$5,"EM ANDAMENTO","A INICIAR")))</f>
        <v>CONCLUÍDA</v>
      </c>
    </row>
    <row r="851" customFormat="false" ht="15" hidden="false" customHeight="false" outlineLevel="0" collapsed="false">
      <c r="B851" s="4" t="n">
        <v>31529069</v>
      </c>
      <c r="C851" s="4" t="s">
        <v>2341</v>
      </c>
      <c r="D851" s="4" t="s">
        <v>2758</v>
      </c>
      <c r="E851" s="4" t="s">
        <v>2841</v>
      </c>
      <c r="F851" s="127" t="n">
        <v>46703</v>
      </c>
      <c r="G851" s="127" t="n">
        <v>46703</v>
      </c>
      <c r="H851" s="127" t="n">
        <v>46289</v>
      </c>
      <c r="I851" s="4" t="n">
        <v>0</v>
      </c>
      <c r="J851" s="4" t="n">
        <v>0</v>
      </c>
      <c r="K851" s="4" t="n">
        <v>0</v>
      </c>
      <c r="M851" s="2" t="str">
        <f aca="false">IF(C851="","",IFERROR(INDEX($S$5:$S$304,MATCH(C851,$R$5:$R$304,0))&amp;"","?"))</f>
        <v>17</v>
      </c>
      <c r="N851" s="2" t="n">
        <f aca="false">IF(E851="","",IF(ISNUMBER(SEARCH("SUBSOLO",E851)),IFERROR(-VALUE(LEFT(E851,FIND("º",SUBSTITUTE(E851,"°","º"))-1)),-1),IF(LEFT(E851,6)="TÉRREO",0,IFERROR(VALUE(LEFT(E851,FIND("º",SUBSTITUTE(E851,"°","º"))-1)),""))))</f>
        <v>29</v>
      </c>
      <c r="O851" s="2" t="str">
        <f aca="false">IF(OR(F851="",G851=""),"",IF(G851&lt;='RETRATO 2027'!$K$5,"CONCLUÍDA",IF(F851&lt;='RETRATO 2027'!$K$5,"EM ANDAMENTO","A INICIAR")))</f>
        <v>CONCLUÍDA</v>
      </c>
    </row>
    <row r="852" customFormat="false" ht="15" hidden="false" customHeight="false" outlineLevel="0" collapsed="false">
      <c r="B852" s="4" t="n">
        <v>30205746</v>
      </c>
      <c r="C852" s="4" t="s">
        <v>171</v>
      </c>
      <c r="D852" s="4" t="s">
        <v>463</v>
      </c>
      <c r="E852" s="4" t="s">
        <v>2740</v>
      </c>
      <c r="F852" s="127" t="n">
        <v>46694</v>
      </c>
      <c r="G852" s="127" t="n">
        <v>46708</v>
      </c>
      <c r="H852" s="127" t="n">
        <v>46289</v>
      </c>
      <c r="I852" s="4" t="n">
        <v>0</v>
      </c>
      <c r="J852" s="4" t="n">
        <v>0</v>
      </c>
      <c r="K852" s="4" t="n">
        <v>0</v>
      </c>
      <c r="M852" s="2" t="str">
        <f aca="false">IF(C852="","",IFERROR(INDEX($S$5:$S$304,MATCH(C852,$R$5:$R$304,0))&amp;"","?"))</f>
        <v>19</v>
      </c>
      <c r="N852" s="2" t="n">
        <f aca="false">IF(E852="","",IF(ISNUMBER(SEARCH("SUBSOLO",E852)),IFERROR(-VALUE(LEFT(E852,FIND("º",SUBSTITUTE(E852,"°","º"))-1)),-1),IF(LEFT(E852,6)="TÉRREO",0,IFERROR(VALUE(LEFT(E852,FIND("º",SUBSTITUTE(E852,"°","º"))-1)),""))))</f>
        <v>-1</v>
      </c>
      <c r="O852" s="2" t="str">
        <f aca="false">IF(OR(F852="",G852=""),"",IF(G852&lt;='RETRATO 2027'!$K$5,"CONCLUÍDA",IF(F852&lt;='RETRATO 2027'!$K$5,"EM ANDAMENTO","A INICIAR")))</f>
        <v>CONCLUÍDA</v>
      </c>
    </row>
    <row r="853" customFormat="false" ht="15" hidden="false" customHeight="false" outlineLevel="0" collapsed="false">
      <c r="B853" s="4" t="n">
        <v>29980889</v>
      </c>
      <c r="C853" s="4" t="s">
        <v>2410</v>
      </c>
      <c r="D853" s="4" t="s">
        <v>463</v>
      </c>
      <c r="E853" s="4" t="s">
        <v>2833</v>
      </c>
      <c r="F853" s="127" t="n">
        <v>46696</v>
      </c>
      <c r="G853" s="127" t="n">
        <v>46709</v>
      </c>
      <c r="H853" s="127" t="n">
        <v>46289</v>
      </c>
      <c r="I853" s="4" t="n">
        <v>0</v>
      </c>
      <c r="J853" s="4" t="n">
        <v>0</v>
      </c>
      <c r="K853" s="4" t="n">
        <v>0</v>
      </c>
      <c r="M853" s="2" t="str">
        <f aca="false">IF(C853="","",IFERROR(INDEX($S$5:$S$304,MATCH(C853,$R$5:$R$304,0))&amp;"","?"))</f>
        <v>22</v>
      </c>
      <c r="N853" s="2" t="n">
        <f aca="false">IF(E853="","",IF(ISNUMBER(SEARCH("SUBSOLO",E853)),IFERROR(-VALUE(LEFT(E853,FIND("º",SUBSTITUTE(E853,"°","º"))-1)),-1),IF(LEFT(E853,6)="TÉRREO",0,IFERROR(VALUE(LEFT(E853,FIND("º",SUBSTITUTE(E853,"°","º"))-1)),""))))</f>
        <v>25</v>
      </c>
      <c r="O853" s="2" t="str">
        <f aca="false">IF(OR(F853="",G853=""),"",IF(G853&lt;='RETRATO 2027'!$K$5,"CONCLUÍDA",IF(F853&lt;='RETRATO 2027'!$K$5,"EM ANDAMENTO","A INICIAR")))</f>
        <v>CONCLUÍDA</v>
      </c>
    </row>
    <row r="854" customFormat="false" ht="15" hidden="false" customHeight="false" outlineLevel="0" collapsed="false">
      <c r="B854" s="4" t="n">
        <v>29980840</v>
      </c>
      <c r="C854" s="4" t="s">
        <v>168</v>
      </c>
      <c r="D854" s="4" t="s">
        <v>463</v>
      </c>
      <c r="E854" s="4" t="s">
        <v>2834</v>
      </c>
      <c r="F854" s="127" t="n">
        <v>46696</v>
      </c>
      <c r="G854" s="127" t="n">
        <v>46709</v>
      </c>
      <c r="H854" s="127" t="n">
        <v>46289</v>
      </c>
      <c r="I854" s="4" t="n">
        <v>0</v>
      </c>
      <c r="J854" s="4" t="n">
        <v>0</v>
      </c>
      <c r="K854" s="4" t="n">
        <v>0</v>
      </c>
      <c r="M854" s="2" t="str">
        <f aca="false">IF(C854="","",IFERROR(INDEX($S$5:$S$304,MATCH(C854,$R$5:$R$304,0))&amp;"","?"))</f>
        <v>18</v>
      </c>
      <c r="N854" s="2" t="n">
        <f aca="false">IF(E854="","",IF(ISNUMBER(SEARCH("SUBSOLO",E854)),IFERROR(-VALUE(LEFT(E854,FIND("º",SUBSTITUTE(E854,"°","º"))-1)),-1),IF(LEFT(E854,6)="TÉRREO",0,IFERROR(VALUE(LEFT(E854,FIND("º",SUBSTITUTE(E854,"°","º"))-1)),""))))</f>
        <v>26</v>
      </c>
      <c r="O854" s="2" t="str">
        <f aca="false">IF(OR(F854="",G854=""),"",IF(G854&lt;='RETRATO 2027'!$K$5,"CONCLUÍDA",IF(F854&lt;='RETRATO 2027'!$K$5,"EM ANDAMENTO","A INICIAR")))</f>
        <v>CONCLUÍDA</v>
      </c>
    </row>
    <row r="855" customFormat="false" ht="15" hidden="false" customHeight="false" outlineLevel="0" collapsed="false">
      <c r="B855" s="4" t="n">
        <v>31789447</v>
      </c>
      <c r="C855" s="4" t="s">
        <v>2533</v>
      </c>
      <c r="D855" s="4" t="s">
        <v>463</v>
      </c>
      <c r="E855" s="4" t="s">
        <v>2678</v>
      </c>
      <c r="F855" s="127" t="n">
        <v>46699</v>
      </c>
      <c r="G855" s="127" t="n">
        <v>46764</v>
      </c>
      <c r="H855" s="127" t="n">
        <v>46289</v>
      </c>
      <c r="I855" s="4" t="n">
        <v>0</v>
      </c>
      <c r="J855" s="4" t="n">
        <v>0</v>
      </c>
      <c r="K855" s="4" t="n">
        <v>0</v>
      </c>
      <c r="M855" s="2" t="str">
        <f aca="false">IF(C855="","",IFERROR(INDEX($S$5:$S$304,MATCH(C855,$R$5:$R$304,0))&amp;"","?"))</f>
        <v>32</v>
      </c>
      <c r="N855" s="2" t="str">
        <f aca="false">IF(E855="","",IF(ISNUMBER(SEARCH("SUBSOLO",E855)),IFERROR(-VALUE(LEFT(E855,FIND("º",SUBSTITUTE(E855,"°","º"))-1)),-1),IF(LEFT(E855,6)="TÉRREO",0,IFERROR(VALUE(LEFT(E855,FIND("º",SUBSTITUTE(E855,"°","º"))-1)),""))))</f>
        <v/>
      </c>
      <c r="O855" s="2" t="str">
        <f aca="false">IF(OR(F855="",G855=""),"",IF(G855&lt;='RETRATO 2027'!$K$5,"CONCLUÍDA",IF(F855&lt;='RETRATO 2027'!$K$5,"EM ANDAMENTO","A INICIAR")))</f>
        <v>EM ANDAMENTO</v>
      </c>
    </row>
    <row r="856" customFormat="false" ht="15" hidden="false" customHeight="false" outlineLevel="0" collapsed="false">
      <c r="B856" s="4" t="n">
        <v>31790136</v>
      </c>
      <c r="C856" s="4" t="s">
        <v>2536</v>
      </c>
      <c r="D856" s="4" t="s">
        <v>463</v>
      </c>
      <c r="E856" s="4" t="s">
        <v>2678</v>
      </c>
      <c r="F856" s="127" t="n">
        <v>46699</v>
      </c>
      <c r="G856" s="127" t="n">
        <v>46727</v>
      </c>
      <c r="H856" s="127" t="n">
        <v>46289</v>
      </c>
      <c r="I856" s="4" t="n">
        <v>0</v>
      </c>
      <c r="J856" s="4" t="n">
        <v>0</v>
      </c>
      <c r="K856" s="4" t="n">
        <v>0</v>
      </c>
      <c r="M856" s="2" t="str">
        <f aca="false">IF(C856="","",IFERROR(INDEX($S$5:$S$304,MATCH(C856,$R$5:$R$304,0))&amp;"","?"))</f>
        <v>32</v>
      </c>
      <c r="N856" s="2" t="str">
        <f aca="false">IF(E856="","",IF(ISNUMBER(SEARCH("SUBSOLO",E856)),IFERROR(-VALUE(LEFT(E856,FIND("º",SUBSTITUTE(E856,"°","º"))-1)),-1),IF(LEFT(E856,6)="TÉRREO",0,IFERROR(VALUE(LEFT(E856,FIND("º",SUBSTITUTE(E856,"°","º"))-1)),""))))</f>
        <v/>
      </c>
      <c r="O856" s="2" t="str">
        <f aca="false">IF(OR(F856="",G856=""),"",IF(G856&lt;='RETRATO 2027'!$K$5,"CONCLUÍDA",IF(F856&lt;='RETRATO 2027'!$K$5,"EM ANDAMENTO","A INICIAR")))</f>
        <v>CONCLUÍDA</v>
      </c>
    </row>
    <row r="857" customFormat="false" ht="15" hidden="false" customHeight="false" outlineLevel="0" collapsed="false">
      <c r="B857" s="4" t="n">
        <v>30205703</v>
      </c>
      <c r="C857" s="4" t="s">
        <v>216</v>
      </c>
      <c r="D857" s="4" t="s">
        <v>463</v>
      </c>
      <c r="E857" s="4" t="s">
        <v>2819</v>
      </c>
      <c r="F857" s="127" t="n">
        <v>46700</v>
      </c>
      <c r="G857" s="127" t="n">
        <v>46714</v>
      </c>
      <c r="H857" s="127" t="n">
        <v>46289</v>
      </c>
      <c r="I857" s="4" t="n">
        <v>0</v>
      </c>
      <c r="J857" s="4" t="n">
        <v>0</v>
      </c>
      <c r="K857" s="4" t="n">
        <v>0</v>
      </c>
      <c r="M857" s="2" t="str">
        <f aca="false">IF(C857="","",IFERROR(INDEX($S$5:$S$304,MATCH(C857,$R$5:$R$304,0))&amp;"","?"))</f>
        <v>33</v>
      </c>
      <c r="N857" s="2" t="n">
        <f aca="false">IF(E857="","",IF(ISNUMBER(SEARCH("SUBSOLO",E857)),IFERROR(-VALUE(LEFT(E857,FIND("º",SUBSTITUTE(E857,"°","º"))-1)),-1),IF(LEFT(E857,6)="TÉRREO",0,IFERROR(VALUE(LEFT(E857,FIND("º",SUBSTITUTE(E857,"°","º"))-1)),""))))</f>
        <v>0</v>
      </c>
      <c r="O857" s="2" t="str">
        <f aca="false">IF(OR(F857="",G857=""),"",IF(G857&lt;='RETRATO 2027'!$K$5,"CONCLUÍDA",IF(F857&lt;='RETRATO 2027'!$K$5,"EM ANDAMENTO","A INICIAR")))</f>
        <v>CONCLUÍDA</v>
      </c>
    </row>
    <row r="858" customFormat="false" ht="15" hidden="false" customHeight="false" outlineLevel="0" collapsed="false">
      <c r="B858" s="4" t="n">
        <v>30205675</v>
      </c>
      <c r="C858" s="4" t="s">
        <v>2501</v>
      </c>
      <c r="D858" s="4" t="s">
        <v>463</v>
      </c>
      <c r="E858" s="4" t="s">
        <v>2821</v>
      </c>
      <c r="F858" s="127" t="n">
        <v>46700</v>
      </c>
      <c r="G858" s="127" t="n">
        <v>46714</v>
      </c>
      <c r="H858" s="127" t="n">
        <v>46289</v>
      </c>
      <c r="I858" s="4" t="n">
        <v>0</v>
      </c>
      <c r="J858" s="4" t="n">
        <v>0</v>
      </c>
      <c r="K858" s="4" t="n">
        <v>0</v>
      </c>
      <c r="M858" s="2" t="str">
        <f aca="false">IF(C858="","",IFERROR(INDEX($S$5:$S$304,MATCH(C858,$R$5:$R$304,0))&amp;"","?"))</f>
        <v>30</v>
      </c>
      <c r="N858" s="2" t="n">
        <f aca="false">IF(E858="","",IF(ISNUMBER(SEARCH("SUBSOLO",E858)),IFERROR(-VALUE(LEFT(E858,FIND("º",SUBSTITUTE(E858,"°","º"))-1)),-1),IF(LEFT(E858,6)="TÉRREO",0,IFERROR(VALUE(LEFT(E858,FIND("º",SUBSTITUTE(E858,"°","º"))-1)),""))))</f>
        <v>0</v>
      </c>
      <c r="O858" s="2" t="str">
        <f aca="false">IF(OR(F858="",G858=""),"",IF(G858&lt;='RETRATO 2027'!$K$5,"CONCLUÍDA",IF(F858&lt;='RETRATO 2027'!$K$5,"EM ANDAMENTO","A INICIAR")))</f>
        <v>CONCLUÍDA</v>
      </c>
    </row>
    <row r="859" customFormat="false" ht="15" hidden="false" customHeight="false" outlineLevel="0" collapsed="false">
      <c r="B859" s="4" t="n">
        <v>30205650</v>
      </c>
      <c r="C859" s="4" t="s">
        <v>2486</v>
      </c>
      <c r="D859" s="4" t="s">
        <v>463</v>
      </c>
      <c r="E859" s="4" t="s">
        <v>2824</v>
      </c>
      <c r="F859" s="127" t="n">
        <v>46700</v>
      </c>
      <c r="G859" s="127" t="n">
        <v>46714</v>
      </c>
      <c r="H859" s="127" t="n">
        <v>46289</v>
      </c>
      <c r="I859" s="4" t="n">
        <v>0</v>
      </c>
      <c r="J859" s="4" t="n">
        <v>0</v>
      </c>
      <c r="K859" s="4" t="n">
        <v>0</v>
      </c>
      <c r="M859" s="2" t="str">
        <f aca="false">IF(C859="","",IFERROR(INDEX($S$5:$S$304,MATCH(C859,$R$5:$R$304,0))&amp;"","?"))</f>
        <v>30</v>
      </c>
      <c r="N859" s="2" t="n">
        <f aca="false">IF(E859="","",IF(ISNUMBER(SEARCH("SUBSOLO",E859)),IFERROR(-VALUE(LEFT(E859,FIND("º",SUBSTITUTE(E859,"°","º"))-1)),-1),IF(LEFT(E859,6)="TÉRREO",0,IFERROR(VALUE(LEFT(E859,FIND("º",SUBSTITUTE(E859,"°","º"))-1)),""))))</f>
        <v>0</v>
      </c>
      <c r="O859" s="2" t="str">
        <f aca="false">IF(OR(F859="",G859=""),"",IF(G859&lt;='RETRATO 2027'!$K$5,"CONCLUÍDA",IF(F859&lt;='RETRATO 2027'!$K$5,"EM ANDAMENTO","A INICIAR")))</f>
        <v>CONCLUÍDA</v>
      </c>
    </row>
    <row r="860" customFormat="false" ht="15" hidden="false" customHeight="false" outlineLevel="0" collapsed="false">
      <c r="B860" s="4" t="n">
        <v>30205627</v>
      </c>
      <c r="C860" s="4" t="s">
        <v>2480</v>
      </c>
      <c r="D860" s="4" t="s">
        <v>463</v>
      </c>
      <c r="E860" s="4" t="s">
        <v>2826</v>
      </c>
      <c r="F860" s="127" t="n">
        <v>46700</v>
      </c>
      <c r="G860" s="127" t="n">
        <v>46714</v>
      </c>
      <c r="H860" s="127" t="n">
        <v>46289</v>
      </c>
      <c r="I860" s="4" t="n">
        <v>0</v>
      </c>
      <c r="J860" s="4" t="n">
        <v>0</v>
      </c>
      <c r="K860" s="4" t="n">
        <v>0</v>
      </c>
      <c r="M860" s="2" t="str">
        <f aca="false">IF(C860="","",IFERROR(INDEX($S$5:$S$304,MATCH(C860,$R$5:$R$304,0))&amp;"","?"))</f>
        <v>30</v>
      </c>
      <c r="N860" s="2" t="n">
        <f aca="false">IF(E860="","",IF(ISNUMBER(SEARCH("SUBSOLO",E860)),IFERROR(-VALUE(LEFT(E860,FIND("º",SUBSTITUTE(E860,"°","º"))-1)),-1),IF(LEFT(E860,6)="TÉRREO",0,IFERROR(VALUE(LEFT(E860,FIND("º",SUBSTITUTE(E860,"°","º"))-1)),""))))</f>
        <v>0</v>
      </c>
      <c r="O860" s="2" t="str">
        <f aca="false">IF(OR(F860="",G860=""),"",IF(G860&lt;='RETRATO 2027'!$K$5,"CONCLUÍDA",IF(F860&lt;='RETRATO 2027'!$K$5,"EM ANDAMENTO","A INICIAR")))</f>
        <v>CONCLUÍDA</v>
      </c>
    </row>
    <row r="861" customFormat="false" ht="15" hidden="false" customHeight="false" outlineLevel="0" collapsed="false">
      <c r="B861" s="4" t="n">
        <v>30205593</v>
      </c>
      <c r="C861" s="4" t="s">
        <v>2492</v>
      </c>
      <c r="D861" s="4" t="s">
        <v>463</v>
      </c>
      <c r="E861" s="4" t="s">
        <v>2828</v>
      </c>
      <c r="F861" s="127" t="n">
        <v>46700</v>
      </c>
      <c r="G861" s="127" t="n">
        <v>46714</v>
      </c>
      <c r="H861" s="127" t="n">
        <v>46289</v>
      </c>
      <c r="I861" s="4" t="n">
        <v>0</v>
      </c>
      <c r="J861" s="4" t="n">
        <v>0</v>
      </c>
      <c r="K861" s="4" t="n">
        <v>0</v>
      </c>
      <c r="M861" s="2" t="str">
        <f aca="false">IF(C861="","",IFERROR(INDEX($S$5:$S$304,MATCH(C861,$R$5:$R$304,0))&amp;"","?"))</f>
        <v>18</v>
      </c>
      <c r="N861" s="2" t="n">
        <f aca="false">IF(E861="","",IF(ISNUMBER(SEARCH("SUBSOLO",E861)),IFERROR(-VALUE(LEFT(E861,FIND("º",SUBSTITUTE(E861,"°","º"))-1)),-1),IF(LEFT(E861,6)="TÉRREO",0,IFERROR(VALUE(LEFT(E861,FIND("º",SUBSTITUTE(E861,"°","º"))-1)),""))))</f>
        <v>0</v>
      </c>
      <c r="O861" s="2" t="str">
        <f aca="false">IF(OR(F861="",G861=""),"",IF(G861&lt;='RETRATO 2027'!$K$5,"CONCLUÍDA",IF(F861&lt;='RETRATO 2027'!$K$5,"EM ANDAMENTO","A INICIAR")))</f>
        <v>CONCLUÍDA</v>
      </c>
    </row>
    <row r="862" customFormat="false" ht="15" hidden="false" customHeight="false" outlineLevel="0" collapsed="false">
      <c r="B862" s="4" t="n">
        <v>30205565</v>
      </c>
      <c r="C862" s="4" t="s">
        <v>2449</v>
      </c>
      <c r="D862" s="4" t="s">
        <v>463</v>
      </c>
      <c r="E862" s="4" t="s">
        <v>2830</v>
      </c>
      <c r="F862" s="127" t="n">
        <v>46700</v>
      </c>
      <c r="G862" s="127" t="n">
        <v>46714</v>
      </c>
      <c r="H862" s="127" t="n">
        <v>46289</v>
      </c>
      <c r="I862" s="4" t="n">
        <v>0</v>
      </c>
      <c r="J862" s="4" t="n">
        <v>0</v>
      </c>
      <c r="K862" s="4" t="n">
        <v>0</v>
      </c>
      <c r="M862" s="2" t="str">
        <f aca="false">IF(C862="","",IFERROR(INDEX($S$5:$S$304,MATCH(C862,$R$5:$R$304,0))&amp;"","?"))</f>
        <v>28</v>
      </c>
      <c r="N862" s="2" t="n">
        <f aca="false">IF(E862="","",IF(ISNUMBER(SEARCH("SUBSOLO",E862)),IFERROR(-VALUE(LEFT(E862,FIND("º",SUBSTITUTE(E862,"°","º"))-1)),-1),IF(LEFT(E862,6)="TÉRREO",0,IFERROR(VALUE(LEFT(E862,FIND("º",SUBSTITUTE(E862,"°","º"))-1)),""))))</f>
        <v>0</v>
      </c>
      <c r="O862" s="2" t="str">
        <f aca="false">IF(OR(F862="",G862=""),"",IF(G862&lt;='RETRATO 2027'!$K$5,"CONCLUÍDA",IF(F862&lt;='RETRATO 2027'!$K$5,"EM ANDAMENTO","A INICIAR")))</f>
        <v>CONCLUÍDA</v>
      </c>
    </row>
    <row r="863" customFormat="false" ht="15" hidden="false" customHeight="false" outlineLevel="0" collapsed="false">
      <c r="B863" s="4" t="n">
        <v>31803890</v>
      </c>
      <c r="C863" s="4" t="s">
        <v>2483</v>
      </c>
      <c r="D863" s="4" t="s">
        <v>463</v>
      </c>
      <c r="E863" s="4" t="s">
        <v>2830</v>
      </c>
      <c r="F863" s="127" t="n">
        <v>46700</v>
      </c>
      <c r="G863" s="127" t="n">
        <v>46756</v>
      </c>
      <c r="H863" s="127" t="n">
        <v>46289</v>
      </c>
      <c r="I863" s="4" t="n">
        <v>0</v>
      </c>
      <c r="J863" s="4" t="n">
        <v>0</v>
      </c>
      <c r="K863" s="4" t="n">
        <v>0</v>
      </c>
      <c r="M863" s="2" t="str">
        <f aca="false">IF(C863="","",IFERROR(INDEX($S$5:$S$304,MATCH(C863,$R$5:$R$304,0))&amp;"","?"))</f>
        <v>32</v>
      </c>
      <c r="N863" s="2" t="n">
        <f aca="false">IF(E863="","",IF(ISNUMBER(SEARCH("SUBSOLO",E863)),IFERROR(-VALUE(LEFT(E863,FIND("º",SUBSTITUTE(E863,"°","º"))-1)),-1),IF(LEFT(E863,6)="TÉRREO",0,IFERROR(VALUE(LEFT(E863,FIND("º",SUBSTITUTE(E863,"°","º"))-1)),""))))</f>
        <v>0</v>
      </c>
      <c r="O863" s="2" t="str">
        <f aca="false">IF(OR(F863="",G863=""),"",IF(G863&lt;='RETRATO 2027'!$K$5,"CONCLUÍDA",IF(F863&lt;='RETRATO 2027'!$K$5,"EM ANDAMENTO","A INICIAR")))</f>
        <v>EM ANDAMENTO</v>
      </c>
    </row>
    <row r="864" customFormat="false" ht="15" hidden="false" customHeight="false" outlineLevel="0" collapsed="false">
      <c r="B864" s="4" t="n">
        <v>30205534</v>
      </c>
      <c r="C864" s="4" t="s">
        <v>2437</v>
      </c>
      <c r="D864" s="4" t="s">
        <v>463</v>
      </c>
      <c r="E864" s="4" t="s">
        <v>2832</v>
      </c>
      <c r="F864" s="127" t="n">
        <v>46700</v>
      </c>
      <c r="G864" s="127" t="n">
        <v>46714</v>
      </c>
      <c r="H864" s="127" t="n">
        <v>46289</v>
      </c>
      <c r="I864" s="4" t="n">
        <v>0</v>
      </c>
      <c r="J864" s="4" t="n">
        <v>0</v>
      </c>
      <c r="K864" s="4" t="n">
        <v>0</v>
      </c>
      <c r="M864" s="2" t="str">
        <f aca="false">IF(C864="","",IFERROR(INDEX($S$5:$S$304,MATCH(C864,$R$5:$R$304,0))&amp;"","?"))</f>
        <v>29</v>
      </c>
      <c r="N864" s="2" t="n">
        <f aca="false">IF(E864="","",IF(ISNUMBER(SEARCH("SUBSOLO",E864)),IFERROR(-VALUE(LEFT(E864,FIND("º",SUBSTITUTE(E864,"°","º"))-1)),-1),IF(LEFT(E864,6)="TÉRREO",0,IFERROR(VALUE(LEFT(E864,FIND("º",SUBSTITUTE(E864,"°","º"))-1)),""))))</f>
        <v>0</v>
      </c>
      <c r="O864" s="2" t="str">
        <f aca="false">IF(OR(F864="",G864=""),"",IF(G864&lt;='RETRATO 2027'!$K$5,"CONCLUÍDA",IF(F864&lt;='RETRATO 2027'!$K$5,"EM ANDAMENTO","A INICIAR")))</f>
        <v>CONCLUÍDA</v>
      </c>
    </row>
    <row r="865" customFormat="false" ht="15" hidden="false" customHeight="false" outlineLevel="0" collapsed="false">
      <c r="B865" s="4" t="n">
        <v>30171466</v>
      </c>
      <c r="C865" s="4" t="s">
        <v>2508</v>
      </c>
      <c r="D865" s="4" t="s">
        <v>463</v>
      </c>
      <c r="E865" s="4" t="s">
        <v>2784</v>
      </c>
      <c r="F865" s="127" t="n">
        <v>46701</v>
      </c>
      <c r="G865" s="127" t="n">
        <v>46772</v>
      </c>
      <c r="H865" s="127" t="n">
        <v>46289</v>
      </c>
      <c r="I865" s="4" t="n">
        <v>0</v>
      </c>
      <c r="J865" s="4" t="n">
        <v>0</v>
      </c>
      <c r="K865" s="4" t="n">
        <v>0</v>
      </c>
      <c r="M865" s="2" t="str">
        <f aca="false">IF(C865="","",IFERROR(INDEX($S$5:$S$304,MATCH(C865,$R$5:$R$304,0))&amp;"","?"))</f>
        <v>20</v>
      </c>
      <c r="N865" s="2" t="n">
        <f aca="false">IF(E865="","",IF(ISNUMBER(SEARCH("SUBSOLO",E865)),IFERROR(-VALUE(LEFT(E865,FIND("º",SUBSTITUTE(E865,"°","º"))-1)),-1),IF(LEFT(E865,6)="TÉRREO",0,IFERROR(VALUE(LEFT(E865,FIND("º",SUBSTITUTE(E865,"°","º"))-1)),""))))</f>
        <v>2</v>
      </c>
      <c r="O865" s="2" t="str">
        <f aca="false">IF(OR(F865="",G865=""),"",IF(G865&lt;='RETRATO 2027'!$K$5,"CONCLUÍDA",IF(F865&lt;='RETRATO 2027'!$K$5,"EM ANDAMENTO","A INICIAR")))</f>
        <v>EM ANDAMENTO</v>
      </c>
    </row>
    <row r="866" customFormat="false" ht="15" hidden="false" customHeight="false" outlineLevel="0" collapsed="false">
      <c r="B866" s="4" t="n">
        <v>30171485</v>
      </c>
      <c r="C866" s="4" t="s">
        <v>2511</v>
      </c>
      <c r="D866" s="4" t="s">
        <v>463</v>
      </c>
      <c r="E866" s="4" t="s">
        <v>2784</v>
      </c>
      <c r="F866" s="127" t="n">
        <v>46701</v>
      </c>
      <c r="G866" s="127" t="n">
        <v>46772</v>
      </c>
      <c r="H866" s="127" t="n">
        <v>46289</v>
      </c>
      <c r="I866" s="4" t="n">
        <v>0</v>
      </c>
      <c r="J866" s="4" t="n">
        <v>0</v>
      </c>
      <c r="K866" s="4" t="n">
        <v>0</v>
      </c>
      <c r="M866" s="2" t="str">
        <f aca="false">IF(C866="","",IFERROR(INDEX($S$5:$S$304,MATCH(C866,$R$5:$R$304,0))&amp;"","?"))</f>
        <v>20</v>
      </c>
      <c r="N866" s="2" t="n">
        <f aca="false">IF(E866="","",IF(ISNUMBER(SEARCH("SUBSOLO",E866)),IFERROR(-VALUE(LEFT(E866,FIND("º",SUBSTITUTE(E866,"°","º"))-1)),-1),IF(LEFT(E866,6)="TÉRREO",0,IFERROR(VALUE(LEFT(E866,FIND("º",SUBSTITUTE(E866,"°","º"))-1)),""))))</f>
        <v>2</v>
      </c>
      <c r="O866" s="2" t="str">
        <f aca="false">IF(OR(F866="",G866=""),"",IF(G866&lt;='RETRATO 2027'!$K$5,"CONCLUÍDA",IF(F866&lt;='RETRATO 2027'!$K$5,"EM ANDAMENTO","A INICIAR")))</f>
        <v>EM ANDAMENTO</v>
      </c>
    </row>
    <row r="867" customFormat="false" ht="15" hidden="false" customHeight="false" outlineLevel="0" collapsed="false">
      <c r="B867" s="4" t="n">
        <v>30171468</v>
      </c>
      <c r="C867" s="4" t="s">
        <v>2525</v>
      </c>
      <c r="D867" s="4" t="s">
        <v>463</v>
      </c>
      <c r="E867" s="4" t="s">
        <v>2784</v>
      </c>
      <c r="F867" s="127" t="n">
        <v>46701</v>
      </c>
      <c r="G867" s="127" t="n">
        <v>46730</v>
      </c>
      <c r="H867" s="127" t="n">
        <v>46289</v>
      </c>
      <c r="I867" s="4" t="n">
        <v>0</v>
      </c>
      <c r="J867" s="4" t="n">
        <v>0</v>
      </c>
      <c r="K867" s="4" t="n">
        <v>0</v>
      </c>
      <c r="M867" s="2" t="str">
        <f aca="false">IF(C867="","",IFERROR(INDEX($S$5:$S$304,MATCH(C867,$R$5:$R$304,0))&amp;"","?"))</f>
        <v>18</v>
      </c>
      <c r="N867" s="2" t="n">
        <f aca="false">IF(E867="","",IF(ISNUMBER(SEARCH("SUBSOLO",E867)),IFERROR(-VALUE(LEFT(E867,FIND("º",SUBSTITUTE(E867,"°","º"))-1)),-1),IF(LEFT(E867,6)="TÉRREO",0,IFERROR(VALUE(LEFT(E867,FIND("º",SUBSTITUTE(E867,"°","º"))-1)),""))))</f>
        <v>2</v>
      </c>
      <c r="O867" s="2" t="str">
        <f aca="false">IF(OR(F867="",G867=""),"",IF(G867&lt;='RETRATO 2027'!$K$5,"CONCLUÍDA",IF(F867&lt;='RETRATO 2027'!$K$5,"EM ANDAMENTO","A INICIAR")))</f>
        <v>CONCLUÍDA</v>
      </c>
    </row>
    <row r="868" customFormat="false" ht="15" hidden="false" customHeight="false" outlineLevel="0" collapsed="false">
      <c r="B868" s="4" t="n">
        <v>30214059</v>
      </c>
      <c r="C868" s="4" t="s">
        <v>2514</v>
      </c>
      <c r="D868" s="4" t="s">
        <v>463</v>
      </c>
      <c r="E868" s="4" t="s">
        <v>2784</v>
      </c>
      <c r="F868" s="127" t="n">
        <v>46701</v>
      </c>
      <c r="G868" s="127" t="n">
        <v>46715</v>
      </c>
      <c r="H868" s="127" t="n">
        <v>46289</v>
      </c>
      <c r="I868" s="4" t="n">
        <v>0</v>
      </c>
      <c r="J868" s="4" t="n">
        <v>0</v>
      </c>
      <c r="K868" s="4" t="n">
        <v>0</v>
      </c>
      <c r="M868" s="2" t="str">
        <f aca="false">IF(C868="","",IFERROR(INDEX($S$5:$S$304,MATCH(C868,$R$5:$R$304,0))&amp;"","?"))</f>
        <v>20</v>
      </c>
      <c r="N868" s="2" t="n">
        <f aca="false">IF(E868="","",IF(ISNUMBER(SEARCH("SUBSOLO",E868)),IFERROR(-VALUE(LEFT(E868,FIND("º",SUBSTITUTE(E868,"°","º"))-1)),-1),IF(LEFT(E868,6)="TÉRREO",0,IFERROR(VALUE(LEFT(E868,FIND("º",SUBSTITUTE(E868,"°","º"))-1)),""))))</f>
        <v>2</v>
      </c>
      <c r="O868" s="2" t="str">
        <f aca="false">IF(OR(F868="",G868=""),"",IF(G868&lt;='RETRATO 2027'!$K$5,"CONCLUÍDA",IF(F868&lt;='RETRATO 2027'!$K$5,"EM ANDAMENTO","A INICIAR")))</f>
        <v>CONCLUÍDA</v>
      </c>
    </row>
    <row r="869" customFormat="false" ht="15" hidden="false" customHeight="false" outlineLevel="0" collapsed="false">
      <c r="B869" s="4" t="n">
        <v>29981477</v>
      </c>
      <c r="C869" s="4" t="s">
        <v>216</v>
      </c>
      <c r="D869" s="4" t="s">
        <v>463</v>
      </c>
      <c r="E869" s="4" t="s">
        <v>2805</v>
      </c>
      <c r="F869" s="127" t="n">
        <v>46702</v>
      </c>
      <c r="G869" s="127" t="n">
        <v>46715</v>
      </c>
      <c r="H869" s="127" t="n">
        <v>46289</v>
      </c>
      <c r="I869" s="4" t="n">
        <v>0</v>
      </c>
      <c r="J869" s="4" t="n">
        <v>0</v>
      </c>
      <c r="K869" s="4" t="n">
        <v>0</v>
      </c>
      <c r="M869" s="2" t="str">
        <f aca="false">IF(C869="","",IFERROR(INDEX($S$5:$S$304,MATCH(C869,$R$5:$R$304,0))&amp;"","?"))</f>
        <v>33</v>
      </c>
      <c r="N869" s="2" t="n">
        <f aca="false">IF(E869="","",IF(ISNUMBER(SEARCH("SUBSOLO",E869)),IFERROR(-VALUE(LEFT(E869,FIND("º",SUBSTITUTE(E869,"°","º"))-1)),-1),IF(LEFT(E869,6)="TÉRREO",0,IFERROR(VALUE(LEFT(E869,FIND("º",SUBSTITUTE(E869,"°","º"))-1)),""))))</f>
        <v>9</v>
      </c>
      <c r="O869" s="2" t="str">
        <f aca="false">IF(OR(F869="",G869=""),"",IF(G869&lt;='RETRATO 2027'!$K$5,"CONCLUÍDA",IF(F869&lt;='RETRATO 2027'!$K$5,"EM ANDAMENTO","A INICIAR")))</f>
        <v>CONCLUÍDA</v>
      </c>
    </row>
    <row r="870" customFormat="false" ht="15" hidden="false" customHeight="false" outlineLevel="0" collapsed="false">
      <c r="B870" s="4" t="n">
        <v>29981438</v>
      </c>
      <c r="C870" s="4" t="s">
        <v>2508</v>
      </c>
      <c r="D870" s="4" t="s">
        <v>463</v>
      </c>
      <c r="E870" s="4" t="s">
        <v>2809</v>
      </c>
      <c r="F870" s="127" t="n">
        <v>46702</v>
      </c>
      <c r="G870" s="127" t="n">
        <v>46715</v>
      </c>
      <c r="H870" s="127" t="n">
        <v>46289</v>
      </c>
      <c r="I870" s="4" t="n">
        <v>0</v>
      </c>
      <c r="J870" s="4" t="n">
        <v>0</v>
      </c>
      <c r="K870" s="4" t="n">
        <v>0</v>
      </c>
      <c r="M870" s="2" t="str">
        <f aca="false">IF(C870="","",IFERROR(INDEX($S$5:$S$304,MATCH(C870,$R$5:$R$304,0))&amp;"","?"))</f>
        <v>20</v>
      </c>
      <c r="N870" s="2" t="n">
        <f aca="false">IF(E870="","",IF(ISNUMBER(SEARCH("SUBSOLO",E870)),IFERROR(-VALUE(LEFT(E870,FIND("º",SUBSTITUTE(E870,"°","º"))-1)),-1),IF(LEFT(E870,6)="TÉRREO",0,IFERROR(VALUE(LEFT(E870,FIND("º",SUBSTITUTE(E870,"°","º"))-1)),""))))</f>
        <v>10</v>
      </c>
      <c r="O870" s="2" t="str">
        <f aca="false">IF(OR(F870="",G870=""),"",IF(G870&lt;='RETRATO 2027'!$K$5,"CONCLUÍDA",IF(F870&lt;='RETRATO 2027'!$K$5,"EM ANDAMENTO","A INICIAR")))</f>
        <v>CONCLUÍDA</v>
      </c>
    </row>
    <row r="871" customFormat="false" ht="15" hidden="false" customHeight="false" outlineLevel="0" collapsed="false">
      <c r="B871" s="4" t="n">
        <v>29981443</v>
      </c>
      <c r="C871" s="4" t="s">
        <v>2511</v>
      </c>
      <c r="D871" s="4" t="s">
        <v>463</v>
      </c>
      <c r="E871" s="4" t="s">
        <v>2809</v>
      </c>
      <c r="F871" s="127" t="n">
        <v>46702</v>
      </c>
      <c r="G871" s="127" t="n">
        <v>46715</v>
      </c>
      <c r="H871" s="127" t="n">
        <v>46289</v>
      </c>
      <c r="I871" s="4" t="n">
        <v>0</v>
      </c>
      <c r="J871" s="4" t="n">
        <v>0</v>
      </c>
      <c r="K871" s="4" t="n">
        <v>0</v>
      </c>
      <c r="M871" s="2" t="str">
        <f aca="false">IF(C871="","",IFERROR(INDEX($S$5:$S$304,MATCH(C871,$R$5:$R$304,0))&amp;"","?"))</f>
        <v>20</v>
      </c>
      <c r="N871" s="2" t="n">
        <f aca="false">IF(E871="","",IF(ISNUMBER(SEARCH("SUBSOLO",E871)),IFERROR(-VALUE(LEFT(E871,FIND("º",SUBSTITUTE(E871,"°","º"))-1)),-1),IF(LEFT(E871,6)="TÉRREO",0,IFERROR(VALUE(LEFT(E871,FIND("º",SUBSTITUTE(E871,"°","º"))-1)),""))))</f>
        <v>10</v>
      </c>
      <c r="O871" s="2" t="str">
        <f aca="false">IF(OR(F871="",G871=""),"",IF(G871&lt;='RETRATO 2027'!$K$5,"CONCLUÍDA",IF(F871&lt;='RETRATO 2027'!$K$5,"EM ANDAMENTO","A INICIAR")))</f>
        <v>CONCLUÍDA</v>
      </c>
    </row>
    <row r="872" customFormat="false" ht="15" hidden="false" customHeight="false" outlineLevel="0" collapsed="false">
      <c r="B872" s="4" t="n">
        <v>30214072</v>
      </c>
      <c r="C872" s="4" t="s">
        <v>2514</v>
      </c>
      <c r="D872" s="4" t="s">
        <v>463</v>
      </c>
      <c r="E872" s="4" t="s">
        <v>2809</v>
      </c>
      <c r="F872" s="127" t="n">
        <v>46702</v>
      </c>
      <c r="G872" s="127" t="n">
        <v>46716</v>
      </c>
      <c r="H872" s="127" t="n">
        <v>46289</v>
      </c>
      <c r="I872" s="4" t="n">
        <v>0</v>
      </c>
      <c r="J872" s="4" t="n">
        <v>0</v>
      </c>
      <c r="K872" s="4" t="n">
        <v>0</v>
      </c>
      <c r="M872" s="2" t="str">
        <f aca="false">IF(C872="","",IFERROR(INDEX($S$5:$S$304,MATCH(C872,$R$5:$R$304,0))&amp;"","?"))</f>
        <v>20</v>
      </c>
      <c r="N872" s="2" t="n">
        <f aca="false">IF(E872="","",IF(ISNUMBER(SEARCH("SUBSOLO",E872)),IFERROR(-VALUE(LEFT(E872,FIND("º",SUBSTITUTE(E872,"°","º"))-1)),-1),IF(LEFT(E872,6)="TÉRREO",0,IFERROR(VALUE(LEFT(E872,FIND("º",SUBSTITUTE(E872,"°","º"))-1)),""))))</f>
        <v>10</v>
      </c>
      <c r="O872" s="2" t="str">
        <f aca="false">IF(OR(F872="",G872=""),"",IF(G872&lt;='RETRATO 2027'!$K$5,"CONCLUÍDA",IF(F872&lt;='RETRATO 2027'!$K$5,"EM ANDAMENTO","A INICIAR")))</f>
        <v>CONCLUÍDA</v>
      </c>
    </row>
    <row r="873" customFormat="false" ht="15" hidden="false" customHeight="false" outlineLevel="0" collapsed="false">
      <c r="B873" s="4" t="n">
        <v>29981385</v>
      </c>
      <c r="C873" s="4" t="s">
        <v>2501</v>
      </c>
      <c r="D873" s="4" t="s">
        <v>463</v>
      </c>
      <c r="E873" s="4" t="s">
        <v>2810</v>
      </c>
      <c r="F873" s="127" t="n">
        <v>46702</v>
      </c>
      <c r="G873" s="127" t="n">
        <v>46715</v>
      </c>
      <c r="H873" s="127" t="n">
        <v>46289</v>
      </c>
      <c r="I873" s="4" t="n">
        <v>0</v>
      </c>
      <c r="J873" s="4" t="n">
        <v>0</v>
      </c>
      <c r="K873" s="4" t="n">
        <v>0</v>
      </c>
      <c r="M873" s="2" t="str">
        <f aca="false">IF(C873="","",IFERROR(INDEX($S$5:$S$304,MATCH(C873,$R$5:$R$304,0))&amp;"","?"))</f>
        <v>30</v>
      </c>
      <c r="N873" s="2" t="n">
        <f aca="false">IF(E873="","",IF(ISNUMBER(SEARCH("SUBSOLO",E873)),IFERROR(-VALUE(LEFT(E873,FIND("º",SUBSTITUTE(E873,"°","º"))-1)),-1),IF(LEFT(E873,6)="TÉRREO",0,IFERROR(VALUE(LEFT(E873,FIND("º",SUBSTITUTE(E873,"°","º"))-1)),""))))</f>
        <v>11</v>
      </c>
      <c r="O873" s="2" t="str">
        <f aca="false">IF(OR(F873="",G873=""),"",IF(G873&lt;='RETRATO 2027'!$K$5,"CONCLUÍDA",IF(F873&lt;='RETRATO 2027'!$K$5,"EM ANDAMENTO","A INICIAR")))</f>
        <v>CONCLUÍDA</v>
      </c>
    </row>
    <row r="874" customFormat="false" ht="15" hidden="false" customHeight="false" outlineLevel="0" collapsed="false">
      <c r="B874" s="4" t="n">
        <v>29981347</v>
      </c>
      <c r="C874" s="4" t="s">
        <v>2486</v>
      </c>
      <c r="D874" s="4" t="s">
        <v>463</v>
      </c>
      <c r="E874" s="4" t="s">
        <v>2811</v>
      </c>
      <c r="F874" s="127" t="n">
        <v>46702</v>
      </c>
      <c r="G874" s="127" t="n">
        <v>46715</v>
      </c>
      <c r="H874" s="127" t="n">
        <v>46289</v>
      </c>
      <c r="I874" s="4" t="n">
        <v>0</v>
      </c>
      <c r="J874" s="4" t="n">
        <v>0</v>
      </c>
      <c r="K874" s="4" t="n">
        <v>0</v>
      </c>
      <c r="M874" s="2" t="str">
        <f aca="false">IF(C874="","",IFERROR(INDEX($S$5:$S$304,MATCH(C874,$R$5:$R$304,0))&amp;"","?"))</f>
        <v>30</v>
      </c>
      <c r="N874" s="2" t="n">
        <f aca="false">IF(E874="","",IF(ISNUMBER(SEARCH("SUBSOLO",E874)),IFERROR(-VALUE(LEFT(E874,FIND("º",SUBSTITUTE(E874,"°","º"))-1)),-1),IF(LEFT(E874,6)="TÉRREO",0,IFERROR(VALUE(LEFT(E874,FIND("º",SUBSTITUTE(E874,"°","º"))-1)),""))))</f>
        <v>12</v>
      </c>
      <c r="O874" s="2" t="str">
        <f aca="false">IF(OR(F874="",G874=""),"",IF(G874&lt;='RETRATO 2027'!$K$5,"CONCLUÍDA",IF(F874&lt;='RETRATO 2027'!$K$5,"EM ANDAMENTO","A INICIAR")))</f>
        <v>CONCLUÍDA</v>
      </c>
    </row>
    <row r="875" customFormat="false" ht="15" hidden="false" customHeight="false" outlineLevel="0" collapsed="false">
      <c r="B875" s="4" t="n">
        <v>29981326</v>
      </c>
      <c r="C875" s="4" t="s">
        <v>2480</v>
      </c>
      <c r="D875" s="4" t="s">
        <v>463</v>
      </c>
      <c r="E875" s="4" t="s">
        <v>2812</v>
      </c>
      <c r="F875" s="127" t="n">
        <v>46702</v>
      </c>
      <c r="G875" s="127" t="n">
        <v>46715</v>
      </c>
      <c r="H875" s="127" t="n">
        <v>46289</v>
      </c>
      <c r="I875" s="4" t="n">
        <v>0</v>
      </c>
      <c r="J875" s="4" t="n">
        <v>0</v>
      </c>
      <c r="K875" s="4" t="n">
        <v>0</v>
      </c>
      <c r="M875" s="2" t="str">
        <f aca="false">IF(C875="","",IFERROR(INDEX($S$5:$S$304,MATCH(C875,$R$5:$R$304,0))&amp;"","?"))</f>
        <v>30</v>
      </c>
      <c r="N875" s="2" t="n">
        <f aca="false">IF(E875="","",IF(ISNUMBER(SEARCH("SUBSOLO",E875)),IFERROR(-VALUE(LEFT(E875,FIND("º",SUBSTITUTE(E875,"°","º"))-1)),-1),IF(LEFT(E875,6)="TÉRREO",0,IFERROR(VALUE(LEFT(E875,FIND("º",SUBSTITUTE(E875,"°","º"))-1)),""))))</f>
        <v>13</v>
      </c>
      <c r="O875" s="2" t="str">
        <f aca="false">IF(OR(F875="",G875=""),"",IF(G875&lt;='RETRATO 2027'!$K$5,"CONCLUÍDA",IF(F875&lt;='RETRATO 2027'!$K$5,"EM ANDAMENTO","A INICIAR")))</f>
        <v>CONCLUÍDA</v>
      </c>
    </row>
    <row r="876" customFormat="false" ht="15" hidden="false" customHeight="false" outlineLevel="0" collapsed="false">
      <c r="B876" s="4" t="n">
        <v>29981287</v>
      </c>
      <c r="C876" s="4" t="s">
        <v>171</v>
      </c>
      <c r="D876" s="4" t="s">
        <v>463</v>
      </c>
      <c r="E876" s="4" t="s">
        <v>2813</v>
      </c>
      <c r="F876" s="127" t="n">
        <v>46702</v>
      </c>
      <c r="G876" s="127" t="n">
        <v>46715</v>
      </c>
      <c r="H876" s="127" t="n">
        <v>46289</v>
      </c>
      <c r="I876" s="4" t="n">
        <v>0</v>
      </c>
      <c r="J876" s="4" t="n">
        <v>0</v>
      </c>
      <c r="K876" s="4" t="n">
        <v>0</v>
      </c>
      <c r="M876" s="2" t="str">
        <f aca="false">IF(C876="","",IFERROR(INDEX($S$5:$S$304,MATCH(C876,$R$5:$R$304,0))&amp;"","?"))</f>
        <v>19</v>
      </c>
      <c r="N876" s="2" t="n">
        <f aca="false">IF(E876="","",IF(ISNUMBER(SEARCH("SUBSOLO",E876)),IFERROR(-VALUE(LEFT(E876,FIND("º",SUBSTITUTE(E876,"°","º"))-1)),-1),IF(LEFT(E876,6)="TÉRREO",0,IFERROR(VALUE(LEFT(E876,FIND("º",SUBSTITUTE(E876,"°","º"))-1)),""))))</f>
        <v>14</v>
      </c>
      <c r="O876" s="2" t="str">
        <f aca="false">IF(OR(F876="",G876=""),"",IF(G876&lt;='RETRATO 2027'!$K$5,"CONCLUÍDA",IF(F876&lt;='RETRATO 2027'!$K$5,"EM ANDAMENTO","A INICIAR")))</f>
        <v>CONCLUÍDA</v>
      </c>
    </row>
    <row r="877" customFormat="false" ht="15" hidden="false" customHeight="false" outlineLevel="0" collapsed="false">
      <c r="B877" s="4" t="n">
        <v>32750441</v>
      </c>
      <c r="C877" s="4" t="s">
        <v>2470</v>
      </c>
      <c r="D877" s="4" t="s">
        <v>463</v>
      </c>
      <c r="E877" s="4" t="s">
        <v>2814</v>
      </c>
      <c r="F877" s="127" t="n">
        <v>46702</v>
      </c>
      <c r="G877" s="127" t="n">
        <v>46715</v>
      </c>
      <c r="H877" s="127" t="n">
        <v>46289</v>
      </c>
      <c r="I877" s="4" t="n">
        <v>0</v>
      </c>
      <c r="J877" s="4" t="n">
        <v>0</v>
      </c>
      <c r="K877" s="4" t="n">
        <v>0</v>
      </c>
      <c r="M877" s="2" t="str">
        <f aca="false">IF(C877="","",IFERROR(INDEX($S$5:$S$304,MATCH(C877,$R$5:$R$304,0))&amp;"","?"))</f>
        <v>18</v>
      </c>
      <c r="N877" s="2" t="n">
        <f aca="false">IF(E877="","",IF(ISNUMBER(SEARCH("SUBSOLO",E877)),IFERROR(-VALUE(LEFT(E877,FIND("º",SUBSTITUTE(E877,"°","º"))-1)),-1),IF(LEFT(E877,6)="TÉRREO",0,IFERROR(VALUE(LEFT(E877,FIND("º",SUBSTITUTE(E877,"°","º"))-1)),""))))</f>
        <v>15</v>
      </c>
      <c r="O877" s="2" t="str">
        <f aca="false">IF(OR(F877="",G877=""),"",IF(G877&lt;='RETRATO 2027'!$K$5,"CONCLUÍDA",IF(F877&lt;='RETRATO 2027'!$K$5,"EM ANDAMENTO","A INICIAR")))</f>
        <v>CONCLUÍDA</v>
      </c>
    </row>
    <row r="878" customFormat="false" ht="15" hidden="false" customHeight="false" outlineLevel="0" collapsed="false">
      <c r="B878" s="4" t="n">
        <v>32750364</v>
      </c>
      <c r="C878" s="4" t="s">
        <v>2458</v>
      </c>
      <c r="D878" s="4" t="s">
        <v>463</v>
      </c>
      <c r="E878" s="4" t="s">
        <v>2815</v>
      </c>
      <c r="F878" s="127" t="n">
        <v>46702</v>
      </c>
      <c r="G878" s="127" t="n">
        <v>46715</v>
      </c>
      <c r="H878" s="127" t="n">
        <v>46289</v>
      </c>
      <c r="I878" s="4" t="n">
        <v>0</v>
      </c>
      <c r="J878" s="4" t="n">
        <v>0</v>
      </c>
      <c r="K878" s="4" t="n">
        <v>0</v>
      </c>
      <c r="M878" s="2" t="str">
        <f aca="false">IF(C878="","",IFERROR(INDEX($S$5:$S$304,MATCH(C878,$R$5:$R$304,0))&amp;"","?"))</f>
        <v>21</v>
      </c>
      <c r="N878" s="2" t="n">
        <f aca="false">IF(E878="","",IF(ISNUMBER(SEARCH("SUBSOLO",E878)),IFERROR(-VALUE(LEFT(E878,FIND("º",SUBSTITUTE(E878,"°","º"))-1)),-1),IF(LEFT(E878,6)="TÉRREO",0,IFERROR(VALUE(LEFT(E878,FIND("º",SUBSTITUTE(E878,"°","º"))-1)),""))))</f>
        <v>16</v>
      </c>
      <c r="O878" s="2" t="str">
        <f aca="false">IF(OR(F878="",G878=""),"",IF(G878&lt;='RETRATO 2027'!$K$5,"CONCLUÍDA",IF(F878&lt;='RETRATO 2027'!$K$5,"EM ANDAMENTO","A INICIAR")))</f>
        <v>CONCLUÍDA</v>
      </c>
    </row>
    <row r="879" customFormat="false" ht="15" hidden="false" customHeight="false" outlineLevel="0" collapsed="false">
      <c r="B879" s="4" t="n">
        <v>32750390</v>
      </c>
      <c r="C879" s="4" t="s">
        <v>2461</v>
      </c>
      <c r="D879" s="4" t="s">
        <v>463</v>
      </c>
      <c r="E879" s="4" t="s">
        <v>2815</v>
      </c>
      <c r="F879" s="127" t="n">
        <v>46702</v>
      </c>
      <c r="G879" s="127" t="n">
        <v>46715</v>
      </c>
      <c r="H879" s="127" t="n">
        <v>46289</v>
      </c>
      <c r="I879" s="4" t="n">
        <v>0</v>
      </c>
      <c r="J879" s="4" t="n">
        <v>0</v>
      </c>
      <c r="K879" s="4" t="n">
        <v>0</v>
      </c>
      <c r="M879" s="2" t="str">
        <f aca="false">IF(C879="","",IFERROR(INDEX($S$5:$S$304,MATCH(C879,$R$5:$R$304,0))&amp;"","?"))</f>
        <v>20</v>
      </c>
      <c r="N879" s="2" t="n">
        <f aca="false">IF(E879="","",IF(ISNUMBER(SEARCH("SUBSOLO",E879)),IFERROR(-VALUE(LEFT(E879,FIND("º",SUBSTITUTE(E879,"°","º"))-1)),-1),IF(LEFT(E879,6)="TÉRREO",0,IFERROR(VALUE(LEFT(E879,FIND("º",SUBSTITUTE(E879,"°","º"))-1)),""))))</f>
        <v>16</v>
      </c>
      <c r="O879" s="2" t="str">
        <f aca="false">IF(OR(F879="",G879=""),"",IF(G879&lt;='RETRATO 2027'!$K$5,"CONCLUÍDA",IF(F879&lt;='RETRATO 2027'!$K$5,"EM ANDAMENTO","A INICIAR")))</f>
        <v>CONCLUÍDA</v>
      </c>
    </row>
    <row r="880" customFormat="false" ht="15" hidden="false" customHeight="false" outlineLevel="0" collapsed="false">
      <c r="B880" s="4" t="n">
        <v>32750416</v>
      </c>
      <c r="C880" s="4" t="s">
        <v>2464</v>
      </c>
      <c r="D880" s="4" t="s">
        <v>463</v>
      </c>
      <c r="E880" s="4" t="s">
        <v>2815</v>
      </c>
      <c r="F880" s="127" t="n">
        <v>46702</v>
      </c>
      <c r="G880" s="127" t="n">
        <v>46715</v>
      </c>
      <c r="H880" s="127" t="n">
        <v>46289</v>
      </c>
      <c r="I880" s="4" t="n">
        <v>0</v>
      </c>
      <c r="J880" s="4" t="n">
        <v>0</v>
      </c>
      <c r="K880" s="4" t="n">
        <v>0</v>
      </c>
      <c r="M880" s="2" t="str">
        <f aca="false">IF(C880="","",IFERROR(INDEX($S$5:$S$304,MATCH(C880,$R$5:$R$304,0))&amp;"","?"))</f>
        <v>21</v>
      </c>
      <c r="N880" s="2" t="n">
        <f aca="false">IF(E880="","",IF(ISNUMBER(SEARCH("SUBSOLO",E880)),IFERROR(-VALUE(LEFT(E880,FIND("º",SUBSTITUTE(E880,"°","º"))-1)),-1),IF(LEFT(E880,6)="TÉRREO",0,IFERROR(VALUE(LEFT(E880,FIND("º",SUBSTITUTE(E880,"°","º"))-1)),""))))</f>
        <v>16</v>
      </c>
      <c r="O880" s="2" t="str">
        <f aca="false">IF(OR(F880="",G880=""),"",IF(G880&lt;='RETRATO 2027'!$K$5,"CONCLUÍDA",IF(F880&lt;='RETRATO 2027'!$K$5,"EM ANDAMENTO","A INICIAR")))</f>
        <v>CONCLUÍDA</v>
      </c>
    </row>
    <row r="881" customFormat="false" ht="15" hidden="false" customHeight="false" outlineLevel="0" collapsed="false">
      <c r="B881" s="4" t="n">
        <v>33896834</v>
      </c>
      <c r="C881" s="4" t="s">
        <v>2467</v>
      </c>
      <c r="D881" s="4" t="s">
        <v>463</v>
      </c>
      <c r="E881" s="4" t="s">
        <v>2815</v>
      </c>
      <c r="F881" s="127" t="n">
        <v>46702</v>
      </c>
      <c r="G881" s="127" t="n">
        <v>46715</v>
      </c>
      <c r="H881" s="127" t="n">
        <v>46289</v>
      </c>
      <c r="I881" s="4" t="n">
        <v>0</v>
      </c>
      <c r="J881" s="4" t="n">
        <v>0</v>
      </c>
      <c r="K881" s="4" t="n">
        <v>0</v>
      </c>
      <c r="M881" s="2" t="str">
        <f aca="false">IF(C881="","",IFERROR(INDEX($S$5:$S$304,MATCH(C881,$R$5:$R$304,0))&amp;"","?"))</f>
        <v>23</v>
      </c>
      <c r="N881" s="2" t="n">
        <f aca="false">IF(E881="","",IF(ISNUMBER(SEARCH("SUBSOLO",E881)),IFERROR(-VALUE(LEFT(E881,FIND("º",SUBSTITUTE(E881,"°","º"))-1)),-1),IF(LEFT(E881,6)="TÉRREO",0,IFERROR(VALUE(LEFT(E881,FIND("º",SUBSTITUTE(E881,"°","º"))-1)),""))))</f>
        <v>16</v>
      </c>
      <c r="O881" s="2" t="str">
        <f aca="false">IF(OR(F881="",G881=""),"",IF(G881&lt;='RETRATO 2027'!$K$5,"CONCLUÍDA",IF(F881&lt;='RETRATO 2027'!$K$5,"EM ANDAMENTO","A INICIAR")))</f>
        <v>CONCLUÍDA</v>
      </c>
    </row>
    <row r="882" customFormat="false" ht="15" hidden="false" customHeight="false" outlineLevel="0" collapsed="false">
      <c r="B882" s="4" t="n">
        <v>32749860</v>
      </c>
      <c r="C882" s="4" t="s">
        <v>2455</v>
      </c>
      <c r="D882" s="4" t="s">
        <v>463</v>
      </c>
      <c r="E882" s="4" t="s">
        <v>2818</v>
      </c>
      <c r="F882" s="127" t="n">
        <v>46702</v>
      </c>
      <c r="G882" s="127" t="n">
        <v>46715</v>
      </c>
      <c r="H882" s="127" t="n">
        <v>46289</v>
      </c>
      <c r="I882" s="4" t="n">
        <v>0</v>
      </c>
      <c r="J882" s="4" t="n">
        <v>0</v>
      </c>
      <c r="K882" s="4" t="n">
        <v>0</v>
      </c>
      <c r="M882" s="2" t="str">
        <f aca="false">IF(C882="","",IFERROR(INDEX($S$5:$S$304,MATCH(C882,$R$5:$R$304,0))&amp;"","?"))</f>
        <v>18</v>
      </c>
      <c r="N882" s="2" t="n">
        <f aca="false">IF(E882="","",IF(ISNUMBER(SEARCH("SUBSOLO",E882)),IFERROR(-VALUE(LEFT(E882,FIND("º",SUBSTITUTE(E882,"°","º"))-1)),-1),IF(LEFT(E882,6)="TÉRREO",0,IFERROR(VALUE(LEFT(E882,FIND("º",SUBSTITUTE(E882,"°","º"))-1)),""))))</f>
        <v>17</v>
      </c>
      <c r="O882" s="2" t="str">
        <f aca="false">IF(OR(F882="",G882=""),"",IF(G882&lt;='RETRATO 2027'!$K$5,"CONCLUÍDA",IF(F882&lt;='RETRATO 2027'!$K$5,"EM ANDAMENTO","A INICIAR")))</f>
        <v>CONCLUÍDA</v>
      </c>
    </row>
    <row r="883" customFormat="false" ht="15" hidden="false" customHeight="false" outlineLevel="0" collapsed="false">
      <c r="B883" s="4" t="n">
        <v>29981140</v>
      </c>
      <c r="C883" s="4" t="s">
        <v>2449</v>
      </c>
      <c r="D883" s="4" t="s">
        <v>463</v>
      </c>
      <c r="E883" s="4" t="s">
        <v>2820</v>
      </c>
      <c r="F883" s="127" t="n">
        <v>46702</v>
      </c>
      <c r="G883" s="127" t="n">
        <v>46715</v>
      </c>
      <c r="H883" s="127" t="n">
        <v>46289</v>
      </c>
      <c r="I883" s="4" t="n">
        <v>0</v>
      </c>
      <c r="J883" s="4" t="n">
        <v>0</v>
      </c>
      <c r="K883" s="4" t="n">
        <v>0</v>
      </c>
      <c r="M883" s="2" t="str">
        <f aca="false">IF(C883="","",IFERROR(INDEX($S$5:$S$304,MATCH(C883,$R$5:$R$304,0))&amp;"","?"))</f>
        <v>28</v>
      </c>
      <c r="N883" s="2" t="n">
        <f aca="false">IF(E883="","",IF(ISNUMBER(SEARCH("SUBSOLO",E883)),IFERROR(-VALUE(LEFT(E883,FIND("º",SUBSTITUTE(E883,"°","º"))-1)),-1),IF(LEFT(E883,6)="TÉRREO",0,IFERROR(VALUE(LEFT(E883,FIND("º",SUBSTITUTE(E883,"°","º"))-1)),""))))</f>
        <v>18</v>
      </c>
      <c r="O883" s="2" t="str">
        <f aca="false">IF(OR(F883="",G883=""),"",IF(G883&lt;='RETRATO 2027'!$K$5,"CONCLUÍDA",IF(F883&lt;='RETRATO 2027'!$K$5,"EM ANDAMENTO","A INICIAR")))</f>
        <v>CONCLUÍDA</v>
      </c>
    </row>
    <row r="884" customFormat="false" ht="15" hidden="false" customHeight="false" outlineLevel="0" collapsed="false">
      <c r="B884" s="4" t="n">
        <v>29981043</v>
      </c>
      <c r="C884" s="4" t="s">
        <v>2440</v>
      </c>
      <c r="D884" s="4" t="s">
        <v>463</v>
      </c>
      <c r="E884" s="4" t="s">
        <v>2823</v>
      </c>
      <c r="F884" s="127" t="n">
        <v>46702</v>
      </c>
      <c r="G884" s="127" t="n">
        <v>46715</v>
      </c>
      <c r="H884" s="127" t="n">
        <v>46289</v>
      </c>
      <c r="I884" s="4" t="n">
        <v>0</v>
      </c>
      <c r="J884" s="4" t="n">
        <v>0</v>
      </c>
      <c r="K884" s="4" t="n">
        <v>0</v>
      </c>
      <c r="M884" s="2" t="str">
        <f aca="false">IF(C884="","",IFERROR(INDEX($S$5:$S$304,MATCH(C884,$R$5:$R$304,0))&amp;"","?"))</f>
        <v>21</v>
      </c>
      <c r="N884" s="2" t="n">
        <f aca="false">IF(E884="","",IF(ISNUMBER(SEARCH("SUBSOLO",E884)),IFERROR(-VALUE(LEFT(E884,FIND("º",SUBSTITUTE(E884,"°","º"))-1)),-1),IF(LEFT(E884,6)="TÉRREO",0,IFERROR(VALUE(LEFT(E884,FIND("º",SUBSTITUTE(E884,"°","º"))-1)),""))))</f>
        <v>20</v>
      </c>
      <c r="O884" s="2" t="str">
        <f aca="false">IF(OR(F884="",G884=""),"",IF(G884&lt;='RETRATO 2027'!$K$5,"CONCLUÍDA",IF(F884&lt;='RETRATO 2027'!$K$5,"EM ANDAMENTO","A INICIAR")))</f>
        <v>CONCLUÍDA</v>
      </c>
    </row>
    <row r="885" customFormat="false" ht="15" hidden="false" customHeight="false" outlineLevel="0" collapsed="false">
      <c r="B885" s="4" t="n">
        <v>29981076</v>
      </c>
      <c r="C885" s="4" t="s">
        <v>2443</v>
      </c>
      <c r="D885" s="4" t="s">
        <v>463</v>
      </c>
      <c r="E885" s="4" t="s">
        <v>2823</v>
      </c>
      <c r="F885" s="127" t="n">
        <v>46702</v>
      </c>
      <c r="G885" s="127" t="n">
        <v>46715</v>
      </c>
      <c r="H885" s="127" t="n">
        <v>46289</v>
      </c>
      <c r="I885" s="4" t="n">
        <v>0</v>
      </c>
      <c r="J885" s="4" t="n">
        <v>0</v>
      </c>
      <c r="K885" s="4" t="n">
        <v>0</v>
      </c>
      <c r="M885" s="2" t="str">
        <f aca="false">IF(C885="","",IFERROR(INDEX($S$5:$S$304,MATCH(C885,$R$5:$R$304,0))&amp;"","?"))</f>
        <v>20</v>
      </c>
      <c r="N885" s="2" t="n">
        <f aca="false">IF(E885="","",IF(ISNUMBER(SEARCH("SUBSOLO",E885)),IFERROR(-VALUE(LEFT(E885,FIND("º",SUBSTITUTE(E885,"°","º"))-1)),-1),IF(LEFT(E885,6)="TÉRREO",0,IFERROR(VALUE(LEFT(E885,FIND("º",SUBSTITUTE(E885,"°","º"))-1)),""))))</f>
        <v>20</v>
      </c>
      <c r="O885" s="2" t="str">
        <f aca="false">IF(OR(F885="",G885=""),"",IF(G885&lt;='RETRATO 2027'!$K$5,"CONCLUÍDA",IF(F885&lt;='RETRATO 2027'!$K$5,"EM ANDAMENTO","A INICIAR")))</f>
        <v>CONCLUÍDA</v>
      </c>
    </row>
    <row r="886" customFormat="false" ht="15" hidden="false" customHeight="false" outlineLevel="0" collapsed="false">
      <c r="B886" s="4" t="n">
        <v>29981005</v>
      </c>
      <c r="C886" s="4" t="s">
        <v>2437</v>
      </c>
      <c r="D886" s="4" t="s">
        <v>463</v>
      </c>
      <c r="E886" s="4" t="s">
        <v>2825</v>
      </c>
      <c r="F886" s="127" t="n">
        <v>46702</v>
      </c>
      <c r="G886" s="127" t="n">
        <v>46715</v>
      </c>
      <c r="H886" s="127" t="n">
        <v>46289</v>
      </c>
      <c r="I886" s="4" t="n">
        <v>0</v>
      </c>
      <c r="J886" s="4" t="n">
        <v>0</v>
      </c>
      <c r="K886" s="4" t="n">
        <v>0</v>
      </c>
      <c r="M886" s="2" t="str">
        <f aca="false">IF(C886="","",IFERROR(INDEX($S$5:$S$304,MATCH(C886,$R$5:$R$304,0))&amp;"","?"))</f>
        <v>29</v>
      </c>
      <c r="N886" s="2" t="n">
        <f aca="false">IF(E886="","",IF(ISNUMBER(SEARCH("SUBSOLO",E886)),IFERROR(-VALUE(LEFT(E886,FIND("º",SUBSTITUTE(E886,"°","º"))-1)),-1),IF(LEFT(E886,6)="TÉRREO",0,IFERROR(VALUE(LEFT(E886,FIND("º",SUBSTITUTE(E886,"°","º"))-1)),""))))</f>
        <v>21</v>
      </c>
      <c r="O886" s="2" t="str">
        <f aca="false">IF(OR(F886="",G886=""),"",IF(G886&lt;='RETRATO 2027'!$K$5,"CONCLUÍDA",IF(F886&lt;='RETRATO 2027'!$K$5,"EM ANDAMENTO","A INICIAR")))</f>
        <v>CONCLUÍDA</v>
      </c>
    </row>
    <row r="887" customFormat="false" ht="15" hidden="false" customHeight="false" outlineLevel="0" collapsed="false">
      <c r="B887" s="4" t="n">
        <v>29980971</v>
      </c>
      <c r="C887" s="4" t="s">
        <v>2434</v>
      </c>
      <c r="D887" s="4" t="s">
        <v>463</v>
      </c>
      <c r="E887" s="4" t="s">
        <v>2827</v>
      </c>
      <c r="F887" s="127" t="n">
        <v>46702</v>
      </c>
      <c r="G887" s="127" t="n">
        <v>46715</v>
      </c>
      <c r="H887" s="127" t="n">
        <v>46289</v>
      </c>
      <c r="I887" s="4" t="n">
        <v>0</v>
      </c>
      <c r="J887" s="4" t="n">
        <v>0</v>
      </c>
      <c r="K887" s="4" t="n">
        <v>0</v>
      </c>
      <c r="M887" s="2" t="str">
        <f aca="false">IF(C887="","",IFERROR(INDEX($S$5:$S$304,MATCH(C887,$R$5:$R$304,0))&amp;"","?"))</f>
        <v>25</v>
      </c>
      <c r="N887" s="2" t="n">
        <f aca="false">IF(E887="","",IF(ISNUMBER(SEARCH("SUBSOLO",E887)),IFERROR(-VALUE(LEFT(E887,FIND("º",SUBSTITUTE(E887,"°","º"))-1)),-1),IF(LEFT(E887,6)="TÉRREO",0,IFERROR(VALUE(LEFT(E887,FIND("º",SUBSTITUTE(E887,"°","º"))-1)),""))))</f>
        <v>22</v>
      </c>
      <c r="O887" s="2" t="str">
        <f aca="false">IF(OR(F887="",G887=""),"",IF(G887&lt;='RETRATO 2027'!$K$5,"CONCLUÍDA",IF(F887&lt;='RETRATO 2027'!$K$5,"EM ANDAMENTO","A INICIAR")))</f>
        <v>CONCLUÍDA</v>
      </c>
    </row>
    <row r="888" customFormat="false" ht="15" hidden="false" customHeight="false" outlineLevel="0" collapsed="false">
      <c r="B888" s="4" t="n">
        <v>29980964</v>
      </c>
      <c r="C888" s="4" t="s">
        <v>2425</v>
      </c>
      <c r="D888" s="4" t="s">
        <v>463</v>
      </c>
      <c r="E888" s="4" t="s">
        <v>2829</v>
      </c>
      <c r="F888" s="127" t="n">
        <v>46702</v>
      </c>
      <c r="G888" s="127" t="n">
        <v>46715</v>
      </c>
      <c r="H888" s="127" t="n">
        <v>46289</v>
      </c>
      <c r="I888" s="4" t="n">
        <v>0</v>
      </c>
      <c r="J888" s="4" t="n">
        <v>0</v>
      </c>
      <c r="K888" s="4" t="n">
        <v>0</v>
      </c>
      <c r="M888" s="2" t="str">
        <f aca="false">IF(C888="","",IFERROR(INDEX($S$5:$S$304,MATCH(C888,$R$5:$R$304,0))&amp;"","?"))</f>
        <v>21</v>
      </c>
      <c r="N888" s="2" t="n">
        <f aca="false">IF(E888="","",IF(ISNUMBER(SEARCH("SUBSOLO",E888)),IFERROR(-VALUE(LEFT(E888,FIND("º",SUBSTITUTE(E888,"°","º"))-1)),-1),IF(LEFT(E888,6)="TÉRREO",0,IFERROR(VALUE(LEFT(E888,FIND("º",SUBSTITUTE(E888,"°","º"))-1)),""))))</f>
        <v>23</v>
      </c>
      <c r="O888" s="2" t="str">
        <f aca="false">IF(OR(F888="",G888=""),"",IF(G888&lt;='RETRATO 2027'!$K$5,"CONCLUÍDA",IF(F888&lt;='RETRATO 2027'!$K$5,"EM ANDAMENTO","A INICIAR")))</f>
        <v>CONCLUÍDA</v>
      </c>
    </row>
    <row r="889" customFormat="false" ht="15" hidden="false" customHeight="false" outlineLevel="0" collapsed="false">
      <c r="B889" s="4" t="n">
        <v>29980933</v>
      </c>
      <c r="C889" s="4" t="s">
        <v>2428</v>
      </c>
      <c r="D889" s="4" t="s">
        <v>463</v>
      </c>
      <c r="E889" s="4" t="s">
        <v>2829</v>
      </c>
      <c r="F889" s="127" t="n">
        <v>46702</v>
      </c>
      <c r="G889" s="127" t="n">
        <v>46715</v>
      </c>
      <c r="H889" s="127" t="n">
        <v>46289</v>
      </c>
      <c r="I889" s="4" t="n">
        <v>0</v>
      </c>
      <c r="J889" s="4" t="n">
        <v>0</v>
      </c>
      <c r="K889" s="4" t="n">
        <v>0</v>
      </c>
      <c r="M889" s="2" t="str">
        <f aca="false">IF(C889="","",IFERROR(INDEX($S$5:$S$304,MATCH(C889,$R$5:$R$304,0))&amp;"","?"))</f>
        <v>20</v>
      </c>
      <c r="N889" s="2" t="n">
        <f aca="false">IF(E889="","",IF(ISNUMBER(SEARCH("SUBSOLO",E889)),IFERROR(-VALUE(LEFT(E889,FIND("º",SUBSTITUTE(E889,"°","º"))-1)),-1),IF(LEFT(E889,6)="TÉRREO",0,IFERROR(VALUE(LEFT(E889,FIND("º",SUBSTITUTE(E889,"°","º"))-1)),""))))</f>
        <v>23</v>
      </c>
      <c r="O889" s="2" t="str">
        <f aca="false">IF(OR(F889="",G889=""),"",IF(G889&lt;='RETRATO 2027'!$K$5,"CONCLUÍDA",IF(F889&lt;='RETRATO 2027'!$K$5,"EM ANDAMENTO","A INICIAR")))</f>
        <v>CONCLUÍDA</v>
      </c>
    </row>
    <row r="890" customFormat="false" ht="15" hidden="false" customHeight="false" outlineLevel="0" collapsed="false">
      <c r="B890" s="4" t="n">
        <v>29980966</v>
      </c>
      <c r="C890" s="4" t="s">
        <v>2431</v>
      </c>
      <c r="D890" s="4" t="s">
        <v>463</v>
      </c>
      <c r="E890" s="4" t="s">
        <v>2829</v>
      </c>
      <c r="F890" s="127" t="n">
        <v>46702</v>
      </c>
      <c r="G890" s="127" t="n">
        <v>46715</v>
      </c>
      <c r="H890" s="127" t="n">
        <v>46289</v>
      </c>
      <c r="I890" s="4" t="n">
        <v>0</v>
      </c>
      <c r="J890" s="4" t="n">
        <v>0</v>
      </c>
      <c r="K890" s="4" t="n">
        <v>0</v>
      </c>
      <c r="M890" s="2" t="str">
        <f aca="false">IF(C890="","",IFERROR(INDEX($S$5:$S$304,MATCH(C890,$R$5:$R$304,0))&amp;"","?"))</f>
        <v>21</v>
      </c>
      <c r="N890" s="2" t="n">
        <f aca="false">IF(E890="","",IF(ISNUMBER(SEARCH("SUBSOLO",E890)),IFERROR(-VALUE(LEFT(E890,FIND("º",SUBSTITUTE(E890,"°","º"))-1)),-1),IF(LEFT(E890,6)="TÉRREO",0,IFERROR(VALUE(LEFT(E890,FIND("º",SUBSTITUTE(E890,"°","º"))-1)),""))))</f>
        <v>23</v>
      </c>
      <c r="O890" s="2" t="str">
        <f aca="false">IF(OR(F890="",G890=""),"",IF(G890&lt;='RETRATO 2027'!$K$5,"CONCLUÍDA",IF(F890&lt;='RETRATO 2027'!$K$5,"EM ANDAMENTO","A INICIAR")))</f>
        <v>CONCLUÍDA</v>
      </c>
    </row>
    <row r="891" customFormat="false" ht="15" hidden="false" customHeight="false" outlineLevel="0" collapsed="false">
      <c r="B891" s="4" t="n">
        <v>29980913</v>
      </c>
      <c r="C891" s="4" t="s">
        <v>2422</v>
      </c>
      <c r="D891" s="4" t="s">
        <v>463</v>
      </c>
      <c r="E891" s="4" t="s">
        <v>2831</v>
      </c>
      <c r="F891" s="127" t="n">
        <v>46702</v>
      </c>
      <c r="G891" s="127" t="n">
        <v>46715</v>
      </c>
      <c r="H891" s="127" t="n">
        <v>46289</v>
      </c>
      <c r="I891" s="4" t="n">
        <v>0</v>
      </c>
      <c r="J891" s="4" t="n">
        <v>0</v>
      </c>
      <c r="K891" s="4" t="n">
        <v>0</v>
      </c>
      <c r="M891" s="2" t="str">
        <f aca="false">IF(C891="","",IFERROR(INDEX($S$5:$S$304,MATCH(C891,$R$5:$R$304,0))&amp;"","?"))</f>
        <v>29</v>
      </c>
      <c r="N891" s="2" t="n">
        <f aca="false">IF(E891="","",IF(ISNUMBER(SEARCH("SUBSOLO",E891)),IFERROR(-VALUE(LEFT(E891,FIND("º",SUBSTITUTE(E891,"°","º"))-1)),-1),IF(LEFT(E891,6)="TÉRREO",0,IFERROR(VALUE(LEFT(E891,FIND("º",SUBSTITUTE(E891,"°","º"))-1)),""))))</f>
        <v>24</v>
      </c>
      <c r="O891" s="2" t="str">
        <f aca="false">IF(OR(F891="",G891=""),"",IF(G891&lt;='RETRATO 2027'!$K$5,"CONCLUÍDA",IF(F891&lt;='RETRATO 2027'!$K$5,"EM ANDAMENTO","A INICIAR")))</f>
        <v>CONCLUÍDA</v>
      </c>
    </row>
    <row r="892" customFormat="false" ht="15" hidden="false" customHeight="false" outlineLevel="0" collapsed="false">
      <c r="B892" s="4" t="n">
        <v>29980879</v>
      </c>
      <c r="C892" s="4" t="s">
        <v>2413</v>
      </c>
      <c r="D892" s="4" t="s">
        <v>463</v>
      </c>
      <c r="E892" s="4" t="s">
        <v>2833</v>
      </c>
      <c r="F892" s="127" t="n">
        <v>46702</v>
      </c>
      <c r="G892" s="127" t="n">
        <v>46715</v>
      </c>
      <c r="H892" s="127" t="n">
        <v>46289</v>
      </c>
      <c r="I892" s="4" t="n">
        <v>0</v>
      </c>
      <c r="J892" s="4" t="n">
        <v>0</v>
      </c>
      <c r="K892" s="4" t="n">
        <v>0</v>
      </c>
      <c r="M892" s="2" t="str">
        <f aca="false">IF(C892="","",IFERROR(INDEX($S$5:$S$304,MATCH(C892,$R$5:$R$304,0))&amp;"","?"))</f>
        <v>21</v>
      </c>
      <c r="N892" s="2" t="n">
        <f aca="false">IF(E892="","",IF(ISNUMBER(SEARCH("SUBSOLO",E892)),IFERROR(-VALUE(LEFT(E892,FIND("º",SUBSTITUTE(E892,"°","º"))-1)),-1),IF(LEFT(E892,6)="TÉRREO",0,IFERROR(VALUE(LEFT(E892,FIND("º",SUBSTITUTE(E892,"°","º"))-1)),""))))</f>
        <v>25</v>
      </c>
      <c r="O892" s="2" t="str">
        <f aca="false">IF(OR(F892="",G892=""),"",IF(G892&lt;='RETRATO 2027'!$K$5,"CONCLUÍDA",IF(F892&lt;='RETRATO 2027'!$K$5,"EM ANDAMENTO","A INICIAR")))</f>
        <v>CONCLUÍDA</v>
      </c>
    </row>
    <row r="893" customFormat="false" ht="15" hidden="false" customHeight="false" outlineLevel="0" collapsed="false">
      <c r="B893" s="4" t="n">
        <v>29980878</v>
      </c>
      <c r="C893" s="4" t="s">
        <v>2416</v>
      </c>
      <c r="D893" s="4" t="s">
        <v>463</v>
      </c>
      <c r="E893" s="4" t="s">
        <v>2833</v>
      </c>
      <c r="F893" s="127" t="n">
        <v>46707</v>
      </c>
      <c r="G893" s="127" t="n">
        <v>46717</v>
      </c>
      <c r="H893" s="127" t="n">
        <v>46289</v>
      </c>
      <c r="I893" s="4" t="n">
        <v>0</v>
      </c>
      <c r="J893" s="4" t="n">
        <v>0</v>
      </c>
      <c r="K893" s="4" t="n">
        <v>0</v>
      </c>
      <c r="M893" s="2" t="str">
        <f aca="false">IF(C893="","",IFERROR(INDEX($S$5:$S$304,MATCH(C893,$R$5:$R$304,0))&amp;"","?"))</f>
        <v>18</v>
      </c>
      <c r="N893" s="2" t="n">
        <f aca="false">IF(E893="","",IF(ISNUMBER(SEARCH("SUBSOLO",E893)),IFERROR(-VALUE(LEFT(E893,FIND("º",SUBSTITUTE(E893,"°","º"))-1)),-1),IF(LEFT(E893,6)="TÉRREO",0,IFERROR(VALUE(LEFT(E893,FIND("º",SUBSTITUTE(E893,"°","º"))-1)),""))))</f>
        <v>25</v>
      </c>
      <c r="O893" s="2" t="str">
        <f aca="false">IF(OR(F893="",G893=""),"",IF(G893&lt;='RETRATO 2027'!$K$5,"CONCLUÍDA",IF(F893&lt;='RETRATO 2027'!$K$5,"EM ANDAMENTO","A INICIAR")))</f>
        <v>CONCLUÍDA</v>
      </c>
    </row>
    <row r="894" customFormat="false" ht="15" hidden="false" customHeight="false" outlineLevel="0" collapsed="false">
      <c r="B894" s="4" t="n">
        <v>29941040</v>
      </c>
      <c r="C894" s="4" t="s">
        <v>2341</v>
      </c>
      <c r="D894" s="4" t="s">
        <v>463</v>
      </c>
      <c r="E894" s="4" t="s">
        <v>2842</v>
      </c>
      <c r="F894" s="127" t="n">
        <v>46707</v>
      </c>
      <c r="G894" s="127" t="n">
        <v>46717</v>
      </c>
      <c r="H894" s="127" t="n">
        <v>46289</v>
      </c>
      <c r="I894" s="4" t="n">
        <v>0</v>
      </c>
      <c r="J894" s="4" t="n">
        <v>0</v>
      </c>
      <c r="K894" s="4" t="n">
        <v>0</v>
      </c>
      <c r="M894" s="2" t="str">
        <f aca="false">IF(C894="","",IFERROR(INDEX($S$5:$S$304,MATCH(C894,$R$5:$R$304,0))&amp;"","?"))</f>
        <v>17</v>
      </c>
      <c r="N894" s="2" t="n">
        <f aca="false">IF(E894="","",IF(ISNUMBER(SEARCH("SUBSOLO",E894)),IFERROR(-VALUE(LEFT(E894,FIND("º",SUBSTITUTE(E894,"°","º"))-1)),-1),IF(LEFT(E894,6)="TÉRREO",0,IFERROR(VALUE(LEFT(E894,FIND("º",SUBSTITUTE(E894,"°","º"))-1)),""))))</f>
        <v>30</v>
      </c>
      <c r="O894" s="2" t="str">
        <f aca="false">IF(OR(F894="",G894=""),"",IF(G894&lt;='RETRATO 2027'!$K$5,"CONCLUÍDA",IF(F894&lt;='RETRATO 2027'!$K$5,"EM ANDAMENTO","A INICIAR")))</f>
        <v>CONCLUÍDA</v>
      </c>
    </row>
    <row r="895" customFormat="false" ht="15" hidden="false" customHeight="false" outlineLevel="0" collapsed="false">
      <c r="B895" s="4" t="n">
        <v>31529072</v>
      </c>
      <c r="C895" s="4" t="s">
        <v>2341</v>
      </c>
      <c r="D895" s="4" t="s">
        <v>2312</v>
      </c>
      <c r="E895" s="4" t="s">
        <v>2842</v>
      </c>
      <c r="F895" s="127" t="n">
        <v>46707</v>
      </c>
      <c r="G895" s="127" t="n">
        <v>46713</v>
      </c>
      <c r="H895" s="127" t="n">
        <v>46289</v>
      </c>
      <c r="I895" s="4" t="n">
        <v>0</v>
      </c>
      <c r="J895" s="4" t="n">
        <v>0</v>
      </c>
      <c r="K895" s="4" t="n">
        <v>0</v>
      </c>
      <c r="M895" s="2" t="str">
        <f aca="false">IF(C895="","",IFERROR(INDEX($S$5:$S$304,MATCH(C895,$R$5:$R$304,0))&amp;"","?"))</f>
        <v>17</v>
      </c>
      <c r="N895" s="2" t="n">
        <f aca="false">IF(E895="","",IF(ISNUMBER(SEARCH("SUBSOLO",E895)),IFERROR(-VALUE(LEFT(E895,FIND("º",SUBSTITUTE(E895,"°","º"))-1)),-1),IF(LEFT(E895,6)="TÉRREO",0,IFERROR(VALUE(LEFT(E895,FIND("º",SUBSTITUTE(E895,"°","º"))-1)),""))))</f>
        <v>30</v>
      </c>
      <c r="O895" s="2" t="str">
        <f aca="false">IF(OR(F895="",G895=""),"",IF(G895&lt;='RETRATO 2027'!$K$5,"CONCLUÍDA",IF(F895&lt;='RETRATO 2027'!$K$5,"EM ANDAMENTO","A INICIAR")))</f>
        <v>CONCLUÍDA</v>
      </c>
    </row>
    <row r="896" customFormat="false" ht="15" hidden="false" customHeight="false" outlineLevel="0" collapsed="false">
      <c r="B896" s="4" t="n">
        <v>31529073</v>
      </c>
      <c r="C896" s="4" t="s">
        <v>2341</v>
      </c>
      <c r="D896" s="4" t="s">
        <v>2309</v>
      </c>
      <c r="E896" s="4" t="s">
        <v>2842</v>
      </c>
      <c r="F896" s="127" t="n">
        <v>46714</v>
      </c>
      <c r="G896" s="127" t="n">
        <v>46716</v>
      </c>
      <c r="H896" s="127" t="n">
        <v>46289</v>
      </c>
      <c r="I896" s="4" t="n">
        <v>0</v>
      </c>
      <c r="J896" s="4" t="n">
        <v>0</v>
      </c>
      <c r="K896" s="4" t="n">
        <v>0</v>
      </c>
      <c r="M896" s="2" t="str">
        <f aca="false">IF(C896="","",IFERROR(INDEX($S$5:$S$304,MATCH(C896,$R$5:$R$304,0))&amp;"","?"))</f>
        <v>17</v>
      </c>
      <c r="N896" s="2" t="n">
        <f aca="false">IF(E896="","",IF(ISNUMBER(SEARCH("SUBSOLO",E896)),IFERROR(-VALUE(LEFT(E896,FIND("º",SUBSTITUTE(E896,"°","º"))-1)),-1),IF(LEFT(E896,6)="TÉRREO",0,IFERROR(VALUE(LEFT(E896,FIND("º",SUBSTITUTE(E896,"°","º"))-1)),""))))</f>
        <v>30</v>
      </c>
      <c r="O896" s="2" t="str">
        <f aca="false">IF(OR(F896="",G896=""),"",IF(G896&lt;='RETRATO 2027'!$K$5,"CONCLUÍDA",IF(F896&lt;='RETRATO 2027'!$K$5,"EM ANDAMENTO","A INICIAR")))</f>
        <v>CONCLUÍDA</v>
      </c>
    </row>
    <row r="897" customFormat="false" ht="15" hidden="false" customHeight="false" outlineLevel="0" collapsed="false">
      <c r="B897" s="4" t="n">
        <v>31529074</v>
      </c>
      <c r="C897" s="4" t="s">
        <v>2341</v>
      </c>
      <c r="D897" s="4" t="s">
        <v>2314</v>
      </c>
      <c r="E897" s="4" t="s">
        <v>2842</v>
      </c>
      <c r="F897" s="127" t="n">
        <v>46717</v>
      </c>
      <c r="G897" s="127" t="n">
        <v>46717</v>
      </c>
      <c r="H897" s="127" t="n">
        <v>46289</v>
      </c>
      <c r="I897" s="4" t="n">
        <v>0</v>
      </c>
      <c r="J897" s="4" t="n">
        <v>0</v>
      </c>
      <c r="K897" s="4" t="n">
        <v>0</v>
      </c>
      <c r="M897" s="2" t="str">
        <f aca="false">IF(C897="","",IFERROR(INDEX($S$5:$S$304,MATCH(C897,$R$5:$R$304,0))&amp;"","?"))</f>
        <v>17</v>
      </c>
      <c r="N897" s="2" t="n">
        <f aca="false">IF(E897="","",IF(ISNUMBER(SEARCH("SUBSOLO",E897)),IFERROR(-VALUE(LEFT(E897,FIND("º",SUBSTITUTE(E897,"°","º"))-1)),-1),IF(LEFT(E897,6)="TÉRREO",0,IFERROR(VALUE(LEFT(E897,FIND("º",SUBSTITUTE(E897,"°","º"))-1)),""))))</f>
        <v>30</v>
      </c>
      <c r="O897" s="2" t="str">
        <f aca="false">IF(OR(F897="",G897=""),"",IF(G897&lt;='RETRATO 2027'!$K$5,"CONCLUÍDA",IF(F897&lt;='RETRATO 2027'!$K$5,"EM ANDAMENTO","A INICIAR")))</f>
        <v>CONCLUÍDA</v>
      </c>
    </row>
    <row r="898" customFormat="false" ht="15" hidden="false" customHeight="false" outlineLevel="0" collapsed="false">
      <c r="B898" s="4" t="n">
        <v>31529075</v>
      </c>
      <c r="C898" s="4" t="s">
        <v>2341</v>
      </c>
      <c r="D898" s="4" t="s">
        <v>2758</v>
      </c>
      <c r="E898" s="4" t="s">
        <v>2842</v>
      </c>
      <c r="F898" s="127" t="n">
        <v>46717</v>
      </c>
      <c r="G898" s="127" t="n">
        <v>46717</v>
      </c>
      <c r="H898" s="127" t="n">
        <v>46289</v>
      </c>
      <c r="I898" s="4" t="n">
        <v>0</v>
      </c>
      <c r="J898" s="4" t="n">
        <v>0</v>
      </c>
      <c r="K898" s="4" t="n">
        <v>0</v>
      </c>
      <c r="M898" s="2" t="str">
        <f aca="false">IF(C898="","",IFERROR(INDEX($S$5:$S$304,MATCH(C898,$R$5:$R$304,0))&amp;"","?"))</f>
        <v>17</v>
      </c>
      <c r="N898" s="2" t="n">
        <f aca="false">IF(E898="","",IF(ISNUMBER(SEARCH("SUBSOLO",E898)),IFERROR(-VALUE(LEFT(E898,FIND("º",SUBSTITUTE(E898,"°","º"))-1)),-1),IF(LEFT(E898,6)="TÉRREO",0,IFERROR(VALUE(LEFT(E898,FIND("º",SUBSTITUTE(E898,"°","º"))-1)),""))))</f>
        <v>30</v>
      </c>
      <c r="O898" s="2" t="str">
        <f aca="false">IF(OR(F898="",G898=""),"",IF(G898&lt;='RETRATO 2027'!$K$5,"CONCLUÍDA",IF(F898&lt;='RETRATO 2027'!$K$5,"EM ANDAMENTO","A INICIAR")))</f>
        <v>CONCLUÍDA</v>
      </c>
    </row>
    <row r="899" customFormat="false" ht="15" hidden="false" customHeight="false" outlineLevel="0" collapsed="false">
      <c r="B899" s="4" t="n">
        <v>30205784</v>
      </c>
      <c r="C899" s="4" t="s">
        <v>2428</v>
      </c>
      <c r="D899" s="4" t="s">
        <v>463</v>
      </c>
      <c r="E899" s="4" t="s">
        <v>2835</v>
      </c>
      <c r="F899" s="127" t="n">
        <v>46708</v>
      </c>
      <c r="G899" s="127" t="n">
        <v>46728</v>
      </c>
      <c r="H899" s="127" t="n">
        <v>46289</v>
      </c>
      <c r="I899" s="4" t="n">
        <v>0</v>
      </c>
      <c r="J899" s="4" t="n">
        <v>0</v>
      </c>
      <c r="K899" s="4" t="n">
        <v>0</v>
      </c>
      <c r="M899" s="2" t="str">
        <f aca="false">IF(C899="","",IFERROR(INDEX($S$5:$S$304,MATCH(C899,$R$5:$R$304,0))&amp;"","?"))</f>
        <v>20</v>
      </c>
      <c r="N899" s="2" t="n">
        <f aca="false">IF(E899="","",IF(ISNUMBER(SEARCH("SUBSOLO",E899)),IFERROR(-VALUE(LEFT(E899,FIND("º",SUBSTITUTE(E899,"°","º"))-1)),-1),IF(LEFT(E899,6)="TÉRREO",0,IFERROR(VALUE(LEFT(E899,FIND("º",SUBSTITUTE(E899,"°","º"))-1)),""))))</f>
        <v>0</v>
      </c>
      <c r="O899" s="2" t="str">
        <f aca="false">IF(OR(F899="",G899=""),"",IF(G899&lt;='RETRATO 2027'!$K$5,"CONCLUÍDA",IF(F899&lt;='RETRATO 2027'!$K$5,"EM ANDAMENTO","A INICIAR")))</f>
        <v>CONCLUÍDA</v>
      </c>
    </row>
    <row r="900" customFormat="false" ht="15" hidden="false" customHeight="false" outlineLevel="0" collapsed="false">
      <c r="B900" s="4" t="n">
        <v>30205785</v>
      </c>
      <c r="C900" s="4" t="s">
        <v>2452</v>
      </c>
      <c r="D900" s="4" t="s">
        <v>463</v>
      </c>
      <c r="E900" s="4" t="s">
        <v>2835</v>
      </c>
      <c r="F900" s="127" t="n">
        <v>46708</v>
      </c>
      <c r="G900" s="127" t="n">
        <v>46728</v>
      </c>
      <c r="H900" s="127" t="n">
        <v>46289</v>
      </c>
      <c r="I900" s="4" t="n">
        <v>0</v>
      </c>
      <c r="J900" s="4" t="n">
        <v>0</v>
      </c>
      <c r="K900" s="4" t="n">
        <v>0</v>
      </c>
      <c r="M900" s="2" t="str">
        <f aca="false">IF(C900="","",IFERROR(INDEX($S$5:$S$304,MATCH(C900,$R$5:$R$304,0))&amp;"","?"))</f>
        <v>21</v>
      </c>
      <c r="N900" s="2" t="n">
        <f aca="false">IF(E900="","",IF(ISNUMBER(SEARCH("SUBSOLO",E900)),IFERROR(-VALUE(LEFT(E900,FIND("º",SUBSTITUTE(E900,"°","º"))-1)),-1),IF(LEFT(E900,6)="TÉRREO",0,IFERROR(VALUE(LEFT(E900,FIND("º",SUBSTITUTE(E900,"°","º"))-1)),""))))</f>
        <v>0</v>
      </c>
      <c r="O900" s="2" t="str">
        <f aca="false">IF(OR(F900="",G900=""),"",IF(G900&lt;='RETRATO 2027'!$K$5,"CONCLUÍDA",IF(F900&lt;='RETRATO 2027'!$K$5,"EM ANDAMENTO","A INICIAR")))</f>
        <v>CONCLUÍDA</v>
      </c>
    </row>
    <row r="901" customFormat="false" ht="15" hidden="false" customHeight="false" outlineLevel="0" collapsed="false">
      <c r="B901" s="4" t="n">
        <v>30205810</v>
      </c>
      <c r="C901" s="4" t="s">
        <v>2422</v>
      </c>
      <c r="D901" s="4" t="s">
        <v>463</v>
      </c>
      <c r="E901" s="4" t="s">
        <v>2839</v>
      </c>
      <c r="F901" s="127" t="n">
        <v>46708</v>
      </c>
      <c r="G901" s="127" t="n">
        <v>46721</v>
      </c>
      <c r="H901" s="127" t="n">
        <v>46289</v>
      </c>
      <c r="I901" s="4" t="n">
        <v>0</v>
      </c>
      <c r="J901" s="4" t="n">
        <v>0</v>
      </c>
      <c r="K901" s="4" t="n">
        <v>0</v>
      </c>
      <c r="M901" s="2" t="str">
        <f aca="false">IF(C901="","",IFERROR(INDEX($S$5:$S$304,MATCH(C901,$R$5:$R$304,0))&amp;"","?"))</f>
        <v>29</v>
      </c>
      <c r="N901" s="2" t="n">
        <f aca="false">IF(E901="","",IF(ISNUMBER(SEARCH("SUBSOLO",E901)),IFERROR(-VALUE(LEFT(E901,FIND("º",SUBSTITUTE(E901,"°","º"))-1)),-1),IF(LEFT(E901,6)="TÉRREO",0,IFERROR(VALUE(LEFT(E901,FIND("º",SUBSTITUTE(E901,"°","º"))-1)),""))))</f>
        <v>0</v>
      </c>
      <c r="O901" s="2" t="str">
        <f aca="false">IF(OR(F901="",G901=""),"",IF(G901&lt;='RETRATO 2027'!$K$5,"CONCLUÍDA",IF(F901&lt;='RETRATO 2027'!$K$5,"EM ANDAMENTO","A INICIAR")))</f>
        <v>CONCLUÍDA</v>
      </c>
    </row>
    <row r="902" customFormat="false" ht="15" hidden="false" customHeight="false" outlineLevel="0" collapsed="false">
      <c r="B902" s="4" t="n">
        <v>30205745</v>
      </c>
      <c r="C902" s="4" t="s">
        <v>2449</v>
      </c>
      <c r="D902" s="4" t="s">
        <v>463</v>
      </c>
      <c r="E902" s="4" t="s">
        <v>2740</v>
      </c>
      <c r="F902" s="127" t="n">
        <v>46709</v>
      </c>
      <c r="G902" s="127" t="n">
        <v>46722</v>
      </c>
      <c r="H902" s="127" t="n">
        <v>46289</v>
      </c>
      <c r="I902" s="4" t="n">
        <v>0</v>
      </c>
      <c r="J902" s="4" t="n">
        <v>0</v>
      </c>
      <c r="K902" s="4" t="n">
        <v>0</v>
      </c>
      <c r="M902" s="2" t="str">
        <f aca="false">IF(C902="","",IFERROR(INDEX($S$5:$S$304,MATCH(C902,$R$5:$R$304,0))&amp;"","?"))</f>
        <v>28</v>
      </c>
      <c r="N902" s="2" t="n">
        <f aca="false">IF(E902="","",IF(ISNUMBER(SEARCH("SUBSOLO",E902)),IFERROR(-VALUE(LEFT(E902,FIND("º",SUBSTITUTE(E902,"°","º"))-1)),-1),IF(LEFT(E902,6)="TÉRREO",0,IFERROR(VALUE(LEFT(E902,FIND("º",SUBSTITUTE(E902,"°","º"))-1)),""))))</f>
        <v>-1</v>
      </c>
      <c r="O902" s="2" t="str">
        <f aca="false">IF(OR(F902="",G902=""),"",IF(G902&lt;='RETRATO 2027'!$K$5,"CONCLUÍDA",IF(F902&lt;='RETRATO 2027'!$K$5,"EM ANDAMENTO","A INICIAR")))</f>
        <v>CONCLUÍDA</v>
      </c>
    </row>
    <row r="903" customFormat="false" ht="15" hidden="false" customHeight="false" outlineLevel="0" collapsed="false">
      <c r="B903" s="4" t="n">
        <v>29980852</v>
      </c>
      <c r="C903" s="4" t="s">
        <v>2410</v>
      </c>
      <c r="D903" s="4" t="s">
        <v>463</v>
      </c>
      <c r="E903" s="4" t="s">
        <v>2834</v>
      </c>
      <c r="F903" s="127" t="n">
        <v>46710</v>
      </c>
      <c r="G903" s="127" t="n">
        <v>46722</v>
      </c>
      <c r="H903" s="127" t="n">
        <v>46289</v>
      </c>
      <c r="I903" s="4" t="n">
        <v>0</v>
      </c>
      <c r="J903" s="4" t="n">
        <v>0</v>
      </c>
      <c r="K903" s="4" t="n">
        <v>0</v>
      </c>
      <c r="M903" s="2" t="str">
        <f aca="false">IF(C903="","",IFERROR(INDEX($S$5:$S$304,MATCH(C903,$R$5:$R$304,0))&amp;"","?"))</f>
        <v>22</v>
      </c>
      <c r="N903" s="2" t="n">
        <f aca="false">IF(E903="","",IF(ISNUMBER(SEARCH("SUBSOLO",E903)),IFERROR(-VALUE(LEFT(E903,FIND("º",SUBSTITUTE(E903,"°","º"))-1)),-1),IF(LEFT(E903,6)="TÉRREO",0,IFERROR(VALUE(LEFT(E903,FIND("º",SUBSTITUTE(E903,"°","º"))-1)),""))))</f>
        <v>26</v>
      </c>
      <c r="O903" s="2" t="str">
        <f aca="false">IF(OR(F903="",G903=""),"",IF(G903&lt;='RETRATO 2027'!$K$5,"CONCLUÍDA",IF(F903&lt;='RETRATO 2027'!$K$5,"EM ANDAMENTO","A INICIAR")))</f>
        <v>CONCLUÍDA</v>
      </c>
    </row>
    <row r="904" customFormat="false" ht="15" hidden="false" customHeight="false" outlineLevel="0" collapsed="false">
      <c r="B904" s="4" t="n">
        <v>29980803</v>
      </c>
      <c r="C904" s="4" t="s">
        <v>168</v>
      </c>
      <c r="D904" s="4" t="s">
        <v>463</v>
      </c>
      <c r="E904" s="4" t="s">
        <v>2838</v>
      </c>
      <c r="F904" s="127" t="n">
        <v>46710</v>
      </c>
      <c r="G904" s="127" t="n">
        <v>46722</v>
      </c>
      <c r="H904" s="127" t="n">
        <v>46289</v>
      </c>
      <c r="I904" s="4" t="n">
        <v>0</v>
      </c>
      <c r="J904" s="4" t="n">
        <v>0</v>
      </c>
      <c r="K904" s="4" t="n">
        <v>0</v>
      </c>
      <c r="M904" s="2" t="str">
        <f aca="false">IF(C904="","",IFERROR(INDEX($S$5:$S$304,MATCH(C904,$R$5:$R$304,0))&amp;"","?"))</f>
        <v>18</v>
      </c>
      <c r="N904" s="2" t="n">
        <f aca="false">IF(E904="","",IF(ISNUMBER(SEARCH("SUBSOLO",E904)),IFERROR(-VALUE(LEFT(E904,FIND("º",SUBSTITUTE(E904,"°","º"))-1)),-1),IF(LEFT(E904,6)="TÉRREO",0,IFERROR(VALUE(LEFT(E904,FIND("º",SUBSTITUTE(E904,"°","º"))-1)),""))))</f>
        <v>27</v>
      </c>
      <c r="O904" s="2" t="str">
        <f aca="false">IF(OR(F904="",G904=""),"",IF(G904&lt;='RETRATO 2027'!$K$5,"CONCLUÍDA",IF(F904&lt;='RETRATO 2027'!$K$5,"EM ANDAMENTO","A INICIAR")))</f>
        <v>CONCLUÍDA</v>
      </c>
    </row>
    <row r="905" customFormat="false" ht="15" hidden="false" customHeight="false" outlineLevel="0" collapsed="false">
      <c r="B905" s="4" t="n">
        <v>30205706</v>
      </c>
      <c r="C905" s="4" t="s">
        <v>2539</v>
      </c>
      <c r="D905" s="4" t="s">
        <v>463</v>
      </c>
      <c r="E905" s="4" t="s">
        <v>2819</v>
      </c>
      <c r="F905" s="127" t="n">
        <v>46715</v>
      </c>
      <c r="G905" s="127" t="n">
        <v>46728</v>
      </c>
      <c r="H905" s="127" t="n">
        <v>46289</v>
      </c>
      <c r="I905" s="4" t="n">
        <v>0</v>
      </c>
      <c r="J905" s="4" t="n">
        <v>0</v>
      </c>
      <c r="K905" s="4" t="n">
        <v>0</v>
      </c>
      <c r="M905" s="2" t="str">
        <f aca="false">IF(C905="","",IFERROR(INDEX($S$5:$S$304,MATCH(C905,$R$5:$R$304,0))&amp;"","?"))</f>
        <v>35</v>
      </c>
      <c r="N905" s="2" t="n">
        <f aca="false">IF(E905="","",IF(ISNUMBER(SEARCH("SUBSOLO",E905)),IFERROR(-VALUE(LEFT(E905,FIND("º",SUBSTITUTE(E905,"°","º"))-1)),-1),IF(LEFT(E905,6)="TÉRREO",0,IFERROR(VALUE(LEFT(E905,FIND("º",SUBSTITUTE(E905,"°","º"))-1)),""))))</f>
        <v>0</v>
      </c>
      <c r="O905" s="2" t="str">
        <f aca="false">IF(OR(F905="",G905=""),"",IF(G905&lt;='RETRATO 2027'!$K$5,"CONCLUÍDA",IF(F905&lt;='RETRATO 2027'!$K$5,"EM ANDAMENTO","A INICIAR")))</f>
        <v>CONCLUÍDA</v>
      </c>
    </row>
    <row r="906" customFormat="false" ht="15" hidden="false" customHeight="false" outlineLevel="0" collapsed="false">
      <c r="B906" s="4" t="n">
        <v>30205676</v>
      </c>
      <c r="C906" s="4" t="s">
        <v>216</v>
      </c>
      <c r="D906" s="4" t="s">
        <v>463</v>
      </c>
      <c r="E906" s="4" t="s">
        <v>2821</v>
      </c>
      <c r="F906" s="127" t="n">
        <v>46715</v>
      </c>
      <c r="G906" s="127" t="n">
        <v>46728</v>
      </c>
      <c r="H906" s="127" t="n">
        <v>46289</v>
      </c>
      <c r="I906" s="4" t="n">
        <v>0</v>
      </c>
      <c r="J906" s="4" t="n">
        <v>0</v>
      </c>
      <c r="K906" s="4" t="n">
        <v>0</v>
      </c>
      <c r="M906" s="2" t="str">
        <f aca="false">IF(C906="","",IFERROR(INDEX($S$5:$S$304,MATCH(C906,$R$5:$R$304,0))&amp;"","?"))</f>
        <v>33</v>
      </c>
      <c r="N906" s="2" t="n">
        <f aca="false">IF(E906="","",IF(ISNUMBER(SEARCH("SUBSOLO",E906)),IFERROR(-VALUE(LEFT(E906,FIND("º",SUBSTITUTE(E906,"°","º"))-1)),-1),IF(LEFT(E906,6)="TÉRREO",0,IFERROR(VALUE(LEFT(E906,FIND("º",SUBSTITUTE(E906,"°","º"))-1)),""))))</f>
        <v>0</v>
      </c>
      <c r="O906" s="2" t="str">
        <f aca="false">IF(OR(F906="",G906=""),"",IF(G906&lt;='RETRATO 2027'!$K$5,"CONCLUÍDA",IF(F906&lt;='RETRATO 2027'!$K$5,"EM ANDAMENTO","A INICIAR")))</f>
        <v>CONCLUÍDA</v>
      </c>
    </row>
    <row r="907" customFormat="false" ht="15" hidden="false" customHeight="false" outlineLevel="0" collapsed="false">
      <c r="B907" s="4" t="n">
        <v>30205648</v>
      </c>
      <c r="C907" s="4" t="s">
        <v>2501</v>
      </c>
      <c r="D907" s="4" t="s">
        <v>463</v>
      </c>
      <c r="E907" s="4" t="s">
        <v>2824</v>
      </c>
      <c r="F907" s="127" t="n">
        <v>46715</v>
      </c>
      <c r="G907" s="127" t="n">
        <v>46728</v>
      </c>
      <c r="H907" s="127" t="n">
        <v>46289</v>
      </c>
      <c r="I907" s="4" t="n">
        <v>0</v>
      </c>
      <c r="J907" s="4" t="n">
        <v>0</v>
      </c>
      <c r="K907" s="4" t="n">
        <v>0</v>
      </c>
      <c r="M907" s="2" t="str">
        <f aca="false">IF(C907="","",IFERROR(INDEX($S$5:$S$304,MATCH(C907,$R$5:$R$304,0))&amp;"","?"))</f>
        <v>30</v>
      </c>
      <c r="N907" s="2" t="n">
        <f aca="false">IF(E907="","",IF(ISNUMBER(SEARCH("SUBSOLO",E907)),IFERROR(-VALUE(LEFT(E907,FIND("º",SUBSTITUTE(E907,"°","º"))-1)),-1),IF(LEFT(E907,6)="TÉRREO",0,IFERROR(VALUE(LEFT(E907,FIND("º",SUBSTITUTE(E907,"°","º"))-1)),""))))</f>
        <v>0</v>
      </c>
      <c r="O907" s="2" t="str">
        <f aca="false">IF(OR(F907="",G907=""),"",IF(G907&lt;='RETRATO 2027'!$K$5,"CONCLUÍDA",IF(F907&lt;='RETRATO 2027'!$K$5,"EM ANDAMENTO","A INICIAR")))</f>
        <v>CONCLUÍDA</v>
      </c>
    </row>
    <row r="908" customFormat="false" ht="15" hidden="false" customHeight="false" outlineLevel="0" collapsed="false">
      <c r="B908" s="4" t="n">
        <v>30205623</v>
      </c>
      <c r="C908" s="4" t="s">
        <v>2486</v>
      </c>
      <c r="D908" s="4" t="s">
        <v>463</v>
      </c>
      <c r="E908" s="4" t="s">
        <v>2826</v>
      </c>
      <c r="F908" s="127" t="n">
        <v>46715</v>
      </c>
      <c r="G908" s="127" t="n">
        <v>46728</v>
      </c>
      <c r="H908" s="127" t="n">
        <v>46289</v>
      </c>
      <c r="I908" s="4" t="n">
        <v>0</v>
      </c>
      <c r="J908" s="4" t="n">
        <v>0</v>
      </c>
      <c r="K908" s="4" t="n">
        <v>0</v>
      </c>
      <c r="M908" s="2" t="str">
        <f aca="false">IF(C908="","",IFERROR(INDEX($S$5:$S$304,MATCH(C908,$R$5:$R$304,0))&amp;"","?"))</f>
        <v>30</v>
      </c>
      <c r="N908" s="2" t="n">
        <f aca="false">IF(E908="","",IF(ISNUMBER(SEARCH("SUBSOLO",E908)),IFERROR(-VALUE(LEFT(E908,FIND("º",SUBSTITUTE(E908,"°","º"))-1)),-1),IF(LEFT(E908,6)="TÉRREO",0,IFERROR(VALUE(LEFT(E908,FIND("º",SUBSTITUTE(E908,"°","º"))-1)),""))))</f>
        <v>0</v>
      </c>
      <c r="O908" s="2" t="str">
        <f aca="false">IF(OR(F908="",G908=""),"",IF(G908&lt;='RETRATO 2027'!$K$5,"CONCLUÍDA",IF(F908&lt;='RETRATO 2027'!$K$5,"EM ANDAMENTO","A INICIAR")))</f>
        <v>CONCLUÍDA</v>
      </c>
    </row>
    <row r="909" customFormat="false" ht="15" hidden="false" customHeight="false" outlineLevel="0" collapsed="false">
      <c r="B909" s="4" t="n">
        <v>30205600</v>
      </c>
      <c r="C909" s="4" t="s">
        <v>2480</v>
      </c>
      <c r="D909" s="4" t="s">
        <v>463</v>
      </c>
      <c r="E909" s="4" t="s">
        <v>2828</v>
      </c>
      <c r="F909" s="127" t="n">
        <v>46715</v>
      </c>
      <c r="G909" s="127" t="n">
        <v>46728</v>
      </c>
      <c r="H909" s="127" t="n">
        <v>46289</v>
      </c>
      <c r="I909" s="4" t="n">
        <v>0</v>
      </c>
      <c r="J909" s="4" t="n">
        <v>0</v>
      </c>
      <c r="K909" s="4" t="n">
        <v>0</v>
      </c>
      <c r="M909" s="2" t="str">
        <f aca="false">IF(C909="","",IFERROR(INDEX($S$5:$S$304,MATCH(C909,$R$5:$R$304,0))&amp;"","?"))</f>
        <v>30</v>
      </c>
      <c r="N909" s="2" t="n">
        <f aca="false">IF(E909="","",IF(ISNUMBER(SEARCH("SUBSOLO",E909)),IFERROR(-VALUE(LEFT(E909,FIND("º",SUBSTITUTE(E909,"°","º"))-1)),-1),IF(LEFT(E909,6)="TÉRREO",0,IFERROR(VALUE(LEFT(E909,FIND("º",SUBSTITUTE(E909,"°","º"))-1)),""))))</f>
        <v>0</v>
      </c>
      <c r="O909" s="2" t="str">
        <f aca="false">IF(OR(F909="",G909=""),"",IF(G909&lt;='RETRATO 2027'!$K$5,"CONCLUÍDA",IF(F909&lt;='RETRATO 2027'!$K$5,"EM ANDAMENTO","A INICIAR")))</f>
        <v>CONCLUÍDA</v>
      </c>
    </row>
    <row r="910" customFormat="false" ht="15" hidden="false" customHeight="false" outlineLevel="0" collapsed="false">
      <c r="B910" s="4" t="n">
        <v>30205566</v>
      </c>
      <c r="C910" s="4" t="s">
        <v>2492</v>
      </c>
      <c r="D910" s="4" t="s">
        <v>463</v>
      </c>
      <c r="E910" s="4" t="s">
        <v>2830</v>
      </c>
      <c r="F910" s="127" t="n">
        <v>46715</v>
      </c>
      <c r="G910" s="127" t="n">
        <v>46728</v>
      </c>
      <c r="H910" s="127" t="n">
        <v>46289</v>
      </c>
      <c r="I910" s="4" t="n">
        <v>0</v>
      </c>
      <c r="J910" s="4" t="n">
        <v>0</v>
      </c>
      <c r="K910" s="4" t="n">
        <v>0</v>
      </c>
      <c r="M910" s="2" t="str">
        <f aca="false">IF(C910="","",IFERROR(INDEX($S$5:$S$304,MATCH(C910,$R$5:$R$304,0))&amp;"","?"))</f>
        <v>18</v>
      </c>
      <c r="N910" s="2" t="n">
        <f aca="false">IF(E910="","",IF(ISNUMBER(SEARCH("SUBSOLO",E910)),IFERROR(-VALUE(LEFT(E910,FIND("º",SUBSTITUTE(E910,"°","º"))-1)),-1),IF(LEFT(E910,6)="TÉRREO",0,IFERROR(VALUE(LEFT(E910,FIND("º",SUBSTITUTE(E910,"°","º"))-1)),""))))</f>
        <v>0</v>
      </c>
      <c r="O910" s="2" t="str">
        <f aca="false">IF(OR(F910="",G910=""),"",IF(G910&lt;='RETRATO 2027'!$K$5,"CONCLUÍDA",IF(F910&lt;='RETRATO 2027'!$K$5,"EM ANDAMENTO","A INICIAR")))</f>
        <v>CONCLUÍDA</v>
      </c>
    </row>
    <row r="911" customFormat="false" ht="15" hidden="false" customHeight="false" outlineLevel="0" collapsed="false">
      <c r="B911" s="4" t="n">
        <v>30205538</v>
      </c>
      <c r="C911" s="4" t="s">
        <v>2449</v>
      </c>
      <c r="D911" s="4" t="s">
        <v>463</v>
      </c>
      <c r="E911" s="4" t="s">
        <v>2832</v>
      </c>
      <c r="F911" s="127" t="n">
        <v>46715</v>
      </c>
      <c r="G911" s="127" t="n">
        <v>46728</v>
      </c>
      <c r="H911" s="127" t="n">
        <v>46289</v>
      </c>
      <c r="I911" s="4" t="n">
        <v>0</v>
      </c>
      <c r="J911" s="4" t="n">
        <v>0</v>
      </c>
      <c r="K911" s="4" t="n">
        <v>0</v>
      </c>
      <c r="M911" s="2" t="str">
        <f aca="false">IF(C911="","",IFERROR(INDEX($S$5:$S$304,MATCH(C911,$R$5:$R$304,0))&amp;"","?"))</f>
        <v>28</v>
      </c>
      <c r="N911" s="2" t="n">
        <f aca="false">IF(E911="","",IF(ISNUMBER(SEARCH("SUBSOLO",E911)),IFERROR(-VALUE(LEFT(E911,FIND("º",SUBSTITUTE(E911,"°","º"))-1)),-1),IF(LEFT(E911,6)="TÉRREO",0,IFERROR(VALUE(LEFT(E911,FIND("º",SUBSTITUTE(E911,"°","º"))-1)),""))))</f>
        <v>0</v>
      </c>
      <c r="O911" s="2" t="str">
        <f aca="false">IF(OR(F911="",G911=""),"",IF(G911&lt;='RETRATO 2027'!$K$5,"CONCLUÍDA",IF(F911&lt;='RETRATO 2027'!$K$5,"EM ANDAMENTO","A INICIAR")))</f>
        <v>CONCLUÍDA</v>
      </c>
    </row>
    <row r="912" customFormat="false" ht="15" hidden="false" customHeight="false" outlineLevel="0" collapsed="false">
      <c r="B912" s="4" t="n">
        <v>31803891</v>
      </c>
      <c r="C912" s="4" t="s">
        <v>2483</v>
      </c>
      <c r="D912" s="4" t="s">
        <v>463</v>
      </c>
      <c r="E912" s="4" t="s">
        <v>2832</v>
      </c>
      <c r="F912" s="127" t="n">
        <v>46715</v>
      </c>
      <c r="G912" s="127" t="n">
        <v>46770</v>
      </c>
      <c r="H912" s="127" t="n">
        <v>46289</v>
      </c>
      <c r="I912" s="4" t="n">
        <v>0</v>
      </c>
      <c r="J912" s="4" t="n">
        <v>0</v>
      </c>
      <c r="K912" s="4" t="n">
        <v>0</v>
      </c>
      <c r="M912" s="2" t="str">
        <f aca="false">IF(C912="","",IFERROR(INDEX($S$5:$S$304,MATCH(C912,$R$5:$R$304,0))&amp;"","?"))</f>
        <v>32</v>
      </c>
      <c r="N912" s="2" t="n">
        <f aca="false">IF(E912="","",IF(ISNUMBER(SEARCH("SUBSOLO",E912)),IFERROR(-VALUE(LEFT(E912,FIND("º",SUBSTITUTE(E912,"°","º"))-1)),-1),IF(LEFT(E912,6)="TÉRREO",0,IFERROR(VALUE(LEFT(E912,FIND("º",SUBSTITUTE(E912,"°","º"))-1)),""))))</f>
        <v>0</v>
      </c>
      <c r="O912" s="2" t="str">
        <f aca="false">IF(OR(F912="",G912=""),"",IF(G912&lt;='RETRATO 2027'!$K$5,"CONCLUÍDA",IF(F912&lt;='RETRATO 2027'!$K$5,"EM ANDAMENTO","A INICIAR")))</f>
        <v>EM ANDAMENTO</v>
      </c>
    </row>
    <row r="913" customFormat="false" ht="15" hidden="false" customHeight="false" outlineLevel="0" collapsed="false">
      <c r="B913" s="4" t="n">
        <v>30208603</v>
      </c>
      <c r="C913" s="4" t="s">
        <v>2443</v>
      </c>
      <c r="D913" s="4" t="s">
        <v>463</v>
      </c>
      <c r="E913" s="4" t="s">
        <v>2757</v>
      </c>
      <c r="F913" s="127" t="n">
        <v>46715</v>
      </c>
      <c r="G913" s="127" t="n">
        <v>46728</v>
      </c>
      <c r="H913" s="127" t="n">
        <v>46289</v>
      </c>
      <c r="I913" s="4" t="n">
        <v>0</v>
      </c>
      <c r="J913" s="4" t="n">
        <v>0</v>
      </c>
      <c r="K913" s="4" t="n">
        <v>0</v>
      </c>
      <c r="M913" s="2" t="str">
        <f aca="false">IF(C913="","",IFERROR(INDEX($S$5:$S$304,MATCH(C913,$R$5:$R$304,0))&amp;"","?"))</f>
        <v>20</v>
      </c>
      <c r="N913" s="2" t="n">
        <f aca="false">IF(E913="","",IF(ISNUMBER(SEARCH("SUBSOLO",E913)),IFERROR(-VALUE(LEFT(E913,FIND("º",SUBSTITUTE(E913,"°","º"))-1)),-1),IF(LEFT(E913,6)="TÉRREO",0,IFERROR(VALUE(LEFT(E913,FIND("º",SUBSTITUTE(E913,"°","º"))-1)),""))))</f>
        <v>0</v>
      </c>
      <c r="O913" s="2" t="str">
        <f aca="false">IF(OR(F913="",G913=""),"",IF(G913&lt;='RETRATO 2027'!$K$5,"CONCLUÍDA",IF(F913&lt;='RETRATO 2027'!$K$5,"EM ANDAMENTO","A INICIAR")))</f>
        <v>CONCLUÍDA</v>
      </c>
    </row>
    <row r="914" customFormat="false" ht="15" hidden="false" customHeight="false" outlineLevel="0" collapsed="false">
      <c r="B914" s="4" t="n">
        <v>30205835</v>
      </c>
      <c r="C914" s="4" t="s">
        <v>2413</v>
      </c>
      <c r="D914" s="4" t="s">
        <v>463</v>
      </c>
      <c r="E914" s="4" t="s">
        <v>2782</v>
      </c>
      <c r="F914" s="127" t="n">
        <v>46715</v>
      </c>
      <c r="G914" s="127" t="n">
        <v>46728</v>
      </c>
      <c r="H914" s="127" t="n">
        <v>46289</v>
      </c>
      <c r="I914" s="4" t="n">
        <v>0</v>
      </c>
      <c r="J914" s="4" t="n">
        <v>0</v>
      </c>
      <c r="K914" s="4" t="n">
        <v>0</v>
      </c>
      <c r="M914" s="2" t="str">
        <f aca="false">IF(C914="","",IFERROR(INDEX($S$5:$S$304,MATCH(C914,$R$5:$R$304,0))&amp;"","?"))</f>
        <v>21</v>
      </c>
      <c r="N914" s="2" t="n">
        <f aca="false">IF(E914="","",IF(ISNUMBER(SEARCH("SUBSOLO",E914)),IFERROR(-VALUE(LEFT(E914,FIND("º",SUBSTITUTE(E914,"°","º"))-1)),-1),IF(LEFT(E914,6)="TÉRREO",0,IFERROR(VALUE(LEFT(E914,FIND("º",SUBSTITUTE(E914,"°","º"))-1)),""))))</f>
        <v>1</v>
      </c>
      <c r="O914" s="2" t="str">
        <f aca="false">IF(OR(F914="",G914=""),"",IF(G914&lt;='RETRATO 2027'!$K$5,"CONCLUÍDA",IF(F914&lt;='RETRATO 2027'!$K$5,"EM ANDAMENTO","A INICIAR")))</f>
        <v>CONCLUÍDA</v>
      </c>
    </row>
    <row r="915" customFormat="false" ht="15" hidden="false" customHeight="false" outlineLevel="0" collapsed="false">
      <c r="B915" s="4" t="n">
        <v>30205836</v>
      </c>
      <c r="C915" s="4" t="s">
        <v>2416</v>
      </c>
      <c r="D915" s="4" t="s">
        <v>463</v>
      </c>
      <c r="E915" s="4" t="s">
        <v>2782</v>
      </c>
      <c r="F915" s="127" t="n">
        <v>46715</v>
      </c>
      <c r="G915" s="127" t="n">
        <v>46728</v>
      </c>
      <c r="H915" s="127" t="n">
        <v>46289</v>
      </c>
      <c r="I915" s="4" t="n">
        <v>0</v>
      </c>
      <c r="J915" s="4" t="n">
        <v>0</v>
      </c>
      <c r="K915" s="4" t="n">
        <v>0</v>
      </c>
      <c r="M915" s="2" t="str">
        <f aca="false">IF(C915="","",IFERROR(INDEX($S$5:$S$304,MATCH(C915,$R$5:$R$304,0))&amp;"","?"))</f>
        <v>18</v>
      </c>
      <c r="N915" s="2" t="n">
        <f aca="false">IF(E915="","",IF(ISNUMBER(SEARCH("SUBSOLO",E915)),IFERROR(-VALUE(LEFT(E915,FIND("º",SUBSTITUTE(E915,"°","º"))-1)),-1),IF(LEFT(E915,6)="TÉRREO",0,IFERROR(VALUE(LEFT(E915,FIND("º",SUBSTITUTE(E915,"°","º"))-1)),""))))</f>
        <v>1</v>
      </c>
      <c r="O915" s="2" t="str">
        <f aca="false">IF(OR(F915="",G915=""),"",IF(G915&lt;='RETRATO 2027'!$K$5,"CONCLUÍDA",IF(F915&lt;='RETRATO 2027'!$K$5,"EM ANDAMENTO","A INICIAR")))</f>
        <v>CONCLUÍDA</v>
      </c>
    </row>
    <row r="916" customFormat="false" ht="15" hidden="false" customHeight="false" outlineLevel="0" collapsed="false">
      <c r="B916" s="4" t="n">
        <v>30205860</v>
      </c>
      <c r="C916" s="4" t="s">
        <v>2517</v>
      </c>
      <c r="D916" s="4" t="s">
        <v>463</v>
      </c>
      <c r="E916" s="4" t="s">
        <v>2782</v>
      </c>
      <c r="F916" s="127" t="n">
        <v>46715</v>
      </c>
      <c r="G916" s="127" t="n">
        <v>46728</v>
      </c>
      <c r="H916" s="127" t="n">
        <v>46289</v>
      </c>
      <c r="I916" s="4" t="n">
        <v>0</v>
      </c>
      <c r="J916" s="4" t="n">
        <v>0</v>
      </c>
      <c r="K916" s="4" t="n">
        <v>0</v>
      </c>
      <c r="M916" s="2" t="str">
        <f aca="false">IF(C916="","",IFERROR(INDEX($S$5:$S$304,MATCH(C916,$R$5:$R$304,0))&amp;"","?"))</f>
        <v>22</v>
      </c>
      <c r="N916" s="2" t="n">
        <f aca="false">IF(E916="","",IF(ISNUMBER(SEARCH("SUBSOLO",E916)),IFERROR(-VALUE(LEFT(E916,FIND("º",SUBSTITUTE(E916,"°","º"))-1)),-1),IF(LEFT(E916,6)="TÉRREO",0,IFERROR(VALUE(LEFT(E916,FIND("º",SUBSTITUTE(E916,"°","º"))-1)),""))))</f>
        <v>1</v>
      </c>
      <c r="O916" s="2" t="str">
        <f aca="false">IF(OR(F916="",G916=""),"",IF(G916&lt;='RETRATO 2027'!$K$5,"CONCLUÍDA",IF(F916&lt;='RETRATO 2027'!$K$5,"EM ANDAMENTO","A INICIAR")))</f>
        <v>CONCLUÍDA</v>
      </c>
    </row>
    <row r="917" customFormat="false" ht="15" hidden="false" customHeight="false" outlineLevel="0" collapsed="false">
      <c r="B917" s="4" t="n">
        <v>29981440</v>
      </c>
      <c r="C917" s="4" t="s">
        <v>216</v>
      </c>
      <c r="D917" s="4" t="s">
        <v>463</v>
      </c>
      <c r="E917" s="4" t="s">
        <v>2809</v>
      </c>
      <c r="F917" s="127" t="n">
        <v>46716</v>
      </c>
      <c r="G917" s="127" t="n">
        <v>46728</v>
      </c>
      <c r="H917" s="127" t="n">
        <v>46289</v>
      </c>
      <c r="I917" s="4" t="n">
        <v>0</v>
      </c>
      <c r="J917" s="4" t="n">
        <v>0</v>
      </c>
      <c r="K917" s="4" t="n">
        <v>0</v>
      </c>
      <c r="M917" s="2" t="str">
        <f aca="false">IF(C917="","",IFERROR(INDEX($S$5:$S$304,MATCH(C917,$R$5:$R$304,0))&amp;"","?"))</f>
        <v>33</v>
      </c>
      <c r="N917" s="2" t="n">
        <f aca="false">IF(E917="","",IF(ISNUMBER(SEARCH("SUBSOLO",E917)),IFERROR(-VALUE(LEFT(E917,FIND("º",SUBSTITUTE(E917,"°","º"))-1)),-1),IF(LEFT(E917,6)="TÉRREO",0,IFERROR(VALUE(LEFT(E917,FIND("º",SUBSTITUTE(E917,"°","º"))-1)),""))))</f>
        <v>10</v>
      </c>
      <c r="O917" s="2" t="str">
        <f aca="false">IF(OR(F917="",G917=""),"",IF(G917&lt;='RETRATO 2027'!$K$5,"CONCLUÍDA",IF(F917&lt;='RETRATO 2027'!$K$5,"EM ANDAMENTO","A INICIAR")))</f>
        <v>CONCLUÍDA</v>
      </c>
    </row>
    <row r="918" customFormat="false" ht="15" hidden="false" customHeight="false" outlineLevel="0" collapsed="false">
      <c r="B918" s="4" t="n">
        <v>29981401</v>
      </c>
      <c r="C918" s="4" t="s">
        <v>2508</v>
      </c>
      <c r="D918" s="4" t="s">
        <v>463</v>
      </c>
      <c r="E918" s="4" t="s">
        <v>2810</v>
      </c>
      <c r="F918" s="127" t="n">
        <v>46716</v>
      </c>
      <c r="G918" s="127" t="n">
        <v>46728</v>
      </c>
      <c r="H918" s="127" t="n">
        <v>46289</v>
      </c>
      <c r="I918" s="4" t="n">
        <v>0</v>
      </c>
      <c r="J918" s="4" t="n">
        <v>0</v>
      </c>
      <c r="K918" s="4" t="n">
        <v>0</v>
      </c>
      <c r="M918" s="2" t="str">
        <f aca="false">IF(C918="","",IFERROR(INDEX($S$5:$S$304,MATCH(C918,$R$5:$R$304,0))&amp;"","?"))</f>
        <v>20</v>
      </c>
      <c r="N918" s="2" t="n">
        <f aca="false">IF(E918="","",IF(ISNUMBER(SEARCH("SUBSOLO",E918)),IFERROR(-VALUE(LEFT(E918,FIND("º",SUBSTITUTE(E918,"°","º"))-1)),-1),IF(LEFT(E918,6)="TÉRREO",0,IFERROR(VALUE(LEFT(E918,FIND("º",SUBSTITUTE(E918,"°","º"))-1)),""))))</f>
        <v>11</v>
      </c>
      <c r="O918" s="2" t="str">
        <f aca="false">IF(OR(F918="",G918=""),"",IF(G918&lt;='RETRATO 2027'!$K$5,"CONCLUÍDA",IF(F918&lt;='RETRATO 2027'!$K$5,"EM ANDAMENTO","A INICIAR")))</f>
        <v>CONCLUÍDA</v>
      </c>
    </row>
    <row r="919" customFormat="false" ht="15" hidden="false" customHeight="false" outlineLevel="0" collapsed="false">
      <c r="B919" s="4" t="n">
        <v>29981406</v>
      </c>
      <c r="C919" s="4" t="s">
        <v>2511</v>
      </c>
      <c r="D919" s="4" t="s">
        <v>463</v>
      </c>
      <c r="E919" s="4" t="s">
        <v>2810</v>
      </c>
      <c r="F919" s="127" t="n">
        <v>46716</v>
      </c>
      <c r="G919" s="127" t="n">
        <v>46728</v>
      </c>
      <c r="H919" s="127" t="n">
        <v>46289</v>
      </c>
      <c r="I919" s="4" t="n">
        <v>0</v>
      </c>
      <c r="J919" s="4" t="n">
        <v>0</v>
      </c>
      <c r="K919" s="4" t="n">
        <v>0</v>
      </c>
      <c r="M919" s="2" t="str">
        <f aca="false">IF(C919="","",IFERROR(INDEX($S$5:$S$304,MATCH(C919,$R$5:$R$304,0))&amp;"","?"))</f>
        <v>20</v>
      </c>
      <c r="N919" s="2" t="n">
        <f aca="false">IF(E919="","",IF(ISNUMBER(SEARCH("SUBSOLO",E919)),IFERROR(-VALUE(LEFT(E919,FIND("º",SUBSTITUTE(E919,"°","º"))-1)),-1),IF(LEFT(E919,6)="TÉRREO",0,IFERROR(VALUE(LEFT(E919,FIND("º",SUBSTITUTE(E919,"°","º"))-1)),""))))</f>
        <v>11</v>
      </c>
      <c r="O919" s="2" t="str">
        <f aca="false">IF(OR(F919="",G919=""),"",IF(G919&lt;='RETRATO 2027'!$K$5,"CONCLUÍDA",IF(F919&lt;='RETRATO 2027'!$K$5,"EM ANDAMENTO","A INICIAR")))</f>
        <v>CONCLUÍDA</v>
      </c>
    </row>
    <row r="920" customFormat="false" ht="15" hidden="false" customHeight="false" outlineLevel="0" collapsed="false">
      <c r="B920" s="4" t="n">
        <v>30214073</v>
      </c>
      <c r="C920" s="4" t="s">
        <v>2514</v>
      </c>
      <c r="D920" s="4" t="s">
        <v>463</v>
      </c>
      <c r="E920" s="4" t="s">
        <v>2810</v>
      </c>
      <c r="F920" s="127" t="n">
        <v>46716</v>
      </c>
      <c r="G920" s="127" t="n">
        <v>46730</v>
      </c>
      <c r="H920" s="127" t="n">
        <v>46289</v>
      </c>
      <c r="I920" s="4" t="n">
        <v>0</v>
      </c>
      <c r="J920" s="4" t="n">
        <v>0</v>
      </c>
      <c r="K920" s="4" t="n">
        <v>0</v>
      </c>
      <c r="M920" s="2" t="str">
        <f aca="false">IF(C920="","",IFERROR(INDEX($S$5:$S$304,MATCH(C920,$R$5:$R$304,0))&amp;"","?"))</f>
        <v>20</v>
      </c>
      <c r="N920" s="2" t="n">
        <f aca="false">IF(E920="","",IF(ISNUMBER(SEARCH("SUBSOLO",E920)),IFERROR(-VALUE(LEFT(E920,FIND("º",SUBSTITUTE(E920,"°","º"))-1)),-1),IF(LEFT(E920,6)="TÉRREO",0,IFERROR(VALUE(LEFT(E920,FIND("º",SUBSTITUTE(E920,"°","º"))-1)),""))))</f>
        <v>11</v>
      </c>
      <c r="O920" s="2" t="str">
        <f aca="false">IF(OR(F920="",G920=""),"",IF(G920&lt;='RETRATO 2027'!$K$5,"CONCLUÍDA",IF(F920&lt;='RETRATO 2027'!$K$5,"EM ANDAMENTO","A INICIAR")))</f>
        <v>CONCLUÍDA</v>
      </c>
    </row>
    <row r="921" customFormat="false" ht="15" hidden="false" customHeight="false" outlineLevel="0" collapsed="false">
      <c r="B921" s="4" t="n">
        <v>29981348</v>
      </c>
      <c r="C921" s="4" t="s">
        <v>2501</v>
      </c>
      <c r="D921" s="4" t="s">
        <v>463</v>
      </c>
      <c r="E921" s="4" t="s">
        <v>2811</v>
      </c>
      <c r="F921" s="127" t="n">
        <v>46716</v>
      </c>
      <c r="G921" s="127" t="n">
        <v>46728</v>
      </c>
      <c r="H921" s="127" t="n">
        <v>46289</v>
      </c>
      <c r="I921" s="4" t="n">
        <v>0</v>
      </c>
      <c r="J921" s="4" t="n">
        <v>0</v>
      </c>
      <c r="K921" s="4" t="n">
        <v>0</v>
      </c>
      <c r="M921" s="2" t="str">
        <f aca="false">IF(C921="","",IFERROR(INDEX($S$5:$S$304,MATCH(C921,$R$5:$R$304,0))&amp;"","?"))</f>
        <v>30</v>
      </c>
      <c r="N921" s="2" t="n">
        <f aca="false">IF(E921="","",IF(ISNUMBER(SEARCH("SUBSOLO",E921)),IFERROR(-VALUE(LEFT(E921,FIND("º",SUBSTITUTE(E921,"°","º"))-1)),-1),IF(LEFT(E921,6)="TÉRREO",0,IFERROR(VALUE(LEFT(E921,FIND("º",SUBSTITUTE(E921,"°","º"))-1)),""))))</f>
        <v>12</v>
      </c>
      <c r="O921" s="2" t="str">
        <f aca="false">IF(OR(F921="",G921=""),"",IF(G921&lt;='RETRATO 2027'!$K$5,"CONCLUÍDA",IF(F921&lt;='RETRATO 2027'!$K$5,"EM ANDAMENTO","A INICIAR")))</f>
        <v>CONCLUÍDA</v>
      </c>
    </row>
    <row r="922" customFormat="false" ht="15" hidden="false" customHeight="false" outlineLevel="0" collapsed="false">
      <c r="B922" s="4" t="n">
        <v>29981310</v>
      </c>
      <c r="C922" s="4" t="s">
        <v>2486</v>
      </c>
      <c r="D922" s="4" t="s">
        <v>463</v>
      </c>
      <c r="E922" s="4" t="s">
        <v>2812</v>
      </c>
      <c r="F922" s="127" t="n">
        <v>46716</v>
      </c>
      <c r="G922" s="127" t="n">
        <v>46728</v>
      </c>
      <c r="H922" s="127" t="n">
        <v>46289</v>
      </c>
      <c r="I922" s="4" t="n">
        <v>0</v>
      </c>
      <c r="J922" s="4" t="n">
        <v>0</v>
      </c>
      <c r="K922" s="4" t="n">
        <v>0</v>
      </c>
      <c r="M922" s="2" t="str">
        <f aca="false">IF(C922="","",IFERROR(INDEX($S$5:$S$304,MATCH(C922,$R$5:$R$304,0))&amp;"","?"))</f>
        <v>30</v>
      </c>
      <c r="N922" s="2" t="n">
        <f aca="false">IF(E922="","",IF(ISNUMBER(SEARCH("SUBSOLO",E922)),IFERROR(-VALUE(LEFT(E922,FIND("º",SUBSTITUTE(E922,"°","º"))-1)),-1),IF(LEFT(E922,6)="TÉRREO",0,IFERROR(VALUE(LEFT(E922,FIND("º",SUBSTITUTE(E922,"°","º"))-1)),""))))</f>
        <v>13</v>
      </c>
      <c r="O922" s="2" t="str">
        <f aca="false">IF(OR(F922="",G922=""),"",IF(G922&lt;='RETRATO 2027'!$K$5,"CONCLUÍDA",IF(F922&lt;='RETRATO 2027'!$K$5,"EM ANDAMENTO","A INICIAR")))</f>
        <v>CONCLUÍDA</v>
      </c>
    </row>
    <row r="923" customFormat="false" ht="15" hidden="false" customHeight="false" outlineLevel="0" collapsed="false">
      <c r="B923" s="4" t="n">
        <v>29981289</v>
      </c>
      <c r="C923" s="4" t="s">
        <v>2480</v>
      </c>
      <c r="D923" s="4" t="s">
        <v>463</v>
      </c>
      <c r="E923" s="4" t="s">
        <v>2813</v>
      </c>
      <c r="F923" s="127" t="n">
        <v>46716</v>
      </c>
      <c r="G923" s="127" t="n">
        <v>46728</v>
      </c>
      <c r="H923" s="127" t="n">
        <v>46289</v>
      </c>
      <c r="I923" s="4" t="n">
        <v>0</v>
      </c>
      <c r="J923" s="4" t="n">
        <v>0</v>
      </c>
      <c r="K923" s="4" t="n">
        <v>0</v>
      </c>
      <c r="M923" s="2" t="str">
        <f aca="false">IF(C923="","",IFERROR(INDEX($S$5:$S$304,MATCH(C923,$R$5:$R$304,0))&amp;"","?"))</f>
        <v>30</v>
      </c>
      <c r="N923" s="2" t="n">
        <f aca="false">IF(E923="","",IF(ISNUMBER(SEARCH("SUBSOLO",E923)),IFERROR(-VALUE(LEFT(E923,FIND("º",SUBSTITUTE(E923,"°","º"))-1)),-1),IF(LEFT(E923,6)="TÉRREO",0,IFERROR(VALUE(LEFT(E923,FIND("º",SUBSTITUTE(E923,"°","º"))-1)),""))))</f>
        <v>14</v>
      </c>
      <c r="O923" s="2" t="str">
        <f aca="false">IF(OR(F923="",G923=""),"",IF(G923&lt;='RETRATO 2027'!$K$5,"CONCLUÍDA",IF(F923&lt;='RETRATO 2027'!$K$5,"EM ANDAMENTO","A INICIAR")))</f>
        <v>CONCLUÍDA</v>
      </c>
    </row>
    <row r="924" customFormat="false" ht="15" hidden="false" customHeight="false" outlineLevel="0" collapsed="false">
      <c r="B924" s="4" t="n">
        <v>29981250</v>
      </c>
      <c r="C924" s="4" t="s">
        <v>171</v>
      </c>
      <c r="D924" s="4" t="s">
        <v>463</v>
      </c>
      <c r="E924" s="4" t="s">
        <v>2814</v>
      </c>
      <c r="F924" s="127" t="n">
        <v>46716</v>
      </c>
      <c r="G924" s="127" t="n">
        <v>46728</v>
      </c>
      <c r="H924" s="127" t="n">
        <v>46289</v>
      </c>
      <c r="I924" s="4" t="n">
        <v>0</v>
      </c>
      <c r="J924" s="4" t="n">
        <v>0</v>
      </c>
      <c r="K924" s="4" t="n">
        <v>0</v>
      </c>
      <c r="M924" s="2" t="str">
        <f aca="false">IF(C924="","",IFERROR(INDEX($S$5:$S$304,MATCH(C924,$R$5:$R$304,0))&amp;"","?"))</f>
        <v>19</v>
      </c>
      <c r="N924" s="2" t="n">
        <f aca="false">IF(E924="","",IF(ISNUMBER(SEARCH("SUBSOLO",E924)),IFERROR(-VALUE(LEFT(E924,FIND("º",SUBSTITUTE(E924,"°","º"))-1)),-1),IF(LEFT(E924,6)="TÉRREO",0,IFERROR(VALUE(LEFT(E924,FIND("º",SUBSTITUTE(E924,"°","º"))-1)),""))))</f>
        <v>15</v>
      </c>
      <c r="O924" s="2" t="str">
        <f aca="false">IF(OR(F924="",G924=""),"",IF(G924&lt;='RETRATO 2027'!$K$5,"CONCLUÍDA",IF(F924&lt;='RETRATO 2027'!$K$5,"EM ANDAMENTO","A INICIAR")))</f>
        <v>CONCLUÍDA</v>
      </c>
    </row>
    <row r="925" customFormat="false" ht="15" hidden="false" customHeight="false" outlineLevel="0" collapsed="false">
      <c r="B925" s="4" t="n">
        <v>32750442</v>
      </c>
      <c r="C925" s="4" t="s">
        <v>2470</v>
      </c>
      <c r="D925" s="4" t="s">
        <v>463</v>
      </c>
      <c r="E925" s="4" t="s">
        <v>2815</v>
      </c>
      <c r="F925" s="127" t="n">
        <v>46716</v>
      </c>
      <c r="G925" s="127" t="n">
        <v>46728</v>
      </c>
      <c r="H925" s="127" t="n">
        <v>46289</v>
      </c>
      <c r="I925" s="4" t="n">
        <v>0</v>
      </c>
      <c r="J925" s="4" t="n">
        <v>0</v>
      </c>
      <c r="K925" s="4" t="n">
        <v>0</v>
      </c>
      <c r="M925" s="2" t="str">
        <f aca="false">IF(C925="","",IFERROR(INDEX($S$5:$S$304,MATCH(C925,$R$5:$R$304,0))&amp;"","?"))</f>
        <v>18</v>
      </c>
      <c r="N925" s="2" t="n">
        <f aca="false">IF(E925="","",IF(ISNUMBER(SEARCH("SUBSOLO",E925)),IFERROR(-VALUE(LEFT(E925,FIND("º",SUBSTITUTE(E925,"°","º"))-1)),-1),IF(LEFT(E925,6)="TÉRREO",0,IFERROR(VALUE(LEFT(E925,FIND("º",SUBSTITUTE(E925,"°","º"))-1)),""))))</f>
        <v>16</v>
      </c>
      <c r="O925" s="2" t="str">
        <f aca="false">IF(OR(F925="",G925=""),"",IF(G925&lt;='RETRATO 2027'!$K$5,"CONCLUÍDA",IF(F925&lt;='RETRATO 2027'!$K$5,"EM ANDAMENTO","A INICIAR")))</f>
        <v>CONCLUÍDA</v>
      </c>
    </row>
    <row r="926" customFormat="false" ht="15" hidden="false" customHeight="false" outlineLevel="0" collapsed="false">
      <c r="B926" s="4" t="n">
        <v>32750365</v>
      </c>
      <c r="C926" s="4" t="s">
        <v>2458</v>
      </c>
      <c r="D926" s="4" t="s">
        <v>463</v>
      </c>
      <c r="E926" s="4" t="s">
        <v>2818</v>
      </c>
      <c r="F926" s="127" t="n">
        <v>46716</v>
      </c>
      <c r="G926" s="127" t="n">
        <v>46728</v>
      </c>
      <c r="H926" s="127" t="n">
        <v>46289</v>
      </c>
      <c r="I926" s="4" t="n">
        <v>0</v>
      </c>
      <c r="J926" s="4" t="n">
        <v>0</v>
      </c>
      <c r="K926" s="4" t="n">
        <v>0</v>
      </c>
      <c r="M926" s="2" t="str">
        <f aca="false">IF(C926="","",IFERROR(INDEX($S$5:$S$304,MATCH(C926,$R$5:$R$304,0))&amp;"","?"))</f>
        <v>21</v>
      </c>
      <c r="N926" s="2" t="n">
        <f aca="false">IF(E926="","",IF(ISNUMBER(SEARCH("SUBSOLO",E926)),IFERROR(-VALUE(LEFT(E926,FIND("º",SUBSTITUTE(E926,"°","º"))-1)),-1),IF(LEFT(E926,6)="TÉRREO",0,IFERROR(VALUE(LEFT(E926,FIND("º",SUBSTITUTE(E926,"°","º"))-1)),""))))</f>
        <v>17</v>
      </c>
      <c r="O926" s="2" t="str">
        <f aca="false">IF(OR(F926="",G926=""),"",IF(G926&lt;='RETRATO 2027'!$K$5,"CONCLUÍDA",IF(F926&lt;='RETRATO 2027'!$K$5,"EM ANDAMENTO","A INICIAR")))</f>
        <v>CONCLUÍDA</v>
      </c>
    </row>
    <row r="927" customFormat="false" ht="15" hidden="false" customHeight="false" outlineLevel="0" collapsed="false">
      <c r="B927" s="4" t="n">
        <v>32750391</v>
      </c>
      <c r="C927" s="4" t="s">
        <v>2461</v>
      </c>
      <c r="D927" s="4" t="s">
        <v>463</v>
      </c>
      <c r="E927" s="4" t="s">
        <v>2818</v>
      </c>
      <c r="F927" s="127" t="n">
        <v>46716</v>
      </c>
      <c r="G927" s="127" t="n">
        <v>46728</v>
      </c>
      <c r="H927" s="127" t="n">
        <v>46289</v>
      </c>
      <c r="I927" s="4" t="n">
        <v>0</v>
      </c>
      <c r="J927" s="4" t="n">
        <v>0</v>
      </c>
      <c r="K927" s="4" t="n">
        <v>0</v>
      </c>
      <c r="M927" s="2" t="str">
        <f aca="false">IF(C927="","",IFERROR(INDEX($S$5:$S$304,MATCH(C927,$R$5:$R$304,0))&amp;"","?"))</f>
        <v>20</v>
      </c>
      <c r="N927" s="2" t="n">
        <f aca="false">IF(E927="","",IF(ISNUMBER(SEARCH("SUBSOLO",E927)),IFERROR(-VALUE(LEFT(E927,FIND("º",SUBSTITUTE(E927,"°","º"))-1)),-1),IF(LEFT(E927,6)="TÉRREO",0,IFERROR(VALUE(LEFT(E927,FIND("º",SUBSTITUTE(E927,"°","º"))-1)),""))))</f>
        <v>17</v>
      </c>
      <c r="O927" s="2" t="str">
        <f aca="false">IF(OR(F927="",G927=""),"",IF(G927&lt;='RETRATO 2027'!$K$5,"CONCLUÍDA",IF(F927&lt;='RETRATO 2027'!$K$5,"EM ANDAMENTO","A INICIAR")))</f>
        <v>CONCLUÍDA</v>
      </c>
    </row>
    <row r="928" customFormat="false" ht="15" hidden="false" customHeight="false" outlineLevel="0" collapsed="false">
      <c r="B928" s="4" t="n">
        <v>32750417</v>
      </c>
      <c r="C928" s="4" t="s">
        <v>2464</v>
      </c>
      <c r="D928" s="4" t="s">
        <v>463</v>
      </c>
      <c r="E928" s="4" t="s">
        <v>2818</v>
      </c>
      <c r="F928" s="127" t="n">
        <v>46716</v>
      </c>
      <c r="G928" s="127" t="n">
        <v>46728</v>
      </c>
      <c r="H928" s="127" t="n">
        <v>46289</v>
      </c>
      <c r="I928" s="4" t="n">
        <v>0</v>
      </c>
      <c r="J928" s="4" t="n">
        <v>0</v>
      </c>
      <c r="K928" s="4" t="n">
        <v>0</v>
      </c>
      <c r="M928" s="2" t="str">
        <f aca="false">IF(C928="","",IFERROR(INDEX($S$5:$S$304,MATCH(C928,$R$5:$R$304,0))&amp;"","?"))</f>
        <v>21</v>
      </c>
      <c r="N928" s="2" t="n">
        <f aca="false">IF(E928="","",IF(ISNUMBER(SEARCH("SUBSOLO",E928)),IFERROR(-VALUE(LEFT(E928,FIND("º",SUBSTITUTE(E928,"°","º"))-1)),-1),IF(LEFT(E928,6)="TÉRREO",0,IFERROR(VALUE(LEFT(E928,FIND("º",SUBSTITUTE(E928,"°","º"))-1)),""))))</f>
        <v>17</v>
      </c>
      <c r="O928" s="2" t="str">
        <f aca="false">IF(OR(F928="",G928=""),"",IF(G928&lt;='RETRATO 2027'!$K$5,"CONCLUÍDA",IF(F928&lt;='RETRATO 2027'!$K$5,"EM ANDAMENTO","A INICIAR")))</f>
        <v>CONCLUÍDA</v>
      </c>
    </row>
    <row r="929" customFormat="false" ht="15" hidden="false" customHeight="false" outlineLevel="0" collapsed="false">
      <c r="B929" s="4" t="n">
        <v>33896835</v>
      </c>
      <c r="C929" s="4" t="s">
        <v>2467</v>
      </c>
      <c r="D929" s="4" t="s">
        <v>463</v>
      </c>
      <c r="E929" s="4" t="s">
        <v>2818</v>
      </c>
      <c r="F929" s="127" t="n">
        <v>46716</v>
      </c>
      <c r="G929" s="127" t="n">
        <v>46728</v>
      </c>
      <c r="H929" s="127" t="n">
        <v>46289</v>
      </c>
      <c r="I929" s="4" t="n">
        <v>0</v>
      </c>
      <c r="J929" s="4" t="n">
        <v>0</v>
      </c>
      <c r="K929" s="4" t="n">
        <v>0</v>
      </c>
      <c r="M929" s="2" t="str">
        <f aca="false">IF(C929="","",IFERROR(INDEX($S$5:$S$304,MATCH(C929,$R$5:$R$304,0))&amp;"","?"))</f>
        <v>23</v>
      </c>
      <c r="N929" s="2" t="n">
        <f aca="false">IF(E929="","",IF(ISNUMBER(SEARCH("SUBSOLO",E929)),IFERROR(-VALUE(LEFT(E929,FIND("º",SUBSTITUTE(E929,"°","º"))-1)),-1),IF(LEFT(E929,6)="TÉRREO",0,IFERROR(VALUE(LEFT(E929,FIND("º",SUBSTITUTE(E929,"°","º"))-1)),""))))</f>
        <v>17</v>
      </c>
      <c r="O929" s="2" t="str">
        <f aca="false">IF(OR(F929="",G929=""),"",IF(G929&lt;='RETRATO 2027'!$K$5,"CONCLUÍDA",IF(F929&lt;='RETRATO 2027'!$K$5,"EM ANDAMENTO","A INICIAR")))</f>
        <v>CONCLUÍDA</v>
      </c>
    </row>
    <row r="930" customFormat="false" ht="15" hidden="false" customHeight="false" outlineLevel="0" collapsed="false">
      <c r="B930" s="4" t="n">
        <v>32749861</v>
      </c>
      <c r="C930" s="4" t="s">
        <v>2455</v>
      </c>
      <c r="D930" s="4" t="s">
        <v>463</v>
      </c>
      <c r="E930" s="4" t="s">
        <v>2820</v>
      </c>
      <c r="F930" s="127" t="n">
        <v>46716</v>
      </c>
      <c r="G930" s="127" t="n">
        <v>46728</v>
      </c>
      <c r="H930" s="127" t="n">
        <v>46289</v>
      </c>
      <c r="I930" s="4" t="n">
        <v>0</v>
      </c>
      <c r="J930" s="4" t="n">
        <v>0</v>
      </c>
      <c r="K930" s="4" t="n">
        <v>0</v>
      </c>
      <c r="M930" s="2" t="str">
        <f aca="false">IF(C930="","",IFERROR(INDEX($S$5:$S$304,MATCH(C930,$R$5:$R$304,0))&amp;"","?"))</f>
        <v>18</v>
      </c>
      <c r="N930" s="2" t="n">
        <f aca="false">IF(E930="","",IF(ISNUMBER(SEARCH("SUBSOLO",E930)),IFERROR(-VALUE(LEFT(E930,FIND("º",SUBSTITUTE(E930,"°","º"))-1)),-1),IF(LEFT(E930,6)="TÉRREO",0,IFERROR(VALUE(LEFT(E930,FIND("º",SUBSTITUTE(E930,"°","º"))-1)),""))))</f>
        <v>18</v>
      </c>
      <c r="O930" s="2" t="str">
        <f aca="false">IF(OR(F930="",G930=""),"",IF(G930&lt;='RETRATO 2027'!$K$5,"CONCLUÍDA",IF(F930&lt;='RETRATO 2027'!$K$5,"EM ANDAMENTO","A INICIAR")))</f>
        <v>CONCLUÍDA</v>
      </c>
    </row>
    <row r="931" customFormat="false" ht="15" hidden="false" customHeight="false" outlineLevel="0" collapsed="false">
      <c r="B931" s="4" t="n">
        <v>29981066</v>
      </c>
      <c r="C931" s="4" t="s">
        <v>2449</v>
      </c>
      <c r="D931" s="4" t="s">
        <v>463</v>
      </c>
      <c r="E931" s="4" t="s">
        <v>2823</v>
      </c>
      <c r="F931" s="127" t="n">
        <v>46716</v>
      </c>
      <c r="G931" s="127" t="n">
        <v>46728</v>
      </c>
      <c r="H931" s="127" t="n">
        <v>46289</v>
      </c>
      <c r="I931" s="4" t="n">
        <v>0</v>
      </c>
      <c r="J931" s="4" t="n">
        <v>0</v>
      </c>
      <c r="K931" s="4" t="n">
        <v>0</v>
      </c>
      <c r="M931" s="2" t="str">
        <f aca="false">IF(C931="","",IFERROR(INDEX($S$5:$S$304,MATCH(C931,$R$5:$R$304,0))&amp;"","?"))</f>
        <v>28</v>
      </c>
      <c r="N931" s="2" t="n">
        <f aca="false">IF(E931="","",IF(ISNUMBER(SEARCH("SUBSOLO",E931)),IFERROR(-VALUE(LEFT(E931,FIND("º",SUBSTITUTE(E931,"°","º"))-1)),-1),IF(LEFT(E931,6)="TÉRREO",0,IFERROR(VALUE(LEFT(E931,FIND("º",SUBSTITUTE(E931,"°","º"))-1)),""))))</f>
        <v>20</v>
      </c>
      <c r="O931" s="2" t="str">
        <f aca="false">IF(OR(F931="",G931=""),"",IF(G931&lt;='RETRATO 2027'!$K$5,"CONCLUÍDA",IF(F931&lt;='RETRATO 2027'!$K$5,"EM ANDAMENTO","A INICIAR")))</f>
        <v>CONCLUÍDA</v>
      </c>
    </row>
    <row r="932" customFormat="false" ht="15" hidden="false" customHeight="false" outlineLevel="0" collapsed="false">
      <c r="B932" s="4" t="n">
        <v>29981006</v>
      </c>
      <c r="C932" s="4" t="s">
        <v>2440</v>
      </c>
      <c r="D932" s="4" t="s">
        <v>463</v>
      </c>
      <c r="E932" s="4" t="s">
        <v>2825</v>
      </c>
      <c r="F932" s="127" t="n">
        <v>46716</v>
      </c>
      <c r="G932" s="127" t="n">
        <v>46728</v>
      </c>
      <c r="H932" s="127" t="n">
        <v>46289</v>
      </c>
      <c r="I932" s="4" t="n">
        <v>0</v>
      </c>
      <c r="J932" s="4" t="n">
        <v>0</v>
      </c>
      <c r="K932" s="4" t="n">
        <v>0</v>
      </c>
      <c r="M932" s="2" t="str">
        <f aca="false">IF(C932="","",IFERROR(INDEX($S$5:$S$304,MATCH(C932,$R$5:$R$304,0))&amp;"","?"))</f>
        <v>21</v>
      </c>
      <c r="N932" s="2" t="n">
        <f aca="false">IF(E932="","",IF(ISNUMBER(SEARCH("SUBSOLO",E932)),IFERROR(-VALUE(LEFT(E932,FIND("º",SUBSTITUTE(E932,"°","º"))-1)),-1),IF(LEFT(E932,6)="TÉRREO",0,IFERROR(VALUE(LEFT(E932,FIND("º",SUBSTITUTE(E932,"°","º"))-1)),""))))</f>
        <v>21</v>
      </c>
      <c r="O932" s="2" t="str">
        <f aca="false">IF(OR(F932="",G932=""),"",IF(G932&lt;='RETRATO 2027'!$K$5,"CONCLUÍDA",IF(F932&lt;='RETRATO 2027'!$K$5,"EM ANDAMENTO","A INICIAR")))</f>
        <v>CONCLUÍDA</v>
      </c>
    </row>
    <row r="933" customFormat="false" ht="15" hidden="false" customHeight="false" outlineLevel="0" collapsed="false">
      <c r="B933" s="4" t="n">
        <v>29981039</v>
      </c>
      <c r="C933" s="4" t="s">
        <v>2443</v>
      </c>
      <c r="D933" s="4" t="s">
        <v>463</v>
      </c>
      <c r="E933" s="4" t="s">
        <v>2825</v>
      </c>
      <c r="F933" s="127" t="n">
        <v>46716</v>
      </c>
      <c r="G933" s="127" t="n">
        <v>46728</v>
      </c>
      <c r="H933" s="127" t="n">
        <v>46289</v>
      </c>
      <c r="I933" s="4" t="n">
        <v>0</v>
      </c>
      <c r="J933" s="4" t="n">
        <v>0</v>
      </c>
      <c r="K933" s="4" t="n">
        <v>0</v>
      </c>
      <c r="M933" s="2" t="str">
        <f aca="false">IF(C933="","",IFERROR(INDEX($S$5:$S$304,MATCH(C933,$R$5:$R$304,0))&amp;"","?"))</f>
        <v>20</v>
      </c>
      <c r="N933" s="2" t="n">
        <f aca="false">IF(E933="","",IF(ISNUMBER(SEARCH("SUBSOLO",E933)),IFERROR(-VALUE(LEFT(E933,FIND("º",SUBSTITUTE(E933,"°","º"))-1)),-1),IF(LEFT(E933,6)="TÉRREO",0,IFERROR(VALUE(LEFT(E933,FIND("º",SUBSTITUTE(E933,"°","º"))-1)),""))))</f>
        <v>21</v>
      </c>
      <c r="O933" s="2" t="str">
        <f aca="false">IF(OR(F933="",G933=""),"",IF(G933&lt;='RETRATO 2027'!$K$5,"CONCLUÍDA",IF(F933&lt;='RETRATO 2027'!$K$5,"EM ANDAMENTO","A INICIAR")))</f>
        <v>CONCLUÍDA</v>
      </c>
    </row>
    <row r="934" customFormat="false" ht="15" hidden="false" customHeight="false" outlineLevel="0" collapsed="false">
      <c r="B934" s="4" t="n">
        <v>29980968</v>
      </c>
      <c r="C934" s="4" t="s">
        <v>2437</v>
      </c>
      <c r="D934" s="4" t="s">
        <v>463</v>
      </c>
      <c r="E934" s="4" t="s">
        <v>2827</v>
      </c>
      <c r="F934" s="127" t="n">
        <v>46716</v>
      </c>
      <c r="G934" s="127" t="n">
        <v>46728</v>
      </c>
      <c r="H934" s="127" t="n">
        <v>46289</v>
      </c>
      <c r="I934" s="4" t="n">
        <v>0</v>
      </c>
      <c r="J934" s="4" t="n">
        <v>0</v>
      </c>
      <c r="K934" s="4" t="n">
        <v>0</v>
      </c>
      <c r="M934" s="2" t="str">
        <f aca="false">IF(C934="","",IFERROR(INDEX($S$5:$S$304,MATCH(C934,$R$5:$R$304,0))&amp;"","?"))</f>
        <v>29</v>
      </c>
      <c r="N934" s="2" t="n">
        <f aca="false">IF(E934="","",IF(ISNUMBER(SEARCH("SUBSOLO",E934)),IFERROR(-VALUE(LEFT(E934,FIND("º",SUBSTITUTE(E934,"°","º"))-1)),-1),IF(LEFT(E934,6)="TÉRREO",0,IFERROR(VALUE(LEFT(E934,FIND("º",SUBSTITUTE(E934,"°","º"))-1)),""))))</f>
        <v>22</v>
      </c>
      <c r="O934" s="2" t="str">
        <f aca="false">IF(OR(F934="",G934=""),"",IF(G934&lt;='RETRATO 2027'!$K$5,"CONCLUÍDA",IF(F934&lt;='RETRATO 2027'!$K$5,"EM ANDAMENTO","A INICIAR")))</f>
        <v>CONCLUÍDA</v>
      </c>
    </row>
    <row r="935" customFormat="false" ht="15" hidden="false" customHeight="false" outlineLevel="0" collapsed="false">
      <c r="B935" s="4" t="n">
        <v>29980934</v>
      </c>
      <c r="C935" s="4" t="s">
        <v>2434</v>
      </c>
      <c r="D935" s="4" t="s">
        <v>463</v>
      </c>
      <c r="E935" s="4" t="s">
        <v>2829</v>
      </c>
      <c r="F935" s="127" t="n">
        <v>46716</v>
      </c>
      <c r="G935" s="127" t="n">
        <v>46728</v>
      </c>
      <c r="H935" s="127" t="n">
        <v>46289</v>
      </c>
      <c r="I935" s="4" t="n">
        <v>0</v>
      </c>
      <c r="J935" s="4" t="n">
        <v>0</v>
      </c>
      <c r="K935" s="4" t="n">
        <v>0</v>
      </c>
      <c r="M935" s="2" t="str">
        <f aca="false">IF(C935="","",IFERROR(INDEX($S$5:$S$304,MATCH(C935,$R$5:$R$304,0))&amp;"","?"))</f>
        <v>25</v>
      </c>
      <c r="N935" s="2" t="n">
        <f aca="false">IF(E935="","",IF(ISNUMBER(SEARCH("SUBSOLO",E935)),IFERROR(-VALUE(LEFT(E935,FIND("º",SUBSTITUTE(E935,"°","º"))-1)),-1),IF(LEFT(E935,6)="TÉRREO",0,IFERROR(VALUE(LEFT(E935,FIND("º",SUBSTITUTE(E935,"°","º"))-1)),""))))</f>
        <v>23</v>
      </c>
      <c r="O935" s="2" t="str">
        <f aca="false">IF(OR(F935="",G935=""),"",IF(G935&lt;='RETRATO 2027'!$K$5,"CONCLUÍDA",IF(F935&lt;='RETRATO 2027'!$K$5,"EM ANDAMENTO","A INICIAR")))</f>
        <v>CONCLUÍDA</v>
      </c>
    </row>
    <row r="936" customFormat="false" ht="15" hidden="false" customHeight="false" outlineLevel="0" collapsed="false">
      <c r="B936" s="4" t="n">
        <v>29980927</v>
      </c>
      <c r="C936" s="4" t="s">
        <v>2425</v>
      </c>
      <c r="D936" s="4" t="s">
        <v>463</v>
      </c>
      <c r="E936" s="4" t="s">
        <v>2831</v>
      </c>
      <c r="F936" s="127" t="n">
        <v>46716</v>
      </c>
      <c r="G936" s="127" t="n">
        <v>46728</v>
      </c>
      <c r="H936" s="127" t="n">
        <v>46289</v>
      </c>
      <c r="I936" s="4" t="n">
        <v>0</v>
      </c>
      <c r="J936" s="4" t="n">
        <v>0</v>
      </c>
      <c r="K936" s="4" t="n">
        <v>0</v>
      </c>
      <c r="M936" s="2" t="str">
        <f aca="false">IF(C936="","",IFERROR(INDEX($S$5:$S$304,MATCH(C936,$R$5:$R$304,0))&amp;"","?"))</f>
        <v>21</v>
      </c>
      <c r="N936" s="2" t="n">
        <f aca="false">IF(E936="","",IF(ISNUMBER(SEARCH("SUBSOLO",E936)),IFERROR(-VALUE(LEFT(E936,FIND("º",SUBSTITUTE(E936,"°","º"))-1)),-1),IF(LEFT(E936,6)="TÉRREO",0,IFERROR(VALUE(LEFT(E936,FIND("º",SUBSTITUTE(E936,"°","º"))-1)),""))))</f>
        <v>24</v>
      </c>
      <c r="O936" s="2" t="str">
        <f aca="false">IF(OR(F936="",G936=""),"",IF(G936&lt;='RETRATO 2027'!$K$5,"CONCLUÍDA",IF(F936&lt;='RETRATO 2027'!$K$5,"EM ANDAMENTO","A INICIAR")))</f>
        <v>CONCLUÍDA</v>
      </c>
    </row>
    <row r="937" customFormat="false" ht="15" hidden="false" customHeight="false" outlineLevel="0" collapsed="false">
      <c r="B937" s="4" t="n">
        <v>29980896</v>
      </c>
      <c r="C937" s="4" t="s">
        <v>2428</v>
      </c>
      <c r="D937" s="4" t="s">
        <v>463</v>
      </c>
      <c r="E937" s="4" t="s">
        <v>2831</v>
      </c>
      <c r="F937" s="127" t="n">
        <v>46716</v>
      </c>
      <c r="G937" s="127" t="n">
        <v>46728</v>
      </c>
      <c r="H937" s="127" t="n">
        <v>46289</v>
      </c>
      <c r="I937" s="4" t="n">
        <v>0</v>
      </c>
      <c r="J937" s="4" t="n">
        <v>0</v>
      </c>
      <c r="K937" s="4" t="n">
        <v>0</v>
      </c>
      <c r="M937" s="2" t="str">
        <f aca="false">IF(C937="","",IFERROR(INDEX($S$5:$S$304,MATCH(C937,$R$5:$R$304,0))&amp;"","?"))</f>
        <v>20</v>
      </c>
      <c r="N937" s="2" t="n">
        <f aca="false">IF(E937="","",IF(ISNUMBER(SEARCH("SUBSOLO",E937)),IFERROR(-VALUE(LEFT(E937,FIND("º",SUBSTITUTE(E937,"°","º"))-1)),-1),IF(LEFT(E937,6)="TÉRREO",0,IFERROR(VALUE(LEFT(E937,FIND("º",SUBSTITUTE(E937,"°","º"))-1)),""))))</f>
        <v>24</v>
      </c>
      <c r="O937" s="2" t="str">
        <f aca="false">IF(OR(F937="",G937=""),"",IF(G937&lt;='RETRATO 2027'!$K$5,"CONCLUÍDA",IF(F937&lt;='RETRATO 2027'!$K$5,"EM ANDAMENTO","A INICIAR")))</f>
        <v>CONCLUÍDA</v>
      </c>
    </row>
    <row r="938" customFormat="false" ht="15" hidden="false" customHeight="false" outlineLevel="0" collapsed="false">
      <c r="B938" s="4" t="n">
        <v>29980929</v>
      </c>
      <c r="C938" s="4" t="s">
        <v>2431</v>
      </c>
      <c r="D938" s="4" t="s">
        <v>463</v>
      </c>
      <c r="E938" s="4" t="s">
        <v>2831</v>
      </c>
      <c r="F938" s="127" t="n">
        <v>46716</v>
      </c>
      <c r="G938" s="127" t="n">
        <v>46728</v>
      </c>
      <c r="H938" s="127" t="n">
        <v>46289</v>
      </c>
      <c r="I938" s="4" t="n">
        <v>0</v>
      </c>
      <c r="J938" s="4" t="n">
        <v>0</v>
      </c>
      <c r="K938" s="4" t="n">
        <v>0</v>
      </c>
      <c r="M938" s="2" t="str">
        <f aca="false">IF(C938="","",IFERROR(INDEX($S$5:$S$304,MATCH(C938,$R$5:$R$304,0))&amp;"","?"))</f>
        <v>21</v>
      </c>
      <c r="N938" s="2" t="n">
        <f aca="false">IF(E938="","",IF(ISNUMBER(SEARCH("SUBSOLO",E938)),IFERROR(-VALUE(LEFT(E938,FIND("º",SUBSTITUTE(E938,"°","º"))-1)),-1),IF(LEFT(E938,6)="TÉRREO",0,IFERROR(VALUE(LEFT(E938,FIND("º",SUBSTITUTE(E938,"°","º"))-1)),""))))</f>
        <v>24</v>
      </c>
      <c r="O938" s="2" t="str">
        <f aca="false">IF(OR(F938="",G938=""),"",IF(G938&lt;='RETRATO 2027'!$K$5,"CONCLUÍDA",IF(F938&lt;='RETRATO 2027'!$K$5,"EM ANDAMENTO","A INICIAR")))</f>
        <v>CONCLUÍDA</v>
      </c>
    </row>
    <row r="939" customFormat="false" ht="15" hidden="false" customHeight="false" outlineLevel="0" collapsed="false">
      <c r="B939" s="4" t="n">
        <v>29980876</v>
      </c>
      <c r="C939" s="4" t="s">
        <v>2422</v>
      </c>
      <c r="D939" s="4" t="s">
        <v>463</v>
      </c>
      <c r="E939" s="4" t="s">
        <v>2833</v>
      </c>
      <c r="F939" s="127" t="n">
        <v>46716</v>
      </c>
      <c r="G939" s="127" t="n">
        <v>46728</v>
      </c>
      <c r="H939" s="127" t="n">
        <v>46289</v>
      </c>
      <c r="I939" s="4" t="n">
        <v>0</v>
      </c>
      <c r="J939" s="4" t="n">
        <v>0</v>
      </c>
      <c r="K939" s="4" t="n">
        <v>0</v>
      </c>
      <c r="M939" s="2" t="str">
        <f aca="false">IF(C939="","",IFERROR(INDEX($S$5:$S$304,MATCH(C939,$R$5:$R$304,0))&amp;"","?"))</f>
        <v>29</v>
      </c>
      <c r="N939" s="2" t="n">
        <f aca="false">IF(E939="","",IF(ISNUMBER(SEARCH("SUBSOLO",E939)),IFERROR(-VALUE(LEFT(E939,FIND("º",SUBSTITUTE(E939,"°","º"))-1)),-1),IF(LEFT(E939,6)="TÉRREO",0,IFERROR(VALUE(LEFT(E939,FIND("º",SUBSTITUTE(E939,"°","º"))-1)),""))))</f>
        <v>25</v>
      </c>
      <c r="O939" s="2" t="str">
        <f aca="false">IF(OR(F939="",G939=""),"",IF(G939&lt;='RETRATO 2027'!$K$5,"CONCLUÍDA",IF(F939&lt;='RETRATO 2027'!$K$5,"EM ANDAMENTO","A INICIAR")))</f>
        <v>CONCLUÍDA</v>
      </c>
    </row>
    <row r="940" customFormat="false" ht="15" hidden="false" customHeight="false" outlineLevel="0" collapsed="false">
      <c r="B940" s="4" t="n">
        <v>29980842</v>
      </c>
      <c r="C940" s="4" t="s">
        <v>2413</v>
      </c>
      <c r="D940" s="4" t="s">
        <v>463</v>
      </c>
      <c r="E940" s="4" t="s">
        <v>2834</v>
      </c>
      <c r="F940" s="127" t="n">
        <v>46716</v>
      </c>
      <c r="G940" s="127" t="n">
        <v>46728</v>
      </c>
      <c r="H940" s="127" t="n">
        <v>46289</v>
      </c>
      <c r="I940" s="4" t="n">
        <v>0</v>
      </c>
      <c r="J940" s="4" t="n">
        <v>0</v>
      </c>
      <c r="K940" s="4" t="n">
        <v>0</v>
      </c>
      <c r="M940" s="2" t="str">
        <f aca="false">IF(C940="","",IFERROR(INDEX($S$5:$S$304,MATCH(C940,$R$5:$R$304,0))&amp;"","?"))</f>
        <v>21</v>
      </c>
      <c r="N940" s="2" t="n">
        <f aca="false">IF(E940="","",IF(ISNUMBER(SEARCH("SUBSOLO",E940)),IFERROR(-VALUE(LEFT(E940,FIND("º",SUBSTITUTE(E940,"°","º"))-1)),-1),IF(LEFT(E940,6)="TÉRREO",0,IFERROR(VALUE(LEFT(E940,FIND("º",SUBSTITUTE(E940,"°","º"))-1)),""))))</f>
        <v>26</v>
      </c>
      <c r="O940" s="2" t="str">
        <f aca="false">IF(OR(F940="",G940=""),"",IF(G940&lt;='RETRATO 2027'!$K$5,"CONCLUÍDA",IF(F940&lt;='RETRATO 2027'!$K$5,"EM ANDAMENTO","A INICIAR")))</f>
        <v>CONCLUÍDA</v>
      </c>
    </row>
    <row r="941" customFormat="false" ht="15" hidden="false" customHeight="false" outlineLevel="0" collapsed="false">
      <c r="B941" s="4" t="n">
        <v>29980841</v>
      </c>
      <c r="C941" s="4" t="s">
        <v>2416</v>
      </c>
      <c r="D941" s="4" t="s">
        <v>463</v>
      </c>
      <c r="E941" s="4" t="s">
        <v>2834</v>
      </c>
      <c r="F941" s="127" t="n">
        <v>46720</v>
      </c>
      <c r="G941" s="127" t="n">
        <v>46731</v>
      </c>
      <c r="H941" s="127" t="n">
        <v>46289</v>
      </c>
      <c r="I941" s="4" t="n">
        <v>0</v>
      </c>
      <c r="J941" s="4" t="n">
        <v>0</v>
      </c>
      <c r="K941" s="4" t="n">
        <v>0</v>
      </c>
      <c r="M941" s="2" t="str">
        <f aca="false">IF(C941="","",IFERROR(INDEX($S$5:$S$304,MATCH(C941,$R$5:$R$304,0))&amp;"","?"))</f>
        <v>18</v>
      </c>
      <c r="N941" s="2" t="n">
        <f aca="false">IF(E941="","",IF(ISNUMBER(SEARCH("SUBSOLO",E941)),IFERROR(-VALUE(LEFT(E941,FIND("º",SUBSTITUTE(E941,"°","º"))-1)),-1),IF(LEFT(E941,6)="TÉRREO",0,IFERROR(VALUE(LEFT(E941,FIND("º",SUBSTITUTE(E941,"°","º"))-1)),""))))</f>
        <v>26</v>
      </c>
      <c r="O941" s="2" t="str">
        <f aca="false">IF(OR(F941="",G941=""),"",IF(G941&lt;='RETRATO 2027'!$K$5,"CONCLUÍDA",IF(F941&lt;='RETRATO 2027'!$K$5,"EM ANDAMENTO","A INICIAR")))</f>
        <v>CONCLUÍDA</v>
      </c>
    </row>
    <row r="942" customFormat="false" ht="15" hidden="false" customHeight="false" outlineLevel="0" collapsed="false">
      <c r="B942" s="4" t="n">
        <v>29941041</v>
      </c>
      <c r="C942" s="4" t="s">
        <v>2341</v>
      </c>
      <c r="D942" s="4" t="s">
        <v>463</v>
      </c>
      <c r="E942" s="4" t="s">
        <v>2843</v>
      </c>
      <c r="F942" s="127" t="n">
        <v>46720</v>
      </c>
      <c r="G942" s="127" t="n">
        <v>46736</v>
      </c>
      <c r="H942" s="127" t="n">
        <v>46289</v>
      </c>
      <c r="I942" s="4" t="n">
        <v>0</v>
      </c>
      <c r="J942" s="4" t="n">
        <v>0</v>
      </c>
      <c r="K942" s="4" t="n">
        <v>0</v>
      </c>
      <c r="M942" s="2" t="str">
        <f aca="false">IF(C942="","",IFERROR(INDEX($S$5:$S$304,MATCH(C942,$R$5:$R$304,0))&amp;"","?"))</f>
        <v>17</v>
      </c>
      <c r="N942" s="2" t="n">
        <f aca="false">IF(E942="","",IF(ISNUMBER(SEARCH("SUBSOLO",E942)),IFERROR(-VALUE(LEFT(E942,FIND("º",SUBSTITUTE(E942,"°","º"))-1)),-1),IF(LEFT(E942,6)="TÉRREO",0,IFERROR(VALUE(LEFT(E942,FIND("º",SUBSTITUTE(E942,"°","º"))-1)),""))))</f>
        <v>31</v>
      </c>
      <c r="O942" s="2" t="str">
        <f aca="false">IF(OR(F942="",G942=""),"",IF(G942&lt;='RETRATO 2027'!$K$5,"CONCLUÍDA",IF(F942&lt;='RETRATO 2027'!$K$5,"EM ANDAMENTO","A INICIAR")))</f>
        <v>CONCLUÍDA</v>
      </c>
    </row>
    <row r="943" customFormat="false" ht="15" hidden="false" customHeight="false" outlineLevel="0" collapsed="false">
      <c r="B943" s="4" t="n">
        <v>31529078</v>
      </c>
      <c r="C943" s="4" t="s">
        <v>2341</v>
      </c>
      <c r="D943" s="4" t="s">
        <v>2312</v>
      </c>
      <c r="E943" s="4" t="s">
        <v>2843</v>
      </c>
      <c r="F943" s="127" t="n">
        <v>46720</v>
      </c>
      <c r="G943" s="127" t="n">
        <v>46728</v>
      </c>
      <c r="H943" s="127" t="n">
        <v>46289</v>
      </c>
      <c r="I943" s="4" t="n">
        <v>0</v>
      </c>
      <c r="J943" s="4" t="n">
        <v>0</v>
      </c>
      <c r="K943" s="4" t="n">
        <v>0</v>
      </c>
      <c r="M943" s="2" t="str">
        <f aca="false">IF(C943="","",IFERROR(INDEX($S$5:$S$304,MATCH(C943,$R$5:$R$304,0))&amp;"","?"))</f>
        <v>17</v>
      </c>
      <c r="N943" s="2" t="n">
        <f aca="false">IF(E943="","",IF(ISNUMBER(SEARCH("SUBSOLO",E943)),IFERROR(-VALUE(LEFT(E943,FIND("º",SUBSTITUTE(E943,"°","º"))-1)),-1),IF(LEFT(E943,6)="TÉRREO",0,IFERROR(VALUE(LEFT(E943,FIND("º",SUBSTITUTE(E943,"°","º"))-1)),""))))</f>
        <v>31</v>
      </c>
      <c r="O943" s="2" t="str">
        <f aca="false">IF(OR(F943="",G943=""),"",IF(G943&lt;='RETRATO 2027'!$K$5,"CONCLUÍDA",IF(F943&lt;='RETRATO 2027'!$K$5,"EM ANDAMENTO","A INICIAR")))</f>
        <v>CONCLUÍDA</v>
      </c>
    </row>
    <row r="944" customFormat="false" ht="15" hidden="false" customHeight="false" outlineLevel="0" collapsed="false">
      <c r="B944" s="4" t="n">
        <v>31529079</v>
      </c>
      <c r="C944" s="4" t="s">
        <v>2341</v>
      </c>
      <c r="D944" s="4" t="s">
        <v>2309</v>
      </c>
      <c r="E944" s="4" t="s">
        <v>2843</v>
      </c>
      <c r="F944" s="127" t="n">
        <v>46730</v>
      </c>
      <c r="G944" s="127" t="n">
        <v>46735</v>
      </c>
      <c r="H944" s="127" t="n">
        <v>46289</v>
      </c>
      <c r="I944" s="4" t="n">
        <v>0</v>
      </c>
      <c r="J944" s="4" t="n">
        <v>0</v>
      </c>
      <c r="K944" s="4" t="n">
        <v>0</v>
      </c>
      <c r="M944" s="2" t="str">
        <f aca="false">IF(C944="","",IFERROR(INDEX($S$5:$S$304,MATCH(C944,$R$5:$R$304,0))&amp;"","?"))</f>
        <v>17</v>
      </c>
      <c r="N944" s="2" t="n">
        <f aca="false">IF(E944="","",IF(ISNUMBER(SEARCH("SUBSOLO",E944)),IFERROR(-VALUE(LEFT(E944,FIND("º",SUBSTITUTE(E944,"°","º"))-1)),-1),IF(LEFT(E944,6)="TÉRREO",0,IFERROR(VALUE(LEFT(E944,FIND("º",SUBSTITUTE(E944,"°","º"))-1)),""))))</f>
        <v>31</v>
      </c>
      <c r="O944" s="2" t="str">
        <f aca="false">IF(OR(F944="",G944=""),"",IF(G944&lt;='RETRATO 2027'!$K$5,"CONCLUÍDA",IF(F944&lt;='RETRATO 2027'!$K$5,"EM ANDAMENTO","A INICIAR")))</f>
        <v>CONCLUÍDA</v>
      </c>
    </row>
    <row r="945" customFormat="false" ht="15" hidden="false" customHeight="false" outlineLevel="0" collapsed="false">
      <c r="B945" s="4" t="n">
        <v>31529080</v>
      </c>
      <c r="C945" s="4" t="s">
        <v>2341</v>
      </c>
      <c r="D945" s="4" t="s">
        <v>2314</v>
      </c>
      <c r="E945" s="4" t="s">
        <v>2843</v>
      </c>
      <c r="F945" s="127" t="n">
        <v>46736</v>
      </c>
      <c r="G945" s="127" t="n">
        <v>46736</v>
      </c>
      <c r="H945" s="127" t="n">
        <v>46289</v>
      </c>
      <c r="I945" s="4" t="n">
        <v>0</v>
      </c>
      <c r="J945" s="4" t="n">
        <v>0</v>
      </c>
      <c r="K945" s="4" t="n">
        <v>0</v>
      </c>
      <c r="M945" s="2" t="str">
        <f aca="false">IF(C945="","",IFERROR(INDEX($S$5:$S$304,MATCH(C945,$R$5:$R$304,0))&amp;"","?"))</f>
        <v>17</v>
      </c>
      <c r="N945" s="2" t="n">
        <f aca="false">IF(E945="","",IF(ISNUMBER(SEARCH("SUBSOLO",E945)),IFERROR(-VALUE(LEFT(E945,FIND("º",SUBSTITUTE(E945,"°","º"))-1)),-1),IF(LEFT(E945,6)="TÉRREO",0,IFERROR(VALUE(LEFT(E945,FIND("º",SUBSTITUTE(E945,"°","º"))-1)),""))))</f>
        <v>31</v>
      </c>
      <c r="O945" s="2" t="str">
        <f aca="false">IF(OR(F945="",G945=""),"",IF(G945&lt;='RETRATO 2027'!$K$5,"CONCLUÍDA",IF(F945&lt;='RETRATO 2027'!$K$5,"EM ANDAMENTO","A INICIAR")))</f>
        <v>CONCLUÍDA</v>
      </c>
    </row>
    <row r="946" customFormat="false" ht="15" hidden="false" customHeight="false" outlineLevel="0" collapsed="false">
      <c r="B946" s="4" t="n">
        <v>31529081</v>
      </c>
      <c r="C946" s="4" t="s">
        <v>2341</v>
      </c>
      <c r="D946" s="4" t="s">
        <v>2758</v>
      </c>
      <c r="E946" s="4" t="s">
        <v>2843</v>
      </c>
      <c r="F946" s="127" t="n">
        <v>46736</v>
      </c>
      <c r="G946" s="127" t="n">
        <v>46736</v>
      </c>
      <c r="H946" s="127" t="n">
        <v>46289</v>
      </c>
      <c r="I946" s="4" t="n">
        <v>0</v>
      </c>
      <c r="J946" s="4" t="n">
        <v>0</v>
      </c>
      <c r="K946" s="4" t="n">
        <v>0</v>
      </c>
      <c r="M946" s="2" t="str">
        <f aca="false">IF(C946="","",IFERROR(INDEX($S$5:$S$304,MATCH(C946,$R$5:$R$304,0))&amp;"","?"))</f>
        <v>17</v>
      </c>
      <c r="N946" s="2" t="n">
        <f aca="false">IF(E946="","",IF(ISNUMBER(SEARCH("SUBSOLO",E946)),IFERROR(-VALUE(LEFT(E946,FIND("º",SUBSTITUTE(E946,"°","º"))-1)),-1),IF(LEFT(E946,6)="TÉRREO",0,IFERROR(VALUE(LEFT(E946,FIND("º",SUBSTITUTE(E946,"°","º"))-1)),""))))</f>
        <v>31</v>
      </c>
      <c r="O946" s="2" t="str">
        <f aca="false">IF(OR(F946="",G946=""),"",IF(G946&lt;='RETRATO 2027'!$K$5,"CONCLUÍDA",IF(F946&lt;='RETRATO 2027'!$K$5,"EM ANDAMENTO","A INICIAR")))</f>
        <v>CONCLUÍDA</v>
      </c>
    </row>
    <row r="947" customFormat="false" ht="15" hidden="false" customHeight="false" outlineLevel="0" collapsed="false">
      <c r="B947" s="4" t="n">
        <v>34179690</v>
      </c>
      <c r="C947" s="4" t="s">
        <v>2542</v>
      </c>
      <c r="D947" s="4" t="s">
        <v>463</v>
      </c>
      <c r="E947" s="4" t="s">
        <v>2836</v>
      </c>
      <c r="F947" s="127" t="n">
        <v>46721</v>
      </c>
      <c r="G947" s="127" t="n">
        <v>46821</v>
      </c>
      <c r="H947" s="127" t="n">
        <v>46289</v>
      </c>
      <c r="I947" s="4" t="n">
        <v>0</v>
      </c>
      <c r="J947" s="4" t="n">
        <v>0</v>
      </c>
      <c r="K947" s="4" t="n">
        <v>0</v>
      </c>
      <c r="M947" s="2" t="str">
        <f aca="false">IF(C947="","",IFERROR(INDEX($S$5:$S$304,MATCH(C947,$R$5:$R$304,0))&amp;"","?"))</f>
        <v>31</v>
      </c>
      <c r="N947" s="2" t="n">
        <f aca="false">IF(E947="","",IF(ISNUMBER(SEARCH("SUBSOLO",E947)),IFERROR(-VALUE(LEFT(E947,FIND("º",SUBSTITUTE(E947,"°","º"))-1)),-1),IF(LEFT(E947,6)="TÉRREO",0,IFERROR(VALUE(LEFT(E947,FIND("º",SUBSTITUTE(E947,"°","º"))-1)),""))))</f>
        <v>0</v>
      </c>
      <c r="O947" s="2" t="str">
        <f aca="false">IF(OR(F947="",G947=""),"",IF(G947&lt;='RETRATO 2027'!$K$5,"CONCLUÍDA",IF(F947&lt;='RETRATO 2027'!$K$5,"EM ANDAMENTO","A INICIAR")))</f>
        <v>EM ANDAMENTO</v>
      </c>
    </row>
    <row r="948" customFormat="false" ht="15" hidden="false" customHeight="false" outlineLevel="0" collapsed="false">
      <c r="B948" s="4" t="n">
        <v>30205760</v>
      </c>
      <c r="C948" s="4" t="s">
        <v>2542</v>
      </c>
      <c r="D948" s="4" t="s">
        <v>463</v>
      </c>
      <c r="E948" s="4" t="s">
        <v>2837</v>
      </c>
      <c r="F948" s="127" t="n">
        <v>46721</v>
      </c>
      <c r="G948" s="127" t="n">
        <v>46821</v>
      </c>
      <c r="H948" s="127" t="n">
        <v>46289</v>
      </c>
      <c r="I948" s="4" t="n">
        <v>0</v>
      </c>
      <c r="J948" s="4" t="n">
        <v>0</v>
      </c>
      <c r="K948" s="4" t="n">
        <v>0</v>
      </c>
      <c r="M948" s="2" t="str">
        <f aca="false">IF(C948="","",IFERROR(INDEX($S$5:$S$304,MATCH(C948,$R$5:$R$304,0))&amp;"","?"))</f>
        <v>31</v>
      </c>
      <c r="N948" s="2" t="n">
        <f aca="false">IF(E948="","",IF(ISNUMBER(SEARCH("SUBSOLO",E948)),IFERROR(-VALUE(LEFT(E948,FIND("º",SUBSTITUTE(E948,"°","º"))-1)),-1),IF(LEFT(E948,6)="TÉRREO",0,IFERROR(VALUE(LEFT(E948,FIND("º",SUBSTITUTE(E948,"°","º"))-1)),""))))</f>
        <v>0</v>
      </c>
      <c r="O948" s="2" t="str">
        <f aca="false">IF(OR(F948="",G948=""),"",IF(G948&lt;='RETRATO 2027'!$K$5,"CONCLUÍDA",IF(F948&lt;='RETRATO 2027'!$K$5,"EM ANDAMENTO","A INICIAR")))</f>
        <v>EM ANDAMENTO</v>
      </c>
    </row>
    <row r="949" customFormat="false" ht="15" hidden="false" customHeight="false" outlineLevel="0" collapsed="false">
      <c r="B949" s="4" t="n">
        <v>30205749</v>
      </c>
      <c r="C949" s="4" t="s">
        <v>2480</v>
      </c>
      <c r="D949" s="4" t="s">
        <v>463</v>
      </c>
      <c r="E949" s="4" t="s">
        <v>2740</v>
      </c>
      <c r="F949" s="127" t="n">
        <v>46723</v>
      </c>
      <c r="G949" s="127" t="n">
        <v>46737</v>
      </c>
      <c r="H949" s="127" t="n">
        <v>46289</v>
      </c>
      <c r="I949" s="4" t="n">
        <v>0</v>
      </c>
      <c r="J949" s="4" t="n">
        <v>0</v>
      </c>
      <c r="K949" s="4" t="n">
        <v>0</v>
      </c>
      <c r="M949" s="2" t="str">
        <f aca="false">IF(C949="","",IFERROR(INDEX($S$5:$S$304,MATCH(C949,$R$5:$R$304,0))&amp;"","?"))</f>
        <v>30</v>
      </c>
      <c r="N949" s="2" t="n">
        <f aca="false">IF(E949="","",IF(ISNUMBER(SEARCH("SUBSOLO",E949)),IFERROR(-VALUE(LEFT(E949,FIND("º",SUBSTITUTE(E949,"°","º"))-1)),-1),IF(LEFT(E949,6)="TÉRREO",0,IFERROR(VALUE(LEFT(E949,FIND("º",SUBSTITUTE(E949,"°","º"))-1)),""))))</f>
        <v>-1</v>
      </c>
      <c r="O949" s="2" t="str">
        <f aca="false">IF(OR(F949="",G949=""),"",IF(G949&lt;='RETRATO 2027'!$K$5,"CONCLUÍDA",IF(F949&lt;='RETRATO 2027'!$K$5,"EM ANDAMENTO","A INICIAR")))</f>
        <v>CONCLUÍDA</v>
      </c>
    </row>
    <row r="950" customFormat="false" ht="15" hidden="false" customHeight="false" outlineLevel="0" collapsed="false">
      <c r="B950" s="4" t="n">
        <v>29980815</v>
      </c>
      <c r="C950" s="4" t="s">
        <v>2410</v>
      </c>
      <c r="D950" s="4" t="s">
        <v>463</v>
      </c>
      <c r="E950" s="4" t="s">
        <v>2838</v>
      </c>
      <c r="F950" s="127" t="n">
        <v>46723</v>
      </c>
      <c r="G950" s="127" t="n">
        <v>46736</v>
      </c>
      <c r="H950" s="127" t="n">
        <v>46289</v>
      </c>
      <c r="I950" s="4" t="n">
        <v>0</v>
      </c>
      <c r="J950" s="4" t="n">
        <v>0</v>
      </c>
      <c r="K950" s="4" t="n">
        <v>0</v>
      </c>
      <c r="M950" s="2" t="str">
        <f aca="false">IF(C950="","",IFERROR(INDEX($S$5:$S$304,MATCH(C950,$R$5:$R$304,0))&amp;"","?"))</f>
        <v>22</v>
      </c>
      <c r="N950" s="2" t="n">
        <f aca="false">IF(E950="","",IF(ISNUMBER(SEARCH("SUBSOLO",E950)),IFERROR(-VALUE(LEFT(E950,FIND("º",SUBSTITUTE(E950,"°","º"))-1)),-1),IF(LEFT(E950,6)="TÉRREO",0,IFERROR(VALUE(LEFT(E950,FIND("º",SUBSTITUTE(E950,"°","º"))-1)),""))))</f>
        <v>27</v>
      </c>
      <c r="O950" s="2" t="str">
        <f aca="false">IF(OR(F950="",G950=""),"",IF(G950&lt;='RETRATO 2027'!$K$5,"CONCLUÍDA",IF(F950&lt;='RETRATO 2027'!$K$5,"EM ANDAMENTO","A INICIAR")))</f>
        <v>CONCLUÍDA</v>
      </c>
    </row>
    <row r="951" customFormat="false" ht="15" hidden="false" customHeight="false" outlineLevel="0" collapsed="false">
      <c r="B951" s="4" t="n">
        <v>29980766</v>
      </c>
      <c r="C951" s="4" t="s">
        <v>168</v>
      </c>
      <c r="D951" s="4" t="s">
        <v>463</v>
      </c>
      <c r="E951" s="4" t="s">
        <v>2840</v>
      </c>
      <c r="F951" s="127" t="n">
        <v>46723</v>
      </c>
      <c r="G951" s="127" t="n">
        <v>46736</v>
      </c>
      <c r="H951" s="127" t="n">
        <v>46289</v>
      </c>
      <c r="I951" s="4" t="n">
        <v>0</v>
      </c>
      <c r="J951" s="4" t="n">
        <v>0</v>
      </c>
      <c r="K951" s="4" t="n">
        <v>0</v>
      </c>
      <c r="M951" s="2" t="str">
        <f aca="false">IF(C951="","",IFERROR(INDEX($S$5:$S$304,MATCH(C951,$R$5:$R$304,0))&amp;"","?"))</f>
        <v>18</v>
      </c>
      <c r="N951" s="2" t="n">
        <f aca="false">IF(E951="","",IF(ISNUMBER(SEARCH("SUBSOLO",E951)),IFERROR(-VALUE(LEFT(E951,FIND("º",SUBSTITUTE(E951,"°","º"))-1)),-1),IF(LEFT(E951,6)="TÉRREO",0,IFERROR(VALUE(LEFT(E951,FIND("º",SUBSTITUTE(E951,"°","º"))-1)),""))))</f>
        <v>28</v>
      </c>
      <c r="O951" s="2" t="str">
        <f aca="false">IF(OR(F951="",G951=""),"",IF(G951&lt;='RETRATO 2027'!$K$5,"CONCLUÍDA",IF(F951&lt;='RETRATO 2027'!$K$5,"EM ANDAMENTO","A INICIAR")))</f>
        <v>CONCLUÍDA</v>
      </c>
    </row>
    <row r="952" customFormat="false" ht="15" hidden="false" customHeight="false" outlineLevel="0" collapsed="false">
      <c r="B952" s="4" t="n">
        <v>33898087</v>
      </c>
      <c r="C952" s="4" t="s">
        <v>2545</v>
      </c>
      <c r="D952" s="4" t="s">
        <v>463</v>
      </c>
      <c r="E952" s="4" t="s">
        <v>2803</v>
      </c>
      <c r="F952" s="127" t="n">
        <v>46728</v>
      </c>
      <c r="G952" s="127" t="n">
        <v>46741</v>
      </c>
      <c r="H952" s="127" t="n">
        <v>46289</v>
      </c>
      <c r="I952" s="4" t="n">
        <v>0</v>
      </c>
      <c r="J952" s="4" t="n">
        <v>0</v>
      </c>
      <c r="K952" s="4" t="n">
        <v>0</v>
      </c>
      <c r="M952" s="2" t="str">
        <f aca="false">IF(C952="","",IFERROR(INDEX($S$5:$S$304,MATCH(C952,$R$5:$R$304,0))&amp;"","?"))</f>
        <v>25</v>
      </c>
      <c r="N952" s="2" t="n">
        <f aca="false">IF(E952="","",IF(ISNUMBER(SEARCH("SUBSOLO",E952)),IFERROR(-VALUE(LEFT(E952,FIND("º",SUBSTITUTE(E952,"°","º"))-1)),-1),IF(LEFT(E952,6)="TÉRREO",0,IFERROR(VALUE(LEFT(E952,FIND("º",SUBSTITUTE(E952,"°","º"))-1)),""))))</f>
        <v>7</v>
      </c>
      <c r="O952" s="2" t="str">
        <f aca="false">IF(OR(F952="",G952=""),"",IF(G952&lt;='RETRATO 2027'!$K$5,"CONCLUÍDA",IF(F952&lt;='RETRATO 2027'!$K$5,"EM ANDAMENTO","A INICIAR")))</f>
        <v>CONCLUÍDA</v>
      </c>
    </row>
    <row r="953" customFormat="false" ht="15" hidden="false" customHeight="false" outlineLevel="0" collapsed="false">
      <c r="B953" s="4" t="n">
        <v>30205679</v>
      </c>
      <c r="C953" s="4" t="s">
        <v>2539</v>
      </c>
      <c r="D953" s="4" t="s">
        <v>463</v>
      </c>
      <c r="E953" s="4" t="s">
        <v>2821</v>
      </c>
      <c r="F953" s="127" t="n">
        <v>46730</v>
      </c>
      <c r="G953" s="127" t="n">
        <v>46743</v>
      </c>
      <c r="H953" s="127" t="n">
        <v>46289</v>
      </c>
      <c r="I953" s="4" t="n">
        <v>0</v>
      </c>
      <c r="J953" s="4" t="n">
        <v>0</v>
      </c>
      <c r="K953" s="4" t="n">
        <v>0</v>
      </c>
      <c r="M953" s="2" t="str">
        <f aca="false">IF(C953="","",IFERROR(INDEX($S$5:$S$304,MATCH(C953,$R$5:$R$304,0))&amp;"","?"))</f>
        <v>35</v>
      </c>
      <c r="N953" s="2" t="n">
        <f aca="false">IF(E953="","",IF(ISNUMBER(SEARCH("SUBSOLO",E953)),IFERROR(-VALUE(LEFT(E953,FIND("º",SUBSTITUTE(E953,"°","º"))-1)),-1),IF(LEFT(E953,6)="TÉRREO",0,IFERROR(VALUE(LEFT(E953,FIND("º",SUBSTITUTE(E953,"°","º"))-1)),""))))</f>
        <v>0</v>
      </c>
      <c r="O953" s="2" t="str">
        <f aca="false">IF(OR(F953="",G953=""),"",IF(G953&lt;='RETRATO 2027'!$K$5,"CONCLUÍDA",IF(F953&lt;='RETRATO 2027'!$K$5,"EM ANDAMENTO","A INICIAR")))</f>
        <v>CONCLUÍDA</v>
      </c>
    </row>
    <row r="954" customFormat="false" ht="15" hidden="false" customHeight="false" outlineLevel="0" collapsed="false">
      <c r="B954" s="4" t="n">
        <v>30205649</v>
      </c>
      <c r="C954" s="4" t="s">
        <v>216</v>
      </c>
      <c r="D954" s="4" t="s">
        <v>463</v>
      </c>
      <c r="E954" s="4" t="s">
        <v>2824</v>
      </c>
      <c r="F954" s="127" t="n">
        <v>46730</v>
      </c>
      <c r="G954" s="127" t="n">
        <v>46743</v>
      </c>
      <c r="H954" s="127" t="n">
        <v>46289</v>
      </c>
      <c r="I954" s="4" t="n">
        <v>0</v>
      </c>
      <c r="J954" s="4" t="n">
        <v>0</v>
      </c>
      <c r="K954" s="4" t="n">
        <v>0</v>
      </c>
      <c r="M954" s="2" t="str">
        <f aca="false">IF(C954="","",IFERROR(INDEX($S$5:$S$304,MATCH(C954,$R$5:$R$304,0))&amp;"","?"))</f>
        <v>33</v>
      </c>
      <c r="N954" s="2" t="n">
        <f aca="false">IF(E954="","",IF(ISNUMBER(SEARCH("SUBSOLO",E954)),IFERROR(-VALUE(LEFT(E954,FIND("º",SUBSTITUTE(E954,"°","º"))-1)),-1),IF(LEFT(E954,6)="TÉRREO",0,IFERROR(VALUE(LEFT(E954,FIND("º",SUBSTITUTE(E954,"°","º"))-1)),""))))</f>
        <v>0</v>
      </c>
      <c r="O954" s="2" t="str">
        <f aca="false">IF(OR(F954="",G954=""),"",IF(G954&lt;='RETRATO 2027'!$K$5,"CONCLUÍDA",IF(F954&lt;='RETRATO 2027'!$K$5,"EM ANDAMENTO","A INICIAR")))</f>
        <v>CONCLUÍDA</v>
      </c>
    </row>
    <row r="955" customFormat="false" ht="15" hidden="false" customHeight="false" outlineLevel="0" collapsed="false">
      <c r="B955" s="4" t="n">
        <v>30205621</v>
      </c>
      <c r="C955" s="4" t="s">
        <v>2501</v>
      </c>
      <c r="D955" s="4" t="s">
        <v>463</v>
      </c>
      <c r="E955" s="4" t="s">
        <v>2826</v>
      </c>
      <c r="F955" s="127" t="n">
        <v>46730</v>
      </c>
      <c r="G955" s="127" t="n">
        <v>46743</v>
      </c>
      <c r="H955" s="127" t="n">
        <v>46289</v>
      </c>
      <c r="I955" s="4" t="n">
        <v>0</v>
      </c>
      <c r="J955" s="4" t="n">
        <v>0</v>
      </c>
      <c r="K955" s="4" t="n">
        <v>0</v>
      </c>
      <c r="M955" s="2" t="str">
        <f aca="false">IF(C955="","",IFERROR(INDEX($S$5:$S$304,MATCH(C955,$R$5:$R$304,0))&amp;"","?"))</f>
        <v>30</v>
      </c>
      <c r="N955" s="2" t="n">
        <f aca="false">IF(E955="","",IF(ISNUMBER(SEARCH("SUBSOLO",E955)),IFERROR(-VALUE(LEFT(E955,FIND("º",SUBSTITUTE(E955,"°","º"))-1)),-1),IF(LEFT(E955,6)="TÉRREO",0,IFERROR(VALUE(LEFT(E955,FIND("º",SUBSTITUTE(E955,"°","º"))-1)),""))))</f>
        <v>0</v>
      </c>
      <c r="O955" s="2" t="str">
        <f aca="false">IF(OR(F955="",G955=""),"",IF(G955&lt;='RETRATO 2027'!$K$5,"CONCLUÍDA",IF(F955&lt;='RETRATO 2027'!$K$5,"EM ANDAMENTO","A INICIAR")))</f>
        <v>CONCLUÍDA</v>
      </c>
    </row>
    <row r="956" customFormat="false" ht="15" hidden="false" customHeight="false" outlineLevel="0" collapsed="false">
      <c r="B956" s="4" t="n">
        <v>30205596</v>
      </c>
      <c r="C956" s="4" t="s">
        <v>2486</v>
      </c>
      <c r="D956" s="4" t="s">
        <v>463</v>
      </c>
      <c r="E956" s="4" t="s">
        <v>2828</v>
      </c>
      <c r="F956" s="127" t="n">
        <v>46730</v>
      </c>
      <c r="G956" s="127" t="n">
        <v>46743</v>
      </c>
      <c r="H956" s="127" t="n">
        <v>46289</v>
      </c>
      <c r="I956" s="4" t="n">
        <v>0</v>
      </c>
      <c r="J956" s="4" t="n">
        <v>0</v>
      </c>
      <c r="K956" s="4" t="n">
        <v>0</v>
      </c>
      <c r="M956" s="2" t="str">
        <f aca="false">IF(C956="","",IFERROR(INDEX($S$5:$S$304,MATCH(C956,$R$5:$R$304,0))&amp;"","?"))</f>
        <v>30</v>
      </c>
      <c r="N956" s="2" t="n">
        <f aca="false">IF(E956="","",IF(ISNUMBER(SEARCH("SUBSOLO",E956)),IFERROR(-VALUE(LEFT(E956,FIND("º",SUBSTITUTE(E956,"°","º"))-1)),-1),IF(LEFT(E956,6)="TÉRREO",0,IFERROR(VALUE(LEFT(E956,FIND("º",SUBSTITUTE(E956,"°","º"))-1)),""))))</f>
        <v>0</v>
      </c>
      <c r="O956" s="2" t="str">
        <f aca="false">IF(OR(F956="",G956=""),"",IF(G956&lt;='RETRATO 2027'!$K$5,"CONCLUÍDA",IF(F956&lt;='RETRATO 2027'!$K$5,"EM ANDAMENTO","A INICIAR")))</f>
        <v>CONCLUÍDA</v>
      </c>
    </row>
    <row r="957" customFormat="false" ht="15" hidden="false" customHeight="false" outlineLevel="0" collapsed="false">
      <c r="B957" s="4" t="n">
        <v>30205573</v>
      </c>
      <c r="C957" s="4" t="s">
        <v>2480</v>
      </c>
      <c r="D957" s="4" t="s">
        <v>463</v>
      </c>
      <c r="E957" s="4" t="s">
        <v>2830</v>
      </c>
      <c r="F957" s="127" t="n">
        <v>46730</v>
      </c>
      <c r="G957" s="127" t="n">
        <v>46743</v>
      </c>
      <c r="H957" s="127" t="n">
        <v>46289</v>
      </c>
      <c r="I957" s="4" t="n">
        <v>0</v>
      </c>
      <c r="J957" s="4" t="n">
        <v>0</v>
      </c>
      <c r="K957" s="4" t="n">
        <v>0</v>
      </c>
      <c r="M957" s="2" t="str">
        <f aca="false">IF(C957="","",IFERROR(INDEX($S$5:$S$304,MATCH(C957,$R$5:$R$304,0))&amp;"","?"))</f>
        <v>30</v>
      </c>
      <c r="N957" s="2" t="n">
        <f aca="false">IF(E957="","",IF(ISNUMBER(SEARCH("SUBSOLO",E957)),IFERROR(-VALUE(LEFT(E957,FIND("º",SUBSTITUTE(E957,"°","º"))-1)),-1),IF(LEFT(E957,6)="TÉRREO",0,IFERROR(VALUE(LEFT(E957,FIND("º",SUBSTITUTE(E957,"°","º"))-1)),""))))</f>
        <v>0</v>
      </c>
      <c r="O957" s="2" t="str">
        <f aca="false">IF(OR(F957="",G957=""),"",IF(G957&lt;='RETRATO 2027'!$K$5,"CONCLUÍDA",IF(F957&lt;='RETRATO 2027'!$K$5,"EM ANDAMENTO","A INICIAR")))</f>
        <v>CONCLUÍDA</v>
      </c>
    </row>
    <row r="958" customFormat="false" ht="15" hidden="false" customHeight="false" outlineLevel="0" collapsed="false">
      <c r="B958" s="4" t="n">
        <v>30205539</v>
      </c>
      <c r="C958" s="4" t="s">
        <v>2492</v>
      </c>
      <c r="D958" s="4" t="s">
        <v>463</v>
      </c>
      <c r="E958" s="4" t="s">
        <v>2832</v>
      </c>
      <c r="F958" s="127" t="n">
        <v>46730</v>
      </c>
      <c r="G958" s="127" t="n">
        <v>46743</v>
      </c>
      <c r="H958" s="127" t="n">
        <v>46289</v>
      </c>
      <c r="I958" s="4" t="n">
        <v>0</v>
      </c>
      <c r="J958" s="4" t="n">
        <v>0</v>
      </c>
      <c r="K958" s="4" t="n">
        <v>0</v>
      </c>
      <c r="M958" s="2" t="str">
        <f aca="false">IF(C958="","",IFERROR(INDEX($S$5:$S$304,MATCH(C958,$R$5:$R$304,0))&amp;"","?"))</f>
        <v>18</v>
      </c>
      <c r="N958" s="2" t="n">
        <f aca="false">IF(E958="","",IF(ISNUMBER(SEARCH("SUBSOLO",E958)),IFERROR(-VALUE(LEFT(E958,FIND("º",SUBSTITUTE(E958,"°","º"))-1)),-1),IF(LEFT(E958,6)="TÉRREO",0,IFERROR(VALUE(LEFT(E958,FIND("º",SUBSTITUTE(E958,"°","º"))-1)),""))))</f>
        <v>0</v>
      </c>
      <c r="O958" s="2" t="str">
        <f aca="false">IF(OR(F958="",G958=""),"",IF(G958&lt;='RETRATO 2027'!$K$5,"CONCLUÍDA",IF(F958&lt;='RETRATO 2027'!$K$5,"EM ANDAMENTO","A INICIAR")))</f>
        <v>CONCLUÍDA</v>
      </c>
    </row>
    <row r="959" customFormat="false" ht="15" hidden="false" customHeight="false" outlineLevel="0" collapsed="false">
      <c r="B959" s="4" t="n">
        <v>30205788</v>
      </c>
      <c r="C959" s="4" t="s">
        <v>2437</v>
      </c>
      <c r="D959" s="4" t="s">
        <v>463</v>
      </c>
      <c r="E959" s="4" t="s">
        <v>2835</v>
      </c>
      <c r="F959" s="127" t="n">
        <v>46730</v>
      </c>
      <c r="G959" s="127" t="n">
        <v>46758</v>
      </c>
      <c r="H959" s="127" t="n">
        <v>46289</v>
      </c>
      <c r="I959" s="4" t="n">
        <v>0</v>
      </c>
      <c r="J959" s="4" t="n">
        <v>0</v>
      </c>
      <c r="K959" s="4" t="n">
        <v>0</v>
      </c>
      <c r="M959" s="2" t="str">
        <f aca="false">IF(C959="","",IFERROR(INDEX($S$5:$S$304,MATCH(C959,$R$5:$R$304,0))&amp;"","?"))</f>
        <v>29</v>
      </c>
      <c r="N959" s="2" t="n">
        <f aca="false">IF(E959="","",IF(ISNUMBER(SEARCH("SUBSOLO",E959)),IFERROR(-VALUE(LEFT(E959,FIND("º",SUBSTITUTE(E959,"°","º"))-1)),-1),IF(LEFT(E959,6)="TÉRREO",0,IFERROR(VALUE(LEFT(E959,FIND("º",SUBSTITUTE(E959,"°","º"))-1)),""))))</f>
        <v>0</v>
      </c>
      <c r="O959" s="2" t="str">
        <f aca="false">IF(OR(F959="",G959=""),"",IF(G959&lt;='RETRATO 2027'!$K$5,"CONCLUÍDA",IF(F959&lt;='RETRATO 2027'!$K$5,"EM ANDAMENTO","A INICIAR")))</f>
        <v>EM ANDAMENTO</v>
      </c>
    </row>
    <row r="960" customFormat="false" ht="15" hidden="false" customHeight="false" outlineLevel="0" collapsed="false">
      <c r="B960" s="4" t="n">
        <v>30205811</v>
      </c>
      <c r="C960" s="4" t="s">
        <v>2428</v>
      </c>
      <c r="D960" s="4" t="s">
        <v>463</v>
      </c>
      <c r="E960" s="4" t="s">
        <v>2839</v>
      </c>
      <c r="F960" s="127" t="n">
        <v>46730</v>
      </c>
      <c r="G960" s="127" t="n">
        <v>46738</v>
      </c>
      <c r="H960" s="127" t="n">
        <v>46289</v>
      </c>
      <c r="I960" s="4" t="n">
        <v>0</v>
      </c>
      <c r="J960" s="4" t="n">
        <v>0</v>
      </c>
      <c r="K960" s="4" t="n">
        <v>0</v>
      </c>
      <c r="M960" s="2" t="str">
        <f aca="false">IF(C960="","",IFERROR(INDEX($S$5:$S$304,MATCH(C960,$R$5:$R$304,0))&amp;"","?"))</f>
        <v>20</v>
      </c>
      <c r="N960" s="2" t="n">
        <f aca="false">IF(E960="","",IF(ISNUMBER(SEARCH("SUBSOLO",E960)),IFERROR(-VALUE(LEFT(E960,FIND("º",SUBSTITUTE(E960,"°","º"))-1)),-1),IF(LEFT(E960,6)="TÉRREO",0,IFERROR(VALUE(LEFT(E960,FIND("º",SUBSTITUTE(E960,"°","º"))-1)),""))))</f>
        <v>0</v>
      </c>
      <c r="O960" s="2" t="str">
        <f aca="false">IF(OR(F960="",G960=""),"",IF(G960&lt;='RETRATO 2027'!$K$5,"CONCLUÍDA",IF(F960&lt;='RETRATO 2027'!$K$5,"EM ANDAMENTO","A INICIAR")))</f>
        <v>CONCLUÍDA</v>
      </c>
    </row>
    <row r="961" customFormat="false" ht="15" hidden="false" customHeight="false" outlineLevel="0" collapsed="false">
      <c r="B961" s="4" t="n">
        <v>30205812</v>
      </c>
      <c r="C961" s="4" t="s">
        <v>2452</v>
      </c>
      <c r="D961" s="4" t="s">
        <v>463</v>
      </c>
      <c r="E961" s="4" t="s">
        <v>2839</v>
      </c>
      <c r="F961" s="127" t="n">
        <v>46730</v>
      </c>
      <c r="G961" s="127" t="n">
        <v>46743</v>
      </c>
      <c r="H961" s="127" t="n">
        <v>46289</v>
      </c>
      <c r="I961" s="4" t="n">
        <v>0</v>
      </c>
      <c r="J961" s="4" t="n">
        <v>0</v>
      </c>
      <c r="K961" s="4" t="n">
        <v>0</v>
      </c>
      <c r="M961" s="2" t="str">
        <f aca="false">IF(C961="","",IFERROR(INDEX($S$5:$S$304,MATCH(C961,$R$5:$R$304,0))&amp;"","?"))</f>
        <v>21</v>
      </c>
      <c r="N961" s="2" t="n">
        <f aca="false">IF(E961="","",IF(ISNUMBER(SEARCH("SUBSOLO",E961)),IFERROR(-VALUE(LEFT(E961,FIND("º",SUBSTITUTE(E961,"°","º"))-1)),-1),IF(LEFT(E961,6)="TÉRREO",0,IFERROR(VALUE(LEFT(E961,FIND("º",SUBSTITUTE(E961,"°","º"))-1)),""))))</f>
        <v>0</v>
      </c>
      <c r="O961" s="2" t="str">
        <f aca="false">IF(OR(F961="",G961=""),"",IF(G961&lt;='RETRATO 2027'!$K$5,"CONCLUÍDA",IF(F961&lt;='RETRATO 2027'!$K$5,"EM ANDAMENTO","A INICIAR")))</f>
        <v>CONCLUÍDA</v>
      </c>
    </row>
    <row r="962" customFormat="false" ht="15" hidden="false" customHeight="false" outlineLevel="0" collapsed="false">
      <c r="B962" s="4" t="n">
        <v>30205841</v>
      </c>
      <c r="C962" s="4" t="s">
        <v>2422</v>
      </c>
      <c r="D962" s="4" t="s">
        <v>463</v>
      </c>
      <c r="E962" s="4" t="s">
        <v>2782</v>
      </c>
      <c r="F962" s="127" t="n">
        <v>46730</v>
      </c>
      <c r="G962" s="127" t="n">
        <v>46743</v>
      </c>
      <c r="H962" s="127" t="n">
        <v>46289</v>
      </c>
      <c r="I962" s="4" t="n">
        <v>0</v>
      </c>
      <c r="J962" s="4" t="n">
        <v>0</v>
      </c>
      <c r="K962" s="4" t="n">
        <v>0</v>
      </c>
      <c r="M962" s="2" t="str">
        <f aca="false">IF(C962="","",IFERROR(INDEX($S$5:$S$304,MATCH(C962,$R$5:$R$304,0))&amp;"","?"))</f>
        <v>29</v>
      </c>
      <c r="N962" s="2" t="n">
        <f aca="false">IF(E962="","",IF(ISNUMBER(SEARCH("SUBSOLO",E962)),IFERROR(-VALUE(LEFT(E962,FIND("º",SUBSTITUTE(E962,"°","º"))-1)),-1),IF(LEFT(E962,6)="TÉRREO",0,IFERROR(VALUE(LEFT(E962,FIND("º",SUBSTITUTE(E962,"°","º"))-1)),""))))</f>
        <v>1</v>
      </c>
      <c r="O962" s="2" t="str">
        <f aca="false">IF(OR(F962="",G962=""),"",IF(G962&lt;='RETRATO 2027'!$K$5,"CONCLUÍDA",IF(F962&lt;='RETRATO 2027'!$K$5,"EM ANDAMENTO","A INICIAR")))</f>
        <v>CONCLUÍDA</v>
      </c>
    </row>
    <row r="963" customFormat="false" ht="15" hidden="false" customHeight="false" outlineLevel="0" collapsed="false">
      <c r="B963" s="4" t="n">
        <v>29981403</v>
      </c>
      <c r="C963" s="4" t="s">
        <v>216</v>
      </c>
      <c r="D963" s="4" t="s">
        <v>463</v>
      </c>
      <c r="E963" s="4" t="s">
        <v>2810</v>
      </c>
      <c r="F963" s="127" t="n">
        <v>46730</v>
      </c>
      <c r="G963" s="127" t="n">
        <v>46742</v>
      </c>
      <c r="H963" s="127" t="n">
        <v>46289</v>
      </c>
      <c r="I963" s="4" t="n">
        <v>0</v>
      </c>
      <c r="J963" s="4" t="n">
        <v>0</v>
      </c>
      <c r="K963" s="4" t="n">
        <v>0</v>
      </c>
      <c r="M963" s="2" t="str">
        <f aca="false">IF(C963="","",IFERROR(INDEX($S$5:$S$304,MATCH(C963,$R$5:$R$304,0))&amp;"","?"))</f>
        <v>33</v>
      </c>
      <c r="N963" s="2" t="n">
        <f aca="false">IF(E963="","",IF(ISNUMBER(SEARCH("SUBSOLO",E963)),IFERROR(-VALUE(LEFT(E963,FIND("º",SUBSTITUTE(E963,"°","º"))-1)),-1),IF(LEFT(E963,6)="TÉRREO",0,IFERROR(VALUE(LEFT(E963,FIND("º",SUBSTITUTE(E963,"°","º"))-1)),""))))</f>
        <v>11</v>
      </c>
      <c r="O963" s="2" t="str">
        <f aca="false">IF(OR(F963="",G963=""),"",IF(G963&lt;='RETRATO 2027'!$K$5,"CONCLUÍDA",IF(F963&lt;='RETRATO 2027'!$K$5,"EM ANDAMENTO","A INICIAR")))</f>
        <v>CONCLUÍDA</v>
      </c>
    </row>
    <row r="964" customFormat="false" ht="15" hidden="false" customHeight="false" outlineLevel="0" collapsed="false">
      <c r="B964" s="4" t="n">
        <v>29981364</v>
      </c>
      <c r="C964" s="4" t="s">
        <v>2508</v>
      </c>
      <c r="D964" s="4" t="s">
        <v>463</v>
      </c>
      <c r="E964" s="4" t="s">
        <v>2811</v>
      </c>
      <c r="F964" s="127" t="n">
        <v>46730</v>
      </c>
      <c r="G964" s="127" t="n">
        <v>46742</v>
      </c>
      <c r="H964" s="127" t="n">
        <v>46289</v>
      </c>
      <c r="I964" s="4" t="n">
        <v>0</v>
      </c>
      <c r="J964" s="4" t="n">
        <v>0</v>
      </c>
      <c r="K964" s="4" t="n">
        <v>0</v>
      </c>
      <c r="M964" s="2" t="str">
        <f aca="false">IF(C964="","",IFERROR(INDEX($S$5:$S$304,MATCH(C964,$R$5:$R$304,0))&amp;"","?"))</f>
        <v>20</v>
      </c>
      <c r="N964" s="2" t="n">
        <f aca="false">IF(E964="","",IF(ISNUMBER(SEARCH("SUBSOLO",E964)),IFERROR(-VALUE(LEFT(E964,FIND("º",SUBSTITUTE(E964,"°","º"))-1)),-1),IF(LEFT(E964,6)="TÉRREO",0,IFERROR(VALUE(LEFT(E964,FIND("º",SUBSTITUTE(E964,"°","º"))-1)),""))))</f>
        <v>12</v>
      </c>
      <c r="O964" s="2" t="str">
        <f aca="false">IF(OR(F964="",G964=""),"",IF(G964&lt;='RETRATO 2027'!$K$5,"CONCLUÍDA",IF(F964&lt;='RETRATO 2027'!$K$5,"EM ANDAMENTO","A INICIAR")))</f>
        <v>CONCLUÍDA</v>
      </c>
    </row>
    <row r="965" customFormat="false" ht="15" hidden="false" customHeight="false" outlineLevel="0" collapsed="false">
      <c r="B965" s="4" t="n">
        <v>29981369</v>
      </c>
      <c r="C965" s="4" t="s">
        <v>2511</v>
      </c>
      <c r="D965" s="4" t="s">
        <v>463</v>
      </c>
      <c r="E965" s="4" t="s">
        <v>2811</v>
      </c>
      <c r="F965" s="127" t="n">
        <v>46730</v>
      </c>
      <c r="G965" s="127" t="n">
        <v>46742</v>
      </c>
      <c r="H965" s="127" t="n">
        <v>46289</v>
      </c>
      <c r="I965" s="4" t="n">
        <v>0</v>
      </c>
      <c r="J965" s="4" t="n">
        <v>0</v>
      </c>
      <c r="K965" s="4" t="n">
        <v>0</v>
      </c>
      <c r="M965" s="2" t="str">
        <f aca="false">IF(C965="","",IFERROR(INDEX($S$5:$S$304,MATCH(C965,$R$5:$R$304,0))&amp;"","?"))</f>
        <v>20</v>
      </c>
      <c r="N965" s="2" t="n">
        <f aca="false">IF(E965="","",IF(ISNUMBER(SEARCH("SUBSOLO",E965)),IFERROR(-VALUE(LEFT(E965,FIND("º",SUBSTITUTE(E965,"°","º"))-1)),-1),IF(LEFT(E965,6)="TÉRREO",0,IFERROR(VALUE(LEFT(E965,FIND("º",SUBSTITUTE(E965,"°","º"))-1)),""))))</f>
        <v>12</v>
      </c>
      <c r="O965" s="2" t="str">
        <f aca="false">IF(OR(F965="",G965=""),"",IF(G965&lt;='RETRATO 2027'!$K$5,"CONCLUÍDA",IF(F965&lt;='RETRATO 2027'!$K$5,"EM ANDAMENTO","A INICIAR")))</f>
        <v>CONCLUÍDA</v>
      </c>
    </row>
    <row r="966" customFormat="false" ht="15" hidden="false" customHeight="false" outlineLevel="0" collapsed="false">
      <c r="B966" s="4" t="n">
        <v>30214074</v>
      </c>
      <c r="C966" s="4" t="s">
        <v>2514</v>
      </c>
      <c r="D966" s="4" t="s">
        <v>463</v>
      </c>
      <c r="E966" s="4" t="s">
        <v>2811</v>
      </c>
      <c r="F966" s="127" t="n">
        <v>46730</v>
      </c>
      <c r="G966" s="127" t="n">
        <v>46743</v>
      </c>
      <c r="H966" s="127" t="n">
        <v>46289</v>
      </c>
      <c r="I966" s="4" t="n">
        <v>0</v>
      </c>
      <c r="J966" s="4" t="n">
        <v>0</v>
      </c>
      <c r="K966" s="4" t="n">
        <v>0</v>
      </c>
      <c r="M966" s="2" t="str">
        <f aca="false">IF(C966="","",IFERROR(INDEX($S$5:$S$304,MATCH(C966,$R$5:$R$304,0))&amp;"","?"))</f>
        <v>20</v>
      </c>
      <c r="N966" s="2" t="n">
        <f aca="false">IF(E966="","",IF(ISNUMBER(SEARCH("SUBSOLO",E966)),IFERROR(-VALUE(LEFT(E966,FIND("º",SUBSTITUTE(E966,"°","º"))-1)),-1),IF(LEFT(E966,6)="TÉRREO",0,IFERROR(VALUE(LEFT(E966,FIND("º",SUBSTITUTE(E966,"°","º"))-1)),""))))</f>
        <v>12</v>
      </c>
      <c r="O966" s="2" t="str">
        <f aca="false">IF(OR(F966="",G966=""),"",IF(G966&lt;='RETRATO 2027'!$K$5,"CONCLUÍDA",IF(F966&lt;='RETRATO 2027'!$K$5,"EM ANDAMENTO","A INICIAR")))</f>
        <v>CONCLUÍDA</v>
      </c>
    </row>
    <row r="967" customFormat="false" ht="15" hidden="false" customHeight="false" outlineLevel="0" collapsed="false">
      <c r="B967" s="4" t="n">
        <v>29981311</v>
      </c>
      <c r="C967" s="4" t="s">
        <v>2501</v>
      </c>
      <c r="D967" s="4" t="s">
        <v>463</v>
      </c>
      <c r="E967" s="4" t="s">
        <v>2812</v>
      </c>
      <c r="F967" s="127" t="n">
        <v>46730</v>
      </c>
      <c r="G967" s="127" t="n">
        <v>46742</v>
      </c>
      <c r="H967" s="127" t="n">
        <v>46289</v>
      </c>
      <c r="I967" s="4" t="n">
        <v>0</v>
      </c>
      <c r="J967" s="4" t="n">
        <v>0</v>
      </c>
      <c r="K967" s="4" t="n">
        <v>0</v>
      </c>
      <c r="M967" s="2" t="str">
        <f aca="false">IF(C967="","",IFERROR(INDEX($S$5:$S$304,MATCH(C967,$R$5:$R$304,0))&amp;"","?"))</f>
        <v>30</v>
      </c>
      <c r="N967" s="2" t="n">
        <f aca="false">IF(E967="","",IF(ISNUMBER(SEARCH("SUBSOLO",E967)),IFERROR(-VALUE(LEFT(E967,FIND("º",SUBSTITUTE(E967,"°","º"))-1)),-1),IF(LEFT(E967,6)="TÉRREO",0,IFERROR(VALUE(LEFT(E967,FIND("º",SUBSTITUTE(E967,"°","º"))-1)),""))))</f>
        <v>13</v>
      </c>
      <c r="O967" s="2" t="str">
        <f aca="false">IF(OR(F967="",G967=""),"",IF(G967&lt;='RETRATO 2027'!$K$5,"CONCLUÍDA",IF(F967&lt;='RETRATO 2027'!$K$5,"EM ANDAMENTO","A INICIAR")))</f>
        <v>CONCLUÍDA</v>
      </c>
    </row>
    <row r="968" customFormat="false" ht="15" hidden="false" customHeight="false" outlineLevel="0" collapsed="false">
      <c r="B968" s="4" t="n">
        <v>29981273</v>
      </c>
      <c r="C968" s="4" t="s">
        <v>2486</v>
      </c>
      <c r="D968" s="4" t="s">
        <v>463</v>
      </c>
      <c r="E968" s="4" t="s">
        <v>2813</v>
      </c>
      <c r="F968" s="127" t="n">
        <v>46730</v>
      </c>
      <c r="G968" s="127" t="n">
        <v>46742</v>
      </c>
      <c r="H968" s="127" t="n">
        <v>46289</v>
      </c>
      <c r="I968" s="4" t="n">
        <v>0</v>
      </c>
      <c r="J968" s="4" t="n">
        <v>0</v>
      </c>
      <c r="K968" s="4" t="n">
        <v>0</v>
      </c>
      <c r="M968" s="2" t="str">
        <f aca="false">IF(C968="","",IFERROR(INDEX($S$5:$S$304,MATCH(C968,$R$5:$R$304,0))&amp;"","?"))</f>
        <v>30</v>
      </c>
      <c r="N968" s="2" t="n">
        <f aca="false">IF(E968="","",IF(ISNUMBER(SEARCH("SUBSOLO",E968)),IFERROR(-VALUE(LEFT(E968,FIND("º",SUBSTITUTE(E968,"°","º"))-1)),-1),IF(LEFT(E968,6)="TÉRREO",0,IFERROR(VALUE(LEFT(E968,FIND("º",SUBSTITUTE(E968,"°","º"))-1)),""))))</f>
        <v>14</v>
      </c>
      <c r="O968" s="2" t="str">
        <f aca="false">IF(OR(F968="",G968=""),"",IF(G968&lt;='RETRATO 2027'!$K$5,"CONCLUÍDA",IF(F968&lt;='RETRATO 2027'!$K$5,"EM ANDAMENTO","A INICIAR")))</f>
        <v>CONCLUÍDA</v>
      </c>
    </row>
    <row r="969" customFormat="false" ht="15" hidden="false" customHeight="false" outlineLevel="0" collapsed="false">
      <c r="B969" s="4" t="n">
        <v>29981252</v>
      </c>
      <c r="C969" s="4" t="s">
        <v>2480</v>
      </c>
      <c r="D969" s="4" t="s">
        <v>463</v>
      </c>
      <c r="E969" s="4" t="s">
        <v>2814</v>
      </c>
      <c r="F969" s="127" t="n">
        <v>46730</v>
      </c>
      <c r="G969" s="127" t="n">
        <v>46742</v>
      </c>
      <c r="H969" s="127" t="n">
        <v>46289</v>
      </c>
      <c r="I969" s="4" t="n">
        <v>0</v>
      </c>
      <c r="J969" s="4" t="n">
        <v>0</v>
      </c>
      <c r="K969" s="4" t="n">
        <v>0</v>
      </c>
      <c r="M969" s="2" t="str">
        <f aca="false">IF(C969="","",IFERROR(INDEX($S$5:$S$304,MATCH(C969,$R$5:$R$304,0))&amp;"","?"))</f>
        <v>30</v>
      </c>
      <c r="N969" s="2" t="n">
        <f aca="false">IF(E969="","",IF(ISNUMBER(SEARCH("SUBSOLO",E969)),IFERROR(-VALUE(LEFT(E969,FIND("º",SUBSTITUTE(E969,"°","º"))-1)),-1),IF(LEFT(E969,6)="TÉRREO",0,IFERROR(VALUE(LEFT(E969,FIND("º",SUBSTITUTE(E969,"°","º"))-1)),""))))</f>
        <v>15</v>
      </c>
      <c r="O969" s="2" t="str">
        <f aca="false">IF(OR(F969="",G969=""),"",IF(G969&lt;='RETRATO 2027'!$K$5,"CONCLUÍDA",IF(F969&lt;='RETRATO 2027'!$K$5,"EM ANDAMENTO","A INICIAR")))</f>
        <v>CONCLUÍDA</v>
      </c>
    </row>
    <row r="970" customFormat="false" ht="15" hidden="false" customHeight="false" outlineLevel="0" collapsed="false">
      <c r="B970" s="4" t="n">
        <v>29981213</v>
      </c>
      <c r="C970" s="4" t="s">
        <v>171</v>
      </c>
      <c r="D970" s="4" t="s">
        <v>463</v>
      </c>
      <c r="E970" s="4" t="s">
        <v>2815</v>
      </c>
      <c r="F970" s="127" t="n">
        <v>46730</v>
      </c>
      <c r="G970" s="127" t="n">
        <v>46742</v>
      </c>
      <c r="H970" s="127" t="n">
        <v>46289</v>
      </c>
      <c r="I970" s="4" t="n">
        <v>0</v>
      </c>
      <c r="J970" s="4" t="n">
        <v>0</v>
      </c>
      <c r="K970" s="4" t="n">
        <v>0</v>
      </c>
      <c r="M970" s="2" t="str">
        <f aca="false">IF(C970="","",IFERROR(INDEX($S$5:$S$304,MATCH(C970,$R$5:$R$304,0))&amp;"","?"))</f>
        <v>19</v>
      </c>
      <c r="N970" s="2" t="n">
        <f aca="false">IF(E970="","",IF(ISNUMBER(SEARCH("SUBSOLO",E970)),IFERROR(-VALUE(LEFT(E970,FIND("º",SUBSTITUTE(E970,"°","º"))-1)),-1),IF(LEFT(E970,6)="TÉRREO",0,IFERROR(VALUE(LEFT(E970,FIND("º",SUBSTITUTE(E970,"°","º"))-1)),""))))</f>
        <v>16</v>
      </c>
      <c r="O970" s="2" t="str">
        <f aca="false">IF(OR(F970="",G970=""),"",IF(G970&lt;='RETRATO 2027'!$K$5,"CONCLUÍDA",IF(F970&lt;='RETRATO 2027'!$K$5,"EM ANDAMENTO","A INICIAR")))</f>
        <v>CONCLUÍDA</v>
      </c>
    </row>
    <row r="971" customFormat="false" ht="15" hidden="false" customHeight="false" outlineLevel="0" collapsed="false">
      <c r="B971" s="4" t="n">
        <v>32750443</v>
      </c>
      <c r="C971" s="4" t="s">
        <v>2470</v>
      </c>
      <c r="D971" s="4" t="s">
        <v>463</v>
      </c>
      <c r="E971" s="4" t="s">
        <v>2818</v>
      </c>
      <c r="F971" s="127" t="n">
        <v>46730</v>
      </c>
      <c r="G971" s="127" t="n">
        <v>46742</v>
      </c>
      <c r="H971" s="127" t="n">
        <v>46289</v>
      </c>
      <c r="I971" s="4" t="n">
        <v>0</v>
      </c>
      <c r="J971" s="4" t="n">
        <v>0</v>
      </c>
      <c r="K971" s="4" t="n">
        <v>0</v>
      </c>
      <c r="M971" s="2" t="str">
        <f aca="false">IF(C971="","",IFERROR(INDEX($S$5:$S$304,MATCH(C971,$R$5:$R$304,0))&amp;"","?"))</f>
        <v>18</v>
      </c>
      <c r="N971" s="2" t="n">
        <f aca="false">IF(E971="","",IF(ISNUMBER(SEARCH("SUBSOLO",E971)),IFERROR(-VALUE(LEFT(E971,FIND("º",SUBSTITUTE(E971,"°","º"))-1)),-1),IF(LEFT(E971,6)="TÉRREO",0,IFERROR(VALUE(LEFT(E971,FIND("º",SUBSTITUTE(E971,"°","º"))-1)),""))))</f>
        <v>17</v>
      </c>
      <c r="O971" s="2" t="str">
        <f aca="false">IF(OR(F971="",G971=""),"",IF(G971&lt;='RETRATO 2027'!$K$5,"CONCLUÍDA",IF(F971&lt;='RETRATO 2027'!$K$5,"EM ANDAMENTO","A INICIAR")))</f>
        <v>CONCLUÍDA</v>
      </c>
    </row>
    <row r="972" customFormat="false" ht="15" hidden="false" customHeight="false" outlineLevel="0" collapsed="false">
      <c r="B972" s="4" t="n">
        <v>32750366</v>
      </c>
      <c r="C972" s="4" t="s">
        <v>2458</v>
      </c>
      <c r="D972" s="4" t="s">
        <v>463</v>
      </c>
      <c r="E972" s="4" t="s">
        <v>2820</v>
      </c>
      <c r="F972" s="127" t="n">
        <v>46730</v>
      </c>
      <c r="G972" s="127" t="n">
        <v>46742</v>
      </c>
      <c r="H972" s="127" t="n">
        <v>46289</v>
      </c>
      <c r="I972" s="4" t="n">
        <v>0</v>
      </c>
      <c r="J972" s="4" t="n">
        <v>0</v>
      </c>
      <c r="K972" s="4" t="n">
        <v>0</v>
      </c>
      <c r="M972" s="2" t="str">
        <f aca="false">IF(C972="","",IFERROR(INDEX($S$5:$S$304,MATCH(C972,$R$5:$R$304,0))&amp;"","?"))</f>
        <v>21</v>
      </c>
      <c r="N972" s="2" t="n">
        <f aca="false">IF(E972="","",IF(ISNUMBER(SEARCH("SUBSOLO",E972)),IFERROR(-VALUE(LEFT(E972,FIND("º",SUBSTITUTE(E972,"°","º"))-1)),-1),IF(LEFT(E972,6)="TÉRREO",0,IFERROR(VALUE(LEFT(E972,FIND("º",SUBSTITUTE(E972,"°","º"))-1)),""))))</f>
        <v>18</v>
      </c>
      <c r="O972" s="2" t="str">
        <f aca="false">IF(OR(F972="",G972=""),"",IF(G972&lt;='RETRATO 2027'!$K$5,"CONCLUÍDA",IF(F972&lt;='RETRATO 2027'!$K$5,"EM ANDAMENTO","A INICIAR")))</f>
        <v>CONCLUÍDA</v>
      </c>
    </row>
    <row r="973" customFormat="false" ht="15" hidden="false" customHeight="false" outlineLevel="0" collapsed="false">
      <c r="B973" s="4" t="n">
        <v>32750392</v>
      </c>
      <c r="C973" s="4" t="s">
        <v>2461</v>
      </c>
      <c r="D973" s="4" t="s">
        <v>463</v>
      </c>
      <c r="E973" s="4" t="s">
        <v>2820</v>
      </c>
      <c r="F973" s="127" t="n">
        <v>46730</v>
      </c>
      <c r="G973" s="127" t="n">
        <v>46742</v>
      </c>
      <c r="H973" s="127" t="n">
        <v>46289</v>
      </c>
      <c r="I973" s="4" t="n">
        <v>0</v>
      </c>
      <c r="J973" s="4" t="n">
        <v>0</v>
      </c>
      <c r="K973" s="4" t="n">
        <v>0</v>
      </c>
      <c r="M973" s="2" t="str">
        <f aca="false">IF(C973="","",IFERROR(INDEX($S$5:$S$304,MATCH(C973,$R$5:$R$304,0))&amp;"","?"))</f>
        <v>20</v>
      </c>
      <c r="N973" s="2" t="n">
        <f aca="false">IF(E973="","",IF(ISNUMBER(SEARCH("SUBSOLO",E973)),IFERROR(-VALUE(LEFT(E973,FIND("º",SUBSTITUTE(E973,"°","º"))-1)),-1),IF(LEFT(E973,6)="TÉRREO",0,IFERROR(VALUE(LEFT(E973,FIND("º",SUBSTITUTE(E973,"°","º"))-1)),""))))</f>
        <v>18</v>
      </c>
      <c r="O973" s="2" t="str">
        <f aca="false">IF(OR(F973="",G973=""),"",IF(G973&lt;='RETRATO 2027'!$K$5,"CONCLUÍDA",IF(F973&lt;='RETRATO 2027'!$K$5,"EM ANDAMENTO","A INICIAR")))</f>
        <v>CONCLUÍDA</v>
      </c>
    </row>
    <row r="974" customFormat="false" ht="15" hidden="false" customHeight="false" outlineLevel="0" collapsed="false">
      <c r="B974" s="4" t="n">
        <v>32750418</v>
      </c>
      <c r="C974" s="4" t="s">
        <v>2464</v>
      </c>
      <c r="D974" s="4" t="s">
        <v>463</v>
      </c>
      <c r="E974" s="4" t="s">
        <v>2820</v>
      </c>
      <c r="F974" s="127" t="n">
        <v>46730</v>
      </c>
      <c r="G974" s="127" t="n">
        <v>46742</v>
      </c>
      <c r="H974" s="127" t="n">
        <v>46289</v>
      </c>
      <c r="I974" s="4" t="n">
        <v>0</v>
      </c>
      <c r="J974" s="4" t="n">
        <v>0</v>
      </c>
      <c r="K974" s="4" t="n">
        <v>0</v>
      </c>
      <c r="M974" s="2" t="str">
        <f aca="false">IF(C974="","",IFERROR(INDEX($S$5:$S$304,MATCH(C974,$R$5:$R$304,0))&amp;"","?"))</f>
        <v>21</v>
      </c>
      <c r="N974" s="2" t="n">
        <f aca="false">IF(E974="","",IF(ISNUMBER(SEARCH("SUBSOLO",E974)),IFERROR(-VALUE(LEFT(E974,FIND("º",SUBSTITUTE(E974,"°","º"))-1)),-1),IF(LEFT(E974,6)="TÉRREO",0,IFERROR(VALUE(LEFT(E974,FIND("º",SUBSTITUTE(E974,"°","º"))-1)),""))))</f>
        <v>18</v>
      </c>
      <c r="O974" s="2" t="str">
        <f aca="false">IF(OR(F974="",G974=""),"",IF(G974&lt;='RETRATO 2027'!$K$5,"CONCLUÍDA",IF(F974&lt;='RETRATO 2027'!$K$5,"EM ANDAMENTO","A INICIAR")))</f>
        <v>CONCLUÍDA</v>
      </c>
    </row>
    <row r="975" customFormat="false" ht="15" hidden="false" customHeight="false" outlineLevel="0" collapsed="false">
      <c r="B975" s="4" t="n">
        <v>33896836</v>
      </c>
      <c r="C975" s="4" t="s">
        <v>2467</v>
      </c>
      <c r="D975" s="4" t="s">
        <v>463</v>
      </c>
      <c r="E975" s="4" t="s">
        <v>2820</v>
      </c>
      <c r="F975" s="127" t="n">
        <v>46730</v>
      </c>
      <c r="G975" s="127" t="n">
        <v>46742</v>
      </c>
      <c r="H975" s="127" t="n">
        <v>46289</v>
      </c>
      <c r="I975" s="4" t="n">
        <v>0</v>
      </c>
      <c r="J975" s="4" t="n">
        <v>0</v>
      </c>
      <c r="K975" s="4" t="n">
        <v>0</v>
      </c>
      <c r="M975" s="2" t="str">
        <f aca="false">IF(C975="","",IFERROR(INDEX($S$5:$S$304,MATCH(C975,$R$5:$R$304,0))&amp;"","?"))</f>
        <v>23</v>
      </c>
      <c r="N975" s="2" t="n">
        <f aca="false">IF(E975="","",IF(ISNUMBER(SEARCH("SUBSOLO",E975)),IFERROR(-VALUE(LEFT(E975,FIND("º",SUBSTITUTE(E975,"°","º"))-1)),-1),IF(LEFT(E975,6)="TÉRREO",0,IFERROR(VALUE(LEFT(E975,FIND("º",SUBSTITUTE(E975,"°","º"))-1)),""))))</f>
        <v>18</v>
      </c>
      <c r="O975" s="2" t="str">
        <f aca="false">IF(OR(F975="",G975=""),"",IF(G975&lt;='RETRATO 2027'!$K$5,"CONCLUÍDA",IF(F975&lt;='RETRATO 2027'!$K$5,"EM ANDAMENTO","A INICIAR")))</f>
        <v>CONCLUÍDA</v>
      </c>
    </row>
    <row r="976" customFormat="false" ht="15" hidden="false" customHeight="false" outlineLevel="0" collapsed="false">
      <c r="B976" s="4" t="n">
        <v>32749863</v>
      </c>
      <c r="C976" s="4" t="s">
        <v>2455</v>
      </c>
      <c r="D976" s="4" t="s">
        <v>463</v>
      </c>
      <c r="E976" s="4" t="s">
        <v>2823</v>
      </c>
      <c r="F976" s="127" t="n">
        <v>46730</v>
      </c>
      <c r="G976" s="127" t="n">
        <v>46742</v>
      </c>
      <c r="H976" s="127" t="n">
        <v>46289</v>
      </c>
      <c r="I976" s="4" t="n">
        <v>0</v>
      </c>
      <c r="J976" s="4" t="n">
        <v>0</v>
      </c>
      <c r="K976" s="4" t="n">
        <v>0</v>
      </c>
      <c r="M976" s="2" t="str">
        <f aca="false">IF(C976="","",IFERROR(INDEX($S$5:$S$304,MATCH(C976,$R$5:$R$304,0))&amp;"","?"))</f>
        <v>18</v>
      </c>
      <c r="N976" s="2" t="n">
        <f aca="false">IF(E976="","",IF(ISNUMBER(SEARCH("SUBSOLO",E976)),IFERROR(-VALUE(LEFT(E976,FIND("º",SUBSTITUTE(E976,"°","º"))-1)),-1),IF(LEFT(E976,6)="TÉRREO",0,IFERROR(VALUE(LEFT(E976,FIND("º",SUBSTITUTE(E976,"°","º"))-1)),""))))</f>
        <v>20</v>
      </c>
      <c r="O976" s="2" t="str">
        <f aca="false">IF(OR(F976="",G976=""),"",IF(G976&lt;='RETRATO 2027'!$K$5,"CONCLUÍDA",IF(F976&lt;='RETRATO 2027'!$K$5,"EM ANDAMENTO","A INICIAR")))</f>
        <v>CONCLUÍDA</v>
      </c>
    </row>
    <row r="977" customFormat="false" ht="15" hidden="false" customHeight="false" outlineLevel="0" collapsed="false">
      <c r="B977" s="4" t="n">
        <v>29981029</v>
      </c>
      <c r="C977" s="4" t="s">
        <v>2449</v>
      </c>
      <c r="D977" s="4" t="s">
        <v>463</v>
      </c>
      <c r="E977" s="4" t="s">
        <v>2825</v>
      </c>
      <c r="F977" s="127" t="n">
        <v>46730</v>
      </c>
      <c r="G977" s="127" t="n">
        <v>46742</v>
      </c>
      <c r="H977" s="127" t="n">
        <v>46289</v>
      </c>
      <c r="I977" s="4" t="n">
        <v>0</v>
      </c>
      <c r="J977" s="4" t="n">
        <v>0</v>
      </c>
      <c r="K977" s="4" t="n">
        <v>0</v>
      </c>
      <c r="M977" s="2" t="str">
        <f aca="false">IF(C977="","",IFERROR(INDEX($S$5:$S$304,MATCH(C977,$R$5:$R$304,0))&amp;"","?"))</f>
        <v>28</v>
      </c>
      <c r="N977" s="2" t="n">
        <f aca="false">IF(E977="","",IF(ISNUMBER(SEARCH("SUBSOLO",E977)),IFERROR(-VALUE(LEFT(E977,FIND("º",SUBSTITUTE(E977,"°","º"))-1)),-1),IF(LEFT(E977,6)="TÉRREO",0,IFERROR(VALUE(LEFT(E977,FIND("º",SUBSTITUTE(E977,"°","º"))-1)),""))))</f>
        <v>21</v>
      </c>
      <c r="O977" s="2" t="str">
        <f aca="false">IF(OR(F977="",G977=""),"",IF(G977&lt;='RETRATO 2027'!$K$5,"CONCLUÍDA",IF(F977&lt;='RETRATO 2027'!$K$5,"EM ANDAMENTO","A INICIAR")))</f>
        <v>CONCLUÍDA</v>
      </c>
    </row>
    <row r="978" customFormat="false" ht="15" hidden="false" customHeight="false" outlineLevel="0" collapsed="false">
      <c r="B978" s="4" t="n">
        <v>29980969</v>
      </c>
      <c r="C978" s="4" t="s">
        <v>2440</v>
      </c>
      <c r="D978" s="4" t="s">
        <v>463</v>
      </c>
      <c r="E978" s="4" t="s">
        <v>2827</v>
      </c>
      <c r="F978" s="127" t="n">
        <v>46730</v>
      </c>
      <c r="G978" s="127" t="n">
        <v>46742</v>
      </c>
      <c r="H978" s="127" t="n">
        <v>46289</v>
      </c>
      <c r="I978" s="4" t="n">
        <v>0</v>
      </c>
      <c r="J978" s="4" t="n">
        <v>0</v>
      </c>
      <c r="K978" s="4" t="n">
        <v>0</v>
      </c>
      <c r="M978" s="2" t="str">
        <f aca="false">IF(C978="","",IFERROR(INDEX($S$5:$S$304,MATCH(C978,$R$5:$R$304,0))&amp;"","?"))</f>
        <v>21</v>
      </c>
      <c r="N978" s="2" t="n">
        <f aca="false">IF(E978="","",IF(ISNUMBER(SEARCH("SUBSOLO",E978)),IFERROR(-VALUE(LEFT(E978,FIND("º",SUBSTITUTE(E978,"°","º"))-1)),-1),IF(LEFT(E978,6)="TÉRREO",0,IFERROR(VALUE(LEFT(E978,FIND("º",SUBSTITUTE(E978,"°","º"))-1)),""))))</f>
        <v>22</v>
      </c>
      <c r="O978" s="2" t="str">
        <f aca="false">IF(OR(F978="",G978=""),"",IF(G978&lt;='RETRATO 2027'!$K$5,"CONCLUÍDA",IF(F978&lt;='RETRATO 2027'!$K$5,"EM ANDAMENTO","A INICIAR")))</f>
        <v>CONCLUÍDA</v>
      </c>
    </row>
    <row r="979" customFormat="false" ht="15" hidden="false" customHeight="false" outlineLevel="0" collapsed="false">
      <c r="B979" s="4" t="n">
        <v>29981002</v>
      </c>
      <c r="C979" s="4" t="s">
        <v>2443</v>
      </c>
      <c r="D979" s="4" t="s">
        <v>463</v>
      </c>
      <c r="E979" s="4" t="s">
        <v>2827</v>
      </c>
      <c r="F979" s="127" t="n">
        <v>46730</v>
      </c>
      <c r="G979" s="127" t="n">
        <v>46742</v>
      </c>
      <c r="H979" s="127" t="n">
        <v>46289</v>
      </c>
      <c r="I979" s="4" t="n">
        <v>0</v>
      </c>
      <c r="J979" s="4" t="n">
        <v>0</v>
      </c>
      <c r="K979" s="4" t="n">
        <v>0</v>
      </c>
      <c r="M979" s="2" t="str">
        <f aca="false">IF(C979="","",IFERROR(INDEX($S$5:$S$304,MATCH(C979,$R$5:$R$304,0))&amp;"","?"))</f>
        <v>20</v>
      </c>
      <c r="N979" s="2" t="n">
        <f aca="false">IF(E979="","",IF(ISNUMBER(SEARCH("SUBSOLO",E979)),IFERROR(-VALUE(LEFT(E979,FIND("º",SUBSTITUTE(E979,"°","º"))-1)),-1),IF(LEFT(E979,6)="TÉRREO",0,IFERROR(VALUE(LEFT(E979,FIND("º",SUBSTITUTE(E979,"°","º"))-1)),""))))</f>
        <v>22</v>
      </c>
      <c r="O979" s="2" t="str">
        <f aca="false">IF(OR(F979="",G979=""),"",IF(G979&lt;='RETRATO 2027'!$K$5,"CONCLUÍDA",IF(F979&lt;='RETRATO 2027'!$K$5,"EM ANDAMENTO","A INICIAR")))</f>
        <v>CONCLUÍDA</v>
      </c>
    </row>
    <row r="980" customFormat="false" ht="15" hidden="false" customHeight="false" outlineLevel="0" collapsed="false">
      <c r="B980" s="4" t="n">
        <v>29980931</v>
      </c>
      <c r="C980" s="4" t="s">
        <v>2437</v>
      </c>
      <c r="D980" s="4" t="s">
        <v>463</v>
      </c>
      <c r="E980" s="4" t="s">
        <v>2829</v>
      </c>
      <c r="F980" s="127" t="n">
        <v>46730</v>
      </c>
      <c r="G980" s="127" t="n">
        <v>46742</v>
      </c>
      <c r="H980" s="127" t="n">
        <v>46289</v>
      </c>
      <c r="I980" s="4" t="n">
        <v>0</v>
      </c>
      <c r="J980" s="4" t="n">
        <v>0</v>
      </c>
      <c r="K980" s="4" t="n">
        <v>0</v>
      </c>
      <c r="M980" s="2" t="str">
        <f aca="false">IF(C980="","",IFERROR(INDEX($S$5:$S$304,MATCH(C980,$R$5:$R$304,0))&amp;"","?"))</f>
        <v>29</v>
      </c>
      <c r="N980" s="2" t="n">
        <f aca="false">IF(E980="","",IF(ISNUMBER(SEARCH("SUBSOLO",E980)),IFERROR(-VALUE(LEFT(E980,FIND("º",SUBSTITUTE(E980,"°","º"))-1)),-1),IF(LEFT(E980,6)="TÉRREO",0,IFERROR(VALUE(LEFT(E980,FIND("º",SUBSTITUTE(E980,"°","º"))-1)),""))))</f>
        <v>23</v>
      </c>
      <c r="O980" s="2" t="str">
        <f aca="false">IF(OR(F980="",G980=""),"",IF(G980&lt;='RETRATO 2027'!$K$5,"CONCLUÍDA",IF(F980&lt;='RETRATO 2027'!$K$5,"EM ANDAMENTO","A INICIAR")))</f>
        <v>CONCLUÍDA</v>
      </c>
    </row>
    <row r="981" customFormat="false" ht="15" hidden="false" customHeight="false" outlineLevel="0" collapsed="false">
      <c r="B981" s="4" t="n">
        <v>29980897</v>
      </c>
      <c r="C981" s="4" t="s">
        <v>2434</v>
      </c>
      <c r="D981" s="4" t="s">
        <v>463</v>
      </c>
      <c r="E981" s="4" t="s">
        <v>2831</v>
      </c>
      <c r="F981" s="127" t="n">
        <v>46730</v>
      </c>
      <c r="G981" s="127" t="n">
        <v>46742</v>
      </c>
      <c r="H981" s="127" t="n">
        <v>46289</v>
      </c>
      <c r="I981" s="4" t="n">
        <v>0</v>
      </c>
      <c r="J981" s="4" t="n">
        <v>0</v>
      </c>
      <c r="K981" s="4" t="n">
        <v>0</v>
      </c>
      <c r="M981" s="2" t="str">
        <f aca="false">IF(C981="","",IFERROR(INDEX($S$5:$S$304,MATCH(C981,$R$5:$R$304,0))&amp;"","?"))</f>
        <v>25</v>
      </c>
      <c r="N981" s="2" t="n">
        <f aca="false">IF(E981="","",IF(ISNUMBER(SEARCH("SUBSOLO",E981)),IFERROR(-VALUE(LEFT(E981,FIND("º",SUBSTITUTE(E981,"°","º"))-1)),-1),IF(LEFT(E981,6)="TÉRREO",0,IFERROR(VALUE(LEFT(E981,FIND("º",SUBSTITUTE(E981,"°","º"))-1)),""))))</f>
        <v>24</v>
      </c>
      <c r="O981" s="2" t="str">
        <f aca="false">IF(OR(F981="",G981=""),"",IF(G981&lt;='RETRATO 2027'!$K$5,"CONCLUÍDA",IF(F981&lt;='RETRATO 2027'!$K$5,"EM ANDAMENTO","A INICIAR")))</f>
        <v>CONCLUÍDA</v>
      </c>
    </row>
    <row r="982" customFormat="false" ht="15" hidden="false" customHeight="false" outlineLevel="0" collapsed="false">
      <c r="B982" s="4" t="n">
        <v>29980890</v>
      </c>
      <c r="C982" s="4" t="s">
        <v>2425</v>
      </c>
      <c r="D982" s="4" t="s">
        <v>463</v>
      </c>
      <c r="E982" s="4" t="s">
        <v>2833</v>
      </c>
      <c r="F982" s="127" t="n">
        <v>46730</v>
      </c>
      <c r="G982" s="127" t="n">
        <v>46742</v>
      </c>
      <c r="H982" s="127" t="n">
        <v>46289</v>
      </c>
      <c r="I982" s="4" t="n">
        <v>0</v>
      </c>
      <c r="J982" s="4" t="n">
        <v>0</v>
      </c>
      <c r="K982" s="4" t="n">
        <v>0</v>
      </c>
      <c r="M982" s="2" t="str">
        <f aca="false">IF(C982="","",IFERROR(INDEX($S$5:$S$304,MATCH(C982,$R$5:$R$304,0))&amp;"","?"))</f>
        <v>21</v>
      </c>
      <c r="N982" s="2" t="n">
        <f aca="false">IF(E982="","",IF(ISNUMBER(SEARCH("SUBSOLO",E982)),IFERROR(-VALUE(LEFT(E982,FIND("º",SUBSTITUTE(E982,"°","º"))-1)),-1),IF(LEFT(E982,6)="TÉRREO",0,IFERROR(VALUE(LEFT(E982,FIND("º",SUBSTITUTE(E982,"°","º"))-1)),""))))</f>
        <v>25</v>
      </c>
      <c r="O982" s="2" t="str">
        <f aca="false">IF(OR(F982="",G982=""),"",IF(G982&lt;='RETRATO 2027'!$K$5,"CONCLUÍDA",IF(F982&lt;='RETRATO 2027'!$K$5,"EM ANDAMENTO","A INICIAR")))</f>
        <v>CONCLUÍDA</v>
      </c>
    </row>
    <row r="983" customFormat="false" ht="15" hidden="false" customHeight="false" outlineLevel="0" collapsed="false">
      <c r="B983" s="4" t="n">
        <v>29980859</v>
      </c>
      <c r="C983" s="4" t="s">
        <v>2428</v>
      </c>
      <c r="D983" s="4" t="s">
        <v>463</v>
      </c>
      <c r="E983" s="4" t="s">
        <v>2833</v>
      </c>
      <c r="F983" s="127" t="n">
        <v>46730</v>
      </c>
      <c r="G983" s="127" t="n">
        <v>46742</v>
      </c>
      <c r="H983" s="127" t="n">
        <v>46289</v>
      </c>
      <c r="I983" s="4" t="n">
        <v>0</v>
      </c>
      <c r="J983" s="4" t="n">
        <v>0</v>
      </c>
      <c r="K983" s="4" t="n">
        <v>0</v>
      </c>
      <c r="M983" s="2" t="str">
        <f aca="false">IF(C983="","",IFERROR(INDEX($S$5:$S$304,MATCH(C983,$R$5:$R$304,0))&amp;"","?"))</f>
        <v>20</v>
      </c>
      <c r="N983" s="2" t="n">
        <f aca="false">IF(E983="","",IF(ISNUMBER(SEARCH("SUBSOLO",E983)),IFERROR(-VALUE(LEFT(E983,FIND("º",SUBSTITUTE(E983,"°","º"))-1)),-1),IF(LEFT(E983,6)="TÉRREO",0,IFERROR(VALUE(LEFT(E983,FIND("º",SUBSTITUTE(E983,"°","º"))-1)),""))))</f>
        <v>25</v>
      </c>
      <c r="O983" s="2" t="str">
        <f aca="false">IF(OR(F983="",G983=""),"",IF(G983&lt;='RETRATO 2027'!$K$5,"CONCLUÍDA",IF(F983&lt;='RETRATO 2027'!$K$5,"EM ANDAMENTO","A INICIAR")))</f>
        <v>CONCLUÍDA</v>
      </c>
    </row>
    <row r="984" customFormat="false" ht="15" hidden="false" customHeight="false" outlineLevel="0" collapsed="false">
      <c r="B984" s="4" t="n">
        <v>29980892</v>
      </c>
      <c r="C984" s="4" t="s">
        <v>2431</v>
      </c>
      <c r="D984" s="4" t="s">
        <v>463</v>
      </c>
      <c r="E984" s="4" t="s">
        <v>2833</v>
      </c>
      <c r="F984" s="127" t="n">
        <v>46730</v>
      </c>
      <c r="G984" s="127" t="n">
        <v>46742</v>
      </c>
      <c r="H984" s="127" t="n">
        <v>46289</v>
      </c>
      <c r="I984" s="4" t="n">
        <v>0</v>
      </c>
      <c r="J984" s="4" t="n">
        <v>0</v>
      </c>
      <c r="K984" s="4" t="n">
        <v>0</v>
      </c>
      <c r="M984" s="2" t="str">
        <f aca="false">IF(C984="","",IFERROR(INDEX($S$5:$S$304,MATCH(C984,$R$5:$R$304,0))&amp;"","?"))</f>
        <v>21</v>
      </c>
      <c r="N984" s="2" t="n">
        <f aca="false">IF(E984="","",IF(ISNUMBER(SEARCH("SUBSOLO",E984)),IFERROR(-VALUE(LEFT(E984,FIND("º",SUBSTITUTE(E984,"°","º"))-1)),-1),IF(LEFT(E984,6)="TÉRREO",0,IFERROR(VALUE(LEFT(E984,FIND("º",SUBSTITUTE(E984,"°","º"))-1)),""))))</f>
        <v>25</v>
      </c>
      <c r="O984" s="2" t="str">
        <f aca="false">IF(OR(F984="",G984=""),"",IF(G984&lt;='RETRATO 2027'!$K$5,"CONCLUÍDA",IF(F984&lt;='RETRATO 2027'!$K$5,"EM ANDAMENTO","A INICIAR")))</f>
        <v>CONCLUÍDA</v>
      </c>
    </row>
    <row r="985" customFormat="false" ht="15" hidden="false" customHeight="false" outlineLevel="0" collapsed="false">
      <c r="B985" s="4" t="n">
        <v>29980839</v>
      </c>
      <c r="C985" s="4" t="s">
        <v>2422</v>
      </c>
      <c r="D985" s="4" t="s">
        <v>463</v>
      </c>
      <c r="E985" s="4" t="s">
        <v>2834</v>
      </c>
      <c r="F985" s="127" t="n">
        <v>46730</v>
      </c>
      <c r="G985" s="127" t="n">
        <v>46742</v>
      </c>
      <c r="H985" s="127" t="n">
        <v>46289</v>
      </c>
      <c r="I985" s="4" t="n">
        <v>0</v>
      </c>
      <c r="J985" s="4" t="n">
        <v>0</v>
      </c>
      <c r="K985" s="4" t="n">
        <v>0</v>
      </c>
      <c r="M985" s="2" t="str">
        <f aca="false">IF(C985="","",IFERROR(INDEX($S$5:$S$304,MATCH(C985,$R$5:$R$304,0))&amp;"","?"))</f>
        <v>29</v>
      </c>
      <c r="N985" s="2" t="n">
        <f aca="false">IF(E985="","",IF(ISNUMBER(SEARCH("SUBSOLO",E985)),IFERROR(-VALUE(LEFT(E985,FIND("º",SUBSTITUTE(E985,"°","º"))-1)),-1),IF(LEFT(E985,6)="TÉRREO",0,IFERROR(VALUE(LEFT(E985,FIND("º",SUBSTITUTE(E985,"°","º"))-1)),""))))</f>
        <v>26</v>
      </c>
      <c r="O985" s="2" t="str">
        <f aca="false">IF(OR(F985="",G985=""),"",IF(G985&lt;='RETRATO 2027'!$K$5,"CONCLUÍDA",IF(F985&lt;='RETRATO 2027'!$K$5,"EM ANDAMENTO","A INICIAR")))</f>
        <v>CONCLUÍDA</v>
      </c>
    </row>
    <row r="986" customFormat="false" ht="15" hidden="false" customHeight="false" outlineLevel="0" collapsed="false">
      <c r="B986" s="4" t="n">
        <v>29980805</v>
      </c>
      <c r="C986" s="4" t="s">
        <v>2413</v>
      </c>
      <c r="D986" s="4" t="s">
        <v>463</v>
      </c>
      <c r="E986" s="4" t="s">
        <v>2838</v>
      </c>
      <c r="F986" s="127" t="n">
        <v>46730</v>
      </c>
      <c r="G986" s="127" t="n">
        <v>46742</v>
      </c>
      <c r="H986" s="127" t="n">
        <v>46289</v>
      </c>
      <c r="I986" s="4" t="n">
        <v>0</v>
      </c>
      <c r="J986" s="4" t="n">
        <v>0</v>
      </c>
      <c r="K986" s="4" t="n">
        <v>0</v>
      </c>
      <c r="M986" s="2" t="str">
        <f aca="false">IF(C986="","",IFERROR(INDEX($S$5:$S$304,MATCH(C986,$R$5:$R$304,0))&amp;"","?"))</f>
        <v>21</v>
      </c>
      <c r="N986" s="2" t="n">
        <f aca="false">IF(E986="","",IF(ISNUMBER(SEARCH("SUBSOLO",E986)),IFERROR(-VALUE(LEFT(E986,FIND("º",SUBSTITUTE(E986,"°","º"))-1)),-1),IF(LEFT(E986,6)="TÉRREO",0,IFERROR(VALUE(LEFT(E986,FIND("º",SUBSTITUTE(E986,"°","º"))-1)),""))))</f>
        <v>27</v>
      </c>
      <c r="O986" s="2" t="str">
        <f aca="false">IF(OR(F986="",G986=""),"",IF(G986&lt;='RETRATO 2027'!$K$5,"CONCLUÍDA",IF(F986&lt;='RETRATO 2027'!$K$5,"EM ANDAMENTO","A INICIAR")))</f>
        <v>CONCLUÍDA</v>
      </c>
    </row>
    <row r="987" customFormat="false" ht="15" hidden="false" customHeight="false" outlineLevel="0" collapsed="false">
      <c r="B987" s="4" t="n">
        <v>29980804</v>
      </c>
      <c r="C987" s="4" t="s">
        <v>2416</v>
      </c>
      <c r="D987" s="4" t="s">
        <v>463</v>
      </c>
      <c r="E987" s="4" t="s">
        <v>2838</v>
      </c>
      <c r="F987" s="127" t="n">
        <v>46734</v>
      </c>
      <c r="G987" s="127" t="n">
        <v>46744</v>
      </c>
      <c r="H987" s="127" t="n">
        <v>46289</v>
      </c>
      <c r="I987" s="4" t="n">
        <v>0</v>
      </c>
      <c r="J987" s="4" t="n">
        <v>0</v>
      </c>
      <c r="K987" s="4" t="n">
        <v>0</v>
      </c>
      <c r="M987" s="2" t="str">
        <f aca="false">IF(C987="","",IFERROR(INDEX($S$5:$S$304,MATCH(C987,$R$5:$R$304,0))&amp;"","?"))</f>
        <v>18</v>
      </c>
      <c r="N987" s="2" t="n">
        <f aca="false">IF(E987="","",IF(ISNUMBER(SEARCH("SUBSOLO",E987)),IFERROR(-VALUE(LEFT(E987,FIND("º",SUBSTITUTE(E987,"°","º"))-1)),-1),IF(LEFT(E987,6)="TÉRREO",0,IFERROR(VALUE(LEFT(E987,FIND("º",SUBSTITUTE(E987,"°","º"))-1)),""))))</f>
        <v>27</v>
      </c>
      <c r="O987" s="2" t="str">
        <f aca="false">IF(OR(F987="",G987=""),"",IF(G987&lt;='RETRATO 2027'!$K$5,"CONCLUÍDA",IF(F987&lt;='RETRATO 2027'!$K$5,"EM ANDAMENTO","A INICIAR")))</f>
        <v>CONCLUÍDA</v>
      </c>
    </row>
    <row r="988" customFormat="false" ht="15" hidden="false" customHeight="false" outlineLevel="0" collapsed="false">
      <c r="B988" s="4" t="n">
        <v>31789533</v>
      </c>
      <c r="C988" s="4" t="s">
        <v>2548</v>
      </c>
      <c r="D988" s="4" t="s">
        <v>463</v>
      </c>
      <c r="E988" s="4" t="s">
        <v>2678</v>
      </c>
      <c r="F988" s="127" t="n">
        <v>46735</v>
      </c>
      <c r="G988" s="127" t="n">
        <v>46763</v>
      </c>
      <c r="H988" s="127" t="n">
        <v>46289</v>
      </c>
      <c r="I988" s="4" t="n">
        <v>0</v>
      </c>
      <c r="J988" s="4" t="n">
        <v>0</v>
      </c>
      <c r="K988" s="4" t="n">
        <v>0</v>
      </c>
      <c r="M988" s="2" t="str">
        <f aca="false">IF(C988="","",IFERROR(INDEX($S$5:$S$304,MATCH(C988,$R$5:$R$304,0))&amp;"","?"))</f>
        <v>32</v>
      </c>
      <c r="N988" s="2" t="str">
        <f aca="false">IF(E988="","",IF(ISNUMBER(SEARCH("SUBSOLO",E988)),IFERROR(-VALUE(LEFT(E988,FIND("º",SUBSTITUTE(E988,"°","º"))-1)),-1),IF(LEFT(E988,6)="TÉRREO",0,IFERROR(VALUE(LEFT(E988,FIND("º",SUBSTITUTE(E988,"°","º"))-1)),""))))</f>
        <v/>
      </c>
      <c r="O988" s="2" t="str">
        <f aca="false">IF(OR(F988="",G988=""),"",IF(G988&lt;='RETRATO 2027'!$K$5,"CONCLUÍDA",IF(F988&lt;='RETRATO 2027'!$K$5,"EM ANDAMENTO","A INICIAR")))</f>
        <v>EM ANDAMENTO</v>
      </c>
    </row>
    <row r="989" customFormat="false" ht="15" hidden="false" customHeight="false" outlineLevel="0" collapsed="false">
      <c r="B989" s="4" t="n">
        <v>30205931</v>
      </c>
      <c r="C989" s="4" t="s">
        <v>171</v>
      </c>
      <c r="D989" s="4" t="s">
        <v>463</v>
      </c>
      <c r="E989" s="4" t="s">
        <v>2790</v>
      </c>
      <c r="F989" s="127" t="n">
        <v>46737</v>
      </c>
      <c r="G989" s="127" t="n">
        <v>46758</v>
      </c>
      <c r="H989" s="127" t="n">
        <v>46289</v>
      </c>
      <c r="I989" s="4" t="n">
        <v>0</v>
      </c>
      <c r="J989" s="4" t="n">
        <v>0</v>
      </c>
      <c r="K989" s="4" t="n">
        <v>0</v>
      </c>
      <c r="M989" s="2" t="str">
        <f aca="false">IF(C989="","",IFERROR(INDEX($S$5:$S$304,MATCH(C989,$R$5:$R$304,0))&amp;"","?"))</f>
        <v>19</v>
      </c>
      <c r="N989" s="2" t="n">
        <f aca="false">IF(E989="","",IF(ISNUMBER(SEARCH("SUBSOLO",E989)),IFERROR(-VALUE(LEFT(E989,FIND("º",SUBSTITUTE(E989,"°","º"))-1)),-1),IF(LEFT(E989,6)="TÉRREO",0,IFERROR(VALUE(LEFT(E989,FIND("º",SUBSTITUTE(E989,"°","º"))-1)),""))))</f>
        <v>3</v>
      </c>
      <c r="O989" s="2" t="str">
        <f aca="false">IF(OR(F989="",G989=""),"",IF(G989&lt;='RETRATO 2027'!$K$5,"CONCLUÍDA",IF(F989&lt;='RETRATO 2027'!$K$5,"EM ANDAMENTO","A INICIAR")))</f>
        <v>EM ANDAMENTO</v>
      </c>
    </row>
    <row r="990" customFormat="false" ht="15" hidden="false" customHeight="false" outlineLevel="0" collapsed="false">
      <c r="B990" s="4" t="n">
        <v>30171443</v>
      </c>
      <c r="C990" s="4" t="s">
        <v>2413</v>
      </c>
      <c r="D990" s="4" t="s">
        <v>463</v>
      </c>
      <c r="E990" s="4" t="s">
        <v>2790</v>
      </c>
      <c r="F990" s="127" t="n">
        <v>46737</v>
      </c>
      <c r="G990" s="127" t="n">
        <v>46772</v>
      </c>
      <c r="H990" s="127" t="n">
        <v>46289</v>
      </c>
      <c r="I990" s="4" t="n">
        <v>0</v>
      </c>
      <c r="J990" s="4" t="n">
        <v>0</v>
      </c>
      <c r="K990" s="4" t="n">
        <v>0</v>
      </c>
      <c r="M990" s="2" t="str">
        <f aca="false">IF(C990="","",IFERROR(INDEX($S$5:$S$304,MATCH(C990,$R$5:$R$304,0))&amp;"","?"))</f>
        <v>21</v>
      </c>
      <c r="N990" s="2" t="n">
        <f aca="false">IF(E990="","",IF(ISNUMBER(SEARCH("SUBSOLO",E990)),IFERROR(-VALUE(LEFT(E990,FIND("º",SUBSTITUTE(E990,"°","º"))-1)),-1),IF(LEFT(E990,6)="TÉRREO",0,IFERROR(VALUE(LEFT(E990,FIND("º",SUBSTITUTE(E990,"°","º"))-1)),""))))</f>
        <v>3</v>
      </c>
      <c r="O990" s="2" t="str">
        <f aca="false">IF(OR(F990="",G990=""),"",IF(G990&lt;='RETRATO 2027'!$K$5,"CONCLUÍDA",IF(F990&lt;='RETRATO 2027'!$K$5,"EM ANDAMENTO","A INICIAR")))</f>
        <v>EM ANDAMENTO</v>
      </c>
    </row>
    <row r="991" customFormat="false" ht="15" hidden="false" customHeight="false" outlineLevel="0" collapsed="false">
      <c r="B991" s="4" t="n">
        <v>30171444</v>
      </c>
      <c r="C991" s="4" t="s">
        <v>2443</v>
      </c>
      <c r="D991" s="4" t="s">
        <v>463</v>
      </c>
      <c r="E991" s="4" t="s">
        <v>2790</v>
      </c>
      <c r="F991" s="127" t="n">
        <v>46737</v>
      </c>
      <c r="G991" s="127" t="n">
        <v>46772</v>
      </c>
      <c r="H991" s="127" t="n">
        <v>46289</v>
      </c>
      <c r="I991" s="4" t="n">
        <v>0</v>
      </c>
      <c r="J991" s="4" t="n">
        <v>0</v>
      </c>
      <c r="K991" s="4" t="n">
        <v>0</v>
      </c>
      <c r="M991" s="2" t="str">
        <f aca="false">IF(C991="","",IFERROR(INDEX($S$5:$S$304,MATCH(C991,$R$5:$R$304,0))&amp;"","?"))</f>
        <v>20</v>
      </c>
      <c r="N991" s="2" t="n">
        <f aca="false">IF(E991="","",IF(ISNUMBER(SEARCH("SUBSOLO",E991)),IFERROR(-VALUE(LEFT(E991,FIND("º",SUBSTITUTE(E991,"°","º"))-1)),-1),IF(LEFT(E991,6)="TÉRREO",0,IFERROR(VALUE(LEFT(E991,FIND("º",SUBSTITUTE(E991,"°","º"))-1)),""))))</f>
        <v>3</v>
      </c>
      <c r="O991" s="2" t="str">
        <f aca="false">IF(OR(F991="",G991=""),"",IF(G991&lt;='RETRATO 2027'!$K$5,"CONCLUÍDA",IF(F991&lt;='RETRATO 2027'!$K$5,"EM ANDAMENTO","A INICIAR")))</f>
        <v>EM ANDAMENTO</v>
      </c>
    </row>
    <row r="992" customFormat="false" ht="15" hidden="false" customHeight="false" outlineLevel="0" collapsed="false">
      <c r="B992" s="4" t="n">
        <v>30171456</v>
      </c>
      <c r="C992" s="4" t="s">
        <v>2517</v>
      </c>
      <c r="D992" s="4" t="s">
        <v>463</v>
      </c>
      <c r="E992" s="4" t="s">
        <v>2790</v>
      </c>
      <c r="F992" s="127" t="n">
        <v>46737</v>
      </c>
      <c r="G992" s="127" t="n">
        <v>46772</v>
      </c>
      <c r="H992" s="127" t="n">
        <v>46289</v>
      </c>
      <c r="I992" s="4" t="n">
        <v>0</v>
      </c>
      <c r="J992" s="4" t="n">
        <v>0</v>
      </c>
      <c r="K992" s="4" t="n">
        <v>0</v>
      </c>
      <c r="M992" s="2" t="str">
        <f aca="false">IF(C992="","",IFERROR(INDEX($S$5:$S$304,MATCH(C992,$R$5:$R$304,0))&amp;"","?"))</f>
        <v>22</v>
      </c>
      <c r="N992" s="2" t="n">
        <f aca="false">IF(E992="","",IF(ISNUMBER(SEARCH("SUBSOLO",E992)),IFERROR(-VALUE(LEFT(E992,FIND("º",SUBSTITUTE(E992,"°","º"))-1)),-1),IF(LEFT(E992,6)="TÉRREO",0,IFERROR(VALUE(LEFT(E992,FIND("º",SUBSTITUTE(E992,"°","º"))-1)),""))))</f>
        <v>3</v>
      </c>
      <c r="O992" s="2" t="str">
        <f aca="false">IF(OR(F992="",G992=""),"",IF(G992&lt;='RETRATO 2027'!$K$5,"CONCLUÍDA",IF(F992&lt;='RETRATO 2027'!$K$5,"EM ANDAMENTO","A INICIAR")))</f>
        <v>EM ANDAMENTO</v>
      </c>
    </row>
    <row r="993" customFormat="false" ht="15" hidden="false" customHeight="false" outlineLevel="0" collapsed="false">
      <c r="B993" s="4" t="n">
        <v>30171421</v>
      </c>
      <c r="C993" s="4" t="s">
        <v>194</v>
      </c>
      <c r="D993" s="4" t="s">
        <v>463</v>
      </c>
      <c r="E993" s="4" t="s">
        <v>2800</v>
      </c>
      <c r="F993" s="127" t="n">
        <v>46737</v>
      </c>
      <c r="G993" s="127" t="n">
        <v>46758</v>
      </c>
      <c r="H993" s="127" t="n">
        <v>46289</v>
      </c>
      <c r="I993" s="4" t="n">
        <v>0</v>
      </c>
      <c r="J993" s="4" t="n">
        <v>0</v>
      </c>
      <c r="K993" s="4" t="n">
        <v>0</v>
      </c>
      <c r="M993" s="2" t="str">
        <f aca="false">IF(C993="","",IFERROR(INDEX($S$5:$S$304,MATCH(C993,$R$5:$R$304,0))&amp;"","?"))</f>
        <v>26</v>
      </c>
      <c r="N993" s="2" t="n">
        <f aca="false">IF(E993="","",IF(ISNUMBER(SEARCH("SUBSOLO",E993)),IFERROR(-VALUE(LEFT(E993,FIND("º",SUBSTITUTE(E993,"°","º"))-1)),-1),IF(LEFT(E993,6)="TÉRREO",0,IFERROR(VALUE(LEFT(E993,FIND("º",SUBSTITUTE(E993,"°","º"))-1)),""))))</f>
        <v>4</v>
      </c>
      <c r="O993" s="2" t="str">
        <f aca="false">IF(OR(F993="",G993=""),"",IF(G993&lt;='RETRATO 2027'!$K$5,"CONCLUÍDA",IF(F993&lt;='RETRATO 2027'!$K$5,"EM ANDAMENTO","A INICIAR")))</f>
        <v>EM ANDAMENTO</v>
      </c>
    </row>
    <row r="994" customFormat="false" ht="15" hidden="false" customHeight="false" outlineLevel="0" collapsed="false">
      <c r="B994" s="4" t="n">
        <v>30171422</v>
      </c>
      <c r="C994" s="4" t="s">
        <v>2437</v>
      </c>
      <c r="D994" s="4" t="s">
        <v>463</v>
      </c>
      <c r="E994" s="4" t="s">
        <v>2800</v>
      </c>
      <c r="F994" s="127" t="n">
        <v>46737</v>
      </c>
      <c r="G994" s="127" t="n">
        <v>46806</v>
      </c>
      <c r="H994" s="127" t="n">
        <v>46289</v>
      </c>
      <c r="I994" s="4" t="n">
        <v>0</v>
      </c>
      <c r="J994" s="4" t="n">
        <v>0</v>
      </c>
      <c r="K994" s="4" t="n">
        <v>0</v>
      </c>
      <c r="M994" s="2" t="str">
        <f aca="false">IF(C994="","",IFERROR(INDEX($S$5:$S$304,MATCH(C994,$R$5:$R$304,0))&amp;"","?"))</f>
        <v>29</v>
      </c>
      <c r="N994" s="2" t="n">
        <f aca="false">IF(E994="","",IF(ISNUMBER(SEARCH("SUBSOLO",E994)),IFERROR(-VALUE(LEFT(E994,FIND("º",SUBSTITUTE(E994,"°","º"))-1)),-1),IF(LEFT(E994,6)="TÉRREO",0,IFERROR(VALUE(LEFT(E994,FIND("º",SUBSTITUTE(E994,"°","º"))-1)),""))))</f>
        <v>4</v>
      </c>
      <c r="O994" s="2" t="str">
        <f aca="false">IF(OR(F994="",G994=""),"",IF(G994&lt;='RETRATO 2027'!$K$5,"CONCLUÍDA",IF(F994&lt;='RETRATO 2027'!$K$5,"EM ANDAMENTO","A INICIAR")))</f>
        <v>EM ANDAMENTO</v>
      </c>
    </row>
    <row r="995" customFormat="false" ht="15" hidden="false" customHeight="false" outlineLevel="0" collapsed="false">
      <c r="B995" s="4" t="n">
        <v>29980778</v>
      </c>
      <c r="C995" s="4" t="s">
        <v>2410</v>
      </c>
      <c r="D995" s="4" t="s">
        <v>463</v>
      </c>
      <c r="E995" s="4" t="s">
        <v>2840</v>
      </c>
      <c r="F995" s="127" t="n">
        <v>46737</v>
      </c>
      <c r="G995" s="127" t="n">
        <v>46757</v>
      </c>
      <c r="H995" s="127" t="n">
        <v>46289</v>
      </c>
      <c r="I995" s="4" t="n">
        <v>0</v>
      </c>
      <c r="J995" s="4" t="n">
        <v>0</v>
      </c>
      <c r="K995" s="4" t="n">
        <v>0</v>
      </c>
      <c r="M995" s="2" t="str">
        <f aca="false">IF(C995="","",IFERROR(INDEX($S$5:$S$304,MATCH(C995,$R$5:$R$304,0))&amp;"","?"))</f>
        <v>22</v>
      </c>
      <c r="N995" s="2" t="n">
        <f aca="false">IF(E995="","",IF(ISNUMBER(SEARCH("SUBSOLO",E995)),IFERROR(-VALUE(LEFT(E995,FIND("º",SUBSTITUTE(E995,"°","º"))-1)),-1),IF(LEFT(E995,6)="TÉRREO",0,IFERROR(VALUE(LEFT(E995,FIND("º",SUBSTITUTE(E995,"°","º"))-1)),""))))</f>
        <v>28</v>
      </c>
      <c r="O995" s="2" t="str">
        <f aca="false">IF(OR(F995="",G995=""),"",IF(G995&lt;='RETRATO 2027'!$K$5,"CONCLUÍDA",IF(F995&lt;='RETRATO 2027'!$K$5,"EM ANDAMENTO","A INICIAR")))</f>
        <v>EM ANDAMENTO</v>
      </c>
    </row>
    <row r="996" customFormat="false" ht="15" hidden="false" customHeight="false" outlineLevel="0" collapsed="false">
      <c r="B996" s="4" t="n">
        <v>29980729</v>
      </c>
      <c r="C996" s="4" t="s">
        <v>168</v>
      </c>
      <c r="D996" s="4" t="s">
        <v>463</v>
      </c>
      <c r="E996" s="4" t="s">
        <v>2841</v>
      </c>
      <c r="F996" s="127" t="n">
        <v>46737</v>
      </c>
      <c r="G996" s="127" t="n">
        <v>46757</v>
      </c>
      <c r="H996" s="127" t="n">
        <v>46289</v>
      </c>
      <c r="I996" s="4" t="n">
        <v>0</v>
      </c>
      <c r="J996" s="4" t="n">
        <v>0</v>
      </c>
      <c r="K996" s="4" t="n">
        <v>0</v>
      </c>
      <c r="M996" s="2" t="str">
        <f aca="false">IF(C996="","",IFERROR(INDEX($S$5:$S$304,MATCH(C996,$R$5:$R$304,0))&amp;"","?"))</f>
        <v>18</v>
      </c>
      <c r="N996" s="2" t="n">
        <f aca="false">IF(E996="","",IF(ISNUMBER(SEARCH("SUBSOLO",E996)),IFERROR(-VALUE(LEFT(E996,FIND("º",SUBSTITUTE(E996,"°","º"))-1)),-1),IF(LEFT(E996,6)="TÉRREO",0,IFERROR(VALUE(LEFT(E996,FIND("º",SUBSTITUTE(E996,"°","º"))-1)),""))))</f>
        <v>29</v>
      </c>
      <c r="O996" s="2" t="str">
        <f aca="false">IF(OR(F996="",G996=""),"",IF(G996&lt;='RETRATO 2027'!$K$5,"CONCLUÍDA",IF(F996&lt;='RETRATO 2027'!$K$5,"EM ANDAMENTO","A INICIAR")))</f>
        <v>EM ANDAMENTO</v>
      </c>
    </row>
    <row r="997" customFormat="false" ht="15" hidden="false" customHeight="false" outlineLevel="0" collapsed="false">
      <c r="B997" s="4" t="n">
        <v>29941166</v>
      </c>
      <c r="C997" s="4" t="s">
        <v>2341</v>
      </c>
      <c r="D997" s="4" t="s">
        <v>463</v>
      </c>
      <c r="E997" s="4" t="s">
        <v>2844</v>
      </c>
      <c r="F997" s="127" t="n">
        <v>46737</v>
      </c>
      <c r="G997" s="127" t="n">
        <v>46757</v>
      </c>
      <c r="H997" s="127" t="n">
        <v>46289</v>
      </c>
      <c r="I997" s="4" t="n">
        <v>0</v>
      </c>
      <c r="J997" s="4" t="n">
        <v>0</v>
      </c>
      <c r="K997" s="4" t="n">
        <v>0</v>
      </c>
      <c r="M997" s="2" t="str">
        <f aca="false">IF(C997="","",IFERROR(INDEX($S$5:$S$304,MATCH(C997,$R$5:$R$304,0))&amp;"","?"))</f>
        <v>17</v>
      </c>
      <c r="N997" s="2" t="n">
        <f aca="false">IF(E997="","",IF(ISNUMBER(SEARCH("SUBSOLO",E997)),IFERROR(-VALUE(LEFT(E997,FIND("º",SUBSTITUTE(E997,"°","º"))-1)),-1),IF(LEFT(E997,6)="TÉRREO",0,IFERROR(VALUE(LEFT(E997,FIND("º",SUBSTITUTE(E997,"°","º"))-1)),""))))</f>
        <v>32</v>
      </c>
      <c r="O997" s="2" t="str">
        <f aca="false">IF(OR(F997="",G997=""),"",IF(G997&lt;='RETRATO 2027'!$K$5,"CONCLUÍDA",IF(F997&lt;='RETRATO 2027'!$K$5,"EM ANDAMENTO","A INICIAR")))</f>
        <v>EM ANDAMENTO</v>
      </c>
    </row>
    <row r="998" customFormat="false" ht="15" hidden="false" customHeight="false" outlineLevel="0" collapsed="false">
      <c r="B998" s="4" t="n">
        <v>31529082</v>
      </c>
      <c r="C998" s="4" t="s">
        <v>2341</v>
      </c>
      <c r="D998" s="4" t="s">
        <v>2312</v>
      </c>
      <c r="E998" s="4" t="s">
        <v>2844</v>
      </c>
      <c r="F998" s="127" t="n">
        <v>46737</v>
      </c>
      <c r="G998" s="127" t="n">
        <v>46743</v>
      </c>
      <c r="H998" s="127" t="n">
        <v>46289</v>
      </c>
      <c r="I998" s="4" t="n">
        <v>0</v>
      </c>
      <c r="J998" s="4" t="n">
        <v>0</v>
      </c>
      <c r="K998" s="4" t="n">
        <v>0</v>
      </c>
      <c r="M998" s="2" t="str">
        <f aca="false">IF(C998="","",IFERROR(INDEX($S$5:$S$304,MATCH(C998,$R$5:$R$304,0))&amp;"","?"))</f>
        <v>17</v>
      </c>
      <c r="N998" s="2" t="n">
        <f aca="false">IF(E998="","",IF(ISNUMBER(SEARCH("SUBSOLO",E998)),IFERROR(-VALUE(LEFT(E998,FIND("º",SUBSTITUTE(E998,"°","º"))-1)),-1),IF(LEFT(E998,6)="TÉRREO",0,IFERROR(VALUE(LEFT(E998,FIND("º",SUBSTITUTE(E998,"°","º"))-1)),""))))</f>
        <v>32</v>
      </c>
      <c r="O998" s="2" t="str">
        <f aca="false">IF(OR(F998="",G998=""),"",IF(G998&lt;='RETRATO 2027'!$K$5,"CONCLUÍDA",IF(F998&lt;='RETRATO 2027'!$K$5,"EM ANDAMENTO","A INICIAR")))</f>
        <v>CONCLUÍDA</v>
      </c>
    </row>
    <row r="999" customFormat="false" ht="15" hidden="false" customHeight="false" outlineLevel="0" collapsed="false">
      <c r="B999" s="4" t="n">
        <v>31529083</v>
      </c>
      <c r="C999" s="4" t="s">
        <v>2341</v>
      </c>
      <c r="D999" s="4" t="s">
        <v>2309</v>
      </c>
      <c r="E999" s="4" t="s">
        <v>2844</v>
      </c>
      <c r="F999" s="127" t="n">
        <v>46744</v>
      </c>
      <c r="G999" s="127" t="n">
        <v>46756</v>
      </c>
      <c r="H999" s="127" t="n">
        <v>46289</v>
      </c>
      <c r="I999" s="4" t="n">
        <v>0</v>
      </c>
      <c r="J999" s="4" t="n">
        <v>0</v>
      </c>
      <c r="K999" s="4" t="n">
        <v>0</v>
      </c>
      <c r="M999" s="2" t="str">
        <f aca="false">IF(C999="","",IFERROR(INDEX($S$5:$S$304,MATCH(C999,$R$5:$R$304,0))&amp;"","?"))</f>
        <v>17</v>
      </c>
      <c r="N999" s="2" t="n">
        <f aca="false">IF(E999="","",IF(ISNUMBER(SEARCH("SUBSOLO",E999)),IFERROR(-VALUE(LEFT(E999,FIND("º",SUBSTITUTE(E999,"°","º"))-1)),-1),IF(LEFT(E999,6)="TÉRREO",0,IFERROR(VALUE(LEFT(E999,FIND("º",SUBSTITUTE(E999,"°","º"))-1)),""))))</f>
        <v>32</v>
      </c>
      <c r="O999" s="2" t="str">
        <f aca="false">IF(OR(F999="",G999=""),"",IF(G999&lt;='RETRATO 2027'!$K$5,"CONCLUÍDA",IF(F999&lt;='RETRATO 2027'!$K$5,"EM ANDAMENTO","A INICIAR")))</f>
        <v>EM ANDAMENTO</v>
      </c>
    </row>
    <row r="1000" customFormat="false" ht="15" hidden="false" customHeight="false" outlineLevel="0" collapsed="false">
      <c r="B1000" s="4" t="n">
        <v>31529084</v>
      </c>
      <c r="C1000" s="4" t="s">
        <v>2341</v>
      </c>
      <c r="D1000" s="4" t="s">
        <v>2314</v>
      </c>
      <c r="E1000" s="4" t="s">
        <v>2844</v>
      </c>
      <c r="F1000" s="127" t="n">
        <v>46757</v>
      </c>
      <c r="G1000" s="127" t="n">
        <v>46757</v>
      </c>
      <c r="H1000" s="127" t="n">
        <v>46289</v>
      </c>
      <c r="I1000" s="4" t="n">
        <v>0</v>
      </c>
      <c r="J1000" s="4" t="n">
        <v>0</v>
      </c>
      <c r="K1000" s="4" t="n">
        <v>0</v>
      </c>
      <c r="M1000" s="2" t="str">
        <f aca="false">IF(C1000="","",IFERROR(INDEX($S$5:$S$304,MATCH(C1000,$R$5:$R$304,0))&amp;"","?"))</f>
        <v>17</v>
      </c>
      <c r="N1000" s="2" t="n">
        <f aca="false">IF(E1000="","",IF(ISNUMBER(SEARCH("SUBSOLO",E1000)),IFERROR(-VALUE(LEFT(E1000,FIND("º",SUBSTITUTE(E1000,"°","º"))-1)),-1),IF(LEFT(E1000,6)="TÉRREO",0,IFERROR(VALUE(LEFT(E1000,FIND("º",SUBSTITUTE(E1000,"°","º"))-1)),""))))</f>
        <v>32</v>
      </c>
      <c r="O1000" s="2" t="str">
        <f aca="false">IF(OR(F1000="",G1000=""),"",IF(G1000&lt;='RETRATO 2027'!$K$5,"CONCLUÍDA",IF(F1000&lt;='RETRATO 2027'!$K$5,"EM ANDAMENTO","A INICIAR")))</f>
        <v>A INICIAR</v>
      </c>
    </row>
    <row r="1001" customFormat="false" ht="15" hidden="false" customHeight="false" outlineLevel="0" collapsed="false">
      <c r="B1001" s="4" t="n">
        <v>31529085</v>
      </c>
      <c r="C1001" s="4" t="s">
        <v>2341</v>
      </c>
      <c r="D1001" s="4" t="s">
        <v>2758</v>
      </c>
      <c r="E1001" s="4" t="s">
        <v>2844</v>
      </c>
      <c r="F1001" s="127" t="n">
        <v>46757</v>
      </c>
      <c r="G1001" s="127" t="n">
        <v>46757</v>
      </c>
      <c r="H1001" s="127" t="n">
        <v>46289</v>
      </c>
      <c r="I1001" s="4" t="n">
        <v>0</v>
      </c>
      <c r="J1001" s="4" t="n">
        <v>0</v>
      </c>
      <c r="K1001" s="4" t="n">
        <v>0</v>
      </c>
      <c r="M1001" s="2" t="str">
        <f aca="false">IF(C1001="","",IFERROR(INDEX($S$5:$S$304,MATCH(C1001,$R$5:$R$304,0))&amp;"","?"))</f>
        <v>17</v>
      </c>
      <c r="N1001" s="2" t="n">
        <f aca="false">IF(E1001="","",IF(ISNUMBER(SEARCH("SUBSOLO",E1001)),IFERROR(-VALUE(LEFT(E1001,FIND("º",SUBSTITUTE(E1001,"°","º"))-1)),-1),IF(LEFT(E1001,6)="TÉRREO",0,IFERROR(VALUE(LEFT(E1001,FIND("º",SUBSTITUTE(E1001,"°","º"))-1)),""))))</f>
        <v>32</v>
      </c>
      <c r="O1001" s="2" t="str">
        <f aca="false">IF(OR(F1001="",G1001=""),"",IF(G1001&lt;='RETRATO 2027'!$K$5,"CONCLUÍDA",IF(F1001&lt;='RETRATO 2027'!$K$5,"EM ANDAMENTO","A INICIAR")))</f>
        <v>A INICIAR</v>
      </c>
    </row>
    <row r="1002" customFormat="false" ht="15" hidden="false" customHeight="false" outlineLevel="0" collapsed="false">
      <c r="B1002" s="4" t="n">
        <v>30205750</v>
      </c>
      <c r="C1002" s="4" t="s">
        <v>2486</v>
      </c>
      <c r="D1002" s="4" t="s">
        <v>463</v>
      </c>
      <c r="E1002" s="4" t="s">
        <v>2740</v>
      </c>
      <c r="F1002" s="127" t="n">
        <v>46738</v>
      </c>
      <c r="G1002" s="127" t="n">
        <v>46759</v>
      </c>
      <c r="H1002" s="127" t="n">
        <v>46289</v>
      </c>
      <c r="I1002" s="4" t="n">
        <v>0</v>
      </c>
      <c r="J1002" s="4" t="n">
        <v>0</v>
      </c>
      <c r="K1002" s="4" t="n">
        <v>0</v>
      </c>
      <c r="M1002" s="2" t="str">
        <f aca="false">IF(C1002="","",IFERROR(INDEX($S$5:$S$304,MATCH(C1002,$R$5:$R$304,0))&amp;"","?"))</f>
        <v>30</v>
      </c>
      <c r="N1002" s="2" t="n">
        <f aca="false">IF(E1002="","",IF(ISNUMBER(SEARCH("SUBSOLO",E1002)),IFERROR(-VALUE(LEFT(E1002,FIND("º",SUBSTITUTE(E1002,"°","º"))-1)),-1),IF(LEFT(E1002,6)="TÉRREO",0,IFERROR(VALUE(LEFT(E1002,FIND("º",SUBSTITUTE(E1002,"°","º"))-1)),""))))</f>
        <v>-1</v>
      </c>
      <c r="O1002" s="2" t="str">
        <f aca="false">IF(OR(F1002="",G1002=""),"",IF(G1002&lt;='RETRATO 2027'!$K$5,"CONCLUÍDA",IF(F1002&lt;='RETRATO 2027'!$K$5,"EM ANDAMENTO","A INICIAR")))</f>
        <v>EM ANDAMENTO</v>
      </c>
    </row>
    <row r="1003" customFormat="false" ht="15" hidden="false" customHeight="false" outlineLevel="0" collapsed="false">
      <c r="B1003" s="4" t="n">
        <v>29981553</v>
      </c>
      <c r="C1003" s="4" t="s">
        <v>2539</v>
      </c>
      <c r="D1003" s="4" t="s">
        <v>463</v>
      </c>
      <c r="E1003" s="4" t="s">
        <v>2803</v>
      </c>
      <c r="F1003" s="127" t="n">
        <v>46742</v>
      </c>
      <c r="G1003" s="127" t="n">
        <v>46762</v>
      </c>
      <c r="H1003" s="127" t="n">
        <v>46289</v>
      </c>
      <c r="I1003" s="4" t="n">
        <v>0</v>
      </c>
      <c r="J1003" s="4" t="n">
        <v>0</v>
      </c>
      <c r="K1003" s="4" t="n">
        <v>0</v>
      </c>
      <c r="M1003" s="2" t="str">
        <f aca="false">IF(C1003="","",IFERROR(INDEX($S$5:$S$304,MATCH(C1003,$R$5:$R$304,0))&amp;"","?"))</f>
        <v>35</v>
      </c>
      <c r="N1003" s="2" t="n">
        <f aca="false">IF(E1003="","",IF(ISNUMBER(SEARCH("SUBSOLO",E1003)),IFERROR(-VALUE(LEFT(E1003,FIND("º",SUBSTITUTE(E1003,"°","º"))-1)),-1),IF(LEFT(E1003,6)="TÉRREO",0,IFERROR(VALUE(LEFT(E1003,FIND("º",SUBSTITUTE(E1003,"°","º"))-1)),""))))</f>
        <v>7</v>
      </c>
      <c r="O1003" s="2" t="str">
        <f aca="false">IF(OR(F1003="",G1003=""),"",IF(G1003&lt;='RETRATO 2027'!$K$5,"CONCLUÍDA",IF(F1003&lt;='RETRATO 2027'!$K$5,"EM ANDAMENTO","A INICIAR")))</f>
        <v>EM ANDAMENTO</v>
      </c>
    </row>
    <row r="1004" customFormat="false" ht="15" hidden="false" customHeight="false" outlineLevel="0" collapsed="false">
      <c r="B1004" s="4" t="n">
        <v>33898089</v>
      </c>
      <c r="C1004" s="4" t="s">
        <v>2545</v>
      </c>
      <c r="D1004" s="4" t="s">
        <v>463</v>
      </c>
      <c r="E1004" s="4" t="s">
        <v>2804</v>
      </c>
      <c r="F1004" s="127" t="n">
        <v>46742</v>
      </c>
      <c r="G1004" s="127" t="n">
        <v>46762</v>
      </c>
      <c r="H1004" s="127" t="n">
        <v>46289</v>
      </c>
      <c r="I1004" s="4" t="n">
        <v>0</v>
      </c>
      <c r="J1004" s="4" t="n">
        <v>0</v>
      </c>
      <c r="K1004" s="4" t="n">
        <v>0</v>
      </c>
      <c r="M1004" s="2" t="str">
        <f aca="false">IF(C1004="","",IFERROR(INDEX($S$5:$S$304,MATCH(C1004,$R$5:$R$304,0))&amp;"","?"))</f>
        <v>25</v>
      </c>
      <c r="N1004" s="2" t="n">
        <f aca="false">IF(E1004="","",IF(ISNUMBER(SEARCH("SUBSOLO",E1004)),IFERROR(-VALUE(LEFT(E1004,FIND("º",SUBSTITUTE(E1004,"°","º"))-1)),-1),IF(LEFT(E1004,6)="TÉRREO",0,IFERROR(VALUE(LEFT(E1004,FIND("º",SUBSTITUTE(E1004,"°","º"))-1)),""))))</f>
        <v>8</v>
      </c>
      <c r="O1004" s="2" t="str">
        <f aca="false">IF(OR(F1004="",G1004=""),"",IF(G1004&lt;='RETRATO 2027'!$K$5,"CONCLUÍDA",IF(F1004&lt;='RETRATO 2027'!$K$5,"EM ANDAMENTO","A INICIAR")))</f>
        <v>EM ANDAMENTO</v>
      </c>
    </row>
    <row r="1005" customFormat="false" ht="15" hidden="false" customHeight="false" outlineLevel="0" collapsed="false">
      <c r="B1005" s="4" t="n">
        <v>30171398</v>
      </c>
      <c r="C1005" s="4" t="s">
        <v>2422</v>
      </c>
      <c r="D1005" s="4" t="s">
        <v>463</v>
      </c>
      <c r="E1005" s="4" t="s">
        <v>2801</v>
      </c>
      <c r="F1005" s="127" t="n">
        <v>46743</v>
      </c>
      <c r="G1005" s="127" t="n">
        <v>46764</v>
      </c>
      <c r="H1005" s="127" t="n">
        <v>46289</v>
      </c>
      <c r="I1005" s="4" t="n">
        <v>0</v>
      </c>
      <c r="J1005" s="4" t="n">
        <v>0</v>
      </c>
      <c r="K1005" s="4" t="n">
        <v>0</v>
      </c>
      <c r="M1005" s="2" t="str">
        <f aca="false">IF(C1005="","",IFERROR(INDEX($S$5:$S$304,MATCH(C1005,$R$5:$R$304,0))&amp;"","?"))</f>
        <v>29</v>
      </c>
      <c r="N1005" s="2" t="n">
        <f aca="false">IF(E1005="","",IF(ISNUMBER(SEARCH("SUBSOLO",E1005)),IFERROR(-VALUE(LEFT(E1005,FIND("º",SUBSTITUTE(E1005,"°","º"))-1)),-1),IF(LEFT(E1005,6)="TÉRREO",0,IFERROR(VALUE(LEFT(E1005,FIND("º",SUBSTITUTE(E1005,"°","º"))-1)),""))))</f>
        <v>5</v>
      </c>
      <c r="O1005" s="2" t="str">
        <f aca="false">IF(OR(F1005="",G1005=""),"",IF(G1005&lt;='RETRATO 2027'!$K$5,"CONCLUÍDA",IF(F1005&lt;='RETRATO 2027'!$K$5,"EM ANDAMENTO","A INICIAR")))</f>
        <v>EM ANDAMENTO</v>
      </c>
    </row>
    <row r="1006" customFormat="false" ht="15" hidden="false" customHeight="false" outlineLevel="0" collapsed="false">
      <c r="B1006" s="4" t="n">
        <v>30171404</v>
      </c>
      <c r="C1006" s="4" t="s">
        <v>2446</v>
      </c>
      <c r="D1006" s="4" t="s">
        <v>463</v>
      </c>
      <c r="E1006" s="4" t="s">
        <v>2801</v>
      </c>
      <c r="F1006" s="127" t="n">
        <v>46743</v>
      </c>
      <c r="G1006" s="127" t="n">
        <v>46764</v>
      </c>
      <c r="H1006" s="127" t="n">
        <v>46289</v>
      </c>
      <c r="I1006" s="4" t="n">
        <v>0</v>
      </c>
      <c r="J1006" s="4" t="n">
        <v>0</v>
      </c>
      <c r="K1006" s="4" t="n">
        <v>0</v>
      </c>
      <c r="M1006" s="2" t="str">
        <f aca="false">IF(C1006="","",IFERROR(INDEX($S$5:$S$304,MATCH(C1006,$R$5:$R$304,0))&amp;"","?"))</f>
        <v>26</v>
      </c>
      <c r="N1006" s="2" t="n">
        <f aca="false">IF(E1006="","",IF(ISNUMBER(SEARCH("SUBSOLO",E1006)),IFERROR(-VALUE(LEFT(E1006,FIND("º",SUBSTITUTE(E1006,"°","º"))-1)),-1),IF(LEFT(E1006,6)="TÉRREO",0,IFERROR(VALUE(LEFT(E1006,FIND("º",SUBSTITUTE(E1006,"°","º"))-1)),""))))</f>
        <v>5</v>
      </c>
      <c r="O1006" s="2" t="str">
        <f aca="false">IF(OR(F1006="",G1006=""),"",IF(G1006&lt;='RETRATO 2027'!$K$5,"CONCLUÍDA",IF(F1006&lt;='RETRATO 2027'!$K$5,"EM ANDAMENTO","A INICIAR")))</f>
        <v>EM ANDAMENTO</v>
      </c>
    </row>
    <row r="1007" customFormat="false" ht="15" hidden="false" customHeight="false" outlineLevel="0" collapsed="false">
      <c r="B1007" s="4" t="n">
        <v>30205878</v>
      </c>
      <c r="C1007" s="4" t="s">
        <v>168</v>
      </c>
      <c r="D1007" s="4" t="s">
        <v>463</v>
      </c>
      <c r="E1007" s="4" t="s">
        <v>2845</v>
      </c>
      <c r="F1007" s="127" t="n">
        <v>46743</v>
      </c>
      <c r="G1007" s="127" t="n">
        <v>46780</v>
      </c>
      <c r="H1007" s="127" t="n">
        <v>46289</v>
      </c>
      <c r="I1007" s="4" t="n">
        <v>0</v>
      </c>
      <c r="J1007" s="4" t="n">
        <v>0</v>
      </c>
      <c r="K1007" s="4" t="n">
        <v>0</v>
      </c>
      <c r="M1007" s="2" t="str">
        <f aca="false">IF(C1007="","",IFERROR(INDEX($S$5:$S$304,MATCH(C1007,$R$5:$R$304,0))&amp;"","?"))</f>
        <v>18</v>
      </c>
      <c r="N1007" s="2" t="n">
        <f aca="false">IF(E1007="","",IF(ISNUMBER(SEARCH("SUBSOLO",E1007)),IFERROR(-VALUE(LEFT(E1007,FIND("º",SUBSTITUTE(E1007,"°","º"))-1)),-1),IF(LEFT(E1007,6)="TÉRREO",0,IFERROR(VALUE(LEFT(E1007,FIND("º",SUBSTITUTE(E1007,"°","º"))-1)),""))))</f>
        <v>6</v>
      </c>
      <c r="O1007" s="2" t="str">
        <f aca="false">IF(OR(F1007="",G1007=""),"",IF(G1007&lt;='RETRATO 2027'!$K$5,"CONCLUÍDA",IF(F1007&lt;='RETRATO 2027'!$K$5,"EM ANDAMENTO","A INICIAR")))</f>
        <v>EM ANDAMENTO</v>
      </c>
    </row>
    <row r="1008" customFormat="false" ht="15" hidden="false" customHeight="false" outlineLevel="0" collapsed="false">
      <c r="B1008" s="4" t="n">
        <v>30206119</v>
      </c>
      <c r="C1008" s="4" t="s">
        <v>168</v>
      </c>
      <c r="D1008" s="4" t="s">
        <v>463</v>
      </c>
      <c r="E1008" s="4" t="s">
        <v>2846</v>
      </c>
      <c r="F1008" s="127" t="n">
        <v>46743</v>
      </c>
      <c r="G1008" s="127" t="n">
        <v>46780</v>
      </c>
      <c r="H1008" s="127" t="n">
        <v>46289</v>
      </c>
      <c r="I1008" s="4" t="n">
        <v>0</v>
      </c>
      <c r="J1008" s="4" t="n">
        <v>0</v>
      </c>
      <c r="K1008" s="4" t="n">
        <v>0</v>
      </c>
      <c r="M1008" s="2" t="str">
        <f aca="false">IF(C1008="","",IFERROR(INDEX($S$5:$S$304,MATCH(C1008,$R$5:$R$304,0))&amp;"","?"))</f>
        <v>18</v>
      </c>
      <c r="N1008" s="2" t="n">
        <f aca="false">IF(E1008="","",IF(ISNUMBER(SEARCH("SUBSOLO",E1008)),IFERROR(-VALUE(LEFT(E1008,FIND("º",SUBSTITUTE(E1008,"°","º"))-1)),-1),IF(LEFT(E1008,6)="TÉRREO",0,IFERROR(VALUE(LEFT(E1008,FIND("º",SUBSTITUTE(E1008,"°","º"))-1)),""))))</f>
        <v>6</v>
      </c>
      <c r="O1008" s="2" t="str">
        <f aca="false">IF(OR(F1008="",G1008=""),"",IF(G1008&lt;='RETRATO 2027'!$K$5,"CONCLUÍDA",IF(F1008&lt;='RETRATO 2027'!$K$5,"EM ANDAMENTO","A INICIAR")))</f>
        <v>EM ANDAMENTO</v>
      </c>
    </row>
    <row r="1009" customFormat="false" ht="15" hidden="false" customHeight="false" outlineLevel="0" collapsed="false">
      <c r="B1009" s="4" t="n">
        <v>30206082</v>
      </c>
      <c r="C1009" s="4" t="s">
        <v>168</v>
      </c>
      <c r="D1009" s="4" t="s">
        <v>463</v>
      </c>
      <c r="E1009" s="4" t="s">
        <v>2847</v>
      </c>
      <c r="F1009" s="127" t="n">
        <v>46743</v>
      </c>
      <c r="G1009" s="127" t="n">
        <v>46780</v>
      </c>
      <c r="H1009" s="127" t="n">
        <v>46289</v>
      </c>
      <c r="I1009" s="4" t="n">
        <v>0</v>
      </c>
      <c r="J1009" s="4" t="n">
        <v>0</v>
      </c>
      <c r="K1009" s="4" t="n">
        <v>0</v>
      </c>
      <c r="M1009" s="2" t="str">
        <f aca="false">IF(C1009="","",IFERROR(INDEX($S$5:$S$304,MATCH(C1009,$R$5:$R$304,0))&amp;"","?"))</f>
        <v>18</v>
      </c>
      <c r="N1009" s="2" t="n">
        <f aca="false">IF(E1009="","",IF(ISNUMBER(SEARCH("SUBSOLO",E1009)),IFERROR(-VALUE(LEFT(E1009,FIND("º",SUBSTITUTE(E1009,"°","º"))-1)),-1),IF(LEFT(E1009,6)="TÉRREO",0,IFERROR(VALUE(LEFT(E1009,FIND("º",SUBSTITUTE(E1009,"°","º"))-1)),""))))</f>
        <v>6</v>
      </c>
      <c r="O1009" s="2" t="str">
        <f aca="false">IF(OR(F1009="",G1009=""),"",IF(G1009&lt;='RETRATO 2027'!$K$5,"CONCLUÍDA",IF(F1009&lt;='RETRATO 2027'!$K$5,"EM ANDAMENTO","A INICIAR")))</f>
        <v>EM ANDAMENTO</v>
      </c>
    </row>
    <row r="1010" customFormat="false" ht="15" hidden="false" customHeight="false" outlineLevel="0" collapsed="false">
      <c r="B1010" s="4" t="n">
        <v>30206045</v>
      </c>
      <c r="C1010" s="4" t="s">
        <v>168</v>
      </c>
      <c r="D1010" s="4" t="s">
        <v>463</v>
      </c>
      <c r="E1010" s="4" t="s">
        <v>2848</v>
      </c>
      <c r="F1010" s="127" t="n">
        <v>46743</v>
      </c>
      <c r="G1010" s="127" t="n">
        <v>46780</v>
      </c>
      <c r="H1010" s="127" t="n">
        <v>46289</v>
      </c>
      <c r="I1010" s="4" t="n">
        <v>0</v>
      </c>
      <c r="J1010" s="4" t="n">
        <v>0</v>
      </c>
      <c r="K1010" s="4" t="n">
        <v>0</v>
      </c>
      <c r="M1010" s="2" t="str">
        <f aca="false">IF(C1010="","",IFERROR(INDEX($S$5:$S$304,MATCH(C1010,$R$5:$R$304,0))&amp;"","?"))</f>
        <v>18</v>
      </c>
      <c r="N1010" s="2" t="n">
        <f aca="false">IF(E1010="","",IF(ISNUMBER(SEARCH("SUBSOLO",E1010)),IFERROR(-VALUE(LEFT(E1010,FIND("º",SUBSTITUTE(E1010,"°","º"))-1)),-1),IF(LEFT(E1010,6)="TÉRREO",0,IFERROR(VALUE(LEFT(E1010,FIND("º",SUBSTITUTE(E1010,"°","º"))-1)),""))))</f>
        <v>6</v>
      </c>
      <c r="O1010" s="2" t="str">
        <f aca="false">IF(OR(F1010="",G1010=""),"",IF(G1010&lt;='RETRATO 2027'!$K$5,"CONCLUÍDA",IF(F1010&lt;='RETRATO 2027'!$K$5,"EM ANDAMENTO","A INICIAR")))</f>
        <v>EM ANDAMENTO</v>
      </c>
    </row>
    <row r="1011" customFormat="false" ht="15" hidden="false" customHeight="false" outlineLevel="0" collapsed="false">
      <c r="B1011" s="4" t="n">
        <v>30206008</v>
      </c>
      <c r="C1011" s="4" t="s">
        <v>168</v>
      </c>
      <c r="D1011" s="4" t="s">
        <v>463</v>
      </c>
      <c r="E1011" s="4" t="s">
        <v>2849</v>
      </c>
      <c r="F1011" s="127" t="n">
        <v>46743</v>
      </c>
      <c r="G1011" s="127" t="n">
        <v>46780</v>
      </c>
      <c r="H1011" s="127" t="n">
        <v>46289</v>
      </c>
      <c r="I1011" s="4" t="n">
        <v>0</v>
      </c>
      <c r="J1011" s="4" t="n">
        <v>0</v>
      </c>
      <c r="K1011" s="4" t="n">
        <v>0</v>
      </c>
      <c r="M1011" s="2" t="str">
        <f aca="false">IF(C1011="","",IFERROR(INDEX($S$5:$S$304,MATCH(C1011,$R$5:$R$304,0))&amp;"","?"))</f>
        <v>18</v>
      </c>
      <c r="N1011" s="2" t="n">
        <f aca="false">IF(E1011="","",IF(ISNUMBER(SEARCH("SUBSOLO",E1011)),IFERROR(-VALUE(LEFT(E1011,FIND("º",SUBSTITUTE(E1011,"°","º"))-1)),-1),IF(LEFT(E1011,6)="TÉRREO",0,IFERROR(VALUE(LEFT(E1011,FIND("º",SUBSTITUTE(E1011,"°","º"))-1)),""))))</f>
        <v>6</v>
      </c>
      <c r="O1011" s="2" t="str">
        <f aca="false">IF(OR(F1011="",G1011=""),"",IF(G1011&lt;='RETRATO 2027'!$K$5,"CONCLUÍDA",IF(F1011&lt;='RETRATO 2027'!$K$5,"EM ANDAMENTO","A INICIAR")))</f>
        <v>EM ANDAMENTO</v>
      </c>
    </row>
    <row r="1012" customFormat="false" ht="15" hidden="false" customHeight="false" outlineLevel="0" collapsed="false">
      <c r="B1012" s="4" t="n">
        <v>30205971</v>
      </c>
      <c r="C1012" s="4" t="s">
        <v>168</v>
      </c>
      <c r="D1012" s="4" t="s">
        <v>463</v>
      </c>
      <c r="E1012" s="4" t="s">
        <v>2850</v>
      </c>
      <c r="F1012" s="127" t="n">
        <v>46743</v>
      </c>
      <c r="G1012" s="127" t="n">
        <v>46780</v>
      </c>
      <c r="H1012" s="127" t="n">
        <v>46289</v>
      </c>
      <c r="I1012" s="4" t="n">
        <v>0</v>
      </c>
      <c r="J1012" s="4" t="n">
        <v>0</v>
      </c>
      <c r="K1012" s="4" t="n">
        <v>0</v>
      </c>
      <c r="M1012" s="2" t="str">
        <f aca="false">IF(C1012="","",IFERROR(INDEX($S$5:$S$304,MATCH(C1012,$R$5:$R$304,0))&amp;"","?"))</f>
        <v>18</v>
      </c>
      <c r="N1012" s="2" t="n">
        <f aca="false">IF(E1012="","",IF(ISNUMBER(SEARCH("SUBSOLO",E1012)),IFERROR(-VALUE(LEFT(E1012,FIND("º",SUBSTITUTE(E1012,"°","º"))-1)),-1),IF(LEFT(E1012,6)="TÉRREO",0,IFERROR(VALUE(LEFT(E1012,FIND("º",SUBSTITUTE(E1012,"°","º"))-1)),""))))</f>
        <v>6</v>
      </c>
      <c r="O1012" s="2" t="str">
        <f aca="false">IF(OR(F1012="",G1012=""),"",IF(G1012&lt;='RETRATO 2027'!$K$5,"CONCLUÍDA",IF(F1012&lt;='RETRATO 2027'!$K$5,"EM ANDAMENTO","A INICIAR")))</f>
        <v>EM ANDAMENTO</v>
      </c>
    </row>
    <row r="1013" customFormat="false" ht="15" hidden="false" customHeight="false" outlineLevel="0" collapsed="false">
      <c r="B1013" s="4" t="n">
        <v>29981366</v>
      </c>
      <c r="C1013" s="4" t="s">
        <v>216</v>
      </c>
      <c r="D1013" s="4" t="s">
        <v>463</v>
      </c>
      <c r="E1013" s="4" t="s">
        <v>2811</v>
      </c>
      <c r="F1013" s="127" t="n">
        <v>46743</v>
      </c>
      <c r="G1013" s="127" t="n">
        <v>46763</v>
      </c>
      <c r="H1013" s="127" t="n">
        <v>46289</v>
      </c>
      <c r="I1013" s="4" t="n">
        <v>0</v>
      </c>
      <c r="J1013" s="4" t="n">
        <v>0</v>
      </c>
      <c r="K1013" s="4" t="n">
        <v>0</v>
      </c>
      <c r="M1013" s="2" t="str">
        <f aca="false">IF(C1013="","",IFERROR(INDEX($S$5:$S$304,MATCH(C1013,$R$5:$R$304,0))&amp;"","?"))</f>
        <v>33</v>
      </c>
      <c r="N1013" s="2" t="n">
        <f aca="false">IF(E1013="","",IF(ISNUMBER(SEARCH("SUBSOLO",E1013)),IFERROR(-VALUE(LEFT(E1013,FIND("º",SUBSTITUTE(E1013,"°","º"))-1)),-1),IF(LEFT(E1013,6)="TÉRREO",0,IFERROR(VALUE(LEFT(E1013,FIND("º",SUBSTITUTE(E1013,"°","º"))-1)),""))))</f>
        <v>12</v>
      </c>
      <c r="O1013" s="2" t="str">
        <f aca="false">IF(OR(F1013="",G1013=""),"",IF(G1013&lt;='RETRATO 2027'!$K$5,"CONCLUÍDA",IF(F1013&lt;='RETRATO 2027'!$K$5,"EM ANDAMENTO","A INICIAR")))</f>
        <v>EM ANDAMENTO</v>
      </c>
    </row>
    <row r="1014" customFormat="false" ht="15" hidden="false" customHeight="false" outlineLevel="0" collapsed="false">
      <c r="B1014" s="4" t="n">
        <v>29981327</v>
      </c>
      <c r="C1014" s="4" t="s">
        <v>2508</v>
      </c>
      <c r="D1014" s="4" t="s">
        <v>463</v>
      </c>
      <c r="E1014" s="4" t="s">
        <v>2812</v>
      </c>
      <c r="F1014" s="127" t="n">
        <v>46743</v>
      </c>
      <c r="G1014" s="127" t="n">
        <v>46763</v>
      </c>
      <c r="H1014" s="127" t="n">
        <v>46289</v>
      </c>
      <c r="I1014" s="4" t="n">
        <v>0</v>
      </c>
      <c r="J1014" s="4" t="n">
        <v>0</v>
      </c>
      <c r="K1014" s="4" t="n">
        <v>0</v>
      </c>
      <c r="M1014" s="2" t="str">
        <f aca="false">IF(C1014="","",IFERROR(INDEX($S$5:$S$304,MATCH(C1014,$R$5:$R$304,0))&amp;"","?"))</f>
        <v>20</v>
      </c>
      <c r="N1014" s="2" t="n">
        <f aca="false">IF(E1014="","",IF(ISNUMBER(SEARCH("SUBSOLO",E1014)),IFERROR(-VALUE(LEFT(E1014,FIND("º",SUBSTITUTE(E1014,"°","º"))-1)),-1),IF(LEFT(E1014,6)="TÉRREO",0,IFERROR(VALUE(LEFT(E1014,FIND("º",SUBSTITUTE(E1014,"°","º"))-1)),""))))</f>
        <v>13</v>
      </c>
      <c r="O1014" s="2" t="str">
        <f aca="false">IF(OR(F1014="",G1014=""),"",IF(G1014&lt;='RETRATO 2027'!$K$5,"CONCLUÍDA",IF(F1014&lt;='RETRATO 2027'!$K$5,"EM ANDAMENTO","A INICIAR")))</f>
        <v>EM ANDAMENTO</v>
      </c>
    </row>
    <row r="1015" customFormat="false" ht="15" hidden="false" customHeight="false" outlineLevel="0" collapsed="false">
      <c r="B1015" s="4" t="n">
        <v>29981332</v>
      </c>
      <c r="C1015" s="4" t="s">
        <v>2511</v>
      </c>
      <c r="D1015" s="4" t="s">
        <v>463</v>
      </c>
      <c r="E1015" s="4" t="s">
        <v>2812</v>
      </c>
      <c r="F1015" s="127" t="n">
        <v>46743</v>
      </c>
      <c r="G1015" s="127" t="n">
        <v>46763</v>
      </c>
      <c r="H1015" s="127" t="n">
        <v>46289</v>
      </c>
      <c r="I1015" s="4" t="n">
        <v>0</v>
      </c>
      <c r="J1015" s="4" t="n">
        <v>0</v>
      </c>
      <c r="K1015" s="4" t="n">
        <v>0</v>
      </c>
      <c r="M1015" s="2" t="str">
        <f aca="false">IF(C1015="","",IFERROR(INDEX($S$5:$S$304,MATCH(C1015,$R$5:$R$304,0))&amp;"","?"))</f>
        <v>20</v>
      </c>
      <c r="N1015" s="2" t="n">
        <f aca="false">IF(E1015="","",IF(ISNUMBER(SEARCH("SUBSOLO",E1015)),IFERROR(-VALUE(LEFT(E1015,FIND("º",SUBSTITUTE(E1015,"°","º"))-1)),-1),IF(LEFT(E1015,6)="TÉRREO",0,IFERROR(VALUE(LEFT(E1015,FIND("º",SUBSTITUTE(E1015,"°","º"))-1)),""))))</f>
        <v>13</v>
      </c>
      <c r="O1015" s="2" t="str">
        <f aca="false">IF(OR(F1015="",G1015=""),"",IF(G1015&lt;='RETRATO 2027'!$K$5,"CONCLUÍDA",IF(F1015&lt;='RETRATO 2027'!$K$5,"EM ANDAMENTO","A INICIAR")))</f>
        <v>EM ANDAMENTO</v>
      </c>
    </row>
    <row r="1016" customFormat="false" ht="15" hidden="false" customHeight="false" outlineLevel="0" collapsed="false">
      <c r="B1016" s="4" t="n">
        <v>30214075</v>
      </c>
      <c r="C1016" s="4" t="s">
        <v>2514</v>
      </c>
      <c r="D1016" s="4" t="s">
        <v>463</v>
      </c>
      <c r="E1016" s="4" t="s">
        <v>2812</v>
      </c>
      <c r="F1016" s="127" t="n">
        <v>46743</v>
      </c>
      <c r="G1016" s="127" t="n">
        <v>46764</v>
      </c>
      <c r="H1016" s="127" t="n">
        <v>46289</v>
      </c>
      <c r="I1016" s="4" t="n">
        <v>0</v>
      </c>
      <c r="J1016" s="4" t="n">
        <v>0</v>
      </c>
      <c r="K1016" s="4" t="n">
        <v>0</v>
      </c>
      <c r="M1016" s="2" t="str">
        <f aca="false">IF(C1016="","",IFERROR(INDEX($S$5:$S$304,MATCH(C1016,$R$5:$R$304,0))&amp;"","?"))</f>
        <v>20</v>
      </c>
      <c r="N1016" s="2" t="n">
        <f aca="false">IF(E1016="","",IF(ISNUMBER(SEARCH("SUBSOLO",E1016)),IFERROR(-VALUE(LEFT(E1016,FIND("º",SUBSTITUTE(E1016,"°","º"))-1)),-1),IF(LEFT(E1016,6)="TÉRREO",0,IFERROR(VALUE(LEFT(E1016,FIND("º",SUBSTITUTE(E1016,"°","º"))-1)),""))))</f>
        <v>13</v>
      </c>
      <c r="O1016" s="2" t="str">
        <f aca="false">IF(OR(F1016="",G1016=""),"",IF(G1016&lt;='RETRATO 2027'!$K$5,"CONCLUÍDA",IF(F1016&lt;='RETRATO 2027'!$K$5,"EM ANDAMENTO","A INICIAR")))</f>
        <v>EM ANDAMENTO</v>
      </c>
    </row>
    <row r="1017" customFormat="false" ht="15" hidden="false" customHeight="false" outlineLevel="0" collapsed="false">
      <c r="B1017" s="4" t="n">
        <v>29981274</v>
      </c>
      <c r="C1017" s="4" t="s">
        <v>2501</v>
      </c>
      <c r="D1017" s="4" t="s">
        <v>463</v>
      </c>
      <c r="E1017" s="4" t="s">
        <v>2813</v>
      </c>
      <c r="F1017" s="127" t="n">
        <v>46743</v>
      </c>
      <c r="G1017" s="127" t="n">
        <v>46763</v>
      </c>
      <c r="H1017" s="127" t="n">
        <v>46289</v>
      </c>
      <c r="I1017" s="4" t="n">
        <v>0</v>
      </c>
      <c r="J1017" s="4" t="n">
        <v>0</v>
      </c>
      <c r="K1017" s="4" t="n">
        <v>0</v>
      </c>
      <c r="M1017" s="2" t="str">
        <f aca="false">IF(C1017="","",IFERROR(INDEX($S$5:$S$304,MATCH(C1017,$R$5:$R$304,0))&amp;"","?"))</f>
        <v>30</v>
      </c>
      <c r="N1017" s="2" t="n">
        <f aca="false">IF(E1017="","",IF(ISNUMBER(SEARCH("SUBSOLO",E1017)),IFERROR(-VALUE(LEFT(E1017,FIND("º",SUBSTITUTE(E1017,"°","º"))-1)),-1),IF(LEFT(E1017,6)="TÉRREO",0,IFERROR(VALUE(LEFT(E1017,FIND("º",SUBSTITUTE(E1017,"°","º"))-1)),""))))</f>
        <v>14</v>
      </c>
      <c r="O1017" s="2" t="str">
        <f aca="false">IF(OR(F1017="",G1017=""),"",IF(G1017&lt;='RETRATO 2027'!$K$5,"CONCLUÍDA",IF(F1017&lt;='RETRATO 2027'!$K$5,"EM ANDAMENTO","A INICIAR")))</f>
        <v>EM ANDAMENTO</v>
      </c>
    </row>
    <row r="1018" customFormat="false" ht="15" hidden="false" customHeight="false" outlineLevel="0" collapsed="false">
      <c r="B1018" s="4" t="n">
        <v>29981236</v>
      </c>
      <c r="C1018" s="4" t="s">
        <v>2486</v>
      </c>
      <c r="D1018" s="4" t="s">
        <v>463</v>
      </c>
      <c r="E1018" s="4" t="s">
        <v>2814</v>
      </c>
      <c r="F1018" s="127" t="n">
        <v>46743</v>
      </c>
      <c r="G1018" s="127" t="n">
        <v>46763</v>
      </c>
      <c r="H1018" s="127" t="n">
        <v>46289</v>
      </c>
      <c r="I1018" s="4" t="n">
        <v>0</v>
      </c>
      <c r="J1018" s="4" t="n">
        <v>0</v>
      </c>
      <c r="K1018" s="4" t="n">
        <v>0</v>
      </c>
      <c r="M1018" s="2" t="str">
        <f aca="false">IF(C1018="","",IFERROR(INDEX($S$5:$S$304,MATCH(C1018,$R$5:$R$304,0))&amp;"","?"))</f>
        <v>30</v>
      </c>
      <c r="N1018" s="2" t="n">
        <f aca="false">IF(E1018="","",IF(ISNUMBER(SEARCH("SUBSOLO",E1018)),IFERROR(-VALUE(LEFT(E1018,FIND("º",SUBSTITUTE(E1018,"°","º"))-1)),-1),IF(LEFT(E1018,6)="TÉRREO",0,IFERROR(VALUE(LEFT(E1018,FIND("º",SUBSTITUTE(E1018,"°","º"))-1)),""))))</f>
        <v>15</v>
      </c>
      <c r="O1018" s="2" t="str">
        <f aca="false">IF(OR(F1018="",G1018=""),"",IF(G1018&lt;='RETRATO 2027'!$K$5,"CONCLUÍDA",IF(F1018&lt;='RETRATO 2027'!$K$5,"EM ANDAMENTO","A INICIAR")))</f>
        <v>EM ANDAMENTO</v>
      </c>
    </row>
    <row r="1019" customFormat="false" ht="15" hidden="false" customHeight="false" outlineLevel="0" collapsed="false">
      <c r="B1019" s="4" t="n">
        <v>29981215</v>
      </c>
      <c r="C1019" s="4" t="s">
        <v>2480</v>
      </c>
      <c r="D1019" s="4" t="s">
        <v>463</v>
      </c>
      <c r="E1019" s="4" t="s">
        <v>2815</v>
      </c>
      <c r="F1019" s="127" t="n">
        <v>46743</v>
      </c>
      <c r="G1019" s="127" t="n">
        <v>46763</v>
      </c>
      <c r="H1019" s="127" t="n">
        <v>46289</v>
      </c>
      <c r="I1019" s="4" t="n">
        <v>0</v>
      </c>
      <c r="J1019" s="4" t="n">
        <v>0</v>
      </c>
      <c r="K1019" s="4" t="n">
        <v>0</v>
      </c>
      <c r="M1019" s="2" t="str">
        <f aca="false">IF(C1019="","",IFERROR(INDEX($S$5:$S$304,MATCH(C1019,$R$5:$R$304,0))&amp;"","?"))</f>
        <v>30</v>
      </c>
      <c r="N1019" s="2" t="n">
        <f aca="false">IF(E1019="","",IF(ISNUMBER(SEARCH("SUBSOLO",E1019)),IFERROR(-VALUE(LEFT(E1019,FIND("º",SUBSTITUTE(E1019,"°","º"))-1)),-1),IF(LEFT(E1019,6)="TÉRREO",0,IFERROR(VALUE(LEFT(E1019,FIND("º",SUBSTITUTE(E1019,"°","º"))-1)),""))))</f>
        <v>16</v>
      </c>
      <c r="O1019" s="2" t="str">
        <f aca="false">IF(OR(F1019="",G1019=""),"",IF(G1019&lt;='RETRATO 2027'!$K$5,"CONCLUÍDA",IF(F1019&lt;='RETRATO 2027'!$K$5,"EM ANDAMENTO","A INICIAR")))</f>
        <v>EM ANDAMENTO</v>
      </c>
    </row>
    <row r="1020" customFormat="false" ht="15" hidden="false" customHeight="false" outlineLevel="0" collapsed="false">
      <c r="B1020" s="4" t="n">
        <v>29981176</v>
      </c>
      <c r="C1020" s="4" t="s">
        <v>171</v>
      </c>
      <c r="D1020" s="4" t="s">
        <v>463</v>
      </c>
      <c r="E1020" s="4" t="s">
        <v>2818</v>
      </c>
      <c r="F1020" s="127" t="n">
        <v>46743</v>
      </c>
      <c r="G1020" s="127" t="n">
        <v>46763</v>
      </c>
      <c r="H1020" s="127" t="n">
        <v>46289</v>
      </c>
      <c r="I1020" s="4" t="n">
        <v>0</v>
      </c>
      <c r="J1020" s="4" t="n">
        <v>0</v>
      </c>
      <c r="K1020" s="4" t="n">
        <v>0</v>
      </c>
      <c r="M1020" s="2" t="str">
        <f aca="false">IF(C1020="","",IFERROR(INDEX($S$5:$S$304,MATCH(C1020,$R$5:$R$304,0))&amp;"","?"))</f>
        <v>19</v>
      </c>
      <c r="N1020" s="2" t="n">
        <f aca="false">IF(E1020="","",IF(ISNUMBER(SEARCH("SUBSOLO",E1020)),IFERROR(-VALUE(LEFT(E1020,FIND("º",SUBSTITUTE(E1020,"°","º"))-1)),-1),IF(LEFT(E1020,6)="TÉRREO",0,IFERROR(VALUE(LEFT(E1020,FIND("º",SUBSTITUTE(E1020,"°","º"))-1)),""))))</f>
        <v>17</v>
      </c>
      <c r="O1020" s="2" t="str">
        <f aca="false">IF(OR(F1020="",G1020=""),"",IF(G1020&lt;='RETRATO 2027'!$K$5,"CONCLUÍDA",IF(F1020&lt;='RETRATO 2027'!$K$5,"EM ANDAMENTO","A INICIAR")))</f>
        <v>EM ANDAMENTO</v>
      </c>
    </row>
    <row r="1021" customFormat="false" ht="15" hidden="false" customHeight="false" outlineLevel="0" collapsed="false">
      <c r="B1021" s="4" t="n">
        <v>32750444</v>
      </c>
      <c r="C1021" s="4" t="s">
        <v>2470</v>
      </c>
      <c r="D1021" s="4" t="s">
        <v>463</v>
      </c>
      <c r="E1021" s="4" t="s">
        <v>2820</v>
      </c>
      <c r="F1021" s="127" t="n">
        <v>46743</v>
      </c>
      <c r="G1021" s="127" t="n">
        <v>46763</v>
      </c>
      <c r="H1021" s="127" t="n">
        <v>46289</v>
      </c>
      <c r="I1021" s="4" t="n">
        <v>0</v>
      </c>
      <c r="J1021" s="4" t="n">
        <v>0</v>
      </c>
      <c r="K1021" s="4" t="n">
        <v>0</v>
      </c>
      <c r="M1021" s="2" t="str">
        <f aca="false">IF(C1021="","",IFERROR(INDEX($S$5:$S$304,MATCH(C1021,$R$5:$R$304,0))&amp;"","?"))</f>
        <v>18</v>
      </c>
      <c r="N1021" s="2" t="n">
        <f aca="false">IF(E1021="","",IF(ISNUMBER(SEARCH("SUBSOLO",E1021)),IFERROR(-VALUE(LEFT(E1021,FIND("º",SUBSTITUTE(E1021,"°","º"))-1)),-1),IF(LEFT(E1021,6)="TÉRREO",0,IFERROR(VALUE(LEFT(E1021,FIND("º",SUBSTITUTE(E1021,"°","º"))-1)),""))))</f>
        <v>18</v>
      </c>
      <c r="O1021" s="2" t="str">
        <f aca="false">IF(OR(F1021="",G1021=""),"",IF(G1021&lt;='RETRATO 2027'!$K$5,"CONCLUÍDA",IF(F1021&lt;='RETRATO 2027'!$K$5,"EM ANDAMENTO","A INICIAR")))</f>
        <v>EM ANDAMENTO</v>
      </c>
    </row>
    <row r="1022" customFormat="false" ht="15" hidden="false" customHeight="false" outlineLevel="0" collapsed="false">
      <c r="B1022" s="4" t="n">
        <v>32750368</v>
      </c>
      <c r="C1022" s="4" t="s">
        <v>2458</v>
      </c>
      <c r="D1022" s="4" t="s">
        <v>463</v>
      </c>
      <c r="E1022" s="4" t="s">
        <v>2823</v>
      </c>
      <c r="F1022" s="127" t="n">
        <v>46743</v>
      </c>
      <c r="G1022" s="127" t="n">
        <v>46763</v>
      </c>
      <c r="H1022" s="127" t="n">
        <v>46289</v>
      </c>
      <c r="I1022" s="4" t="n">
        <v>0</v>
      </c>
      <c r="J1022" s="4" t="n">
        <v>0</v>
      </c>
      <c r="K1022" s="4" t="n">
        <v>0</v>
      </c>
      <c r="M1022" s="2" t="str">
        <f aca="false">IF(C1022="","",IFERROR(INDEX($S$5:$S$304,MATCH(C1022,$R$5:$R$304,0))&amp;"","?"))</f>
        <v>21</v>
      </c>
      <c r="N1022" s="2" t="n">
        <f aca="false">IF(E1022="","",IF(ISNUMBER(SEARCH("SUBSOLO",E1022)),IFERROR(-VALUE(LEFT(E1022,FIND("º",SUBSTITUTE(E1022,"°","º"))-1)),-1),IF(LEFT(E1022,6)="TÉRREO",0,IFERROR(VALUE(LEFT(E1022,FIND("º",SUBSTITUTE(E1022,"°","º"))-1)),""))))</f>
        <v>20</v>
      </c>
      <c r="O1022" s="2" t="str">
        <f aca="false">IF(OR(F1022="",G1022=""),"",IF(G1022&lt;='RETRATO 2027'!$K$5,"CONCLUÍDA",IF(F1022&lt;='RETRATO 2027'!$K$5,"EM ANDAMENTO","A INICIAR")))</f>
        <v>EM ANDAMENTO</v>
      </c>
    </row>
    <row r="1023" customFormat="false" ht="15" hidden="false" customHeight="false" outlineLevel="0" collapsed="false">
      <c r="B1023" s="4" t="n">
        <v>32750394</v>
      </c>
      <c r="C1023" s="4" t="s">
        <v>2461</v>
      </c>
      <c r="D1023" s="4" t="s">
        <v>463</v>
      </c>
      <c r="E1023" s="4" t="s">
        <v>2823</v>
      </c>
      <c r="F1023" s="127" t="n">
        <v>46743</v>
      </c>
      <c r="G1023" s="127" t="n">
        <v>46763</v>
      </c>
      <c r="H1023" s="127" t="n">
        <v>46289</v>
      </c>
      <c r="I1023" s="4" t="n">
        <v>0</v>
      </c>
      <c r="J1023" s="4" t="n">
        <v>0</v>
      </c>
      <c r="K1023" s="4" t="n">
        <v>0</v>
      </c>
      <c r="M1023" s="2" t="str">
        <f aca="false">IF(C1023="","",IFERROR(INDEX($S$5:$S$304,MATCH(C1023,$R$5:$R$304,0))&amp;"","?"))</f>
        <v>20</v>
      </c>
      <c r="N1023" s="2" t="n">
        <f aca="false">IF(E1023="","",IF(ISNUMBER(SEARCH("SUBSOLO",E1023)),IFERROR(-VALUE(LEFT(E1023,FIND("º",SUBSTITUTE(E1023,"°","º"))-1)),-1),IF(LEFT(E1023,6)="TÉRREO",0,IFERROR(VALUE(LEFT(E1023,FIND("º",SUBSTITUTE(E1023,"°","º"))-1)),""))))</f>
        <v>20</v>
      </c>
      <c r="O1023" s="2" t="str">
        <f aca="false">IF(OR(F1023="",G1023=""),"",IF(G1023&lt;='RETRATO 2027'!$K$5,"CONCLUÍDA",IF(F1023&lt;='RETRATO 2027'!$K$5,"EM ANDAMENTO","A INICIAR")))</f>
        <v>EM ANDAMENTO</v>
      </c>
    </row>
    <row r="1024" customFormat="false" ht="15" hidden="false" customHeight="false" outlineLevel="0" collapsed="false">
      <c r="B1024" s="4" t="n">
        <v>32750420</v>
      </c>
      <c r="C1024" s="4" t="s">
        <v>2464</v>
      </c>
      <c r="D1024" s="4" t="s">
        <v>463</v>
      </c>
      <c r="E1024" s="4" t="s">
        <v>2823</v>
      </c>
      <c r="F1024" s="127" t="n">
        <v>46743</v>
      </c>
      <c r="G1024" s="127" t="n">
        <v>46763</v>
      </c>
      <c r="H1024" s="127" t="n">
        <v>46289</v>
      </c>
      <c r="I1024" s="4" t="n">
        <v>0</v>
      </c>
      <c r="J1024" s="4" t="n">
        <v>0</v>
      </c>
      <c r="K1024" s="4" t="n">
        <v>0</v>
      </c>
      <c r="M1024" s="2" t="str">
        <f aca="false">IF(C1024="","",IFERROR(INDEX($S$5:$S$304,MATCH(C1024,$R$5:$R$304,0))&amp;"","?"))</f>
        <v>21</v>
      </c>
      <c r="N1024" s="2" t="n">
        <f aca="false">IF(E1024="","",IF(ISNUMBER(SEARCH("SUBSOLO",E1024)),IFERROR(-VALUE(LEFT(E1024,FIND("º",SUBSTITUTE(E1024,"°","º"))-1)),-1),IF(LEFT(E1024,6)="TÉRREO",0,IFERROR(VALUE(LEFT(E1024,FIND("º",SUBSTITUTE(E1024,"°","º"))-1)),""))))</f>
        <v>20</v>
      </c>
      <c r="O1024" s="2" t="str">
        <f aca="false">IF(OR(F1024="",G1024=""),"",IF(G1024&lt;='RETRATO 2027'!$K$5,"CONCLUÍDA",IF(F1024&lt;='RETRATO 2027'!$K$5,"EM ANDAMENTO","A INICIAR")))</f>
        <v>EM ANDAMENTO</v>
      </c>
    </row>
    <row r="1025" customFormat="false" ht="15" hidden="false" customHeight="false" outlineLevel="0" collapsed="false">
      <c r="B1025" s="4" t="n">
        <v>33896838</v>
      </c>
      <c r="C1025" s="4" t="s">
        <v>2467</v>
      </c>
      <c r="D1025" s="4" t="s">
        <v>463</v>
      </c>
      <c r="E1025" s="4" t="s">
        <v>2823</v>
      </c>
      <c r="F1025" s="127" t="n">
        <v>46743</v>
      </c>
      <c r="G1025" s="127" t="n">
        <v>46763</v>
      </c>
      <c r="H1025" s="127" t="n">
        <v>46289</v>
      </c>
      <c r="I1025" s="4" t="n">
        <v>0</v>
      </c>
      <c r="J1025" s="4" t="n">
        <v>0</v>
      </c>
      <c r="K1025" s="4" t="n">
        <v>0</v>
      </c>
      <c r="M1025" s="2" t="str">
        <f aca="false">IF(C1025="","",IFERROR(INDEX($S$5:$S$304,MATCH(C1025,$R$5:$R$304,0))&amp;"","?"))</f>
        <v>23</v>
      </c>
      <c r="N1025" s="2" t="n">
        <f aca="false">IF(E1025="","",IF(ISNUMBER(SEARCH("SUBSOLO",E1025)),IFERROR(-VALUE(LEFT(E1025,FIND("º",SUBSTITUTE(E1025,"°","º"))-1)),-1),IF(LEFT(E1025,6)="TÉRREO",0,IFERROR(VALUE(LEFT(E1025,FIND("º",SUBSTITUTE(E1025,"°","º"))-1)),""))))</f>
        <v>20</v>
      </c>
      <c r="O1025" s="2" t="str">
        <f aca="false">IF(OR(F1025="",G1025=""),"",IF(G1025&lt;='RETRATO 2027'!$K$5,"CONCLUÍDA",IF(F1025&lt;='RETRATO 2027'!$K$5,"EM ANDAMENTO","A INICIAR")))</f>
        <v>EM ANDAMENTO</v>
      </c>
    </row>
    <row r="1026" customFormat="false" ht="15" hidden="false" customHeight="false" outlineLevel="0" collapsed="false">
      <c r="B1026" s="4" t="n">
        <v>32749864</v>
      </c>
      <c r="C1026" s="4" t="s">
        <v>2455</v>
      </c>
      <c r="D1026" s="4" t="s">
        <v>463</v>
      </c>
      <c r="E1026" s="4" t="s">
        <v>2825</v>
      </c>
      <c r="F1026" s="127" t="n">
        <v>46743</v>
      </c>
      <c r="G1026" s="127" t="n">
        <v>46763</v>
      </c>
      <c r="H1026" s="127" t="n">
        <v>46289</v>
      </c>
      <c r="I1026" s="4" t="n">
        <v>0</v>
      </c>
      <c r="J1026" s="4" t="n">
        <v>0</v>
      </c>
      <c r="K1026" s="4" t="n">
        <v>0</v>
      </c>
      <c r="M1026" s="2" t="str">
        <f aca="false">IF(C1026="","",IFERROR(INDEX($S$5:$S$304,MATCH(C1026,$R$5:$R$304,0))&amp;"","?"))</f>
        <v>18</v>
      </c>
      <c r="N1026" s="2" t="n">
        <f aca="false">IF(E1026="","",IF(ISNUMBER(SEARCH("SUBSOLO",E1026)),IFERROR(-VALUE(LEFT(E1026,FIND("º",SUBSTITUTE(E1026,"°","º"))-1)),-1),IF(LEFT(E1026,6)="TÉRREO",0,IFERROR(VALUE(LEFT(E1026,FIND("º",SUBSTITUTE(E1026,"°","º"))-1)),""))))</f>
        <v>21</v>
      </c>
      <c r="O1026" s="2" t="str">
        <f aca="false">IF(OR(F1026="",G1026=""),"",IF(G1026&lt;='RETRATO 2027'!$K$5,"CONCLUÍDA",IF(F1026&lt;='RETRATO 2027'!$K$5,"EM ANDAMENTO","A INICIAR")))</f>
        <v>EM ANDAMENTO</v>
      </c>
    </row>
    <row r="1027" customFormat="false" ht="15" hidden="false" customHeight="false" outlineLevel="0" collapsed="false">
      <c r="B1027" s="4" t="n">
        <v>29980992</v>
      </c>
      <c r="C1027" s="4" t="s">
        <v>2449</v>
      </c>
      <c r="D1027" s="4" t="s">
        <v>463</v>
      </c>
      <c r="E1027" s="4" t="s">
        <v>2827</v>
      </c>
      <c r="F1027" s="127" t="n">
        <v>46743</v>
      </c>
      <c r="G1027" s="127" t="n">
        <v>46763</v>
      </c>
      <c r="H1027" s="127" t="n">
        <v>46289</v>
      </c>
      <c r="I1027" s="4" t="n">
        <v>0</v>
      </c>
      <c r="J1027" s="4" t="n">
        <v>0</v>
      </c>
      <c r="K1027" s="4" t="n">
        <v>0</v>
      </c>
      <c r="M1027" s="2" t="str">
        <f aca="false">IF(C1027="","",IFERROR(INDEX($S$5:$S$304,MATCH(C1027,$R$5:$R$304,0))&amp;"","?"))</f>
        <v>28</v>
      </c>
      <c r="N1027" s="2" t="n">
        <f aca="false">IF(E1027="","",IF(ISNUMBER(SEARCH("SUBSOLO",E1027)),IFERROR(-VALUE(LEFT(E1027,FIND("º",SUBSTITUTE(E1027,"°","º"))-1)),-1),IF(LEFT(E1027,6)="TÉRREO",0,IFERROR(VALUE(LEFT(E1027,FIND("º",SUBSTITUTE(E1027,"°","º"))-1)),""))))</f>
        <v>22</v>
      </c>
      <c r="O1027" s="2" t="str">
        <f aca="false">IF(OR(F1027="",G1027=""),"",IF(G1027&lt;='RETRATO 2027'!$K$5,"CONCLUÍDA",IF(F1027&lt;='RETRATO 2027'!$K$5,"EM ANDAMENTO","A INICIAR")))</f>
        <v>EM ANDAMENTO</v>
      </c>
    </row>
    <row r="1028" customFormat="false" ht="15" hidden="false" customHeight="false" outlineLevel="0" collapsed="false">
      <c r="B1028" s="4" t="n">
        <v>29980932</v>
      </c>
      <c r="C1028" s="4" t="s">
        <v>2440</v>
      </c>
      <c r="D1028" s="4" t="s">
        <v>463</v>
      </c>
      <c r="E1028" s="4" t="s">
        <v>2829</v>
      </c>
      <c r="F1028" s="127" t="n">
        <v>46743</v>
      </c>
      <c r="G1028" s="127" t="n">
        <v>46763</v>
      </c>
      <c r="H1028" s="127" t="n">
        <v>46289</v>
      </c>
      <c r="I1028" s="4" t="n">
        <v>0</v>
      </c>
      <c r="J1028" s="4" t="n">
        <v>0</v>
      </c>
      <c r="K1028" s="4" t="n">
        <v>0</v>
      </c>
      <c r="M1028" s="2" t="str">
        <f aca="false">IF(C1028="","",IFERROR(INDEX($S$5:$S$304,MATCH(C1028,$R$5:$R$304,0))&amp;"","?"))</f>
        <v>21</v>
      </c>
      <c r="N1028" s="2" t="n">
        <f aca="false">IF(E1028="","",IF(ISNUMBER(SEARCH("SUBSOLO",E1028)),IFERROR(-VALUE(LEFT(E1028,FIND("º",SUBSTITUTE(E1028,"°","º"))-1)),-1),IF(LEFT(E1028,6)="TÉRREO",0,IFERROR(VALUE(LEFT(E1028,FIND("º",SUBSTITUTE(E1028,"°","º"))-1)),""))))</f>
        <v>23</v>
      </c>
      <c r="O1028" s="2" t="str">
        <f aca="false">IF(OR(F1028="",G1028=""),"",IF(G1028&lt;='RETRATO 2027'!$K$5,"CONCLUÍDA",IF(F1028&lt;='RETRATO 2027'!$K$5,"EM ANDAMENTO","A INICIAR")))</f>
        <v>EM ANDAMENTO</v>
      </c>
    </row>
    <row r="1029" customFormat="false" ht="15" hidden="false" customHeight="false" outlineLevel="0" collapsed="false">
      <c r="B1029" s="4" t="n">
        <v>29980965</v>
      </c>
      <c r="C1029" s="4" t="s">
        <v>2443</v>
      </c>
      <c r="D1029" s="4" t="s">
        <v>463</v>
      </c>
      <c r="E1029" s="4" t="s">
        <v>2829</v>
      </c>
      <c r="F1029" s="127" t="n">
        <v>46743</v>
      </c>
      <c r="G1029" s="127" t="n">
        <v>46763</v>
      </c>
      <c r="H1029" s="127" t="n">
        <v>46289</v>
      </c>
      <c r="I1029" s="4" t="n">
        <v>0</v>
      </c>
      <c r="J1029" s="4" t="n">
        <v>0</v>
      </c>
      <c r="K1029" s="4" t="n">
        <v>0</v>
      </c>
      <c r="M1029" s="2" t="str">
        <f aca="false">IF(C1029="","",IFERROR(INDEX($S$5:$S$304,MATCH(C1029,$R$5:$R$304,0))&amp;"","?"))</f>
        <v>20</v>
      </c>
      <c r="N1029" s="2" t="n">
        <f aca="false">IF(E1029="","",IF(ISNUMBER(SEARCH("SUBSOLO",E1029)),IFERROR(-VALUE(LEFT(E1029,FIND("º",SUBSTITUTE(E1029,"°","º"))-1)),-1),IF(LEFT(E1029,6)="TÉRREO",0,IFERROR(VALUE(LEFT(E1029,FIND("º",SUBSTITUTE(E1029,"°","º"))-1)),""))))</f>
        <v>23</v>
      </c>
      <c r="O1029" s="2" t="str">
        <f aca="false">IF(OR(F1029="",G1029=""),"",IF(G1029&lt;='RETRATO 2027'!$K$5,"CONCLUÍDA",IF(F1029&lt;='RETRATO 2027'!$K$5,"EM ANDAMENTO","A INICIAR")))</f>
        <v>EM ANDAMENTO</v>
      </c>
    </row>
    <row r="1030" customFormat="false" ht="15" hidden="false" customHeight="false" outlineLevel="0" collapsed="false">
      <c r="B1030" s="4" t="n">
        <v>29980894</v>
      </c>
      <c r="C1030" s="4" t="s">
        <v>2437</v>
      </c>
      <c r="D1030" s="4" t="s">
        <v>463</v>
      </c>
      <c r="E1030" s="4" t="s">
        <v>2831</v>
      </c>
      <c r="F1030" s="127" t="n">
        <v>46743</v>
      </c>
      <c r="G1030" s="127" t="n">
        <v>46763</v>
      </c>
      <c r="H1030" s="127" t="n">
        <v>46289</v>
      </c>
      <c r="I1030" s="4" t="n">
        <v>0</v>
      </c>
      <c r="J1030" s="4" t="n">
        <v>0</v>
      </c>
      <c r="K1030" s="4" t="n">
        <v>0</v>
      </c>
      <c r="M1030" s="2" t="str">
        <f aca="false">IF(C1030="","",IFERROR(INDEX($S$5:$S$304,MATCH(C1030,$R$5:$R$304,0))&amp;"","?"))</f>
        <v>29</v>
      </c>
      <c r="N1030" s="2" t="n">
        <f aca="false">IF(E1030="","",IF(ISNUMBER(SEARCH("SUBSOLO",E1030)),IFERROR(-VALUE(LEFT(E1030,FIND("º",SUBSTITUTE(E1030,"°","º"))-1)),-1),IF(LEFT(E1030,6)="TÉRREO",0,IFERROR(VALUE(LEFT(E1030,FIND("º",SUBSTITUTE(E1030,"°","º"))-1)),""))))</f>
        <v>24</v>
      </c>
      <c r="O1030" s="2" t="str">
        <f aca="false">IF(OR(F1030="",G1030=""),"",IF(G1030&lt;='RETRATO 2027'!$K$5,"CONCLUÍDA",IF(F1030&lt;='RETRATO 2027'!$K$5,"EM ANDAMENTO","A INICIAR")))</f>
        <v>EM ANDAMENTO</v>
      </c>
    </row>
    <row r="1031" customFormat="false" ht="15" hidden="false" customHeight="false" outlineLevel="0" collapsed="false">
      <c r="B1031" s="4" t="n">
        <v>29980860</v>
      </c>
      <c r="C1031" s="4" t="s">
        <v>2434</v>
      </c>
      <c r="D1031" s="4" t="s">
        <v>463</v>
      </c>
      <c r="E1031" s="4" t="s">
        <v>2833</v>
      </c>
      <c r="F1031" s="127" t="n">
        <v>46743</v>
      </c>
      <c r="G1031" s="127" t="n">
        <v>46763</v>
      </c>
      <c r="H1031" s="127" t="n">
        <v>46289</v>
      </c>
      <c r="I1031" s="4" t="n">
        <v>0</v>
      </c>
      <c r="J1031" s="4" t="n">
        <v>0</v>
      </c>
      <c r="K1031" s="4" t="n">
        <v>0</v>
      </c>
      <c r="M1031" s="2" t="str">
        <f aca="false">IF(C1031="","",IFERROR(INDEX($S$5:$S$304,MATCH(C1031,$R$5:$R$304,0))&amp;"","?"))</f>
        <v>25</v>
      </c>
      <c r="N1031" s="2" t="n">
        <f aca="false">IF(E1031="","",IF(ISNUMBER(SEARCH("SUBSOLO",E1031)),IFERROR(-VALUE(LEFT(E1031,FIND("º",SUBSTITUTE(E1031,"°","º"))-1)),-1),IF(LEFT(E1031,6)="TÉRREO",0,IFERROR(VALUE(LEFT(E1031,FIND("º",SUBSTITUTE(E1031,"°","º"))-1)),""))))</f>
        <v>25</v>
      </c>
      <c r="O1031" s="2" t="str">
        <f aca="false">IF(OR(F1031="",G1031=""),"",IF(G1031&lt;='RETRATO 2027'!$K$5,"CONCLUÍDA",IF(F1031&lt;='RETRATO 2027'!$K$5,"EM ANDAMENTO","A INICIAR")))</f>
        <v>EM ANDAMENTO</v>
      </c>
    </row>
    <row r="1032" customFormat="false" ht="15" hidden="false" customHeight="false" outlineLevel="0" collapsed="false">
      <c r="B1032" s="4" t="n">
        <v>29980853</v>
      </c>
      <c r="C1032" s="4" t="s">
        <v>2425</v>
      </c>
      <c r="D1032" s="4" t="s">
        <v>463</v>
      </c>
      <c r="E1032" s="4" t="s">
        <v>2834</v>
      </c>
      <c r="F1032" s="127" t="n">
        <v>46743</v>
      </c>
      <c r="G1032" s="127" t="n">
        <v>46763</v>
      </c>
      <c r="H1032" s="127" t="n">
        <v>46289</v>
      </c>
      <c r="I1032" s="4" t="n">
        <v>0</v>
      </c>
      <c r="J1032" s="4" t="n">
        <v>0</v>
      </c>
      <c r="K1032" s="4" t="n">
        <v>0</v>
      </c>
      <c r="M1032" s="2" t="str">
        <f aca="false">IF(C1032="","",IFERROR(INDEX($S$5:$S$304,MATCH(C1032,$R$5:$R$304,0))&amp;"","?"))</f>
        <v>21</v>
      </c>
      <c r="N1032" s="2" t="n">
        <f aca="false">IF(E1032="","",IF(ISNUMBER(SEARCH("SUBSOLO",E1032)),IFERROR(-VALUE(LEFT(E1032,FIND("º",SUBSTITUTE(E1032,"°","º"))-1)),-1),IF(LEFT(E1032,6)="TÉRREO",0,IFERROR(VALUE(LEFT(E1032,FIND("º",SUBSTITUTE(E1032,"°","º"))-1)),""))))</f>
        <v>26</v>
      </c>
      <c r="O1032" s="2" t="str">
        <f aca="false">IF(OR(F1032="",G1032=""),"",IF(G1032&lt;='RETRATO 2027'!$K$5,"CONCLUÍDA",IF(F1032&lt;='RETRATO 2027'!$K$5,"EM ANDAMENTO","A INICIAR")))</f>
        <v>EM ANDAMENTO</v>
      </c>
    </row>
    <row r="1033" customFormat="false" ht="15" hidden="false" customHeight="false" outlineLevel="0" collapsed="false">
      <c r="B1033" s="4" t="n">
        <v>29980822</v>
      </c>
      <c r="C1033" s="4" t="s">
        <v>2428</v>
      </c>
      <c r="D1033" s="4" t="s">
        <v>463</v>
      </c>
      <c r="E1033" s="4" t="s">
        <v>2834</v>
      </c>
      <c r="F1033" s="127" t="n">
        <v>46743</v>
      </c>
      <c r="G1033" s="127" t="n">
        <v>46763</v>
      </c>
      <c r="H1033" s="127" t="n">
        <v>46289</v>
      </c>
      <c r="I1033" s="4" t="n">
        <v>0</v>
      </c>
      <c r="J1033" s="4" t="n">
        <v>0</v>
      </c>
      <c r="K1033" s="4" t="n">
        <v>0</v>
      </c>
      <c r="M1033" s="2" t="str">
        <f aca="false">IF(C1033="","",IFERROR(INDEX($S$5:$S$304,MATCH(C1033,$R$5:$R$304,0))&amp;"","?"))</f>
        <v>20</v>
      </c>
      <c r="N1033" s="2" t="n">
        <f aca="false">IF(E1033="","",IF(ISNUMBER(SEARCH("SUBSOLO",E1033)),IFERROR(-VALUE(LEFT(E1033,FIND("º",SUBSTITUTE(E1033,"°","º"))-1)),-1),IF(LEFT(E1033,6)="TÉRREO",0,IFERROR(VALUE(LEFT(E1033,FIND("º",SUBSTITUTE(E1033,"°","º"))-1)),""))))</f>
        <v>26</v>
      </c>
      <c r="O1033" s="2" t="str">
        <f aca="false">IF(OR(F1033="",G1033=""),"",IF(G1033&lt;='RETRATO 2027'!$K$5,"CONCLUÍDA",IF(F1033&lt;='RETRATO 2027'!$K$5,"EM ANDAMENTO","A INICIAR")))</f>
        <v>EM ANDAMENTO</v>
      </c>
    </row>
    <row r="1034" customFormat="false" ht="15" hidden="false" customHeight="false" outlineLevel="0" collapsed="false">
      <c r="B1034" s="4" t="n">
        <v>29980855</v>
      </c>
      <c r="C1034" s="4" t="s">
        <v>2431</v>
      </c>
      <c r="D1034" s="4" t="s">
        <v>463</v>
      </c>
      <c r="E1034" s="4" t="s">
        <v>2834</v>
      </c>
      <c r="F1034" s="127" t="n">
        <v>46743</v>
      </c>
      <c r="G1034" s="127" t="n">
        <v>46763</v>
      </c>
      <c r="H1034" s="127" t="n">
        <v>46289</v>
      </c>
      <c r="I1034" s="4" t="n">
        <v>0</v>
      </c>
      <c r="J1034" s="4" t="n">
        <v>0</v>
      </c>
      <c r="K1034" s="4" t="n">
        <v>0</v>
      </c>
      <c r="M1034" s="2" t="str">
        <f aca="false">IF(C1034="","",IFERROR(INDEX($S$5:$S$304,MATCH(C1034,$R$5:$R$304,0))&amp;"","?"))</f>
        <v>21</v>
      </c>
      <c r="N1034" s="2" t="n">
        <f aca="false">IF(E1034="","",IF(ISNUMBER(SEARCH("SUBSOLO",E1034)),IFERROR(-VALUE(LEFT(E1034,FIND("º",SUBSTITUTE(E1034,"°","º"))-1)),-1),IF(LEFT(E1034,6)="TÉRREO",0,IFERROR(VALUE(LEFT(E1034,FIND("º",SUBSTITUTE(E1034,"°","º"))-1)),""))))</f>
        <v>26</v>
      </c>
      <c r="O1034" s="2" t="str">
        <f aca="false">IF(OR(F1034="",G1034=""),"",IF(G1034&lt;='RETRATO 2027'!$K$5,"CONCLUÍDA",IF(F1034&lt;='RETRATO 2027'!$K$5,"EM ANDAMENTO","A INICIAR")))</f>
        <v>EM ANDAMENTO</v>
      </c>
    </row>
    <row r="1035" customFormat="false" ht="15" hidden="false" customHeight="false" outlineLevel="0" collapsed="false">
      <c r="B1035" s="4" t="n">
        <v>29980802</v>
      </c>
      <c r="C1035" s="4" t="s">
        <v>2422</v>
      </c>
      <c r="D1035" s="4" t="s">
        <v>463</v>
      </c>
      <c r="E1035" s="4" t="s">
        <v>2838</v>
      </c>
      <c r="F1035" s="127" t="n">
        <v>46743</v>
      </c>
      <c r="G1035" s="127" t="n">
        <v>46763</v>
      </c>
      <c r="H1035" s="127" t="n">
        <v>46289</v>
      </c>
      <c r="I1035" s="4" t="n">
        <v>0</v>
      </c>
      <c r="J1035" s="4" t="n">
        <v>0</v>
      </c>
      <c r="K1035" s="4" t="n">
        <v>0</v>
      </c>
      <c r="M1035" s="2" t="str">
        <f aca="false">IF(C1035="","",IFERROR(INDEX($S$5:$S$304,MATCH(C1035,$R$5:$R$304,0))&amp;"","?"))</f>
        <v>29</v>
      </c>
      <c r="N1035" s="2" t="n">
        <f aca="false">IF(E1035="","",IF(ISNUMBER(SEARCH("SUBSOLO",E1035)),IFERROR(-VALUE(LEFT(E1035,FIND("º",SUBSTITUTE(E1035,"°","º"))-1)),-1),IF(LEFT(E1035,6)="TÉRREO",0,IFERROR(VALUE(LEFT(E1035,FIND("º",SUBSTITUTE(E1035,"°","º"))-1)),""))))</f>
        <v>27</v>
      </c>
      <c r="O1035" s="2" t="str">
        <f aca="false">IF(OR(F1035="",G1035=""),"",IF(G1035&lt;='RETRATO 2027'!$K$5,"CONCLUÍDA",IF(F1035&lt;='RETRATO 2027'!$K$5,"EM ANDAMENTO","A INICIAR")))</f>
        <v>EM ANDAMENTO</v>
      </c>
    </row>
    <row r="1036" customFormat="false" ht="15" hidden="false" customHeight="false" outlineLevel="0" collapsed="false">
      <c r="B1036" s="4" t="n">
        <v>29980768</v>
      </c>
      <c r="C1036" s="4" t="s">
        <v>2413</v>
      </c>
      <c r="D1036" s="4" t="s">
        <v>463</v>
      </c>
      <c r="E1036" s="4" t="s">
        <v>2840</v>
      </c>
      <c r="F1036" s="127" t="n">
        <v>46743</v>
      </c>
      <c r="G1036" s="127" t="n">
        <v>46763</v>
      </c>
      <c r="H1036" s="127" t="n">
        <v>46289</v>
      </c>
      <c r="I1036" s="4" t="n">
        <v>0</v>
      </c>
      <c r="J1036" s="4" t="n">
        <v>0</v>
      </c>
      <c r="K1036" s="4" t="n">
        <v>0</v>
      </c>
      <c r="M1036" s="2" t="str">
        <f aca="false">IF(C1036="","",IFERROR(INDEX($S$5:$S$304,MATCH(C1036,$R$5:$R$304,0))&amp;"","?"))</f>
        <v>21</v>
      </c>
      <c r="N1036" s="2" t="n">
        <f aca="false">IF(E1036="","",IF(ISNUMBER(SEARCH("SUBSOLO",E1036)),IFERROR(-VALUE(LEFT(E1036,FIND("º",SUBSTITUTE(E1036,"°","º"))-1)),-1),IF(LEFT(E1036,6)="TÉRREO",0,IFERROR(VALUE(LEFT(E1036,FIND("º",SUBSTITUTE(E1036,"°","º"))-1)),""))))</f>
        <v>28</v>
      </c>
      <c r="O1036" s="2" t="str">
        <f aca="false">IF(OR(F1036="",G1036=""),"",IF(G1036&lt;='RETRATO 2027'!$K$5,"CONCLUÍDA",IF(F1036&lt;='RETRATO 2027'!$K$5,"EM ANDAMENTO","A INICIAR")))</f>
        <v>EM ANDAMENTO</v>
      </c>
    </row>
    <row r="1037" customFormat="false" ht="15" hidden="false" customHeight="false" outlineLevel="0" collapsed="false">
      <c r="B1037" s="4" t="n">
        <v>30205652</v>
      </c>
      <c r="C1037" s="4" t="s">
        <v>2539</v>
      </c>
      <c r="D1037" s="4" t="s">
        <v>463</v>
      </c>
      <c r="E1037" s="4" t="s">
        <v>2824</v>
      </c>
      <c r="F1037" s="127" t="n">
        <v>46744</v>
      </c>
      <c r="G1037" s="127" t="n">
        <v>46765</v>
      </c>
      <c r="H1037" s="127" t="n">
        <v>46289</v>
      </c>
      <c r="I1037" s="4" t="n">
        <v>0</v>
      </c>
      <c r="J1037" s="4" t="n">
        <v>0</v>
      </c>
      <c r="K1037" s="4" t="n">
        <v>0</v>
      </c>
      <c r="M1037" s="2" t="str">
        <f aca="false">IF(C1037="","",IFERROR(INDEX($S$5:$S$304,MATCH(C1037,$R$5:$R$304,0))&amp;"","?"))</f>
        <v>35</v>
      </c>
      <c r="N1037" s="2" t="n">
        <f aca="false">IF(E1037="","",IF(ISNUMBER(SEARCH("SUBSOLO",E1037)),IFERROR(-VALUE(LEFT(E1037,FIND("º",SUBSTITUTE(E1037,"°","º"))-1)),-1),IF(LEFT(E1037,6)="TÉRREO",0,IFERROR(VALUE(LEFT(E1037,FIND("º",SUBSTITUTE(E1037,"°","º"))-1)),""))))</f>
        <v>0</v>
      </c>
      <c r="O1037" s="2" t="str">
        <f aca="false">IF(OR(F1037="",G1037=""),"",IF(G1037&lt;='RETRATO 2027'!$K$5,"CONCLUÍDA",IF(F1037&lt;='RETRATO 2027'!$K$5,"EM ANDAMENTO","A INICIAR")))</f>
        <v>EM ANDAMENTO</v>
      </c>
    </row>
    <row r="1038" customFormat="false" ht="15" hidden="false" customHeight="false" outlineLevel="0" collapsed="false">
      <c r="B1038" s="4" t="n">
        <v>30205622</v>
      </c>
      <c r="C1038" s="4" t="s">
        <v>216</v>
      </c>
      <c r="D1038" s="4" t="s">
        <v>463</v>
      </c>
      <c r="E1038" s="4" t="s">
        <v>2826</v>
      </c>
      <c r="F1038" s="127" t="n">
        <v>46744</v>
      </c>
      <c r="G1038" s="127" t="n">
        <v>46765</v>
      </c>
      <c r="H1038" s="127" t="n">
        <v>46289</v>
      </c>
      <c r="I1038" s="4" t="n">
        <v>0</v>
      </c>
      <c r="J1038" s="4" t="n">
        <v>0</v>
      </c>
      <c r="K1038" s="4" t="n">
        <v>0</v>
      </c>
      <c r="M1038" s="2" t="str">
        <f aca="false">IF(C1038="","",IFERROR(INDEX($S$5:$S$304,MATCH(C1038,$R$5:$R$304,0))&amp;"","?"))</f>
        <v>33</v>
      </c>
      <c r="N1038" s="2" t="n">
        <f aca="false">IF(E1038="","",IF(ISNUMBER(SEARCH("SUBSOLO",E1038)),IFERROR(-VALUE(LEFT(E1038,FIND("º",SUBSTITUTE(E1038,"°","º"))-1)),-1),IF(LEFT(E1038,6)="TÉRREO",0,IFERROR(VALUE(LEFT(E1038,FIND("º",SUBSTITUTE(E1038,"°","º"))-1)),""))))</f>
        <v>0</v>
      </c>
      <c r="O1038" s="2" t="str">
        <f aca="false">IF(OR(F1038="",G1038=""),"",IF(G1038&lt;='RETRATO 2027'!$K$5,"CONCLUÍDA",IF(F1038&lt;='RETRATO 2027'!$K$5,"EM ANDAMENTO","A INICIAR")))</f>
        <v>EM ANDAMENTO</v>
      </c>
    </row>
    <row r="1039" customFormat="false" ht="15" hidden="false" customHeight="false" outlineLevel="0" collapsed="false">
      <c r="B1039" s="4" t="n">
        <v>30205594</v>
      </c>
      <c r="C1039" s="4" t="s">
        <v>2501</v>
      </c>
      <c r="D1039" s="4" t="s">
        <v>463</v>
      </c>
      <c r="E1039" s="4" t="s">
        <v>2828</v>
      </c>
      <c r="F1039" s="127" t="n">
        <v>46744</v>
      </c>
      <c r="G1039" s="127" t="n">
        <v>46765</v>
      </c>
      <c r="H1039" s="127" t="n">
        <v>46289</v>
      </c>
      <c r="I1039" s="4" t="n">
        <v>0</v>
      </c>
      <c r="J1039" s="4" t="n">
        <v>0</v>
      </c>
      <c r="K1039" s="4" t="n">
        <v>0</v>
      </c>
      <c r="M1039" s="2" t="str">
        <f aca="false">IF(C1039="","",IFERROR(INDEX($S$5:$S$304,MATCH(C1039,$R$5:$R$304,0))&amp;"","?"))</f>
        <v>30</v>
      </c>
      <c r="N1039" s="2" t="n">
        <f aca="false">IF(E1039="","",IF(ISNUMBER(SEARCH("SUBSOLO",E1039)),IFERROR(-VALUE(LEFT(E1039,FIND("º",SUBSTITUTE(E1039,"°","º"))-1)),-1),IF(LEFT(E1039,6)="TÉRREO",0,IFERROR(VALUE(LEFT(E1039,FIND("º",SUBSTITUTE(E1039,"°","º"))-1)),""))))</f>
        <v>0</v>
      </c>
      <c r="O1039" s="2" t="str">
        <f aca="false">IF(OR(F1039="",G1039=""),"",IF(G1039&lt;='RETRATO 2027'!$K$5,"CONCLUÍDA",IF(F1039&lt;='RETRATO 2027'!$K$5,"EM ANDAMENTO","A INICIAR")))</f>
        <v>EM ANDAMENTO</v>
      </c>
    </row>
    <row r="1040" customFormat="false" ht="15" hidden="false" customHeight="false" outlineLevel="0" collapsed="false">
      <c r="B1040" s="4" t="n">
        <v>30205569</v>
      </c>
      <c r="C1040" s="4" t="s">
        <v>2486</v>
      </c>
      <c r="D1040" s="4" t="s">
        <v>463</v>
      </c>
      <c r="E1040" s="4" t="s">
        <v>2830</v>
      </c>
      <c r="F1040" s="127" t="n">
        <v>46744</v>
      </c>
      <c r="G1040" s="127" t="n">
        <v>46765</v>
      </c>
      <c r="H1040" s="127" t="n">
        <v>46289</v>
      </c>
      <c r="I1040" s="4" t="n">
        <v>0</v>
      </c>
      <c r="J1040" s="4" t="n">
        <v>0</v>
      </c>
      <c r="K1040" s="4" t="n">
        <v>0</v>
      </c>
      <c r="M1040" s="2" t="str">
        <f aca="false">IF(C1040="","",IFERROR(INDEX($S$5:$S$304,MATCH(C1040,$R$5:$R$304,0))&amp;"","?"))</f>
        <v>30</v>
      </c>
      <c r="N1040" s="2" t="n">
        <f aca="false">IF(E1040="","",IF(ISNUMBER(SEARCH("SUBSOLO",E1040)),IFERROR(-VALUE(LEFT(E1040,FIND("º",SUBSTITUTE(E1040,"°","º"))-1)),-1),IF(LEFT(E1040,6)="TÉRREO",0,IFERROR(VALUE(LEFT(E1040,FIND("º",SUBSTITUTE(E1040,"°","º"))-1)),""))))</f>
        <v>0</v>
      </c>
      <c r="O1040" s="2" t="str">
        <f aca="false">IF(OR(F1040="",G1040=""),"",IF(G1040&lt;='RETRATO 2027'!$K$5,"CONCLUÍDA",IF(F1040&lt;='RETRATO 2027'!$K$5,"EM ANDAMENTO","A INICIAR")))</f>
        <v>EM ANDAMENTO</v>
      </c>
    </row>
    <row r="1041" customFormat="false" ht="15" hidden="false" customHeight="false" outlineLevel="0" collapsed="false">
      <c r="B1041" s="4" t="n">
        <v>30205546</v>
      </c>
      <c r="C1041" s="4" t="s">
        <v>2480</v>
      </c>
      <c r="D1041" s="4" t="s">
        <v>463</v>
      </c>
      <c r="E1041" s="4" t="s">
        <v>2832</v>
      </c>
      <c r="F1041" s="127" t="n">
        <v>46744</v>
      </c>
      <c r="G1041" s="127" t="n">
        <v>46765</v>
      </c>
      <c r="H1041" s="127" t="n">
        <v>46289</v>
      </c>
      <c r="I1041" s="4" t="n">
        <v>0</v>
      </c>
      <c r="J1041" s="4" t="n">
        <v>0</v>
      </c>
      <c r="K1041" s="4" t="n">
        <v>0</v>
      </c>
      <c r="M1041" s="2" t="str">
        <f aca="false">IF(C1041="","",IFERROR(INDEX($S$5:$S$304,MATCH(C1041,$R$5:$R$304,0))&amp;"","?"))</f>
        <v>30</v>
      </c>
      <c r="N1041" s="2" t="n">
        <f aca="false">IF(E1041="","",IF(ISNUMBER(SEARCH("SUBSOLO",E1041)),IFERROR(-VALUE(LEFT(E1041,FIND("º",SUBSTITUTE(E1041,"°","º"))-1)),-1),IF(LEFT(E1041,6)="TÉRREO",0,IFERROR(VALUE(LEFT(E1041,FIND("º",SUBSTITUTE(E1041,"°","º"))-1)),""))))</f>
        <v>0</v>
      </c>
      <c r="O1041" s="2" t="str">
        <f aca="false">IF(OR(F1041="",G1041=""),"",IF(G1041&lt;='RETRATO 2027'!$K$5,"CONCLUÍDA",IF(F1041&lt;='RETRATO 2027'!$K$5,"EM ANDAMENTO","A INICIAR")))</f>
        <v>EM ANDAMENTO</v>
      </c>
    </row>
    <row r="1042" customFormat="false" ht="15" hidden="false" customHeight="false" outlineLevel="0" collapsed="false">
      <c r="B1042" s="4" t="n">
        <v>30205842</v>
      </c>
      <c r="C1042" s="4" t="s">
        <v>2428</v>
      </c>
      <c r="D1042" s="4" t="s">
        <v>463</v>
      </c>
      <c r="E1042" s="4" t="s">
        <v>2782</v>
      </c>
      <c r="F1042" s="127" t="n">
        <v>46744</v>
      </c>
      <c r="G1042" s="127" t="n">
        <v>46762</v>
      </c>
      <c r="H1042" s="127" t="n">
        <v>46289</v>
      </c>
      <c r="I1042" s="4" t="n">
        <v>0</v>
      </c>
      <c r="J1042" s="4" t="n">
        <v>0</v>
      </c>
      <c r="K1042" s="4" t="n">
        <v>0</v>
      </c>
      <c r="M1042" s="2" t="str">
        <f aca="false">IF(C1042="","",IFERROR(INDEX($S$5:$S$304,MATCH(C1042,$R$5:$R$304,0))&amp;"","?"))</f>
        <v>20</v>
      </c>
      <c r="N1042" s="2" t="n">
        <f aca="false">IF(E1042="","",IF(ISNUMBER(SEARCH("SUBSOLO",E1042)),IFERROR(-VALUE(LEFT(E1042,FIND("º",SUBSTITUTE(E1042,"°","º"))-1)),-1),IF(LEFT(E1042,6)="TÉRREO",0,IFERROR(VALUE(LEFT(E1042,FIND("º",SUBSTITUTE(E1042,"°","º"))-1)),""))))</f>
        <v>1</v>
      </c>
      <c r="O1042" s="2" t="str">
        <f aca="false">IF(OR(F1042="",G1042=""),"",IF(G1042&lt;='RETRATO 2027'!$K$5,"CONCLUÍDA",IF(F1042&lt;='RETRATO 2027'!$K$5,"EM ANDAMENTO","A INICIAR")))</f>
        <v>EM ANDAMENTO</v>
      </c>
    </row>
    <row r="1043" customFormat="false" ht="15" hidden="false" customHeight="false" outlineLevel="0" collapsed="false">
      <c r="B1043" s="4" t="n">
        <v>30205843</v>
      </c>
      <c r="C1043" s="4" t="s">
        <v>2452</v>
      </c>
      <c r="D1043" s="4" t="s">
        <v>463</v>
      </c>
      <c r="E1043" s="4" t="s">
        <v>2782</v>
      </c>
      <c r="F1043" s="127" t="n">
        <v>46744</v>
      </c>
      <c r="G1043" s="127" t="n">
        <v>46765</v>
      </c>
      <c r="H1043" s="127" t="n">
        <v>46289</v>
      </c>
      <c r="I1043" s="4" t="n">
        <v>0</v>
      </c>
      <c r="J1043" s="4" t="n">
        <v>0</v>
      </c>
      <c r="K1043" s="4" t="n">
        <v>0</v>
      </c>
      <c r="M1043" s="2" t="str">
        <f aca="false">IF(C1043="","",IFERROR(INDEX($S$5:$S$304,MATCH(C1043,$R$5:$R$304,0))&amp;"","?"))</f>
        <v>21</v>
      </c>
      <c r="N1043" s="2" t="n">
        <f aca="false">IF(E1043="","",IF(ISNUMBER(SEARCH("SUBSOLO",E1043)),IFERROR(-VALUE(LEFT(E1043,FIND("º",SUBSTITUTE(E1043,"°","º"))-1)),-1),IF(LEFT(E1043,6)="TÉRREO",0,IFERROR(VALUE(LEFT(E1043,FIND("º",SUBSTITUTE(E1043,"°","º"))-1)),""))))</f>
        <v>1</v>
      </c>
      <c r="O1043" s="2" t="str">
        <f aca="false">IF(OR(F1043="",G1043=""),"",IF(G1043&lt;='RETRATO 2027'!$K$5,"CONCLUÍDA",IF(F1043&lt;='RETRATO 2027'!$K$5,"EM ANDAMENTO","A INICIAR")))</f>
        <v>EM ANDAMENTO</v>
      </c>
    </row>
    <row r="1044" customFormat="false" ht="15" hidden="false" customHeight="false" outlineLevel="0" collapsed="false">
      <c r="B1044" s="4" t="n">
        <v>30208607</v>
      </c>
      <c r="C1044" s="4" t="s">
        <v>168</v>
      </c>
      <c r="D1044" s="4" t="s">
        <v>463</v>
      </c>
      <c r="E1044" s="4" t="s">
        <v>2851</v>
      </c>
      <c r="F1044" s="127" t="n">
        <v>46755</v>
      </c>
      <c r="G1044" s="127" t="n">
        <v>46784</v>
      </c>
      <c r="H1044" s="127" t="n">
        <v>46289</v>
      </c>
      <c r="I1044" s="4" t="n">
        <v>0</v>
      </c>
      <c r="J1044" s="4" t="n">
        <v>0</v>
      </c>
      <c r="K1044" s="4" t="n">
        <v>0</v>
      </c>
      <c r="M1044" s="2" t="str">
        <f aca="false">IF(C1044="","",IFERROR(INDEX($S$5:$S$304,MATCH(C1044,$R$5:$R$304,0))&amp;"","?"))</f>
        <v>18</v>
      </c>
      <c r="N1044" s="2" t="n">
        <f aca="false">IF(E1044="","",IF(ISNUMBER(SEARCH("SUBSOLO",E1044)),IFERROR(-VALUE(LEFT(E1044,FIND("º",SUBSTITUTE(E1044,"°","º"))-1)),-1),IF(LEFT(E1044,6)="TÉRREO",0,IFERROR(VALUE(LEFT(E1044,FIND("º",SUBSTITUTE(E1044,"°","º"))-1)),""))))</f>
        <v>6</v>
      </c>
      <c r="O1044" s="2" t="str">
        <f aca="false">IF(OR(F1044="",G1044=""),"",IF(G1044&lt;='RETRATO 2027'!$K$5,"CONCLUÍDA",IF(F1044&lt;='RETRATO 2027'!$K$5,"EM ANDAMENTO","A INICIAR")))</f>
        <v>A INICIAR</v>
      </c>
    </row>
    <row r="1045" customFormat="false" ht="15" hidden="false" customHeight="false" outlineLevel="0" collapsed="false">
      <c r="B1045" s="4" t="n">
        <v>29980767</v>
      </c>
      <c r="C1045" s="4" t="s">
        <v>2416</v>
      </c>
      <c r="D1045" s="4" t="s">
        <v>463</v>
      </c>
      <c r="E1045" s="4" t="s">
        <v>2840</v>
      </c>
      <c r="F1045" s="127" t="n">
        <v>46755</v>
      </c>
      <c r="G1045" s="127" t="n">
        <v>46765</v>
      </c>
      <c r="H1045" s="127" t="n">
        <v>46289</v>
      </c>
      <c r="I1045" s="4" t="n">
        <v>0</v>
      </c>
      <c r="J1045" s="4" t="n">
        <v>0</v>
      </c>
      <c r="K1045" s="4" t="n">
        <v>0</v>
      </c>
      <c r="M1045" s="2" t="str">
        <f aca="false">IF(C1045="","",IFERROR(INDEX($S$5:$S$304,MATCH(C1045,$R$5:$R$304,0))&amp;"","?"))</f>
        <v>18</v>
      </c>
      <c r="N1045" s="2" t="n">
        <f aca="false">IF(E1045="","",IF(ISNUMBER(SEARCH("SUBSOLO",E1045)),IFERROR(-VALUE(LEFT(E1045,FIND("º",SUBSTITUTE(E1045,"°","º"))-1)),-1),IF(LEFT(E1045,6)="TÉRREO",0,IFERROR(VALUE(LEFT(E1045,FIND("º",SUBSTITUTE(E1045,"°","º"))-1)),""))))</f>
        <v>28</v>
      </c>
      <c r="O1045" s="2" t="str">
        <f aca="false">IF(OR(F1045="",G1045=""),"",IF(G1045&lt;='RETRATO 2027'!$K$5,"CONCLUÍDA",IF(F1045&lt;='RETRATO 2027'!$K$5,"EM ANDAMENTO","A INICIAR")))</f>
        <v>A INICIAR</v>
      </c>
    </row>
    <row r="1046" customFormat="false" ht="15" hidden="false" customHeight="false" outlineLevel="0" collapsed="false">
      <c r="B1046" s="4" t="n">
        <v>31790140</v>
      </c>
      <c r="C1046" s="4" t="s">
        <v>2551</v>
      </c>
      <c r="D1046" s="4" t="s">
        <v>463</v>
      </c>
      <c r="E1046" s="4" t="s">
        <v>2678</v>
      </c>
      <c r="F1046" s="127" t="n">
        <v>46757</v>
      </c>
      <c r="G1046" s="127" t="n">
        <v>46784</v>
      </c>
      <c r="H1046" s="127" t="n">
        <v>46289</v>
      </c>
      <c r="I1046" s="4" t="n">
        <v>0</v>
      </c>
      <c r="J1046" s="4" t="n">
        <v>0</v>
      </c>
      <c r="K1046" s="4" t="n">
        <v>0</v>
      </c>
      <c r="M1046" s="2" t="str">
        <f aca="false">IF(C1046="","",IFERROR(INDEX($S$5:$S$304,MATCH(C1046,$R$5:$R$304,0))&amp;"","?"))</f>
        <v>32</v>
      </c>
      <c r="N1046" s="2" t="str">
        <f aca="false"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 t="str">
        <f aca="false">IF(OR(F1046="",G1046=""),"",IF(G1046&lt;='RETRATO 2027'!$K$5,"CONCLUÍDA",IF(F1046&lt;='RETRATO 2027'!$K$5,"EM ANDAMENTO","A INICIAR")))</f>
        <v>A INICIAR</v>
      </c>
    </row>
    <row r="1047" customFormat="false" ht="15" hidden="false" customHeight="false" outlineLevel="0" collapsed="false">
      <c r="B1047" s="4" t="n">
        <v>29980741</v>
      </c>
      <c r="C1047" s="4" t="s">
        <v>2410</v>
      </c>
      <c r="D1047" s="4" t="s">
        <v>463</v>
      </c>
      <c r="E1047" s="4" t="s">
        <v>2841</v>
      </c>
      <c r="F1047" s="127" t="n">
        <v>46758</v>
      </c>
      <c r="G1047" s="127" t="n">
        <v>46770</v>
      </c>
      <c r="H1047" s="127" t="n">
        <v>46289</v>
      </c>
      <c r="I1047" s="4" t="n">
        <v>0</v>
      </c>
      <c r="J1047" s="4" t="n">
        <v>0</v>
      </c>
      <c r="K1047" s="4" t="n">
        <v>0</v>
      </c>
      <c r="M1047" s="2" t="str">
        <f aca="false">IF(C1047="","",IFERROR(INDEX($S$5:$S$304,MATCH(C1047,$R$5:$R$304,0))&amp;"","?"))</f>
        <v>22</v>
      </c>
      <c r="N1047" s="2" t="n">
        <f aca="false">IF(E1047="","",IF(ISNUMBER(SEARCH("SUBSOLO",E1047)),IFERROR(-VALUE(LEFT(E1047,FIND("º",SUBSTITUTE(E1047,"°","º"))-1)),-1),IF(LEFT(E1047,6)="TÉRREO",0,IFERROR(VALUE(LEFT(E1047,FIND("º",SUBSTITUTE(E1047,"°","º"))-1)),""))))</f>
        <v>29</v>
      </c>
      <c r="O1047" s="2" t="str">
        <f aca="false">IF(OR(F1047="",G1047=""),"",IF(G1047&lt;='RETRATO 2027'!$K$5,"CONCLUÍDA",IF(F1047&lt;='RETRATO 2027'!$K$5,"EM ANDAMENTO","A INICIAR")))</f>
        <v>A INICIAR</v>
      </c>
    </row>
    <row r="1048" customFormat="false" ht="15" hidden="false" customHeight="false" outlineLevel="0" collapsed="false">
      <c r="B1048" s="4" t="n">
        <v>29980692</v>
      </c>
      <c r="C1048" s="4" t="s">
        <v>168</v>
      </c>
      <c r="D1048" s="4" t="s">
        <v>463</v>
      </c>
      <c r="E1048" s="4" t="s">
        <v>2842</v>
      </c>
      <c r="F1048" s="127" t="n">
        <v>46758</v>
      </c>
      <c r="G1048" s="127" t="n">
        <v>46770</v>
      </c>
      <c r="H1048" s="127" t="n">
        <v>46289</v>
      </c>
      <c r="I1048" s="4" t="n">
        <v>0</v>
      </c>
      <c r="J1048" s="4" t="n">
        <v>0</v>
      </c>
      <c r="K1048" s="4" t="n">
        <v>0</v>
      </c>
      <c r="M1048" s="2" t="str">
        <f aca="false">IF(C1048="","",IFERROR(INDEX($S$5:$S$304,MATCH(C1048,$R$5:$R$304,0))&amp;"","?"))</f>
        <v>18</v>
      </c>
      <c r="N1048" s="2" t="n">
        <f aca="false">IF(E1048="","",IF(ISNUMBER(SEARCH("SUBSOLO",E1048)),IFERROR(-VALUE(LEFT(E1048,FIND("º",SUBSTITUTE(E1048,"°","º"))-1)),-1),IF(LEFT(E1048,6)="TÉRREO",0,IFERROR(VALUE(LEFT(E1048,FIND("º",SUBSTITUTE(E1048,"°","º"))-1)),""))))</f>
        <v>30</v>
      </c>
      <c r="O1048" s="2" t="str">
        <f aca="false">IF(OR(F1048="",G1048=""),"",IF(G1048&lt;='RETRATO 2027'!$K$5,"CONCLUÍDA",IF(F1048&lt;='RETRATO 2027'!$K$5,"EM ANDAMENTO","A INICIAR")))</f>
        <v>A INICIAR</v>
      </c>
    </row>
    <row r="1049" customFormat="false" ht="15" hidden="false" customHeight="false" outlineLevel="0" collapsed="false">
      <c r="B1049" s="4" t="n">
        <v>29941193</v>
      </c>
      <c r="C1049" s="4" t="s">
        <v>2341</v>
      </c>
      <c r="D1049" s="4" t="s">
        <v>463</v>
      </c>
      <c r="E1049" s="4" t="s">
        <v>2852</v>
      </c>
      <c r="F1049" s="127" t="n">
        <v>46758</v>
      </c>
      <c r="G1049" s="127" t="n">
        <v>46770</v>
      </c>
      <c r="H1049" s="127" t="n">
        <v>46289</v>
      </c>
      <c r="I1049" s="4" t="n">
        <v>0</v>
      </c>
      <c r="J1049" s="4" t="n">
        <v>0</v>
      </c>
      <c r="K1049" s="4" t="n">
        <v>0</v>
      </c>
      <c r="M1049" s="2" t="str">
        <f aca="false">IF(C1049="","",IFERROR(INDEX($S$5:$S$304,MATCH(C1049,$R$5:$R$304,0))&amp;"","?"))</f>
        <v>17</v>
      </c>
      <c r="N1049" s="2" t="n">
        <f aca="false">IF(E1049="","",IF(ISNUMBER(SEARCH("SUBSOLO",E1049)),IFERROR(-VALUE(LEFT(E1049,FIND("º",SUBSTITUTE(E1049,"°","º"))-1)),-1),IF(LEFT(E1049,6)="TÉRREO",0,IFERROR(VALUE(LEFT(E1049,FIND("º",SUBSTITUTE(E1049,"°","º"))-1)),""))))</f>
        <v>33</v>
      </c>
      <c r="O1049" s="2" t="str">
        <f aca="false">IF(OR(F1049="",G1049=""),"",IF(G1049&lt;='RETRATO 2027'!$K$5,"CONCLUÍDA",IF(F1049&lt;='RETRATO 2027'!$K$5,"EM ANDAMENTO","A INICIAR")))</f>
        <v>A INICIAR</v>
      </c>
    </row>
    <row r="1050" customFormat="false" ht="15" hidden="false" customHeight="false" outlineLevel="0" collapsed="false">
      <c r="B1050" s="4" t="n">
        <v>31529086</v>
      </c>
      <c r="C1050" s="4" t="s">
        <v>2341</v>
      </c>
      <c r="D1050" s="4" t="s">
        <v>2312</v>
      </c>
      <c r="E1050" s="4" t="s">
        <v>2852</v>
      </c>
      <c r="F1050" s="127" t="n">
        <v>46758</v>
      </c>
      <c r="G1050" s="127" t="n">
        <v>46764</v>
      </c>
      <c r="H1050" s="127" t="n">
        <v>46289</v>
      </c>
      <c r="I1050" s="4" t="n">
        <v>0</v>
      </c>
      <c r="J1050" s="4" t="n">
        <v>0</v>
      </c>
      <c r="K1050" s="4" t="n">
        <v>0</v>
      </c>
      <c r="M1050" s="2" t="str">
        <f aca="false">IF(C1050="","",IFERROR(INDEX($S$5:$S$304,MATCH(C1050,$R$5:$R$304,0))&amp;"","?"))</f>
        <v>17</v>
      </c>
      <c r="N1050" s="2" t="n">
        <f aca="false">IF(E1050="","",IF(ISNUMBER(SEARCH("SUBSOLO",E1050)),IFERROR(-VALUE(LEFT(E1050,FIND("º",SUBSTITUTE(E1050,"°","º"))-1)),-1),IF(LEFT(E1050,6)="TÉRREO",0,IFERROR(VALUE(LEFT(E1050,FIND("º",SUBSTITUTE(E1050,"°","º"))-1)),""))))</f>
        <v>33</v>
      </c>
      <c r="O1050" s="2" t="str">
        <f aca="false">IF(OR(F1050="",G1050=""),"",IF(G1050&lt;='RETRATO 2027'!$K$5,"CONCLUÍDA",IF(F1050&lt;='RETRATO 2027'!$K$5,"EM ANDAMENTO","A INICIAR")))</f>
        <v>A INICIAR</v>
      </c>
    </row>
    <row r="1051" customFormat="false" ht="15" hidden="false" customHeight="false" outlineLevel="0" collapsed="false">
      <c r="B1051" s="4" t="n">
        <v>31529087</v>
      </c>
      <c r="C1051" s="4" t="s">
        <v>2341</v>
      </c>
      <c r="D1051" s="4" t="s">
        <v>2309</v>
      </c>
      <c r="E1051" s="4" t="s">
        <v>2852</v>
      </c>
      <c r="F1051" s="127" t="n">
        <v>46765</v>
      </c>
      <c r="G1051" s="127" t="n">
        <v>46769</v>
      </c>
      <c r="H1051" s="127" t="n">
        <v>46289</v>
      </c>
      <c r="I1051" s="4" t="n">
        <v>0</v>
      </c>
      <c r="J1051" s="4" t="n">
        <v>0</v>
      </c>
      <c r="K1051" s="4" t="n">
        <v>0</v>
      </c>
      <c r="M1051" s="2" t="str">
        <f aca="false">IF(C1051="","",IFERROR(INDEX($S$5:$S$304,MATCH(C1051,$R$5:$R$304,0))&amp;"","?"))</f>
        <v>17</v>
      </c>
      <c r="N1051" s="2" t="n">
        <f aca="false">IF(E1051="","",IF(ISNUMBER(SEARCH("SUBSOLO",E1051)),IFERROR(-VALUE(LEFT(E1051,FIND("º",SUBSTITUTE(E1051,"°","º"))-1)),-1),IF(LEFT(E1051,6)="TÉRREO",0,IFERROR(VALUE(LEFT(E1051,FIND("º",SUBSTITUTE(E1051,"°","º"))-1)),""))))</f>
        <v>33</v>
      </c>
      <c r="O1051" s="2" t="str">
        <f aca="false">IF(OR(F1051="",G1051=""),"",IF(G1051&lt;='RETRATO 2027'!$K$5,"CONCLUÍDA",IF(F1051&lt;='RETRATO 2027'!$K$5,"EM ANDAMENTO","A INICIAR")))</f>
        <v>A INICIAR</v>
      </c>
    </row>
    <row r="1052" customFormat="false" ht="15" hidden="false" customHeight="false" outlineLevel="0" collapsed="false">
      <c r="B1052" s="4" t="n">
        <v>31529088</v>
      </c>
      <c r="C1052" s="4" t="s">
        <v>2341</v>
      </c>
      <c r="D1052" s="4" t="s">
        <v>2314</v>
      </c>
      <c r="E1052" s="4" t="s">
        <v>2852</v>
      </c>
      <c r="F1052" s="127" t="n">
        <v>46770</v>
      </c>
      <c r="G1052" s="127" t="n">
        <v>46770</v>
      </c>
      <c r="H1052" s="127" t="n">
        <v>46289</v>
      </c>
      <c r="I1052" s="4" t="n">
        <v>0</v>
      </c>
      <c r="J1052" s="4" t="n">
        <v>0</v>
      </c>
      <c r="K1052" s="4" t="n">
        <v>0</v>
      </c>
      <c r="M1052" s="2" t="str">
        <f aca="false">IF(C1052="","",IFERROR(INDEX($S$5:$S$304,MATCH(C1052,$R$5:$R$304,0))&amp;"","?"))</f>
        <v>17</v>
      </c>
      <c r="N1052" s="2" t="n">
        <f aca="false">IF(E1052="","",IF(ISNUMBER(SEARCH("SUBSOLO",E1052)),IFERROR(-VALUE(LEFT(E1052,FIND("º",SUBSTITUTE(E1052,"°","º"))-1)),-1),IF(LEFT(E1052,6)="TÉRREO",0,IFERROR(VALUE(LEFT(E1052,FIND("º",SUBSTITUTE(E1052,"°","º"))-1)),""))))</f>
        <v>33</v>
      </c>
      <c r="O1052" s="2" t="str">
        <f aca="false">IF(OR(F1052="",G1052=""),"",IF(G1052&lt;='RETRATO 2027'!$K$5,"CONCLUÍDA",IF(F1052&lt;='RETRATO 2027'!$K$5,"EM ANDAMENTO","A INICIAR")))</f>
        <v>A INICIAR</v>
      </c>
    </row>
    <row r="1053" customFormat="false" ht="15" hidden="false" customHeight="false" outlineLevel="0" collapsed="false">
      <c r="B1053" s="4" t="n">
        <v>31529089</v>
      </c>
      <c r="C1053" s="4" t="s">
        <v>2341</v>
      </c>
      <c r="D1053" s="4" t="s">
        <v>2758</v>
      </c>
      <c r="E1053" s="4" t="s">
        <v>2852</v>
      </c>
      <c r="F1053" s="127" t="n">
        <v>46770</v>
      </c>
      <c r="G1053" s="127" t="n">
        <v>46770</v>
      </c>
      <c r="H1053" s="127" t="n">
        <v>46289</v>
      </c>
      <c r="I1053" s="4" t="n">
        <v>0</v>
      </c>
      <c r="J1053" s="4" t="n">
        <v>0</v>
      </c>
      <c r="K1053" s="4" t="n">
        <v>0</v>
      </c>
      <c r="M1053" s="2" t="str">
        <f aca="false">IF(C1053="","",IFERROR(INDEX($S$5:$S$304,MATCH(C1053,$R$5:$R$304,0))&amp;"","?"))</f>
        <v>17</v>
      </c>
      <c r="N1053" s="2" t="n">
        <f aca="false">IF(E1053="","",IF(ISNUMBER(SEARCH("SUBSOLO",E1053)),IFERROR(-VALUE(LEFT(E1053,FIND("º",SUBSTITUTE(E1053,"°","º"))-1)),-1),IF(LEFT(E1053,6)="TÉRREO",0,IFERROR(VALUE(LEFT(E1053,FIND("º",SUBSTITUTE(E1053,"°","º"))-1)),""))))</f>
        <v>33</v>
      </c>
      <c r="O1053" s="2" t="str">
        <f aca="false">IF(OR(F1053="",G1053=""),"",IF(G1053&lt;='RETRATO 2027'!$K$5,"CONCLUÍDA",IF(F1053&lt;='RETRATO 2027'!$K$5,"EM ANDAMENTO","A INICIAR")))</f>
        <v>A INICIAR</v>
      </c>
    </row>
    <row r="1054" customFormat="false" ht="15" hidden="false" customHeight="false" outlineLevel="0" collapsed="false">
      <c r="B1054" s="4" t="n">
        <v>30205792</v>
      </c>
      <c r="C1054" s="4" t="s">
        <v>2449</v>
      </c>
      <c r="D1054" s="4" t="s">
        <v>463</v>
      </c>
      <c r="E1054" s="4" t="s">
        <v>2835</v>
      </c>
      <c r="F1054" s="127" t="n">
        <v>46759</v>
      </c>
      <c r="G1054" s="127" t="n">
        <v>46772</v>
      </c>
      <c r="H1054" s="127" t="n">
        <v>46289</v>
      </c>
      <c r="I1054" s="4" t="n">
        <v>0</v>
      </c>
      <c r="J1054" s="4" t="n">
        <v>0</v>
      </c>
      <c r="K1054" s="4" t="n">
        <v>0</v>
      </c>
      <c r="M1054" s="2" t="str">
        <f aca="false">IF(C1054="","",IFERROR(INDEX($S$5:$S$304,MATCH(C1054,$R$5:$R$304,0))&amp;"","?"))</f>
        <v>28</v>
      </c>
      <c r="N1054" s="2" t="n">
        <f aca="false">IF(E1054="","",IF(ISNUMBER(SEARCH("SUBSOLO",E1054)),IFERROR(-VALUE(LEFT(E1054,FIND("º",SUBSTITUTE(E1054,"°","º"))-1)),-1),IF(LEFT(E1054,6)="TÉRREO",0,IFERROR(VALUE(LEFT(E1054,FIND("º",SUBSTITUTE(E1054,"°","º"))-1)),""))))</f>
        <v>0</v>
      </c>
      <c r="O1054" s="2" t="str">
        <f aca="false">IF(OR(F1054="",G1054=""),"",IF(G1054&lt;='RETRATO 2027'!$K$5,"CONCLUÍDA",IF(F1054&lt;='RETRATO 2027'!$K$5,"EM ANDAMENTO","A INICIAR")))</f>
        <v>A INICIAR</v>
      </c>
    </row>
    <row r="1055" customFormat="false" ht="15" hidden="false" customHeight="false" outlineLevel="0" collapsed="false">
      <c r="B1055" s="4" t="n">
        <v>30205815</v>
      </c>
      <c r="C1055" s="4" t="s">
        <v>2437</v>
      </c>
      <c r="D1055" s="4" t="s">
        <v>463</v>
      </c>
      <c r="E1055" s="4" t="s">
        <v>2839</v>
      </c>
      <c r="F1055" s="127" t="n">
        <v>46759</v>
      </c>
      <c r="G1055" s="127" t="n">
        <v>46772</v>
      </c>
      <c r="H1055" s="127" t="n">
        <v>46289</v>
      </c>
      <c r="I1055" s="4" t="n">
        <v>0</v>
      </c>
      <c r="J1055" s="4" t="n">
        <v>0</v>
      </c>
      <c r="K1055" s="4" t="n">
        <v>0</v>
      </c>
      <c r="M1055" s="2" t="str">
        <f aca="false">IF(C1055="","",IFERROR(INDEX($S$5:$S$304,MATCH(C1055,$R$5:$R$304,0))&amp;"","?"))</f>
        <v>29</v>
      </c>
      <c r="N1055" s="2" t="n">
        <f aca="false">IF(E1055="","",IF(ISNUMBER(SEARCH("SUBSOLO",E1055)),IFERROR(-VALUE(LEFT(E1055,FIND("º",SUBSTITUTE(E1055,"°","º"))-1)),-1),IF(LEFT(E1055,6)="TÉRREO",0,IFERROR(VALUE(LEFT(E1055,FIND("º",SUBSTITUTE(E1055,"°","º"))-1)),""))))</f>
        <v>0</v>
      </c>
      <c r="O1055" s="2" t="str">
        <f aca="false">IF(OR(F1055="",G1055=""),"",IF(G1055&lt;='RETRATO 2027'!$K$5,"CONCLUÍDA",IF(F1055&lt;='RETRATO 2027'!$K$5,"EM ANDAMENTO","A INICIAR")))</f>
        <v>A INICIAR</v>
      </c>
    </row>
    <row r="1056" customFormat="false" ht="15" hidden="false" customHeight="false" outlineLevel="0" collapsed="false">
      <c r="B1056" s="4" t="n">
        <v>30171399</v>
      </c>
      <c r="C1056" s="4" t="s">
        <v>2416</v>
      </c>
      <c r="D1056" s="4" t="s">
        <v>463</v>
      </c>
      <c r="E1056" s="4" t="s">
        <v>2801</v>
      </c>
      <c r="F1056" s="127" t="n">
        <v>46759</v>
      </c>
      <c r="G1056" s="127" t="n">
        <v>46772</v>
      </c>
      <c r="H1056" s="127" t="n">
        <v>46289</v>
      </c>
      <c r="I1056" s="4" t="n">
        <v>0</v>
      </c>
      <c r="J1056" s="4" t="n">
        <v>0</v>
      </c>
      <c r="K1056" s="4" t="n">
        <v>0</v>
      </c>
      <c r="M1056" s="2" t="str">
        <f aca="false">IF(C1056="","",IFERROR(INDEX($S$5:$S$304,MATCH(C1056,$R$5:$R$304,0))&amp;"","?"))</f>
        <v>18</v>
      </c>
      <c r="N1056" s="2" t="n">
        <f aca="false">IF(E1056="","",IF(ISNUMBER(SEARCH("SUBSOLO",E1056)),IFERROR(-VALUE(LEFT(E1056,FIND("º",SUBSTITUTE(E1056,"°","º"))-1)),-1),IF(LEFT(E1056,6)="TÉRREO",0,IFERROR(VALUE(LEFT(E1056,FIND("º",SUBSTITUTE(E1056,"°","º"))-1)),""))))</f>
        <v>5</v>
      </c>
      <c r="O1056" s="2" t="str">
        <f aca="false">IF(OR(F1056="",G1056=""),"",IF(G1056&lt;='RETRATO 2027'!$K$5,"CONCLUÍDA",IF(F1056&lt;='RETRATO 2027'!$K$5,"EM ANDAMENTO","A INICIAR")))</f>
        <v>A INICIAR</v>
      </c>
    </row>
    <row r="1057" customFormat="false" ht="15" hidden="false" customHeight="false" outlineLevel="0" collapsed="false">
      <c r="B1057" s="4" t="n">
        <v>30205751</v>
      </c>
      <c r="C1057" s="4" t="s">
        <v>2501</v>
      </c>
      <c r="D1057" s="4" t="s">
        <v>463</v>
      </c>
      <c r="E1057" s="4" t="s">
        <v>2740</v>
      </c>
      <c r="F1057" s="127" t="n">
        <v>46762</v>
      </c>
      <c r="G1057" s="127" t="n">
        <v>46773</v>
      </c>
      <c r="H1057" s="127" t="n">
        <v>46289</v>
      </c>
      <c r="I1057" s="4" t="n">
        <v>0</v>
      </c>
      <c r="J1057" s="4" t="n">
        <v>0</v>
      </c>
      <c r="K1057" s="4" t="n">
        <v>0</v>
      </c>
      <c r="M1057" s="2" t="str">
        <f aca="false">IF(C1057="","",IFERROR(INDEX($S$5:$S$304,MATCH(C1057,$R$5:$R$304,0))&amp;"","?"))</f>
        <v>30</v>
      </c>
      <c r="N1057" s="2" t="n">
        <f aca="false">IF(E1057="","",IF(ISNUMBER(SEARCH("SUBSOLO",E1057)),IFERROR(-VALUE(LEFT(E1057,FIND("º",SUBSTITUTE(E1057,"°","º"))-1)),-1),IF(LEFT(E1057,6)="TÉRREO",0,IFERROR(VALUE(LEFT(E1057,FIND("º",SUBSTITUTE(E1057,"°","º"))-1)),""))))</f>
        <v>-1</v>
      </c>
      <c r="O1057" s="2" t="str">
        <f aca="false">IF(OR(F1057="",G1057=""),"",IF(G1057&lt;='RETRATO 2027'!$K$5,"CONCLUÍDA",IF(F1057&lt;='RETRATO 2027'!$K$5,"EM ANDAMENTO","A INICIAR")))</f>
        <v>A INICIAR</v>
      </c>
    </row>
    <row r="1058" customFormat="false" ht="15" hidden="false" customHeight="false" outlineLevel="0" collapsed="false">
      <c r="B1058" s="4" t="n">
        <v>30171512</v>
      </c>
      <c r="C1058" s="4" t="s">
        <v>2539</v>
      </c>
      <c r="D1058" s="4" t="s">
        <v>463</v>
      </c>
      <c r="E1058" s="4" t="s">
        <v>2817</v>
      </c>
      <c r="F1058" s="127" t="n">
        <v>46763</v>
      </c>
      <c r="G1058" s="127" t="n">
        <v>47084</v>
      </c>
      <c r="H1058" s="127" t="n">
        <v>46289</v>
      </c>
      <c r="I1058" s="4" t="n">
        <v>0</v>
      </c>
      <c r="J1058" s="4" t="n">
        <v>0</v>
      </c>
      <c r="K1058" s="4" t="n">
        <v>0</v>
      </c>
      <c r="M1058" s="2" t="str">
        <f aca="false">IF(C1058="","",IFERROR(INDEX($S$5:$S$304,MATCH(C1058,$R$5:$R$304,0))&amp;"","?"))</f>
        <v>35</v>
      </c>
      <c r="N1058" s="2" t="str">
        <f aca="false"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 t="str">
        <f aca="false">IF(OR(F1058="",G1058=""),"",IF(G1058&lt;='RETRATO 2027'!$K$5,"CONCLUÍDA",IF(F1058&lt;='RETRATO 2027'!$K$5,"EM ANDAMENTO","A INICIAR")))</f>
        <v>A INICIAR</v>
      </c>
    </row>
    <row r="1059" customFormat="false" ht="15" hidden="false" customHeight="false" outlineLevel="0" collapsed="false">
      <c r="B1059" s="4" t="n">
        <v>29981527</v>
      </c>
      <c r="C1059" s="4" t="s">
        <v>2554</v>
      </c>
      <c r="D1059" s="4" t="s">
        <v>463</v>
      </c>
      <c r="E1059" s="4" t="s">
        <v>2803</v>
      </c>
      <c r="F1059" s="127" t="n">
        <v>46763</v>
      </c>
      <c r="G1059" s="127" t="n">
        <v>46773</v>
      </c>
      <c r="H1059" s="127" t="n">
        <v>46289</v>
      </c>
      <c r="I1059" s="4" t="n">
        <v>0</v>
      </c>
      <c r="J1059" s="4" t="n">
        <v>0</v>
      </c>
      <c r="K1059" s="4" t="n">
        <v>0</v>
      </c>
      <c r="M1059" s="2" t="str">
        <f aca="false">IF(C1059="","",IFERROR(INDEX($S$5:$S$304,MATCH(C1059,$R$5:$R$304,0))&amp;"","?"))</f>
        <v>35</v>
      </c>
      <c r="N1059" s="2" t="n">
        <f aca="false">IF(E1059="","",IF(ISNUMBER(SEARCH("SUBSOLO",E1059)),IFERROR(-VALUE(LEFT(E1059,FIND("º",SUBSTITUTE(E1059,"°","º"))-1)),-1),IF(LEFT(E1059,6)="TÉRREO",0,IFERROR(VALUE(LEFT(E1059,FIND("º",SUBSTITUTE(E1059,"°","º"))-1)),""))))</f>
        <v>7</v>
      </c>
      <c r="O1059" s="2" t="str">
        <f aca="false">IF(OR(F1059="",G1059=""),"",IF(G1059&lt;='RETRATO 2027'!$K$5,"CONCLUÍDA",IF(F1059&lt;='RETRATO 2027'!$K$5,"EM ANDAMENTO","A INICIAR")))</f>
        <v>A INICIAR</v>
      </c>
    </row>
    <row r="1060" customFormat="false" ht="15" hidden="false" customHeight="false" outlineLevel="0" collapsed="false">
      <c r="B1060" s="4" t="n">
        <v>29981516</v>
      </c>
      <c r="C1060" s="4" t="s">
        <v>2539</v>
      </c>
      <c r="D1060" s="4" t="s">
        <v>463</v>
      </c>
      <c r="E1060" s="4" t="s">
        <v>2804</v>
      </c>
      <c r="F1060" s="127" t="n">
        <v>46763</v>
      </c>
      <c r="G1060" s="127" t="n">
        <v>46773</v>
      </c>
      <c r="H1060" s="127" t="n">
        <v>46289</v>
      </c>
      <c r="I1060" s="4" t="n">
        <v>0</v>
      </c>
      <c r="J1060" s="4" t="n">
        <v>0</v>
      </c>
      <c r="K1060" s="4" t="n">
        <v>0</v>
      </c>
      <c r="M1060" s="2" t="str">
        <f aca="false">IF(C1060="","",IFERROR(INDEX($S$5:$S$304,MATCH(C1060,$R$5:$R$304,0))&amp;"","?"))</f>
        <v>35</v>
      </c>
      <c r="N1060" s="2" t="n">
        <f aca="false">IF(E1060="","",IF(ISNUMBER(SEARCH("SUBSOLO",E1060)),IFERROR(-VALUE(LEFT(E1060,FIND("º",SUBSTITUTE(E1060,"°","º"))-1)),-1),IF(LEFT(E1060,6)="TÉRREO",0,IFERROR(VALUE(LEFT(E1060,FIND("º",SUBSTITUTE(E1060,"°","º"))-1)),""))))</f>
        <v>8</v>
      </c>
      <c r="O1060" s="2" t="str">
        <f aca="false">IF(OR(F1060="",G1060=""),"",IF(G1060&lt;='RETRATO 2027'!$K$5,"CONCLUÍDA",IF(F1060&lt;='RETRATO 2027'!$K$5,"EM ANDAMENTO","A INICIAR")))</f>
        <v>A INICIAR</v>
      </c>
    </row>
    <row r="1061" customFormat="false" ht="15" hidden="false" customHeight="false" outlineLevel="0" collapsed="false">
      <c r="B1061" s="4" t="n">
        <v>33898090</v>
      </c>
      <c r="C1061" s="4" t="s">
        <v>2545</v>
      </c>
      <c r="D1061" s="4" t="s">
        <v>463</v>
      </c>
      <c r="E1061" s="4" t="s">
        <v>2805</v>
      </c>
      <c r="F1061" s="127" t="n">
        <v>46763</v>
      </c>
      <c r="G1061" s="127" t="n">
        <v>46773</v>
      </c>
      <c r="H1061" s="127" t="n">
        <v>46289</v>
      </c>
      <c r="I1061" s="4" t="n">
        <v>0</v>
      </c>
      <c r="J1061" s="4" t="n">
        <v>0</v>
      </c>
      <c r="K1061" s="4" t="n">
        <v>0</v>
      </c>
      <c r="M1061" s="2" t="str">
        <f aca="false">IF(C1061="","",IFERROR(INDEX($S$5:$S$304,MATCH(C1061,$R$5:$R$304,0))&amp;"","?"))</f>
        <v>25</v>
      </c>
      <c r="N1061" s="2" t="n">
        <f aca="false">IF(E1061="","",IF(ISNUMBER(SEARCH("SUBSOLO",E1061)),IFERROR(-VALUE(LEFT(E1061,FIND("º",SUBSTITUTE(E1061,"°","º"))-1)),-1),IF(LEFT(E1061,6)="TÉRREO",0,IFERROR(VALUE(LEFT(E1061,FIND("º",SUBSTITUTE(E1061,"°","º"))-1)),""))))</f>
        <v>9</v>
      </c>
      <c r="O1061" s="2" t="str">
        <f aca="false">IF(OR(F1061="",G1061=""),"",IF(G1061&lt;='RETRATO 2027'!$K$5,"CONCLUÍDA",IF(F1061&lt;='RETRATO 2027'!$K$5,"EM ANDAMENTO","A INICIAR")))</f>
        <v>A INICIAR</v>
      </c>
    </row>
    <row r="1062" customFormat="false" ht="15" hidden="false" customHeight="false" outlineLevel="0" collapsed="false">
      <c r="B1062" s="4" t="n">
        <v>29981329</v>
      </c>
      <c r="C1062" s="4" t="s">
        <v>216</v>
      </c>
      <c r="D1062" s="4" t="s">
        <v>463</v>
      </c>
      <c r="E1062" s="4" t="s">
        <v>2812</v>
      </c>
      <c r="F1062" s="127" t="n">
        <v>46764</v>
      </c>
      <c r="G1062" s="127" t="n">
        <v>46776</v>
      </c>
      <c r="H1062" s="127" t="n">
        <v>46289</v>
      </c>
      <c r="I1062" s="4" t="n">
        <v>0</v>
      </c>
      <c r="J1062" s="4" t="n">
        <v>0</v>
      </c>
      <c r="K1062" s="4" t="n">
        <v>0</v>
      </c>
      <c r="M1062" s="2" t="str">
        <f aca="false">IF(C1062="","",IFERROR(INDEX($S$5:$S$304,MATCH(C1062,$R$5:$R$304,0))&amp;"","?"))</f>
        <v>33</v>
      </c>
      <c r="N1062" s="2" t="n">
        <f aca="false">IF(E1062="","",IF(ISNUMBER(SEARCH("SUBSOLO",E1062)),IFERROR(-VALUE(LEFT(E1062,FIND("º",SUBSTITUTE(E1062,"°","º"))-1)),-1),IF(LEFT(E1062,6)="TÉRREO",0,IFERROR(VALUE(LEFT(E1062,FIND("º",SUBSTITUTE(E1062,"°","º"))-1)),""))))</f>
        <v>13</v>
      </c>
      <c r="O1062" s="2" t="str">
        <f aca="false">IF(OR(F1062="",G1062=""),"",IF(G1062&lt;='RETRATO 2027'!$K$5,"CONCLUÍDA",IF(F1062&lt;='RETRATO 2027'!$K$5,"EM ANDAMENTO","A INICIAR")))</f>
        <v>A INICIAR</v>
      </c>
    </row>
    <row r="1063" customFormat="false" ht="15" hidden="false" customHeight="false" outlineLevel="0" collapsed="false">
      <c r="B1063" s="4" t="n">
        <v>29981290</v>
      </c>
      <c r="C1063" s="4" t="s">
        <v>2508</v>
      </c>
      <c r="D1063" s="4" t="s">
        <v>463</v>
      </c>
      <c r="E1063" s="4" t="s">
        <v>2813</v>
      </c>
      <c r="F1063" s="127" t="n">
        <v>46764</v>
      </c>
      <c r="G1063" s="127" t="n">
        <v>46776</v>
      </c>
      <c r="H1063" s="127" t="n">
        <v>46289</v>
      </c>
      <c r="I1063" s="4" t="n">
        <v>0</v>
      </c>
      <c r="J1063" s="4" t="n">
        <v>0</v>
      </c>
      <c r="K1063" s="4" t="n">
        <v>0</v>
      </c>
      <c r="M1063" s="2" t="str">
        <f aca="false">IF(C1063="","",IFERROR(INDEX($S$5:$S$304,MATCH(C1063,$R$5:$R$304,0))&amp;"","?"))</f>
        <v>20</v>
      </c>
      <c r="N1063" s="2" t="n">
        <f aca="false">IF(E1063="","",IF(ISNUMBER(SEARCH("SUBSOLO",E1063)),IFERROR(-VALUE(LEFT(E1063,FIND("º",SUBSTITUTE(E1063,"°","º"))-1)),-1),IF(LEFT(E1063,6)="TÉRREO",0,IFERROR(VALUE(LEFT(E1063,FIND("º",SUBSTITUTE(E1063,"°","º"))-1)),""))))</f>
        <v>14</v>
      </c>
      <c r="O1063" s="2" t="str">
        <f aca="false">IF(OR(F1063="",G1063=""),"",IF(G1063&lt;='RETRATO 2027'!$K$5,"CONCLUÍDA",IF(F1063&lt;='RETRATO 2027'!$K$5,"EM ANDAMENTO","A INICIAR")))</f>
        <v>A INICIAR</v>
      </c>
    </row>
    <row r="1064" customFormat="false" ht="15" hidden="false" customHeight="false" outlineLevel="0" collapsed="false">
      <c r="B1064" s="4" t="n">
        <v>29981295</v>
      </c>
      <c r="C1064" s="4" t="s">
        <v>2511</v>
      </c>
      <c r="D1064" s="4" t="s">
        <v>463</v>
      </c>
      <c r="E1064" s="4" t="s">
        <v>2813</v>
      </c>
      <c r="F1064" s="127" t="n">
        <v>46764</v>
      </c>
      <c r="G1064" s="127" t="n">
        <v>46776</v>
      </c>
      <c r="H1064" s="127" t="n">
        <v>46289</v>
      </c>
      <c r="I1064" s="4" t="n">
        <v>0</v>
      </c>
      <c r="J1064" s="4" t="n">
        <v>0</v>
      </c>
      <c r="K1064" s="4" t="n">
        <v>0</v>
      </c>
      <c r="M1064" s="2" t="str">
        <f aca="false">IF(C1064="","",IFERROR(INDEX($S$5:$S$304,MATCH(C1064,$R$5:$R$304,0))&amp;"","?"))</f>
        <v>20</v>
      </c>
      <c r="N1064" s="2" t="n">
        <f aca="false">IF(E1064="","",IF(ISNUMBER(SEARCH("SUBSOLO",E1064)),IFERROR(-VALUE(LEFT(E1064,FIND("º",SUBSTITUTE(E1064,"°","º"))-1)),-1),IF(LEFT(E1064,6)="TÉRREO",0,IFERROR(VALUE(LEFT(E1064,FIND("º",SUBSTITUTE(E1064,"°","º"))-1)),""))))</f>
        <v>14</v>
      </c>
      <c r="O1064" s="2" t="str">
        <f aca="false">IF(OR(F1064="",G1064=""),"",IF(G1064&lt;='RETRATO 2027'!$K$5,"CONCLUÍDA",IF(F1064&lt;='RETRATO 2027'!$K$5,"EM ANDAMENTO","A INICIAR")))</f>
        <v>A INICIAR</v>
      </c>
    </row>
    <row r="1065" customFormat="false" ht="15" hidden="false" customHeight="false" outlineLevel="0" collapsed="false">
      <c r="B1065" s="4" t="n">
        <v>30214076</v>
      </c>
      <c r="C1065" s="4" t="s">
        <v>2514</v>
      </c>
      <c r="D1065" s="4" t="s">
        <v>463</v>
      </c>
      <c r="E1065" s="4" t="s">
        <v>2813</v>
      </c>
      <c r="F1065" s="127" t="n">
        <v>46764</v>
      </c>
      <c r="G1065" s="127" t="n">
        <v>46777</v>
      </c>
      <c r="H1065" s="127" t="n">
        <v>46289</v>
      </c>
      <c r="I1065" s="4" t="n">
        <v>0</v>
      </c>
      <c r="J1065" s="4" t="n">
        <v>0</v>
      </c>
      <c r="K1065" s="4" t="n">
        <v>0</v>
      </c>
      <c r="M1065" s="2" t="str">
        <f aca="false">IF(C1065="","",IFERROR(INDEX($S$5:$S$304,MATCH(C1065,$R$5:$R$304,0))&amp;"","?"))</f>
        <v>20</v>
      </c>
      <c r="N1065" s="2" t="n">
        <f aca="false">IF(E1065="","",IF(ISNUMBER(SEARCH("SUBSOLO",E1065)),IFERROR(-VALUE(LEFT(E1065,FIND("º",SUBSTITUTE(E1065,"°","º"))-1)),-1),IF(LEFT(E1065,6)="TÉRREO",0,IFERROR(VALUE(LEFT(E1065,FIND("º",SUBSTITUTE(E1065,"°","º"))-1)),""))))</f>
        <v>14</v>
      </c>
      <c r="O1065" s="2" t="str">
        <f aca="false">IF(OR(F1065="",G1065=""),"",IF(G1065&lt;='RETRATO 2027'!$K$5,"CONCLUÍDA",IF(F1065&lt;='RETRATO 2027'!$K$5,"EM ANDAMENTO","A INICIAR")))</f>
        <v>A INICIAR</v>
      </c>
    </row>
    <row r="1066" customFormat="false" ht="15" hidden="false" customHeight="false" outlineLevel="0" collapsed="false">
      <c r="B1066" s="4" t="n">
        <v>29981237</v>
      </c>
      <c r="C1066" s="4" t="s">
        <v>2501</v>
      </c>
      <c r="D1066" s="4" t="s">
        <v>463</v>
      </c>
      <c r="E1066" s="4" t="s">
        <v>2814</v>
      </c>
      <c r="F1066" s="127" t="n">
        <v>46764</v>
      </c>
      <c r="G1066" s="127" t="n">
        <v>46776</v>
      </c>
      <c r="H1066" s="127" t="n">
        <v>46289</v>
      </c>
      <c r="I1066" s="4" t="n">
        <v>0</v>
      </c>
      <c r="J1066" s="4" t="n">
        <v>0</v>
      </c>
      <c r="K1066" s="4" t="n">
        <v>0</v>
      </c>
      <c r="M1066" s="2" t="str">
        <f aca="false">IF(C1066="","",IFERROR(INDEX($S$5:$S$304,MATCH(C1066,$R$5:$R$304,0))&amp;"","?"))</f>
        <v>30</v>
      </c>
      <c r="N1066" s="2" t="n">
        <f aca="false">IF(E1066="","",IF(ISNUMBER(SEARCH("SUBSOLO",E1066)),IFERROR(-VALUE(LEFT(E1066,FIND("º",SUBSTITUTE(E1066,"°","º"))-1)),-1),IF(LEFT(E1066,6)="TÉRREO",0,IFERROR(VALUE(LEFT(E1066,FIND("º",SUBSTITUTE(E1066,"°","º"))-1)),""))))</f>
        <v>15</v>
      </c>
      <c r="O1066" s="2" t="str">
        <f aca="false">IF(OR(F1066="",G1066=""),"",IF(G1066&lt;='RETRATO 2027'!$K$5,"CONCLUÍDA",IF(F1066&lt;='RETRATO 2027'!$K$5,"EM ANDAMENTO","A INICIAR")))</f>
        <v>A INICIAR</v>
      </c>
    </row>
    <row r="1067" customFormat="false" ht="15" hidden="false" customHeight="false" outlineLevel="0" collapsed="false">
      <c r="B1067" s="4" t="n">
        <v>29981199</v>
      </c>
      <c r="C1067" s="4" t="s">
        <v>2486</v>
      </c>
      <c r="D1067" s="4" t="s">
        <v>463</v>
      </c>
      <c r="E1067" s="4" t="s">
        <v>2815</v>
      </c>
      <c r="F1067" s="127" t="n">
        <v>46764</v>
      </c>
      <c r="G1067" s="127" t="n">
        <v>46776</v>
      </c>
      <c r="H1067" s="127" t="n">
        <v>46289</v>
      </c>
      <c r="I1067" s="4" t="n">
        <v>0</v>
      </c>
      <c r="J1067" s="4" t="n">
        <v>0</v>
      </c>
      <c r="K1067" s="4" t="n">
        <v>0</v>
      </c>
      <c r="M1067" s="2" t="str">
        <f aca="false">IF(C1067="","",IFERROR(INDEX($S$5:$S$304,MATCH(C1067,$R$5:$R$304,0))&amp;"","?"))</f>
        <v>30</v>
      </c>
      <c r="N1067" s="2" t="n">
        <f aca="false">IF(E1067="","",IF(ISNUMBER(SEARCH("SUBSOLO",E1067)),IFERROR(-VALUE(LEFT(E1067,FIND("º",SUBSTITUTE(E1067,"°","º"))-1)),-1),IF(LEFT(E1067,6)="TÉRREO",0,IFERROR(VALUE(LEFT(E1067,FIND("º",SUBSTITUTE(E1067,"°","º"))-1)),""))))</f>
        <v>16</v>
      </c>
      <c r="O1067" s="2" t="str">
        <f aca="false">IF(OR(F1067="",G1067=""),"",IF(G1067&lt;='RETRATO 2027'!$K$5,"CONCLUÍDA",IF(F1067&lt;='RETRATO 2027'!$K$5,"EM ANDAMENTO","A INICIAR")))</f>
        <v>A INICIAR</v>
      </c>
    </row>
    <row r="1068" customFormat="false" ht="15" hidden="false" customHeight="false" outlineLevel="0" collapsed="false">
      <c r="B1068" s="4" t="n">
        <v>29981178</v>
      </c>
      <c r="C1068" s="4" t="s">
        <v>2480</v>
      </c>
      <c r="D1068" s="4" t="s">
        <v>463</v>
      </c>
      <c r="E1068" s="4" t="s">
        <v>2818</v>
      </c>
      <c r="F1068" s="127" t="n">
        <v>46764</v>
      </c>
      <c r="G1068" s="127" t="n">
        <v>46776</v>
      </c>
      <c r="H1068" s="127" t="n">
        <v>46289</v>
      </c>
      <c r="I1068" s="4" t="n">
        <v>0</v>
      </c>
      <c r="J1068" s="4" t="n">
        <v>0</v>
      </c>
      <c r="K1068" s="4" t="n">
        <v>0</v>
      </c>
      <c r="M1068" s="2" t="str">
        <f aca="false">IF(C1068="","",IFERROR(INDEX($S$5:$S$304,MATCH(C1068,$R$5:$R$304,0))&amp;"","?"))</f>
        <v>30</v>
      </c>
      <c r="N1068" s="2" t="n">
        <f aca="false">IF(E1068="","",IF(ISNUMBER(SEARCH("SUBSOLO",E1068)),IFERROR(-VALUE(LEFT(E1068,FIND("º",SUBSTITUTE(E1068,"°","º"))-1)),-1),IF(LEFT(E1068,6)="TÉRREO",0,IFERROR(VALUE(LEFT(E1068,FIND("º",SUBSTITUTE(E1068,"°","º"))-1)),""))))</f>
        <v>17</v>
      </c>
      <c r="O1068" s="2" t="str">
        <f aca="false">IF(OR(F1068="",G1068=""),"",IF(G1068&lt;='RETRATO 2027'!$K$5,"CONCLUÍDA",IF(F1068&lt;='RETRATO 2027'!$K$5,"EM ANDAMENTO","A INICIAR")))</f>
        <v>A INICIAR</v>
      </c>
    </row>
    <row r="1069" customFormat="false" ht="15" hidden="false" customHeight="false" outlineLevel="0" collapsed="false">
      <c r="B1069" s="4" t="n">
        <v>29981139</v>
      </c>
      <c r="C1069" s="4" t="s">
        <v>171</v>
      </c>
      <c r="D1069" s="4" t="s">
        <v>463</v>
      </c>
      <c r="E1069" s="4" t="s">
        <v>2820</v>
      </c>
      <c r="F1069" s="127" t="n">
        <v>46764</v>
      </c>
      <c r="G1069" s="127" t="n">
        <v>46776</v>
      </c>
      <c r="H1069" s="127" t="n">
        <v>46289</v>
      </c>
      <c r="I1069" s="4" t="n">
        <v>0</v>
      </c>
      <c r="J1069" s="4" t="n">
        <v>0</v>
      </c>
      <c r="K1069" s="4" t="n">
        <v>0</v>
      </c>
      <c r="M1069" s="2" t="str">
        <f aca="false">IF(C1069="","",IFERROR(INDEX($S$5:$S$304,MATCH(C1069,$R$5:$R$304,0))&amp;"","?"))</f>
        <v>19</v>
      </c>
      <c r="N1069" s="2" t="n">
        <f aca="false">IF(E1069="","",IF(ISNUMBER(SEARCH("SUBSOLO",E1069)),IFERROR(-VALUE(LEFT(E1069,FIND("º",SUBSTITUTE(E1069,"°","º"))-1)),-1),IF(LEFT(E1069,6)="TÉRREO",0,IFERROR(VALUE(LEFT(E1069,FIND("º",SUBSTITUTE(E1069,"°","º"))-1)),""))))</f>
        <v>18</v>
      </c>
      <c r="O1069" s="2" t="str">
        <f aca="false">IF(OR(F1069="",G1069=""),"",IF(G1069&lt;='RETRATO 2027'!$K$5,"CONCLUÍDA",IF(F1069&lt;='RETRATO 2027'!$K$5,"EM ANDAMENTO","A INICIAR")))</f>
        <v>A INICIAR</v>
      </c>
    </row>
    <row r="1070" customFormat="false" ht="15" hidden="false" customHeight="false" outlineLevel="0" collapsed="false">
      <c r="B1070" s="4" t="n">
        <v>32750446</v>
      </c>
      <c r="C1070" s="4" t="s">
        <v>2470</v>
      </c>
      <c r="D1070" s="4" t="s">
        <v>463</v>
      </c>
      <c r="E1070" s="4" t="s">
        <v>2823</v>
      </c>
      <c r="F1070" s="127" t="n">
        <v>46764</v>
      </c>
      <c r="G1070" s="127" t="n">
        <v>46776</v>
      </c>
      <c r="H1070" s="127" t="n">
        <v>46289</v>
      </c>
      <c r="I1070" s="4" t="n">
        <v>0</v>
      </c>
      <c r="J1070" s="4" t="n">
        <v>0</v>
      </c>
      <c r="K1070" s="4" t="n">
        <v>0</v>
      </c>
      <c r="M1070" s="2" t="str">
        <f aca="false">IF(C1070="","",IFERROR(INDEX($S$5:$S$304,MATCH(C1070,$R$5:$R$304,0))&amp;"","?"))</f>
        <v>18</v>
      </c>
      <c r="N1070" s="2" t="n">
        <f aca="false">IF(E1070="","",IF(ISNUMBER(SEARCH("SUBSOLO",E1070)),IFERROR(-VALUE(LEFT(E1070,FIND("º",SUBSTITUTE(E1070,"°","º"))-1)),-1),IF(LEFT(E1070,6)="TÉRREO",0,IFERROR(VALUE(LEFT(E1070,FIND("º",SUBSTITUTE(E1070,"°","º"))-1)),""))))</f>
        <v>20</v>
      </c>
      <c r="O1070" s="2" t="str">
        <f aca="false">IF(OR(F1070="",G1070=""),"",IF(G1070&lt;='RETRATO 2027'!$K$5,"CONCLUÍDA",IF(F1070&lt;='RETRATO 2027'!$K$5,"EM ANDAMENTO","A INICIAR")))</f>
        <v>A INICIAR</v>
      </c>
    </row>
    <row r="1071" customFormat="false" ht="15" hidden="false" customHeight="false" outlineLevel="0" collapsed="false">
      <c r="B1071" s="4" t="n">
        <v>32750369</v>
      </c>
      <c r="C1071" s="4" t="s">
        <v>2458</v>
      </c>
      <c r="D1071" s="4" t="s">
        <v>463</v>
      </c>
      <c r="E1071" s="4" t="s">
        <v>2825</v>
      </c>
      <c r="F1071" s="127" t="n">
        <v>46764</v>
      </c>
      <c r="G1071" s="127" t="n">
        <v>46776</v>
      </c>
      <c r="H1071" s="127" t="n">
        <v>46289</v>
      </c>
      <c r="I1071" s="4" t="n">
        <v>0</v>
      </c>
      <c r="J1071" s="4" t="n">
        <v>0</v>
      </c>
      <c r="K1071" s="4" t="n">
        <v>0</v>
      </c>
      <c r="M1071" s="2" t="str">
        <f aca="false">IF(C1071="","",IFERROR(INDEX($S$5:$S$304,MATCH(C1071,$R$5:$R$304,0))&amp;"","?"))</f>
        <v>21</v>
      </c>
      <c r="N1071" s="2" t="n">
        <f aca="false">IF(E1071="","",IF(ISNUMBER(SEARCH("SUBSOLO",E1071)),IFERROR(-VALUE(LEFT(E1071,FIND("º",SUBSTITUTE(E1071,"°","º"))-1)),-1),IF(LEFT(E1071,6)="TÉRREO",0,IFERROR(VALUE(LEFT(E1071,FIND("º",SUBSTITUTE(E1071,"°","º"))-1)),""))))</f>
        <v>21</v>
      </c>
      <c r="O1071" s="2" t="str">
        <f aca="false">IF(OR(F1071="",G1071=""),"",IF(G1071&lt;='RETRATO 2027'!$K$5,"CONCLUÍDA",IF(F1071&lt;='RETRATO 2027'!$K$5,"EM ANDAMENTO","A INICIAR")))</f>
        <v>A INICIAR</v>
      </c>
    </row>
    <row r="1072" customFormat="false" ht="15" hidden="false" customHeight="false" outlineLevel="0" collapsed="false">
      <c r="B1072" s="4" t="n">
        <v>32750395</v>
      </c>
      <c r="C1072" s="4" t="s">
        <v>2461</v>
      </c>
      <c r="D1072" s="4" t="s">
        <v>463</v>
      </c>
      <c r="E1072" s="4" t="s">
        <v>2825</v>
      </c>
      <c r="F1072" s="127" t="n">
        <v>46764</v>
      </c>
      <c r="G1072" s="127" t="n">
        <v>46776</v>
      </c>
      <c r="H1072" s="127" t="n">
        <v>46289</v>
      </c>
      <c r="I1072" s="4" t="n">
        <v>0</v>
      </c>
      <c r="J1072" s="4" t="n">
        <v>0</v>
      </c>
      <c r="K1072" s="4" t="n">
        <v>0</v>
      </c>
      <c r="M1072" s="2" t="str">
        <f aca="false">IF(C1072="","",IFERROR(INDEX($S$5:$S$304,MATCH(C1072,$R$5:$R$304,0))&amp;"","?"))</f>
        <v>20</v>
      </c>
      <c r="N1072" s="2" t="n">
        <f aca="false">IF(E1072="","",IF(ISNUMBER(SEARCH("SUBSOLO",E1072)),IFERROR(-VALUE(LEFT(E1072,FIND("º",SUBSTITUTE(E1072,"°","º"))-1)),-1),IF(LEFT(E1072,6)="TÉRREO",0,IFERROR(VALUE(LEFT(E1072,FIND("º",SUBSTITUTE(E1072,"°","º"))-1)),""))))</f>
        <v>21</v>
      </c>
      <c r="O1072" s="2" t="str">
        <f aca="false">IF(OR(F1072="",G1072=""),"",IF(G1072&lt;='RETRATO 2027'!$K$5,"CONCLUÍDA",IF(F1072&lt;='RETRATO 2027'!$K$5,"EM ANDAMENTO","A INICIAR")))</f>
        <v>A INICIAR</v>
      </c>
    </row>
    <row r="1073" customFormat="false" ht="15" hidden="false" customHeight="false" outlineLevel="0" collapsed="false">
      <c r="B1073" s="4" t="n">
        <v>32750421</v>
      </c>
      <c r="C1073" s="4" t="s">
        <v>2464</v>
      </c>
      <c r="D1073" s="4" t="s">
        <v>463</v>
      </c>
      <c r="E1073" s="4" t="s">
        <v>2825</v>
      </c>
      <c r="F1073" s="127" t="n">
        <v>46764</v>
      </c>
      <c r="G1073" s="127" t="n">
        <v>46776</v>
      </c>
      <c r="H1073" s="127" t="n">
        <v>46289</v>
      </c>
      <c r="I1073" s="4" t="n">
        <v>0</v>
      </c>
      <c r="J1073" s="4" t="n">
        <v>0</v>
      </c>
      <c r="K1073" s="4" t="n">
        <v>0</v>
      </c>
      <c r="M1073" s="2" t="str">
        <f aca="false">IF(C1073="","",IFERROR(INDEX($S$5:$S$304,MATCH(C1073,$R$5:$R$304,0))&amp;"","?"))</f>
        <v>21</v>
      </c>
      <c r="N1073" s="2" t="n">
        <f aca="false">IF(E1073="","",IF(ISNUMBER(SEARCH("SUBSOLO",E1073)),IFERROR(-VALUE(LEFT(E1073,FIND("º",SUBSTITUTE(E1073,"°","º"))-1)),-1),IF(LEFT(E1073,6)="TÉRREO",0,IFERROR(VALUE(LEFT(E1073,FIND("º",SUBSTITUTE(E1073,"°","º"))-1)),""))))</f>
        <v>21</v>
      </c>
      <c r="O1073" s="2" t="str">
        <f aca="false">IF(OR(F1073="",G1073=""),"",IF(G1073&lt;='RETRATO 2027'!$K$5,"CONCLUÍDA",IF(F1073&lt;='RETRATO 2027'!$K$5,"EM ANDAMENTO","A INICIAR")))</f>
        <v>A INICIAR</v>
      </c>
    </row>
    <row r="1074" customFormat="false" ht="15" hidden="false" customHeight="false" outlineLevel="0" collapsed="false">
      <c r="B1074" s="4" t="n">
        <v>33896839</v>
      </c>
      <c r="C1074" s="4" t="s">
        <v>2467</v>
      </c>
      <c r="D1074" s="4" t="s">
        <v>463</v>
      </c>
      <c r="E1074" s="4" t="s">
        <v>2825</v>
      </c>
      <c r="F1074" s="127" t="n">
        <v>46764</v>
      </c>
      <c r="G1074" s="127" t="n">
        <v>46776</v>
      </c>
      <c r="H1074" s="127" t="n">
        <v>46289</v>
      </c>
      <c r="I1074" s="4" t="n">
        <v>0</v>
      </c>
      <c r="J1074" s="4" t="n">
        <v>0</v>
      </c>
      <c r="K1074" s="4" t="n">
        <v>0</v>
      </c>
      <c r="M1074" s="2" t="str">
        <f aca="false">IF(C1074="","",IFERROR(INDEX($S$5:$S$304,MATCH(C1074,$R$5:$R$304,0))&amp;"","?"))</f>
        <v>23</v>
      </c>
      <c r="N1074" s="2" t="n">
        <f aca="false">IF(E1074="","",IF(ISNUMBER(SEARCH("SUBSOLO",E1074)),IFERROR(-VALUE(LEFT(E1074,FIND("º",SUBSTITUTE(E1074,"°","º"))-1)),-1),IF(LEFT(E1074,6)="TÉRREO",0,IFERROR(VALUE(LEFT(E1074,FIND("º",SUBSTITUTE(E1074,"°","º"))-1)),""))))</f>
        <v>21</v>
      </c>
      <c r="O1074" s="2" t="str">
        <f aca="false">IF(OR(F1074="",G1074=""),"",IF(G1074&lt;='RETRATO 2027'!$K$5,"CONCLUÍDA",IF(F1074&lt;='RETRATO 2027'!$K$5,"EM ANDAMENTO","A INICIAR")))</f>
        <v>A INICIAR</v>
      </c>
    </row>
    <row r="1075" customFormat="false" ht="15" hidden="false" customHeight="false" outlineLevel="0" collapsed="false">
      <c r="B1075" s="4" t="n">
        <v>32749865</v>
      </c>
      <c r="C1075" s="4" t="s">
        <v>2455</v>
      </c>
      <c r="D1075" s="4" t="s">
        <v>463</v>
      </c>
      <c r="E1075" s="4" t="s">
        <v>2827</v>
      </c>
      <c r="F1075" s="127" t="n">
        <v>46764</v>
      </c>
      <c r="G1075" s="127" t="n">
        <v>46776</v>
      </c>
      <c r="H1075" s="127" t="n">
        <v>46289</v>
      </c>
      <c r="I1075" s="4" t="n">
        <v>0</v>
      </c>
      <c r="J1075" s="4" t="n">
        <v>0</v>
      </c>
      <c r="K1075" s="4" t="n">
        <v>0</v>
      </c>
      <c r="M1075" s="2" t="str">
        <f aca="false">IF(C1075="","",IFERROR(INDEX($S$5:$S$304,MATCH(C1075,$R$5:$R$304,0))&amp;"","?"))</f>
        <v>18</v>
      </c>
      <c r="N1075" s="2" t="n">
        <f aca="false">IF(E1075="","",IF(ISNUMBER(SEARCH("SUBSOLO",E1075)),IFERROR(-VALUE(LEFT(E1075,FIND("º",SUBSTITUTE(E1075,"°","º"))-1)),-1),IF(LEFT(E1075,6)="TÉRREO",0,IFERROR(VALUE(LEFT(E1075,FIND("º",SUBSTITUTE(E1075,"°","º"))-1)),""))))</f>
        <v>22</v>
      </c>
      <c r="O1075" s="2" t="str">
        <f aca="false">IF(OR(F1075="",G1075=""),"",IF(G1075&lt;='RETRATO 2027'!$K$5,"CONCLUÍDA",IF(F1075&lt;='RETRATO 2027'!$K$5,"EM ANDAMENTO","A INICIAR")))</f>
        <v>A INICIAR</v>
      </c>
    </row>
    <row r="1076" customFormat="false" ht="15" hidden="false" customHeight="false" outlineLevel="0" collapsed="false">
      <c r="B1076" s="4" t="n">
        <v>29980955</v>
      </c>
      <c r="C1076" s="4" t="s">
        <v>2449</v>
      </c>
      <c r="D1076" s="4" t="s">
        <v>463</v>
      </c>
      <c r="E1076" s="4" t="s">
        <v>2829</v>
      </c>
      <c r="F1076" s="127" t="n">
        <v>46764</v>
      </c>
      <c r="G1076" s="127" t="n">
        <v>46776</v>
      </c>
      <c r="H1076" s="127" t="n">
        <v>46289</v>
      </c>
      <c r="I1076" s="4" t="n">
        <v>0</v>
      </c>
      <c r="J1076" s="4" t="n">
        <v>0</v>
      </c>
      <c r="K1076" s="4" t="n">
        <v>0</v>
      </c>
      <c r="M1076" s="2" t="str">
        <f aca="false">IF(C1076="","",IFERROR(INDEX($S$5:$S$304,MATCH(C1076,$R$5:$R$304,0))&amp;"","?"))</f>
        <v>28</v>
      </c>
      <c r="N1076" s="2" t="n">
        <f aca="false">IF(E1076="","",IF(ISNUMBER(SEARCH("SUBSOLO",E1076)),IFERROR(-VALUE(LEFT(E1076,FIND("º",SUBSTITUTE(E1076,"°","º"))-1)),-1),IF(LEFT(E1076,6)="TÉRREO",0,IFERROR(VALUE(LEFT(E1076,FIND("º",SUBSTITUTE(E1076,"°","º"))-1)),""))))</f>
        <v>23</v>
      </c>
      <c r="O1076" s="2" t="str">
        <f aca="false">IF(OR(F1076="",G1076=""),"",IF(G1076&lt;='RETRATO 2027'!$K$5,"CONCLUÍDA",IF(F1076&lt;='RETRATO 2027'!$K$5,"EM ANDAMENTO","A INICIAR")))</f>
        <v>A INICIAR</v>
      </c>
    </row>
    <row r="1077" customFormat="false" ht="15" hidden="false" customHeight="false" outlineLevel="0" collapsed="false">
      <c r="B1077" s="4" t="n">
        <v>29980895</v>
      </c>
      <c r="C1077" s="4" t="s">
        <v>2440</v>
      </c>
      <c r="D1077" s="4" t="s">
        <v>463</v>
      </c>
      <c r="E1077" s="4" t="s">
        <v>2831</v>
      </c>
      <c r="F1077" s="127" t="n">
        <v>46764</v>
      </c>
      <c r="G1077" s="127" t="n">
        <v>46776</v>
      </c>
      <c r="H1077" s="127" t="n">
        <v>46289</v>
      </c>
      <c r="I1077" s="4" t="n">
        <v>0</v>
      </c>
      <c r="J1077" s="4" t="n">
        <v>0</v>
      </c>
      <c r="K1077" s="4" t="n">
        <v>0</v>
      </c>
      <c r="M1077" s="2" t="str">
        <f aca="false">IF(C1077="","",IFERROR(INDEX($S$5:$S$304,MATCH(C1077,$R$5:$R$304,0))&amp;"","?"))</f>
        <v>21</v>
      </c>
      <c r="N1077" s="2" t="n">
        <f aca="false">IF(E1077="","",IF(ISNUMBER(SEARCH("SUBSOLO",E1077)),IFERROR(-VALUE(LEFT(E1077,FIND("º",SUBSTITUTE(E1077,"°","º"))-1)),-1),IF(LEFT(E1077,6)="TÉRREO",0,IFERROR(VALUE(LEFT(E1077,FIND("º",SUBSTITUTE(E1077,"°","º"))-1)),""))))</f>
        <v>24</v>
      </c>
      <c r="O1077" s="2" t="str">
        <f aca="false">IF(OR(F1077="",G1077=""),"",IF(G1077&lt;='RETRATO 2027'!$K$5,"CONCLUÍDA",IF(F1077&lt;='RETRATO 2027'!$K$5,"EM ANDAMENTO","A INICIAR")))</f>
        <v>A INICIAR</v>
      </c>
    </row>
    <row r="1078" customFormat="false" ht="15" hidden="false" customHeight="false" outlineLevel="0" collapsed="false">
      <c r="B1078" s="4" t="n">
        <v>29980928</v>
      </c>
      <c r="C1078" s="4" t="s">
        <v>2443</v>
      </c>
      <c r="D1078" s="4" t="s">
        <v>463</v>
      </c>
      <c r="E1078" s="4" t="s">
        <v>2831</v>
      </c>
      <c r="F1078" s="127" t="n">
        <v>46764</v>
      </c>
      <c r="G1078" s="127" t="n">
        <v>46776</v>
      </c>
      <c r="H1078" s="127" t="n">
        <v>46289</v>
      </c>
      <c r="I1078" s="4" t="n">
        <v>0</v>
      </c>
      <c r="J1078" s="4" t="n">
        <v>0</v>
      </c>
      <c r="K1078" s="4" t="n">
        <v>0</v>
      </c>
      <c r="M1078" s="2" t="str">
        <f aca="false">IF(C1078="","",IFERROR(INDEX($S$5:$S$304,MATCH(C1078,$R$5:$R$304,0))&amp;"","?"))</f>
        <v>20</v>
      </c>
      <c r="N1078" s="2" t="n">
        <f aca="false">IF(E1078="","",IF(ISNUMBER(SEARCH("SUBSOLO",E1078)),IFERROR(-VALUE(LEFT(E1078,FIND("º",SUBSTITUTE(E1078,"°","º"))-1)),-1),IF(LEFT(E1078,6)="TÉRREO",0,IFERROR(VALUE(LEFT(E1078,FIND("º",SUBSTITUTE(E1078,"°","º"))-1)),""))))</f>
        <v>24</v>
      </c>
      <c r="O1078" s="2" t="str">
        <f aca="false">IF(OR(F1078="",G1078=""),"",IF(G1078&lt;='RETRATO 2027'!$K$5,"CONCLUÍDA",IF(F1078&lt;='RETRATO 2027'!$K$5,"EM ANDAMENTO","A INICIAR")))</f>
        <v>A INICIAR</v>
      </c>
    </row>
    <row r="1079" customFormat="false" ht="15" hidden="false" customHeight="false" outlineLevel="0" collapsed="false">
      <c r="B1079" s="4" t="n">
        <v>29980857</v>
      </c>
      <c r="C1079" s="4" t="s">
        <v>2437</v>
      </c>
      <c r="D1079" s="4" t="s">
        <v>463</v>
      </c>
      <c r="E1079" s="4" t="s">
        <v>2833</v>
      </c>
      <c r="F1079" s="127" t="n">
        <v>46764</v>
      </c>
      <c r="G1079" s="127" t="n">
        <v>46776</v>
      </c>
      <c r="H1079" s="127" t="n">
        <v>46289</v>
      </c>
      <c r="I1079" s="4" t="n">
        <v>0</v>
      </c>
      <c r="J1079" s="4" t="n">
        <v>0</v>
      </c>
      <c r="K1079" s="4" t="n">
        <v>0</v>
      </c>
      <c r="M1079" s="2" t="str">
        <f aca="false">IF(C1079="","",IFERROR(INDEX($S$5:$S$304,MATCH(C1079,$R$5:$R$304,0))&amp;"","?"))</f>
        <v>29</v>
      </c>
      <c r="N1079" s="2" t="n">
        <f aca="false">IF(E1079="","",IF(ISNUMBER(SEARCH("SUBSOLO",E1079)),IFERROR(-VALUE(LEFT(E1079,FIND("º",SUBSTITUTE(E1079,"°","º"))-1)),-1),IF(LEFT(E1079,6)="TÉRREO",0,IFERROR(VALUE(LEFT(E1079,FIND("º",SUBSTITUTE(E1079,"°","º"))-1)),""))))</f>
        <v>25</v>
      </c>
      <c r="O1079" s="2" t="str">
        <f aca="false">IF(OR(F1079="",G1079=""),"",IF(G1079&lt;='RETRATO 2027'!$K$5,"CONCLUÍDA",IF(F1079&lt;='RETRATO 2027'!$K$5,"EM ANDAMENTO","A INICIAR")))</f>
        <v>A INICIAR</v>
      </c>
    </row>
    <row r="1080" customFormat="false" ht="15" hidden="false" customHeight="false" outlineLevel="0" collapsed="false">
      <c r="B1080" s="4" t="n">
        <v>29980823</v>
      </c>
      <c r="C1080" s="4" t="s">
        <v>2434</v>
      </c>
      <c r="D1080" s="4" t="s">
        <v>463</v>
      </c>
      <c r="E1080" s="4" t="s">
        <v>2834</v>
      </c>
      <c r="F1080" s="127" t="n">
        <v>46764</v>
      </c>
      <c r="G1080" s="127" t="n">
        <v>46776</v>
      </c>
      <c r="H1080" s="127" t="n">
        <v>46289</v>
      </c>
      <c r="I1080" s="4" t="n">
        <v>0</v>
      </c>
      <c r="J1080" s="4" t="n">
        <v>0</v>
      </c>
      <c r="K1080" s="4" t="n">
        <v>0</v>
      </c>
      <c r="M1080" s="2" t="str">
        <f aca="false">IF(C1080="","",IFERROR(INDEX($S$5:$S$304,MATCH(C1080,$R$5:$R$304,0))&amp;"","?"))</f>
        <v>25</v>
      </c>
      <c r="N1080" s="2" t="n">
        <f aca="false">IF(E1080="","",IF(ISNUMBER(SEARCH("SUBSOLO",E1080)),IFERROR(-VALUE(LEFT(E1080,FIND("º",SUBSTITUTE(E1080,"°","º"))-1)),-1),IF(LEFT(E1080,6)="TÉRREO",0,IFERROR(VALUE(LEFT(E1080,FIND("º",SUBSTITUTE(E1080,"°","º"))-1)),""))))</f>
        <v>26</v>
      </c>
      <c r="O1080" s="2" t="str">
        <f aca="false">IF(OR(F1080="",G1080=""),"",IF(G1080&lt;='RETRATO 2027'!$K$5,"CONCLUÍDA",IF(F1080&lt;='RETRATO 2027'!$K$5,"EM ANDAMENTO","A INICIAR")))</f>
        <v>A INICIAR</v>
      </c>
    </row>
    <row r="1081" customFormat="false" ht="15" hidden="false" customHeight="false" outlineLevel="0" collapsed="false">
      <c r="B1081" s="4" t="n">
        <v>29980816</v>
      </c>
      <c r="C1081" s="4" t="s">
        <v>2425</v>
      </c>
      <c r="D1081" s="4" t="s">
        <v>463</v>
      </c>
      <c r="E1081" s="4" t="s">
        <v>2838</v>
      </c>
      <c r="F1081" s="127" t="n">
        <v>46764</v>
      </c>
      <c r="G1081" s="127" t="n">
        <v>46776</v>
      </c>
      <c r="H1081" s="127" t="n">
        <v>46289</v>
      </c>
      <c r="I1081" s="4" t="n">
        <v>0</v>
      </c>
      <c r="J1081" s="4" t="n">
        <v>0</v>
      </c>
      <c r="K1081" s="4" t="n">
        <v>0</v>
      </c>
      <c r="M1081" s="2" t="str">
        <f aca="false">IF(C1081="","",IFERROR(INDEX($S$5:$S$304,MATCH(C1081,$R$5:$R$304,0))&amp;"","?"))</f>
        <v>21</v>
      </c>
      <c r="N1081" s="2" t="n">
        <f aca="false">IF(E1081="","",IF(ISNUMBER(SEARCH("SUBSOLO",E1081)),IFERROR(-VALUE(LEFT(E1081,FIND("º",SUBSTITUTE(E1081,"°","º"))-1)),-1),IF(LEFT(E1081,6)="TÉRREO",0,IFERROR(VALUE(LEFT(E1081,FIND("º",SUBSTITUTE(E1081,"°","º"))-1)),""))))</f>
        <v>27</v>
      </c>
      <c r="O1081" s="2" t="str">
        <f aca="false">IF(OR(F1081="",G1081=""),"",IF(G1081&lt;='RETRATO 2027'!$K$5,"CONCLUÍDA",IF(F1081&lt;='RETRATO 2027'!$K$5,"EM ANDAMENTO","A INICIAR")))</f>
        <v>A INICIAR</v>
      </c>
    </row>
    <row r="1082" customFormat="false" ht="15" hidden="false" customHeight="false" outlineLevel="0" collapsed="false">
      <c r="B1082" s="4" t="n">
        <v>29980785</v>
      </c>
      <c r="C1082" s="4" t="s">
        <v>2428</v>
      </c>
      <c r="D1082" s="4" t="s">
        <v>463</v>
      </c>
      <c r="E1082" s="4" t="s">
        <v>2838</v>
      </c>
      <c r="F1082" s="127" t="n">
        <v>46764</v>
      </c>
      <c r="G1082" s="127" t="n">
        <v>46776</v>
      </c>
      <c r="H1082" s="127" t="n">
        <v>46289</v>
      </c>
      <c r="I1082" s="4" t="n">
        <v>0</v>
      </c>
      <c r="J1082" s="4" t="n">
        <v>0</v>
      </c>
      <c r="K1082" s="4" t="n">
        <v>0</v>
      </c>
      <c r="M1082" s="2" t="str">
        <f aca="false">IF(C1082="","",IFERROR(INDEX($S$5:$S$304,MATCH(C1082,$R$5:$R$304,0))&amp;"","?"))</f>
        <v>20</v>
      </c>
      <c r="N1082" s="2" t="n">
        <f aca="false">IF(E1082="","",IF(ISNUMBER(SEARCH("SUBSOLO",E1082)),IFERROR(-VALUE(LEFT(E1082,FIND("º",SUBSTITUTE(E1082,"°","º"))-1)),-1),IF(LEFT(E1082,6)="TÉRREO",0,IFERROR(VALUE(LEFT(E1082,FIND("º",SUBSTITUTE(E1082,"°","º"))-1)),""))))</f>
        <v>27</v>
      </c>
      <c r="O1082" s="2" t="str">
        <f aca="false">IF(OR(F1082="",G1082=""),"",IF(G1082&lt;='RETRATO 2027'!$K$5,"CONCLUÍDA",IF(F1082&lt;='RETRATO 2027'!$K$5,"EM ANDAMENTO","A INICIAR")))</f>
        <v>A INICIAR</v>
      </c>
    </row>
    <row r="1083" customFormat="false" ht="15" hidden="false" customHeight="false" outlineLevel="0" collapsed="false">
      <c r="B1083" s="4" t="n">
        <v>29980818</v>
      </c>
      <c r="C1083" s="4" t="s">
        <v>2431</v>
      </c>
      <c r="D1083" s="4" t="s">
        <v>463</v>
      </c>
      <c r="E1083" s="4" t="s">
        <v>2838</v>
      </c>
      <c r="F1083" s="127" t="n">
        <v>46764</v>
      </c>
      <c r="G1083" s="127" t="n">
        <v>46776</v>
      </c>
      <c r="H1083" s="127" t="n">
        <v>46289</v>
      </c>
      <c r="I1083" s="4" t="n">
        <v>0</v>
      </c>
      <c r="J1083" s="4" t="n">
        <v>0</v>
      </c>
      <c r="K1083" s="4" t="n">
        <v>0</v>
      </c>
      <c r="M1083" s="2" t="str">
        <f aca="false">IF(C1083="","",IFERROR(INDEX($S$5:$S$304,MATCH(C1083,$R$5:$R$304,0))&amp;"","?"))</f>
        <v>21</v>
      </c>
      <c r="N1083" s="2" t="n">
        <f aca="false">IF(E1083="","",IF(ISNUMBER(SEARCH("SUBSOLO",E1083)),IFERROR(-VALUE(LEFT(E1083,FIND("º",SUBSTITUTE(E1083,"°","º"))-1)),-1),IF(LEFT(E1083,6)="TÉRREO",0,IFERROR(VALUE(LEFT(E1083,FIND("º",SUBSTITUTE(E1083,"°","º"))-1)),""))))</f>
        <v>27</v>
      </c>
      <c r="O1083" s="2" t="str">
        <f aca="false">IF(OR(F1083="",G1083=""),"",IF(G1083&lt;='RETRATO 2027'!$K$5,"CONCLUÍDA",IF(F1083&lt;='RETRATO 2027'!$K$5,"EM ANDAMENTO","A INICIAR")))</f>
        <v>A INICIAR</v>
      </c>
    </row>
    <row r="1084" customFormat="false" ht="15" hidden="false" customHeight="false" outlineLevel="0" collapsed="false">
      <c r="B1084" s="4" t="n">
        <v>29980765</v>
      </c>
      <c r="C1084" s="4" t="s">
        <v>2422</v>
      </c>
      <c r="D1084" s="4" t="s">
        <v>463</v>
      </c>
      <c r="E1084" s="4" t="s">
        <v>2840</v>
      </c>
      <c r="F1084" s="127" t="n">
        <v>46764</v>
      </c>
      <c r="G1084" s="127" t="n">
        <v>46776</v>
      </c>
      <c r="H1084" s="127" t="n">
        <v>46289</v>
      </c>
      <c r="I1084" s="4" t="n">
        <v>0</v>
      </c>
      <c r="J1084" s="4" t="n">
        <v>0</v>
      </c>
      <c r="K1084" s="4" t="n">
        <v>0</v>
      </c>
      <c r="M1084" s="2" t="str">
        <f aca="false">IF(C1084="","",IFERROR(INDEX($S$5:$S$304,MATCH(C1084,$R$5:$R$304,0))&amp;"","?"))</f>
        <v>29</v>
      </c>
      <c r="N1084" s="2" t="n">
        <f aca="false">IF(E1084="","",IF(ISNUMBER(SEARCH("SUBSOLO",E1084)),IFERROR(-VALUE(LEFT(E1084,FIND("º",SUBSTITUTE(E1084,"°","º"))-1)),-1),IF(LEFT(E1084,6)="TÉRREO",0,IFERROR(VALUE(LEFT(E1084,FIND("º",SUBSTITUTE(E1084,"°","º"))-1)),""))))</f>
        <v>28</v>
      </c>
      <c r="O1084" s="2" t="str">
        <f aca="false">IF(OR(F1084="",G1084=""),"",IF(G1084&lt;='RETRATO 2027'!$K$5,"CONCLUÍDA",IF(F1084&lt;='RETRATO 2027'!$K$5,"EM ANDAMENTO","A INICIAR")))</f>
        <v>A INICIAR</v>
      </c>
    </row>
    <row r="1085" customFormat="false" ht="15" hidden="false" customHeight="false" outlineLevel="0" collapsed="false">
      <c r="B1085" s="4" t="n">
        <v>29980731</v>
      </c>
      <c r="C1085" s="4" t="s">
        <v>2413</v>
      </c>
      <c r="D1085" s="4" t="s">
        <v>463</v>
      </c>
      <c r="E1085" s="4" t="s">
        <v>2841</v>
      </c>
      <c r="F1085" s="127" t="n">
        <v>46764</v>
      </c>
      <c r="G1085" s="127" t="n">
        <v>46776</v>
      </c>
      <c r="H1085" s="127" t="n">
        <v>46289</v>
      </c>
      <c r="I1085" s="4" t="n">
        <v>0</v>
      </c>
      <c r="J1085" s="4" t="n">
        <v>0</v>
      </c>
      <c r="K1085" s="4" t="n">
        <v>0</v>
      </c>
      <c r="M1085" s="2" t="str">
        <f aca="false">IF(C1085="","",IFERROR(INDEX($S$5:$S$304,MATCH(C1085,$R$5:$R$304,0))&amp;"","?"))</f>
        <v>21</v>
      </c>
      <c r="N1085" s="2" t="n">
        <f aca="false">IF(E1085="","",IF(ISNUMBER(SEARCH("SUBSOLO",E1085)),IFERROR(-VALUE(LEFT(E1085,FIND("º",SUBSTITUTE(E1085,"°","º"))-1)),-1),IF(LEFT(E1085,6)="TÉRREO",0,IFERROR(VALUE(LEFT(E1085,FIND("º",SUBSTITUTE(E1085,"°","º"))-1)),""))))</f>
        <v>29</v>
      </c>
      <c r="O1085" s="2" t="str">
        <f aca="false">IF(OR(F1085="",G1085=""),"",IF(G1085&lt;='RETRATO 2027'!$K$5,"CONCLUÍDA",IF(F1085&lt;='RETRATO 2027'!$K$5,"EM ANDAMENTO","A INICIAR")))</f>
        <v>A INICIAR</v>
      </c>
    </row>
    <row r="1086" customFormat="false" ht="15" hidden="false" customHeight="false" outlineLevel="0" collapsed="false">
      <c r="B1086" s="4" t="n">
        <v>30171407</v>
      </c>
      <c r="C1086" s="4" t="s">
        <v>2428</v>
      </c>
      <c r="D1086" s="4" t="s">
        <v>463</v>
      </c>
      <c r="E1086" s="4" t="s">
        <v>2801</v>
      </c>
      <c r="F1086" s="127" t="n">
        <v>46765</v>
      </c>
      <c r="G1086" s="127" t="n">
        <v>46806</v>
      </c>
      <c r="H1086" s="127" t="n">
        <v>46289</v>
      </c>
      <c r="I1086" s="4" t="n">
        <v>0</v>
      </c>
      <c r="J1086" s="4" t="n">
        <v>0</v>
      </c>
      <c r="K1086" s="4" t="n">
        <v>0</v>
      </c>
      <c r="M1086" s="2" t="str">
        <f aca="false">IF(C1086="","",IFERROR(INDEX($S$5:$S$304,MATCH(C1086,$R$5:$R$304,0))&amp;"","?"))</f>
        <v>20</v>
      </c>
      <c r="N1086" s="2" t="n">
        <f aca="false">IF(E1086="","",IF(ISNUMBER(SEARCH("SUBSOLO",E1086)),IFERROR(-VALUE(LEFT(E1086,FIND("º",SUBSTITUTE(E1086,"°","º"))-1)),-1),IF(LEFT(E1086,6)="TÉRREO",0,IFERROR(VALUE(LEFT(E1086,FIND("º",SUBSTITUTE(E1086,"°","º"))-1)),""))))</f>
        <v>5</v>
      </c>
      <c r="O1086" s="2" t="str">
        <f aca="false">IF(OR(F1086="",G1086=""),"",IF(G1086&lt;='RETRATO 2027'!$K$5,"CONCLUÍDA",IF(F1086&lt;='RETRATO 2027'!$K$5,"EM ANDAMENTO","A INICIAR")))</f>
        <v>A INICIAR</v>
      </c>
    </row>
    <row r="1087" customFormat="false" ht="15" hidden="false" customHeight="false" outlineLevel="0" collapsed="false">
      <c r="B1087" s="4" t="n">
        <v>30171392</v>
      </c>
      <c r="C1087" s="4" t="s">
        <v>2452</v>
      </c>
      <c r="D1087" s="4" t="s">
        <v>463</v>
      </c>
      <c r="E1087" s="4" t="s">
        <v>2801</v>
      </c>
      <c r="F1087" s="127" t="n">
        <v>46765</v>
      </c>
      <c r="G1087" s="127" t="n">
        <v>46806</v>
      </c>
      <c r="H1087" s="127" t="n">
        <v>46289</v>
      </c>
      <c r="I1087" s="4" t="n">
        <v>0</v>
      </c>
      <c r="J1087" s="4" t="n">
        <v>0</v>
      </c>
      <c r="K1087" s="4" t="n">
        <v>0</v>
      </c>
      <c r="M1087" s="2" t="str">
        <f aca="false">IF(C1087="","",IFERROR(INDEX($S$5:$S$304,MATCH(C1087,$R$5:$R$304,0))&amp;"","?"))</f>
        <v>21</v>
      </c>
      <c r="N1087" s="2" t="n">
        <f aca="false">IF(E1087="","",IF(ISNUMBER(SEARCH("SUBSOLO",E1087)),IFERROR(-VALUE(LEFT(E1087,FIND("º",SUBSTITUTE(E1087,"°","º"))-1)),-1),IF(LEFT(E1087,6)="TÉRREO",0,IFERROR(VALUE(LEFT(E1087,FIND("º",SUBSTITUTE(E1087,"°","º"))-1)),""))))</f>
        <v>5</v>
      </c>
      <c r="O1087" s="2" t="str">
        <f aca="false">IF(OR(F1087="",G1087=""),"",IF(G1087&lt;='RETRATO 2027'!$K$5,"CONCLUÍDA",IF(F1087&lt;='RETRATO 2027'!$K$5,"EM ANDAMENTO","A INICIAR")))</f>
        <v>A INICIAR</v>
      </c>
    </row>
    <row r="1088" customFormat="false" ht="15" hidden="false" customHeight="false" outlineLevel="0" collapsed="false">
      <c r="B1088" s="4" t="n">
        <v>31789531</v>
      </c>
      <c r="C1088" s="4" t="s">
        <v>2557</v>
      </c>
      <c r="D1088" s="4" t="s">
        <v>463</v>
      </c>
      <c r="E1088" s="4" t="s">
        <v>2678</v>
      </c>
      <c r="F1088" s="127" t="n">
        <v>46765</v>
      </c>
      <c r="G1088" s="127" t="n">
        <v>46834</v>
      </c>
      <c r="H1088" s="127" t="n">
        <v>46289</v>
      </c>
      <c r="I1088" s="4" t="n">
        <v>0</v>
      </c>
      <c r="J1088" s="4" t="n">
        <v>0</v>
      </c>
      <c r="K1088" s="4" t="n">
        <v>0</v>
      </c>
      <c r="M1088" s="2" t="str">
        <f aca="false">IF(C1088="","",IFERROR(INDEX($S$5:$S$304,MATCH(C1088,$R$5:$R$304,0))&amp;"","?"))</f>
        <v>32</v>
      </c>
      <c r="N1088" s="2" t="str">
        <f aca="false"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 t="str">
        <f aca="false">IF(OR(F1088="",G1088=""),"",IF(G1088&lt;='RETRATO 2027'!$K$5,"CONCLUÍDA",IF(F1088&lt;='RETRATO 2027'!$K$5,"EM ANDAMENTO","A INICIAR")))</f>
        <v>A INICIAR</v>
      </c>
    </row>
    <row r="1089" customFormat="false" ht="15" hidden="false" customHeight="false" outlineLevel="0" collapsed="false">
      <c r="B1089" s="4" t="n">
        <v>30205625</v>
      </c>
      <c r="C1089" s="4" t="s">
        <v>2539</v>
      </c>
      <c r="D1089" s="4" t="s">
        <v>463</v>
      </c>
      <c r="E1089" s="4" t="s">
        <v>2826</v>
      </c>
      <c r="F1089" s="127" t="n">
        <v>46766</v>
      </c>
      <c r="G1089" s="127" t="n">
        <v>46779</v>
      </c>
      <c r="H1089" s="127" t="n">
        <v>46289</v>
      </c>
      <c r="I1089" s="4" t="n">
        <v>0</v>
      </c>
      <c r="J1089" s="4" t="n">
        <v>0</v>
      </c>
      <c r="K1089" s="4" t="n">
        <v>0</v>
      </c>
      <c r="M1089" s="2" t="str">
        <f aca="false">IF(C1089="","",IFERROR(INDEX($S$5:$S$304,MATCH(C1089,$R$5:$R$304,0))&amp;"","?"))</f>
        <v>35</v>
      </c>
      <c r="N1089" s="2" t="n">
        <f aca="false">IF(E1089="","",IF(ISNUMBER(SEARCH("SUBSOLO",E1089)),IFERROR(-VALUE(LEFT(E1089,FIND("º",SUBSTITUTE(E1089,"°","º"))-1)),-1),IF(LEFT(E1089,6)="TÉRREO",0,IFERROR(VALUE(LEFT(E1089,FIND("º",SUBSTITUTE(E1089,"°","º"))-1)),""))))</f>
        <v>0</v>
      </c>
      <c r="O1089" s="2" t="str">
        <f aca="false">IF(OR(F1089="",G1089=""),"",IF(G1089&lt;='RETRATO 2027'!$K$5,"CONCLUÍDA",IF(F1089&lt;='RETRATO 2027'!$K$5,"EM ANDAMENTO","A INICIAR")))</f>
        <v>A INICIAR</v>
      </c>
    </row>
    <row r="1090" customFormat="false" ht="15" hidden="false" customHeight="false" outlineLevel="0" collapsed="false">
      <c r="B1090" s="4" t="n">
        <v>30205595</v>
      </c>
      <c r="C1090" s="4" t="s">
        <v>216</v>
      </c>
      <c r="D1090" s="4" t="s">
        <v>463</v>
      </c>
      <c r="E1090" s="4" t="s">
        <v>2828</v>
      </c>
      <c r="F1090" s="127" t="n">
        <v>46766</v>
      </c>
      <c r="G1090" s="127" t="n">
        <v>46779</v>
      </c>
      <c r="H1090" s="127" t="n">
        <v>46289</v>
      </c>
      <c r="I1090" s="4" t="n">
        <v>0</v>
      </c>
      <c r="J1090" s="4" t="n">
        <v>0</v>
      </c>
      <c r="K1090" s="4" t="n">
        <v>0</v>
      </c>
      <c r="M1090" s="2" t="str">
        <f aca="false">IF(C1090="","",IFERROR(INDEX($S$5:$S$304,MATCH(C1090,$R$5:$R$304,0))&amp;"","?"))</f>
        <v>33</v>
      </c>
      <c r="N1090" s="2" t="n">
        <f aca="false">IF(E1090="","",IF(ISNUMBER(SEARCH("SUBSOLO",E1090)),IFERROR(-VALUE(LEFT(E1090,FIND("º",SUBSTITUTE(E1090,"°","º"))-1)),-1),IF(LEFT(E1090,6)="TÉRREO",0,IFERROR(VALUE(LEFT(E1090,FIND("º",SUBSTITUTE(E1090,"°","º"))-1)),""))))</f>
        <v>0</v>
      </c>
      <c r="O1090" s="2" t="str">
        <f aca="false">IF(OR(F1090="",G1090=""),"",IF(G1090&lt;='RETRATO 2027'!$K$5,"CONCLUÍDA",IF(F1090&lt;='RETRATO 2027'!$K$5,"EM ANDAMENTO","A INICIAR")))</f>
        <v>A INICIAR</v>
      </c>
    </row>
    <row r="1091" customFormat="false" ht="15" hidden="false" customHeight="false" outlineLevel="0" collapsed="false">
      <c r="B1091" s="4" t="n">
        <v>30205567</v>
      </c>
      <c r="C1091" s="4" t="s">
        <v>2501</v>
      </c>
      <c r="D1091" s="4" t="s">
        <v>463</v>
      </c>
      <c r="E1091" s="4" t="s">
        <v>2830</v>
      </c>
      <c r="F1091" s="127" t="n">
        <v>46766</v>
      </c>
      <c r="G1091" s="127" t="n">
        <v>46779</v>
      </c>
      <c r="H1091" s="127" t="n">
        <v>46289</v>
      </c>
      <c r="I1091" s="4" t="n">
        <v>0</v>
      </c>
      <c r="J1091" s="4" t="n">
        <v>0</v>
      </c>
      <c r="K1091" s="4" t="n">
        <v>0</v>
      </c>
      <c r="M1091" s="2" t="str">
        <f aca="false">IF(C1091="","",IFERROR(INDEX($S$5:$S$304,MATCH(C1091,$R$5:$R$304,0))&amp;"","?"))</f>
        <v>30</v>
      </c>
      <c r="N1091" s="2" t="n">
        <f aca="false">IF(E1091="","",IF(ISNUMBER(SEARCH("SUBSOLO",E1091)),IFERROR(-VALUE(LEFT(E1091,FIND("º",SUBSTITUTE(E1091,"°","º"))-1)),-1),IF(LEFT(E1091,6)="TÉRREO",0,IFERROR(VALUE(LEFT(E1091,FIND("º",SUBSTITUTE(E1091,"°","º"))-1)),""))))</f>
        <v>0</v>
      </c>
      <c r="O1091" s="2" t="str">
        <f aca="false">IF(OR(F1091="",G1091=""),"",IF(G1091&lt;='RETRATO 2027'!$K$5,"CONCLUÍDA",IF(F1091&lt;='RETRATO 2027'!$K$5,"EM ANDAMENTO","A INICIAR")))</f>
        <v>A INICIAR</v>
      </c>
    </row>
    <row r="1092" customFormat="false" ht="15" hidden="false" customHeight="false" outlineLevel="0" collapsed="false">
      <c r="B1092" s="4" t="n">
        <v>30205542</v>
      </c>
      <c r="C1092" s="4" t="s">
        <v>2486</v>
      </c>
      <c r="D1092" s="4" t="s">
        <v>463</v>
      </c>
      <c r="E1092" s="4" t="s">
        <v>2832</v>
      </c>
      <c r="F1092" s="127" t="n">
        <v>46766</v>
      </c>
      <c r="G1092" s="127" t="n">
        <v>46779</v>
      </c>
      <c r="H1092" s="127" t="n">
        <v>46289</v>
      </c>
      <c r="I1092" s="4" t="n">
        <v>0</v>
      </c>
      <c r="J1092" s="4" t="n">
        <v>0</v>
      </c>
      <c r="K1092" s="4" t="n">
        <v>0</v>
      </c>
      <c r="M1092" s="2" t="str">
        <f aca="false">IF(C1092="","",IFERROR(INDEX($S$5:$S$304,MATCH(C1092,$R$5:$R$304,0))&amp;"","?"))</f>
        <v>30</v>
      </c>
      <c r="N1092" s="2" t="n">
        <f aca="false">IF(E1092="","",IF(ISNUMBER(SEARCH("SUBSOLO",E1092)),IFERROR(-VALUE(LEFT(E1092,FIND("º",SUBSTITUTE(E1092,"°","º"))-1)),-1),IF(LEFT(E1092,6)="TÉRREO",0,IFERROR(VALUE(LEFT(E1092,FIND("º",SUBSTITUTE(E1092,"°","º"))-1)),""))))</f>
        <v>0</v>
      </c>
      <c r="O1092" s="2" t="str">
        <f aca="false">IF(OR(F1092="",G1092=""),"",IF(G1092&lt;='RETRATO 2027'!$K$5,"CONCLUÍDA",IF(F1092&lt;='RETRATO 2027'!$K$5,"EM ANDAMENTO","A INICIAR")))</f>
        <v>A INICIAR</v>
      </c>
    </row>
    <row r="1093" customFormat="false" ht="15" hidden="false" customHeight="false" outlineLevel="0" collapsed="false">
      <c r="B1093" s="4" t="n">
        <v>30205846</v>
      </c>
      <c r="C1093" s="4" t="s">
        <v>2437</v>
      </c>
      <c r="D1093" s="4" t="s">
        <v>463</v>
      </c>
      <c r="E1093" s="4" t="s">
        <v>2782</v>
      </c>
      <c r="F1093" s="127" t="n">
        <v>46766</v>
      </c>
      <c r="G1093" s="127" t="n">
        <v>46786</v>
      </c>
      <c r="H1093" s="127" t="n">
        <v>46289</v>
      </c>
      <c r="I1093" s="4" t="n">
        <v>0</v>
      </c>
      <c r="J1093" s="4" t="n">
        <v>0</v>
      </c>
      <c r="K1093" s="4" t="n">
        <v>0</v>
      </c>
      <c r="M1093" s="2" t="str">
        <f aca="false">IF(C1093="","",IFERROR(INDEX($S$5:$S$304,MATCH(C1093,$R$5:$R$304,0))&amp;"","?"))</f>
        <v>29</v>
      </c>
      <c r="N1093" s="2" t="n">
        <f aca="false">IF(E1093="","",IF(ISNUMBER(SEARCH("SUBSOLO",E1093)),IFERROR(-VALUE(LEFT(E1093,FIND("º",SUBSTITUTE(E1093,"°","º"))-1)),-1),IF(LEFT(E1093,6)="TÉRREO",0,IFERROR(VALUE(LEFT(E1093,FIND("º",SUBSTITUTE(E1093,"°","º"))-1)),""))))</f>
        <v>1</v>
      </c>
      <c r="O1093" s="2" t="str">
        <f aca="false">IF(OR(F1093="",G1093=""),"",IF(G1093&lt;='RETRATO 2027'!$K$5,"CONCLUÍDA",IF(F1093&lt;='RETRATO 2027'!$K$5,"EM ANDAMENTO","A INICIAR")))</f>
        <v>A INICIAR</v>
      </c>
    </row>
    <row r="1094" customFormat="false" ht="15" hidden="false" customHeight="false" outlineLevel="0" collapsed="false">
      <c r="B1094" s="4" t="n">
        <v>29980730</v>
      </c>
      <c r="C1094" s="4" t="s">
        <v>2416</v>
      </c>
      <c r="D1094" s="4" t="s">
        <v>463</v>
      </c>
      <c r="E1094" s="4" t="s">
        <v>2841</v>
      </c>
      <c r="F1094" s="127" t="n">
        <v>46766</v>
      </c>
      <c r="G1094" s="127" t="n">
        <v>46778</v>
      </c>
      <c r="H1094" s="127" t="n">
        <v>46289</v>
      </c>
      <c r="I1094" s="4" t="n">
        <v>0</v>
      </c>
      <c r="J1094" s="4" t="n">
        <v>0</v>
      </c>
      <c r="K1094" s="4" t="n">
        <v>0</v>
      </c>
      <c r="M1094" s="2" t="str">
        <f aca="false">IF(C1094="","",IFERROR(INDEX($S$5:$S$304,MATCH(C1094,$R$5:$R$304,0))&amp;"","?"))</f>
        <v>18</v>
      </c>
      <c r="N1094" s="2" t="n">
        <f aca="false">IF(E1094="","",IF(ISNUMBER(SEARCH("SUBSOLO",E1094)),IFERROR(-VALUE(LEFT(E1094,FIND("º",SUBSTITUTE(E1094,"°","º"))-1)),-1),IF(LEFT(E1094,6)="TÉRREO",0,IFERROR(VALUE(LEFT(E1094,FIND("º",SUBSTITUTE(E1094,"°","º"))-1)),""))))</f>
        <v>29</v>
      </c>
      <c r="O1094" s="2" t="str">
        <f aca="false">IF(OR(F1094="",G1094=""),"",IF(G1094&lt;='RETRATO 2027'!$K$5,"CONCLUÍDA",IF(F1094&lt;='RETRATO 2027'!$K$5,"EM ANDAMENTO","A INICIAR")))</f>
        <v>A INICIAR</v>
      </c>
    </row>
    <row r="1095" customFormat="false" ht="15" hidden="false" customHeight="false" outlineLevel="0" collapsed="false">
      <c r="B1095" s="4" t="n">
        <v>30205754</v>
      </c>
      <c r="C1095" s="4" t="s">
        <v>2560</v>
      </c>
      <c r="D1095" s="4" t="s">
        <v>463</v>
      </c>
      <c r="E1095" s="4" t="s">
        <v>2740</v>
      </c>
      <c r="F1095" s="127" t="n">
        <v>46769</v>
      </c>
      <c r="G1095" s="127" t="n">
        <v>46813</v>
      </c>
      <c r="H1095" s="127" t="n">
        <v>46289</v>
      </c>
      <c r="I1095" s="4" t="n">
        <v>0</v>
      </c>
      <c r="J1095" s="4" t="n">
        <v>0</v>
      </c>
      <c r="K1095" s="4" t="n">
        <v>0</v>
      </c>
      <c r="M1095" s="2" t="str">
        <f aca="false">IF(C1095="","",IFERROR(INDEX($S$5:$S$304,MATCH(C1095,$R$5:$R$304,0))&amp;"","?"))</f>
        <v>20</v>
      </c>
      <c r="N1095" s="2" t="n">
        <f aca="false">IF(E1095="","",IF(ISNUMBER(SEARCH("SUBSOLO",E1095)),IFERROR(-VALUE(LEFT(E1095,FIND("º",SUBSTITUTE(E1095,"°","º"))-1)),-1),IF(LEFT(E1095,6)="TÉRREO",0,IFERROR(VALUE(LEFT(E1095,FIND("º",SUBSTITUTE(E1095,"°","º"))-1)),""))))</f>
        <v>-1</v>
      </c>
      <c r="O1095" s="2" t="str">
        <f aca="false">IF(OR(F1095="",G1095=""),"",IF(G1095&lt;='RETRATO 2027'!$K$5,"CONCLUÍDA",IF(F1095&lt;='RETRATO 2027'!$K$5,"EM ANDAMENTO","A INICIAR")))</f>
        <v>A INICIAR</v>
      </c>
    </row>
    <row r="1096" customFormat="false" ht="15" hidden="false" customHeight="false" outlineLevel="0" collapsed="false">
      <c r="B1096" s="4" t="n">
        <v>29980704</v>
      </c>
      <c r="C1096" s="4" t="s">
        <v>2410</v>
      </c>
      <c r="D1096" s="4" t="s">
        <v>463</v>
      </c>
      <c r="E1096" s="4" t="s">
        <v>2842</v>
      </c>
      <c r="F1096" s="127" t="n">
        <v>46771</v>
      </c>
      <c r="G1096" s="127" t="n">
        <v>46783</v>
      </c>
      <c r="H1096" s="127" t="n">
        <v>46289</v>
      </c>
      <c r="I1096" s="4" t="n">
        <v>0</v>
      </c>
      <c r="J1096" s="4" t="n">
        <v>0</v>
      </c>
      <c r="K1096" s="4" t="n">
        <v>0</v>
      </c>
      <c r="M1096" s="2" t="str">
        <f aca="false">IF(C1096="","",IFERROR(INDEX($S$5:$S$304,MATCH(C1096,$R$5:$R$304,0))&amp;"","?"))</f>
        <v>22</v>
      </c>
      <c r="N1096" s="2" t="n">
        <f aca="false">IF(E1096="","",IF(ISNUMBER(SEARCH("SUBSOLO",E1096)),IFERROR(-VALUE(LEFT(E1096,FIND("º",SUBSTITUTE(E1096,"°","º"))-1)),-1),IF(LEFT(E1096,6)="TÉRREO",0,IFERROR(VALUE(LEFT(E1096,FIND("º",SUBSTITUTE(E1096,"°","º"))-1)),""))))</f>
        <v>30</v>
      </c>
      <c r="O1096" s="2" t="str">
        <f aca="false">IF(OR(F1096="",G1096=""),"",IF(G1096&lt;='RETRATO 2027'!$K$5,"CONCLUÍDA",IF(F1096&lt;='RETRATO 2027'!$K$5,"EM ANDAMENTO","A INICIAR")))</f>
        <v>A INICIAR</v>
      </c>
    </row>
    <row r="1097" customFormat="false" ht="15" hidden="false" customHeight="false" outlineLevel="0" collapsed="false">
      <c r="B1097" s="4" t="n">
        <v>29980655</v>
      </c>
      <c r="C1097" s="4" t="s">
        <v>168</v>
      </c>
      <c r="D1097" s="4" t="s">
        <v>463</v>
      </c>
      <c r="E1097" s="4" t="s">
        <v>2843</v>
      </c>
      <c r="F1097" s="127" t="n">
        <v>46771</v>
      </c>
      <c r="G1097" s="127" t="n">
        <v>46783</v>
      </c>
      <c r="H1097" s="127" t="n">
        <v>46289</v>
      </c>
      <c r="I1097" s="4" t="n">
        <v>0</v>
      </c>
      <c r="J1097" s="4" t="n">
        <v>0</v>
      </c>
      <c r="K1097" s="4" t="n">
        <v>0</v>
      </c>
      <c r="M1097" s="2" t="str">
        <f aca="false">IF(C1097="","",IFERROR(INDEX($S$5:$S$304,MATCH(C1097,$R$5:$R$304,0))&amp;"","?"))</f>
        <v>18</v>
      </c>
      <c r="N1097" s="2" t="n">
        <f aca="false">IF(E1097="","",IF(ISNUMBER(SEARCH("SUBSOLO",E1097)),IFERROR(-VALUE(LEFT(E1097,FIND("º",SUBSTITUTE(E1097,"°","º"))-1)),-1),IF(LEFT(E1097,6)="TÉRREO",0,IFERROR(VALUE(LEFT(E1097,FIND("º",SUBSTITUTE(E1097,"°","º"))-1)),""))))</f>
        <v>31</v>
      </c>
      <c r="O1097" s="2" t="str">
        <f aca="false">IF(OR(F1097="",G1097=""),"",IF(G1097&lt;='RETRATO 2027'!$K$5,"CONCLUÍDA",IF(F1097&lt;='RETRATO 2027'!$K$5,"EM ANDAMENTO","A INICIAR")))</f>
        <v>A INICIAR</v>
      </c>
    </row>
    <row r="1098" customFormat="false" ht="15" hidden="false" customHeight="false" outlineLevel="0" collapsed="false">
      <c r="B1098" s="4" t="n">
        <v>29941196</v>
      </c>
      <c r="C1098" s="4" t="s">
        <v>2341</v>
      </c>
      <c r="D1098" s="4" t="s">
        <v>463</v>
      </c>
      <c r="E1098" s="4" t="s">
        <v>2853</v>
      </c>
      <c r="F1098" s="127" t="n">
        <v>46771</v>
      </c>
      <c r="G1098" s="127" t="n">
        <v>46794</v>
      </c>
      <c r="H1098" s="127" t="n">
        <v>46289</v>
      </c>
      <c r="I1098" s="4" t="n">
        <v>0</v>
      </c>
      <c r="J1098" s="4" t="n">
        <v>0</v>
      </c>
      <c r="K1098" s="4" t="n">
        <v>0</v>
      </c>
      <c r="M1098" s="2" t="str">
        <f aca="false">IF(C1098="","",IFERROR(INDEX($S$5:$S$304,MATCH(C1098,$R$5:$R$304,0))&amp;"","?"))</f>
        <v>17</v>
      </c>
      <c r="N1098" s="2" t="n">
        <f aca="false">IF(E1098="","",IF(ISNUMBER(SEARCH("SUBSOLO",E1098)),IFERROR(-VALUE(LEFT(E1098,FIND("º",SUBSTITUTE(E1098,"°","º"))-1)),-1),IF(LEFT(E1098,6)="TÉRREO",0,IFERROR(VALUE(LEFT(E1098,FIND("º",SUBSTITUTE(E1098,"°","º"))-1)),""))))</f>
        <v>34</v>
      </c>
      <c r="O1098" s="2" t="str">
        <f aca="false">IF(OR(F1098="",G1098=""),"",IF(G1098&lt;='RETRATO 2027'!$K$5,"CONCLUÍDA",IF(F1098&lt;='RETRATO 2027'!$K$5,"EM ANDAMENTO","A INICIAR")))</f>
        <v>A INICIAR</v>
      </c>
    </row>
    <row r="1099" customFormat="false" ht="15" hidden="false" customHeight="false" outlineLevel="0" collapsed="false">
      <c r="B1099" s="4" t="n">
        <v>31529090</v>
      </c>
      <c r="C1099" s="4" t="s">
        <v>2341</v>
      </c>
      <c r="D1099" s="4" t="s">
        <v>2312</v>
      </c>
      <c r="E1099" s="4" t="s">
        <v>2853</v>
      </c>
      <c r="F1099" s="127" t="n">
        <v>46771</v>
      </c>
      <c r="G1099" s="127" t="n">
        <v>46786</v>
      </c>
      <c r="H1099" s="127" t="n">
        <v>46289</v>
      </c>
      <c r="I1099" s="4" t="n">
        <v>0</v>
      </c>
      <c r="J1099" s="4" t="n">
        <v>0</v>
      </c>
      <c r="K1099" s="4" t="n">
        <v>0</v>
      </c>
      <c r="M1099" s="2" t="str">
        <f aca="false">IF(C1099="","",IFERROR(INDEX($S$5:$S$304,MATCH(C1099,$R$5:$R$304,0))&amp;"","?"))</f>
        <v>17</v>
      </c>
      <c r="N1099" s="2" t="n">
        <f aca="false">IF(E1099="","",IF(ISNUMBER(SEARCH("SUBSOLO",E1099)),IFERROR(-VALUE(LEFT(E1099,FIND("º",SUBSTITUTE(E1099,"°","º"))-1)),-1),IF(LEFT(E1099,6)="TÉRREO",0,IFERROR(VALUE(LEFT(E1099,FIND("º",SUBSTITUTE(E1099,"°","º"))-1)),""))))</f>
        <v>34</v>
      </c>
      <c r="O1099" s="2" t="str">
        <f aca="false">IF(OR(F1099="",G1099=""),"",IF(G1099&lt;='RETRATO 2027'!$K$5,"CONCLUÍDA",IF(F1099&lt;='RETRATO 2027'!$K$5,"EM ANDAMENTO","A INICIAR")))</f>
        <v>A INICIAR</v>
      </c>
    </row>
    <row r="1100" customFormat="false" ht="15" hidden="false" customHeight="false" outlineLevel="0" collapsed="false">
      <c r="B1100" s="4" t="n">
        <v>31529091</v>
      </c>
      <c r="C1100" s="4" t="s">
        <v>2341</v>
      </c>
      <c r="D1100" s="4" t="s">
        <v>2309</v>
      </c>
      <c r="E1100" s="4" t="s">
        <v>2853</v>
      </c>
      <c r="F1100" s="127" t="n">
        <v>46787</v>
      </c>
      <c r="G1100" s="127" t="n">
        <v>46793</v>
      </c>
      <c r="H1100" s="127" t="n">
        <v>46289</v>
      </c>
      <c r="I1100" s="4" t="n">
        <v>0</v>
      </c>
      <c r="J1100" s="4" t="n">
        <v>0</v>
      </c>
      <c r="K1100" s="4" t="n">
        <v>0</v>
      </c>
      <c r="M1100" s="2" t="str">
        <f aca="false">IF(C1100="","",IFERROR(INDEX($S$5:$S$304,MATCH(C1100,$R$5:$R$304,0))&amp;"","?"))</f>
        <v>17</v>
      </c>
      <c r="N1100" s="2" t="n">
        <f aca="false">IF(E1100="","",IF(ISNUMBER(SEARCH("SUBSOLO",E1100)),IFERROR(-VALUE(LEFT(E1100,FIND("º",SUBSTITUTE(E1100,"°","º"))-1)),-1),IF(LEFT(E1100,6)="TÉRREO",0,IFERROR(VALUE(LEFT(E1100,FIND("º",SUBSTITUTE(E1100,"°","º"))-1)),""))))</f>
        <v>34</v>
      </c>
      <c r="O1100" s="2" t="str">
        <f aca="false">IF(OR(F1100="",G1100=""),"",IF(G1100&lt;='RETRATO 2027'!$K$5,"CONCLUÍDA",IF(F1100&lt;='RETRATO 2027'!$K$5,"EM ANDAMENTO","A INICIAR")))</f>
        <v>A INICIAR</v>
      </c>
    </row>
    <row r="1101" customFormat="false" ht="15" hidden="false" customHeight="false" outlineLevel="0" collapsed="false">
      <c r="B1101" s="4" t="n">
        <v>31529092</v>
      </c>
      <c r="C1101" s="4" t="s">
        <v>2341</v>
      </c>
      <c r="D1101" s="4" t="s">
        <v>2314</v>
      </c>
      <c r="E1101" s="4" t="s">
        <v>2853</v>
      </c>
      <c r="F1101" s="127" t="n">
        <v>46794</v>
      </c>
      <c r="G1101" s="127" t="n">
        <v>46794</v>
      </c>
      <c r="H1101" s="127" t="n">
        <v>46289</v>
      </c>
      <c r="I1101" s="4" t="n">
        <v>0</v>
      </c>
      <c r="J1101" s="4" t="n">
        <v>0</v>
      </c>
      <c r="K1101" s="4" t="n">
        <v>0</v>
      </c>
      <c r="M1101" s="2" t="str">
        <f aca="false">IF(C1101="","",IFERROR(INDEX($S$5:$S$304,MATCH(C1101,$R$5:$R$304,0))&amp;"","?"))</f>
        <v>17</v>
      </c>
      <c r="N1101" s="2" t="n">
        <f aca="false">IF(E1101="","",IF(ISNUMBER(SEARCH("SUBSOLO",E1101)),IFERROR(-VALUE(LEFT(E1101,FIND("º",SUBSTITUTE(E1101,"°","º"))-1)),-1),IF(LEFT(E1101,6)="TÉRREO",0,IFERROR(VALUE(LEFT(E1101,FIND("º",SUBSTITUTE(E1101,"°","º"))-1)),""))))</f>
        <v>34</v>
      </c>
      <c r="O1101" s="2" t="str">
        <f aca="false">IF(OR(F1101="",G1101=""),"",IF(G1101&lt;='RETRATO 2027'!$K$5,"CONCLUÍDA",IF(F1101&lt;='RETRATO 2027'!$K$5,"EM ANDAMENTO","A INICIAR")))</f>
        <v>A INICIAR</v>
      </c>
    </row>
    <row r="1102" customFormat="false" ht="15" hidden="false" customHeight="false" outlineLevel="0" collapsed="false">
      <c r="B1102" s="4" t="n">
        <v>31529093</v>
      </c>
      <c r="C1102" s="4" t="s">
        <v>2341</v>
      </c>
      <c r="D1102" s="4" t="s">
        <v>2758</v>
      </c>
      <c r="E1102" s="4" t="s">
        <v>2853</v>
      </c>
      <c r="F1102" s="127" t="n">
        <v>46794</v>
      </c>
      <c r="G1102" s="127" t="n">
        <v>46794</v>
      </c>
      <c r="H1102" s="127" t="n">
        <v>46289</v>
      </c>
      <c r="I1102" s="4" t="n">
        <v>0</v>
      </c>
      <c r="J1102" s="4" t="n">
        <v>0</v>
      </c>
      <c r="K1102" s="4" t="n">
        <v>0</v>
      </c>
      <c r="M1102" s="2" t="str">
        <f aca="false">IF(C1102="","",IFERROR(INDEX($S$5:$S$304,MATCH(C1102,$R$5:$R$304,0))&amp;"","?"))</f>
        <v>17</v>
      </c>
      <c r="N1102" s="2" t="n">
        <f aca="false">IF(E1102="","",IF(ISNUMBER(SEARCH("SUBSOLO",E1102)),IFERROR(-VALUE(LEFT(E1102,FIND("º",SUBSTITUTE(E1102,"°","º"))-1)),-1),IF(LEFT(E1102,6)="TÉRREO",0,IFERROR(VALUE(LEFT(E1102,FIND("º",SUBSTITUTE(E1102,"°","º"))-1)),""))))</f>
        <v>34</v>
      </c>
      <c r="O1102" s="2" t="str">
        <f aca="false">IF(OR(F1102="",G1102=""),"",IF(G1102&lt;='RETRATO 2027'!$K$5,"CONCLUÍDA",IF(F1102&lt;='RETRATO 2027'!$K$5,"EM ANDAMENTO","A INICIAR")))</f>
        <v>A INICIAR</v>
      </c>
    </row>
    <row r="1103" customFormat="false" ht="15" hidden="false" customHeight="false" outlineLevel="0" collapsed="false">
      <c r="B1103" s="4" t="n">
        <v>30205793</v>
      </c>
      <c r="C1103" s="4" t="s">
        <v>2492</v>
      </c>
      <c r="D1103" s="4" t="s">
        <v>463</v>
      </c>
      <c r="E1103" s="4" t="s">
        <v>2835</v>
      </c>
      <c r="F1103" s="127" t="n">
        <v>46773</v>
      </c>
      <c r="G1103" s="127" t="n">
        <v>46786</v>
      </c>
      <c r="H1103" s="127" t="n">
        <v>46289</v>
      </c>
      <c r="I1103" s="4" t="n">
        <v>0</v>
      </c>
      <c r="J1103" s="4" t="n">
        <v>0</v>
      </c>
      <c r="K1103" s="4" t="n">
        <v>0</v>
      </c>
      <c r="M1103" s="2" t="str">
        <f aca="false">IF(C1103="","",IFERROR(INDEX($S$5:$S$304,MATCH(C1103,$R$5:$R$304,0))&amp;"","?"))</f>
        <v>18</v>
      </c>
      <c r="N1103" s="2" t="n">
        <f aca="false">IF(E1103="","",IF(ISNUMBER(SEARCH("SUBSOLO",E1103)),IFERROR(-VALUE(LEFT(E1103,FIND("º",SUBSTITUTE(E1103,"°","º"))-1)),-1),IF(LEFT(E1103,6)="TÉRREO",0,IFERROR(VALUE(LEFT(E1103,FIND("º",SUBSTITUTE(E1103,"°","º"))-1)),""))))</f>
        <v>0</v>
      </c>
      <c r="O1103" s="2" t="str">
        <f aca="false">IF(OR(F1103="",G1103=""),"",IF(G1103&lt;='RETRATO 2027'!$K$5,"CONCLUÍDA",IF(F1103&lt;='RETRATO 2027'!$K$5,"EM ANDAMENTO","A INICIAR")))</f>
        <v>A INICIAR</v>
      </c>
    </row>
    <row r="1104" customFormat="false" ht="15" hidden="false" customHeight="false" outlineLevel="0" collapsed="false">
      <c r="B1104" s="4" t="n">
        <v>30205819</v>
      </c>
      <c r="C1104" s="4" t="s">
        <v>2449</v>
      </c>
      <c r="D1104" s="4" t="s">
        <v>463</v>
      </c>
      <c r="E1104" s="4" t="s">
        <v>2839</v>
      </c>
      <c r="F1104" s="127" t="n">
        <v>46773</v>
      </c>
      <c r="G1104" s="127" t="n">
        <v>46786</v>
      </c>
      <c r="H1104" s="127" t="n">
        <v>46289</v>
      </c>
      <c r="I1104" s="4" t="n">
        <v>0</v>
      </c>
      <c r="J1104" s="4" t="n">
        <v>0</v>
      </c>
      <c r="K1104" s="4" t="n">
        <v>0</v>
      </c>
      <c r="M1104" s="2" t="str">
        <f aca="false">IF(C1104="","",IFERROR(INDEX($S$5:$S$304,MATCH(C1104,$R$5:$R$304,0))&amp;"","?"))</f>
        <v>28</v>
      </c>
      <c r="N1104" s="2" t="n">
        <f aca="false">IF(E1104="","",IF(ISNUMBER(SEARCH("SUBSOLO",E1104)),IFERROR(-VALUE(LEFT(E1104,FIND("º",SUBSTITUTE(E1104,"°","º"))-1)),-1),IF(LEFT(E1104,6)="TÉRREO",0,IFERROR(VALUE(LEFT(E1104,FIND("º",SUBSTITUTE(E1104,"°","º"))-1)),""))))</f>
        <v>0</v>
      </c>
      <c r="O1104" s="2" t="str">
        <f aca="false">IF(OR(F1104="",G1104=""),"",IF(G1104&lt;='RETRATO 2027'!$K$5,"CONCLUÍDA",IF(F1104&lt;='RETRATO 2027'!$K$5,"EM ANDAMENTO","A INICIAR")))</f>
        <v>A INICIAR</v>
      </c>
    </row>
    <row r="1105" customFormat="false" ht="15" hidden="false" customHeight="false" outlineLevel="0" collapsed="false">
      <c r="B1105" s="4" t="n">
        <v>30171470</v>
      </c>
      <c r="C1105" s="4" t="s">
        <v>2563</v>
      </c>
      <c r="D1105" s="4" t="s">
        <v>463</v>
      </c>
      <c r="E1105" s="4" t="s">
        <v>2784</v>
      </c>
      <c r="F1105" s="127" t="n">
        <v>46773</v>
      </c>
      <c r="G1105" s="127" t="n">
        <v>46800</v>
      </c>
      <c r="H1105" s="127" t="n">
        <v>46289</v>
      </c>
      <c r="I1105" s="4" t="n">
        <v>0</v>
      </c>
      <c r="J1105" s="4" t="n">
        <v>0</v>
      </c>
      <c r="K1105" s="4" t="n">
        <v>0</v>
      </c>
      <c r="M1105" s="2" t="str">
        <f aca="false">IF(C1105="","",IFERROR(INDEX($S$5:$S$304,MATCH(C1105,$R$5:$R$304,0))&amp;"","?"))</f>
        <v>20</v>
      </c>
      <c r="N1105" s="2" t="n">
        <f aca="false">IF(E1105="","",IF(ISNUMBER(SEARCH("SUBSOLO",E1105)),IFERROR(-VALUE(LEFT(E1105,FIND("º",SUBSTITUTE(E1105,"°","º"))-1)),-1),IF(LEFT(E1105,6)="TÉRREO",0,IFERROR(VALUE(LEFT(E1105,FIND("º",SUBSTITUTE(E1105,"°","º"))-1)),""))))</f>
        <v>2</v>
      </c>
      <c r="O1105" s="2" t="str">
        <f aca="false">IF(OR(F1105="",G1105=""),"",IF(G1105&lt;='RETRATO 2027'!$K$5,"CONCLUÍDA",IF(F1105&lt;='RETRATO 2027'!$K$5,"EM ANDAMENTO","A INICIAR")))</f>
        <v>A INICIAR</v>
      </c>
    </row>
    <row r="1106" customFormat="false" ht="15" hidden="false" customHeight="false" outlineLevel="0" collapsed="false">
      <c r="B1106" s="4" t="n">
        <v>30171467</v>
      </c>
      <c r="C1106" s="4" t="s">
        <v>2566</v>
      </c>
      <c r="D1106" s="4" t="s">
        <v>463</v>
      </c>
      <c r="E1106" s="4" t="s">
        <v>2784</v>
      </c>
      <c r="F1106" s="127" t="n">
        <v>46773</v>
      </c>
      <c r="G1106" s="127" t="n">
        <v>46800</v>
      </c>
      <c r="H1106" s="127" t="n">
        <v>46289</v>
      </c>
      <c r="I1106" s="4" t="n">
        <v>0</v>
      </c>
      <c r="J1106" s="4" t="n">
        <v>0</v>
      </c>
      <c r="K1106" s="4" t="n">
        <v>0</v>
      </c>
      <c r="M1106" s="2" t="str">
        <f aca="false">IF(C1106="","",IFERROR(INDEX($S$5:$S$304,MATCH(C1106,$R$5:$R$304,0))&amp;"","?"))</f>
        <v>20</v>
      </c>
      <c r="N1106" s="2" t="n">
        <f aca="false">IF(E1106="","",IF(ISNUMBER(SEARCH("SUBSOLO",E1106)),IFERROR(-VALUE(LEFT(E1106,FIND("º",SUBSTITUTE(E1106,"°","º"))-1)),-1),IF(LEFT(E1106,6)="TÉRREO",0,IFERROR(VALUE(LEFT(E1106,FIND("º",SUBSTITUTE(E1106,"°","º"))-1)),""))))</f>
        <v>2</v>
      </c>
      <c r="O1106" s="2" t="str">
        <f aca="false">IF(OR(F1106="",G1106=""),"",IF(G1106&lt;='RETRATO 2027'!$K$5,"CONCLUÍDA",IF(F1106&lt;='RETRATO 2027'!$K$5,"EM ANDAMENTO","A INICIAR")))</f>
        <v>A INICIAR</v>
      </c>
    </row>
    <row r="1107" customFormat="false" ht="15" hidden="false" customHeight="false" outlineLevel="0" collapsed="false">
      <c r="B1107" s="4" t="n">
        <v>30171438</v>
      </c>
      <c r="C1107" s="4" t="s">
        <v>2508</v>
      </c>
      <c r="D1107" s="4" t="s">
        <v>463</v>
      </c>
      <c r="E1107" s="4" t="s">
        <v>2790</v>
      </c>
      <c r="F1107" s="127" t="n">
        <v>46773</v>
      </c>
      <c r="G1107" s="127" t="n">
        <v>46834</v>
      </c>
      <c r="H1107" s="127" t="n">
        <v>46289</v>
      </c>
      <c r="I1107" s="4" t="n">
        <v>0</v>
      </c>
      <c r="J1107" s="4" t="n">
        <v>0</v>
      </c>
      <c r="K1107" s="4" t="n">
        <v>0</v>
      </c>
      <c r="M1107" s="2" t="str">
        <f aca="false">IF(C1107="","",IFERROR(INDEX($S$5:$S$304,MATCH(C1107,$R$5:$R$304,0))&amp;"","?"))</f>
        <v>20</v>
      </c>
      <c r="N1107" s="2" t="n">
        <f aca="false">IF(E1107="","",IF(ISNUMBER(SEARCH("SUBSOLO",E1107)),IFERROR(-VALUE(LEFT(E1107,FIND("º",SUBSTITUTE(E1107,"°","º"))-1)),-1),IF(LEFT(E1107,6)="TÉRREO",0,IFERROR(VALUE(LEFT(E1107,FIND("º",SUBSTITUTE(E1107,"°","º"))-1)),""))))</f>
        <v>3</v>
      </c>
      <c r="O1107" s="2" t="str">
        <f aca="false">IF(OR(F1107="",G1107=""),"",IF(G1107&lt;='RETRATO 2027'!$K$5,"CONCLUÍDA",IF(F1107&lt;='RETRATO 2027'!$K$5,"EM ANDAMENTO","A INICIAR")))</f>
        <v>A INICIAR</v>
      </c>
    </row>
    <row r="1108" customFormat="false" ht="15" hidden="false" customHeight="false" outlineLevel="0" collapsed="false">
      <c r="B1108" s="4" t="n">
        <v>30171457</v>
      </c>
      <c r="C1108" s="4" t="s">
        <v>2511</v>
      </c>
      <c r="D1108" s="4" t="s">
        <v>463</v>
      </c>
      <c r="E1108" s="4" t="s">
        <v>2790</v>
      </c>
      <c r="F1108" s="127" t="n">
        <v>46773</v>
      </c>
      <c r="G1108" s="127" t="n">
        <v>46834</v>
      </c>
      <c r="H1108" s="127" t="n">
        <v>46289</v>
      </c>
      <c r="I1108" s="4" t="n">
        <v>0</v>
      </c>
      <c r="J1108" s="4" t="n">
        <v>0</v>
      </c>
      <c r="K1108" s="4" t="n">
        <v>0</v>
      </c>
      <c r="M1108" s="2" t="str">
        <f aca="false">IF(C1108="","",IFERROR(INDEX($S$5:$S$304,MATCH(C1108,$R$5:$R$304,0))&amp;"","?"))</f>
        <v>20</v>
      </c>
      <c r="N1108" s="2" t="n">
        <f aca="false">IF(E1108="","",IF(ISNUMBER(SEARCH("SUBSOLO",E1108)),IFERROR(-VALUE(LEFT(E1108,FIND("º",SUBSTITUTE(E1108,"°","º"))-1)),-1),IF(LEFT(E1108,6)="TÉRREO",0,IFERROR(VALUE(LEFT(E1108,FIND("º",SUBSTITUTE(E1108,"°","º"))-1)),""))))</f>
        <v>3</v>
      </c>
      <c r="O1108" s="2" t="str">
        <f aca="false">IF(OR(F1108="",G1108=""),"",IF(G1108&lt;='RETRATO 2027'!$K$5,"CONCLUÍDA",IF(F1108&lt;='RETRATO 2027'!$K$5,"EM ANDAMENTO","A INICIAR")))</f>
        <v>A INICIAR</v>
      </c>
    </row>
    <row r="1109" customFormat="false" ht="15" hidden="false" customHeight="false" outlineLevel="0" collapsed="false">
      <c r="B1109" s="4" t="n">
        <v>30171440</v>
      </c>
      <c r="C1109" s="4" t="s">
        <v>2525</v>
      </c>
      <c r="D1109" s="4" t="s">
        <v>463</v>
      </c>
      <c r="E1109" s="4" t="s">
        <v>2790</v>
      </c>
      <c r="F1109" s="127" t="n">
        <v>46773</v>
      </c>
      <c r="G1109" s="127" t="n">
        <v>46800</v>
      </c>
      <c r="H1109" s="127" t="n">
        <v>46289</v>
      </c>
      <c r="I1109" s="4" t="n">
        <v>0</v>
      </c>
      <c r="J1109" s="4" t="n">
        <v>0</v>
      </c>
      <c r="K1109" s="4" t="n">
        <v>0</v>
      </c>
      <c r="M1109" s="2" t="str">
        <f aca="false">IF(C1109="","",IFERROR(INDEX($S$5:$S$304,MATCH(C1109,$R$5:$R$304,0))&amp;"","?"))</f>
        <v>18</v>
      </c>
      <c r="N1109" s="2" t="n">
        <f aca="false">IF(E1109="","",IF(ISNUMBER(SEARCH("SUBSOLO",E1109)),IFERROR(-VALUE(LEFT(E1109,FIND("º",SUBSTITUTE(E1109,"°","º"))-1)),-1),IF(LEFT(E1109,6)="TÉRREO",0,IFERROR(VALUE(LEFT(E1109,FIND("º",SUBSTITUTE(E1109,"°","º"))-1)),""))))</f>
        <v>3</v>
      </c>
      <c r="O1109" s="2" t="str">
        <f aca="false">IF(OR(F1109="",G1109=""),"",IF(G1109&lt;='RETRATO 2027'!$K$5,"CONCLUÍDA",IF(F1109&lt;='RETRATO 2027'!$K$5,"EM ANDAMENTO","A INICIAR")))</f>
        <v>A INICIAR</v>
      </c>
    </row>
    <row r="1110" customFormat="false" ht="15" hidden="false" customHeight="false" outlineLevel="0" collapsed="false">
      <c r="B1110" s="4" t="n">
        <v>30214060</v>
      </c>
      <c r="C1110" s="4" t="s">
        <v>2514</v>
      </c>
      <c r="D1110" s="4" t="s">
        <v>463</v>
      </c>
      <c r="E1110" s="4" t="s">
        <v>2790</v>
      </c>
      <c r="F1110" s="127" t="n">
        <v>46773</v>
      </c>
      <c r="G1110" s="127" t="n">
        <v>46786</v>
      </c>
      <c r="H1110" s="127" t="n">
        <v>46289</v>
      </c>
      <c r="I1110" s="4" t="n">
        <v>0</v>
      </c>
      <c r="J1110" s="4" t="n">
        <v>0</v>
      </c>
      <c r="K1110" s="4" t="n">
        <v>0</v>
      </c>
      <c r="M1110" s="2" t="str">
        <f aca="false">IF(C1110="","",IFERROR(INDEX($S$5:$S$304,MATCH(C1110,$R$5:$R$304,0))&amp;"","?"))</f>
        <v>20</v>
      </c>
      <c r="N1110" s="2" t="n">
        <f aca="false">IF(E1110="","",IF(ISNUMBER(SEARCH("SUBSOLO",E1110)),IFERROR(-VALUE(LEFT(E1110,FIND("º",SUBSTITUTE(E1110,"°","º"))-1)),-1),IF(LEFT(E1110,6)="TÉRREO",0,IFERROR(VALUE(LEFT(E1110,FIND("º",SUBSTITUTE(E1110,"°","º"))-1)),""))))</f>
        <v>3</v>
      </c>
      <c r="O1110" s="2" t="str">
        <f aca="false">IF(OR(F1110="",G1110=""),"",IF(G1110&lt;='RETRATO 2027'!$K$5,"CONCLUÍDA",IF(F1110&lt;='RETRATO 2027'!$K$5,"EM ANDAMENTO","A INICIAR")))</f>
        <v>A INICIAR</v>
      </c>
    </row>
    <row r="1111" customFormat="false" ht="15" hidden="false" customHeight="false" outlineLevel="0" collapsed="false">
      <c r="B1111" s="4" t="n">
        <v>30205710</v>
      </c>
      <c r="C1111" s="4" t="s">
        <v>2508</v>
      </c>
      <c r="D1111" s="4" t="s">
        <v>463</v>
      </c>
      <c r="E1111" s="4" t="s">
        <v>2740</v>
      </c>
      <c r="F1111" s="127" t="n">
        <v>46776</v>
      </c>
      <c r="G1111" s="127" t="n">
        <v>46805</v>
      </c>
      <c r="H1111" s="127" t="n">
        <v>46289</v>
      </c>
      <c r="I1111" s="4" t="n">
        <v>0</v>
      </c>
      <c r="J1111" s="4" t="n">
        <v>0</v>
      </c>
      <c r="K1111" s="4" t="n">
        <v>0</v>
      </c>
      <c r="M1111" s="2" t="str">
        <f aca="false">IF(C1111="","",IFERROR(INDEX($S$5:$S$304,MATCH(C1111,$R$5:$R$304,0))&amp;"","?"))</f>
        <v>20</v>
      </c>
      <c r="N1111" s="2" t="n">
        <f aca="false">IF(E1111="","",IF(ISNUMBER(SEARCH("SUBSOLO",E1111)),IFERROR(-VALUE(LEFT(E1111,FIND("º",SUBSTITUTE(E1111,"°","º"))-1)),-1),IF(LEFT(E1111,6)="TÉRREO",0,IFERROR(VALUE(LEFT(E1111,FIND("º",SUBSTITUTE(E1111,"°","º"))-1)),""))))</f>
        <v>-1</v>
      </c>
      <c r="O1111" s="2" t="str">
        <f aca="false">IF(OR(F1111="",G1111=""),"",IF(G1111&lt;='RETRATO 2027'!$K$5,"CONCLUÍDA",IF(F1111&lt;='RETRATO 2027'!$K$5,"EM ANDAMENTO","A INICIAR")))</f>
        <v>A INICIAR</v>
      </c>
    </row>
    <row r="1112" customFormat="false" ht="15" hidden="false" customHeight="false" outlineLevel="0" collapsed="false">
      <c r="B1112" s="4" t="n">
        <v>30214057</v>
      </c>
      <c r="C1112" s="4" t="s">
        <v>2514</v>
      </c>
      <c r="D1112" s="4" t="s">
        <v>463</v>
      </c>
      <c r="E1112" s="4" t="s">
        <v>2740</v>
      </c>
      <c r="F1112" s="127" t="n">
        <v>46776</v>
      </c>
      <c r="G1112" s="127" t="n">
        <v>46787</v>
      </c>
      <c r="H1112" s="127" t="n">
        <v>46289</v>
      </c>
      <c r="I1112" s="4" t="n">
        <v>0</v>
      </c>
      <c r="J1112" s="4" t="n">
        <v>0</v>
      </c>
      <c r="K1112" s="4" t="n">
        <v>0</v>
      </c>
      <c r="M1112" s="2" t="str">
        <f aca="false">IF(C1112="","",IFERROR(INDEX($S$5:$S$304,MATCH(C1112,$R$5:$R$304,0))&amp;"","?"))</f>
        <v>20</v>
      </c>
      <c r="N1112" s="2" t="n">
        <f aca="false">IF(E1112="","",IF(ISNUMBER(SEARCH("SUBSOLO",E1112)),IFERROR(-VALUE(LEFT(E1112,FIND("º",SUBSTITUTE(E1112,"°","º"))-1)),-1),IF(LEFT(E1112,6)="TÉRREO",0,IFERROR(VALUE(LEFT(E1112,FIND("º",SUBSTITUTE(E1112,"°","º"))-1)),""))))</f>
        <v>-1</v>
      </c>
      <c r="O1112" s="2" t="str">
        <f aca="false">IF(OR(F1112="",G1112=""),"",IF(G1112&lt;='RETRATO 2027'!$K$5,"CONCLUÍDA",IF(F1112&lt;='RETRATO 2027'!$K$5,"EM ANDAMENTO","A INICIAR")))</f>
        <v>A INICIAR</v>
      </c>
    </row>
    <row r="1113" customFormat="false" ht="15" hidden="false" customHeight="false" outlineLevel="0" collapsed="false">
      <c r="B1113" s="4" t="n">
        <v>30171506</v>
      </c>
      <c r="C1113" s="4" t="s">
        <v>2554</v>
      </c>
      <c r="D1113" s="4" t="s">
        <v>463</v>
      </c>
      <c r="E1113" s="4" t="s">
        <v>2817</v>
      </c>
      <c r="F1113" s="127" t="n">
        <v>46776</v>
      </c>
      <c r="G1113" s="127" t="n">
        <v>47123</v>
      </c>
      <c r="H1113" s="127" t="n">
        <v>46289</v>
      </c>
      <c r="I1113" s="4" t="n">
        <v>0</v>
      </c>
      <c r="J1113" s="4" t="n">
        <v>0</v>
      </c>
      <c r="K1113" s="4" t="n">
        <v>0</v>
      </c>
      <c r="M1113" s="2" t="str">
        <f aca="false">IF(C1113="","",IFERROR(INDEX($S$5:$S$304,MATCH(C1113,$R$5:$R$304,0))&amp;"","?"))</f>
        <v>35</v>
      </c>
      <c r="N1113" s="2" t="str">
        <f aca="false"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 t="str">
        <f aca="false">IF(OR(F1113="",G1113=""),"",IF(G1113&lt;='RETRATO 2027'!$K$5,"CONCLUÍDA",IF(F1113&lt;='RETRATO 2027'!$K$5,"EM ANDAMENTO","A INICIAR")))</f>
        <v>A INICIAR</v>
      </c>
    </row>
    <row r="1114" customFormat="false" ht="15" hidden="false" customHeight="false" outlineLevel="0" collapsed="false">
      <c r="B1114" s="4" t="n">
        <v>29981528</v>
      </c>
      <c r="C1114" s="4" t="s">
        <v>2569</v>
      </c>
      <c r="D1114" s="4" t="s">
        <v>463</v>
      </c>
      <c r="E1114" s="4" t="s">
        <v>2803</v>
      </c>
      <c r="F1114" s="127" t="n">
        <v>46776</v>
      </c>
      <c r="G1114" s="127" t="n">
        <v>46786</v>
      </c>
      <c r="H1114" s="127" t="n">
        <v>46289</v>
      </c>
      <c r="I1114" s="4" t="n">
        <v>0</v>
      </c>
      <c r="J1114" s="4" t="n">
        <v>0</v>
      </c>
      <c r="K1114" s="4" t="n">
        <v>0</v>
      </c>
      <c r="M1114" s="2" t="str">
        <f aca="false">IF(C1114="","",IFERROR(INDEX($S$5:$S$304,MATCH(C1114,$R$5:$R$304,0))&amp;"","?"))</f>
        <v>30</v>
      </c>
      <c r="N1114" s="2" t="n">
        <f aca="false">IF(E1114="","",IF(ISNUMBER(SEARCH("SUBSOLO",E1114)),IFERROR(-VALUE(LEFT(E1114,FIND("º",SUBSTITUTE(E1114,"°","º"))-1)),-1),IF(LEFT(E1114,6)="TÉRREO",0,IFERROR(VALUE(LEFT(E1114,FIND("º",SUBSTITUTE(E1114,"°","º"))-1)),""))))</f>
        <v>7</v>
      </c>
      <c r="O1114" s="2" t="str">
        <f aca="false">IF(OR(F1114="",G1114=""),"",IF(G1114&lt;='RETRATO 2027'!$K$5,"CONCLUÍDA",IF(F1114&lt;='RETRATO 2027'!$K$5,"EM ANDAMENTO","A INICIAR")))</f>
        <v>A INICIAR</v>
      </c>
    </row>
    <row r="1115" customFormat="false" ht="15" hidden="false" customHeight="false" outlineLevel="0" collapsed="false">
      <c r="B1115" s="4" t="n">
        <v>29981490</v>
      </c>
      <c r="C1115" s="4" t="s">
        <v>2554</v>
      </c>
      <c r="D1115" s="4" t="s">
        <v>463</v>
      </c>
      <c r="E1115" s="4" t="s">
        <v>2804</v>
      </c>
      <c r="F1115" s="127" t="n">
        <v>46776</v>
      </c>
      <c r="G1115" s="127" t="n">
        <v>46786</v>
      </c>
      <c r="H1115" s="127" t="n">
        <v>46289</v>
      </c>
      <c r="I1115" s="4" t="n">
        <v>0</v>
      </c>
      <c r="J1115" s="4" t="n">
        <v>0</v>
      </c>
      <c r="K1115" s="4" t="n">
        <v>0</v>
      </c>
      <c r="M1115" s="2" t="str">
        <f aca="false">IF(C1115="","",IFERROR(INDEX($S$5:$S$304,MATCH(C1115,$R$5:$R$304,0))&amp;"","?"))</f>
        <v>35</v>
      </c>
      <c r="N1115" s="2" t="n">
        <f aca="false">IF(E1115="","",IF(ISNUMBER(SEARCH("SUBSOLO",E1115)),IFERROR(-VALUE(LEFT(E1115,FIND("º",SUBSTITUTE(E1115,"°","º"))-1)),-1),IF(LEFT(E1115,6)="TÉRREO",0,IFERROR(VALUE(LEFT(E1115,FIND("º",SUBSTITUTE(E1115,"°","º"))-1)),""))))</f>
        <v>8</v>
      </c>
      <c r="O1115" s="2" t="str">
        <f aca="false">IF(OR(F1115="",G1115=""),"",IF(G1115&lt;='RETRATO 2027'!$K$5,"CONCLUÍDA",IF(F1115&lt;='RETRATO 2027'!$K$5,"EM ANDAMENTO","A INICIAR")))</f>
        <v>A INICIAR</v>
      </c>
    </row>
    <row r="1116" customFormat="false" ht="15" hidden="false" customHeight="false" outlineLevel="0" collapsed="false">
      <c r="B1116" s="4" t="n">
        <v>29981479</v>
      </c>
      <c r="C1116" s="4" t="s">
        <v>2539</v>
      </c>
      <c r="D1116" s="4" t="s">
        <v>463</v>
      </c>
      <c r="E1116" s="4" t="s">
        <v>2805</v>
      </c>
      <c r="F1116" s="127" t="n">
        <v>46776</v>
      </c>
      <c r="G1116" s="127" t="n">
        <v>46786</v>
      </c>
      <c r="H1116" s="127" t="n">
        <v>46289</v>
      </c>
      <c r="I1116" s="4" t="n">
        <v>0</v>
      </c>
      <c r="J1116" s="4" t="n">
        <v>0</v>
      </c>
      <c r="K1116" s="4" t="n">
        <v>0</v>
      </c>
      <c r="M1116" s="2" t="str">
        <f aca="false">IF(C1116="","",IFERROR(INDEX($S$5:$S$304,MATCH(C1116,$R$5:$R$304,0))&amp;"","?"))</f>
        <v>35</v>
      </c>
      <c r="N1116" s="2" t="n">
        <f aca="false">IF(E1116="","",IF(ISNUMBER(SEARCH("SUBSOLO",E1116)),IFERROR(-VALUE(LEFT(E1116,FIND("º",SUBSTITUTE(E1116,"°","º"))-1)),-1),IF(LEFT(E1116,6)="TÉRREO",0,IFERROR(VALUE(LEFT(E1116,FIND("º",SUBSTITUTE(E1116,"°","º"))-1)),""))))</f>
        <v>9</v>
      </c>
      <c r="O1116" s="2" t="str">
        <f aca="false">IF(OR(F1116="",G1116=""),"",IF(G1116&lt;='RETRATO 2027'!$K$5,"CONCLUÍDA",IF(F1116&lt;='RETRATO 2027'!$K$5,"EM ANDAMENTO","A INICIAR")))</f>
        <v>A INICIAR</v>
      </c>
    </row>
    <row r="1117" customFormat="false" ht="15" hidden="false" customHeight="false" outlineLevel="0" collapsed="false">
      <c r="B1117" s="4" t="n">
        <v>33898091</v>
      </c>
      <c r="C1117" s="4" t="s">
        <v>2545</v>
      </c>
      <c r="D1117" s="4" t="s">
        <v>463</v>
      </c>
      <c r="E1117" s="4" t="s">
        <v>2809</v>
      </c>
      <c r="F1117" s="127" t="n">
        <v>46776</v>
      </c>
      <c r="G1117" s="127" t="n">
        <v>46786</v>
      </c>
      <c r="H1117" s="127" t="n">
        <v>46289</v>
      </c>
      <c r="I1117" s="4" t="n">
        <v>0</v>
      </c>
      <c r="J1117" s="4" t="n">
        <v>0</v>
      </c>
      <c r="K1117" s="4" t="n">
        <v>0</v>
      </c>
      <c r="M1117" s="2" t="str">
        <f aca="false">IF(C1117="","",IFERROR(INDEX($S$5:$S$304,MATCH(C1117,$R$5:$R$304,0))&amp;"","?"))</f>
        <v>25</v>
      </c>
      <c r="N1117" s="2" t="n">
        <f aca="false">IF(E1117="","",IF(ISNUMBER(SEARCH("SUBSOLO",E1117)),IFERROR(-VALUE(LEFT(E1117,FIND("º",SUBSTITUTE(E1117,"°","º"))-1)),-1),IF(LEFT(E1117,6)="TÉRREO",0,IFERROR(VALUE(LEFT(E1117,FIND("º",SUBSTITUTE(E1117,"°","º"))-1)),""))))</f>
        <v>10</v>
      </c>
      <c r="O1117" s="2" t="str">
        <f aca="false">IF(OR(F1117="",G1117=""),"",IF(G1117&lt;='RETRATO 2027'!$K$5,"CONCLUÍDA",IF(F1117&lt;='RETRATO 2027'!$K$5,"EM ANDAMENTO","A INICIAR")))</f>
        <v>A INICIAR</v>
      </c>
    </row>
    <row r="1118" customFormat="false" ht="15" hidden="false" customHeight="false" outlineLevel="0" collapsed="false">
      <c r="B1118" s="4" t="n">
        <v>29981292</v>
      </c>
      <c r="C1118" s="4" t="s">
        <v>216</v>
      </c>
      <c r="D1118" s="4" t="s">
        <v>463</v>
      </c>
      <c r="E1118" s="4" t="s">
        <v>2813</v>
      </c>
      <c r="F1118" s="127" t="n">
        <v>46777</v>
      </c>
      <c r="G1118" s="127" t="n">
        <v>46787</v>
      </c>
      <c r="H1118" s="127" t="n">
        <v>46289</v>
      </c>
      <c r="I1118" s="4" t="n">
        <v>0</v>
      </c>
      <c r="J1118" s="4" t="n">
        <v>0</v>
      </c>
      <c r="K1118" s="4" t="n">
        <v>0</v>
      </c>
      <c r="M1118" s="2" t="str">
        <f aca="false">IF(C1118="","",IFERROR(INDEX($S$5:$S$304,MATCH(C1118,$R$5:$R$304,0))&amp;"","?"))</f>
        <v>33</v>
      </c>
      <c r="N1118" s="2" t="n">
        <f aca="false">IF(E1118="","",IF(ISNUMBER(SEARCH("SUBSOLO",E1118)),IFERROR(-VALUE(LEFT(E1118,FIND("º",SUBSTITUTE(E1118,"°","º"))-1)),-1),IF(LEFT(E1118,6)="TÉRREO",0,IFERROR(VALUE(LEFT(E1118,FIND("º",SUBSTITUTE(E1118,"°","º"))-1)),""))))</f>
        <v>14</v>
      </c>
      <c r="O1118" s="2" t="str">
        <f aca="false">IF(OR(F1118="",G1118=""),"",IF(G1118&lt;='RETRATO 2027'!$K$5,"CONCLUÍDA",IF(F1118&lt;='RETRATO 2027'!$K$5,"EM ANDAMENTO","A INICIAR")))</f>
        <v>A INICIAR</v>
      </c>
    </row>
    <row r="1119" customFormat="false" ht="15" hidden="false" customHeight="false" outlineLevel="0" collapsed="false">
      <c r="B1119" s="4" t="n">
        <v>29981253</v>
      </c>
      <c r="C1119" s="4" t="s">
        <v>2508</v>
      </c>
      <c r="D1119" s="4" t="s">
        <v>463</v>
      </c>
      <c r="E1119" s="4" t="s">
        <v>2814</v>
      </c>
      <c r="F1119" s="127" t="n">
        <v>46777</v>
      </c>
      <c r="G1119" s="127" t="n">
        <v>46787</v>
      </c>
      <c r="H1119" s="127" t="n">
        <v>46289</v>
      </c>
      <c r="I1119" s="4" t="n">
        <v>0</v>
      </c>
      <c r="J1119" s="4" t="n">
        <v>0</v>
      </c>
      <c r="K1119" s="4" t="n">
        <v>0</v>
      </c>
      <c r="M1119" s="2" t="str">
        <f aca="false">IF(C1119="","",IFERROR(INDEX($S$5:$S$304,MATCH(C1119,$R$5:$R$304,0))&amp;"","?"))</f>
        <v>20</v>
      </c>
      <c r="N1119" s="2" t="n">
        <f aca="false">IF(E1119="","",IF(ISNUMBER(SEARCH("SUBSOLO",E1119)),IFERROR(-VALUE(LEFT(E1119,FIND("º",SUBSTITUTE(E1119,"°","º"))-1)),-1),IF(LEFT(E1119,6)="TÉRREO",0,IFERROR(VALUE(LEFT(E1119,FIND("º",SUBSTITUTE(E1119,"°","º"))-1)),""))))</f>
        <v>15</v>
      </c>
      <c r="O1119" s="2" t="str">
        <f aca="false">IF(OR(F1119="",G1119=""),"",IF(G1119&lt;='RETRATO 2027'!$K$5,"CONCLUÍDA",IF(F1119&lt;='RETRATO 2027'!$K$5,"EM ANDAMENTO","A INICIAR")))</f>
        <v>A INICIAR</v>
      </c>
    </row>
    <row r="1120" customFormat="false" ht="15" hidden="false" customHeight="false" outlineLevel="0" collapsed="false">
      <c r="B1120" s="4" t="n">
        <v>29981258</v>
      </c>
      <c r="C1120" s="4" t="s">
        <v>2511</v>
      </c>
      <c r="D1120" s="4" t="s">
        <v>463</v>
      </c>
      <c r="E1120" s="4" t="s">
        <v>2814</v>
      </c>
      <c r="F1120" s="127" t="n">
        <v>46777</v>
      </c>
      <c r="G1120" s="127" t="n">
        <v>46787</v>
      </c>
      <c r="H1120" s="127" t="n">
        <v>46289</v>
      </c>
      <c r="I1120" s="4" t="n">
        <v>0</v>
      </c>
      <c r="J1120" s="4" t="n">
        <v>0</v>
      </c>
      <c r="K1120" s="4" t="n">
        <v>0</v>
      </c>
      <c r="M1120" s="2" t="str">
        <f aca="false">IF(C1120="","",IFERROR(INDEX($S$5:$S$304,MATCH(C1120,$R$5:$R$304,0))&amp;"","?"))</f>
        <v>20</v>
      </c>
      <c r="N1120" s="2" t="n">
        <f aca="false">IF(E1120="","",IF(ISNUMBER(SEARCH("SUBSOLO",E1120)),IFERROR(-VALUE(LEFT(E1120,FIND("º",SUBSTITUTE(E1120,"°","º"))-1)),-1),IF(LEFT(E1120,6)="TÉRREO",0,IFERROR(VALUE(LEFT(E1120,FIND("º",SUBSTITUTE(E1120,"°","º"))-1)),""))))</f>
        <v>15</v>
      </c>
      <c r="O1120" s="2" t="str">
        <f aca="false">IF(OR(F1120="",G1120=""),"",IF(G1120&lt;='RETRATO 2027'!$K$5,"CONCLUÍDA",IF(F1120&lt;='RETRATO 2027'!$K$5,"EM ANDAMENTO","A INICIAR")))</f>
        <v>A INICIAR</v>
      </c>
    </row>
    <row r="1121" customFormat="false" ht="15" hidden="false" customHeight="false" outlineLevel="0" collapsed="false">
      <c r="B1121" s="4" t="n">
        <v>30214077</v>
      </c>
      <c r="C1121" s="4" t="s">
        <v>2514</v>
      </c>
      <c r="D1121" s="4" t="s">
        <v>463</v>
      </c>
      <c r="E1121" s="4" t="s">
        <v>2814</v>
      </c>
      <c r="F1121" s="127" t="n">
        <v>46777</v>
      </c>
      <c r="G1121" s="127" t="n">
        <v>46790</v>
      </c>
      <c r="H1121" s="127" t="n">
        <v>46289</v>
      </c>
      <c r="I1121" s="4" t="n">
        <v>0</v>
      </c>
      <c r="J1121" s="4" t="n">
        <v>0</v>
      </c>
      <c r="K1121" s="4" t="n">
        <v>0</v>
      </c>
      <c r="M1121" s="2" t="str">
        <f aca="false">IF(C1121="","",IFERROR(INDEX($S$5:$S$304,MATCH(C1121,$R$5:$R$304,0))&amp;"","?"))</f>
        <v>20</v>
      </c>
      <c r="N1121" s="2" t="n">
        <f aca="false">IF(E1121="","",IF(ISNUMBER(SEARCH("SUBSOLO",E1121)),IFERROR(-VALUE(LEFT(E1121,FIND("º",SUBSTITUTE(E1121,"°","º"))-1)),-1),IF(LEFT(E1121,6)="TÉRREO",0,IFERROR(VALUE(LEFT(E1121,FIND("º",SUBSTITUTE(E1121,"°","º"))-1)),""))))</f>
        <v>15</v>
      </c>
      <c r="O1121" s="2" t="str">
        <f aca="false">IF(OR(F1121="",G1121=""),"",IF(G1121&lt;='RETRATO 2027'!$K$5,"CONCLUÍDA",IF(F1121&lt;='RETRATO 2027'!$K$5,"EM ANDAMENTO","A INICIAR")))</f>
        <v>A INICIAR</v>
      </c>
    </row>
    <row r="1122" customFormat="false" ht="15" hidden="false" customHeight="false" outlineLevel="0" collapsed="false">
      <c r="B1122" s="4" t="n">
        <v>29981200</v>
      </c>
      <c r="C1122" s="4" t="s">
        <v>2501</v>
      </c>
      <c r="D1122" s="4" t="s">
        <v>463</v>
      </c>
      <c r="E1122" s="4" t="s">
        <v>2815</v>
      </c>
      <c r="F1122" s="127" t="n">
        <v>46777</v>
      </c>
      <c r="G1122" s="127" t="n">
        <v>46787</v>
      </c>
      <c r="H1122" s="127" t="n">
        <v>46289</v>
      </c>
      <c r="I1122" s="4" t="n">
        <v>0</v>
      </c>
      <c r="J1122" s="4" t="n">
        <v>0</v>
      </c>
      <c r="K1122" s="4" t="n">
        <v>0</v>
      </c>
      <c r="M1122" s="2" t="str">
        <f aca="false">IF(C1122="","",IFERROR(INDEX($S$5:$S$304,MATCH(C1122,$R$5:$R$304,0))&amp;"","?"))</f>
        <v>30</v>
      </c>
      <c r="N1122" s="2" t="n">
        <f aca="false">IF(E1122="","",IF(ISNUMBER(SEARCH("SUBSOLO",E1122)),IFERROR(-VALUE(LEFT(E1122,FIND("º",SUBSTITUTE(E1122,"°","º"))-1)),-1),IF(LEFT(E1122,6)="TÉRREO",0,IFERROR(VALUE(LEFT(E1122,FIND("º",SUBSTITUTE(E1122,"°","º"))-1)),""))))</f>
        <v>16</v>
      </c>
      <c r="O1122" s="2" t="str">
        <f aca="false">IF(OR(F1122="",G1122=""),"",IF(G1122&lt;='RETRATO 2027'!$K$5,"CONCLUÍDA",IF(F1122&lt;='RETRATO 2027'!$K$5,"EM ANDAMENTO","A INICIAR")))</f>
        <v>A INICIAR</v>
      </c>
    </row>
    <row r="1123" customFormat="false" ht="15" hidden="false" customHeight="false" outlineLevel="0" collapsed="false">
      <c r="B1123" s="4" t="n">
        <v>29981162</v>
      </c>
      <c r="C1123" s="4" t="s">
        <v>2486</v>
      </c>
      <c r="D1123" s="4" t="s">
        <v>463</v>
      </c>
      <c r="E1123" s="4" t="s">
        <v>2818</v>
      </c>
      <c r="F1123" s="127" t="n">
        <v>46777</v>
      </c>
      <c r="G1123" s="127" t="n">
        <v>46787</v>
      </c>
      <c r="H1123" s="127" t="n">
        <v>46289</v>
      </c>
      <c r="I1123" s="4" t="n">
        <v>0</v>
      </c>
      <c r="J1123" s="4" t="n">
        <v>0</v>
      </c>
      <c r="K1123" s="4" t="n">
        <v>0</v>
      </c>
      <c r="M1123" s="2" t="str">
        <f aca="false">IF(C1123="","",IFERROR(INDEX($S$5:$S$304,MATCH(C1123,$R$5:$R$304,0))&amp;"","?"))</f>
        <v>30</v>
      </c>
      <c r="N1123" s="2" t="n">
        <f aca="false">IF(E1123="","",IF(ISNUMBER(SEARCH("SUBSOLO",E1123)),IFERROR(-VALUE(LEFT(E1123,FIND("º",SUBSTITUTE(E1123,"°","º"))-1)),-1),IF(LEFT(E1123,6)="TÉRREO",0,IFERROR(VALUE(LEFT(E1123,FIND("º",SUBSTITUTE(E1123,"°","º"))-1)),""))))</f>
        <v>17</v>
      </c>
      <c r="O1123" s="2" t="str">
        <f aca="false">IF(OR(F1123="",G1123=""),"",IF(G1123&lt;='RETRATO 2027'!$K$5,"CONCLUÍDA",IF(F1123&lt;='RETRATO 2027'!$K$5,"EM ANDAMENTO","A INICIAR")))</f>
        <v>A INICIAR</v>
      </c>
    </row>
    <row r="1124" customFormat="false" ht="15" hidden="false" customHeight="false" outlineLevel="0" collapsed="false">
      <c r="B1124" s="4" t="n">
        <v>29981141</v>
      </c>
      <c r="C1124" s="4" t="s">
        <v>2480</v>
      </c>
      <c r="D1124" s="4" t="s">
        <v>463</v>
      </c>
      <c r="E1124" s="4" t="s">
        <v>2820</v>
      </c>
      <c r="F1124" s="127" t="n">
        <v>46777</v>
      </c>
      <c r="G1124" s="127" t="n">
        <v>46787</v>
      </c>
      <c r="H1124" s="127" t="n">
        <v>46289</v>
      </c>
      <c r="I1124" s="4" t="n">
        <v>0</v>
      </c>
      <c r="J1124" s="4" t="n">
        <v>0</v>
      </c>
      <c r="K1124" s="4" t="n">
        <v>0</v>
      </c>
      <c r="M1124" s="2" t="str">
        <f aca="false">IF(C1124="","",IFERROR(INDEX($S$5:$S$304,MATCH(C1124,$R$5:$R$304,0))&amp;"","?"))</f>
        <v>30</v>
      </c>
      <c r="N1124" s="2" t="n">
        <f aca="false">IF(E1124="","",IF(ISNUMBER(SEARCH("SUBSOLO",E1124)),IFERROR(-VALUE(LEFT(E1124,FIND("º",SUBSTITUTE(E1124,"°","º"))-1)),-1),IF(LEFT(E1124,6)="TÉRREO",0,IFERROR(VALUE(LEFT(E1124,FIND("º",SUBSTITUTE(E1124,"°","º"))-1)),""))))</f>
        <v>18</v>
      </c>
      <c r="O1124" s="2" t="str">
        <f aca="false">IF(OR(F1124="",G1124=""),"",IF(G1124&lt;='RETRATO 2027'!$K$5,"CONCLUÍDA",IF(F1124&lt;='RETRATO 2027'!$K$5,"EM ANDAMENTO","A INICIAR")))</f>
        <v>A INICIAR</v>
      </c>
    </row>
    <row r="1125" customFormat="false" ht="15" hidden="false" customHeight="false" outlineLevel="0" collapsed="false">
      <c r="B1125" s="4" t="n">
        <v>29981065</v>
      </c>
      <c r="C1125" s="4" t="s">
        <v>171</v>
      </c>
      <c r="D1125" s="4" t="s">
        <v>463</v>
      </c>
      <c r="E1125" s="4" t="s">
        <v>2823</v>
      </c>
      <c r="F1125" s="127" t="n">
        <v>46777</v>
      </c>
      <c r="G1125" s="127" t="n">
        <v>46787</v>
      </c>
      <c r="H1125" s="127" t="n">
        <v>46289</v>
      </c>
      <c r="I1125" s="4" t="n">
        <v>0</v>
      </c>
      <c r="J1125" s="4" t="n">
        <v>0</v>
      </c>
      <c r="K1125" s="4" t="n">
        <v>0</v>
      </c>
      <c r="M1125" s="2" t="str">
        <f aca="false">IF(C1125="","",IFERROR(INDEX($S$5:$S$304,MATCH(C1125,$R$5:$R$304,0))&amp;"","?"))</f>
        <v>19</v>
      </c>
      <c r="N1125" s="2" t="n">
        <f aca="false">IF(E1125="","",IF(ISNUMBER(SEARCH("SUBSOLO",E1125)),IFERROR(-VALUE(LEFT(E1125,FIND("º",SUBSTITUTE(E1125,"°","º"))-1)),-1),IF(LEFT(E1125,6)="TÉRREO",0,IFERROR(VALUE(LEFT(E1125,FIND("º",SUBSTITUTE(E1125,"°","º"))-1)),""))))</f>
        <v>20</v>
      </c>
      <c r="O1125" s="2" t="str">
        <f aca="false">IF(OR(F1125="",G1125=""),"",IF(G1125&lt;='RETRATO 2027'!$K$5,"CONCLUÍDA",IF(F1125&lt;='RETRATO 2027'!$K$5,"EM ANDAMENTO","A INICIAR")))</f>
        <v>A INICIAR</v>
      </c>
    </row>
    <row r="1126" customFormat="false" ht="15" hidden="false" customHeight="false" outlineLevel="0" collapsed="false">
      <c r="B1126" s="4" t="n">
        <v>32750447</v>
      </c>
      <c r="C1126" s="4" t="s">
        <v>2470</v>
      </c>
      <c r="D1126" s="4" t="s">
        <v>463</v>
      </c>
      <c r="E1126" s="4" t="s">
        <v>2825</v>
      </c>
      <c r="F1126" s="127" t="n">
        <v>46777</v>
      </c>
      <c r="G1126" s="127" t="n">
        <v>46787</v>
      </c>
      <c r="H1126" s="127" t="n">
        <v>46289</v>
      </c>
      <c r="I1126" s="4" t="n">
        <v>0</v>
      </c>
      <c r="J1126" s="4" t="n">
        <v>0</v>
      </c>
      <c r="K1126" s="4" t="n">
        <v>0</v>
      </c>
      <c r="M1126" s="2" t="str">
        <f aca="false">IF(C1126="","",IFERROR(INDEX($S$5:$S$304,MATCH(C1126,$R$5:$R$304,0))&amp;"","?"))</f>
        <v>18</v>
      </c>
      <c r="N1126" s="2" t="n">
        <f aca="false">IF(E1126="","",IF(ISNUMBER(SEARCH("SUBSOLO",E1126)),IFERROR(-VALUE(LEFT(E1126,FIND("º",SUBSTITUTE(E1126,"°","º"))-1)),-1),IF(LEFT(E1126,6)="TÉRREO",0,IFERROR(VALUE(LEFT(E1126,FIND("º",SUBSTITUTE(E1126,"°","º"))-1)),""))))</f>
        <v>21</v>
      </c>
      <c r="O1126" s="2" t="str">
        <f aca="false">IF(OR(F1126="",G1126=""),"",IF(G1126&lt;='RETRATO 2027'!$K$5,"CONCLUÍDA",IF(F1126&lt;='RETRATO 2027'!$K$5,"EM ANDAMENTO","A INICIAR")))</f>
        <v>A INICIAR</v>
      </c>
    </row>
    <row r="1127" customFormat="false" ht="15" hidden="false" customHeight="false" outlineLevel="0" collapsed="false">
      <c r="B1127" s="4" t="n">
        <v>32750370</v>
      </c>
      <c r="C1127" s="4" t="s">
        <v>2458</v>
      </c>
      <c r="D1127" s="4" t="s">
        <v>463</v>
      </c>
      <c r="E1127" s="4" t="s">
        <v>2827</v>
      </c>
      <c r="F1127" s="127" t="n">
        <v>46777</v>
      </c>
      <c r="G1127" s="127" t="n">
        <v>46787</v>
      </c>
      <c r="H1127" s="127" t="n">
        <v>46289</v>
      </c>
      <c r="I1127" s="4" t="n">
        <v>0</v>
      </c>
      <c r="J1127" s="4" t="n">
        <v>0</v>
      </c>
      <c r="K1127" s="4" t="n">
        <v>0</v>
      </c>
      <c r="M1127" s="2" t="str">
        <f aca="false">IF(C1127="","",IFERROR(INDEX($S$5:$S$304,MATCH(C1127,$R$5:$R$304,0))&amp;"","?"))</f>
        <v>21</v>
      </c>
      <c r="N1127" s="2" t="n">
        <f aca="false">IF(E1127="","",IF(ISNUMBER(SEARCH("SUBSOLO",E1127)),IFERROR(-VALUE(LEFT(E1127,FIND("º",SUBSTITUTE(E1127,"°","º"))-1)),-1),IF(LEFT(E1127,6)="TÉRREO",0,IFERROR(VALUE(LEFT(E1127,FIND("º",SUBSTITUTE(E1127,"°","º"))-1)),""))))</f>
        <v>22</v>
      </c>
      <c r="O1127" s="2" t="str">
        <f aca="false">IF(OR(F1127="",G1127=""),"",IF(G1127&lt;='RETRATO 2027'!$K$5,"CONCLUÍDA",IF(F1127&lt;='RETRATO 2027'!$K$5,"EM ANDAMENTO","A INICIAR")))</f>
        <v>A INICIAR</v>
      </c>
    </row>
    <row r="1128" customFormat="false" ht="15" hidden="false" customHeight="false" outlineLevel="0" collapsed="false">
      <c r="B1128" s="4" t="n">
        <v>32750396</v>
      </c>
      <c r="C1128" s="4" t="s">
        <v>2461</v>
      </c>
      <c r="D1128" s="4" t="s">
        <v>463</v>
      </c>
      <c r="E1128" s="4" t="s">
        <v>2827</v>
      </c>
      <c r="F1128" s="127" t="n">
        <v>46777</v>
      </c>
      <c r="G1128" s="127" t="n">
        <v>46787</v>
      </c>
      <c r="H1128" s="127" t="n">
        <v>46289</v>
      </c>
      <c r="I1128" s="4" t="n">
        <v>0</v>
      </c>
      <c r="J1128" s="4" t="n">
        <v>0</v>
      </c>
      <c r="K1128" s="4" t="n">
        <v>0</v>
      </c>
      <c r="M1128" s="2" t="str">
        <f aca="false">IF(C1128="","",IFERROR(INDEX($S$5:$S$304,MATCH(C1128,$R$5:$R$304,0))&amp;"","?"))</f>
        <v>20</v>
      </c>
      <c r="N1128" s="2" t="n">
        <f aca="false">IF(E1128="","",IF(ISNUMBER(SEARCH("SUBSOLO",E1128)),IFERROR(-VALUE(LEFT(E1128,FIND("º",SUBSTITUTE(E1128,"°","º"))-1)),-1),IF(LEFT(E1128,6)="TÉRREO",0,IFERROR(VALUE(LEFT(E1128,FIND("º",SUBSTITUTE(E1128,"°","º"))-1)),""))))</f>
        <v>22</v>
      </c>
      <c r="O1128" s="2" t="str">
        <f aca="false">IF(OR(F1128="",G1128=""),"",IF(G1128&lt;='RETRATO 2027'!$K$5,"CONCLUÍDA",IF(F1128&lt;='RETRATO 2027'!$K$5,"EM ANDAMENTO","A INICIAR")))</f>
        <v>A INICIAR</v>
      </c>
    </row>
    <row r="1129" customFormat="false" ht="15" hidden="false" customHeight="false" outlineLevel="0" collapsed="false">
      <c r="B1129" s="4" t="n">
        <v>32750422</v>
      </c>
      <c r="C1129" s="4" t="s">
        <v>2464</v>
      </c>
      <c r="D1129" s="4" t="s">
        <v>463</v>
      </c>
      <c r="E1129" s="4" t="s">
        <v>2827</v>
      </c>
      <c r="F1129" s="127" t="n">
        <v>46777</v>
      </c>
      <c r="G1129" s="127" t="n">
        <v>46787</v>
      </c>
      <c r="H1129" s="127" t="n">
        <v>46289</v>
      </c>
      <c r="I1129" s="4" t="n">
        <v>0</v>
      </c>
      <c r="J1129" s="4" t="n">
        <v>0</v>
      </c>
      <c r="K1129" s="4" t="n">
        <v>0</v>
      </c>
      <c r="M1129" s="2" t="str">
        <f aca="false">IF(C1129="","",IFERROR(INDEX($S$5:$S$304,MATCH(C1129,$R$5:$R$304,0))&amp;"","?"))</f>
        <v>21</v>
      </c>
      <c r="N1129" s="2" t="n">
        <f aca="false">IF(E1129="","",IF(ISNUMBER(SEARCH("SUBSOLO",E1129)),IFERROR(-VALUE(LEFT(E1129,FIND("º",SUBSTITUTE(E1129,"°","º"))-1)),-1),IF(LEFT(E1129,6)="TÉRREO",0,IFERROR(VALUE(LEFT(E1129,FIND("º",SUBSTITUTE(E1129,"°","º"))-1)),""))))</f>
        <v>22</v>
      </c>
      <c r="O1129" s="2" t="str">
        <f aca="false">IF(OR(F1129="",G1129=""),"",IF(G1129&lt;='RETRATO 2027'!$K$5,"CONCLUÍDA",IF(F1129&lt;='RETRATO 2027'!$K$5,"EM ANDAMENTO","A INICIAR")))</f>
        <v>A INICIAR</v>
      </c>
    </row>
    <row r="1130" customFormat="false" ht="15" hidden="false" customHeight="false" outlineLevel="0" collapsed="false">
      <c r="B1130" s="4" t="n">
        <v>33896840</v>
      </c>
      <c r="C1130" s="4" t="s">
        <v>2467</v>
      </c>
      <c r="D1130" s="4" t="s">
        <v>463</v>
      </c>
      <c r="E1130" s="4" t="s">
        <v>2827</v>
      </c>
      <c r="F1130" s="127" t="n">
        <v>46777</v>
      </c>
      <c r="G1130" s="127" t="n">
        <v>46787</v>
      </c>
      <c r="H1130" s="127" t="n">
        <v>46289</v>
      </c>
      <c r="I1130" s="4" t="n">
        <v>0</v>
      </c>
      <c r="J1130" s="4" t="n">
        <v>0</v>
      </c>
      <c r="K1130" s="4" t="n">
        <v>0</v>
      </c>
      <c r="M1130" s="2" t="str">
        <f aca="false">IF(C1130="","",IFERROR(INDEX($S$5:$S$304,MATCH(C1130,$R$5:$R$304,0))&amp;"","?"))</f>
        <v>23</v>
      </c>
      <c r="N1130" s="2" t="n">
        <f aca="false">IF(E1130="","",IF(ISNUMBER(SEARCH("SUBSOLO",E1130)),IFERROR(-VALUE(LEFT(E1130,FIND("º",SUBSTITUTE(E1130,"°","º"))-1)),-1),IF(LEFT(E1130,6)="TÉRREO",0,IFERROR(VALUE(LEFT(E1130,FIND("º",SUBSTITUTE(E1130,"°","º"))-1)),""))))</f>
        <v>22</v>
      </c>
      <c r="O1130" s="2" t="str">
        <f aca="false">IF(OR(F1130="",G1130=""),"",IF(G1130&lt;='RETRATO 2027'!$K$5,"CONCLUÍDA",IF(F1130&lt;='RETRATO 2027'!$K$5,"EM ANDAMENTO","A INICIAR")))</f>
        <v>A INICIAR</v>
      </c>
    </row>
    <row r="1131" customFormat="false" ht="15" hidden="false" customHeight="false" outlineLevel="0" collapsed="false">
      <c r="B1131" s="4" t="n">
        <v>32749866</v>
      </c>
      <c r="C1131" s="4" t="s">
        <v>2455</v>
      </c>
      <c r="D1131" s="4" t="s">
        <v>463</v>
      </c>
      <c r="E1131" s="4" t="s">
        <v>2829</v>
      </c>
      <c r="F1131" s="127" t="n">
        <v>46777</v>
      </c>
      <c r="G1131" s="127" t="n">
        <v>46787</v>
      </c>
      <c r="H1131" s="127" t="n">
        <v>46289</v>
      </c>
      <c r="I1131" s="4" t="n">
        <v>0</v>
      </c>
      <c r="J1131" s="4" t="n">
        <v>0</v>
      </c>
      <c r="K1131" s="4" t="n">
        <v>0</v>
      </c>
      <c r="M1131" s="2" t="str">
        <f aca="false">IF(C1131="","",IFERROR(INDEX($S$5:$S$304,MATCH(C1131,$R$5:$R$304,0))&amp;"","?"))</f>
        <v>18</v>
      </c>
      <c r="N1131" s="2" t="n">
        <f aca="false">IF(E1131="","",IF(ISNUMBER(SEARCH("SUBSOLO",E1131)),IFERROR(-VALUE(LEFT(E1131,FIND("º",SUBSTITUTE(E1131,"°","º"))-1)),-1),IF(LEFT(E1131,6)="TÉRREO",0,IFERROR(VALUE(LEFT(E1131,FIND("º",SUBSTITUTE(E1131,"°","º"))-1)),""))))</f>
        <v>23</v>
      </c>
      <c r="O1131" s="2" t="str">
        <f aca="false">IF(OR(F1131="",G1131=""),"",IF(G1131&lt;='RETRATO 2027'!$K$5,"CONCLUÍDA",IF(F1131&lt;='RETRATO 2027'!$K$5,"EM ANDAMENTO","A INICIAR")))</f>
        <v>A INICIAR</v>
      </c>
    </row>
    <row r="1132" customFormat="false" ht="15" hidden="false" customHeight="false" outlineLevel="0" collapsed="false">
      <c r="B1132" s="4" t="n">
        <v>29980918</v>
      </c>
      <c r="C1132" s="4" t="s">
        <v>2449</v>
      </c>
      <c r="D1132" s="4" t="s">
        <v>463</v>
      </c>
      <c r="E1132" s="4" t="s">
        <v>2831</v>
      </c>
      <c r="F1132" s="127" t="n">
        <v>46777</v>
      </c>
      <c r="G1132" s="127" t="n">
        <v>46787</v>
      </c>
      <c r="H1132" s="127" t="n">
        <v>46289</v>
      </c>
      <c r="I1132" s="4" t="n">
        <v>0</v>
      </c>
      <c r="J1132" s="4" t="n">
        <v>0</v>
      </c>
      <c r="K1132" s="4" t="n">
        <v>0</v>
      </c>
      <c r="M1132" s="2" t="str">
        <f aca="false">IF(C1132="","",IFERROR(INDEX($S$5:$S$304,MATCH(C1132,$R$5:$R$304,0))&amp;"","?"))</f>
        <v>28</v>
      </c>
      <c r="N1132" s="2" t="n">
        <f aca="false">IF(E1132="","",IF(ISNUMBER(SEARCH("SUBSOLO",E1132)),IFERROR(-VALUE(LEFT(E1132,FIND("º",SUBSTITUTE(E1132,"°","º"))-1)),-1),IF(LEFT(E1132,6)="TÉRREO",0,IFERROR(VALUE(LEFT(E1132,FIND("º",SUBSTITUTE(E1132,"°","º"))-1)),""))))</f>
        <v>24</v>
      </c>
      <c r="O1132" s="2" t="str">
        <f aca="false">IF(OR(F1132="",G1132=""),"",IF(G1132&lt;='RETRATO 2027'!$K$5,"CONCLUÍDA",IF(F1132&lt;='RETRATO 2027'!$K$5,"EM ANDAMENTO","A INICIAR")))</f>
        <v>A INICIAR</v>
      </c>
    </row>
    <row r="1133" customFormat="false" ht="15" hidden="false" customHeight="false" outlineLevel="0" collapsed="false">
      <c r="B1133" s="4" t="n">
        <v>29980858</v>
      </c>
      <c r="C1133" s="4" t="s">
        <v>2440</v>
      </c>
      <c r="D1133" s="4" t="s">
        <v>463</v>
      </c>
      <c r="E1133" s="4" t="s">
        <v>2833</v>
      </c>
      <c r="F1133" s="127" t="n">
        <v>46777</v>
      </c>
      <c r="G1133" s="127" t="n">
        <v>46787</v>
      </c>
      <c r="H1133" s="127" t="n">
        <v>46289</v>
      </c>
      <c r="I1133" s="4" t="n">
        <v>0</v>
      </c>
      <c r="J1133" s="4" t="n">
        <v>0</v>
      </c>
      <c r="K1133" s="4" t="n">
        <v>0</v>
      </c>
      <c r="M1133" s="2" t="str">
        <f aca="false">IF(C1133="","",IFERROR(INDEX($S$5:$S$304,MATCH(C1133,$R$5:$R$304,0))&amp;"","?"))</f>
        <v>21</v>
      </c>
      <c r="N1133" s="2" t="n">
        <f aca="false">IF(E1133="","",IF(ISNUMBER(SEARCH("SUBSOLO",E1133)),IFERROR(-VALUE(LEFT(E1133,FIND("º",SUBSTITUTE(E1133,"°","º"))-1)),-1),IF(LEFT(E1133,6)="TÉRREO",0,IFERROR(VALUE(LEFT(E1133,FIND("º",SUBSTITUTE(E1133,"°","º"))-1)),""))))</f>
        <v>25</v>
      </c>
      <c r="O1133" s="2" t="str">
        <f aca="false">IF(OR(F1133="",G1133=""),"",IF(G1133&lt;='RETRATO 2027'!$K$5,"CONCLUÍDA",IF(F1133&lt;='RETRATO 2027'!$K$5,"EM ANDAMENTO","A INICIAR")))</f>
        <v>A INICIAR</v>
      </c>
    </row>
    <row r="1134" customFormat="false" ht="15" hidden="false" customHeight="false" outlineLevel="0" collapsed="false">
      <c r="B1134" s="4" t="n">
        <v>29980891</v>
      </c>
      <c r="C1134" s="4" t="s">
        <v>2443</v>
      </c>
      <c r="D1134" s="4" t="s">
        <v>463</v>
      </c>
      <c r="E1134" s="4" t="s">
        <v>2833</v>
      </c>
      <c r="F1134" s="127" t="n">
        <v>46777</v>
      </c>
      <c r="G1134" s="127" t="n">
        <v>46787</v>
      </c>
      <c r="H1134" s="127" t="n">
        <v>46289</v>
      </c>
      <c r="I1134" s="4" t="n">
        <v>0</v>
      </c>
      <c r="J1134" s="4" t="n">
        <v>0</v>
      </c>
      <c r="K1134" s="4" t="n">
        <v>0</v>
      </c>
      <c r="M1134" s="2" t="str">
        <f aca="false">IF(C1134="","",IFERROR(INDEX($S$5:$S$304,MATCH(C1134,$R$5:$R$304,0))&amp;"","?"))</f>
        <v>20</v>
      </c>
      <c r="N1134" s="2" t="n">
        <f aca="false">IF(E1134="","",IF(ISNUMBER(SEARCH("SUBSOLO",E1134)),IFERROR(-VALUE(LEFT(E1134,FIND("º",SUBSTITUTE(E1134,"°","º"))-1)),-1),IF(LEFT(E1134,6)="TÉRREO",0,IFERROR(VALUE(LEFT(E1134,FIND("º",SUBSTITUTE(E1134,"°","º"))-1)),""))))</f>
        <v>25</v>
      </c>
      <c r="O1134" s="2" t="str">
        <f aca="false">IF(OR(F1134="",G1134=""),"",IF(G1134&lt;='RETRATO 2027'!$K$5,"CONCLUÍDA",IF(F1134&lt;='RETRATO 2027'!$K$5,"EM ANDAMENTO","A INICIAR")))</f>
        <v>A INICIAR</v>
      </c>
    </row>
    <row r="1135" customFormat="false" ht="15" hidden="false" customHeight="false" outlineLevel="0" collapsed="false">
      <c r="B1135" s="4" t="n">
        <v>29980820</v>
      </c>
      <c r="C1135" s="4" t="s">
        <v>2437</v>
      </c>
      <c r="D1135" s="4" t="s">
        <v>463</v>
      </c>
      <c r="E1135" s="4" t="s">
        <v>2834</v>
      </c>
      <c r="F1135" s="127" t="n">
        <v>46777</v>
      </c>
      <c r="G1135" s="127" t="n">
        <v>46787</v>
      </c>
      <c r="H1135" s="127" t="n">
        <v>46289</v>
      </c>
      <c r="I1135" s="4" t="n">
        <v>0</v>
      </c>
      <c r="J1135" s="4" t="n">
        <v>0</v>
      </c>
      <c r="K1135" s="4" t="n">
        <v>0</v>
      </c>
      <c r="M1135" s="2" t="str">
        <f aca="false">IF(C1135="","",IFERROR(INDEX($S$5:$S$304,MATCH(C1135,$R$5:$R$304,0))&amp;"","?"))</f>
        <v>29</v>
      </c>
      <c r="N1135" s="2" t="n">
        <f aca="false">IF(E1135="","",IF(ISNUMBER(SEARCH("SUBSOLO",E1135)),IFERROR(-VALUE(LEFT(E1135,FIND("º",SUBSTITUTE(E1135,"°","º"))-1)),-1),IF(LEFT(E1135,6)="TÉRREO",0,IFERROR(VALUE(LEFT(E1135,FIND("º",SUBSTITUTE(E1135,"°","º"))-1)),""))))</f>
        <v>26</v>
      </c>
      <c r="O1135" s="2" t="str">
        <f aca="false">IF(OR(F1135="",G1135=""),"",IF(G1135&lt;='RETRATO 2027'!$K$5,"CONCLUÍDA",IF(F1135&lt;='RETRATO 2027'!$K$5,"EM ANDAMENTO","A INICIAR")))</f>
        <v>A INICIAR</v>
      </c>
    </row>
    <row r="1136" customFormat="false" ht="15" hidden="false" customHeight="false" outlineLevel="0" collapsed="false">
      <c r="B1136" s="4" t="n">
        <v>29980786</v>
      </c>
      <c r="C1136" s="4" t="s">
        <v>2434</v>
      </c>
      <c r="D1136" s="4" t="s">
        <v>463</v>
      </c>
      <c r="E1136" s="4" t="s">
        <v>2838</v>
      </c>
      <c r="F1136" s="127" t="n">
        <v>46777</v>
      </c>
      <c r="G1136" s="127" t="n">
        <v>46787</v>
      </c>
      <c r="H1136" s="127" t="n">
        <v>46289</v>
      </c>
      <c r="I1136" s="4" t="n">
        <v>0</v>
      </c>
      <c r="J1136" s="4" t="n">
        <v>0</v>
      </c>
      <c r="K1136" s="4" t="n">
        <v>0</v>
      </c>
      <c r="M1136" s="2" t="str">
        <f aca="false">IF(C1136="","",IFERROR(INDEX($S$5:$S$304,MATCH(C1136,$R$5:$R$304,0))&amp;"","?"))</f>
        <v>25</v>
      </c>
      <c r="N1136" s="2" t="n">
        <f aca="false">IF(E1136="","",IF(ISNUMBER(SEARCH("SUBSOLO",E1136)),IFERROR(-VALUE(LEFT(E1136,FIND("º",SUBSTITUTE(E1136,"°","º"))-1)),-1),IF(LEFT(E1136,6)="TÉRREO",0,IFERROR(VALUE(LEFT(E1136,FIND("º",SUBSTITUTE(E1136,"°","º"))-1)),""))))</f>
        <v>27</v>
      </c>
      <c r="O1136" s="2" t="str">
        <f aca="false">IF(OR(F1136="",G1136=""),"",IF(G1136&lt;='RETRATO 2027'!$K$5,"CONCLUÍDA",IF(F1136&lt;='RETRATO 2027'!$K$5,"EM ANDAMENTO","A INICIAR")))</f>
        <v>A INICIAR</v>
      </c>
    </row>
    <row r="1137" customFormat="false" ht="15" hidden="false" customHeight="false" outlineLevel="0" collapsed="false">
      <c r="B1137" s="4" t="n">
        <v>29980779</v>
      </c>
      <c r="C1137" s="4" t="s">
        <v>2425</v>
      </c>
      <c r="D1137" s="4" t="s">
        <v>463</v>
      </c>
      <c r="E1137" s="4" t="s">
        <v>2840</v>
      </c>
      <c r="F1137" s="127" t="n">
        <v>46777</v>
      </c>
      <c r="G1137" s="127" t="n">
        <v>46787</v>
      </c>
      <c r="H1137" s="127" t="n">
        <v>46289</v>
      </c>
      <c r="I1137" s="4" t="n">
        <v>0</v>
      </c>
      <c r="J1137" s="4" t="n">
        <v>0</v>
      </c>
      <c r="K1137" s="4" t="n">
        <v>0</v>
      </c>
      <c r="M1137" s="2" t="str">
        <f aca="false">IF(C1137="","",IFERROR(INDEX($S$5:$S$304,MATCH(C1137,$R$5:$R$304,0))&amp;"","?"))</f>
        <v>21</v>
      </c>
      <c r="N1137" s="2" t="n">
        <f aca="false">IF(E1137="","",IF(ISNUMBER(SEARCH("SUBSOLO",E1137)),IFERROR(-VALUE(LEFT(E1137,FIND("º",SUBSTITUTE(E1137,"°","º"))-1)),-1),IF(LEFT(E1137,6)="TÉRREO",0,IFERROR(VALUE(LEFT(E1137,FIND("º",SUBSTITUTE(E1137,"°","º"))-1)),""))))</f>
        <v>28</v>
      </c>
      <c r="O1137" s="2" t="str">
        <f aca="false">IF(OR(F1137="",G1137=""),"",IF(G1137&lt;='RETRATO 2027'!$K$5,"CONCLUÍDA",IF(F1137&lt;='RETRATO 2027'!$K$5,"EM ANDAMENTO","A INICIAR")))</f>
        <v>A INICIAR</v>
      </c>
    </row>
    <row r="1138" customFormat="false" ht="15" hidden="false" customHeight="false" outlineLevel="0" collapsed="false">
      <c r="B1138" s="4" t="n">
        <v>29980748</v>
      </c>
      <c r="C1138" s="4" t="s">
        <v>2428</v>
      </c>
      <c r="D1138" s="4" t="s">
        <v>463</v>
      </c>
      <c r="E1138" s="4" t="s">
        <v>2840</v>
      </c>
      <c r="F1138" s="127" t="n">
        <v>46777</v>
      </c>
      <c r="G1138" s="127" t="n">
        <v>46787</v>
      </c>
      <c r="H1138" s="127" t="n">
        <v>46289</v>
      </c>
      <c r="I1138" s="4" t="n">
        <v>0</v>
      </c>
      <c r="J1138" s="4" t="n">
        <v>0</v>
      </c>
      <c r="K1138" s="4" t="n">
        <v>0</v>
      </c>
      <c r="M1138" s="2" t="str">
        <f aca="false">IF(C1138="","",IFERROR(INDEX($S$5:$S$304,MATCH(C1138,$R$5:$R$304,0))&amp;"","?"))</f>
        <v>20</v>
      </c>
      <c r="N1138" s="2" t="n">
        <f aca="false">IF(E1138="","",IF(ISNUMBER(SEARCH("SUBSOLO",E1138)),IFERROR(-VALUE(LEFT(E1138,FIND("º",SUBSTITUTE(E1138,"°","º"))-1)),-1),IF(LEFT(E1138,6)="TÉRREO",0,IFERROR(VALUE(LEFT(E1138,FIND("º",SUBSTITUTE(E1138,"°","º"))-1)),""))))</f>
        <v>28</v>
      </c>
      <c r="O1138" s="2" t="str">
        <f aca="false">IF(OR(F1138="",G1138=""),"",IF(G1138&lt;='RETRATO 2027'!$K$5,"CONCLUÍDA",IF(F1138&lt;='RETRATO 2027'!$K$5,"EM ANDAMENTO","A INICIAR")))</f>
        <v>A INICIAR</v>
      </c>
    </row>
    <row r="1139" customFormat="false" ht="15" hidden="false" customHeight="false" outlineLevel="0" collapsed="false">
      <c r="B1139" s="4" t="n">
        <v>29980781</v>
      </c>
      <c r="C1139" s="4" t="s">
        <v>2431</v>
      </c>
      <c r="D1139" s="4" t="s">
        <v>463</v>
      </c>
      <c r="E1139" s="4" t="s">
        <v>2840</v>
      </c>
      <c r="F1139" s="127" t="n">
        <v>46777</v>
      </c>
      <c r="G1139" s="127" t="n">
        <v>46787</v>
      </c>
      <c r="H1139" s="127" t="n">
        <v>46289</v>
      </c>
      <c r="I1139" s="4" t="n">
        <v>0</v>
      </c>
      <c r="J1139" s="4" t="n">
        <v>0</v>
      </c>
      <c r="K1139" s="4" t="n">
        <v>0</v>
      </c>
      <c r="M1139" s="2" t="str">
        <f aca="false">IF(C1139="","",IFERROR(INDEX($S$5:$S$304,MATCH(C1139,$R$5:$R$304,0))&amp;"","?"))</f>
        <v>21</v>
      </c>
      <c r="N1139" s="2" t="n">
        <f aca="false">IF(E1139="","",IF(ISNUMBER(SEARCH("SUBSOLO",E1139)),IFERROR(-VALUE(LEFT(E1139,FIND("º",SUBSTITUTE(E1139,"°","º"))-1)),-1),IF(LEFT(E1139,6)="TÉRREO",0,IFERROR(VALUE(LEFT(E1139,FIND("º",SUBSTITUTE(E1139,"°","º"))-1)),""))))</f>
        <v>28</v>
      </c>
      <c r="O1139" s="2" t="str">
        <f aca="false">IF(OR(F1139="",G1139=""),"",IF(G1139&lt;='RETRATO 2027'!$K$5,"CONCLUÍDA",IF(F1139&lt;='RETRATO 2027'!$K$5,"EM ANDAMENTO","A INICIAR")))</f>
        <v>A INICIAR</v>
      </c>
    </row>
    <row r="1140" customFormat="false" ht="15" hidden="false" customHeight="false" outlineLevel="0" collapsed="false">
      <c r="B1140" s="4" t="n">
        <v>29980728</v>
      </c>
      <c r="C1140" s="4" t="s">
        <v>2422</v>
      </c>
      <c r="D1140" s="4" t="s">
        <v>463</v>
      </c>
      <c r="E1140" s="4" t="s">
        <v>2841</v>
      </c>
      <c r="F1140" s="127" t="n">
        <v>46777</v>
      </c>
      <c r="G1140" s="127" t="n">
        <v>46787</v>
      </c>
      <c r="H1140" s="127" t="n">
        <v>46289</v>
      </c>
      <c r="I1140" s="4" t="n">
        <v>0</v>
      </c>
      <c r="J1140" s="4" t="n">
        <v>0</v>
      </c>
      <c r="K1140" s="4" t="n">
        <v>0</v>
      </c>
      <c r="M1140" s="2" t="str">
        <f aca="false">IF(C1140="","",IFERROR(INDEX($S$5:$S$304,MATCH(C1140,$R$5:$R$304,0))&amp;"","?"))</f>
        <v>29</v>
      </c>
      <c r="N1140" s="2" t="n">
        <f aca="false">IF(E1140="","",IF(ISNUMBER(SEARCH("SUBSOLO",E1140)),IFERROR(-VALUE(LEFT(E1140,FIND("º",SUBSTITUTE(E1140,"°","º"))-1)),-1),IF(LEFT(E1140,6)="TÉRREO",0,IFERROR(VALUE(LEFT(E1140,FIND("º",SUBSTITUTE(E1140,"°","º"))-1)),""))))</f>
        <v>29</v>
      </c>
      <c r="O1140" s="2" t="str">
        <f aca="false">IF(OR(F1140="",G1140=""),"",IF(G1140&lt;='RETRATO 2027'!$K$5,"CONCLUÍDA",IF(F1140&lt;='RETRATO 2027'!$K$5,"EM ANDAMENTO","A INICIAR")))</f>
        <v>A INICIAR</v>
      </c>
    </row>
    <row r="1141" customFormat="false" ht="15" hidden="false" customHeight="false" outlineLevel="0" collapsed="false">
      <c r="B1141" s="4" t="n">
        <v>29980694</v>
      </c>
      <c r="C1141" s="4" t="s">
        <v>2413</v>
      </c>
      <c r="D1141" s="4" t="s">
        <v>463</v>
      </c>
      <c r="E1141" s="4" t="s">
        <v>2842</v>
      </c>
      <c r="F1141" s="127" t="n">
        <v>46777</v>
      </c>
      <c r="G1141" s="127" t="n">
        <v>46787</v>
      </c>
      <c r="H1141" s="127" t="n">
        <v>46289</v>
      </c>
      <c r="I1141" s="4" t="n">
        <v>0</v>
      </c>
      <c r="J1141" s="4" t="n">
        <v>0</v>
      </c>
      <c r="K1141" s="4" t="n">
        <v>0</v>
      </c>
      <c r="M1141" s="2" t="str">
        <f aca="false">IF(C1141="","",IFERROR(INDEX($S$5:$S$304,MATCH(C1141,$R$5:$R$304,0))&amp;"","?"))</f>
        <v>21</v>
      </c>
      <c r="N1141" s="2" t="n">
        <f aca="false">IF(E1141="","",IF(ISNUMBER(SEARCH("SUBSOLO",E1141)),IFERROR(-VALUE(LEFT(E1141,FIND("º",SUBSTITUTE(E1141,"°","º"))-1)),-1),IF(LEFT(E1141,6)="TÉRREO",0,IFERROR(VALUE(LEFT(E1141,FIND("º",SUBSTITUTE(E1141,"°","º"))-1)),""))))</f>
        <v>30</v>
      </c>
      <c r="O1141" s="2" t="str">
        <f aca="false">IF(OR(F1141="",G1141=""),"",IF(G1141&lt;='RETRATO 2027'!$K$5,"CONCLUÍDA",IF(F1141&lt;='RETRATO 2027'!$K$5,"EM ANDAMENTO","A INICIAR")))</f>
        <v>A INICIAR</v>
      </c>
    </row>
    <row r="1142" customFormat="false" ht="15" hidden="false" customHeight="false" outlineLevel="0" collapsed="false">
      <c r="B1142" s="4" t="n">
        <v>29980693</v>
      </c>
      <c r="C1142" s="4" t="s">
        <v>2416</v>
      </c>
      <c r="D1142" s="4" t="s">
        <v>463</v>
      </c>
      <c r="E1142" s="4" t="s">
        <v>2842</v>
      </c>
      <c r="F1142" s="127" t="n">
        <v>46779</v>
      </c>
      <c r="G1142" s="127" t="n">
        <v>46791</v>
      </c>
      <c r="H1142" s="127" t="n">
        <v>46289</v>
      </c>
      <c r="I1142" s="4" t="n">
        <v>0</v>
      </c>
      <c r="J1142" s="4" t="n">
        <v>0</v>
      </c>
      <c r="K1142" s="4" t="n">
        <v>0</v>
      </c>
      <c r="M1142" s="2" t="str">
        <f aca="false">IF(C1142="","",IFERROR(INDEX($S$5:$S$304,MATCH(C1142,$R$5:$R$304,0))&amp;"","?"))</f>
        <v>18</v>
      </c>
      <c r="N1142" s="2" t="n">
        <f aca="false">IF(E1142="","",IF(ISNUMBER(SEARCH("SUBSOLO",E1142)),IFERROR(-VALUE(LEFT(E1142,FIND("º",SUBSTITUTE(E1142,"°","º"))-1)),-1),IF(LEFT(E1142,6)="TÉRREO",0,IFERROR(VALUE(LEFT(E1142,FIND("º",SUBSTITUTE(E1142,"°","º"))-1)),""))))</f>
        <v>30</v>
      </c>
      <c r="O1142" s="2" t="str">
        <f aca="false">IF(OR(F1142="",G1142=""),"",IF(G1142&lt;='RETRATO 2027'!$K$5,"CONCLUÍDA",IF(F1142&lt;='RETRATO 2027'!$K$5,"EM ANDAMENTO","A INICIAR")))</f>
        <v>A INICIAR</v>
      </c>
    </row>
    <row r="1143" customFormat="false" ht="15" hidden="false" customHeight="false" outlineLevel="0" collapsed="false">
      <c r="B1143" s="4" t="n">
        <v>30205598</v>
      </c>
      <c r="C1143" s="4" t="s">
        <v>2539</v>
      </c>
      <c r="D1143" s="4" t="s">
        <v>463</v>
      </c>
      <c r="E1143" s="4" t="s">
        <v>2828</v>
      </c>
      <c r="F1143" s="127" t="n">
        <v>46780</v>
      </c>
      <c r="G1143" s="127" t="n">
        <v>46793</v>
      </c>
      <c r="H1143" s="127" t="n">
        <v>46289</v>
      </c>
      <c r="I1143" s="4" t="n">
        <v>0</v>
      </c>
      <c r="J1143" s="4" t="n">
        <v>0</v>
      </c>
      <c r="K1143" s="4" t="n">
        <v>0</v>
      </c>
      <c r="M1143" s="2" t="str">
        <f aca="false">IF(C1143="","",IFERROR(INDEX($S$5:$S$304,MATCH(C1143,$R$5:$R$304,0))&amp;"","?"))</f>
        <v>35</v>
      </c>
      <c r="N1143" s="2" t="n">
        <f aca="false">IF(E1143="","",IF(ISNUMBER(SEARCH("SUBSOLO",E1143)),IFERROR(-VALUE(LEFT(E1143,FIND("º",SUBSTITUTE(E1143,"°","º"))-1)),-1),IF(LEFT(E1143,6)="TÉRREO",0,IFERROR(VALUE(LEFT(E1143,FIND("º",SUBSTITUTE(E1143,"°","º"))-1)),""))))</f>
        <v>0</v>
      </c>
      <c r="O1143" s="2" t="str">
        <f aca="false">IF(OR(F1143="",G1143=""),"",IF(G1143&lt;='RETRATO 2027'!$K$5,"CONCLUÍDA",IF(F1143&lt;='RETRATO 2027'!$K$5,"EM ANDAMENTO","A INICIAR")))</f>
        <v>A INICIAR</v>
      </c>
    </row>
    <row r="1144" customFormat="false" ht="15" hidden="false" customHeight="false" outlineLevel="0" collapsed="false">
      <c r="B1144" s="4" t="n">
        <v>30205568</v>
      </c>
      <c r="C1144" s="4" t="s">
        <v>216</v>
      </c>
      <c r="D1144" s="4" t="s">
        <v>463</v>
      </c>
      <c r="E1144" s="4" t="s">
        <v>2830</v>
      </c>
      <c r="F1144" s="127" t="n">
        <v>46780</v>
      </c>
      <c r="G1144" s="127" t="n">
        <v>46793</v>
      </c>
      <c r="H1144" s="127" t="n">
        <v>46289</v>
      </c>
      <c r="I1144" s="4" t="n">
        <v>0</v>
      </c>
      <c r="J1144" s="4" t="n">
        <v>0</v>
      </c>
      <c r="K1144" s="4" t="n">
        <v>0</v>
      </c>
      <c r="M1144" s="2" t="str">
        <f aca="false">IF(C1144="","",IFERROR(INDEX($S$5:$S$304,MATCH(C1144,$R$5:$R$304,0))&amp;"","?"))</f>
        <v>33</v>
      </c>
      <c r="N1144" s="2" t="n">
        <f aca="false">IF(E1144="","",IF(ISNUMBER(SEARCH("SUBSOLO",E1144)),IFERROR(-VALUE(LEFT(E1144,FIND("º",SUBSTITUTE(E1144,"°","º"))-1)),-1),IF(LEFT(E1144,6)="TÉRREO",0,IFERROR(VALUE(LEFT(E1144,FIND("º",SUBSTITUTE(E1144,"°","º"))-1)),""))))</f>
        <v>0</v>
      </c>
      <c r="O1144" s="2" t="str">
        <f aca="false">IF(OR(F1144="",G1144=""),"",IF(G1144&lt;='RETRATO 2027'!$K$5,"CONCLUÍDA",IF(F1144&lt;='RETRATO 2027'!$K$5,"EM ANDAMENTO","A INICIAR")))</f>
        <v>A INICIAR</v>
      </c>
    </row>
    <row r="1145" customFormat="false" ht="15" hidden="false" customHeight="false" outlineLevel="0" collapsed="false">
      <c r="B1145" s="4" t="n">
        <v>30205540</v>
      </c>
      <c r="C1145" s="4" t="s">
        <v>2501</v>
      </c>
      <c r="D1145" s="4" t="s">
        <v>463</v>
      </c>
      <c r="E1145" s="4" t="s">
        <v>2832</v>
      </c>
      <c r="F1145" s="127" t="n">
        <v>46780</v>
      </c>
      <c r="G1145" s="127" t="n">
        <v>46793</v>
      </c>
      <c r="H1145" s="127" t="n">
        <v>46289</v>
      </c>
      <c r="I1145" s="4" t="n">
        <v>0</v>
      </c>
      <c r="J1145" s="4" t="n">
        <v>0</v>
      </c>
      <c r="K1145" s="4" t="n">
        <v>0</v>
      </c>
      <c r="M1145" s="2" t="str">
        <f aca="false">IF(C1145="","",IFERROR(INDEX($S$5:$S$304,MATCH(C1145,$R$5:$R$304,0))&amp;"","?"))</f>
        <v>30</v>
      </c>
      <c r="N1145" s="2" t="n">
        <f aca="false">IF(E1145="","",IF(ISNUMBER(SEARCH("SUBSOLO",E1145)),IFERROR(-VALUE(LEFT(E1145,FIND("º",SUBSTITUTE(E1145,"°","º"))-1)),-1),IF(LEFT(E1145,6)="TÉRREO",0,IFERROR(VALUE(LEFT(E1145,FIND("º",SUBSTITUTE(E1145,"°","º"))-1)),""))))</f>
        <v>0</v>
      </c>
      <c r="O1145" s="2" t="str">
        <f aca="false">IF(OR(F1145="",G1145=""),"",IF(G1145&lt;='RETRATO 2027'!$K$5,"CONCLUÍDA",IF(F1145&lt;='RETRATO 2027'!$K$5,"EM ANDAMENTO","A INICIAR")))</f>
        <v>A INICIAR</v>
      </c>
    </row>
    <row r="1146" customFormat="false" ht="15" hidden="false" customHeight="false" outlineLevel="0" collapsed="false">
      <c r="B1146" s="4" t="n">
        <v>30206136</v>
      </c>
      <c r="C1146" s="4" t="s">
        <v>2572</v>
      </c>
      <c r="D1146" s="4" t="s">
        <v>463</v>
      </c>
      <c r="E1146" s="4" t="s">
        <v>2802</v>
      </c>
      <c r="F1146" s="127" t="n">
        <v>46783</v>
      </c>
      <c r="G1146" s="127" t="n">
        <v>46801</v>
      </c>
      <c r="H1146" s="127" t="n">
        <v>46289</v>
      </c>
      <c r="I1146" s="4" t="n">
        <v>0</v>
      </c>
      <c r="J1146" s="4" t="n">
        <v>0</v>
      </c>
      <c r="K1146" s="4" t="n">
        <v>0</v>
      </c>
      <c r="M1146" s="2" t="str">
        <f aca="false">IF(C1146="","",IFERROR(INDEX($S$5:$S$304,MATCH(C1146,$R$5:$R$304,0))&amp;"","?"))</f>
        <v>22</v>
      </c>
      <c r="N1146" s="2" t="n">
        <f aca="false">IF(E1146="","",IF(ISNUMBER(SEARCH("SUBSOLO",E1146)),IFERROR(-VALUE(LEFT(E1146,FIND("º",SUBSTITUTE(E1146,"°","º"))-1)),-1),IF(LEFT(E1146,6)="TÉRREO",0,IFERROR(VALUE(LEFT(E1146,FIND("º",SUBSTITUTE(E1146,"°","º"))-1)),""))))</f>
        <v>6</v>
      </c>
      <c r="O1146" s="2" t="str">
        <f aca="false">IF(OR(F1146="",G1146=""),"",IF(G1146&lt;='RETRATO 2027'!$K$5,"CONCLUÍDA",IF(F1146&lt;='RETRATO 2027'!$K$5,"EM ANDAMENTO","A INICIAR")))</f>
        <v>A INICIAR</v>
      </c>
    </row>
    <row r="1147" customFormat="false" ht="15" hidden="false" customHeight="false" outlineLevel="0" collapsed="false">
      <c r="B1147" s="4" t="n">
        <v>30205876</v>
      </c>
      <c r="C1147" s="4" t="s">
        <v>77</v>
      </c>
      <c r="D1147" s="4" t="s">
        <v>463</v>
      </c>
      <c r="E1147" s="4" t="s">
        <v>2845</v>
      </c>
      <c r="F1147" s="127" t="n">
        <v>46783</v>
      </c>
      <c r="G1147" s="127" t="n">
        <v>46827</v>
      </c>
      <c r="H1147" s="127" t="n">
        <v>46289</v>
      </c>
      <c r="I1147" s="4" t="n">
        <v>0</v>
      </c>
      <c r="J1147" s="4" t="n">
        <v>0</v>
      </c>
      <c r="K1147" s="4" t="n">
        <v>0</v>
      </c>
      <c r="M1147" s="2" t="str">
        <f aca="false">IF(C1147="","",IFERROR(INDEX($S$5:$S$304,MATCH(C1147,$R$5:$R$304,0))&amp;"","?"))</f>
        <v>20</v>
      </c>
      <c r="N1147" s="2" t="n">
        <f aca="false">IF(E1147="","",IF(ISNUMBER(SEARCH("SUBSOLO",E1147)),IFERROR(-VALUE(LEFT(E1147,FIND("º",SUBSTITUTE(E1147,"°","º"))-1)),-1),IF(LEFT(E1147,6)="TÉRREO",0,IFERROR(VALUE(LEFT(E1147,FIND("º",SUBSTITUTE(E1147,"°","º"))-1)),""))))</f>
        <v>6</v>
      </c>
      <c r="O1147" s="2" t="str">
        <f aca="false">IF(OR(F1147="",G1147=""),"",IF(G1147&lt;='RETRATO 2027'!$K$5,"CONCLUÍDA",IF(F1147&lt;='RETRATO 2027'!$K$5,"EM ANDAMENTO","A INICIAR")))</f>
        <v>A INICIAR</v>
      </c>
    </row>
    <row r="1148" customFormat="false" ht="15" hidden="false" customHeight="false" outlineLevel="0" collapsed="false">
      <c r="B1148" s="4" t="n">
        <v>30205877</v>
      </c>
      <c r="C1148" s="4" t="s">
        <v>2505</v>
      </c>
      <c r="D1148" s="4" t="s">
        <v>463</v>
      </c>
      <c r="E1148" s="4" t="s">
        <v>2845</v>
      </c>
      <c r="F1148" s="127" t="n">
        <v>46783</v>
      </c>
      <c r="G1148" s="127" t="n">
        <v>46827</v>
      </c>
      <c r="H1148" s="127" t="n">
        <v>46289</v>
      </c>
      <c r="I1148" s="4" t="n">
        <v>0</v>
      </c>
      <c r="J1148" s="4" t="n">
        <v>0</v>
      </c>
      <c r="K1148" s="4" t="n">
        <v>0</v>
      </c>
      <c r="M1148" s="2" t="str">
        <f aca="false">IF(C1148="","",IFERROR(INDEX($S$5:$S$304,MATCH(C1148,$R$5:$R$304,0))&amp;"","?"))</f>
        <v>21</v>
      </c>
      <c r="N1148" s="2" t="n">
        <f aca="false">IF(E1148="","",IF(ISNUMBER(SEARCH("SUBSOLO",E1148)),IFERROR(-VALUE(LEFT(E1148,FIND("º",SUBSTITUTE(E1148,"°","º"))-1)),-1),IF(LEFT(E1148,6)="TÉRREO",0,IFERROR(VALUE(LEFT(E1148,FIND("º",SUBSTITUTE(E1148,"°","º"))-1)),""))))</f>
        <v>6</v>
      </c>
      <c r="O1148" s="2" t="str">
        <f aca="false">IF(OR(F1148="",G1148=""),"",IF(G1148&lt;='RETRATO 2027'!$K$5,"CONCLUÍDA",IF(F1148&lt;='RETRATO 2027'!$K$5,"EM ANDAMENTO","A INICIAR")))</f>
        <v>A INICIAR</v>
      </c>
    </row>
    <row r="1149" customFormat="false" ht="15" hidden="false" customHeight="false" outlineLevel="0" collapsed="false">
      <c r="B1149" s="4" t="n">
        <v>30206121</v>
      </c>
      <c r="C1149" s="4" t="s">
        <v>2413</v>
      </c>
      <c r="D1149" s="4" t="s">
        <v>463</v>
      </c>
      <c r="E1149" s="4" t="s">
        <v>2846</v>
      </c>
      <c r="F1149" s="127" t="n">
        <v>46783</v>
      </c>
      <c r="G1149" s="127" t="n">
        <v>46794</v>
      </c>
      <c r="H1149" s="127" t="n">
        <v>46289</v>
      </c>
      <c r="I1149" s="4" t="n">
        <v>0</v>
      </c>
      <c r="J1149" s="4" t="n">
        <v>0</v>
      </c>
      <c r="K1149" s="4" t="n">
        <v>0</v>
      </c>
      <c r="M1149" s="2" t="str">
        <f aca="false">IF(C1149="","",IFERROR(INDEX($S$5:$S$304,MATCH(C1149,$R$5:$R$304,0))&amp;"","?"))</f>
        <v>21</v>
      </c>
      <c r="N1149" s="2" t="n">
        <f aca="false">IF(E1149="","",IF(ISNUMBER(SEARCH("SUBSOLO",E1149)),IFERROR(-VALUE(LEFT(E1149,FIND("º",SUBSTITUTE(E1149,"°","º"))-1)),-1),IF(LEFT(E1149,6)="TÉRREO",0,IFERROR(VALUE(LEFT(E1149,FIND("º",SUBSTITUTE(E1149,"°","º"))-1)),""))))</f>
        <v>6</v>
      </c>
      <c r="O1149" s="2" t="str">
        <f aca="false">IF(OR(F1149="",G1149=""),"",IF(G1149&lt;='RETRATO 2027'!$K$5,"CONCLUÍDA",IF(F1149&lt;='RETRATO 2027'!$K$5,"EM ANDAMENTO","A INICIAR")))</f>
        <v>A INICIAR</v>
      </c>
    </row>
    <row r="1150" customFormat="false" ht="15" hidden="false" customHeight="false" outlineLevel="0" collapsed="false">
      <c r="B1150" s="4" t="n">
        <v>30206047</v>
      </c>
      <c r="C1150" s="4" t="s">
        <v>2413</v>
      </c>
      <c r="D1150" s="4" t="s">
        <v>463</v>
      </c>
      <c r="E1150" s="4" t="s">
        <v>2848</v>
      </c>
      <c r="F1150" s="127" t="n">
        <v>46783</v>
      </c>
      <c r="G1150" s="127" t="n">
        <v>46794</v>
      </c>
      <c r="H1150" s="127" t="n">
        <v>46289</v>
      </c>
      <c r="I1150" s="4" t="n">
        <v>0</v>
      </c>
      <c r="J1150" s="4" t="n">
        <v>0</v>
      </c>
      <c r="K1150" s="4" t="n">
        <v>0</v>
      </c>
      <c r="M1150" s="2" t="str">
        <f aca="false">IF(C1150="","",IFERROR(INDEX($S$5:$S$304,MATCH(C1150,$R$5:$R$304,0))&amp;"","?"))</f>
        <v>21</v>
      </c>
      <c r="N1150" s="2" t="n">
        <f aca="false">IF(E1150="","",IF(ISNUMBER(SEARCH("SUBSOLO",E1150)),IFERROR(-VALUE(LEFT(E1150,FIND("º",SUBSTITUTE(E1150,"°","º"))-1)),-1),IF(LEFT(E1150,6)="TÉRREO",0,IFERROR(VALUE(LEFT(E1150,FIND("º",SUBSTITUTE(E1150,"°","º"))-1)),""))))</f>
        <v>6</v>
      </c>
      <c r="O1150" s="2" t="str">
        <f aca="false">IF(OR(F1150="",G1150=""),"",IF(G1150&lt;='RETRATO 2027'!$K$5,"CONCLUÍDA",IF(F1150&lt;='RETRATO 2027'!$K$5,"EM ANDAMENTO","A INICIAR")))</f>
        <v>A INICIAR</v>
      </c>
    </row>
    <row r="1151" customFormat="false" ht="15" hidden="false" customHeight="false" outlineLevel="0" collapsed="false">
      <c r="B1151" s="4" t="n">
        <v>30209539</v>
      </c>
      <c r="C1151" s="4" t="s">
        <v>2575</v>
      </c>
      <c r="D1151" s="4" t="s">
        <v>463</v>
      </c>
      <c r="E1151" s="4" t="s">
        <v>2848</v>
      </c>
      <c r="F1151" s="127" t="n">
        <v>46783</v>
      </c>
      <c r="G1151" s="127" t="n">
        <v>46787</v>
      </c>
      <c r="H1151" s="127" t="n">
        <v>46289</v>
      </c>
      <c r="I1151" s="4" t="n">
        <v>0</v>
      </c>
      <c r="J1151" s="4" t="n">
        <v>0</v>
      </c>
      <c r="K1151" s="4" t="n">
        <v>0</v>
      </c>
      <c r="M1151" s="2" t="str">
        <f aca="false">IF(C1151="","",IFERROR(INDEX($S$5:$S$304,MATCH(C1151,$R$5:$R$304,0))&amp;"","?"))</f>
        <v>23</v>
      </c>
      <c r="N1151" s="2" t="n">
        <f aca="false">IF(E1151="","",IF(ISNUMBER(SEARCH("SUBSOLO",E1151)),IFERROR(-VALUE(LEFT(E1151,FIND("º",SUBSTITUTE(E1151,"°","º"))-1)),-1),IF(LEFT(E1151,6)="TÉRREO",0,IFERROR(VALUE(LEFT(E1151,FIND("º",SUBSTITUTE(E1151,"°","º"))-1)),""))))</f>
        <v>6</v>
      </c>
      <c r="O1151" s="2" t="str">
        <f aca="false">IF(OR(F1151="",G1151=""),"",IF(G1151&lt;='RETRATO 2027'!$K$5,"CONCLUÍDA",IF(F1151&lt;='RETRATO 2027'!$K$5,"EM ANDAMENTO","A INICIAR")))</f>
        <v>A INICIAR</v>
      </c>
    </row>
    <row r="1152" customFormat="false" ht="15" hidden="false" customHeight="false" outlineLevel="0" collapsed="false">
      <c r="B1152" s="4" t="n">
        <v>29980667</v>
      </c>
      <c r="C1152" s="4" t="s">
        <v>2410</v>
      </c>
      <c r="D1152" s="4" t="s">
        <v>463</v>
      </c>
      <c r="E1152" s="4" t="s">
        <v>2843</v>
      </c>
      <c r="F1152" s="127" t="n">
        <v>46784</v>
      </c>
      <c r="G1152" s="127" t="n">
        <v>46794</v>
      </c>
      <c r="H1152" s="127" t="n">
        <v>46289</v>
      </c>
      <c r="I1152" s="4" t="n">
        <v>0</v>
      </c>
      <c r="J1152" s="4" t="n">
        <v>0</v>
      </c>
      <c r="K1152" s="4" t="n">
        <v>0</v>
      </c>
      <c r="M1152" s="2" t="str">
        <f aca="false">IF(C1152="","",IFERROR(INDEX($S$5:$S$304,MATCH(C1152,$R$5:$R$304,0))&amp;"","?"))</f>
        <v>22</v>
      </c>
      <c r="N1152" s="2" t="n">
        <f aca="false">IF(E1152="","",IF(ISNUMBER(SEARCH("SUBSOLO",E1152)),IFERROR(-VALUE(LEFT(E1152,FIND("º",SUBSTITUTE(E1152,"°","º"))-1)),-1),IF(LEFT(E1152,6)="TÉRREO",0,IFERROR(VALUE(LEFT(E1152,FIND("º",SUBSTITUTE(E1152,"°","º"))-1)),""))))</f>
        <v>31</v>
      </c>
      <c r="O1152" s="2" t="str">
        <f aca="false">IF(OR(F1152="",G1152=""),"",IF(G1152&lt;='RETRATO 2027'!$K$5,"CONCLUÍDA",IF(F1152&lt;='RETRATO 2027'!$K$5,"EM ANDAMENTO","A INICIAR")))</f>
        <v>A INICIAR</v>
      </c>
    </row>
    <row r="1153" customFormat="false" ht="15" hidden="false" customHeight="false" outlineLevel="0" collapsed="false">
      <c r="B1153" s="4" t="n">
        <v>29980618</v>
      </c>
      <c r="C1153" s="4" t="s">
        <v>168</v>
      </c>
      <c r="D1153" s="4" t="s">
        <v>463</v>
      </c>
      <c r="E1153" s="4" t="s">
        <v>2844</v>
      </c>
      <c r="F1153" s="127" t="n">
        <v>46784</v>
      </c>
      <c r="G1153" s="127" t="n">
        <v>46794</v>
      </c>
      <c r="H1153" s="127" t="n">
        <v>46289</v>
      </c>
      <c r="I1153" s="4" t="n">
        <v>0</v>
      </c>
      <c r="J1153" s="4" t="n">
        <v>0</v>
      </c>
      <c r="K1153" s="4" t="n">
        <v>0</v>
      </c>
      <c r="M1153" s="2" t="str">
        <f aca="false">IF(C1153="","",IFERROR(INDEX($S$5:$S$304,MATCH(C1153,$R$5:$R$304,0))&amp;"","?"))</f>
        <v>18</v>
      </c>
      <c r="N1153" s="2" t="n">
        <f aca="false">IF(E1153="","",IF(ISNUMBER(SEARCH("SUBSOLO",E1153)),IFERROR(-VALUE(LEFT(E1153,FIND("º",SUBSTITUTE(E1153,"°","º"))-1)),-1),IF(LEFT(E1153,6)="TÉRREO",0,IFERROR(VALUE(LEFT(E1153,FIND("º",SUBSTITUTE(E1153,"°","º"))-1)),""))))</f>
        <v>32</v>
      </c>
      <c r="O1153" s="2" t="str">
        <f aca="false">IF(OR(F1153="",G1153=""),"",IF(G1153&lt;='RETRATO 2027'!$K$5,"CONCLUÍDA",IF(F1153&lt;='RETRATO 2027'!$K$5,"EM ANDAMENTO","A INICIAR")))</f>
        <v>A INICIAR</v>
      </c>
    </row>
    <row r="1154" customFormat="false" ht="15" hidden="false" customHeight="false" outlineLevel="0" collapsed="false">
      <c r="B1154" s="4" t="n">
        <v>30208605</v>
      </c>
      <c r="C1154" s="4" t="s">
        <v>77</v>
      </c>
      <c r="D1154" s="4" t="s">
        <v>463</v>
      </c>
      <c r="E1154" s="4" t="s">
        <v>2851</v>
      </c>
      <c r="F1154" s="127" t="n">
        <v>46785</v>
      </c>
      <c r="G1154" s="127" t="n">
        <v>46814</v>
      </c>
      <c r="H1154" s="127" t="n">
        <v>46289</v>
      </c>
      <c r="I1154" s="4" t="n">
        <v>0</v>
      </c>
      <c r="J1154" s="4" t="n">
        <v>0</v>
      </c>
      <c r="K1154" s="4" t="n">
        <v>0</v>
      </c>
      <c r="M1154" s="2" t="str">
        <f aca="false">IF(C1154="","",IFERROR(INDEX($S$5:$S$304,MATCH(C1154,$R$5:$R$304,0))&amp;"","?"))</f>
        <v>20</v>
      </c>
      <c r="N1154" s="2" t="n">
        <f aca="false">IF(E1154="","",IF(ISNUMBER(SEARCH("SUBSOLO",E1154)),IFERROR(-VALUE(LEFT(E1154,FIND("º",SUBSTITUTE(E1154,"°","º"))-1)),-1),IF(LEFT(E1154,6)="TÉRREO",0,IFERROR(VALUE(LEFT(E1154,FIND("º",SUBSTITUTE(E1154,"°","º"))-1)),""))))</f>
        <v>6</v>
      </c>
      <c r="O1154" s="2" t="str">
        <f aca="false">IF(OR(F1154="",G1154=""),"",IF(G1154&lt;='RETRATO 2027'!$K$5,"CONCLUÍDA",IF(F1154&lt;='RETRATO 2027'!$K$5,"EM ANDAMENTO","A INICIAR")))</f>
        <v>A INICIAR</v>
      </c>
    </row>
    <row r="1155" customFormat="false" ht="15" hidden="false" customHeight="false" outlineLevel="0" collapsed="false">
      <c r="B1155" s="4" t="n">
        <v>30208606</v>
      </c>
      <c r="C1155" s="4" t="s">
        <v>2505</v>
      </c>
      <c r="D1155" s="4" t="s">
        <v>463</v>
      </c>
      <c r="E1155" s="4" t="s">
        <v>2851</v>
      </c>
      <c r="F1155" s="127" t="n">
        <v>46785</v>
      </c>
      <c r="G1155" s="127" t="n">
        <v>46814</v>
      </c>
      <c r="H1155" s="127" t="n">
        <v>46289</v>
      </c>
      <c r="I1155" s="4" t="n">
        <v>0</v>
      </c>
      <c r="J1155" s="4" t="n">
        <v>0</v>
      </c>
      <c r="K1155" s="4" t="n">
        <v>0</v>
      </c>
      <c r="M1155" s="2" t="str">
        <f aca="false">IF(C1155="","",IFERROR(INDEX($S$5:$S$304,MATCH(C1155,$R$5:$R$304,0))&amp;"","?"))</f>
        <v>21</v>
      </c>
      <c r="N1155" s="2" t="n">
        <f aca="false">IF(E1155="","",IF(ISNUMBER(SEARCH("SUBSOLO",E1155)),IFERROR(-VALUE(LEFT(E1155,FIND("º",SUBSTITUTE(E1155,"°","º"))-1)),-1),IF(LEFT(E1155,6)="TÉRREO",0,IFERROR(VALUE(LEFT(E1155,FIND("º",SUBSTITUTE(E1155,"°","º"))-1)),""))))</f>
        <v>6</v>
      </c>
      <c r="O1155" s="2" t="str">
        <f aca="false">IF(OR(F1155="",G1155=""),"",IF(G1155&lt;='RETRATO 2027'!$K$5,"CONCLUÍDA",IF(F1155&lt;='RETRATO 2027'!$K$5,"EM ANDAMENTO","A INICIAR")))</f>
        <v>A INICIAR</v>
      </c>
    </row>
    <row r="1156" customFormat="false" ht="15" hidden="false" customHeight="false" outlineLevel="0" collapsed="false">
      <c r="B1156" s="4" t="n">
        <v>30205800</v>
      </c>
      <c r="C1156" s="4" t="s">
        <v>2480</v>
      </c>
      <c r="D1156" s="4" t="s">
        <v>463</v>
      </c>
      <c r="E1156" s="4" t="s">
        <v>2835</v>
      </c>
      <c r="F1156" s="127" t="n">
        <v>46787</v>
      </c>
      <c r="G1156" s="127" t="n">
        <v>46800</v>
      </c>
      <c r="H1156" s="127" t="n">
        <v>46289</v>
      </c>
      <c r="I1156" s="4" t="n">
        <v>0</v>
      </c>
      <c r="J1156" s="4" t="n">
        <v>0</v>
      </c>
      <c r="K1156" s="4" t="n">
        <v>0</v>
      </c>
      <c r="M1156" s="2" t="str">
        <f aca="false">IF(C1156="","",IFERROR(INDEX($S$5:$S$304,MATCH(C1156,$R$5:$R$304,0))&amp;"","?"))</f>
        <v>30</v>
      </c>
      <c r="N1156" s="2" t="n">
        <f aca="false">IF(E1156="","",IF(ISNUMBER(SEARCH("SUBSOLO",E1156)),IFERROR(-VALUE(LEFT(E1156,FIND("º",SUBSTITUTE(E1156,"°","º"))-1)),-1),IF(LEFT(E1156,6)="TÉRREO",0,IFERROR(VALUE(LEFT(E1156,FIND("º",SUBSTITUTE(E1156,"°","º"))-1)),""))))</f>
        <v>0</v>
      </c>
      <c r="O1156" s="2" t="str">
        <f aca="false">IF(OR(F1156="",G1156=""),"",IF(G1156&lt;='RETRATO 2027'!$K$5,"CONCLUÍDA",IF(F1156&lt;='RETRATO 2027'!$K$5,"EM ANDAMENTO","A INICIAR")))</f>
        <v>A INICIAR</v>
      </c>
    </row>
    <row r="1157" customFormat="false" ht="15" hidden="false" customHeight="false" outlineLevel="0" collapsed="false">
      <c r="B1157" s="4" t="n">
        <v>30205820</v>
      </c>
      <c r="C1157" s="4" t="s">
        <v>2492</v>
      </c>
      <c r="D1157" s="4" t="s">
        <v>463</v>
      </c>
      <c r="E1157" s="4" t="s">
        <v>2839</v>
      </c>
      <c r="F1157" s="127" t="n">
        <v>46787</v>
      </c>
      <c r="G1157" s="127" t="n">
        <v>46800</v>
      </c>
      <c r="H1157" s="127" t="n">
        <v>46289</v>
      </c>
      <c r="I1157" s="4" t="n">
        <v>0</v>
      </c>
      <c r="J1157" s="4" t="n">
        <v>0</v>
      </c>
      <c r="K1157" s="4" t="n">
        <v>0</v>
      </c>
      <c r="M1157" s="2" t="str">
        <f aca="false">IF(C1157="","",IFERROR(INDEX($S$5:$S$304,MATCH(C1157,$R$5:$R$304,0))&amp;"","?"))</f>
        <v>18</v>
      </c>
      <c r="N1157" s="2" t="n">
        <f aca="false">IF(E1157="","",IF(ISNUMBER(SEARCH("SUBSOLO",E1157)),IFERROR(-VALUE(LEFT(E1157,FIND("º",SUBSTITUTE(E1157,"°","º"))-1)),-1),IF(LEFT(E1157,6)="TÉRREO",0,IFERROR(VALUE(LEFT(E1157,FIND("º",SUBSTITUTE(E1157,"°","º"))-1)),""))))</f>
        <v>0</v>
      </c>
      <c r="O1157" s="2" t="str">
        <f aca="false">IF(OR(F1157="",G1157=""),"",IF(G1157&lt;='RETRATO 2027'!$K$5,"CONCLUÍDA",IF(F1157&lt;='RETRATO 2027'!$K$5,"EM ANDAMENTO","A INICIAR")))</f>
        <v>A INICIAR</v>
      </c>
    </row>
    <row r="1158" customFormat="false" ht="15" hidden="false" customHeight="false" outlineLevel="0" collapsed="false">
      <c r="B1158" s="4" t="n">
        <v>30205850</v>
      </c>
      <c r="C1158" s="4" t="s">
        <v>2449</v>
      </c>
      <c r="D1158" s="4" t="s">
        <v>463</v>
      </c>
      <c r="E1158" s="4" t="s">
        <v>2782</v>
      </c>
      <c r="F1158" s="127" t="n">
        <v>46787</v>
      </c>
      <c r="G1158" s="127" t="n">
        <v>46800</v>
      </c>
      <c r="H1158" s="127" t="n">
        <v>46289</v>
      </c>
      <c r="I1158" s="4" t="n">
        <v>0</v>
      </c>
      <c r="J1158" s="4" t="n">
        <v>0</v>
      </c>
      <c r="K1158" s="4" t="n">
        <v>0</v>
      </c>
      <c r="M1158" s="2" t="str">
        <f aca="false">IF(C1158="","",IFERROR(INDEX($S$5:$S$304,MATCH(C1158,$R$5:$R$304,0))&amp;"","?"))</f>
        <v>28</v>
      </c>
      <c r="N1158" s="2" t="n">
        <f aca="false">IF(E1158="","",IF(ISNUMBER(SEARCH("SUBSOLO",E1158)),IFERROR(-VALUE(LEFT(E1158,FIND("º",SUBSTITUTE(E1158,"°","º"))-1)),-1),IF(LEFT(E1158,6)="TÉRREO",0,IFERROR(VALUE(LEFT(E1158,FIND("º",SUBSTITUTE(E1158,"°","º"))-1)),""))))</f>
        <v>1</v>
      </c>
      <c r="O1158" s="2" t="str">
        <f aca="false">IF(OR(F1158="",G1158=""),"",IF(G1158&lt;='RETRATO 2027'!$K$5,"CONCLUÍDA",IF(F1158&lt;='RETRATO 2027'!$K$5,"EM ANDAMENTO","A INICIAR")))</f>
        <v>A INICIAR</v>
      </c>
    </row>
    <row r="1159" customFormat="false" ht="15" hidden="false" customHeight="false" outlineLevel="0" collapsed="false">
      <c r="B1159" s="4" t="n">
        <v>30208601</v>
      </c>
      <c r="C1159" s="4" t="s">
        <v>2443</v>
      </c>
      <c r="D1159" s="4" t="s">
        <v>463</v>
      </c>
      <c r="E1159" s="4" t="s">
        <v>2782</v>
      </c>
      <c r="F1159" s="127" t="n">
        <v>46787</v>
      </c>
      <c r="G1159" s="127" t="n">
        <v>46800</v>
      </c>
      <c r="H1159" s="127" t="n">
        <v>46289</v>
      </c>
      <c r="I1159" s="4" t="n">
        <v>0</v>
      </c>
      <c r="J1159" s="4" t="n">
        <v>0</v>
      </c>
      <c r="K1159" s="4" t="n">
        <v>0</v>
      </c>
      <c r="M1159" s="2" t="str">
        <f aca="false">IF(C1159="","",IFERROR(INDEX($S$5:$S$304,MATCH(C1159,$R$5:$R$304,0))&amp;"","?"))</f>
        <v>20</v>
      </c>
      <c r="N1159" s="2" t="n">
        <f aca="false">IF(E1159="","",IF(ISNUMBER(SEARCH("SUBSOLO",E1159)),IFERROR(-VALUE(LEFT(E1159,FIND("º",SUBSTITUTE(E1159,"°","º"))-1)),-1),IF(LEFT(E1159,6)="TÉRREO",0,IFERROR(VALUE(LEFT(E1159,FIND("º",SUBSTITUTE(E1159,"°","º"))-1)),""))))</f>
        <v>1</v>
      </c>
      <c r="O1159" s="2" t="str">
        <f aca="false">IF(OR(F1159="",G1159=""),"",IF(G1159&lt;='RETRATO 2027'!$K$5,"CONCLUÍDA",IF(F1159&lt;='RETRATO 2027'!$K$5,"EM ANDAMENTO","A INICIAR")))</f>
        <v>A INICIAR</v>
      </c>
    </row>
    <row r="1160" customFormat="false" ht="15" hidden="false" customHeight="false" outlineLevel="0" collapsed="false">
      <c r="B1160" s="4" t="n">
        <v>29981529</v>
      </c>
      <c r="C1160" s="4" t="s">
        <v>2578</v>
      </c>
      <c r="D1160" s="4" t="s">
        <v>463</v>
      </c>
      <c r="E1160" s="4" t="s">
        <v>2803</v>
      </c>
      <c r="F1160" s="127" t="n">
        <v>46787</v>
      </c>
      <c r="G1160" s="127" t="n">
        <v>46799</v>
      </c>
      <c r="H1160" s="127" t="n">
        <v>46289</v>
      </c>
      <c r="I1160" s="4" t="n">
        <v>0</v>
      </c>
      <c r="J1160" s="4" t="n">
        <v>0</v>
      </c>
      <c r="K1160" s="4" t="n">
        <v>0</v>
      </c>
      <c r="M1160" s="2" t="str">
        <f aca="false">IF(C1160="","",IFERROR(INDEX($S$5:$S$304,MATCH(C1160,$R$5:$R$304,0))&amp;"","?"))</f>
        <v>25</v>
      </c>
      <c r="N1160" s="2" t="n">
        <f aca="false">IF(E1160="","",IF(ISNUMBER(SEARCH("SUBSOLO",E1160)),IFERROR(-VALUE(LEFT(E1160,FIND("º",SUBSTITUTE(E1160,"°","º"))-1)),-1),IF(LEFT(E1160,6)="TÉRREO",0,IFERROR(VALUE(LEFT(E1160,FIND("º",SUBSTITUTE(E1160,"°","º"))-1)),""))))</f>
        <v>7</v>
      </c>
      <c r="O1160" s="2" t="str">
        <f aca="false">IF(OR(F1160="",G1160=""),"",IF(G1160&lt;='RETRATO 2027'!$K$5,"CONCLUÍDA",IF(F1160&lt;='RETRATO 2027'!$K$5,"EM ANDAMENTO","A INICIAR")))</f>
        <v>A INICIAR</v>
      </c>
    </row>
    <row r="1161" customFormat="false" ht="15" hidden="false" customHeight="false" outlineLevel="0" collapsed="false">
      <c r="B1161" s="4" t="n">
        <v>29981491</v>
      </c>
      <c r="C1161" s="4" t="s">
        <v>2569</v>
      </c>
      <c r="D1161" s="4" t="s">
        <v>463</v>
      </c>
      <c r="E1161" s="4" t="s">
        <v>2804</v>
      </c>
      <c r="F1161" s="127" t="n">
        <v>46787</v>
      </c>
      <c r="G1161" s="127" t="n">
        <v>46799</v>
      </c>
      <c r="H1161" s="127" t="n">
        <v>46289</v>
      </c>
      <c r="I1161" s="4" t="n">
        <v>0</v>
      </c>
      <c r="J1161" s="4" t="n">
        <v>0</v>
      </c>
      <c r="K1161" s="4" t="n">
        <v>0</v>
      </c>
      <c r="M1161" s="2" t="str">
        <f aca="false">IF(C1161="","",IFERROR(INDEX($S$5:$S$304,MATCH(C1161,$R$5:$R$304,0))&amp;"","?"))</f>
        <v>30</v>
      </c>
      <c r="N1161" s="2" t="n">
        <f aca="false">IF(E1161="","",IF(ISNUMBER(SEARCH("SUBSOLO",E1161)),IFERROR(-VALUE(LEFT(E1161,FIND("º",SUBSTITUTE(E1161,"°","º"))-1)),-1),IF(LEFT(E1161,6)="TÉRREO",0,IFERROR(VALUE(LEFT(E1161,FIND("º",SUBSTITUTE(E1161,"°","º"))-1)),""))))</f>
        <v>8</v>
      </c>
      <c r="O1161" s="2" t="str">
        <f aca="false">IF(OR(F1161="",G1161=""),"",IF(G1161&lt;='RETRATO 2027'!$K$5,"CONCLUÍDA",IF(F1161&lt;='RETRATO 2027'!$K$5,"EM ANDAMENTO","A INICIAR")))</f>
        <v>A INICIAR</v>
      </c>
    </row>
    <row r="1162" customFormat="false" ht="15" hidden="false" customHeight="false" outlineLevel="0" collapsed="false">
      <c r="B1162" s="4" t="n">
        <v>29981453</v>
      </c>
      <c r="C1162" s="4" t="s">
        <v>2554</v>
      </c>
      <c r="D1162" s="4" t="s">
        <v>463</v>
      </c>
      <c r="E1162" s="4" t="s">
        <v>2805</v>
      </c>
      <c r="F1162" s="127" t="n">
        <v>46787</v>
      </c>
      <c r="G1162" s="127" t="n">
        <v>46799</v>
      </c>
      <c r="H1162" s="127" t="n">
        <v>46289</v>
      </c>
      <c r="I1162" s="4" t="n">
        <v>0</v>
      </c>
      <c r="J1162" s="4" t="n">
        <v>0</v>
      </c>
      <c r="K1162" s="4" t="n">
        <v>0</v>
      </c>
      <c r="M1162" s="2" t="str">
        <f aca="false">IF(C1162="","",IFERROR(INDEX($S$5:$S$304,MATCH(C1162,$R$5:$R$304,0))&amp;"","?"))</f>
        <v>35</v>
      </c>
      <c r="N1162" s="2" t="n">
        <f aca="false">IF(E1162="","",IF(ISNUMBER(SEARCH("SUBSOLO",E1162)),IFERROR(-VALUE(LEFT(E1162,FIND("º",SUBSTITUTE(E1162,"°","º"))-1)),-1),IF(LEFT(E1162,6)="TÉRREO",0,IFERROR(VALUE(LEFT(E1162,FIND("º",SUBSTITUTE(E1162,"°","º"))-1)),""))))</f>
        <v>9</v>
      </c>
      <c r="O1162" s="2" t="str">
        <f aca="false">IF(OR(F1162="",G1162=""),"",IF(G1162&lt;='RETRATO 2027'!$K$5,"CONCLUÍDA",IF(F1162&lt;='RETRATO 2027'!$K$5,"EM ANDAMENTO","A INICIAR")))</f>
        <v>A INICIAR</v>
      </c>
    </row>
    <row r="1163" customFormat="false" ht="15" hidden="false" customHeight="false" outlineLevel="0" collapsed="false">
      <c r="B1163" s="4" t="n">
        <v>29981442</v>
      </c>
      <c r="C1163" s="4" t="s">
        <v>2539</v>
      </c>
      <c r="D1163" s="4" t="s">
        <v>463</v>
      </c>
      <c r="E1163" s="4" t="s">
        <v>2809</v>
      </c>
      <c r="F1163" s="127" t="n">
        <v>46787</v>
      </c>
      <c r="G1163" s="127" t="n">
        <v>46799</v>
      </c>
      <c r="H1163" s="127" t="n">
        <v>46289</v>
      </c>
      <c r="I1163" s="4" t="n">
        <v>0</v>
      </c>
      <c r="J1163" s="4" t="n">
        <v>0</v>
      </c>
      <c r="K1163" s="4" t="n">
        <v>0</v>
      </c>
      <c r="M1163" s="2" t="str">
        <f aca="false">IF(C1163="","",IFERROR(INDEX($S$5:$S$304,MATCH(C1163,$R$5:$R$304,0))&amp;"","?"))</f>
        <v>35</v>
      </c>
      <c r="N1163" s="2" t="n">
        <f aca="false">IF(E1163="","",IF(ISNUMBER(SEARCH("SUBSOLO",E1163)),IFERROR(-VALUE(LEFT(E1163,FIND("º",SUBSTITUTE(E1163,"°","º"))-1)),-1),IF(LEFT(E1163,6)="TÉRREO",0,IFERROR(VALUE(LEFT(E1163,FIND("º",SUBSTITUTE(E1163,"°","º"))-1)),""))))</f>
        <v>10</v>
      </c>
      <c r="O1163" s="2" t="str">
        <f aca="false">IF(OR(F1163="",G1163=""),"",IF(G1163&lt;='RETRATO 2027'!$K$5,"CONCLUÍDA",IF(F1163&lt;='RETRATO 2027'!$K$5,"EM ANDAMENTO","A INICIAR")))</f>
        <v>A INICIAR</v>
      </c>
    </row>
    <row r="1164" customFormat="false" ht="15" hidden="false" customHeight="false" outlineLevel="0" collapsed="false">
      <c r="B1164" s="4" t="n">
        <v>33898092</v>
      </c>
      <c r="C1164" s="4" t="s">
        <v>2545</v>
      </c>
      <c r="D1164" s="4" t="s">
        <v>463</v>
      </c>
      <c r="E1164" s="4" t="s">
        <v>2810</v>
      </c>
      <c r="F1164" s="127" t="n">
        <v>46787</v>
      </c>
      <c r="G1164" s="127" t="n">
        <v>46799</v>
      </c>
      <c r="H1164" s="127" t="n">
        <v>46289</v>
      </c>
      <c r="I1164" s="4" t="n">
        <v>0</v>
      </c>
      <c r="J1164" s="4" t="n">
        <v>0</v>
      </c>
      <c r="K1164" s="4" t="n">
        <v>0</v>
      </c>
      <c r="M1164" s="2" t="str">
        <f aca="false">IF(C1164="","",IFERROR(INDEX($S$5:$S$304,MATCH(C1164,$R$5:$R$304,0))&amp;"","?"))</f>
        <v>25</v>
      </c>
      <c r="N1164" s="2" t="n">
        <f aca="false">IF(E1164="","",IF(ISNUMBER(SEARCH("SUBSOLO",E1164)),IFERROR(-VALUE(LEFT(E1164,FIND("º",SUBSTITUTE(E1164,"°","º"))-1)),-1),IF(LEFT(E1164,6)="TÉRREO",0,IFERROR(VALUE(LEFT(E1164,FIND("º",SUBSTITUTE(E1164,"°","º"))-1)),""))))</f>
        <v>11</v>
      </c>
      <c r="O1164" s="2" t="str">
        <f aca="false">IF(OR(F1164="",G1164=""),"",IF(G1164&lt;='RETRATO 2027'!$K$5,"CONCLUÍDA",IF(F1164&lt;='RETRATO 2027'!$K$5,"EM ANDAMENTO","A INICIAR")))</f>
        <v>A INICIAR</v>
      </c>
    </row>
    <row r="1165" customFormat="false" ht="15" hidden="false" customHeight="false" outlineLevel="0" collapsed="false">
      <c r="B1165" s="4" t="n">
        <v>29981255</v>
      </c>
      <c r="C1165" s="4" t="s">
        <v>216</v>
      </c>
      <c r="D1165" s="4" t="s">
        <v>463</v>
      </c>
      <c r="E1165" s="4" t="s">
        <v>2814</v>
      </c>
      <c r="F1165" s="127" t="n">
        <v>46790</v>
      </c>
      <c r="G1165" s="127" t="n">
        <v>46800</v>
      </c>
      <c r="H1165" s="127" t="n">
        <v>46289</v>
      </c>
      <c r="I1165" s="4" t="n">
        <v>0</v>
      </c>
      <c r="J1165" s="4" t="n">
        <v>0</v>
      </c>
      <c r="K1165" s="4" t="n">
        <v>0</v>
      </c>
      <c r="M1165" s="2" t="str">
        <f aca="false">IF(C1165="","",IFERROR(INDEX($S$5:$S$304,MATCH(C1165,$R$5:$R$304,0))&amp;"","?"))</f>
        <v>33</v>
      </c>
      <c r="N1165" s="2" t="n">
        <f aca="false">IF(E1165="","",IF(ISNUMBER(SEARCH("SUBSOLO",E1165)),IFERROR(-VALUE(LEFT(E1165,FIND("º",SUBSTITUTE(E1165,"°","º"))-1)),-1),IF(LEFT(E1165,6)="TÉRREO",0,IFERROR(VALUE(LEFT(E1165,FIND("º",SUBSTITUTE(E1165,"°","º"))-1)),""))))</f>
        <v>15</v>
      </c>
      <c r="O1165" s="2" t="str">
        <f aca="false">IF(OR(F1165="",G1165=""),"",IF(G1165&lt;='RETRATO 2027'!$K$5,"CONCLUÍDA",IF(F1165&lt;='RETRATO 2027'!$K$5,"EM ANDAMENTO","A INICIAR")))</f>
        <v>A INICIAR</v>
      </c>
    </row>
    <row r="1166" customFormat="false" ht="15" hidden="false" customHeight="false" outlineLevel="0" collapsed="false">
      <c r="B1166" s="4" t="n">
        <v>29981216</v>
      </c>
      <c r="C1166" s="4" t="s">
        <v>2508</v>
      </c>
      <c r="D1166" s="4" t="s">
        <v>463</v>
      </c>
      <c r="E1166" s="4" t="s">
        <v>2815</v>
      </c>
      <c r="F1166" s="127" t="n">
        <v>46790</v>
      </c>
      <c r="G1166" s="127" t="n">
        <v>46800</v>
      </c>
      <c r="H1166" s="127" t="n">
        <v>46289</v>
      </c>
      <c r="I1166" s="4" t="n">
        <v>0</v>
      </c>
      <c r="J1166" s="4" t="n">
        <v>0</v>
      </c>
      <c r="K1166" s="4" t="n">
        <v>0</v>
      </c>
      <c r="M1166" s="2" t="str">
        <f aca="false">IF(C1166="","",IFERROR(INDEX($S$5:$S$304,MATCH(C1166,$R$5:$R$304,0))&amp;"","?"))</f>
        <v>20</v>
      </c>
      <c r="N1166" s="2" t="n">
        <f aca="false">IF(E1166="","",IF(ISNUMBER(SEARCH("SUBSOLO",E1166)),IFERROR(-VALUE(LEFT(E1166,FIND("º",SUBSTITUTE(E1166,"°","º"))-1)),-1),IF(LEFT(E1166,6)="TÉRREO",0,IFERROR(VALUE(LEFT(E1166,FIND("º",SUBSTITUTE(E1166,"°","º"))-1)),""))))</f>
        <v>16</v>
      </c>
      <c r="O1166" s="2" t="str">
        <f aca="false">IF(OR(F1166="",G1166=""),"",IF(G1166&lt;='RETRATO 2027'!$K$5,"CONCLUÍDA",IF(F1166&lt;='RETRATO 2027'!$K$5,"EM ANDAMENTO","A INICIAR")))</f>
        <v>A INICIAR</v>
      </c>
    </row>
    <row r="1167" customFormat="false" ht="15" hidden="false" customHeight="false" outlineLevel="0" collapsed="false">
      <c r="B1167" s="4" t="n">
        <v>29981221</v>
      </c>
      <c r="C1167" s="4" t="s">
        <v>2511</v>
      </c>
      <c r="D1167" s="4" t="s">
        <v>463</v>
      </c>
      <c r="E1167" s="4" t="s">
        <v>2815</v>
      </c>
      <c r="F1167" s="127" t="n">
        <v>46790</v>
      </c>
      <c r="G1167" s="127" t="n">
        <v>46800</v>
      </c>
      <c r="H1167" s="127" t="n">
        <v>46289</v>
      </c>
      <c r="I1167" s="4" t="n">
        <v>0</v>
      </c>
      <c r="J1167" s="4" t="n">
        <v>0</v>
      </c>
      <c r="K1167" s="4" t="n">
        <v>0</v>
      </c>
      <c r="M1167" s="2" t="str">
        <f aca="false">IF(C1167="","",IFERROR(INDEX($S$5:$S$304,MATCH(C1167,$R$5:$R$304,0))&amp;"","?"))</f>
        <v>20</v>
      </c>
      <c r="N1167" s="2" t="n">
        <f aca="false">IF(E1167="","",IF(ISNUMBER(SEARCH("SUBSOLO",E1167)),IFERROR(-VALUE(LEFT(E1167,FIND("º",SUBSTITUTE(E1167,"°","º"))-1)),-1),IF(LEFT(E1167,6)="TÉRREO",0,IFERROR(VALUE(LEFT(E1167,FIND("º",SUBSTITUTE(E1167,"°","º"))-1)),""))))</f>
        <v>16</v>
      </c>
      <c r="O1167" s="2" t="str">
        <f aca="false">IF(OR(F1167="",G1167=""),"",IF(G1167&lt;='RETRATO 2027'!$K$5,"CONCLUÍDA",IF(F1167&lt;='RETRATO 2027'!$K$5,"EM ANDAMENTO","A INICIAR")))</f>
        <v>A INICIAR</v>
      </c>
    </row>
    <row r="1168" customFormat="false" ht="15" hidden="false" customHeight="false" outlineLevel="0" collapsed="false">
      <c r="B1168" s="4" t="n">
        <v>30214078</v>
      </c>
      <c r="C1168" s="4" t="s">
        <v>2514</v>
      </c>
      <c r="D1168" s="4" t="s">
        <v>463</v>
      </c>
      <c r="E1168" s="4" t="s">
        <v>2815</v>
      </c>
      <c r="F1168" s="127" t="n">
        <v>46790</v>
      </c>
      <c r="G1168" s="127" t="n">
        <v>46801</v>
      </c>
      <c r="H1168" s="127" t="n">
        <v>46289</v>
      </c>
      <c r="I1168" s="4" t="n">
        <v>0</v>
      </c>
      <c r="J1168" s="4" t="n">
        <v>0</v>
      </c>
      <c r="K1168" s="4" t="n">
        <v>0</v>
      </c>
      <c r="M1168" s="2" t="str">
        <f aca="false">IF(C1168="","",IFERROR(INDEX($S$5:$S$304,MATCH(C1168,$R$5:$R$304,0))&amp;"","?"))</f>
        <v>20</v>
      </c>
      <c r="N1168" s="2" t="n">
        <f aca="false">IF(E1168="","",IF(ISNUMBER(SEARCH("SUBSOLO",E1168)),IFERROR(-VALUE(LEFT(E1168,FIND("º",SUBSTITUTE(E1168,"°","º"))-1)),-1),IF(LEFT(E1168,6)="TÉRREO",0,IFERROR(VALUE(LEFT(E1168,FIND("º",SUBSTITUTE(E1168,"°","º"))-1)),""))))</f>
        <v>16</v>
      </c>
      <c r="O1168" s="2" t="str">
        <f aca="false">IF(OR(F1168="",G1168=""),"",IF(G1168&lt;='RETRATO 2027'!$K$5,"CONCLUÍDA",IF(F1168&lt;='RETRATO 2027'!$K$5,"EM ANDAMENTO","A INICIAR")))</f>
        <v>A INICIAR</v>
      </c>
    </row>
    <row r="1169" customFormat="false" ht="15" hidden="false" customHeight="false" outlineLevel="0" collapsed="false">
      <c r="B1169" s="4" t="n">
        <v>29981163</v>
      </c>
      <c r="C1169" s="4" t="s">
        <v>2501</v>
      </c>
      <c r="D1169" s="4" t="s">
        <v>463</v>
      </c>
      <c r="E1169" s="4" t="s">
        <v>2818</v>
      </c>
      <c r="F1169" s="127" t="n">
        <v>46790</v>
      </c>
      <c r="G1169" s="127" t="n">
        <v>46800</v>
      </c>
      <c r="H1169" s="127" t="n">
        <v>46289</v>
      </c>
      <c r="I1169" s="4" t="n">
        <v>0</v>
      </c>
      <c r="J1169" s="4" t="n">
        <v>0</v>
      </c>
      <c r="K1169" s="4" t="n">
        <v>0</v>
      </c>
      <c r="M1169" s="2" t="str">
        <f aca="false">IF(C1169="","",IFERROR(INDEX($S$5:$S$304,MATCH(C1169,$R$5:$R$304,0))&amp;"","?"))</f>
        <v>30</v>
      </c>
      <c r="N1169" s="2" t="n">
        <f aca="false">IF(E1169="","",IF(ISNUMBER(SEARCH("SUBSOLO",E1169)),IFERROR(-VALUE(LEFT(E1169,FIND("º",SUBSTITUTE(E1169,"°","º"))-1)),-1),IF(LEFT(E1169,6)="TÉRREO",0,IFERROR(VALUE(LEFT(E1169,FIND("º",SUBSTITUTE(E1169,"°","º"))-1)),""))))</f>
        <v>17</v>
      </c>
      <c r="O1169" s="2" t="str">
        <f aca="false">IF(OR(F1169="",G1169=""),"",IF(G1169&lt;='RETRATO 2027'!$K$5,"CONCLUÍDA",IF(F1169&lt;='RETRATO 2027'!$K$5,"EM ANDAMENTO","A INICIAR")))</f>
        <v>A INICIAR</v>
      </c>
    </row>
    <row r="1170" customFormat="false" ht="15" hidden="false" customHeight="false" outlineLevel="0" collapsed="false">
      <c r="B1170" s="4" t="n">
        <v>29981125</v>
      </c>
      <c r="C1170" s="4" t="s">
        <v>2486</v>
      </c>
      <c r="D1170" s="4" t="s">
        <v>463</v>
      </c>
      <c r="E1170" s="4" t="s">
        <v>2820</v>
      </c>
      <c r="F1170" s="127" t="n">
        <v>46790</v>
      </c>
      <c r="G1170" s="127" t="n">
        <v>46800</v>
      </c>
      <c r="H1170" s="127" t="n">
        <v>46289</v>
      </c>
      <c r="I1170" s="4" t="n">
        <v>0</v>
      </c>
      <c r="J1170" s="4" t="n">
        <v>0</v>
      </c>
      <c r="K1170" s="4" t="n">
        <v>0</v>
      </c>
      <c r="M1170" s="2" t="str">
        <f aca="false">IF(C1170="","",IFERROR(INDEX($S$5:$S$304,MATCH(C1170,$R$5:$R$304,0))&amp;"","?"))</f>
        <v>30</v>
      </c>
      <c r="N1170" s="2" t="n">
        <f aca="false">IF(E1170="","",IF(ISNUMBER(SEARCH("SUBSOLO",E1170)),IFERROR(-VALUE(LEFT(E1170,FIND("º",SUBSTITUTE(E1170,"°","º"))-1)),-1),IF(LEFT(E1170,6)="TÉRREO",0,IFERROR(VALUE(LEFT(E1170,FIND("º",SUBSTITUTE(E1170,"°","º"))-1)),""))))</f>
        <v>18</v>
      </c>
      <c r="O1170" s="2" t="str">
        <f aca="false">IF(OR(F1170="",G1170=""),"",IF(G1170&lt;='RETRATO 2027'!$K$5,"CONCLUÍDA",IF(F1170&lt;='RETRATO 2027'!$K$5,"EM ANDAMENTO","A INICIAR")))</f>
        <v>A INICIAR</v>
      </c>
    </row>
    <row r="1171" customFormat="false" ht="15" hidden="false" customHeight="false" outlineLevel="0" collapsed="false">
      <c r="B1171" s="4" t="n">
        <v>29981067</v>
      </c>
      <c r="C1171" s="4" t="s">
        <v>2480</v>
      </c>
      <c r="D1171" s="4" t="s">
        <v>463</v>
      </c>
      <c r="E1171" s="4" t="s">
        <v>2823</v>
      </c>
      <c r="F1171" s="127" t="n">
        <v>46790</v>
      </c>
      <c r="G1171" s="127" t="n">
        <v>46800</v>
      </c>
      <c r="H1171" s="127" t="n">
        <v>46289</v>
      </c>
      <c r="I1171" s="4" t="n">
        <v>0</v>
      </c>
      <c r="J1171" s="4" t="n">
        <v>0</v>
      </c>
      <c r="K1171" s="4" t="n">
        <v>0</v>
      </c>
      <c r="M1171" s="2" t="str">
        <f aca="false">IF(C1171="","",IFERROR(INDEX($S$5:$S$304,MATCH(C1171,$R$5:$R$304,0))&amp;"","?"))</f>
        <v>30</v>
      </c>
      <c r="N1171" s="2" t="n">
        <f aca="false">IF(E1171="","",IF(ISNUMBER(SEARCH("SUBSOLO",E1171)),IFERROR(-VALUE(LEFT(E1171,FIND("º",SUBSTITUTE(E1171,"°","º"))-1)),-1),IF(LEFT(E1171,6)="TÉRREO",0,IFERROR(VALUE(LEFT(E1171,FIND("º",SUBSTITUTE(E1171,"°","º"))-1)),""))))</f>
        <v>20</v>
      </c>
      <c r="O1171" s="2" t="str">
        <f aca="false">IF(OR(F1171="",G1171=""),"",IF(G1171&lt;='RETRATO 2027'!$K$5,"CONCLUÍDA",IF(F1171&lt;='RETRATO 2027'!$K$5,"EM ANDAMENTO","A INICIAR")))</f>
        <v>A INICIAR</v>
      </c>
    </row>
    <row r="1172" customFormat="false" ht="15" hidden="false" customHeight="false" outlineLevel="0" collapsed="false">
      <c r="B1172" s="4" t="n">
        <v>29981028</v>
      </c>
      <c r="C1172" s="4" t="s">
        <v>171</v>
      </c>
      <c r="D1172" s="4" t="s">
        <v>463</v>
      </c>
      <c r="E1172" s="4" t="s">
        <v>2825</v>
      </c>
      <c r="F1172" s="127" t="n">
        <v>46790</v>
      </c>
      <c r="G1172" s="127" t="n">
        <v>46800</v>
      </c>
      <c r="H1172" s="127" t="n">
        <v>46289</v>
      </c>
      <c r="I1172" s="4" t="n">
        <v>0</v>
      </c>
      <c r="J1172" s="4" t="n">
        <v>0</v>
      </c>
      <c r="K1172" s="4" t="n">
        <v>0</v>
      </c>
      <c r="M1172" s="2" t="str">
        <f aca="false">IF(C1172="","",IFERROR(INDEX($S$5:$S$304,MATCH(C1172,$R$5:$R$304,0))&amp;"","?"))</f>
        <v>19</v>
      </c>
      <c r="N1172" s="2" t="n">
        <f aca="false">IF(E1172="","",IF(ISNUMBER(SEARCH("SUBSOLO",E1172)),IFERROR(-VALUE(LEFT(E1172,FIND("º",SUBSTITUTE(E1172,"°","º"))-1)),-1),IF(LEFT(E1172,6)="TÉRREO",0,IFERROR(VALUE(LEFT(E1172,FIND("º",SUBSTITUTE(E1172,"°","º"))-1)),""))))</f>
        <v>21</v>
      </c>
      <c r="O1172" s="2" t="str">
        <f aca="false">IF(OR(F1172="",G1172=""),"",IF(G1172&lt;='RETRATO 2027'!$K$5,"CONCLUÍDA",IF(F1172&lt;='RETRATO 2027'!$K$5,"EM ANDAMENTO","A INICIAR")))</f>
        <v>A INICIAR</v>
      </c>
    </row>
    <row r="1173" customFormat="false" ht="15" hidden="false" customHeight="false" outlineLevel="0" collapsed="false">
      <c r="B1173" s="4" t="n">
        <v>32750448</v>
      </c>
      <c r="C1173" s="4" t="s">
        <v>2470</v>
      </c>
      <c r="D1173" s="4" t="s">
        <v>463</v>
      </c>
      <c r="E1173" s="4" t="s">
        <v>2827</v>
      </c>
      <c r="F1173" s="127" t="n">
        <v>46790</v>
      </c>
      <c r="G1173" s="127" t="n">
        <v>46800</v>
      </c>
      <c r="H1173" s="127" t="n">
        <v>46289</v>
      </c>
      <c r="I1173" s="4" t="n">
        <v>0</v>
      </c>
      <c r="J1173" s="4" t="n">
        <v>0</v>
      </c>
      <c r="K1173" s="4" t="n">
        <v>0</v>
      </c>
      <c r="M1173" s="2" t="str">
        <f aca="false">IF(C1173="","",IFERROR(INDEX($S$5:$S$304,MATCH(C1173,$R$5:$R$304,0))&amp;"","?"))</f>
        <v>18</v>
      </c>
      <c r="N1173" s="2" t="n">
        <f aca="false">IF(E1173="","",IF(ISNUMBER(SEARCH("SUBSOLO",E1173)),IFERROR(-VALUE(LEFT(E1173,FIND("º",SUBSTITUTE(E1173,"°","º"))-1)),-1),IF(LEFT(E1173,6)="TÉRREO",0,IFERROR(VALUE(LEFT(E1173,FIND("º",SUBSTITUTE(E1173,"°","º"))-1)),""))))</f>
        <v>22</v>
      </c>
      <c r="O1173" s="2" t="str">
        <f aca="false">IF(OR(F1173="",G1173=""),"",IF(G1173&lt;='RETRATO 2027'!$K$5,"CONCLUÍDA",IF(F1173&lt;='RETRATO 2027'!$K$5,"EM ANDAMENTO","A INICIAR")))</f>
        <v>A INICIAR</v>
      </c>
    </row>
    <row r="1174" customFormat="false" ht="15" hidden="false" customHeight="false" outlineLevel="0" collapsed="false">
      <c r="B1174" s="4" t="n">
        <v>32750371</v>
      </c>
      <c r="C1174" s="4" t="s">
        <v>2458</v>
      </c>
      <c r="D1174" s="4" t="s">
        <v>463</v>
      </c>
      <c r="E1174" s="4" t="s">
        <v>2829</v>
      </c>
      <c r="F1174" s="127" t="n">
        <v>46790</v>
      </c>
      <c r="G1174" s="127" t="n">
        <v>46800</v>
      </c>
      <c r="H1174" s="127" t="n">
        <v>46289</v>
      </c>
      <c r="I1174" s="4" t="n">
        <v>0</v>
      </c>
      <c r="J1174" s="4" t="n">
        <v>0</v>
      </c>
      <c r="K1174" s="4" t="n">
        <v>0</v>
      </c>
      <c r="M1174" s="2" t="str">
        <f aca="false">IF(C1174="","",IFERROR(INDEX($S$5:$S$304,MATCH(C1174,$R$5:$R$304,0))&amp;"","?"))</f>
        <v>21</v>
      </c>
      <c r="N1174" s="2" t="n">
        <f aca="false">IF(E1174="","",IF(ISNUMBER(SEARCH("SUBSOLO",E1174)),IFERROR(-VALUE(LEFT(E1174,FIND("º",SUBSTITUTE(E1174,"°","º"))-1)),-1),IF(LEFT(E1174,6)="TÉRREO",0,IFERROR(VALUE(LEFT(E1174,FIND("º",SUBSTITUTE(E1174,"°","º"))-1)),""))))</f>
        <v>23</v>
      </c>
      <c r="O1174" s="2" t="str">
        <f aca="false">IF(OR(F1174="",G1174=""),"",IF(G1174&lt;='RETRATO 2027'!$K$5,"CONCLUÍDA",IF(F1174&lt;='RETRATO 2027'!$K$5,"EM ANDAMENTO","A INICIAR")))</f>
        <v>A INICIAR</v>
      </c>
    </row>
    <row r="1175" customFormat="false" ht="15" hidden="false" customHeight="false" outlineLevel="0" collapsed="false">
      <c r="B1175" s="4" t="n">
        <v>32750397</v>
      </c>
      <c r="C1175" s="4" t="s">
        <v>2461</v>
      </c>
      <c r="D1175" s="4" t="s">
        <v>463</v>
      </c>
      <c r="E1175" s="4" t="s">
        <v>2829</v>
      </c>
      <c r="F1175" s="127" t="n">
        <v>46790</v>
      </c>
      <c r="G1175" s="127" t="n">
        <v>46800</v>
      </c>
      <c r="H1175" s="127" t="n">
        <v>46289</v>
      </c>
      <c r="I1175" s="4" t="n">
        <v>0</v>
      </c>
      <c r="J1175" s="4" t="n">
        <v>0</v>
      </c>
      <c r="K1175" s="4" t="n">
        <v>0</v>
      </c>
      <c r="M1175" s="2" t="str">
        <f aca="false">IF(C1175="","",IFERROR(INDEX($S$5:$S$304,MATCH(C1175,$R$5:$R$304,0))&amp;"","?"))</f>
        <v>20</v>
      </c>
      <c r="N1175" s="2" t="n">
        <f aca="false">IF(E1175="","",IF(ISNUMBER(SEARCH("SUBSOLO",E1175)),IFERROR(-VALUE(LEFT(E1175,FIND("º",SUBSTITUTE(E1175,"°","º"))-1)),-1),IF(LEFT(E1175,6)="TÉRREO",0,IFERROR(VALUE(LEFT(E1175,FIND("º",SUBSTITUTE(E1175,"°","º"))-1)),""))))</f>
        <v>23</v>
      </c>
      <c r="O1175" s="2" t="str">
        <f aca="false">IF(OR(F1175="",G1175=""),"",IF(G1175&lt;='RETRATO 2027'!$K$5,"CONCLUÍDA",IF(F1175&lt;='RETRATO 2027'!$K$5,"EM ANDAMENTO","A INICIAR")))</f>
        <v>A INICIAR</v>
      </c>
    </row>
    <row r="1176" customFormat="false" ht="15" hidden="false" customHeight="false" outlineLevel="0" collapsed="false">
      <c r="B1176" s="4" t="n">
        <v>32750423</v>
      </c>
      <c r="C1176" s="4" t="s">
        <v>2464</v>
      </c>
      <c r="D1176" s="4" t="s">
        <v>463</v>
      </c>
      <c r="E1176" s="4" t="s">
        <v>2829</v>
      </c>
      <c r="F1176" s="127" t="n">
        <v>46790</v>
      </c>
      <c r="G1176" s="127" t="n">
        <v>46800</v>
      </c>
      <c r="H1176" s="127" t="n">
        <v>46289</v>
      </c>
      <c r="I1176" s="4" t="n">
        <v>0</v>
      </c>
      <c r="J1176" s="4" t="n">
        <v>0</v>
      </c>
      <c r="K1176" s="4" t="n">
        <v>0</v>
      </c>
      <c r="M1176" s="2" t="str">
        <f aca="false">IF(C1176="","",IFERROR(INDEX($S$5:$S$304,MATCH(C1176,$R$5:$R$304,0))&amp;"","?"))</f>
        <v>21</v>
      </c>
      <c r="N1176" s="2" t="n">
        <f aca="false">IF(E1176="","",IF(ISNUMBER(SEARCH("SUBSOLO",E1176)),IFERROR(-VALUE(LEFT(E1176,FIND("º",SUBSTITUTE(E1176,"°","º"))-1)),-1),IF(LEFT(E1176,6)="TÉRREO",0,IFERROR(VALUE(LEFT(E1176,FIND("º",SUBSTITUTE(E1176,"°","º"))-1)),""))))</f>
        <v>23</v>
      </c>
      <c r="O1176" s="2" t="str">
        <f aca="false">IF(OR(F1176="",G1176=""),"",IF(G1176&lt;='RETRATO 2027'!$K$5,"CONCLUÍDA",IF(F1176&lt;='RETRATO 2027'!$K$5,"EM ANDAMENTO","A INICIAR")))</f>
        <v>A INICIAR</v>
      </c>
    </row>
    <row r="1177" customFormat="false" ht="15" hidden="false" customHeight="false" outlineLevel="0" collapsed="false">
      <c r="B1177" s="4" t="n">
        <v>33896841</v>
      </c>
      <c r="C1177" s="4" t="s">
        <v>2467</v>
      </c>
      <c r="D1177" s="4" t="s">
        <v>463</v>
      </c>
      <c r="E1177" s="4" t="s">
        <v>2829</v>
      </c>
      <c r="F1177" s="127" t="n">
        <v>46790</v>
      </c>
      <c r="G1177" s="127" t="n">
        <v>46800</v>
      </c>
      <c r="H1177" s="127" t="n">
        <v>46289</v>
      </c>
      <c r="I1177" s="4" t="n">
        <v>0</v>
      </c>
      <c r="J1177" s="4" t="n">
        <v>0</v>
      </c>
      <c r="K1177" s="4" t="n">
        <v>0</v>
      </c>
      <c r="M1177" s="2" t="str">
        <f aca="false">IF(C1177="","",IFERROR(INDEX($S$5:$S$304,MATCH(C1177,$R$5:$R$304,0))&amp;"","?"))</f>
        <v>23</v>
      </c>
      <c r="N1177" s="2" t="n">
        <f aca="false">IF(E1177="","",IF(ISNUMBER(SEARCH("SUBSOLO",E1177)),IFERROR(-VALUE(LEFT(E1177,FIND("º",SUBSTITUTE(E1177,"°","º"))-1)),-1),IF(LEFT(E1177,6)="TÉRREO",0,IFERROR(VALUE(LEFT(E1177,FIND("º",SUBSTITUTE(E1177,"°","º"))-1)),""))))</f>
        <v>23</v>
      </c>
      <c r="O1177" s="2" t="str">
        <f aca="false">IF(OR(F1177="",G1177=""),"",IF(G1177&lt;='RETRATO 2027'!$K$5,"CONCLUÍDA",IF(F1177&lt;='RETRATO 2027'!$K$5,"EM ANDAMENTO","A INICIAR")))</f>
        <v>A INICIAR</v>
      </c>
    </row>
    <row r="1178" customFormat="false" ht="15" hidden="false" customHeight="false" outlineLevel="0" collapsed="false">
      <c r="B1178" s="4" t="n">
        <v>32749867</v>
      </c>
      <c r="C1178" s="4" t="s">
        <v>2455</v>
      </c>
      <c r="D1178" s="4" t="s">
        <v>463</v>
      </c>
      <c r="E1178" s="4" t="s">
        <v>2831</v>
      </c>
      <c r="F1178" s="127" t="n">
        <v>46790</v>
      </c>
      <c r="G1178" s="127" t="n">
        <v>46800</v>
      </c>
      <c r="H1178" s="127" t="n">
        <v>46289</v>
      </c>
      <c r="I1178" s="4" t="n">
        <v>0</v>
      </c>
      <c r="J1178" s="4" t="n">
        <v>0</v>
      </c>
      <c r="K1178" s="4" t="n">
        <v>0</v>
      </c>
      <c r="M1178" s="2" t="str">
        <f aca="false">IF(C1178="","",IFERROR(INDEX($S$5:$S$304,MATCH(C1178,$R$5:$R$304,0))&amp;"","?"))</f>
        <v>18</v>
      </c>
      <c r="N1178" s="2" t="n">
        <f aca="false">IF(E1178="","",IF(ISNUMBER(SEARCH("SUBSOLO",E1178)),IFERROR(-VALUE(LEFT(E1178,FIND("º",SUBSTITUTE(E1178,"°","º"))-1)),-1),IF(LEFT(E1178,6)="TÉRREO",0,IFERROR(VALUE(LEFT(E1178,FIND("º",SUBSTITUTE(E1178,"°","º"))-1)),""))))</f>
        <v>24</v>
      </c>
      <c r="O1178" s="2" t="str">
        <f aca="false">IF(OR(F1178="",G1178=""),"",IF(G1178&lt;='RETRATO 2027'!$K$5,"CONCLUÍDA",IF(F1178&lt;='RETRATO 2027'!$K$5,"EM ANDAMENTO","A INICIAR")))</f>
        <v>A INICIAR</v>
      </c>
    </row>
    <row r="1179" customFormat="false" ht="15" hidden="false" customHeight="false" outlineLevel="0" collapsed="false">
      <c r="B1179" s="4" t="n">
        <v>29980881</v>
      </c>
      <c r="C1179" s="4" t="s">
        <v>2449</v>
      </c>
      <c r="D1179" s="4" t="s">
        <v>463</v>
      </c>
      <c r="E1179" s="4" t="s">
        <v>2833</v>
      </c>
      <c r="F1179" s="127" t="n">
        <v>46790</v>
      </c>
      <c r="G1179" s="127" t="n">
        <v>46800</v>
      </c>
      <c r="H1179" s="127" t="n">
        <v>46289</v>
      </c>
      <c r="I1179" s="4" t="n">
        <v>0</v>
      </c>
      <c r="J1179" s="4" t="n">
        <v>0</v>
      </c>
      <c r="K1179" s="4" t="n">
        <v>0</v>
      </c>
      <c r="M1179" s="2" t="str">
        <f aca="false">IF(C1179="","",IFERROR(INDEX($S$5:$S$304,MATCH(C1179,$R$5:$R$304,0))&amp;"","?"))</f>
        <v>28</v>
      </c>
      <c r="N1179" s="2" t="n">
        <f aca="false">IF(E1179="","",IF(ISNUMBER(SEARCH("SUBSOLO",E1179)),IFERROR(-VALUE(LEFT(E1179,FIND("º",SUBSTITUTE(E1179,"°","º"))-1)),-1),IF(LEFT(E1179,6)="TÉRREO",0,IFERROR(VALUE(LEFT(E1179,FIND("º",SUBSTITUTE(E1179,"°","º"))-1)),""))))</f>
        <v>25</v>
      </c>
      <c r="O1179" s="2" t="str">
        <f aca="false">IF(OR(F1179="",G1179=""),"",IF(G1179&lt;='RETRATO 2027'!$K$5,"CONCLUÍDA",IF(F1179&lt;='RETRATO 2027'!$K$5,"EM ANDAMENTO","A INICIAR")))</f>
        <v>A INICIAR</v>
      </c>
    </row>
    <row r="1180" customFormat="false" ht="15" hidden="false" customHeight="false" outlineLevel="0" collapsed="false">
      <c r="B1180" s="4" t="n">
        <v>29980821</v>
      </c>
      <c r="C1180" s="4" t="s">
        <v>2440</v>
      </c>
      <c r="D1180" s="4" t="s">
        <v>463</v>
      </c>
      <c r="E1180" s="4" t="s">
        <v>2834</v>
      </c>
      <c r="F1180" s="127" t="n">
        <v>46790</v>
      </c>
      <c r="G1180" s="127" t="n">
        <v>46800</v>
      </c>
      <c r="H1180" s="127" t="n">
        <v>46289</v>
      </c>
      <c r="I1180" s="4" t="n">
        <v>0</v>
      </c>
      <c r="J1180" s="4" t="n">
        <v>0</v>
      </c>
      <c r="K1180" s="4" t="n">
        <v>0</v>
      </c>
      <c r="M1180" s="2" t="str">
        <f aca="false">IF(C1180="","",IFERROR(INDEX($S$5:$S$304,MATCH(C1180,$R$5:$R$304,0))&amp;"","?"))</f>
        <v>21</v>
      </c>
      <c r="N1180" s="2" t="n">
        <f aca="false">IF(E1180="","",IF(ISNUMBER(SEARCH("SUBSOLO",E1180)),IFERROR(-VALUE(LEFT(E1180,FIND("º",SUBSTITUTE(E1180,"°","º"))-1)),-1),IF(LEFT(E1180,6)="TÉRREO",0,IFERROR(VALUE(LEFT(E1180,FIND("º",SUBSTITUTE(E1180,"°","º"))-1)),""))))</f>
        <v>26</v>
      </c>
      <c r="O1180" s="2" t="str">
        <f aca="false">IF(OR(F1180="",G1180=""),"",IF(G1180&lt;='RETRATO 2027'!$K$5,"CONCLUÍDA",IF(F1180&lt;='RETRATO 2027'!$K$5,"EM ANDAMENTO","A INICIAR")))</f>
        <v>A INICIAR</v>
      </c>
    </row>
    <row r="1181" customFormat="false" ht="15" hidden="false" customHeight="false" outlineLevel="0" collapsed="false">
      <c r="B1181" s="4" t="n">
        <v>29980854</v>
      </c>
      <c r="C1181" s="4" t="s">
        <v>2443</v>
      </c>
      <c r="D1181" s="4" t="s">
        <v>463</v>
      </c>
      <c r="E1181" s="4" t="s">
        <v>2834</v>
      </c>
      <c r="F1181" s="127" t="n">
        <v>46790</v>
      </c>
      <c r="G1181" s="127" t="n">
        <v>46800</v>
      </c>
      <c r="H1181" s="127" t="n">
        <v>46289</v>
      </c>
      <c r="I1181" s="4" t="n">
        <v>0</v>
      </c>
      <c r="J1181" s="4" t="n">
        <v>0</v>
      </c>
      <c r="K1181" s="4" t="n">
        <v>0</v>
      </c>
      <c r="M1181" s="2" t="str">
        <f aca="false">IF(C1181="","",IFERROR(INDEX($S$5:$S$304,MATCH(C1181,$R$5:$R$304,0))&amp;"","?"))</f>
        <v>20</v>
      </c>
      <c r="N1181" s="2" t="n">
        <f aca="false">IF(E1181="","",IF(ISNUMBER(SEARCH("SUBSOLO",E1181)),IFERROR(-VALUE(LEFT(E1181,FIND("º",SUBSTITUTE(E1181,"°","º"))-1)),-1),IF(LEFT(E1181,6)="TÉRREO",0,IFERROR(VALUE(LEFT(E1181,FIND("º",SUBSTITUTE(E1181,"°","º"))-1)),""))))</f>
        <v>26</v>
      </c>
      <c r="O1181" s="2" t="str">
        <f aca="false">IF(OR(F1181="",G1181=""),"",IF(G1181&lt;='RETRATO 2027'!$K$5,"CONCLUÍDA",IF(F1181&lt;='RETRATO 2027'!$K$5,"EM ANDAMENTO","A INICIAR")))</f>
        <v>A INICIAR</v>
      </c>
    </row>
    <row r="1182" customFormat="false" ht="15" hidden="false" customHeight="false" outlineLevel="0" collapsed="false">
      <c r="B1182" s="4" t="n">
        <v>29980783</v>
      </c>
      <c r="C1182" s="4" t="s">
        <v>2437</v>
      </c>
      <c r="D1182" s="4" t="s">
        <v>463</v>
      </c>
      <c r="E1182" s="4" t="s">
        <v>2838</v>
      </c>
      <c r="F1182" s="127" t="n">
        <v>46790</v>
      </c>
      <c r="G1182" s="127" t="n">
        <v>46800</v>
      </c>
      <c r="H1182" s="127" t="n">
        <v>46289</v>
      </c>
      <c r="I1182" s="4" t="n">
        <v>0</v>
      </c>
      <c r="J1182" s="4" t="n">
        <v>0</v>
      </c>
      <c r="K1182" s="4" t="n">
        <v>0</v>
      </c>
      <c r="M1182" s="2" t="str">
        <f aca="false">IF(C1182="","",IFERROR(INDEX($S$5:$S$304,MATCH(C1182,$R$5:$R$304,0))&amp;"","?"))</f>
        <v>29</v>
      </c>
      <c r="N1182" s="2" t="n">
        <f aca="false">IF(E1182="","",IF(ISNUMBER(SEARCH("SUBSOLO",E1182)),IFERROR(-VALUE(LEFT(E1182,FIND("º",SUBSTITUTE(E1182,"°","º"))-1)),-1),IF(LEFT(E1182,6)="TÉRREO",0,IFERROR(VALUE(LEFT(E1182,FIND("º",SUBSTITUTE(E1182,"°","º"))-1)),""))))</f>
        <v>27</v>
      </c>
      <c r="O1182" s="2" t="str">
        <f aca="false">IF(OR(F1182="",G1182=""),"",IF(G1182&lt;='RETRATO 2027'!$K$5,"CONCLUÍDA",IF(F1182&lt;='RETRATO 2027'!$K$5,"EM ANDAMENTO","A INICIAR")))</f>
        <v>A INICIAR</v>
      </c>
    </row>
    <row r="1183" customFormat="false" ht="15" hidden="false" customHeight="false" outlineLevel="0" collapsed="false">
      <c r="B1183" s="4" t="n">
        <v>29980749</v>
      </c>
      <c r="C1183" s="4" t="s">
        <v>2434</v>
      </c>
      <c r="D1183" s="4" t="s">
        <v>463</v>
      </c>
      <c r="E1183" s="4" t="s">
        <v>2840</v>
      </c>
      <c r="F1183" s="127" t="n">
        <v>46790</v>
      </c>
      <c r="G1183" s="127" t="n">
        <v>46800</v>
      </c>
      <c r="H1183" s="127" t="n">
        <v>46289</v>
      </c>
      <c r="I1183" s="4" t="n">
        <v>0</v>
      </c>
      <c r="J1183" s="4" t="n">
        <v>0</v>
      </c>
      <c r="K1183" s="4" t="n">
        <v>0</v>
      </c>
      <c r="M1183" s="2" t="str">
        <f aca="false">IF(C1183="","",IFERROR(INDEX($S$5:$S$304,MATCH(C1183,$R$5:$R$304,0))&amp;"","?"))</f>
        <v>25</v>
      </c>
      <c r="N1183" s="2" t="n">
        <f aca="false">IF(E1183="","",IF(ISNUMBER(SEARCH("SUBSOLO",E1183)),IFERROR(-VALUE(LEFT(E1183,FIND("º",SUBSTITUTE(E1183,"°","º"))-1)),-1),IF(LEFT(E1183,6)="TÉRREO",0,IFERROR(VALUE(LEFT(E1183,FIND("º",SUBSTITUTE(E1183,"°","º"))-1)),""))))</f>
        <v>28</v>
      </c>
      <c r="O1183" s="2" t="str">
        <f aca="false">IF(OR(F1183="",G1183=""),"",IF(G1183&lt;='RETRATO 2027'!$K$5,"CONCLUÍDA",IF(F1183&lt;='RETRATO 2027'!$K$5,"EM ANDAMENTO","A INICIAR")))</f>
        <v>A INICIAR</v>
      </c>
    </row>
    <row r="1184" customFormat="false" ht="15" hidden="false" customHeight="false" outlineLevel="0" collapsed="false">
      <c r="B1184" s="4" t="n">
        <v>29980742</v>
      </c>
      <c r="C1184" s="4" t="s">
        <v>2425</v>
      </c>
      <c r="D1184" s="4" t="s">
        <v>463</v>
      </c>
      <c r="E1184" s="4" t="s">
        <v>2841</v>
      </c>
      <c r="F1184" s="127" t="n">
        <v>46790</v>
      </c>
      <c r="G1184" s="127" t="n">
        <v>46800</v>
      </c>
      <c r="H1184" s="127" t="n">
        <v>46289</v>
      </c>
      <c r="I1184" s="4" t="n">
        <v>0</v>
      </c>
      <c r="J1184" s="4" t="n">
        <v>0</v>
      </c>
      <c r="K1184" s="4" t="n">
        <v>0</v>
      </c>
      <c r="M1184" s="2" t="str">
        <f aca="false">IF(C1184="","",IFERROR(INDEX($S$5:$S$304,MATCH(C1184,$R$5:$R$304,0))&amp;"","?"))</f>
        <v>21</v>
      </c>
      <c r="N1184" s="2" t="n">
        <f aca="false">IF(E1184="","",IF(ISNUMBER(SEARCH("SUBSOLO",E1184)),IFERROR(-VALUE(LEFT(E1184,FIND("º",SUBSTITUTE(E1184,"°","º"))-1)),-1),IF(LEFT(E1184,6)="TÉRREO",0,IFERROR(VALUE(LEFT(E1184,FIND("º",SUBSTITUTE(E1184,"°","º"))-1)),""))))</f>
        <v>29</v>
      </c>
      <c r="O1184" s="2" t="str">
        <f aca="false">IF(OR(F1184="",G1184=""),"",IF(G1184&lt;='RETRATO 2027'!$K$5,"CONCLUÍDA",IF(F1184&lt;='RETRATO 2027'!$K$5,"EM ANDAMENTO","A INICIAR")))</f>
        <v>A INICIAR</v>
      </c>
    </row>
    <row r="1185" customFormat="false" ht="15" hidden="false" customHeight="false" outlineLevel="0" collapsed="false">
      <c r="B1185" s="4" t="n">
        <v>29980711</v>
      </c>
      <c r="C1185" s="4" t="s">
        <v>2428</v>
      </c>
      <c r="D1185" s="4" t="s">
        <v>463</v>
      </c>
      <c r="E1185" s="4" t="s">
        <v>2841</v>
      </c>
      <c r="F1185" s="127" t="n">
        <v>46790</v>
      </c>
      <c r="G1185" s="127" t="n">
        <v>46800</v>
      </c>
      <c r="H1185" s="127" t="n">
        <v>46289</v>
      </c>
      <c r="I1185" s="4" t="n">
        <v>0</v>
      </c>
      <c r="J1185" s="4" t="n">
        <v>0</v>
      </c>
      <c r="K1185" s="4" t="n">
        <v>0</v>
      </c>
      <c r="M1185" s="2" t="str">
        <f aca="false">IF(C1185="","",IFERROR(INDEX($S$5:$S$304,MATCH(C1185,$R$5:$R$304,0))&amp;"","?"))</f>
        <v>20</v>
      </c>
      <c r="N1185" s="2" t="n">
        <f aca="false">IF(E1185="","",IF(ISNUMBER(SEARCH("SUBSOLO",E1185)),IFERROR(-VALUE(LEFT(E1185,FIND("º",SUBSTITUTE(E1185,"°","º"))-1)),-1),IF(LEFT(E1185,6)="TÉRREO",0,IFERROR(VALUE(LEFT(E1185,FIND("º",SUBSTITUTE(E1185,"°","º"))-1)),""))))</f>
        <v>29</v>
      </c>
      <c r="O1185" s="2" t="str">
        <f aca="false">IF(OR(F1185="",G1185=""),"",IF(G1185&lt;='RETRATO 2027'!$K$5,"CONCLUÍDA",IF(F1185&lt;='RETRATO 2027'!$K$5,"EM ANDAMENTO","A INICIAR")))</f>
        <v>A INICIAR</v>
      </c>
    </row>
    <row r="1186" customFormat="false" ht="15" hidden="false" customHeight="false" outlineLevel="0" collapsed="false">
      <c r="B1186" s="4" t="n">
        <v>29980744</v>
      </c>
      <c r="C1186" s="4" t="s">
        <v>2431</v>
      </c>
      <c r="D1186" s="4" t="s">
        <v>463</v>
      </c>
      <c r="E1186" s="4" t="s">
        <v>2841</v>
      </c>
      <c r="F1186" s="127" t="n">
        <v>46790</v>
      </c>
      <c r="G1186" s="127" t="n">
        <v>46800</v>
      </c>
      <c r="H1186" s="127" t="n">
        <v>46289</v>
      </c>
      <c r="I1186" s="4" t="n">
        <v>0</v>
      </c>
      <c r="J1186" s="4" t="n">
        <v>0</v>
      </c>
      <c r="K1186" s="4" t="n">
        <v>0</v>
      </c>
      <c r="M1186" s="2" t="str">
        <f aca="false">IF(C1186="","",IFERROR(INDEX($S$5:$S$304,MATCH(C1186,$R$5:$R$304,0))&amp;"","?"))</f>
        <v>21</v>
      </c>
      <c r="N1186" s="2" t="n">
        <f aca="false">IF(E1186="","",IF(ISNUMBER(SEARCH("SUBSOLO",E1186)),IFERROR(-VALUE(LEFT(E1186,FIND("º",SUBSTITUTE(E1186,"°","º"))-1)),-1),IF(LEFT(E1186,6)="TÉRREO",0,IFERROR(VALUE(LEFT(E1186,FIND("º",SUBSTITUTE(E1186,"°","º"))-1)),""))))</f>
        <v>29</v>
      </c>
      <c r="O1186" s="2" t="str">
        <f aca="false">IF(OR(F1186="",G1186=""),"",IF(G1186&lt;='RETRATO 2027'!$K$5,"CONCLUÍDA",IF(F1186&lt;='RETRATO 2027'!$K$5,"EM ANDAMENTO","A INICIAR")))</f>
        <v>A INICIAR</v>
      </c>
    </row>
    <row r="1187" customFormat="false" ht="15" hidden="false" customHeight="false" outlineLevel="0" collapsed="false">
      <c r="B1187" s="4" t="n">
        <v>29980691</v>
      </c>
      <c r="C1187" s="4" t="s">
        <v>2422</v>
      </c>
      <c r="D1187" s="4" t="s">
        <v>463</v>
      </c>
      <c r="E1187" s="4" t="s">
        <v>2842</v>
      </c>
      <c r="F1187" s="127" t="n">
        <v>46790</v>
      </c>
      <c r="G1187" s="127" t="n">
        <v>46800</v>
      </c>
      <c r="H1187" s="127" t="n">
        <v>46289</v>
      </c>
      <c r="I1187" s="4" t="n">
        <v>0</v>
      </c>
      <c r="J1187" s="4" t="n">
        <v>0</v>
      </c>
      <c r="K1187" s="4" t="n">
        <v>0</v>
      </c>
      <c r="M1187" s="2" t="str">
        <f aca="false">IF(C1187="","",IFERROR(INDEX($S$5:$S$304,MATCH(C1187,$R$5:$R$304,0))&amp;"","?"))</f>
        <v>29</v>
      </c>
      <c r="N1187" s="2" t="n">
        <f aca="false">IF(E1187="","",IF(ISNUMBER(SEARCH("SUBSOLO",E1187)),IFERROR(-VALUE(LEFT(E1187,FIND("º",SUBSTITUTE(E1187,"°","º"))-1)),-1),IF(LEFT(E1187,6)="TÉRREO",0,IFERROR(VALUE(LEFT(E1187,FIND("º",SUBSTITUTE(E1187,"°","º"))-1)),""))))</f>
        <v>30</v>
      </c>
      <c r="O1187" s="2" t="str">
        <f aca="false">IF(OR(F1187="",G1187=""),"",IF(G1187&lt;='RETRATO 2027'!$K$5,"CONCLUÍDA",IF(F1187&lt;='RETRATO 2027'!$K$5,"EM ANDAMENTO","A INICIAR")))</f>
        <v>A INICIAR</v>
      </c>
    </row>
    <row r="1188" customFormat="false" ht="15" hidden="false" customHeight="false" outlineLevel="0" collapsed="false">
      <c r="B1188" s="4" t="n">
        <v>29980657</v>
      </c>
      <c r="C1188" s="4" t="s">
        <v>2413</v>
      </c>
      <c r="D1188" s="4" t="s">
        <v>463</v>
      </c>
      <c r="E1188" s="4" t="s">
        <v>2843</v>
      </c>
      <c r="F1188" s="127" t="n">
        <v>46790</v>
      </c>
      <c r="G1188" s="127" t="n">
        <v>46800</v>
      </c>
      <c r="H1188" s="127" t="n">
        <v>46289</v>
      </c>
      <c r="I1188" s="4" t="n">
        <v>0</v>
      </c>
      <c r="J1188" s="4" t="n">
        <v>0</v>
      </c>
      <c r="K1188" s="4" t="n">
        <v>0</v>
      </c>
      <c r="M1188" s="2" t="str">
        <f aca="false">IF(C1188="","",IFERROR(INDEX($S$5:$S$304,MATCH(C1188,$R$5:$R$304,0))&amp;"","?"))</f>
        <v>21</v>
      </c>
      <c r="N1188" s="2" t="n">
        <f aca="false">IF(E1188="","",IF(ISNUMBER(SEARCH("SUBSOLO",E1188)),IFERROR(-VALUE(LEFT(E1188,FIND("º",SUBSTITUTE(E1188,"°","º"))-1)),-1),IF(LEFT(E1188,6)="TÉRREO",0,IFERROR(VALUE(LEFT(E1188,FIND("º",SUBSTITUTE(E1188,"°","º"))-1)),""))))</f>
        <v>31</v>
      </c>
      <c r="O1188" s="2" t="str">
        <f aca="false">IF(OR(F1188="",G1188=""),"",IF(G1188&lt;='RETRATO 2027'!$K$5,"CONCLUÍDA",IF(F1188&lt;='RETRATO 2027'!$K$5,"EM ANDAMENTO","A INICIAR")))</f>
        <v>A INICIAR</v>
      </c>
    </row>
    <row r="1189" customFormat="false" ht="15" hidden="false" customHeight="false" outlineLevel="0" collapsed="false">
      <c r="B1189" s="4" t="n">
        <v>30206120</v>
      </c>
      <c r="C1189" s="4" t="s">
        <v>2416</v>
      </c>
      <c r="D1189" s="4" t="s">
        <v>463</v>
      </c>
      <c r="E1189" s="4" t="s">
        <v>2846</v>
      </c>
      <c r="F1189" s="127" t="n">
        <v>46791</v>
      </c>
      <c r="G1189" s="127" t="n">
        <v>46804</v>
      </c>
      <c r="H1189" s="127" t="n">
        <v>46289</v>
      </c>
      <c r="I1189" s="4" t="n">
        <v>0</v>
      </c>
      <c r="J1189" s="4" t="n">
        <v>0</v>
      </c>
      <c r="K1189" s="4" t="n">
        <v>0</v>
      </c>
      <c r="M1189" s="2" t="str">
        <f aca="false">IF(C1189="","",IFERROR(INDEX($S$5:$S$304,MATCH(C1189,$R$5:$R$304,0))&amp;"","?"))</f>
        <v>18</v>
      </c>
      <c r="N1189" s="2" t="n">
        <f aca="false">IF(E1189="","",IF(ISNUMBER(SEARCH("SUBSOLO",E1189)),IFERROR(-VALUE(LEFT(E1189,FIND("º",SUBSTITUTE(E1189,"°","º"))-1)),-1),IF(LEFT(E1189,6)="TÉRREO",0,IFERROR(VALUE(LEFT(E1189,FIND("º",SUBSTITUTE(E1189,"°","º"))-1)),""))))</f>
        <v>6</v>
      </c>
      <c r="O1189" s="2" t="str">
        <f aca="false">IF(OR(F1189="",G1189=""),"",IF(G1189&lt;='RETRATO 2027'!$K$5,"CONCLUÍDA",IF(F1189&lt;='RETRATO 2027'!$K$5,"EM ANDAMENTO","A INICIAR")))</f>
        <v>A INICIAR</v>
      </c>
    </row>
    <row r="1190" customFormat="false" ht="15" hidden="false" customHeight="false" outlineLevel="0" collapsed="false">
      <c r="B1190" s="4" t="n">
        <v>29980656</v>
      </c>
      <c r="C1190" s="4" t="s">
        <v>2416</v>
      </c>
      <c r="D1190" s="4" t="s">
        <v>463</v>
      </c>
      <c r="E1190" s="4" t="s">
        <v>2843</v>
      </c>
      <c r="F1190" s="127" t="n">
        <v>46792</v>
      </c>
      <c r="G1190" s="127" t="n">
        <v>46804</v>
      </c>
      <c r="H1190" s="127" t="n">
        <v>46289</v>
      </c>
      <c r="I1190" s="4" t="n">
        <v>0</v>
      </c>
      <c r="J1190" s="4" t="n">
        <v>0</v>
      </c>
      <c r="K1190" s="4" t="n">
        <v>0</v>
      </c>
      <c r="M1190" s="2" t="str">
        <f aca="false">IF(C1190="","",IFERROR(INDEX($S$5:$S$304,MATCH(C1190,$R$5:$R$304,0))&amp;"","?"))</f>
        <v>18</v>
      </c>
      <c r="N1190" s="2" t="n">
        <f aca="false">IF(E1190="","",IF(ISNUMBER(SEARCH("SUBSOLO",E1190)),IFERROR(-VALUE(LEFT(E1190,FIND("º",SUBSTITUTE(E1190,"°","º"))-1)),-1),IF(LEFT(E1190,6)="TÉRREO",0,IFERROR(VALUE(LEFT(E1190,FIND("º",SUBSTITUTE(E1190,"°","º"))-1)),""))))</f>
        <v>31</v>
      </c>
      <c r="O1190" s="2" t="str">
        <f aca="false">IF(OR(F1190="",G1190=""),"",IF(G1190&lt;='RETRATO 2027'!$K$5,"CONCLUÍDA",IF(F1190&lt;='RETRATO 2027'!$K$5,"EM ANDAMENTO","A INICIAR")))</f>
        <v>A INICIAR</v>
      </c>
    </row>
    <row r="1191" customFormat="false" ht="15" hidden="false" customHeight="false" outlineLevel="0" collapsed="false">
      <c r="B1191" s="4" t="n">
        <v>30205571</v>
      </c>
      <c r="C1191" s="4" t="s">
        <v>2539</v>
      </c>
      <c r="D1191" s="4" t="s">
        <v>463</v>
      </c>
      <c r="E1191" s="4" t="s">
        <v>2830</v>
      </c>
      <c r="F1191" s="127" t="n">
        <v>46794</v>
      </c>
      <c r="G1191" s="127" t="n">
        <v>46807</v>
      </c>
      <c r="H1191" s="127" t="n">
        <v>46289</v>
      </c>
      <c r="I1191" s="4" t="n">
        <v>0</v>
      </c>
      <c r="J1191" s="4" t="n">
        <v>0</v>
      </c>
      <c r="K1191" s="4" t="n">
        <v>0</v>
      </c>
      <c r="M1191" s="2" t="str">
        <f aca="false">IF(C1191="","",IFERROR(INDEX($S$5:$S$304,MATCH(C1191,$R$5:$R$304,0))&amp;"","?"))</f>
        <v>35</v>
      </c>
      <c r="N1191" s="2" t="n">
        <f aca="false">IF(E1191="","",IF(ISNUMBER(SEARCH("SUBSOLO",E1191)),IFERROR(-VALUE(LEFT(E1191,FIND("º",SUBSTITUTE(E1191,"°","º"))-1)),-1),IF(LEFT(E1191,6)="TÉRREO",0,IFERROR(VALUE(LEFT(E1191,FIND("º",SUBSTITUTE(E1191,"°","º"))-1)),""))))</f>
        <v>0</v>
      </c>
      <c r="O1191" s="2" t="str">
        <f aca="false">IF(OR(F1191="",G1191=""),"",IF(G1191&lt;='RETRATO 2027'!$K$5,"CONCLUÍDA",IF(F1191&lt;='RETRATO 2027'!$K$5,"EM ANDAMENTO","A INICIAR")))</f>
        <v>A INICIAR</v>
      </c>
    </row>
    <row r="1192" customFormat="false" ht="15" hidden="false" customHeight="false" outlineLevel="0" collapsed="false">
      <c r="B1192" s="4" t="n">
        <v>30205541</v>
      </c>
      <c r="C1192" s="4" t="s">
        <v>216</v>
      </c>
      <c r="D1192" s="4" t="s">
        <v>463</v>
      </c>
      <c r="E1192" s="4" t="s">
        <v>2832</v>
      </c>
      <c r="F1192" s="127" t="n">
        <v>46794</v>
      </c>
      <c r="G1192" s="127" t="n">
        <v>46807</v>
      </c>
      <c r="H1192" s="127" t="n">
        <v>46289</v>
      </c>
      <c r="I1192" s="4" t="n">
        <v>0</v>
      </c>
      <c r="J1192" s="4" t="n">
        <v>0</v>
      </c>
      <c r="K1192" s="4" t="n">
        <v>0</v>
      </c>
      <c r="M1192" s="2" t="str">
        <f aca="false">IF(C1192="","",IFERROR(INDEX($S$5:$S$304,MATCH(C1192,$R$5:$R$304,0))&amp;"","?"))</f>
        <v>33</v>
      </c>
      <c r="N1192" s="2" t="n">
        <f aca="false">IF(E1192="","",IF(ISNUMBER(SEARCH("SUBSOLO",E1192)),IFERROR(-VALUE(LEFT(E1192,FIND("º",SUBSTITUTE(E1192,"°","º"))-1)),-1),IF(LEFT(E1192,6)="TÉRREO",0,IFERROR(VALUE(LEFT(E1192,FIND("º",SUBSTITUTE(E1192,"°","º"))-1)),""))))</f>
        <v>0</v>
      </c>
      <c r="O1192" s="2" t="str">
        <f aca="false">IF(OR(F1192="",G1192=""),"",IF(G1192&lt;='RETRATO 2027'!$K$5,"CONCLUÍDA",IF(F1192&lt;='RETRATO 2027'!$K$5,"EM ANDAMENTO","A INICIAR")))</f>
        <v>A INICIAR</v>
      </c>
    </row>
    <row r="1193" customFormat="false" ht="15" hidden="false" customHeight="false" outlineLevel="0" collapsed="false">
      <c r="B1193" s="4" t="n">
        <v>30171514</v>
      </c>
      <c r="C1193" s="4" t="s">
        <v>2581</v>
      </c>
      <c r="D1193" s="4" t="s">
        <v>463</v>
      </c>
      <c r="E1193" s="4" t="s">
        <v>2817</v>
      </c>
      <c r="F1193" s="127" t="n">
        <v>46794</v>
      </c>
      <c r="G1193" s="127" t="n">
        <v>47143</v>
      </c>
      <c r="H1193" s="127" t="n">
        <v>46289</v>
      </c>
      <c r="I1193" s="4" t="n">
        <v>0</v>
      </c>
      <c r="J1193" s="4" t="n">
        <v>0</v>
      </c>
      <c r="K1193" s="4" t="n">
        <v>0</v>
      </c>
      <c r="M1193" s="2" t="str">
        <f aca="false">IF(C1193="","",IFERROR(INDEX($S$5:$S$304,MATCH(C1193,$R$5:$R$304,0))&amp;"","?"))</f>
        <v/>
      </c>
      <c r="N1193" s="2" t="str">
        <f aca="false"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 t="str">
        <f aca="false">IF(OR(F1193="",G1193=""),"",IF(G1193&lt;='RETRATO 2027'!$K$5,"CONCLUÍDA",IF(F1193&lt;='RETRATO 2027'!$K$5,"EM ANDAMENTO","A INICIAR")))</f>
        <v>A INICIAR</v>
      </c>
    </row>
    <row r="1194" customFormat="false" ht="15" hidden="false" customHeight="false" outlineLevel="0" collapsed="false">
      <c r="B1194" s="4" t="n">
        <v>30171507</v>
      </c>
      <c r="C1194" s="4" t="s">
        <v>2584</v>
      </c>
      <c r="D1194" s="4" t="s">
        <v>463</v>
      </c>
      <c r="E1194" s="4" t="s">
        <v>2817</v>
      </c>
      <c r="F1194" s="127" t="n">
        <v>46794</v>
      </c>
      <c r="G1194" s="127" t="n">
        <v>47143</v>
      </c>
      <c r="H1194" s="127" t="n">
        <v>46289</v>
      </c>
      <c r="I1194" s="4" t="n">
        <v>0</v>
      </c>
      <c r="J1194" s="4" t="n">
        <v>0</v>
      </c>
      <c r="K1194" s="4" t="n">
        <v>0</v>
      </c>
      <c r="M1194" s="2" t="str">
        <f aca="false">IF(C1194="","",IFERROR(INDEX($S$5:$S$304,MATCH(C1194,$R$5:$R$304,0))&amp;"","?"))</f>
        <v>20</v>
      </c>
      <c r="N1194" s="2" t="str">
        <f aca="false"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 t="str">
        <f aca="false">IF(OR(F1194="",G1194=""),"",IF(G1194&lt;='RETRATO 2027'!$K$5,"CONCLUÍDA",IF(F1194&lt;='RETRATO 2027'!$K$5,"EM ANDAMENTO","A INICIAR")))</f>
        <v>A INICIAR</v>
      </c>
    </row>
    <row r="1195" customFormat="false" ht="15" hidden="false" customHeight="false" outlineLevel="0" collapsed="false">
      <c r="B1195" s="4" t="n">
        <v>30206118</v>
      </c>
      <c r="C1195" s="4" t="s">
        <v>2422</v>
      </c>
      <c r="D1195" s="4" t="s">
        <v>463</v>
      </c>
      <c r="E1195" s="4" t="s">
        <v>2846</v>
      </c>
      <c r="F1195" s="127" t="n">
        <v>46797</v>
      </c>
      <c r="G1195" s="127" t="n">
        <v>46808</v>
      </c>
      <c r="H1195" s="127" t="n">
        <v>46289</v>
      </c>
      <c r="I1195" s="4" t="n">
        <v>0</v>
      </c>
      <c r="J1195" s="4" t="n">
        <v>0</v>
      </c>
      <c r="K1195" s="4" t="n">
        <v>0</v>
      </c>
      <c r="M1195" s="2" t="str">
        <f aca="false">IF(C1195="","",IFERROR(INDEX($S$5:$S$304,MATCH(C1195,$R$5:$R$304,0))&amp;"","?"))</f>
        <v>29</v>
      </c>
      <c r="N1195" s="2" t="n">
        <f aca="false">IF(E1195="","",IF(ISNUMBER(SEARCH("SUBSOLO",E1195)),IFERROR(-VALUE(LEFT(E1195,FIND("º",SUBSTITUTE(E1195,"°","º"))-1)),-1),IF(LEFT(E1195,6)="TÉRREO",0,IFERROR(VALUE(LEFT(E1195,FIND("º",SUBSTITUTE(E1195,"°","º"))-1)),""))))</f>
        <v>6</v>
      </c>
      <c r="O1195" s="2" t="str">
        <f aca="false">IF(OR(F1195="",G1195=""),"",IF(G1195&lt;='RETRATO 2027'!$K$5,"CONCLUÍDA",IF(F1195&lt;='RETRATO 2027'!$K$5,"EM ANDAMENTO","A INICIAR")))</f>
        <v>A INICIAR</v>
      </c>
    </row>
    <row r="1196" customFormat="false" ht="15" hidden="false" customHeight="false" outlineLevel="0" collapsed="false">
      <c r="B1196" s="4" t="n">
        <v>30206084</v>
      </c>
      <c r="C1196" s="4" t="s">
        <v>2413</v>
      </c>
      <c r="D1196" s="4" t="s">
        <v>463</v>
      </c>
      <c r="E1196" s="4" t="s">
        <v>2847</v>
      </c>
      <c r="F1196" s="127" t="n">
        <v>46797</v>
      </c>
      <c r="G1196" s="127" t="n">
        <v>46808</v>
      </c>
      <c r="H1196" s="127" t="n">
        <v>46289</v>
      </c>
      <c r="I1196" s="4" t="n">
        <v>0</v>
      </c>
      <c r="J1196" s="4" t="n">
        <v>0</v>
      </c>
      <c r="K1196" s="4" t="n">
        <v>0</v>
      </c>
      <c r="M1196" s="2" t="str">
        <f aca="false">IF(C1196="","",IFERROR(INDEX($S$5:$S$304,MATCH(C1196,$R$5:$R$304,0))&amp;"","?"))</f>
        <v>21</v>
      </c>
      <c r="N1196" s="2" t="n">
        <f aca="false">IF(E1196="","",IF(ISNUMBER(SEARCH("SUBSOLO",E1196)),IFERROR(-VALUE(LEFT(E1196,FIND("º",SUBSTITUTE(E1196,"°","º"))-1)),-1),IF(LEFT(E1196,6)="TÉRREO",0,IFERROR(VALUE(LEFT(E1196,FIND("º",SUBSTITUTE(E1196,"°","º"))-1)),""))))</f>
        <v>6</v>
      </c>
      <c r="O1196" s="2" t="str">
        <f aca="false">IF(OR(F1196="",G1196=""),"",IF(G1196&lt;='RETRATO 2027'!$K$5,"CONCLUÍDA",IF(F1196&lt;='RETRATO 2027'!$K$5,"EM ANDAMENTO","A INICIAR")))</f>
        <v>A INICIAR</v>
      </c>
    </row>
    <row r="1197" customFormat="false" ht="15" hidden="false" customHeight="false" outlineLevel="0" collapsed="false">
      <c r="B1197" s="4" t="n">
        <v>30206010</v>
      </c>
      <c r="C1197" s="4" t="s">
        <v>2413</v>
      </c>
      <c r="D1197" s="4" t="s">
        <v>463</v>
      </c>
      <c r="E1197" s="4" t="s">
        <v>2849</v>
      </c>
      <c r="F1197" s="127" t="n">
        <v>46797</v>
      </c>
      <c r="G1197" s="127" t="n">
        <v>46808</v>
      </c>
      <c r="H1197" s="127" t="n">
        <v>46289</v>
      </c>
      <c r="I1197" s="4" t="n">
        <v>0</v>
      </c>
      <c r="J1197" s="4" t="n">
        <v>0</v>
      </c>
      <c r="K1197" s="4" t="n">
        <v>0</v>
      </c>
      <c r="M1197" s="2" t="str">
        <f aca="false">IF(C1197="","",IFERROR(INDEX($S$5:$S$304,MATCH(C1197,$R$5:$R$304,0))&amp;"","?"))</f>
        <v>21</v>
      </c>
      <c r="N1197" s="2" t="n">
        <f aca="false">IF(E1197="","",IF(ISNUMBER(SEARCH("SUBSOLO",E1197)),IFERROR(-VALUE(LEFT(E1197,FIND("º",SUBSTITUTE(E1197,"°","º"))-1)),-1),IF(LEFT(E1197,6)="TÉRREO",0,IFERROR(VALUE(LEFT(E1197,FIND("º",SUBSTITUTE(E1197,"°","º"))-1)),""))))</f>
        <v>6</v>
      </c>
      <c r="O1197" s="2" t="str">
        <f aca="false">IF(OR(F1197="",G1197=""),"",IF(G1197&lt;='RETRATO 2027'!$K$5,"CONCLUÍDA",IF(F1197&lt;='RETRATO 2027'!$K$5,"EM ANDAMENTO","A INICIAR")))</f>
        <v>A INICIAR</v>
      </c>
    </row>
    <row r="1198" customFormat="false" ht="15" hidden="false" customHeight="false" outlineLevel="0" collapsed="false">
      <c r="B1198" s="4" t="n">
        <v>30171513</v>
      </c>
      <c r="C1198" s="4" t="s">
        <v>2587</v>
      </c>
      <c r="D1198" s="4" t="s">
        <v>463</v>
      </c>
      <c r="E1198" s="4" t="s">
        <v>2817</v>
      </c>
      <c r="F1198" s="127" t="n">
        <v>46797</v>
      </c>
      <c r="G1198" s="127" t="n">
        <v>47134</v>
      </c>
      <c r="H1198" s="127" t="n">
        <v>46289</v>
      </c>
      <c r="I1198" s="4" t="n">
        <v>0</v>
      </c>
      <c r="J1198" s="4" t="n">
        <v>0</v>
      </c>
      <c r="K1198" s="4" t="n">
        <v>0</v>
      </c>
      <c r="M1198" s="2" t="str">
        <f aca="false">IF(C1198="","",IFERROR(INDEX($S$5:$S$304,MATCH(C1198,$R$5:$R$304,0))&amp;"","?"))</f>
        <v>26</v>
      </c>
      <c r="N1198" s="2" t="str">
        <f aca="false"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 t="str">
        <f aca="false">IF(OR(F1198="",G1198=""),"",IF(G1198&lt;='RETRATO 2027'!$K$5,"CONCLUÍDA",IF(F1198&lt;='RETRATO 2027'!$K$5,"EM ANDAMENTO","A INICIAR")))</f>
        <v>A INICIAR</v>
      </c>
    </row>
    <row r="1199" customFormat="false" ht="15" hidden="false" customHeight="false" outlineLevel="0" collapsed="false">
      <c r="B1199" s="4" t="n">
        <v>30171515</v>
      </c>
      <c r="C1199" s="4" t="s">
        <v>2590</v>
      </c>
      <c r="D1199" s="4" t="s">
        <v>463</v>
      </c>
      <c r="E1199" s="4" t="s">
        <v>2817</v>
      </c>
      <c r="F1199" s="127" t="n">
        <v>46797</v>
      </c>
      <c r="G1199" s="127" t="n">
        <v>47134</v>
      </c>
      <c r="H1199" s="127" t="n">
        <v>46289</v>
      </c>
      <c r="I1199" s="4" t="n">
        <v>0</v>
      </c>
      <c r="J1199" s="4" t="n">
        <v>0</v>
      </c>
      <c r="K1199" s="4" t="n">
        <v>0</v>
      </c>
      <c r="M1199" s="2" t="str">
        <f aca="false">IF(C1199="","",IFERROR(INDEX($S$5:$S$304,MATCH(C1199,$R$5:$R$304,0))&amp;"","?"))</f>
        <v>27</v>
      </c>
      <c r="N1199" s="2" t="str">
        <f aca="false"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 t="str">
        <f aca="false">IF(OR(F1199="",G1199=""),"",IF(G1199&lt;='RETRATO 2027'!$K$5,"CONCLUÍDA",IF(F1199&lt;='RETRATO 2027'!$K$5,"EM ANDAMENTO","A INICIAR")))</f>
        <v>A INICIAR</v>
      </c>
    </row>
    <row r="1200" customFormat="false" ht="15" hidden="false" customHeight="false" outlineLevel="0" collapsed="false">
      <c r="B1200" s="4" t="n">
        <v>29980630</v>
      </c>
      <c r="C1200" s="4" t="s">
        <v>2410</v>
      </c>
      <c r="D1200" s="4" t="s">
        <v>463</v>
      </c>
      <c r="E1200" s="4" t="s">
        <v>2844</v>
      </c>
      <c r="F1200" s="127" t="n">
        <v>46797</v>
      </c>
      <c r="G1200" s="127" t="n">
        <v>46807</v>
      </c>
      <c r="H1200" s="127" t="n">
        <v>46289</v>
      </c>
      <c r="I1200" s="4" t="n">
        <v>0</v>
      </c>
      <c r="J1200" s="4" t="n">
        <v>0</v>
      </c>
      <c r="K1200" s="4" t="n">
        <v>0</v>
      </c>
      <c r="M1200" s="2" t="str">
        <f aca="false">IF(C1200="","",IFERROR(INDEX($S$5:$S$304,MATCH(C1200,$R$5:$R$304,0))&amp;"","?"))</f>
        <v>22</v>
      </c>
      <c r="N1200" s="2" t="n">
        <f aca="false">IF(E1200="","",IF(ISNUMBER(SEARCH("SUBSOLO",E1200)),IFERROR(-VALUE(LEFT(E1200,FIND("º",SUBSTITUTE(E1200,"°","º"))-1)),-1),IF(LEFT(E1200,6)="TÉRREO",0,IFERROR(VALUE(LEFT(E1200,FIND("º",SUBSTITUTE(E1200,"°","º"))-1)),""))))</f>
        <v>32</v>
      </c>
      <c r="O1200" s="2" t="str">
        <f aca="false">IF(OR(F1200="",G1200=""),"",IF(G1200&lt;='RETRATO 2027'!$K$5,"CONCLUÍDA",IF(F1200&lt;='RETRATO 2027'!$K$5,"EM ANDAMENTO","A INICIAR")))</f>
        <v>A INICIAR</v>
      </c>
    </row>
    <row r="1201" customFormat="false" ht="15" hidden="false" customHeight="false" outlineLevel="0" collapsed="false">
      <c r="B1201" s="4" t="n">
        <v>30210365</v>
      </c>
      <c r="C1201" s="4" t="s">
        <v>2593</v>
      </c>
      <c r="D1201" s="4" t="s">
        <v>463</v>
      </c>
      <c r="E1201" s="4" t="s">
        <v>186</v>
      </c>
      <c r="F1201" s="127" t="n">
        <v>46797</v>
      </c>
      <c r="G1201" s="127" t="n">
        <v>46891</v>
      </c>
      <c r="H1201" s="127" t="n">
        <v>46289</v>
      </c>
      <c r="I1201" s="4" t="n">
        <v>0</v>
      </c>
      <c r="J1201" s="4" t="n">
        <v>0</v>
      </c>
      <c r="K1201" s="4" t="n">
        <v>0</v>
      </c>
      <c r="M1201" s="2" t="str">
        <f aca="false">IF(C1201="","",IFERROR(INDEX($S$5:$S$304,MATCH(C1201,$R$5:$R$304,0))&amp;"","?"))</f>
        <v>24</v>
      </c>
      <c r="N1201" s="2" t="str">
        <f aca="false"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 t="str">
        <f aca="false">IF(OR(F1201="",G1201=""),"",IF(G1201&lt;='RETRATO 2027'!$K$5,"CONCLUÍDA",IF(F1201&lt;='RETRATO 2027'!$K$5,"EM ANDAMENTO","A INICIAR")))</f>
        <v>A INICIAR</v>
      </c>
    </row>
    <row r="1202" customFormat="false" ht="15" hidden="false" customHeight="false" outlineLevel="0" collapsed="false">
      <c r="B1202" s="4" t="n">
        <v>31790050</v>
      </c>
      <c r="C1202" s="4" t="s">
        <v>2596</v>
      </c>
      <c r="D1202" s="4" t="s">
        <v>463</v>
      </c>
      <c r="E1202" s="4" t="s">
        <v>2678</v>
      </c>
      <c r="F1202" s="127" t="n">
        <v>46797</v>
      </c>
      <c r="G1202" s="127" t="n">
        <v>46822</v>
      </c>
      <c r="H1202" s="127" t="n">
        <v>46289</v>
      </c>
      <c r="I1202" s="4" t="n">
        <v>0</v>
      </c>
      <c r="J1202" s="4" t="n">
        <v>0</v>
      </c>
      <c r="K1202" s="4" t="n">
        <v>0</v>
      </c>
      <c r="M1202" s="2" t="str">
        <f aca="false">IF(C1202="","",IFERROR(INDEX($S$5:$S$304,MATCH(C1202,$R$5:$R$304,0))&amp;"","?"))</f>
        <v>32</v>
      </c>
      <c r="N1202" s="2" t="str">
        <f aca="false"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 t="str">
        <f aca="false">IF(OR(F1202="",G1202=""),"",IF(G1202&lt;='RETRATO 2027'!$K$5,"CONCLUÍDA",IF(F1202&lt;='RETRATO 2027'!$K$5,"EM ANDAMENTO","A INICIAR")))</f>
        <v>A INICIAR</v>
      </c>
    </row>
    <row r="1203" customFormat="false" ht="15" hidden="false" customHeight="false" outlineLevel="0" collapsed="false">
      <c r="B1203" s="4" t="n">
        <v>30205698</v>
      </c>
      <c r="C1203" s="4" t="s">
        <v>2545</v>
      </c>
      <c r="D1203" s="4" t="s">
        <v>463</v>
      </c>
      <c r="E1203" s="4" t="s">
        <v>2819</v>
      </c>
      <c r="F1203" s="127" t="n">
        <v>46799</v>
      </c>
      <c r="G1203" s="127" t="n">
        <v>46826</v>
      </c>
      <c r="H1203" s="127" t="n">
        <v>46289</v>
      </c>
      <c r="I1203" s="4" t="n">
        <v>0</v>
      </c>
      <c r="J1203" s="4" t="n">
        <v>0</v>
      </c>
      <c r="K1203" s="4" t="n">
        <v>0</v>
      </c>
      <c r="M1203" s="2" t="str">
        <f aca="false">IF(C1203="","",IFERROR(INDEX($S$5:$S$304,MATCH(C1203,$R$5:$R$304,0))&amp;"","?"))</f>
        <v>25</v>
      </c>
      <c r="N1203" s="2" t="n">
        <f aca="false">IF(E1203="","",IF(ISNUMBER(SEARCH("SUBSOLO",E1203)),IFERROR(-VALUE(LEFT(E1203,FIND("º",SUBSTITUTE(E1203,"°","º"))-1)),-1),IF(LEFT(E1203,6)="TÉRREO",0,IFERROR(VALUE(LEFT(E1203,FIND("º",SUBSTITUTE(E1203,"°","º"))-1)),""))))</f>
        <v>0</v>
      </c>
      <c r="O1203" s="2" t="str">
        <f aca="false">IF(OR(F1203="",G1203=""),"",IF(G1203&lt;='RETRATO 2027'!$K$5,"CONCLUÍDA",IF(F1203&lt;='RETRATO 2027'!$K$5,"EM ANDAMENTO","A INICIAR")))</f>
        <v>A INICIAR</v>
      </c>
    </row>
    <row r="1204" customFormat="false" ht="15" hidden="false" customHeight="false" outlineLevel="0" collapsed="false">
      <c r="B1204" s="4" t="n">
        <v>30205671</v>
      </c>
      <c r="C1204" s="4" t="s">
        <v>2545</v>
      </c>
      <c r="D1204" s="4" t="s">
        <v>463</v>
      </c>
      <c r="E1204" s="4" t="s">
        <v>2821</v>
      </c>
      <c r="F1204" s="127" t="n">
        <v>46799</v>
      </c>
      <c r="G1204" s="127" t="n">
        <v>46826</v>
      </c>
      <c r="H1204" s="127" t="n">
        <v>46289</v>
      </c>
      <c r="I1204" s="4" t="n">
        <v>0</v>
      </c>
      <c r="J1204" s="4" t="n">
        <v>0</v>
      </c>
      <c r="K1204" s="4" t="n">
        <v>0</v>
      </c>
      <c r="M1204" s="2" t="str">
        <f aca="false">IF(C1204="","",IFERROR(INDEX($S$5:$S$304,MATCH(C1204,$R$5:$R$304,0))&amp;"","?"))</f>
        <v>25</v>
      </c>
      <c r="N1204" s="2" t="n">
        <f aca="false">IF(E1204="","",IF(ISNUMBER(SEARCH("SUBSOLO",E1204)),IFERROR(-VALUE(LEFT(E1204,FIND("º",SUBSTITUTE(E1204,"°","º"))-1)),-1),IF(LEFT(E1204,6)="TÉRREO",0,IFERROR(VALUE(LEFT(E1204,FIND("º",SUBSTITUTE(E1204,"°","º"))-1)),""))))</f>
        <v>0</v>
      </c>
      <c r="O1204" s="2" t="str">
        <f aca="false">IF(OR(F1204="",G1204=""),"",IF(G1204&lt;='RETRATO 2027'!$K$5,"CONCLUÍDA",IF(F1204&lt;='RETRATO 2027'!$K$5,"EM ANDAMENTO","A INICIAR")))</f>
        <v>A INICIAR</v>
      </c>
    </row>
    <row r="1205" customFormat="false" ht="15" hidden="false" customHeight="false" outlineLevel="0" collapsed="false">
      <c r="B1205" s="4" t="n">
        <v>30205644</v>
      </c>
      <c r="C1205" s="4" t="s">
        <v>2545</v>
      </c>
      <c r="D1205" s="4" t="s">
        <v>463</v>
      </c>
      <c r="E1205" s="4" t="s">
        <v>2824</v>
      </c>
      <c r="F1205" s="127" t="n">
        <v>46799</v>
      </c>
      <c r="G1205" s="127" t="n">
        <v>46826</v>
      </c>
      <c r="H1205" s="127" t="n">
        <v>46289</v>
      </c>
      <c r="I1205" s="4" t="n">
        <v>0</v>
      </c>
      <c r="J1205" s="4" t="n">
        <v>0</v>
      </c>
      <c r="K1205" s="4" t="n">
        <v>0</v>
      </c>
      <c r="M1205" s="2" t="str">
        <f aca="false">IF(C1205="","",IFERROR(INDEX($S$5:$S$304,MATCH(C1205,$R$5:$R$304,0))&amp;"","?"))</f>
        <v>25</v>
      </c>
      <c r="N1205" s="2" t="n">
        <f aca="false">IF(E1205="","",IF(ISNUMBER(SEARCH("SUBSOLO",E1205)),IFERROR(-VALUE(LEFT(E1205,FIND("º",SUBSTITUTE(E1205,"°","º"))-1)),-1),IF(LEFT(E1205,6)="TÉRREO",0,IFERROR(VALUE(LEFT(E1205,FIND("º",SUBSTITUTE(E1205,"°","º"))-1)),""))))</f>
        <v>0</v>
      </c>
      <c r="O1205" s="2" t="str">
        <f aca="false">IF(OR(F1205="",G1205=""),"",IF(G1205&lt;='RETRATO 2027'!$K$5,"CONCLUÍDA",IF(F1205&lt;='RETRATO 2027'!$K$5,"EM ANDAMENTO","A INICIAR")))</f>
        <v>A INICIAR</v>
      </c>
    </row>
    <row r="1206" customFormat="false" ht="15" hidden="false" customHeight="false" outlineLevel="0" collapsed="false">
      <c r="B1206" s="4" t="n">
        <v>30205617</v>
      </c>
      <c r="C1206" s="4" t="s">
        <v>2545</v>
      </c>
      <c r="D1206" s="4" t="s">
        <v>463</v>
      </c>
      <c r="E1206" s="4" t="s">
        <v>2826</v>
      </c>
      <c r="F1206" s="127" t="n">
        <v>46799</v>
      </c>
      <c r="G1206" s="127" t="n">
        <v>46826</v>
      </c>
      <c r="H1206" s="127" t="n">
        <v>46289</v>
      </c>
      <c r="I1206" s="4" t="n">
        <v>0</v>
      </c>
      <c r="J1206" s="4" t="n">
        <v>0</v>
      </c>
      <c r="K1206" s="4" t="n">
        <v>0</v>
      </c>
      <c r="M1206" s="2" t="str">
        <f aca="false">IF(C1206="","",IFERROR(INDEX($S$5:$S$304,MATCH(C1206,$R$5:$R$304,0))&amp;"","?"))</f>
        <v>25</v>
      </c>
      <c r="N1206" s="2" t="n">
        <f aca="false">IF(E1206="","",IF(ISNUMBER(SEARCH("SUBSOLO",E1206)),IFERROR(-VALUE(LEFT(E1206,FIND("º",SUBSTITUTE(E1206,"°","º"))-1)),-1),IF(LEFT(E1206,6)="TÉRREO",0,IFERROR(VALUE(LEFT(E1206,FIND("º",SUBSTITUTE(E1206,"°","º"))-1)),""))))</f>
        <v>0</v>
      </c>
      <c r="O1206" s="2" t="str">
        <f aca="false">IF(OR(F1206="",G1206=""),"",IF(G1206&lt;='RETRATO 2027'!$K$5,"CONCLUÍDA",IF(F1206&lt;='RETRATO 2027'!$K$5,"EM ANDAMENTO","A INICIAR")))</f>
        <v>A INICIAR</v>
      </c>
    </row>
    <row r="1207" customFormat="false" ht="15" hidden="false" customHeight="false" outlineLevel="0" collapsed="false">
      <c r="B1207" s="4" t="n">
        <v>30205590</v>
      </c>
      <c r="C1207" s="4" t="s">
        <v>2545</v>
      </c>
      <c r="D1207" s="4" t="s">
        <v>463</v>
      </c>
      <c r="E1207" s="4" t="s">
        <v>2828</v>
      </c>
      <c r="F1207" s="127" t="n">
        <v>46799</v>
      </c>
      <c r="G1207" s="127" t="n">
        <v>46826</v>
      </c>
      <c r="H1207" s="127" t="n">
        <v>46289</v>
      </c>
      <c r="I1207" s="4" t="n">
        <v>0</v>
      </c>
      <c r="J1207" s="4" t="n">
        <v>0</v>
      </c>
      <c r="K1207" s="4" t="n">
        <v>0</v>
      </c>
      <c r="M1207" s="2" t="str">
        <f aca="false">IF(C1207="","",IFERROR(INDEX($S$5:$S$304,MATCH(C1207,$R$5:$R$304,0))&amp;"","?"))</f>
        <v>25</v>
      </c>
      <c r="N1207" s="2" t="n">
        <f aca="false">IF(E1207="","",IF(ISNUMBER(SEARCH("SUBSOLO",E1207)),IFERROR(-VALUE(LEFT(E1207,FIND("º",SUBSTITUTE(E1207,"°","º"))-1)),-1),IF(LEFT(E1207,6)="TÉRREO",0,IFERROR(VALUE(LEFT(E1207,FIND("º",SUBSTITUTE(E1207,"°","º"))-1)),""))))</f>
        <v>0</v>
      </c>
      <c r="O1207" s="2" t="str">
        <f aca="false">IF(OR(F1207="",G1207=""),"",IF(G1207&lt;='RETRATO 2027'!$K$5,"CONCLUÍDA",IF(F1207&lt;='RETRATO 2027'!$K$5,"EM ANDAMENTO","A INICIAR")))</f>
        <v>A INICIAR</v>
      </c>
    </row>
    <row r="1208" customFormat="false" ht="15" hidden="false" customHeight="false" outlineLevel="0" collapsed="false">
      <c r="B1208" s="4" t="n">
        <v>29981530</v>
      </c>
      <c r="C1208" s="4" t="s">
        <v>2599</v>
      </c>
      <c r="D1208" s="4" t="s">
        <v>463</v>
      </c>
      <c r="E1208" s="4" t="s">
        <v>2803</v>
      </c>
      <c r="F1208" s="127" t="n">
        <v>46800</v>
      </c>
      <c r="G1208" s="127" t="n">
        <v>46812</v>
      </c>
      <c r="H1208" s="127" t="n">
        <v>46289</v>
      </c>
      <c r="I1208" s="4" t="n">
        <v>0</v>
      </c>
      <c r="J1208" s="4" t="n">
        <v>0</v>
      </c>
      <c r="K1208" s="4" t="n">
        <v>0</v>
      </c>
      <c r="M1208" s="2" t="str">
        <f aca="false">IF(C1208="","",IFERROR(INDEX($S$5:$S$304,MATCH(C1208,$R$5:$R$304,0))&amp;"","?"))</f>
        <v>30</v>
      </c>
      <c r="N1208" s="2" t="n">
        <f aca="false">IF(E1208="","",IF(ISNUMBER(SEARCH("SUBSOLO",E1208)),IFERROR(-VALUE(LEFT(E1208,FIND("º",SUBSTITUTE(E1208,"°","º"))-1)),-1),IF(LEFT(E1208,6)="TÉRREO",0,IFERROR(VALUE(LEFT(E1208,FIND("º",SUBSTITUTE(E1208,"°","º"))-1)),""))))</f>
        <v>7</v>
      </c>
      <c r="O1208" s="2" t="str">
        <f aca="false">IF(OR(F1208="",G1208=""),"",IF(G1208&lt;='RETRATO 2027'!$K$5,"CONCLUÍDA",IF(F1208&lt;='RETRATO 2027'!$K$5,"EM ANDAMENTO","A INICIAR")))</f>
        <v>A INICIAR</v>
      </c>
    </row>
    <row r="1209" customFormat="false" ht="15" hidden="false" customHeight="false" outlineLevel="0" collapsed="false">
      <c r="B1209" s="4" t="n">
        <v>29981492</v>
      </c>
      <c r="C1209" s="4" t="s">
        <v>2578</v>
      </c>
      <c r="D1209" s="4" t="s">
        <v>463</v>
      </c>
      <c r="E1209" s="4" t="s">
        <v>2804</v>
      </c>
      <c r="F1209" s="127" t="n">
        <v>46800</v>
      </c>
      <c r="G1209" s="127" t="n">
        <v>46812</v>
      </c>
      <c r="H1209" s="127" t="n">
        <v>46289</v>
      </c>
      <c r="I1209" s="4" t="n">
        <v>0</v>
      </c>
      <c r="J1209" s="4" t="n">
        <v>0</v>
      </c>
      <c r="K1209" s="4" t="n">
        <v>0</v>
      </c>
      <c r="M1209" s="2" t="str">
        <f aca="false">IF(C1209="","",IFERROR(INDEX($S$5:$S$304,MATCH(C1209,$R$5:$R$304,0))&amp;"","?"))</f>
        <v>25</v>
      </c>
      <c r="N1209" s="2" t="n">
        <f aca="false">IF(E1209="","",IF(ISNUMBER(SEARCH("SUBSOLO",E1209)),IFERROR(-VALUE(LEFT(E1209,FIND("º",SUBSTITUTE(E1209,"°","º"))-1)),-1),IF(LEFT(E1209,6)="TÉRREO",0,IFERROR(VALUE(LEFT(E1209,FIND("º",SUBSTITUTE(E1209,"°","º"))-1)),""))))</f>
        <v>8</v>
      </c>
      <c r="O1209" s="2" t="str">
        <f aca="false">IF(OR(F1209="",G1209=""),"",IF(G1209&lt;='RETRATO 2027'!$K$5,"CONCLUÍDA",IF(F1209&lt;='RETRATO 2027'!$K$5,"EM ANDAMENTO","A INICIAR")))</f>
        <v>A INICIAR</v>
      </c>
    </row>
    <row r="1210" customFormat="false" ht="15" hidden="false" customHeight="false" outlineLevel="0" collapsed="false">
      <c r="B1210" s="4" t="n">
        <v>29981454</v>
      </c>
      <c r="C1210" s="4" t="s">
        <v>2569</v>
      </c>
      <c r="D1210" s="4" t="s">
        <v>463</v>
      </c>
      <c r="E1210" s="4" t="s">
        <v>2805</v>
      </c>
      <c r="F1210" s="127" t="n">
        <v>46800</v>
      </c>
      <c r="G1210" s="127" t="n">
        <v>46812</v>
      </c>
      <c r="H1210" s="127" t="n">
        <v>46289</v>
      </c>
      <c r="I1210" s="4" t="n">
        <v>0</v>
      </c>
      <c r="J1210" s="4" t="n">
        <v>0</v>
      </c>
      <c r="K1210" s="4" t="n">
        <v>0</v>
      </c>
      <c r="M1210" s="2" t="str">
        <f aca="false">IF(C1210="","",IFERROR(INDEX($S$5:$S$304,MATCH(C1210,$R$5:$R$304,0))&amp;"","?"))</f>
        <v>30</v>
      </c>
      <c r="N1210" s="2" t="n">
        <f aca="false">IF(E1210="","",IF(ISNUMBER(SEARCH("SUBSOLO",E1210)),IFERROR(-VALUE(LEFT(E1210,FIND("º",SUBSTITUTE(E1210,"°","º"))-1)),-1),IF(LEFT(E1210,6)="TÉRREO",0,IFERROR(VALUE(LEFT(E1210,FIND("º",SUBSTITUTE(E1210,"°","º"))-1)),""))))</f>
        <v>9</v>
      </c>
      <c r="O1210" s="2" t="str">
        <f aca="false">IF(OR(F1210="",G1210=""),"",IF(G1210&lt;='RETRATO 2027'!$K$5,"CONCLUÍDA",IF(F1210&lt;='RETRATO 2027'!$K$5,"EM ANDAMENTO","A INICIAR")))</f>
        <v>A INICIAR</v>
      </c>
    </row>
    <row r="1211" customFormat="false" ht="15" hidden="false" customHeight="false" outlineLevel="0" collapsed="false">
      <c r="B1211" s="4" t="n">
        <v>29981416</v>
      </c>
      <c r="C1211" s="4" t="s">
        <v>2554</v>
      </c>
      <c r="D1211" s="4" t="s">
        <v>463</v>
      </c>
      <c r="E1211" s="4" t="s">
        <v>2809</v>
      </c>
      <c r="F1211" s="127" t="n">
        <v>46800</v>
      </c>
      <c r="G1211" s="127" t="n">
        <v>46812</v>
      </c>
      <c r="H1211" s="127" t="n">
        <v>46289</v>
      </c>
      <c r="I1211" s="4" t="n">
        <v>0</v>
      </c>
      <c r="J1211" s="4" t="n">
        <v>0</v>
      </c>
      <c r="K1211" s="4" t="n">
        <v>0</v>
      </c>
      <c r="M1211" s="2" t="str">
        <f aca="false">IF(C1211="","",IFERROR(INDEX($S$5:$S$304,MATCH(C1211,$R$5:$R$304,0))&amp;"","?"))</f>
        <v>35</v>
      </c>
      <c r="N1211" s="2" t="n">
        <f aca="false">IF(E1211="","",IF(ISNUMBER(SEARCH("SUBSOLO",E1211)),IFERROR(-VALUE(LEFT(E1211,FIND("º",SUBSTITUTE(E1211,"°","º"))-1)),-1),IF(LEFT(E1211,6)="TÉRREO",0,IFERROR(VALUE(LEFT(E1211,FIND("º",SUBSTITUTE(E1211,"°","º"))-1)),""))))</f>
        <v>10</v>
      </c>
      <c r="O1211" s="2" t="str">
        <f aca="false">IF(OR(F1211="",G1211=""),"",IF(G1211&lt;='RETRATO 2027'!$K$5,"CONCLUÍDA",IF(F1211&lt;='RETRATO 2027'!$K$5,"EM ANDAMENTO","A INICIAR")))</f>
        <v>A INICIAR</v>
      </c>
    </row>
    <row r="1212" customFormat="false" ht="15" hidden="false" customHeight="false" outlineLevel="0" collapsed="false">
      <c r="B1212" s="4" t="n">
        <v>29981405</v>
      </c>
      <c r="C1212" s="4" t="s">
        <v>2539</v>
      </c>
      <c r="D1212" s="4" t="s">
        <v>463</v>
      </c>
      <c r="E1212" s="4" t="s">
        <v>2810</v>
      </c>
      <c r="F1212" s="127" t="n">
        <v>46800</v>
      </c>
      <c r="G1212" s="127" t="n">
        <v>46812</v>
      </c>
      <c r="H1212" s="127" t="n">
        <v>46289</v>
      </c>
      <c r="I1212" s="4" t="n">
        <v>0</v>
      </c>
      <c r="J1212" s="4" t="n">
        <v>0</v>
      </c>
      <c r="K1212" s="4" t="n">
        <v>0</v>
      </c>
      <c r="M1212" s="2" t="str">
        <f aca="false">IF(C1212="","",IFERROR(INDEX($S$5:$S$304,MATCH(C1212,$R$5:$R$304,0))&amp;"","?"))</f>
        <v>35</v>
      </c>
      <c r="N1212" s="2" t="n">
        <f aca="false">IF(E1212="","",IF(ISNUMBER(SEARCH("SUBSOLO",E1212)),IFERROR(-VALUE(LEFT(E1212,FIND("º",SUBSTITUTE(E1212,"°","º"))-1)),-1),IF(LEFT(E1212,6)="TÉRREO",0,IFERROR(VALUE(LEFT(E1212,FIND("º",SUBSTITUTE(E1212,"°","º"))-1)),""))))</f>
        <v>11</v>
      </c>
      <c r="O1212" s="2" t="str">
        <f aca="false">IF(OR(F1212="",G1212=""),"",IF(G1212&lt;='RETRATO 2027'!$K$5,"CONCLUÍDA",IF(F1212&lt;='RETRATO 2027'!$K$5,"EM ANDAMENTO","A INICIAR")))</f>
        <v>A INICIAR</v>
      </c>
    </row>
    <row r="1213" customFormat="false" ht="15" hidden="false" customHeight="false" outlineLevel="0" collapsed="false">
      <c r="B1213" s="4" t="n">
        <v>33898093</v>
      </c>
      <c r="C1213" s="4" t="s">
        <v>2545</v>
      </c>
      <c r="D1213" s="4" t="s">
        <v>463</v>
      </c>
      <c r="E1213" s="4" t="s">
        <v>2811</v>
      </c>
      <c r="F1213" s="127" t="n">
        <v>46800</v>
      </c>
      <c r="G1213" s="127" t="n">
        <v>46812</v>
      </c>
      <c r="H1213" s="127" t="n">
        <v>46289</v>
      </c>
      <c r="I1213" s="4" t="n">
        <v>0</v>
      </c>
      <c r="J1213" s="4" t="n">
        <v>0</v>
      </c>
      <c r="K1213" s="4" t="n">
        <v>0</v>
      </c>
      <c r="M1213" s="2" t="str">
        <f aca="false">IF(C1213="","",IFERROR(INDEX($S$5:$S$304,MATCH(C1213,$R$5:$R$304,0))&amp;"","?"))</f>
        <v>25</v>
      </c>
      <c r="N1213" s="2" t="n">
        <f aca="false">IF(E1213="","",IF(ISNUMBER(SEARCH("SUBSOLO",E1213)),IFERROR(-VALUE(LEFT(E1213,FIND("º",SUBSTITUTE(E1213,"°","º"))-1)),-1),IF(LEFT(E1213,6)="TÉRREO",0,IFERROR(VALUE(LEFT(E1213,FIND("º",SUBSTITUTE(E1213,"°","º"))-1)),""))))</f>
        <v>12</v>
      </c>
      <c r="O1213" s="2" t="str">
        <f aca="false">IF(OR(F1213="",G1213=""),"",IF(G1213&lt;='RETRATO 2027'!$K$5,"CONCLUÍDA",IF(F1213&lt;='RETRATO 2027'!$K$5,"EM ANDAMENTO","A INICIAR")))</f>
        <v>A INICIAR</v>
      </c>
    </row>
    <row r="1214" customFormat="false" ht="15" hidden="false" customHeight="false" outlineLevel="0" collapsed="false">
      <c r="B1214" s="4" t="n">
        <v>30205796</v>
      </c>
      <c r="C1214" s="4" t="s">
        <v>2486</v>
      </c>
      <c r="D1214" s="4" t="s">
        <v>463</v>
      </c>
      <c r="E1214" s="4" t="s">
        <v>2835</v>
      </c>
      <c r="F1214" s="127" t="n">
        <v>46801</v>
      </c>
      <c r="G1214" s="127" t="n">
        <v>46821</v>
      </c>
      <c r="H1214" s="127" t="n">
        <v>46289</v>
      </c>
      <c r="I1214" s="4" t="n">
        <v>0</v>
      </c>
      <c r="J1214" s="4" t="n">
        <v>0</v>
      </c>
      <c r="K1214" s="4" t="n">
        <v>0</v>
      </c>
      <c r="M1214" s="2" t="str">
        <f aca="false">IF(C1214="","",IFERROR(INDEX($S$5:$S$304,MATCH(C1214,$R$5:$R$304,0))&amp;"","?"))</f>
        <v>30</v>
      </c>
      <c r="N1214" s="2" t="n">
        <f aca="false">IF(E1214="","",IF(ISNUMBER(SEARCH("SUBSOLO",E1214)),IFERROR(-VALUE(LEFT(E1214,FIND("º",SUBSTITUTE(E1214,"°","º"))-1)),-1),IF(LEFT(E1214,6)="TÉRREO",0,IFERROR(VALUE(LEFT(E1214,FIND("º",SUBSTITUTE(E1214,"°","º"))-1)),""))))</f>
        <v>0</v>
      </c>
      <c r="O1214" s="2" t="str">
        <f aca="false">IF(OR(F1214="",G1214=""),"",IF(G1214&lt;='RETRATO 2027'!$K$5,"CONCLUÍDA",IF(F1214&lt;='RETRATO 2027'!$K$5,"EM ANDAMENTO","A INICIAR")))</f>
        <v>A INICIAR</v>
      </c>
    </row>
    <row r="1215" customFormat="false" ht="15" hidden="false" customHeight="false" outlineLevel="0" collapsed="false">
      <c r="B1215" s="4" t="n">
        <v>30205851</v>
      </c>
      <c r="C1215" s="4" t="s">
        <v>2492</v>
      </c>
      <c r="D1215" s="4" t="s">
        <v>463</v>
      </c>
      <c r="E1215" s="4" t="s">
        <v>2782</v>
      </c>
      <c r="F1215" s="127" t="n">
        <v>46801</v>
      </c>
      <c r="G1215" s="127" t="n">
        <v>46814</v>
      </c>
      <c r="H1215" s="127" t="n">
        <v>46289</v>
      </c>
      <c r="I1215" s="4" t="n">
        <v>0</v>
      </c>
      <c r="J1215" s="4" t="n">
        <v>0</v>
      </c>
      <c r="K1215" s="4" t="n">
        <v>0</v>
      </c>
      <c r="M1215" s="2" t="str">
        <f aca="false">IF(C1215="","",IFERROR(INDEX($S$5:$S$304,MATCH(C1215,$R$5:$R$304,0))&amp;"","?"))</f>
        <v>18</v>
      </c>
      <c r="N1215" s="2" t="n">
        <f aca="false">IF(E1215="","",IF(ISNUMBER(SEARCH("SUBSOLO",E1215)),IFERROR(-VALUE(LEFT(E1215,FIND("º",SUBSTITUTE(E1215,"°","º"))-1)),-1),IF(LEFT(E1215,6)="TÉRREO",0,IFERROR(VALUE(LEFT(E1215,FIND("º",SUBSTITUTE(E1215,"°","º"))-1)),""))))</f>
        <v>1</v>
      </c>
      <c r="O1215" s="2" t="str">
        <f aca="false">IF(OR(F1215="",G1215=""),"",IF(G1215&lt;='RETRATO 2027'!$K$5,"CONCLUÍDA",IF(F1215&lt;='RETRATO 2027'!$K$5,"EM ANDAMENTO","A INICIAR")))</f>
        <v>A INICIAR</v>
      </c>
    </row>
    <row r="1216" customFormat="false" ht="15" hidden="false" customHeight="false" outlineLevel="0" collapsed="false">
      <c r="B1216" s="4" t="n">
        <v>29981218</v>
      </c>
      <c r="C1216" s="4" t="s">
        <v>216</v>
      </c>
      <c r="D1216" s="4" t="s">
        <v>463</v>
      </c>
      <c r="E1216" s="4" t="s">
        <v>2815</v>
      </c>
      <c r="F1216" s="127" t="n">
        <v>46801</v>
      </c>
      <c r="G1216" s="127" t="n">
        <v>46813</v>
      </c>
      <c r="H1216" s="127" t="n">
        <v>46289</v>
      </c>
      <c r="I1216" s="4" t="n">
        <v>0</v>
      </c>
      <c r="J1216" s="4" t="n">
        <v>0</v>
      </c>
      <c r="K1216" s="4" t="n">
        <v>0</v>
      </c>
      <c r="M1216" s="2" t="str">
        <f aca="false">IF(C1216="","",IFERROR(INDEX($S$5:$S$304,MATCH(C1216,$R$5:$R$304,0))&amp;"","?"))</f>
        <v>33</v>
      </c>
      <c r="N1216" s="2" t="n">
        <f aca="false">IF(E1216="","",IF(ISNUMBER(SEARCH("SUBSOLO",E1216)),IFERROR(-VALUE(LEFT(E1216,FIND("º",SUBSTITUTE(E1216,"°","º"))-1)),-1),IF(LEFT(E1216,6)="TÉRREO",0,IFERROR(VALUE(LEFT(E1216,FIND("º",SUBSTITUTE(E1216,"°","º"))-1)),""))))</f>
        <v>16</v>
      </c>
      <c r="O1216" s="2" t="str">
        <f aca="false">IF(OR(F1216="",G1216=""),"",IF(G1216&lt;='RETRATO 2027'!$K$5,"CONCLUÍDA",IF(F1216&lt;='RETRATO 2027'!$K$5,"EM ANDAMENTO","A INICIAR")))</f>
        <v>A INICIAR</v>
      </c>
    </row>
    <row r="1217" customFormat="false" ht="15" hidden="false" customHeight="false" outlineLevel="0" collapsed="false">
      <c r="B1217" s="4" t="n">
        <v>29981179</v>
      </c>
      <c r="C1217" s="4" t="s">
        <v>2508</v>
      </c>
      <c r="D1217" s="4" t="s">
        <v>463</v>
      </c>
      <c r="E1217" s="4" t="s">
        <v>2818</v>
      </c>
      <c r="F1217" s="127" t="n">
        <v>46801</v>
      </c>
      <c r="G1217" s="127" t="n">
        <v>46813</v>
      </c>
      <c r="H1217" s="127" t="n">
        <v>46289</v>
      </c>
      <c r="I1217" s="4" t="n">
        <v>0</v>
      </c>
      <c r="J1217" s="4" t="n">
        <v>0</v>
      </c>
      <c r="K1217" s="4" t="n">
        <v>0</v>
      </c>
      <c r="M1217" s="2" t="str">
        <f aca="false">IF(C1217="","",IFERROR(INDEX($S$5:$S$304,MATCH(C1217,$R$5:$R$304,0))&amp;"","?"))</f>
        <v>20</v>
      </c>
      <c r="N1217" s="2" t="n">
        <f aca="false">IF(E1217="","",IF(ISNUMBER(SEARCH("SUBSOLO",E1217)),IFERROR(-VALUE(LEFT(E1217,FIND("º",SUBSTITUTE(E1217,"°","º"))-1)),-1),IF(LEFT(E1217,6)="TÉRREO",0,IFERROR(VALUE(LEFT(E1217,FIND("º",SUBSTITUTE(E1217,"°","º"))-1)),""))))</f>
        <v>17</v>
      </c>
      <c r="O1217" s="2" t="str">
        <f aca="false">IF(OR(F1217="",G1217=""),"",IF(G1217&lt;='RETRATO 2027'!$K$5,"CONCLUÍDA",IF(F1217&lt;='RETRATO 2027'!$K$5,"EM ANDAMENTO","A INICIAR")))</f>
        <v>A INICIAR</v>
      </c>
    </row>
    <row r="1218" customFormat="false" ht="15" hidden="false" customHeight="false" outlineLevel="0" collapsed="false">
      <c r="B1218" s="4" t="n">
        <v>29981184</v>
      </c>
      <c r="C1218" s="4" t="s">
        <v>2511</v>
      </c>
      <c r="D1218" s="4" t="s">
        <v>463</v>
      </c>
      <c r="E1218" s="4" t="s">
        <v>2818</v>
      </c>
      <c r="F1218" s="127" t="n">
        <v>46801</v>
      </c>
      <c r="G1218" s="127" t="n">
        <v>46813</v>
      </c>
      <c r="H1218" s="127" t="n">
        <v>46289</v>
      </c>
      <c r="I1218" s="4" t="n">
        <v>0</v>
      </c>
      <c r="J1218" s="4" t="n">
        <v>0</v>
      </c>
      <c r="K1218" s="4" t="n">
        <v>0</v>
      </c>
      <c r="M1218" s="2" t="str">
        <f aca="false">IF(C1218="","",IFERROR(INDEX($S$5:$S$304,MATCH(C1218,$R$5:$R$304,0))&amp;"","?"))</f>
        <v>20</v>
      </c>
      <c r="N1218" s="2" t="n">
        <f aca="false">IF(E1218="","",IF(ISNUMBER(SEARCH("SUBSOLO",E1218)),IFERROR(-VALUE(LEFT(E1218,FIND("º",SUBSTITUTE(E1218,"°","º"))-1)),-1),IF(LEFT(E1218,6)="TÉRREO",0,IFERROR(VALUE(LEFT(E1218,FIND("º",SUBSTITUTE(E1218,"°","º"))-1)),""))))</f>
        <v>17</v>
      </c>
      <c r="O1218" s="2" t="str">
        <f aca="false">IF(OR(F1218="",G1218=""),"",IF(G1218&lt;='RETRATO 2027'!$K$5,"CONCLUÍDA",IF(F1218&lt;='RETRATO 2027'!$K$5,"EM ANDAMENTO","A INICIAR")))</f>
        <v>A INICIAR</v>
      </c>
    </row>
    <row r="1219" customFormat="false" ht="15" hidden="false" customHeight="false" outlineLevel="0" collapsed="false">
      <c r="B1219" s="4" t="n">
        <v>30214079</v>
      </c>
      <c r="C1219" s="4" t="s">
        <v>2514</v>
      </c>
      <c r="D1219" s="4" t="s">
        <v>463</v>
      </c>
      <c r="E1219" s="4" t="s">
        <v>2818</v>
      </c>
      <c r="F1219" s="127" t="n">
        <v>46801</v>
      </c>
      <c r="G1219" s="127" t="n">
        <v>46814</v>
      </c>
      <c r="H1219" s="127" t="n">
        <v>46289</v>
      </c>
      <c r="I1219" s="4" t="n">
        <v>0</v>
      </c>
      <c r="J1219" s="4" t="n">
        <v>0</v>
      </c>
      <c r="K1219" s="4" t="n">
        <v>0</v>
      </c>
      <c r="M1219" s="2" t="str">
        <f aca="false">IF(C1219="","",IFERROR(INDEX($S$5:$S$304,MATCH(C1219,$R$5:$R$304,0))&amp;"","?"))</f>
        <v>20</v>
      </c>
      <c r="N1219" s="2" t="n">
        <f aca="false">IF(E1219="","",IF(ISNUMBER(SEARCH("SUBSOLO",E1219)),IFERROR(-VALUE(LEFT(E1219,FIND("º",SUBSTITUTE(E1219,"°","º"))-1)),-1),IF(LEFT(E1219,6)="TÉRREO",0,IFERROR(VALUE(LEFT(E1219,FIND("º",SUBSTITUTE(E1219,"°","º"))-1)),""))))</f>
        <v>17</v>
      </c>
      <c r="O1219" s="2" t="str">
        <f aca="false">IF(OR(F1219="",G1219=""),"",IF(G1219&lt;='RETRATO 2027'!$K$5,"CONCLUÍDA",IF(F1219&lt;='RETRATO 2027'!$K$5,"EM ANDAMENTO","A INICIAR")))</f>
        <v>A INICIAR</v>
      </c>
    </row>
    <row r="1220" customFormat="false" ht="15" hidden="false" customHeight="false" outlineLevel="0" collapsed="false">
      <c r="B1220" s="4" t="n">
        <v>29981126</v>
      </c>
      <c r="C1220" s="4" t="s">
        <v>2501</v>
      </c>
      <c r="D1220" s="4" t="s">
        <v>463</v>
      </c>
      <c r="E1220" s="4" t="s">
        <v>2820</v>
      </c>
      <c r="F1220" s="127" t="n">
        <v>46801</v>
      </c>
      <c r="G1220" s="127" t="n">
        <v>46813</v>
      </c>
      <c r="H1220" s="127" t="n">
        <v>46289</v>
      </c>
      <c r="I1220" s="4" t="n">
        <v>0</v>
      </c>
      <c r="J1220" s="4" t="n">
        <v>0</v>
      </c>
      <c r="K1220" s="4" t="n">
        <v>0</v>
      </c>
      <c r="M1220" s="2" t="str">
        <f aca="false">IF(C1220="","",IFERROR(INDEX($S$5:$S$304,MATCH(C1220,$R$5:$R$304,0))&amp;"","?"))</f>
        <v>30</v>
      </c>
      <c r="N1220" s="2" t="n">
        <f aca="false">IF(E1220="","",IF(ISNUMBER(SEARCH("SUBSOLO",E1220)),IFERROR(-VALUE(LEFT(E1220,FIND("º",SUBSTITUTE(E1220,"°","º"))-1)),-1),IF(LEFT(E1220,6)="TÉRREO",0,IFERROR(VALUE(LEFT(E1220,FIND("º",SUBSTITUTE(E1220,"°","º"))-1)),""))))</f>
        <v>18</v>
      </c>
      <c r="O1220" s="2" t="str">
        <f aca="false">IF(OR(F1220="",G1220=""),"",IF(G1220&lt;='RETRATO 2027'!$K$5,"CONCLUÍDA",IF(F1220&lt;='RETRATO 2027'!$K$5,"EM ANDAMENTO","A INICIAR")))</f>
        <v>A INICIAR</v>
      </c>
    </row>
    <row r="1221" customFormat="false" ht="15" hidden="false" customHeight="false" outlineLevel="0" collapsed="false">
      <c r="B1221" s="4" t="n">
        <v>29981051</v>
      </c>
      <c r="C1221" s="4" t="s">
        <v>2486</v>
      </c>
      <c r="D1221" s="4" t="s">
        <v>463</v>
      </c>
      <c r="E1221" s="4" t="s">
        <v>2823</v>
      </c>
      <c r="F1221" s="127" t="n">
        <v>46801</v>
      </c>
      <c r="G1221" s="127" t="n">
        <v>46813</v>
      </c>
      <c r="H1221" s="127" t="n">
        <v>46289</v>
      </c>
      <c r="I1221" s="4" t="n">
        <v>0</v>
      </c>
      <c r="J1221" s="4" t="n">
        <v>0</v>
      </c>
      <c r="K1221" s="4" t="n">
        <v>0</v>
      </c>
      <c r="M1221" s="2" t="str">
        <f aca="false">IF(C1221="","",IFERROR(INDEX($S$5:$S$304,MATCH(C1221,$R$5:$R$304,0))&amp;"","?"))</f>
        <v>30</v>
      </c>
      <c r="N1221" s="2" t="n">
        <f aca="false">IF(E1221="","",IF(ISNUMBER(SEARCH("SUBSOLO",E1221)),IFERROR(-VALUE(LEFT(E1221,FIND("º",SUBSTITUTE(E1221,"°","º"))-1)),-1),IF(LEFT(E1221,6)="TÉRREO",0,IFERROR(VALUE(LEFT(E1221,FIND("º",SUBSTITUTE(E1221,"°","º"))-1)),""))))</f>
        <v>20</v>
      </c>
      <c r="O1221" s="2" t="str">
        <f aca="false">IF(OR(F1221="",G1221=""),"",IF(G1221&lt;='RETRATO 2027'!$K$5,"CONCLUÍDA",IF(F1221&lt;='RETRATO 2027'!$K$5,"EM ANDAMENTO","A INICIAR")))</f>
        <v>A INICIAR</v>
      </c>
    </row>
    <row r="1222" customFormat="false" ht="15" hidden="false" customHeight="false" outlineLevel="0" collapsed="false">
      <c r="B1222" s="4" t="n">
        <v>29981030</v>
      </c>
      <c r="C1222" s="4" t="s">
        <v>2480</v>
      </c>
      <c r="D1222" s="4" t="s">
        <v>463</v>
      </c>
      <c r="E1222" s="4" t="s">
        <v>2825</v>
      </c>
      <c r="F1222" s="127" t="n">
        <v>46801</v>
      </c>
      <c r="G1222" s="127" t="n">
        <v>46813</v>
      </c>
      <c r="H1222" s="127" t="n">
        <v>46289</v>
      </c>
      <c r="I1222" s="4" t="n">
        <v>0</v>
      </c>
      <c r="J1222" s="4" t="n">
        <v>0</v>
      </c>
      <c r="K1222" s="4" t="n">
        <v>0</v>
      </c>
      <c r="M1222" s="2" t="str">
        <f aca="false">IF(C1222="","",IFERROR(INDEX($S$5:$S$304,MATCH(C1222,$R$5:$R$304,0))&amp;"","?"))</f>
        <v>30</v>
      </c>
      <c r="N1222" s="2" t="n">
        <f aca="false">IF(E1222="","",IF(ISNUMBER(SEARCH("SUBSOLO",E1222)),IFERROR(-VALUE(LEFT(E1222,FIND("º",SUBSTITUTE(E1222,"°","º"))-1)),-1),IF(LEFT(E1222,6)="TÉRREO",0,IFERROR(VALUE(LEFT(E1222,FIND("º",SUBSTITUTE(E1222,"°","º"))-1)),""))))</f>
        <v>21</v>
      </c>
      <c r="O1222" s="2" t="str">
        <f aca="false">IF(OR(F1222="",G1222=""),"",IF(G1222&lt;='RETRATO 2027'!$K$5,"CONCLUÍDA",IF(F1222&lt;='RETRATO 2027'!$K$5,"EM ANDAMENTO","A INICIAR")))</f>
        <v>A INICIAR</v>
      </c>
    </row>
    <row r="1223" customFormat="false" ht="15" hidden="false" customHeight="false" outlineLevel="0" collapsed="false">
      <c r="B1223" s="4" t="n">
        <v>29980991</v>
      </c>
      <c r="C1223" s="4" t="s">
        <v>171</v>
      </c>
      <c r="D1223" s="4" t="s">
        <v>463</v>
      </c>
      <c r="E1223" s="4" t="s">
        <v>2827</v>
      </c>
      <c r="F1223" s="127" t="n">
        <v>46801</v>
      </c>
      <c r="G1223" s="127" t="n">
        <v>46813</v>
      </c>
      <c r="H1223" s="127" t="n">
        <v>46289</v>
      </c>
      <c r="I1223" s="4" t="n">
        <v>0</v>
      </c>
      <c r="J1223" s="4" t="n">
        <v>0</v>
      </c>
      <c r="K1223" s="4" t="n">
        <v>0</v>
      </c>
      <c r="M1223" s="2" t="str">
        <f aca="false">IF(C1223="","",IFERROR(INDEX($S$5:$S$304,MATCH(C1223,$R$5:$R$304,0))&amp;"","?"))</f>
        <v>19</v>
      </c>
      <c r="N1223" s="2" t="n">
        <f aca="false">IF(E1223="","",IF(ISNUMBER(SEARCH("SUBSOLO",E1223)),IFERROR(-VALUE(LEFT(E1223,FIND("º",SUBSTITUTE(E1223,"°","º"))-1)),-1),IF(LEFT(E1223,6)="TÉRREO",0,IFERROR(VALUE(LEFT(E1223,FIND("º",SUBSTITUTE(E1223,"°","º"))-1)),""))))</f>
        <v>22</v>
      </c>
      <c r="O1223" s="2" t="str">
        <f aca="false">IF(OR(F1223="",G1223=""),"",IF(G1223&lt;='RETRATO 2027'!$K$5,"CONCLUÍDA",IF(F1223&lt;='RETRATO 2027'!$K$5,"EM ANDAMENTO","A INICIAR")))</f>
        <v>A INICIAR</v>
      </c>
    </row>
    <row r="1224" customFormat="false" ht="15" hidden="false" customHeight="false" outlineLevel="0" collapsed="false">
      <c r="B1224" s="4" t="n">
        <v>32750449</v>
      </c>
      <c r="C1224" s="4" t="s">
        <v>2470</v>
      </c>
      <c r="D1224" s="4" t="s">
        <v>463</v>
      </c>
      <c r="E1224" s="4" t="s">
        <v>2829</v>
      </c>
      <c r="F1224" s="127" t="n">
        <v>46801</v>
      </c>
      <c r="G1224" s="127" t="n">
        <v>46813</v>
      </c>
      <c r="H1224" s="127" t="n">
        <v>46289</v>
      </c>
      <c r="I1224" s="4" t="n">
        <v>0</v>
      </c>
      <c r="J1224" s="4" t="n">
        <v>0</v>
      </c>
      <c r="K1224" s="4" t="n">
        <v>0</v>
      </c>
      <c r="M1224" s="2" t="str">
        <f aca="false">IF(C1224="","",IFERROR(INDEX($S$5:$S$304,MATCH(C1224,$R$5:$R$304,0))&amp;"","?"))</f>
        <v>18</v>
      </c>
      <c r="N1224" s="2" t="n">
        <f aca="false">IF(E1224="","",IF(ISNUMBER(SEARCH("SUBSOLO",E1224)),IFERROR(-VALUE(LEFT(E1224,FIND("º",SUBSTITUTE(E1224,"°","º"))-1)),-1),IF(LEFT(E1224,6)="TÉRREO",0,IFERROR(VALUE(LEFT(E1224,FIND("º",SUBSTITUTE(E1224,"°","º"))-1)),""))))</f>
        <v>23</v>
      </c>
      <c r="O1224" s="2" t="str">
        <f aca="false">IF(OR(F1224="",G1224=""),"",IF(G1224&lt;='RETRATO 2027'!$K$5,"CONCLUÍDA",IF(F1224&lt;='RETRATO 2027'!$K$5,"EM ANDAMENTO","A INICIAR")))</f>
        <v>A INICIAR</v>
      </c>
    </row>
    <row r="1225" customFormat="false" ht="15" hidden="false" customHeight="false" outlineLevel="0" collapsed="false">
      <c r="B1225" s="4" t="n">
        <v>32750372</v>
      </c>
      <c r="C1225" s="4" t="s">
        <v>2458</v>
      </c>
      <c r="D1225" s="4" t="s">
        <v>463</v>
      </c>
      <c r="E1225" s="4" t="s">
        <v>2831</v>
      </c>
      <c r="F1225" s="127" t="n">
        <v>46801</v>
      </c>
      <c r="G1225" s="127" t="n">
        <v>46813</v>
      </c>
      <c r="H1225" s="127" t="n">
        <v>46289</v>
      </c>
      <c r="I1225" s="4" t="n">
        <v>0</v>
      </c>
      <c r="J1225" s="4" t="n">
        <v>0</v>
      </c>
      <c r="K1225" s="4" t="n">
        <v>0</v>
      </c>
      <c r="M1225" s="2" t="str">
        <f aca="false">IF(C1225="","",IFERROR(INDEX($S$5:$S$304,MATCH(C1225,$R$5:$R$304,0))&amp;"","?"))</f>
        <v>21</v>
      </c>
      <c r="N1225" s="2" t="n">
        <f aca="false">IF(E1225="","",IF(ISNUMBER(SEARCH("SUBSOLO",E1225)),IFERROR(-VALUE(LEFT(E1225,FIND("º",SUBSTITUTE(E1225,"°","º"))-1)),-1),IF(LEFT(E1225,6)="TÉRREO",0,IFERROR(VALUE(LEFT(E1225,FIND("º",SUBSTITUTE(E1225,"°","º"))-1)),""))))</f>
        <v>24</v>
      </c>
      <c r="O1225" s="2" t="str">
        <f aca="false">IF(OR(F1225="",G1225=""),"",IF(G1225&lt;='RETRATO 2027'!$K$5,"CONCLUÍDA",IF(F1225&lt;='RETRATO 2027'!$K$5,"EM ANDAMENTO","A INICIAR")))</f>
        <v>A INICIAR</v>
      </c>
    </row>
    <row r="1226" customFormat="false" ht="15" hidden="false" customHeight="false" outlineLevel="0" collapsed="false">
      <c r="B1226" s="4" t="n">
        <v>32750398</v>
      </c>
      <c r="C1226" s="4" t="s">
        <v>2461</v>
      </c>
      <c r="D1226" s="4" t="s">
        <v>463</v>
      </c>
      <c r="E1226" s="4" t="s">
        <v>2831</v>
      </c>
      <c r="F1226" s="127" t="n">
        <v>46801</v>
      </c>
      <c r="G1226" s="127" t="n">
        <v>46813</v>
      </c>
      <c r="H1226" s="127" t="n">
        <v>46289</v>
      </c>
      <c r="I1226" s="4" t="n">
        <v>0</v>
      </c>
      <c r="J1226" s="4" t="n">
        <v>0</v>
      </c>
      <c r="K1226" s="4" t="n">
        <v>0</v>
      </c>
      <c r="M1226" s="2" t="str">
        <f aca="false">IF(C1226="","",IFERROR(INDEX($S$5:$S$304,MATCH(C1226,$R$5:$R$304,0))&amp;"","?"))</f>
        <v>20</v>
      </c>
      <c r="N1226" s="2" t="n">
        <f aca="false">IF(E1226="","",IF(ISNUMBER(SEARCH("SUBSOLO",E1226)),IFERROR(-VALUE(LEFT(E1226,FIND("º",SUBSTITUTE(E1226,"°","º"))-1)),-1),IF(LEFT(E1226,6)="TÉRREO",0,IFERROR(VALUE(LEFT(E1226,FIND("º",SUBSTITUTE(E1226,"°","º"))-1)),""))))</f>
        <v>24</v>
      </c>
      <c r="O1226" s="2" t="str">
        <f aca="false">IF(OR(F1226="",G1226=""),"",IF(G1226&lt;='RETRATO 2027'!$K$5,"CONCLUÍDA",IF(F1226&lt;='RETRATO 2027'!$K$5,"EM ANDAMENTO","A INICIAR")))</f>
        <v>A INICIAR</v>
      </c>
    </row>
    <row r="1227" customFormat="false" ht="15" hidden="false" customHeight="false" outlineLevel="0" collapsed="false">
      <c r="B1227" s="4" t="n">
        <v>32750424</v>
      </c>
      <c r="C1227" s="4" t="s">
        <v>2464</v>
      </c>
      <c r="D1227" s="4" t="s">
        <v>463</v>
      </c>
      <c r="E1227" s="4" t="s">
        <v>2831</v>
      </c>
      <c r="F1227" s="127" t="n">
        <v>46801</v>
      </c>
      <c r="G1227" s="127" t="n">
        <v>46813</v>
      </c>
      <c r="H1227" s="127" t="n">
        <v>46289</v>
      </c>
      <c r="I1227" s="4" t="n">
        <v>0</v>
      </c>
      <c r="J1227" s="4" t="n">
        <v>0</v>
      </c>
      <c r="K1227" s="4" t="n">
        <v>0</v>
      </c>
      <c r="M1227" s="2" t="str">
        <f aca="false">IF(C1227="","",IFERROR(INDEX($S$5:$S$304,MATCH(C1227,$R$5:$R$304,0))&amp;"","?"))</f>
        <v>21</v>
      </c>
      <c r="N1227" s="2" t="n">
        <f aca="false">IF(E1227="","",IF(ISNUMBER(SEARCH("SUBSOLO",E1227)),IFERROR(-VALUE(LEFT(E1227,FIND("º",SUBSTITUTE(E1227,"°","º"))-1)),-1),IF(LEFT(E1227,6)="TÉRREO",0,IFERROR(VALUE(LEFT(E1227,FIND("º",SUBSTITUTE(E1227,"°","º"))-1)),""))))</f>
        <v>24</v>
      </c>
      <c r="O1227" s="2" t="str">
        <f aca="false">IF(OR(F1227="",G1227=""),"",IF(G1227&lt;='RETRATO 2027'!$K$5,"CONCLUÍDA",IF(F1227&lt;='RETRATO 2027'!$K$5,"EM ANDAMENTO","A INICIAR")))</f>
        <v>A INICIAR</v>
      </c>
    </row>
    <row r="1228" customFormat="false" ht="15" hidden="false" customHeight="false" outlineLevel="0" collapsed="false">
      <c r="B1228" s="4" t="n">
        <v>33896842</v>
      </c>
      <c r="C1228" s="4" t="s">
        <v>2467</v>
      </c>
      <c r="D1228" s="4" t="s">
        <v>463</v>
      </c>
      <c r="E1228" s="4" t="s">
        <v>2831</v>
      </c>
      <c r="F1228" s="127" t="n">
        <v>46801</v>
      </c>
      <c r="G1228" s="127" t="n">
        <v>46813</v>
      </c>
      <c r="H1228" s="127" t="n">
        <v>46289</v>
      </c>
      <c r="I1228" s="4" t="n">
        <v>0</v>
      </c>
      <c r="J1228" s="4" t="n">
        <v>0</v>
      </c>
      <c r="K1228" s="4" t="n">
        <v>0</v>
      </c>
      <c r="M1228" s="2" t="str">
        <f aca="false">IF(C1228="","",IFERROR(INDEX($S$5:$S$304,MATCH(C1228,$R$5:$R$304,0))&amp;"","?"))</f>
        <v>23</v>
      </c>
      <c r="N1228" s="2" t="n">
        <f aca="false">IF(E1228="","",IF(ISNUMBER(SEARCH("SUBSOLO",E1228)),IFERROR(-VALUE(LEFT(E1228,FIND("º",SUBSTITUTE(E1228,"°","º"))-1)),-1),IF(LEFT(E1228,6)="TÉRREO",0,IFERROR(VALUE(LEFT(E1228,FIND("º",SUBSTITUTE(E1228,"°","º"))-1)),""))))</f>
        <v>24</v>
      </c>
      <c r="O1228" s="2" t="str">
        <f aca="false">IF(OR(F1228="",G1228=""),"",IF(G1228&lt;='RETRATO 2027'!$K$5,"CONCLUÍDA",IF(F1228&lt;='RETRATO 2027'!$K$5,"EM ANDAMENTO","A INICIAR")))</f>
        <v>A INICIAR</v>
      </c>
    </row>
    <row r="1229" customFormat="false" ht="15" hidden="false" customHeight="false" outlineLevel="0" collapsed="false">
      <c r="B1229" s="4" t="n">
        <v>32749868</v>
      </c>
      <c r="C1229" s="4" t="s">
        <v>2455</v>
      </c>
      <c r="D1229" s="4" t="s">
        <v>463</v>
      </c>
      <c r="E1229" s="4" t="s">
        <v>2833</v>
      </c>
      <c r="F1229" s="127" t="n">
        <v>46801</v>
      </c>
      <c r="G1229" s="127" t="n">
        <v>46813</v>
      </c>
      <c r="H1229" s="127" t="n">
        <v>46289</v>
      </c>
      <c r="I1229" s="4" t="n">
        <v>0</v>
      </c>
      <c r="J1229" s="4" t="n">
        <v>0</v>
      </c>
      <c r="K1229" s="4" t="n">
        <v>0</v>
      </c>
      <c r="M1229" s="2" t="str">
        <f aca="false">IF(C1229="","",IFERROR(INDEX($S$5:$S$304,MATCH(C1229,$R$5:$R$304,0))&amp;"","?"))</f>
        <v>18</v>
      </c>
      <c r="N1229" s="2" t="n">
        <f aca="false">IF(E1229="","",IF(ISNUMBER(SEARCH("SUBSOLO",E1229)),IFERROR(-VALUE(LEFT(E1229,FIND("º",SUBSTITUTE(E1229,"°","º"))-1)),-1),IF(LEFT(E1229,6)="TÉRREO",0,IFERROR(VALUE(LEFT(E1229,FIND("º",SUBSTITUTE(E1229,"°","º"))-1)),""))))</f>
        <v>25</v>
      </c>
      <c r="O1229" s="2" t="str">
        <f aca="false">IF(OR(F1229="",G1229=""),"",IF(G1229&lt;='RETRATO 2027'!$K$5,"CONCLUÍDA",IF(F1229&lt;='RETRATO 2027'!$K$5,"EM ANDAMENTO","A INICIAR")))</f>
        <v>A INICIAR</v>
      </c>
    </row>
    <row r="1230" customFormat="false" ht="15" hidden="false" customHeight="false" outlineLevel="0" collapsed="false">
      <c r="B1230" s="4" t="n">
        <v>29980844</v>
      </c>
      <c r="C1230" s="4" t="s">
        <v>2449</v>
      </c>
      <c r="D1230" s="4" t="s">
        <v>463</v>
      </c>
      <c r="E1230" s="4" t="s">
        <v>2834</v>
      </c>
      <c r="F1230" s="127" t="n">
        <v>46801</v>
      </c>
      <c r="G1230" s="127" t="n">
        <v>46813</v>
      </c>
      <c r="H1230" s="127" t="n">
        <v>46289</v>
      </c>
      <c r="I1230" s="4" t="n">
        <v>0</v>
      </c>
      <c r="J1230" s="4" t="n">
        <v>0</v>
      </c>
      <c r="K1230" s="4" t="n">
        <v>0</v>
      </c>
      <c r="M1230" s="2" t="str">
        <f aca="false">IF(C1230="","",IFERROR(INDEX($S$5:$S$304,MATCH(C1230,$R$5:$R$304,0))&amp;"","?"))</f>
        <v>28</v>
      </c>
      <c r="N1230" s="2" t="n">
        <f aca="false">IF(E1230="","",IF(ISNUMBER(SEARCH("SUBSOLO",E1230)),IFERROR(-VALUE(LEFT(E1230,FIND("º",SUBSTITUTE(E1230,"°","º"))-1)),-1),IF(LEFT(E1230,6)="TÉRREO",0,IFERROR(VALUE(LEFT(E1230,FIND("º",SUBSTITUTE(E1230,"°","º"))-1)),""))))</f>
        <v>26</v>
      </c>
      <c r="O1230" s="2" t="str">
        <f aca="false">IF(OR(F1230="",G1230=""),"",IF(G1230&lt;='RETRATO 2027'!$K$5,"CONCLUÍDA",IF(F1230&lt;='RETRATO 2027'!$K$5,"EM ANDAMENTO","A INICIAR")))</f>
        <v>A INICIAR</v>
      </c>
    </row>
    <row r="1231" customFormat="false" ht="15" hidden="false" customHeight="false" outlineLevel="0" collapsed="false">
      <c r="B1231" s="4" t="n">
        <v>29980784</v>
      </c>
      <c r="C1231" s="4" t="s">
        <v>2440</v>
      </c>
      <c r="D1231" s="4" t="s">
        <v>463</v>
      </c>
      <c r="E1231" s="4" t="s">
        <v>2838</v>
      </c>
      <c r="F1231" s="127" t="n">
        <v>46801</v>
      </c>
      <c r="G1231" s="127" t="n">
        <v>46813</v>
      </c>
      <c r="H1231" s="127" t="n">
        <v>46289</v>
      </c>
      <c r="I1231" s="4" t="n">
        <v>0</v>
      </c>
      <c r="J1231" s="4" t="n">
        <v>0</v>
      </c>
      <c r="K1231" s="4" t="n">
        <v>0</v>
      </c>
      <c r="M1231" s="2" t="str">
        <f aca="false">IF(C1231="","",IFERROR(INDEX($S$5:$S$304,MATCH(C1231,$R$5:$R$304,0))&amp;"","?"))</f>
        <v>21</v>
      </c>
      <c r="N1231" s="2" t="n">
        <f aca="false">IF(E1231="","",IF(ISNUMBER(SEARCH("SUBSOLO",E1231)),IFERROR(-VALUE(LEFT(E1231,FIND("º",SUBSTITUTE(E1231,"°","º"))-1)),-1),IF(LEFT(E1231,6)="TÉRREO",0,IFERROR(VALUE(LEFT(E1231,FIND("º",SUBSTITUTE(E1231,"°","º"))-1)),""))))</f>
        <v>27</v>
      </c>
      <c r="O1231" s="2" t="str">
        <f aca="false">IF(OR(F1231="",G1231=""),"",IF(G1231&lt;='RETRATO 2027'!$K$5,"CONCLUÍDA",IF(F1231&lt;='RETRATO 2027'!$K$5,"EM ANDAMENTO","A INICIAR")))</f>
        <v>A INICIAR</v>
      </c>
    </row>
    <row r="1232" customFormat="false" ht="15" hidden="false" customHeight="false" outlineLevel="0" collapsed="false">
      <c r="B1232" s="4" t="n">
        <v>29980817</v>
      </c>
      <c r="C1232" s="4" t="s">
        <v>2443</v>
      </c>
      <c r="D1232" s="4" t="s">
        <v>463</v>
      </c>
      <c r="E1232" s="4" t="s">
        <v>2838</v>
      </c>
      <c r="F1232" s="127" t="n">
        <v>46801</v>
      </c>
      <c r="G1232" s="127" t="n">
        <v>46813</v>
      </c>
      <c r="H1232" s="127" t="n">
        <v>46289</v>
      </c>
      <c r="I1232" s="4" t="n">
        <v>0</v>
      </c>
      <c r="J1232" s="4" t="n">
        <v>0</v>
      </c>
      <c r="K1232" s="4" t="n">
        <v>0</v>
      </c>
      <c r="M1232" s="2" t="str">
        <f aca="false">IF(C1232="","",IFERROR(INDEX($S$5:$S$304,MATCH(C1232,$R$5:$R$304,0))&amp;"","?"))</f>
        <v>20</v>
      </c>
      <c r="N1232" s="2" t="n">
        <f aca="false">IF(E1232="","",IF(ISNUMBER(SEARCH("SUBSOLO",E1232)),IFERROR(-VALUE(LEFT(E1232,FIND("º",SUBSTITUTE(E1232,"°","º"))-1)),-1),IF(LEFT(E1232,6)="TÉRREO",0,IFERROR(VALUE(LEFT(E1232,FIND("º",SUBSTITUTE(E1232,"°","º"))-1)),""))))</f>
        <v>27</v>
      </c>
      <c r="O1232" s="2" t="str">
        <f aca="false">IF(OR(F1232="",G1232=""),"",IF(G1232&lt;='RETRATO 2027'!$K$5,"CONCLUÍDA",IF(F1232&lt;='RETRATO 2027'!$K$5,"EM ANDAMENTO","A INICIAR")))</f>
        <v>A INICIAR</v>
      </c>
    </row>
    <row r="1233" customFormat="false" ht="15" hidden="false" customHeight="false" outlineLevel="0" collapsed="false">
      <c r="B1233" s="4" t="n">
        <v>29980746</v>
      </c>
      <c r="C1233" s="4" t="s">
        <v>2437</v>
      </c>
      <c r="D1233" s="4" t="s">
        <v>463</v>
      </c>
      <c r="E1233" s="4" t="s">
        <v>2840</v>
      </c>
      <c r="F1233" s="127" t="n">
        <v>46801</v>
      </c>
      <c r="G1233" s="127" t="n">
        <v>46813</v>
      </c>
      <c r="H1233" s="127" t="n">
        <v>46289</v>
      </c>
      <c r="I1233" s="4" t="n">
        <v>0</v>
      </c>
      <c r="J1233" s="4" t="n">
        <v>0</v>
      </c>
      <c r="K1233" s="4" t="n">
        <v>0</v>
      </c>
      <c r="M1233" s="2" t="str">
        <f aca="false">IF(C1233="","",IFERROR(INDEX($S$5:$S$304,MATCH(C1233,$R$5:$R$304,0))&amp;"","?"))</f>
        <v>29</v>
      </c>
      <c r="N1233" s="2" t="n">
        <f aca="false">IF(E1233="","",IF(ISNUMBER(SEARCH("SUBSOLO",E1233)),IFERROR(-VALUE(LEFT(E1233,FIND("º",SUBSTITUTE(E1233,"°","º"))-1)),-1),IF(LEFT(E1233,6)="TÉRREO",0,IFERROR(VALUE(LEFT(E1233,FIND("º",SUBSTITUTE(E1233,"°","º"))-1)),""))))</f>
        <v>28</v>
      </c>
      <c r="O1233" s="2" t="str">
        <f aca="false">IF(OR(F1233="",G1233=""),"",IF(G1233&lt;='RETRATO 2027'!$K$5,"CONCLUÍDA",IF(F1233&lt;='RETRATO 2027'!$K$5,"EM ANDAMENTO","A INICIAR")))</f>
        <v>A INICIAR</v>
      </c>
    </row>
    <row r="1234" customFormat="false" ht="15" hidden="false" customHeight="false" outlineLevel="0" collapsed="false">
      <c r="B1234" s="4" t="n">
        <v>29980712</v>
      </c>
      <c r="C1234" s="4" t="s">
        <v>2434</v>
      </c>
      <c r="D1234" s="4" t="s">
        <v>463</v>
      </c>
      <c r="E1234" s="4" t="s">
        <v>2841</v>
      </c>
      <c r="F1234" s="127" t="n">
        <v>46801</v>
      </c>
      <c r="G1234" s="127" t="n">
        <v>46813</v>
      </c>
      <c r="H1234" s="127" t="n">
        <v>46289</v>
      </c>
      <c r="I1234" s="4" t="n">
        <v>0</v>
      </c>
      <c r="J1234" s="4" t="n">
        <v>0</v>
      </c>
      <c r="K1234" s="4" t="n">
        <v>0</v>
      </c>
      <c r="M1234" s="2" t="str">
        <f aca="false">IF(C1234="","",IFERROR(INDEX($S$5:$S$304,MATCH(C1234,$R$5:$R$304,0))&amp;"","?"))</f>
        <v>25</v>
      </c>
      <c r="N1234" s="2" t="n">
        <f aca="false">IF(E1234="","",IF(ISNUMBER(SEARCH("SUBSOLO",E1234)),IFERROR(-VALUE(LEFT(E1234,FIND("º",SUBSTITUTE(E1234,"°","º"))-1)),-1),IF(LEFT(E1234,6)="TÉRREO",0,IFERROR(VALUE(LEFT(E1234,FIND("º",SUBSTITUTE(E1234,"°","º"))-1)),""))))</f>
        <v>29</v>
      </c>
      <c r="O1234" s="2" t="str">
        <f aca="false">IF(OR(F1234="",G1234=""),"",IF(G1234&lt;='RETRATO 2027'!$K$5,"CONCLUÍDA",IF(F1234&lt;='RETRATO 2027'!$K$5,"EM ANDAMENTO","A INICIAR")))</f>
        <v>A INICIAR</v>
      </c>
    </row>
    <row r="1235" customFormat="false" ht="15" hidden="false" customHeight="false" outlineLevel="0" collapsed="false">
      <c r="B1235" s="4" t="n">
        <v>29980705</v>
      </c>
      <c r="C1235" s="4" t="s">
        <v>2425</v>
      </c>
      <c r="D1235" s="4" t="s">
        <v>463</v>
      </c>
      <c r="E1235" s="4" t="s">
        <v>2842</v>
      </c>
      <c r="F1235" s="127" t="n">
        <v>46801</v>
      </c>
      <c r="G1235" s="127" t="n">
        <v>46813</v>
      </c>
      <c r="H1235" s="127" t="n">
        <v>46289</v>
      </c>
      <c r="I1235" s="4" t="n">
        <v>0</v>
      </c>
      <c r="J1235" s="4" t="n">
        <v>0</v>
      </c>
      <c r="K1235" s="4" t="n">
        <v>0</v>
      </c>
      <c r="M1235" s="2" t="str">
        <f aca="false">IF(C1235="","",IFERROR(INDEX($S$5:$S$304,MATCH(C1235,$R$5:$R$304,0))&amp;"","?"))</f>
        <v>21</v>
      </c>
      <c r="N1235" s="2" t="n">
        <f aca="false">IF(E1235="","",IF(ISNUMBER(SEARCH("SUBSOLO",E1235)),IFERROR(-VALUE(LEFT(E1235,FIND("º",SUBSTITUTE(E1235,"°","º"))-1)),-1),IF(LEFT(E1235,6)="TÉRREO",0,IFERROR(VALUE(LEFT(E1235,FIND("º",SUBSTITUTE(E1235,"°","º"))-1)),""))))</f>
        <v>30</v>
      </c>
      <c r="O1235" s="2" t="str">
        <f aca="false">IF(OR(F1235="",G1235=""),"",IF(G1235&lt;='RETRATO 2027'!$K$5,"CONCLUÍDA",IF(F1235&lt;='RETRATO 2027'!$K$5,"EM ANDAMENTO","A INICIAR")))</f>
        <v>A INICIAR</v>
      </c>
    </row>
    <row r="1236" customFormat="false" ht="15" hidden="false" customHeight="false" outlineLevel="0" collapsed="false">
      <c r="B1236" s="4" t="n">
        <v>29980674</v>
      </c>
      <c r="C1236" s="4" t="s">
        <v>2428</v>
      </c>
      <c r="D1236" s="4" t="s">
        <v>463</v>
      </c>
      <c r="E1236" s="4" t="s">
        <v>2842</v>
      </c>
      <c r="F1236" s="127" t="n">
        <v>46801</v>
      </c>
      <c r="G1236" s="127" t="n">
        <v>46813</v>
      </c>
      <c r="H1236" s="127" t="n">
        <v>46289</v>
      </c>
      <c r="I1236" s="4" t="n">
        <v>0</v>
      </c>
      <c r="J1236" s="4" t="n">
        <v>0</v>
      </c>
      <c r="K1236" s="4" t="n">
        <v>0</v>
      </c>
      <c r="M1236" s="2" t="str">
        <f aca="false">IF(C1236="","",IFERROR(INDEX($S$5:$S$304,MATCH(C1236,$R$5:$R$304,0))&amp;"","?"))</f>
        <v>20</v>
      </c>
      <c r="N1236" s="2" t="n">
        <f aca="false">IF(E1236="","",IF(ISNUMBER(SEARCH("SUBSOLO",E1236)),IFERROR(-VALUE(LEFT(E1236,FIND("º",SUBSTITUTE(E1236,"°","º"))-1)),-1),IF(LEFT(E1236,6)="TÉRREO",0,IFERROR(VALUE(LEFT(E1236,FIND("º",SUBSTITUTE(E1236,"°","º"))-1)),""))))</f>
        <v>30</v>
      </c>
      <c r="O1236" s="2" t="str">
        <f aca="false">IF(OR(F1236="",G1236=""),"",IF(G1236&lt;='RETRATO 2027'!$K$5,"CONCLUÍDA",IF(F1236&lt;='RETRATO 2027'!$K$5,"EM ANDAMENTO","A INICIAR")))</f>
        <v>A INICIAR</v>
      </c>
    </row>
    <row r="1237" customFormat="false" ht="15" hidden="false" customHeight="false" outlineLevel="0" collapsed="false">
      <c r="B1237" s="4" t="n">
        <v>29980707</v>
      </c>
      <c r="C1237" s="4" t="s">
        <v>2431</v>
      </c>
      <c r="D1237" s="4" t="s">
        <v>463</v>
      </c>
      <c r="E1237" s="4" t="s">
        <v>2842</v>
      </c>
      <c r="F1237" s="127" t="n">
        <v>46801</v>
      </c>
      <c r="G1237" s="127" t="n">
        <v>46813</v>
      </c>
      <c r="H1237" s="127" t="n">
        <v>46289</v>
      </c>
      <c r="I1237" s="4" t="n">
        <v>0</v>
      </c>
      <c r="J1237" s="4" t="n">
        <v>0</v>
      </c>
      <c r="K1237" s="4" t="n">
        <v>0</v>
      </c>
      <c r="M1237" s="2" t="str">
        <f aca="false">IF(C1237="","",IFERROR(INDEX($S$5:$S$304,MATCH(C1237,$R$5:$R$304,0))&amp;"","?"))</f>
        <v>21</v>
      </c>
      <c r="N1237" s="2" t="n">
        <f aca="false">IF(E1237="","",IF(ISNUMBER(SEARCH("SUBSOLO",E1237)),IFERROR(-VALUE(LEFT(E1237,FIND("º",SUBSTITUTE(E1237,"°","º"))-1)),-1),IF(LEFT(E1237,6)="TÉRREO",0,IFERROR(VALUE(LEFT(E1237,FIND("º",SUBSTITUTE(E1237,"°","º"))-1)),""))))</f>
        <v>30</v>
      </c>
      <c r="O1237" s="2" t="str">
        <f aca="false">IF(OR(F1237="",G1237=""),"",IF(G1237&lt;='RETRATO 2027'!$K$5,"CONCLUÍDA",IF(F1237&lt;='RETRATO 2027'!$K$5,"EM ANDAMENTO","A INICIAR")))</f>
        <v>A INICIAR</v>
      </c>
    </row>
    <row r="1238" customFormat="false" ht="15" hidden="false" customHeight="false" outlineLevel="0" collapsed="false">
      <c r="B1238" s="4" t="n">
        <v>29980654</v>
      </c>
      <c r="C1238" s="4" t="s">
        <v>2422</v>
      </c>
      <c r="D1238" s="4" t="s">
        <v>463</v>
      </c>
      <c r="E1238" s="4" t="s">
        <v>2843</v>
      </c>
      <c r="F1238" s="127" t="n">
        <v>46801</v>
      </c>
      <c r="G1238" s="127" t="n">
        <v>46813</v>
      </c>
      <c r="H1238" s="127" t="n">
        <v>46289</v>
      </c>
      <c r="I1238" s="4" t="n">
        <v>0</v>
      </c>
      <c r="J1238" s="4" t="n">
        <v>0</v>
      </c>
      <c r="K1238" s="4" t="n">
        <v>0</v>
      </c>
      <c r="M1238" s="2" t="str">
        <f aca="false">IF(C1238="","",IFERROR(INDEX($S$5:$S$304,MATCH(C1238,$R$5:$R$304,0))&amp;"","?"))</f>
        <v>29</v>
      </c>
      <c r="N1238" s="2" t="n">
        <f aca="false">IF(E1238="","",IF(ISNUMBER(SEARCH("SUBSOLO",E1238)),IFERROR(-VALUE(LEFT(E1238,FIND("º",SUBSTITUTE(E1238,"°","º"))-1)),-1),IF(LEFT(E1238,6)="TÉRREO",0,IFERROR(VALUE(LEFT(E1238,FIND("º",SUBSTITUTE(E1238,"°","º"))-1)),""))))</f>
        <v>31</v>
      </c>
      <c r="O1238" s="2" t="str">
        <f aca="false">IF(OR(F1238="",G1238=""),"",IF(G1238&lt;='RETRATO 2027'!$K$5,"CONCLUÍDA",IF(F1238&lt;='RETRATO 2027'!$K$5,"EM ANDAMENTO","A INICIAR")))</f>
        <v>A INICIAR</v>
      </c>
    </row>
    <row r="1239" customFormat="false" ht="15" hidden="false" customHeight="false" outlineLevel="0" collapsed="false">
      <c r="B1239" s="4" t="n">
        <v>29980620</v>
      </c>
      <c r="C1239" s="4" t="s">
        <v>2413</v>
      </c>
      <c r="D1239" s="4" t="s">
        <v>463</v>
      </c>
      <c r="E1239" s="4" t="s">
        <v>2844</v>
      </c>
      <c r="F1239" s="127" t="n">
        <v>46801</v>
      </c>
      <c r="G1239" s="127" t="n">
        <v>46813</v>
      </c>
      <c r="H1239" s="127" t="n">
        <v>46289</v>
      </c>
      <c r="I1239" s="4" t="n">
        <v>0</v>
      </c>
      <c r="J1239" s="4" t="n">
        <v>0</v>
      </c>
      <c r="K1239" s="4" t="n">
        <v>0</v>
      </c>
      <c r="M1239" s="2" t="str">
        <f aca="false">IF(C1239="","",IFERROR(INDEX($S$5:$S$304,MATCH(C1239,$R$5:$R$304,0))&amp;"","?"))</f>
        <v>21</v>
      </c>
      <c r="N1239" s="2" t="n">
        <f aca="false">IF(E1239="","",IF(ISNUMBER(SEARCH("SUBSOLO",E1239)),IFERROR(-VALUE(LEFT(E1239,FIND("º",SUBSTITUTE(E1239,"°","º"))-1)),-1),IF(LEFT(E1239,6)="TÉRREO",0,IFERROR(VALUE(LEFT(E1239,FIND("º",SUBSTITUTE(E1239,"°","º"))-1)),""))))</f>
        <v>32</v>
      </c>
      <c r="O1239" s="2" t="str">
        <f aca="false">IF(OR(F1239="",G1239=""),"",IF(G1239&lt;='RETRATO 2027'!$K$5,"CONCLUÍDA",IF(F1239&lt;='RETRATO 2027'!$K$5,"EM ANDAMENTO","A INICIAR")))</f>
        <v>A INICIAR</v>
      </c>
    </row>
    <row r="1240" customFormat="false" ht="15" hidden="false" customHeight="false" outlineLevel="0" collapsed="false">
      <c r="B1240" s="4" t="n">
        <v>30206083</v>
      </c>
      <c r="C1240" s="4" t="s">
        <v>2416</v>
      </c>
      <c r="D1240" s="4" t="s">
        <v>463</v>
      </c>
      <c r="E1240" s="4" t="s">
        <v>2847</v>
      </c>
      <c r="F1240" s="127" t="n">
        <v>46805</v>
      </c>
      <c r="G1240" s="127" t="n">
        <v>46818</v>
      </c>
      <c r="H1240" s="127" t="n">
        <v>46289</v>
      </c>
      <c r="I1240" s="4" t="n">
        <v>0</v>
      </c>
      <c r="J1240" s="4" t="n">
        <v>0</v>
      </c>
      <c r="K1240" s="4" t="n">
        <v>0</v>
      </c>
      <c r="M1240" s="2" t="str">
        <f aca="false">IF(C1240="","",IFERROR(INDEX($S$5:$S$304,MATCH(C1240,$R$5:$R$304,0))&amp;"","?"))</f>
        <v>18</v>
      </c>
      <c r="N1240" s="2" t="n">
        <f aca="false">IF(E1240="","",IF(ISNUMBER(SEARCH("SUBSOLO",E1240)),IFERROR(-VALUE(LEFT(E1240,FIND("º",SUBSTITUTE(E1240,"°","º"))-1)),-1),IF(LEFT(E1240,6)="TÉRREO",0,IFERROR(VALUE(LEFT(E1240,FIND("º",SUBSTITUTE(E1240,"°","º"))-1)),""))))</f>
        <v>6</v>
      </c>
      <c r="O1240" s="2" t="str">
        <f aca="false">IF(OR(F1240="",G1240=""),"",IF(G1240&lt;='RETRATO 2027'!$K$5,"CONCLUÍDA",IF(F1240&lt;='RETRATO 2027'!$K$5,"EM ANDAMENTO","A INICIAR")))</f>
        <v>A INICIAR</v>
      </c>
    </row>
    <row r="1241" customFormat="false" ht="15" hidden="false" customHeight="false" outlineLevel="0" collapsed="false">
      <c r="B1241" s="4" t="n">
        <v>30171651</v>
      </c>
      <c r="C1241" s="4" t="s">
        <v>2602</v>
      </c>
      <c r="D1241" s="4" t="s">
        <v>463</v>
      </c>
      <c r="E1241" s="4" t="s">
        <v>2816</v>
      </c>
      <c r="F1241" s="127" t="n">
        <v>46805</v>
      </c>
      <c r="G1241" s="127" t="n">
        <v>46877</v>
      </c>
      <c r="H1241" s="127" t="n">
        <v>46289</v>
      </c>
      <c r="I1241" s="4" t="n">
        <v>0</v>
      </c>
      <c r="J1241" s="4" t="n">
        <v>0</v>
      </c>
      <c r="K1241" s="4" t="n">
        <v>0</v>
      </c>
      <c r="M1241" s="2" t="str">
        <f aca="false">IF(C1241="","",IFERROR(INDEX($S$5:$S$304,MATCH(C1241,$R$5:$R$304,0))&amp;"","?"))</f>
        <v>26</v>
      </c>
      <c r="N1241" s="2" t="str">
        <f aca="false"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 t="str">
        <f aca="false">IF(OR(F1241="",G1241=""),"",IF(G1241&lt;='RETRATO 2027'!$K$5,"CONCLUÍDA",IF(F1241&lt;='RETRATO 2027'!$K$5,"EM ANDAMENTO","A INICIAR")))</f>
        <v>A INICIAR</v>
      </c>
    </row>
    <row r="1242" customFormat="false" ht="15" hidden="false" customHeight="false" outlineLevel="0" collapsed="false">
      <c r="B1242" s="4" t="n">
        <v>29980619</v>
      </c>
      <c r="C1242" s="4" t="s">
        <v>2416</v>
      </c>
      <c r="D1242" s="4" t="s">
        <v>463</v>
      </c>
      <c r="E1242" s="4" t="s">
        <v>2844</v>
      </c>
      <c r="F1242" s="127" t="n">
        <v>46805</v>
      </c>
      <c r="G1242" s="127" t="n">
        <v>46815</v>
      </c>
      <c r="H1242" s="127" t="n">
        <v>46289</v>
      </c>
      <c r="I1242" s="4" t="n">
        <v>0</v>
      </c>
      <c r="J1242" s="4" t="n">
        <v>0</v>
      </c>
      <c r="K1242" s="4" t="n">
        <v>0</v>
      </c>
      <c r="M1242" s="2" t="str">
        <f aca="false">IF(C1242="","",IFERROR(INDEX($S$5:$S$304,MATCH(C1242,$R$5:$R$304,0))&amp;"","?"))</f>
        <v>18</v>
      </c>
      <c r="N1242" s="2" t="n">
        <f aca="false">IF(E1242="","",IF(ISNUMBER(SEARCH("SUBSOLO",E1242)),IFERROR(-VALUE(LEFT(E1242,FIND("º",SUBSTITUTE(E1242,"°","º"))-1)),-1),IF(LEFT(E1242,6)="TÉRREO",0,IFERROR(VALUE(LEFT(E1242,FIND("º",SUBSTITUTE(E1242,"°","º"))-1)),""))))</f>
        <v>32</v>
      </c>
      <c r="O1242" s="2" t="str">
        <f aca="false">IF(OR(F1242="",G1242=""),"",IF(G1242&lt;='RETRATO 2027'!$K$5,"CONCLUÍDA",IF(F1242&lt;='RETRATO 2027'!$K$5,"EM ANDAMENTO","A INICIAR")))</f>
        <v>A INICIAR</v>
      </c>
    </row>
    <row r="1243" customFormat="false" ht="15" hidden="false" customHeight="false" outlineLevel="0" collapsed="false">
      <c r="B1243" s="4" t="n">
        <v>30205748</v>
      </c>
      <c r="C1243" s="4" t="s">
        <v>216</v>
      </c>
      <c r="D1243" s="4" t="s">
        <v>463</v>
      </c>
      <c r="E1243" s="4" t="s">
        <v>2740</v>
      </c>
      <c r="F1243" s="127" t="n">
        <v>46806</v>
      </c>
      <c r="G1243" s="127" t="n">
        <v>46850</v>
      </c>
      <c r="H1243" s="127" t="n">
        <v>46289</v>
      </c>
      <c r="I1243" s="4" t="n">
        <v>0</v>
      </c>
      <c r="J1243" s="4" t="n">
        <v>0</v>
      </c>
      <c r="K1243" s="4" t="n">
        <v>0</v>
      </c>
      <c r="M1243" s="2" t="str">
        <f aca="false">IF(C1243="","",IFERROR(INDEX($S$5:$S$304,MATCH(C1243,$R$5:$R$304,0))&amp;"","?"))</f>
        <v>33</v>
      </c>
      <c r="N1243" s="2" t="n">
        <f aca="false">IF(E1243="","",IF(ISNUMBER(SEARCH("SUBSOLO",E1243)),IFERROR(-VALUE(LEFT(E1243,FIND("º",SUBSTITUTE(E1243,"°","º"))-1)),-1),IF(LEFT(E1243,6)="TÉRREO",0,IFERROR(VALUE(LEFT(E1243,FIND("º",SUBSTITUTE(E1243,"°","º"))-1)),""))))</f>
        <v>-1</v>
      </c>
      <c r="O1243" s="2" t="str">
        <f aca="false">IF(OR(F1243="",G1243=""),"",IF(G1243&lt;='RETRATO 2027'!$K$5,"CONCLUÍDA",IF(F1243&lt;='RETRATO 2027'!$K$5,"EM ANDAMENTO","A INICIAR")))</f>
        <v>A INICIAR</v>
      </c>
    </row>
    <row r="1244" customFormat="false" ht="15" hidden="false" customHeight="false" outlineLevel="0" collapsed="false">
      <c r="B1244" s="4" t="n">
        <v>30205714</v>
      </c>
      <c r="C1244" s="4" t="s">
        <v>2563</v>
      </c>
      <c r="D1244" s="4" t="s">
        <v>463</v>
      </c>
      <c r="E1244" s="4" t="s">
        <v>2740</v>
      </c>
      <c r="F1244" s="127" t="n">
        <v>46806</v>
      </c>
      <c r="G1244" s="127" t="n">
        <v>46835</v>
      </c>
      <c r="H1244" s="127" t="n">
        <v>46289</v>
      </c>
      <c r="I1244" s="4" t="n">
        <v>0</v>
      </c>
      <c r="J1244" s="4" t="n">
        <v>0</v>
      </c>
      <c r="K1244" s="4" t="n">
        <v>0</v>
      </c>
      <c r="M1244" s="2" t="str">
        <f aca="false">IF(C1244="","",IFERROR(INDEX($S$5:$S$304,MATCH(C1244,$R$5:$R$304,0))&amp;"","?"))</f>
        <v>20</v>
      </c>
      <c r="N1244" s="2" t="n">
        <f aca="false">IF(E1244="","",IF(ISNUMBER(SEARCH("SUBSOLO",E1244)),IFERROR(-VALUE(LEFT(E1244,FIND("º",SUBSTITUTE(E1244,"°","º"))-1)),-1),IF(LEFT(E1244,6)="TÉRREO",0,IFERROR(VALUE(LEFT(E1244,FIND("º",SUBSTITUTE(E1244,"°","º"))-1)),""))))</f>
        <v>-1</v>
      </c>
      <c r="O1244" s="2" t="str">
        <f aca="false">IF(OR(F1244="",G1244=""),"",IF(G1244&lt;='RETRATO 2027'!$K$5,"CONCLUÍDA",IF(F1244&lt;='RETRATO 2027'!$K$5,"EM ANDAMENTO","A INICIAR")))</f>
        <v>A INICIAR</v>
      </c>
    </row>
    <row r="1245" customFormat="false" ht="15" hidden="false" customHeight="false" outlineLevel="0" collapsed="false">
      <c r="B1245" s="4" t="n">
        <v>30205711</v>
      </c>
      <c r="C1245" s="4" t="s">
        <v>2566</v>
      </c>
      <c r="D1245" s="4" t="s">
        <v>463</v>
      </c>
      <c r="E1245" s="4" t="s">
        <v>2740</v>
      </c>
      <c r="F1245" s="127" t="n">
        <v>46806</v>
      </c>
      <c r="G1245" s="127" t="n">
        <v>46812</v>
      </c>
      <c r="H1245" s="127" t="n">
        <v>46289</v>
      </c>
      <c r="I1245" s="4" t="n">
        <v>0</v>
      </c>
      <c r="J1245" s="4" t="n">
        <v>0</v>
      </c>
      <c r="K1245" s="4" t="n">
        <v>0</v>
      </c>
      <c r="M1245" s="2" t="str">
        <f aca="false">IF(C1245="","",IFERROR(INDEX($S$5:$S$304,MATCH(C1245,$R$5:$R$304,0))&amp;"","?"))</f>
        <v>20</v>
      </c>
      <c r="N1245" s="2" t="n">
        <f aca="false">IF(E1245="","",IF(ISNUMBER(SEARCH("SUBSOLO",E1245)),IFERROR(-VALUE(LEFT(E1245,FIND("º",SUBSTITUTE(E1245,"°","º"))-1)),-1),IF(LEFT(E1245,6)="TÉRREO",0,IFERROR(VALUE(LEFT(E1245,FIND("º",SUBSTITUTE(E1245,"°","º"))-1)),""))))</f>
        <v>-1</v>
      </c>
      <c r="O1245" s="2" t="str">
        <f aca="false">IF(OR(F1245="",G1245=""),"",IF(G1245&lt;='RETRATO 2027'!$K$5,"CONCLUÍDA",IF(F1245&lt;='RETRATO 2027'!$K$5,"EM ANDAMENTO","A INICIAR")))</f>
        <v>A INICIAR</v>
      </c>
    </row>
    <row r="1246" customFormat="false" ht="15" hidden="false" customHeight="false" outlineLevel="0" collapsed="false">
      <c r="B1246" s="4" t="n">
        <v>30205932</v>
      </c>
      <c r="C1246" s="4" t="s">
        <v>171</v>
      </c>
      <c r="D1246" s="4" t="s">
        <v>463</v>
      </c>
      <c r="E1246" s="4" t="s">
        <v>2800</v>
      </c>
      <c r="F1246" s="127" t="n">
        <v>46807</v>
      </c>
      <c r="G1246" s="127" t="n">
        <v>46820</v>
      </c>
      <c r="H1246" s="127" t="n">
        <v>46289</v>
      </c>
      <c r="I1246" s="4" t="n">
        <v>0</v>
      </c>
      <c r="J1246" s="4" t="n">
        <v>0</v>
      </c>
      <c r="K1246" s="4" t="n">
        <v>0</v>
      </c>
      <c r="M1246" s="2" t="str">
        <f aca="false">IF(C1246="","",IFERROR(INDEX($S$5:$S$304,MATCH(C1246,$R$5:$R$304,0))&amp;"","?"))</f>
        <v>19</v>
      </c>
      <c r="N1246" s="2" t="n">
        <f aca="false">IF(E1246="","",IF(ISNUMBER(SEARCH("SUBSOLO",E1246)),IFERROR(-VALUE(LEFT(E1246,FIND("º",SUBSTITUTE(E1246,"°","º"))-1)),-1),IF(LEFT(E1246,6)="TÉRREO",0,IFERROR(VALUE(LEFT(E1246,FIND("º",SUBSTITUTE(E1246,"°","º"))-1)),""))))</f>
        <v>4</v>
      </c>
      <c r="O1246" s="2" t="str">
        <f aca="false">IF(OR(F1246="",G1246=""),"",IF(G1246&lt;='RETRATO 2027'!$K$5,"CONCLUÍDA",IF(F1246&lt;='RETRATO 2027'!$K$5,"EM ANDAMENTO","A INICIAR")))</f>
        <v>A INICIAR</v>
      </c>
    </row>
    <row r="1247" customFormat="false" ht="15" hidden="false" customHeight="false" outlineLevel="0" collapsed="false">
      <c r="B1247" s="4" t="n">
        <v>30171415</v>
      </c>
      <c r="C1247" s="4" t="s">
        <v>2413</v>
      </c>
      <c r="D1247" s="4" t="s">
        <v>463</v>
      </c>
      <c r="E1247" s="4" t="s">
        <v>2800</v>
      </c>
      <c r="F1247" s="127" t="n">
        <v>46807</v>
      </c>
      <c r="G1247" s="127" t="n">
        <v>46834</v>
      </c>
      <c r="H1247" s="127" t="n">
        <v>46289</v>
      </c>
      <c r="I1247" s="4" t="n">
        <v>0</v>
      </c>
      <c r="J1247" s="4" t="n">
        <v>0</v>
      </c>
      <c r="K1247" s="4" t="n">
        <v>0</v>
      </c>
      <c r="M1247" s="2" t="str">
        <f aca="false">IF(C1247="","",IFERROR(INDEX($S$5:$S$304,MATCH(C1247,$R$5:$R$304,0))&amp;"","?"))</f>
        <v>21</v>
      </c>
      <c r="N1247" s="2" t="n">
        <f aca="false">IF(E1247="","",IF(ISNUMBER(SEARCH("SUBSOLO",E1247)),IFERROR(-VALUE(LEFT(E1247,FIND("º",SUBSTITUTE(E1247,"°","º"))-1)),-1),IF(LEFT(E1247,6)="TÉRREO",0,IFERROR(VALUE(LEFT(E1247,FIND("º",SUBSTITUTE(E1247,"°","º"))-1)),""))))</f>
        <v>4</v>
      </c>
      <c r="O1247" s="2" t="str">
        <f aca="false">IF(OR(F1247="",G1247=""),"",IF(G1247&lt;='RETRATO 2027'!$K$5,"CONCLUÍDA",IF(F1247&lt;='RETRATO 2027'!$K$5,"EM ANDAMENTO","A INICIAR")))</f>
        <v>A INICIAR</v>
      </c>
    </row>
    <row r="1248" customFormat="false" ht="15" hidden="false" customHeight="false" outlineLevel="0" collapsed="false">
      <c r="B1248" s="4" t="n">
        <v>30171416</v>
      </c>
      <c r="C1248" s="4" t="s">
        <v>2443</v>
      </c>
      <c r="D1248" s="4" t="s">
        <v>463</v>
      </c>
      <c r="E1248" s="4" t="s">
        <v>2800</v>
      </c>
      <c r="F1248" s="127" t="n">
        <v>46807</v>
      </c>
      <c r="G1248" s="127" t="n">
        <v>46834</v>
      </c>
      <c r="H1248" s="127" t="n">
        <v>46289</v>
      </c>
      <c r="I1248" s="4" t="n">
        <v>0</v>
      </c>
      <c r="J1248" s="4" t="n">
        <v>0</v>
      </c>
      <c r="K1248" s="4" t="n">
        <v>0</v>
      </c>
      <c r="M1248" s="2" t="str">
        <f aca="false">IF(C1248="","",IFERROR(INDEX($S$5:$S$304,MATCH(C1248,$R$5:$R$304,0))&amp;"","?"))</f>
        <v>20</v>
      </c>
      <c r="N1248" s="2" t="n">
        <f aca="false">IF(E1248="","",IF(ISNUMBER(SEARCH("SUBSOLO",E1248)),IFERROR(-VALUE(LEFT(E1248,FIND("º",SUBSTITUTE(E1248,"°","º"))-1)),-1),IF(LEFT(E1248,6)="TÉRREO",0,IFERROR(VALUE(LEFT(E1248,FIND("º",SUBSTITUTE(E1248,"°","º"))-1)),""))))</f>
        <v>4</v>
      </c>
      <c r="O1248" s="2" t="str">
        <f aca="false">IF(OR(F1248="",G1248=""),"",IF(G1248&lt;='RETRATO 2027'!$K$5,"CONCLUÍDA",IF(F1248&lt;='RETRATO 2027'!$K$5,"EM ANDAMENTO","A INICIAR")))</f>
        <v>A INICIAR</v>
      </c>
    </row>
    <row r="1249" customFormat="false" ht="15" hidden="false" customHeight="false" outlineLevel="0" collapsed="false">
      <c r="B1249" s="4" t="n">
        <v>30171428</v>
      </c>
      <c r="C1249" s="4" t="s">
        <v>2517</v>
      </c>
      <c r="D1249" s="4" t="s">
        <v>463</v>
      </c>
      <c r="E1249" s="4" t="s">
        <v>2800</v>
      </c>
      <c r="F1249" s="127" t="n">
        <v>46807</v>
      </c>
      <c r="G1249" s="127" t="n">
        <v>46834</v>
      </c>
      <c r="H1249" s="127" t="n">
        <v>46289</v>
      </c>
      <c r="I1249" s="4" t="n">
        <v>0</v>
      </c>
      <c r="J1249" s="4" t="n">
        <v>0</v>
      </c>
      <c r="K1249" s="4" t="n">
        <v>0</v>
      </c>
      <c r="M1249" s="2" t="str">
        <f aca="false">IF(C1249="","",IFERROR(INDEX($S$5:$S$304,MATCH(C1249,$R$5:$R$304,0))&amp;"","?"))</f>
        <v>22</v>
      </c>
      <c r="N1249" s="2" t="n">
        <f aca="false">IF(E1249="","",IF(ISNUMBER(SEARCH("SUBSOLO",E1249)),IFERROR(-VALUE(LEFT(E1249,FIND("º",SUBSTITUTE(E1249,"°","º"))-1)),-1),IF(LEFT(E1249,6)="TÉRREO",0,IFERROR(VALUE(LEFT(E1249,FIND("º",SUBSTITUTE(E1249,"°","º"))-1)),""))))</f>
        <v>4</v>
      </c>
      <c r="O1249" s="2" t="str">
        <f aca="false">IF(OR(F1249="",G1249=""),"",IF(G1249&lt;='RETRATO 2027'!$K$5,"CONCLUÍDA",IF(F1249&lt;='RETRATO 2027'!$K$5,"EM ANDAMENTO","A INICIAR")))</f>
        <v>A INICIAR</v>
      </c>
    </row>
    <row r="1250" customFormat="false" ht="15" hidden="false" customHeight="false" outlineLevel="0" collapsed="false">
      <c r="B1250" s="4" t="n">
        <v>30171393</v>
      </c>
      <c r="C1250" s="4" t="s">
        <v>194</v>
      </c>
      <c r="D1250" s="4" t="s">
        <v>463</v>
      </c>
      <c r="E1250" s="4" t="s">
        <v>2801</v>
      </c>
      <c r="F1250" s="127" t="n">
        <v>46807</v>
      </c>
      <c r="G1250" s="127" t="n">
        <v>46820</v>
      </c>
      <c r="H1250" s="127" t="n">
        <v>46289</v>
      </c>
      <c r="I1250" s="4" t="n">
        <v>0</v>
      </c>
      <c r="J1250" s="4" t="n">
        <v>0</v>
      </c>
      <c r="K1250" s="4" t="n">
        <v>0</v>
      </c>
      <c r="M1250" s="2" t="str">
        <f aca="false">IF(C1250="","",IFERROR(INDEX($S$5:$S$304,MATCH(C1250,$R$5:$R$304,0))&amp;"","?"))</f>
        <v>26</v>
      </c>
      <c r="N1250" s="2" t="n">
        <f aca="false">IF(E1250="","",IF(ISNUMBER(SEARCH("SUBSOLO",E1250)),IFERROR(-VALUE(LEFT(E1250,FIND("º",SUBSTITUTE(E1250,"°","º"))-1)),-1),IF(LEFT(E1250,6)="TÉRREO",0,IFERROR(VALUE(LEFT(E1250,FIND("º",SUBSTITUTE(E1250,"°","º"))-1)),""))))</f>
        <v>5</v>
      </c>
      <c r="O1250" s="2" t="str">
        <f aca="false">IF(OR(F1250="",G1250=""),"",IF(G1250&lt;='RETRATO 2027'!$K$5,"CONCLUÍDA",IF(F1250&lt;='RETRATO 2027'!$K$5,"EM ANDAMENTO","A INICIAR")))</f>
        <v>A INICIAR</v>
      </c>
    </row>
    <row r="1251" customFormat="false" ht="15" hidden="false" customHeight="false" outlineLevel="0" collapsed="false">
      <c r="B1251" s="4" t="n">
        <v>30171394</v>
      </c>
      <c r="C1251" s="4" t="s">
        <v>2437</v>
      </c>
      <c r="D1251" s="4" t="s">
        <v>463</v>
      </c>
      <c r="E1251" s="4" t="s">
        <v>2801</v>
      </c>
      <c r="F1251" s="127" t="n">
        <v>46807</v>
      </c>
      <c r="G1251" s="127" t="n">
        <v>46870</v>
      </c>
      <c r="H1251" s="127" t="n">
        <v>46289</v>
      </c>
      <c r="I1251" s="4" t="n">
        <v>0</v>
      </c>
      <c r="J1251" s="4" t="n">
        <v>0</v>
      </c>
      <c r="K1251" s="4" t="n">
        <v>0</v>
      </c>
      <c r="M1251" s="2" t="str">
        <f aca="false">IF(C1251="","",IFERROR(INDEX($S$5:$S$304,MATCH(C1251,$R$5:$R$304,0))&amp;"","?"))</f>
        <v>29</v>
      </c>
      <c r="N1251" s="2" t="n">
        <f aca="false">IF(E1251="","",IF(ISNUMBER(SEARCH("SUBSOLO",E1251)),IFERROR(-VALUE(LEFT(E1251,FIND("º",SUBSTITUTE(E1251,"°","º"))-1)),-1),IF(LEFT(E1251,6)="TÉRREO",0,IFERROR(VALUE(LEFT(E1251,FIND("º",SUBSTITUTE(E1251,"°","º"))-1)),""))))</f>
        <v>5</v>
      </c>
      <c r="O1251" s="2" t="str">
        <f aca="false">IF(OR(F1251="",G1251=""),"",IF(G1251&lt;='RETRATO 2027'!$K$5,"CONCLUÍDA",IF(F1251&lt;='RETRATO 2027'!$K$5,"EM ANDAMENTO","A INICIAR")))</f>
        <v>A INICIAR</v>
      </c>
    </row>
    <row r="1252" customFormat="false" ht="15" hidden="false" customHeight="false" outlineLevel="0" collapsed="false">
      <c r="B1252" s="4" t="n">
        <v>30205563</v>
      </c>
      <c r="C1252" s="4" t="s">
        <v>2545</v>
      </c>
      <c r="D1252" s="4" t="s">
        <v>463</v>
      </c>
      <c r="E1252" s="4" t="s">
        <v>2830</v>
      </c>
      <c r="F1252" s="127" t="n">
        <v>46808</v>
      </c>
      <c r="G1252" s="127" t="n">
        <v>46835</v>
      </c>
      <c r="H1252" s="127" t="n">
        <v>46289</v>
      </c>
      <c r="I1252" s="4" t="n">
        <v>0</v>
      </c>
      <c r="J1252" s="4" t="n">
        <v>0</v>
      </c>
      <c r="K1252" s="4" t="n">
        <v>0</v>
      </c>
      <c r="M1252" s="2" t="str">
        <f aca="false">IF(C1252="","",IFERROR(INDEX($S$5:$S$304,MATCH(C1252,$R$5:$R$304,0))&amp;"","?"))</f>
        <v>25</v>
      </c>
      <c r="N1252" s="2" t="n">
        <f aca="false">IF(E1252="","",IF(ISNUMBER(SEARCH("SUBSOLO",E1252)),IFERROR(-VALUE(LEFT(E1252,FIND("º",SUBSTITUTE(E1252,"°","º"))-1)),-1),IF(LEFT(E1252,6)="TÉRREO",0,IFERROR(VALUE(LEFT(E1252,FIND("º",SUBSTITUTE(E1252,"°","º"))-1)),""))))</f>
        <v>0</v>
      </c>
      <c r="O1252" s="2" t="str">
        <f aca="false">IF(OR(F1252="",G1252=""),"",IF(G1252&lt;='RETRATO 2027'!$K$5,"CONCLUÍDA",IF(F1252&lt;='RETRATO 2027'!$K$5,"EM ANDAMENTO","A INICIAR")))</f>
        <v>A INICIAR</v>
      </c>
    </row>
    <row r="1253" customFormat="false" ht="15" hidden="false" customHeight="false" outlineLevel="0" collapsed="false">
      <c r="B1253" s="4" t="n">
        <v>30205544</v>
      </c>
      <c r="C1253" s="4" t="s">
        <v>2539</v>
      </c>
      <c r="D1253" s="4" t="s">
        <v>463</v>
      </c>
      <c r="E1253" s="4" t="s">
        <v>2832</v>
      </c>
      <c r="F1253" s="127" t="n">
        <v>46808</v>
      </c>
      <c r="G1253" s="127" t="n">
        <v>46821</v>
      </c>
      <c r="H1253" s="127" t="n">
        <v>46289</v>
      </c>
      <c r="I1253" s="4" t="n">
        <v>0</v>
      </c>
      <c r="J1253" s="4" t="n">
        <v>0</v>
      </c>
      <c r="K1253" s="4" t="n">
        <v>0</v>
      </c>
      <c r="M1253" s="2" t="str">
        <f aca="false">IF(C1253="","",IFERROR(INDEX($S$5:$S$304,MATCH(C1253,$R$5:$R$304,0))&amp;"","?"))</f>
        <v>35</v>
      </c>
      <c r="N1253" s="2" t="n">
        <f aca="false">IF(E1253="","",IF(ISNUMBER(SEARCH("SUBSOLO",E1253)),IFERROR(-VALUE(LEFT(E1253,FIND("º",SUBSTITUTE(E1253,"°","º"))-1)),-1),IF(LEFT(E1253,6)="TÉRREO",0,IFERROR(VALUE(LEFT(E1253,FIND("º",SUBSTITUTE(E1253,"°","º"))-1)),""))))</f>
        <v>0</v>
      </c>
      <c r="O1253" s="2" t="str">
        <f aca="false">IF(OR(F1253="",G1253=""),"",IF(G1253&lt;='RETRATO 2027'!$K$5,"CONCLUÍDA",IF(F1253&lt;='RETRATO 2027'!$K$5,"EM ANDAMENTO","A INICIAR")))</f>
        <v>A INICIAR</v>
      </c>
    </row>
    <row r="1254" customFormat="false" ht="15" hidden="false" customHeight="false" outlineLevel="0" collapsed="false">
      <c r="B1254" s="4" t="n">
        <v>30206130</v>
      </c>
      <c r="C1254" s="4" t="s">
        <v>2425</v>
      </c>
      <c r="D1254" s="4" t="s">
        <v>463</v>
      </c>
      <c r="E1254" s="4" t="s">
        <v>2846</v>
      </c>
      <c r="F1254" s="127" t="n">
        <v>46811</v>
      </c>
      <c r="G1254" s="127" t="n">
        <v>46822</v>
      </c>
      <c r="H1254" s="127" t="n">
        <v>46289</v>
      </c>
      <c r="I1254" s="4" t="n">
        <v>0</v>
      </c>
      <c r="J1254" s="4" t="n">
        <v>0</v>
      </c>
      <c r="K1254" s="4" t="n">
        <v>0</v>
      </c>
      <c r="M1254" s="2" t="str">
        <f aca="false">IF(C1254="","",IFERROR(INDEX($S$5:$S$304,MATCH(C1254,$R$5:$R$304,0))&amp;"","?"))</f>
        <v>21</v>
      </c>
      <c r="N1254" s="2" t="n">
        <f aca="false">IF(E1254="","",IF(ISNUMBER(SEARCH("SUBSOLO",E1254)),IFERROR(-VALUE(LEFT(E1254,FIND("º",SUBSTITUTE(E1254,"°","º"))-1)),-1),IF(LEFT(E1254,6)="TÉRREO",0,IFERROR(VALUE(LEFT(E1254,FIND("º",SUBSTITUTE(E1254,"°","º"))-1)),""))))</f>
        <v>6</v>
      </c>
      <c r="O1254" s="2" t="str">
        <f aca="false">IF(OR(F1254="",G1254=""),"",IF(G1254&lt;='RETRATO 2027'!$K$5,"CONCLUÍDA",IF(F1254&lt;='RETRATO 2027'!$K$5,"EM ANDAMENTO","A INICIAR")))</f>
        <v>A INICIAR</v>
      </c>
    </row>
    <row r="1255" customFormat="false" ht="15" hidden="false" customHeight="false" outlineLevel="0" collapsed="false">
      <c r="B1255" s="4" t="n">
        <v>30206101</v>
      </c>
      <c r="C1255" s="4" t="s">
        <v>2428</v>
      </c>
      <c r="D1255" s="4" t="s">
        <v>463</v>
      </c>
      <c r="E1255" s="4" t="s">
        <v>2846</v>
      </c>
      <c r="F1255" s="127" t="n">
        <v>46811</v>
      </c>
      <c r="G1255" s="127" t="n">
        <v>46822</v>
      </c>
      <c r="H1255" s="127" t="n">
        <v>46289</v>
      </c>
      <c r="I1255" s="4" t="n">
        <v>0</v>
      </c>
      <c r="J1255" s="4" t="n">
        <v>0</v>
      </c>
      <c r="K1255" s="4" t="n">
        <v>0</v>
      </c>
      <c r="M1255" s="2" t="str">
        <f aca="false">IF(C1255="","",IFERROR(INDEX($S$5:$S$304,MATCH(C1255,$R$5:$R$304,0))&amp;"","?"))</f>
        <v>20</v>
      </c>
      <c r="N1255" s="2" t="n">
        <f aca="false">IF(E1255="","",IF(ISNUMBER(SEARCH("SUBSOLO",E1255)),IFERROR(-VALUE(LEFT(E1255,FIND("º",SUBSTITUTE(E1255,"°","º"))-1)),-1),IF(LEFT(E1255,6)="TÉRREO",0,IFERROR(VALUE(LEFT(E1255,FIND("º",SUBSTITUTE(E1255,"°","º"))-1)),""))))</f>
        <v>6</v>
      </c>
      <c r="O1255" s="2" t="str">
        <f aca="false">IF(OR(F1255="",G1255=""),"",IF(G1255&lt;='RETRATO 2027'!$K$5,"CONCLUÍDA",IF(F1255&lt;='RETRATO 2027'!$K$5,"EM ANDAMENTO","A INICIAR")))</f>
        <v>A INICIAR</v>
      </c>
    </row>
    <row r="1256" customFormat="false" ht="15" hidden="false" customHeight="false" outlineLevel="0" collapsed="false">
      <c r="B1256" s="4" t="n">
        <v>30206081</v>
      </c>
      <c r="C1256" s="4" t="s">
        <v>2422</v>
      </c>
      <c r="D1256" s="4" t="s">
        <v>463</v>
      </c>
      <c r="E1256" s="4" t="s">
        <v>2847</v>
      </c>
      <c r="F1256" s="127" t="n">
        <v>46811</v>
      </c>
      <c r="G1256" s="127" t="n">
        <v>46822</v>
      </c>
      <c r="H1256" s="127" t="n">
        <v>46289</v>
      </c>
      <c r="I1256" s="4" t="n">
        <v>0</v>
      </c>
      <c r="J1256" s="4" t="n">
        <v>0</v>
      </c>
      <c r="K1256" s="4" t="n">
        <v>0</v>
      </c>
      <c r="M1256" s="2" t="str">
        <f aca="false">IF(C1256="","",IFERROR(INDEX($S$5:$S$304,MATCH(C1256,$R$5:$R$304,0))&amp;"","?"))</f>
        <v>29</v>
      </c>
      <c r="N1256" s="2" t="n">
        <f aca="false">IF(E1256="","",IF(ISNUMBER(SEARCH("SUBSOLO",E1256)),IFERROR(-VALUE(LEFT(E1256,FIND("º",SUBSTITUTE(E1256,"°","º"))-1)),-1),IF(LEFT(E1256,6)="TÉRREO",0,IFERROR(VALUE(LEFT(E1256,FIND("º",SUBSTITUTE(E1256,"°","º"))-1)),""))))</f>
        <v>6</v>
      </c>
      <c r="O1256" s="2" t="str">
        <f aca="false">IF(OR(F1256="",G1256=""),"",IF(G1256&lt;='RETRATO 2027'!$K$5,"CONCLUÍDA",IF(F1256&lt;='RETRATO 2027'!$K$5,"EM ANDAMENTO","A INICIAR")))</f>
        <v>A INICIAR</v>
      </c>
    </row>
    <row r="1257" customFormat="false" ht="15" hidden="false" customHeight="false" outlineLevel="0" collapsed="false">
      <c r="B1257" s="4" t="n">
        <v>30205973</v>
      </c>
      <c r="C1257" s="4" t="s">
        <v>2413</v>
      </c>
      <c r="D1257" s="4" t="s">
        <v>463</v>
      </c>
      <c r="E1257" s="4" t="s">
        <v>2850</v>
      </c>
      <c r="F1257" s="127" t="n">
        <v>46811</v>
      </c>
      <c r="G1257" s="127" t="n">
        <v>46822</v>
      </c>
      <c r="H1257" s="127" t="n">
        <v>46289</v>
      </c>
      <c r="I1257" s="4" t="n">
        <v>0</v>
      </c>
      <c r="J1257" s="4" t="n">
        <v>0</v>
      </c>
      <c r="K1257" s="4" t="n">
        <v>0</v>
      </c>
      <c r="M1257" s="2" t="str">
        <f aca="false">IF(C1257="","",IFERROR(INDEX($S$5:$S$304,MATCH(C1257,$R$5:$R$304,0))&amp;"","?"))</f>
        <v>21</v>
      </c>
      <c r="N1257" s="2" t="n">
        <f aca="false">IF(E1257="","",IF(ISNUMBER(SEARCH("SUBSOLO",E1257)),IFERROR(-VALUE(LEFT(E1257,FIND("º",SUBSTITUTE(E1257,"°","º"))-1)),-1),IF(LEFT(E1257,6)="TÉRREO",0,IFERROR(VALUE(LEFT(E1257,FIND("º",SUBSTITUTE(E1257,"°","º"))-1)),""))))</f>
        <v>6</v>
      </c>
      <c r="O1257" s="2" t="str">
        <f aca="false">IF(OR(F1257="",G1257=""),"",IF(G1257&lt;='RETRATO 2027'!$K$5,"CONCLUÍDA",IF(F1257&lt;='RETRATO 2027'!$K$5,"EM ANDAMENTO","A INICIAR")))</f>
        <v>A INICIAR</v>
      </c>
    </row>
    <row r="1258" customFormat="false" ht="15" hidden="false" customHeight="false" outlineLevel="0" collapsed="false">
      <c r="B1258" s="4" t="n">
        <v>29981531</v>
      </c>
      <c r="C1258" s="4" t="s">
        <v>2605</v>
      </c>
      <c r="D1258" s="4" t="s">
        <v>463</v>
      </c>
      <c r="E1258" s="4" t="s">
        <v>2803</v>
      </c>
      <c r="F1258" s="127" t="n">
        <v>46813</v>
      </c>
      <c r="G1258" s="127" t="n">
        <v>46825</v>
      </c>
      <c r="H1258" s="127" t="n">
        <v>46289</v>
      </c>
      <c r="I1258" s="4" t="n">
        <v>0</v>
      </c>
      <c r="J1258" s="4" t="n">
        <v>0</v>
      </c>
      <c r="K1258" s="4" t="n">
        <v>0</v>
      </c>
      <c r="M1258" s="2" t="str">
        <f aca="false">IF(C1258="","",IFERROR(INDEX($S$5:$S$304,MATCH(C1258,$R$5:$R$304,0))&amp;"","?"))</f>
        <v>34</v>
      </c>
      <c r="N1258" s="2" t="n">
        <f aca="false">IF(E1258="","",IF(ISNUMBER(SEARCH("SUBSOLO",E1258)),IFERROR(-VALUE(LEFT(E1258,FIND("º",SUBSTITUTE(E1258,"°","º"))-1)),-1),IF(LEFT(E1258,6)="TÉRREO",0,IFERROR(VALUE(LEFT(E1258,FIND("º",SUBSTITUTE(E1258,"°","º"))-1)),""))))</f>
        <v>7</v>
      </c>
      <c r="O1258" s="2" t="str">
        <f aca="false">IF(OR(F1258="",G1258=""),"",IF(G1258&lt;='RETRATO 2027'!$K$5,"CONCLUÍDA",IF(F1258&lt;='RETRATO 2027'!$K$5,"EM ANDAMENTO","A INICIAR")))</f>
        <v>A INICIAR</v>
      </c>
    </row>
    <row r="1259" customFormat="false" ht="15" hidden="false" customHeight="false" outlineLevel="0" collapsed="false">
      <c r="B1259" s="4" t="n">
        <v>29981536</v>
      </c>
      <c r="C1259" s="4" t="s">
        <v>2607</v>
      </c>
      <c r="D1259" s="4" t="s">
        <v>463</v>
      </c>
      <c r="E1259" s="4" t="s">
        <v>2803</v>
      </c>
      <c r="F1259" s="127" t="n">
        <v>46813</v>
      </c>
      <c r="G1259" s="127" t="n">
        <v>46825</v>
      </c>
      <c r="H1259" s="127" t="n">
        <v>46289</v>
      </c>
      <c r="I1259" s="4" t="n">
        <v>0</v>
      </c>
      <c r="J1259" s="4" t="n">
        <v>0</v>
      </c>
      <c r="K1259" s="4" t="n">
        <v>0</v>
      </c>
      <c r="M1259" s="2" t="str">
        <f aca="false">IF(C1259="","",IFERROR(INDEX($S$5:$S$304,MATCH(C1259,$R$5:$R$304,0))&amp;"","?"))</f>
        <v>34</v>
      </c>
      <c r="N1259" s="2" t="n">
        <f aca="false">IF(E1259="","",IF(ISNUMBER(SEARCH("SUBSOLO",E1259)),IFERROR(-VALUE(LEFT(E1259,FIND("º",SUBSTITUTE(E1259,"°","º"))-1)),-1),IF(LEFT(E1259,6)="TÉRREO",0,IFERROR(VALUE(LEFT(E1259,FIND("º",SUBSTITUTE(E1259,"°","º"))-1)),""))))</f>
        <v>7</v>
      </c>
      <c r="O1259" s="2" t="str">
        <f aca="false">IF(OR(F1259="",G1259=""),"",IF(G1259&lt;='RETRATO 2027'!$K$5,"CONCLUÍDA",IF(F1259&lt;='RETRATO 2027'!$K$5,"EM ANDAMENTO","A INICIAR")))</f>
        <v>A INICIAR</v>
      </c>
    </row>
    <row r="1260" customFormat="false" ht="15" hidden="false" customHeight="false" outlineLevel="0" collapsed="false">
      <c r="B1260" s="4" t="n">
        <v>29981535</v>
      </c>
      <c r="C1260" s="4" t="s">
        <v>2563</v>
      </c>
      <c r="D1260" s="4" t="s">
        <v>463</v>
      </c>
      <c r="E1260" s="4" t="s">
        <v>2803</v>
      </c>
      <c r="F1260" s="127" t="n">
        <v>46813</v>
      </c>
      <c r="G1260" s="127" t="n">
        <v>46825</v>
      </c>
      <c r="H1260" s="127" t="n">
        <v>46289</v>
      </c>
      <c r="I1260" s="4" t="n">
        <v>0</v>
      </c>
      <c r="J1260" s="4" t="n">
        <v>0</v>
      </c>
      <c r="K1260" s="4" t="n">
        <v>0</v>
      </c>
      <c r="M1260" s="2" t="str">
        <f aca="false">IF(C1260="","",IFERROR(INDEX($S$5:$S$304,MATCH(C1260,$R$5:$R$304,0))&amp;"","?"))</f>
        <v>20</v>
      </c>
      <c r="N1260" s="2" t="n">
        <f aca="false">IF(E1260="","",IF(ISNUMBER(SEARCH("SUBSOLO",E1260)),IFERROR(-VALUE(LEFT(E1260,FIND("º",SUBSTITUTE(E1260,"°","º"))-1)),-1),IF(LEFT(E1260,6)="TÉRREO",0,IFERROR(VALUE(LEFT(E1260,FIND("º",SUBSTITUTE(E1260,"°","º"))-1)),""))))</f>
        <v>7</v>
      </c>
      <c r="O1260" s="2" t="str">
        <f aca="false">IF(OR(F1260="",G1260=""),"",IF(G1260&lt;='RETRATO 2027'!$K$5,"CONCLUÍDA",IF(F1260&lt;='RETRATO 2027'!$K$5,"EM ANDAMENTO","A INICIAR")))</f>
        <v>A INICIAR</v>
      </c>
    </row>
    <row r="1261" customFormat="false" ht="15" hidden="false" customHeight="false" outlineLevel="0" collapsed="false">
      <c r="B1261" s="4" t="n">
        <v>29981534</v>
      </c>
      <c r="C1261" s="4" t="s">
        <v>2609</v>
      </c>
      <c r="D1261" s="4" t="s">
        <v>463</v>
      </c>
      <c r="E1261" s="4" t="s">
        <v>2803</v>
      </c>
      <c r="F1261" s="127" t="n">
        <v>46813</v>
      </c>
      <c r="G1261" s="127" t="n">
        <v>46825</v>
      </c>
      <c r="H1261" s="127" t="n">
        <v>46289</v>
      </c>
      <c r="I1261" s="4" t="n">
        <v>0</v>
      </c>
      <c r="J1261" s="4" t="n">
        <v>0</v>
      </c>
      <c r="K1261" s="4" t="n">
        <v>0</v>
      </c>
      <c r="M1261" s="2" t="str">
        <f aca="false">IF(C1261="","",IFERROR(INDEX($S$5:$S$304,MATCH(C1261,$R$5:$R$304,0))&amp;"","?"))</f>
        <v>23</v>
      </c>
      <c r="N1261" s="2" t="n">
        <f aca="false">IF(E1261="","",IF(ISNUMBER(SEARCH("SUBSOLO",E1261)),IFERROR(-VALUE(LEFT(E1261,FIND("º",SUBSTITUTE(E1261,"°","º"))-1)),-1),IF(LEFT(E1261,6)="TÉRREO",0,IFERROR(VALUE(LEFT(E1261,FIND("º",SUBSTITUTE(E1261,"°","º"))-1)),""))))</f>
        <v>7</v>
      </c>
      <c r="O1261" s="2" t="str">
        <f aca="false">IF(OR(F1261="",G1261=""),"",IF(G1261&lt;='RETRATO 2027'!$K$5,"CONCLUÍDA",IF(F1261&lt;='RETRATO 2027'!$K$5,"EM ANDAMENTO","A INICIAR")))</f>
        <v>A INICIAR</v>
      </c>
    </row>
    <row r="1262" customFormat="false" ht="15" hidden="false" customHeight="false" outlineLevel="0" collapsed="false">
      <c r="B1262" s="4" t="n">
        <v>29981493</v>
      </c>
      <c r="C1262" s="4" t="s">
        <v>2599</v>
      </c>
      <c r="D1262" s="4" t="s">
        <v>463</v>
      </c>
      <c r="E1262" s="4" t="s">
        <v>2804</v>
      </c>
      <c r="F1262" s="127" t="n">
        <v>46813</v>
      </c>
      <c r="G1262" s="127" t="n">
        <v>46825</v>
      </c>
      <c r="H1262" s="127" t="n">
        <v>46289</v>
      </c>
      <c r="I1262" s="4" t="n">
        <v>0</v>
      </c>
      <c r="J1262" s="4" t="n">
        <v>0</v>
      </c>
      <c r="K1262" s="4" t="n">
        <v>0</v>
      </c>
      <c r="M1262" s="2" t="str">
        <f aca="false">IF(C1262="","",IFERROR(INDEX($S$5:$S$304,MATCH(C1262,$R$5:$R$304,0))&amp;"","?"))</f>
        <v>30</v>
      </c>
      <c r="N1262" s="2" t="n">
        <f aca="false">IF(E1262="","",IF(ISNUMBER(SEARCH("SUBSOLO",E1262)),IFERROR(-VALUE(LEFT(E1262,FIND("º",SUBSTITUTE(E1262,"°","º"))-1)),-1),IF(LEFT(E1262,6)="TÉRREO",0,IFERROR(VALUE(LEFT(E1262,FIND("º",SUBSTITUTE(E1262,"°","º"))-1)),""))))</f>
        <v>8</v>
      </c>
      <c r="O1262" s="2" t="str">
        <f aca="false">IF(OR(F1262="",G1262=""),"",IF(G1262&lt;='RETRATO 2027'!$K$5,"CONCLUÍDA",IF(F1262&lt;='RETRATO 2027'!$K$5,"EM ANDAMENTO","A INICIAR")))</f>
        <v>A INICIAR</v>
      </c>
    </row>
    <row r="1263" customFormat="false" ht="15" hidden="false" customHeight="false" outlineLevel="0" collapsed="false">
      <c r="B1263" s="4" t="n">
        <v>29981455</v>
      </c>
      <c r="C1263" s="4" t="s">
        <v>2578</v>
      </c>
      <c r="D1263" s="4" t="s">
        <v>463</v>
      </c>
      <c r="E1263" s="4" t="s">
        <v>2805</v>
      </c>
      <c r="F1263" s="127" t="n">
        <v>46813</v>
      </c>
      <c r="G1263" s="127" t="n">
        <v>46825</v>
      </c>
      <c r="H1263" s="127" t="n">
        <v>46289</v>
      </c>
      <c r="I1263" s="4" t="n">
        <v>0</v>
      </c>
      <c r="J1263" s="4" t="n">
        <v>0</v>
      </c>
      <c r="K1263" s="4" t="n">
        <v>0</v>
      </c>
      <c r="M1263" s="2" t="str">
        <f aca="false">IF(C1263="","",IFERROR(INDEX($S$5:$S$304,MATCH(C1263,$R$5:$R$304,0))&amp;"","?"))</f>
        <v>25</v>
      </c>
      <c r="N1263" s="2" t="n">
        <f aca="false">IF(E1263="","",IF(ISNUMBER(SEARCH("SUBSOLO",E1263)),IFERROR(-VALUE(LEFT(E1263,FIND("º",SUBSTITUTE(E1263,"°","º"))-1)),-1),IF(LEFT(E1263,6)="TÉRREO",0,IFERROR(VALUE(LEFT(E1263,FIND("º",SUBSTITUTE(E1263,"°","º"))-1)),""))))</f>
        <v>9</v>
      </c>
      <c r="O1263" s="2" t="str">
        <f aca="false">IF(OR(F1263="",G1263=""),"",IF(G1263&lt;='RETRATO 2027'!$K$5,"CONCLUÍDA",IF(F1263&lt;='RETRATO 2027'!$K$5,"EM ANDAMENTO","A INICIAR")))</f>
        <v>A INICIAR</v>
      </c>
    </row>
    <row r="1264" customFormat="false" ht="15" hidden="false" customHeight="false" outlineLevel="0" collapsed="false">
      <c r="B1264" s="4" t="n">
        <v>29981417</v>
      </c>
      <c r="C1264" s="4" t="s">
        <v>2569</v>
      </c>
      <c r="D1264" s="4" t="s">
        <v>463</v>
      </c>
      <c r="E1264" s="4" t="s">
        <v>2809</v>
      </c>
      <c r="F1264" s="127" t="n">
        <v>46813</v>
      </c>
      <c r="G1264" s="127" t="n">
        <v>46825</v>
      </c>
      <c r="H1264" s="127" t="n">
        <v>46289</v>
      </c>
      <c r="I1264" s="4" t="n">
        <v>0</v>
      </c>
      <c r="J1264" s="4" t="n">
        <v>0</v>
      </c>
      <c r="K1264" s="4" t="n">
        <v>0</v>
      </c>
      <c r="M1264" s="2" t="str">
        <f aca="false">IF(C1264="","",IFERROR(INDEX($S$5:$S$304,MATCH(C1264,$R$5:$R$304,0))&amp;"","?"))</f>
        <v>30</v>
      </c>
      <c r="N1264" s="2" t="n">
        <f aca="false">IF(E1264="","",IF(ISNUMBER(SEARCH("SUBSOLO",E1264)),IFERROR(-VALUE(LEFT(E1264,FIND("º",SUBSTITUTE(E1264,"°","º"))-1)),-1),IF(LEFT(E1264,6)="TÉRREO",0,IFERROR(VALUE(LEFT(E1264,FIND("º",SUBSTITUTE(E1264,"°","º"))-1)),""))))</f>
        <v>10</v>
      </c>
      <c r="O1264" s="2" t="str">
        <f aca="false">IF(OR(F1264="",G1264=""),"",IF(G1264&lt;='RETRATO 2027'!$K$5,"CONCLUÍDA",IF(F1264&lt;='RETRATO 2027'!$K$5,"EM ANDAMENTO","A INICIAR")))</f>
        <v>A INICIAR</v>
      </c>
    </row>
    <row r="1265" customFormat="false" ht="15" hidden="false" customHeight="false" outlineLevel="0" collapsed="false">
      <c r="B1265" s="4" t="n">
        <v>29981379</v>
      </c>
      <c r="C1265" s="4" t="s">
        <v>2554</v>
      </c>
      <c r="D1265" s="4" t="s">
        <v>463</v>
      </c>
      <c r="E1265" s="4" t="s">
        <v>2810</v>
      </c>
      <c r="F1265" s="127" t="n">
        <v>46813</v>
      </c>
      <c r="G1265" s="127" t="n">
        <v>46825</v>
      </c>
      <c r="H1265" s="127" t="n">
        <v>46289</v>
      </c>
      <c r="I1265" s="4" t="n">
        <v>0</v>
      </c>
      <c r="J1265" s="4" t="n">
        <v>0</v>
      </c>
      <c r="K1265" s="4" t="n">
        <v>0</v>
      </c>
      <c r="M1265" s="2" t="str">
        <f aca="false">IF(C1265="","",IFERROR(INDEX($S$5:$S$304,MATCH(C1265,$R$5:$R$304,0))&amp;"","?"))</f>
        <v>35</v>
      </c>
      <c r="N1265" s="2" t="n">
        <f aca="false">IF(E1265="","",IF(ISNUMBER(SEARCH("SUBSOLO",E1265)),IFERROR(-VALUE(LEFT(E1265,FIND("º",SUBSTITUTE(E1265,"°","º"))-1)),-1),IF(LEFT(E1265,6)="TÉRREO",0,IFERROR(VALUE(LEFT(E1265,FIND("º",SUBSTITUTE(E1265,"°","º"))-1)),""))))</f>
        <v>11</v>
      </c>
      <c r="O1265" s="2" t="str">
        <f aca="false">IF(OR(F1265="",G1265=""),"",IF(G1265&lt;='RETRATO 2027'!$K$5,"CONCLUÍDA",IF(F1265&lt;='RETRATO 2027'!$K$5,"EM ANDAMENTO","A INICIAR")))</f>
        <v>A INICIAR</v>
      </c>
    </row>
    <row r="1266" customFormat="false" ht="15" hidden="false" customHeight="false" outlineLevel="0" collapsed="false">
      <c r="B1266" s="4" t="n">
        <v>29981368</v>
      </c>
      <c r="C1266" s="4" t="s">
        <v>2539</v>
      </c>
      <c r="D1266" s="4" t="s">
        <v>463</v>
      </c>
      <c r="E1266" s="4" t="s">
        <v>2811</v>
      </c>
      <c r="F1266" s="127" t="n">
        <v>46813</v>
      </c>
      <c r="G1266" s="127" t="n">
        <v>46825</v>
      </c>
      <c r="H1266" s="127" t="n">
        <v>46289</v>
      </c>
      <c r="I1266" s="4" t="n">
        <v>0</v>
      </c>
      <c r="J1266" s="4" t="n">
        <v>0</v>
      </c>
      <c r="K1266" s="4" t="n">
        <v>0</v>
      </c>
      <c r="M1266" s="2" t="str">
        <f aca="false">IF(C1266="","",IFERROR(INDEX($S$5:$S$304,MATCH(C1266,$R$5:$R$304,0))&amp;"","?"))</f>
        <v>35</v>
      </c>
      <c r="N1266" s="2" t="n">
        <f aca="false">IF(E1266="","",IF(ISNUMBER(SEARCH("SUBSOLO",E1266)),IFERROR(-VALUE(LEFT(E1266,FIND("º",SUBSTITUTE(E1266,"°","º"))-1)),-1),IF(LEFT(E1266,6)="TÉRREO",0,IFERROR(VALUE(LEFT(E1266,FIND("º",SUBSTITUTE(E1266,"°","º"))-1)),""))))</f>
        <v>12</v>
      </c>
      <c r="O1266" s="2" t="str">
        <f aca="false">IF(OR(F1266="",G1266=""),"",IF(G1266&lt;='RETRATO 2027'!$K$5,"CONCLUÍDA",IF(F1266&lt;='RETRATO 2027'!$K$5,"EM ANDAMENTO","A INICIAR")))</f>
        <v>A INICIAR</v>
      </c>
    </row>
    <row r="1267" customFormat="false" ht="15" hidden="false" customHeight="false" outlineLevel="0" collapsed="false">
      <c r="B1267" s="4" t="n">
        <v>33898094</v>
      </c>
      <c r="C1267" s="4" t="s">
        <v>2545</v>
      </c>
      <c r="D1267" s="4" t="s">
        <v>463</v>
      </c>
      <c r="E1267" s="4" t="s">
        <v>2812</v>
      </c>
      <c r="F1267" s="127" t="n">
        <v>46813</v>
      </c>
      <c r="G1267" s="127" t="n">
        <v>46825</v>
      </c>
      <c r="H1267" s="127" t="n">
        <v>46289</v>
      </c>
      <c r="I1267" s="4" t="n">
        <v>0</v>
      </c>
      <c r="J1267" s="4" t="n">
        <v>0</v>
      </c>
      <c r="K1267" s="4" t="n">
        <v>0</v>
      </c>
      <c r="M1267" s="2" t="str">
        <f aca="false">IF(C1267="","",IFERROR(INDEX($S$5:$S$304,MATCH(C1267,$R$5:$R$304,0))&amp;"","?"))</f>
        <v>25</v>
      </c>
      <c r="N1267" s="2" t="n">
        <f aca="false">IF(E1267="","",IF(ISNUMBER(SEARCH("SUBSOLO",E1267)),IFERROR(-VALUE(LEFT(E1267,FIND("º",SUBSTITUTE(E1267,"°","º"))-1)),-1),IF(LEFT(E1267,6)="TÉRREO",0,IFERROR(VALUE(LEFT(E1267,FIND("º",SUBSTITUTE(E1267,"°","º"))-1)),""))))</f>
        <v>13</v>
      </c>
      <c r="O1267" s="2" t="str">
        <f aca="false">IF(OR(F1267="",G1267=""),"",IF(G1267&lt;='RETRATO 2027'!$K$5,"CONCLUÍDA",IF(F1267&lt;='RETRATO 2027'!$K$5,"EM ANDAMENTO","A INICIAR")))</f>
        <v>A INICIAR</v>
      </c>
    </row>
    <row r="1268" customFormat="false" ht="15" hidden="false" customHeight="false" outlineLevel="0" collapsed="false">
      <c r="B1268" s="4" t="n">
        <v>30205729</v>
      </c>
      <c r="C1268" s="4" t="s">
        <v>2511</v>
      </c>
      <c r="D1268" s="4" t="s">
        <v>463</v>
      </c>
      <c r="E1268" s="4" t="s">
        <v>2740</v>
      </c>
      <c r="F1268" s="127" t="n">
        <v>46814</v>
      </c>
      <c r="G1268" s="127" t="n">
        <v>46843</v>
      </c>
      <c r="H1268" s="127" t="n">
        <v>46289</v>
      </c>
      <c r="I1268" s="4" t="n">
        <v>0</v>
      </c>
      <c r="J1268" s="4" t="n">
        <v>0</v>
      </c>
      <c r="K1268" s="4" t="n">
        <v>0</v>
      </c>
      <c r="M1268" s="2" t="str">
        <f aca="false">IF(C1268="","",IFERROR(INDEX($S$5:$S$304,MATCH(C1268,$R$5:$R$304,0))&amp;"","?"))</f>
        <v>20</v>
      </c>
      <c r="N1268" s="2" t="n">
        <f aca="false">IF(E1268="","",IF(ISNUMBER(SEARCH("SUBSOLO",E1268)),IFERROR(-VALUE(LEFT(E1268,FIND("º",SUBSTITUTE(E1268,"°","º"))-1)),-1),IF(LEFT(E1268,6)="TÉRREO",0,IFERROR(VALUE(LEFT(E1268,FIND("º",SUBSTITUTE(E1268,"°","º"))-1)),""))))</f>
        <v>-1</v>
      </c>
      <c r="O1268" s="2" t="str">
        <f aca="false">IF(OR(F1268="",G1268=""),"",IF(G1268&lt;='RETRATO 2027'!$K$5,"CONCLUÍDA",IF(F1268&lt;='RETRATO 2027'!$K$5,"EM ANDAMENTO","A INICIAR")))</f>
        <v>A INICIAR</v>
      </c>
    </row>
    <row r="1269" customFormat="false" ht="15" hidden="false" customHeight="false" outlineLevel="0" collapsed="false">
      <c r="B1269" s="4" t="n">
        <v>29981181</v>
      </c>
      <c r="C1269" s="4" t="s">
        <v>216</v>
      </c>
      <c r="D1269" s="4" t="s">
        <v>463</v>
      </c>
      <c r="E1269" s="4" t="s">
        <v>2818</v>
      </c>
      <c r="F1269" s="127" t="n">
        <v>46814</v>
      </c>
      <c r="G1269" s="127" t="n">
        <v>46826</v>
      </c>
      <c r="H1269" s="127" t="n">
        <v>46289</v>
      </c>
      <c r="I1269" s="4" t="n">
        <v>0</v>
      </c>
      <c r="J1269" s="4" t="n">
        <v>0</v>
      </c>
      <c r="K1269" s="4" t="n">
        <v>0</v>
      </c>
      <c r="M1269" s="2" t="str">
        <f aca="false">IF(C1269="","",IFERROR(INDEX($S$5:$S$304,MATCH(C1269,$R$5:$R$304,0))&amp;"","?"))</f>
        <v>33</v>
      </c>
      <c r="N1269" s="2" t="n">
        <f aca="false">IF(E1269="","",IF(ISNUMBER(SEARCH("SUBSOLO",E1269)),IFERROR(-VALUE(LEFT(E1269,FIND("º",SUBSTITUTE(E1269,"°","º"))-1)),-1),IF(LEFT(E1269,6)="TÉRREO",0,IFERROR(VALUE(LEFT(E1269,FIND("º",SUBSTITUTE(E1269,"°","º"))-1)),""))))</f>
        <v>17</v>
      </c>
      <c r="O1269" s="2" t="str">
        <f aca="false">IF(OR(F1269="",G1269=""),"",IF(G1269&lt;='RETRATO 2027'!$K$5,"CONCLUÍDA",IF(F1269&lt;='RETRATO 2027'!$K$5,"EM ANDAMENTO","A INICIAR")))</f>
        <v>A INICIAR</v>
      </c>
    </row>
    <row r="1270" customFormat="false" ht="15" hidden="false" customHeight="false" outlineLevel="0" collapsed="false">
      <c r="B1270" s="4" t="n">
        <v>29981142</v>
      </c>
      <c r="C1270" s="4" t="s">
        <v>2508</v>
      </c>
      <c r="D1270" s="4" t="s">
        <v>463</v>
      </c>
      <c r="E1270" s="4" t="s">
        <v>2820</v>
      </c>
      <c r="F1270" s="127" t="n">
        <v>46814</v>
      </c>
      <c r="G1270" s="127" t="n">
        <v>46826</v>
      </c>
      <c r="H1270" s="127" t="n">
        <v>46289</v>
      </c>
      <c r="I1270" s="4" t="n">
        <v>0</v>
      </c>
      <c r="J1270" s="4" t="n">
        <v>0</v>
      </c>
      <c r="K1270" s="4" t="n">
        <v>0</v>
      </c>
      <c r="M1270" s="2" t="str">
        <f aca="false">IF(C1270="","",IFERROR(INDEX($S$5:$S$304,MATCH(C1270,$R$5:$R$304,0))&amp;"","?"))</f>
        <v>20</v>
      </c>
      <c r="N1270" s="2" t="n">
        <f aca="false">IF(E1270="","",IF(ISNUMBER(SEARCH("SUBSOLO",E1270)),IFERROR(-VALUE(LEFT(E1270,FIND("º",SUBSTITUTE(E1270,"°","º"))-1)),-1),IF(LEFT(E1270,6)="TÉRREO",0,IFERROR(VALUE(LEFT(E1270,FIND("º",SUBSTITUTE(E1270,"°","º"))-1)),""))))</f>
        <v>18</v>
      </c>
      <c r="O1270" s="2" t="str">
        <f aca="false">IF(OR(F1270="",G1270=""),"",IF(G1270&lt;='RETRATO 2027'!$K$5,"CONCLUÍDA",IF(F1270&lt;='RETRATO 2027'!$K$5,"EM ANDAMENTO","A INICIAR")))</f>
        <v>A INICIAR</v>
      </c>
    </row>
    <row r="1271" customFormat="false" ht="15" hidden="false" customHeight="false" outlineLevel="0" collapsed="false">
      <c r="B1271" s="4" t="n">
        <v>29981147</v>
      </c>
      <c r="C1271" s="4" t="s">
        <v>2511</v>
      </c>
      <c r="D1271" s="4" t="s">
        <v>463</v>
      </c>
      <c r="E1271" s="4" t="s">
        <v>2820</v>
      </c>
      <c r="F1271" s="127" t="n">
        <v>46814</v>
      </c>
      <c r="G1271" s="127" t="n">
        <v>46826</v>
      </c>
      <c r="H1271" s="127" t="n">
        <v>46289</v>
      </c>
      <c r="I1271" s="4" t="n">
        <v>0</v>
      </c>
      <c r="J1271" s="4" t="n">
        <v>0</v>
      </c>
      <c r="K1271" s="4" t="n">
        <v>0</v>
      </c>
      <c r="M1271" s="2" t="str">
        <f aca="false">IF(C1271="","",IFERROR(INDEX($S$5:$S$304,MATCH(C1271,$R$5:$R$304,0))&amp;"","?"))</f>
        <v>20</v>
      </c>
      <c r="N1271" s="2" t="n">
        <f aca="false">IF(E1271="","",IF(ISNUMBER(SEARCH("SUBSOLO",E1271)),IFERROR(-VALUE(LEFT(E1271,FIND("º",SUBSTITUTE(E1271,"°","º"))-1)),-1),IF(LEFT(E1271,6)="TÉRREO",0,IFERROR(VALUE(LEFT(E1271,FIND("º",SUBSTITUTE(E1271,"°","º"))-1)),""))))</f>
        <v>18</v>
      </c>
      <c r="O1271" s="2" t="str">
        <f aca="false">IF(OR(F1271="",G1271=""),"",IF(G1271&lt;='RETRATO 2027'!$K$5,"CONCLUÍDA",IF(F1271&lt;='RETRATO 2027'!$K$5,"EM ANDAMENTO","A INICIAR")))</f>
        <v>A INICIAR</v>
      </c>
    </row>
    <row r="1272" customFormat="false" ht="15" hidden="false" customHeight="false" outlineLevel="0" collapsed="false">
      <c r="B1272" s="4" t="n">
        <v>30214080</v>
      </c>
      <c r="C1272" s="4" t="s">
        <v>2514</v>
      </c>
      <c r="D1272" s="4" t="s">
        <v>463</v>
      </c>
      <c r="E1272" s="4" t="s">
        <v>2820</v>
      </c>
      <c r="F1272" s="127" t="n">
        <v>46814</v>
      </c>
      <c r="G1272" s="127" t="n">
        <v>46827</v>
      </c>
      <c r="H1272" s="127" t="n">
        <v>46289</v>
      </c>
      <c r="I1272" s="4" t="n">
        <v>0</v>
      </c>
      <c r="J1272" s="4" t="n">
        <v>0</v>
      </c>
      <c r="K1272" s="4" t="n">
        <v>0</v>
      </c>
      <c r="M1272" s="2" t="str">
        <f aca="false">IF(C1272="","",IFERROR(INDEX($S$5:$S$304,MATCH(C1272,$R$5:$R$304,0))&amp;"","?"))</f>
        <v>20</v>
      </c>
      <c r="N1272" s="2" t="n">
        <f aca="false">IF(E1272="","",IF(ISNUMBER(SEARCH("SUBSOLO",E1272)),IFERROR(-VALUE(LEFT(E1272,FIND("º",SUBSTITUTE(E1272,"°","º"))-1)),-1),IF(LEFT(E1272,6)="TÉRREO",0,IFERROR(VALUE(LEFT(E1272,FIND("º",SUBSTITUTE(E1272,"°","º"))-1)),""))))</f>
        <v>18</v>
      </c>
      <c r="O1272" s="2" t="str">
        <f aca="false">IF(OR(F1272="",G1272=""),"",IF(G1272&lt;='RETRATO 2027'!$K$5,"CONCLUÍDA",IF(F1272&lt;='RETRATO 2027'!$K$5,"EM ANDAMENTO","A INICIAR")))</f>
        <v>A INICIAR</v>
      </c>
    </row>
    <row r="1273" customFormat="false" ht="15" hidden="false" customHeight="false" outlineLevel="0" collapsed="false">
      <c r="B1273" s="4" t="n">
        <v>29981052</v>
      </c>
      <c r="C1273" s="4" t="s">
        <v>2501</v>
      </c>
      <c r="D1273" s="4" t="s">
        <v>463</v>
      </c>
      <c r="E1273" s="4" t="s">
        <v>2823</v>
      </c>
      <c r="F1273" s="127" t="n">
        <v>46814</v>
      </c>
      <c r="G1273" s="127" t="n">
        <v>46826</v>
      </c>
      <c r="H1273" s="127" t="n">
        <v>46289</v>
      </c>
      <c r="I1273" s="4" t="n">
        <v>0</v>
      </c>
      <c r="J1273" s="4" t="n">
        <v>0</v>
      </c>
      <c r="K1273" s="4" t="n">
        <v>0</v>
      </c>
      <c r="M1273" s="2" t="str">
        <f aca="false">IF(C1273="","",IFERROR(INDEX($S$5:$S$304,MATCH(C1273,$R$5:$R$304,0))&amp;"","?"))</f>
        <v>30</v>
      </c>
      <c r="N1273" s="2" t="n">
        <f aca="false">IF(E1273="","",IF(ISNUMBER(SEARCH("SUBSOLO",E1273)),IFERROR(-VALUE(LEFT(E1273,FIND("º",SUBSTITUTE(E1273,"°","º"))-1)),-1),IF(LEFT(E1273,6)="TÉRREO",0,IFERROR(VALUE(LEFT(E1273,FIND("º",SUBSTITUTE(E1273,"°","º"))-1)),""))))</f>
        <v>20</v>
      </c>
      <c r="O1273" s="2" t="str">
        <f aca="false">IF(OR(F1273="",G1273=""),"",IF(G1273&lt;='RETRATO 2027'!$K$5,"CONCLUÍDA",IF(F1273&lt;='RETRATO 2027'!$K$5,"EM ANDAMENTO","A INICIAR")))</f>
        <v>A INICIAR</v>
      </c>
    </row>
    <row r="1274" customFormat="false" ht="15" hidden="false" customHeight="false" outlineLevel="0" collapsed="false">
      <c r="B1274" s="4" t="n">
        <v>29981014</v>
      </c>
      <c r="C1274" s="4" t="s">
        <v>2486</v>
      </c>
      <c r="D1274" s="4" t="s">
        <v>463</v>
      </c>
      <c r="E1274" s="4" t="s">
        <v>2825</v>
      </c>
      <c r="F1274" s="127" t="n">
        <v>46814</v>
      </c>
      <c r="G1274" s="127" t="n">
        <v>46826</v>
      </c>
      <c r="H1274" s="127" t="n">
        <v>46289</v>
      </c>
      <c r="I1274" s="4" t="n">
        <v>0</v>
      </c>
      <c r="J1274" s="4" t="n">
        <v>0</v>
      </c>
      <c r="K1274" s="4" t="n">
        <v>0</v>
      </c>
      <c r="M1274" s="2" t="str">
        <f aca="false">IF(C1274="","",IFERROR(INDEX($S$5:$S$304,MATCH(C1274,$R$5:$R$304,0))&amp;"","?"))</f>
        <v>30</v>
      </c>
      <c r="N1274" s="2" t="n">
        <f aca="false">IF(E1274="","",IF(ISNUMBER(SEARCH("SUBSOLO",E1274)),IFERROR(-VALUE(LEFT(E1274,FIND("º",SUBSTITUTE(E1274,"°","º"))-1)),-1),IF(LEFT(E1274,6)="TÉRREO",0,IFERROR(VALUE(LEFT(E1274,FIND("º",SUBSTITUTE(E1274,"°","º"))-1)),""))))</f>
        <v>21</v>
      </c>
      <c r="O1274" s="2" t="str">
        <f aca="false">IF(OR(F1274="",G1274=""),"",IF(G1274&lt;='RETRATO 2027'!$K$5,"CONCLUÍDA",IF(F1274&lt;='RETRATO 2027'!$K$5,"EM ANDAMENTO","A INICIAR")))</f>
        <v>A INICIAR</v>
      </c>
    </row>
    <row r="1275" customFormat="false" ht="15" hidden="false" customHeight="false" outlineLevel="0" collapsed="false">
      <c r="B1275" s="4" t="n">
        <v>29980993</v>
      </c>
      <c r="C1275" s="4" t="s">
        <v>2480</v>
      </c>
      <c r="D1275" s="4" t="s">
        <v>463</v>
      </c>
      <c r="E1275" s="4" t="s">
        <v>2827</v>
      </c>
      <c r="F1275" s="127" t="n">
        <v>46814</v>
      </c>
      <c r="G1275" s="127" t="n">
        <v>46826</v>
      </c>
      <c r="H1275" s="127" t="n">
        <v>46289</v>
      </c>
      <c r="I1275" s="4" t="n">
        <v>0</v>
      </c>
      <c r="J1275" s="4" t="n">
        <v>0</v>
      </c>
      <c r="K1275" s="4" t="n">
        <v>0</v>
      </c>
      <c r="M1275" s="2" t="str">
        <f aca="false">IF(C1275="","",IFERROR(INDEX($S$5:$S$304,MATCH(C1275,$R$5:$R$304,0))&amp;"","?"))</f>
        <v>30</v>
      </c>
      <c r="N1275" s="2" t="n">
        <f aca="false">IF(E1275="","",IF(ISNUMBER(SEARCH("SUBSOLO",E1275)),IFERROR(-VALUE(LEFT(E1275,FIND("º",SUBSTITUTE(E1275,"°","º"))-1)),-1),IF(LEFT(E1275,6)="TÉRREO",0,IFERROR(VALUE(LEFT(E1275,FIND("º",SUBSTITUTE(E1275,"°","º"))-1)),""))))</f>
        <v>22</v>
      </c>
      <c r="O1275" s="2" t="str">
        <f aca="false">IF(OR(F1275="",G1275=""),"",IF(G1275&lt;='RETRATO 2027'!$K$5,"CONCLUÍDA",IF(F1275&lt;='RETRATO 2027'!$K$5,"EM ANDAMENTO","A INICIAR")))</f>
        <v>A INICIAR</v>
      </c>
    </row>
    <row r="1276" customFormat="false" ht="15" hidden="false" customHeight="false" outlineLevel="0" collapsed="false">
      <c r="B1276" s="4" t="n">
        <v>29980954</v>
      </c>
      <c r="C1276" s="4" t="s">
        <v>171</v>
      </c>
      <c r="D1276" s="4" t="s">
        <v>463</v>
      </c>
      <c r="E1276" s="4" t="s">
        <v>2829</v>
      </c>
      <c r="F1276" s="127" t="n">
        <v>46814</v>
      </c>
      <c r="G1276" s="127" t="n">
        <v>46826</v>
      </c>
      <c r="H1276" s="127" t="n">
        <v>46289</v>
      </c>
      <c r="I1276" s="4" t="n">
        <v>0</v>
      </c>
      <c r="J1276" s="4" t="n">
        <v>0</v>
      </c>
      <c r="K1276" s="4" t="n">
        <v>0</v>
      </c>
      <c r="M1276" s="2" t="str">
        <f aca="false">IF(C1276="","",IFERROR(INDEX($S$5:$S$304,MATCH(C1276,$R$5:$R$304,0))&amp;"","?"))</f>
        <v>19</v>
      </c>
      <c r="N1276" s="2" t="n">
        <f aca="false">IF(E1276="","",IF(ISNUMBER(SEARCH("SUBSOLO",E1276)),IFERROR(-VALUE(LEFT(E1276,FIND("º",SUBSTITUTE(E1276,"°","º"))-1)),-1),IF(LEFT(E1276,6)="TÉRREO",0,IFERROR(VALUE(LEFT(E1276,FIND("º",SUBSTITUTE(E1276,"°","º"))-1)),""))))</f>
        <v>23</v>
      </c>
      <c r="O1276" s="2" t="str">
        <f aca="false">IF(OR(F1276="",G1276=""),"",IF(G1276&lt;='RETRATO 2027'!$K$5,"CONCLUÍDA",IF(F1276&lt;='RETRATO 2027'!$K$5,"EM ANDAMENTO","A INICIAR")))</f>
        <v>A INICIAR</v>
      </c>
    </row>
    <row r="1277" customFormat="false" ht="15" hidden="false" customHeight="false" outlineLevel="0" collapsed="false">
      <c r="B1277" s="4" t="n">
        <v>32750450</v>
      </c>
      <c r="C1277" s="4" t="s">
        <v>2470</v>
      </c>
      <c r="D1277" s="4" t="s">
        <v>463</v>
      </c>
      <c r="E1277" s="4" t="s">
        <v>2831</v>
      </c>
      <c r="F1277" s="127" t="n">
        <v>46814</v>
      </c>
      <c r="G1277" s="127" t="n">
        <v>46826</v>
      </c>
      <c r="H1277" s="127" t="n">
        <v>46289</v>
      </c>
      <c r="I1277" s="4" t="n">
        <v>0</v>
      </c>
      <c r="J1277" s="4" t="n">
        <v>0</v>
      </c>
      <c r="K1277" s="4" t="n">
        <v>0</v>
      </c>
      <c r="M1277" s="2" t="str">
        <f aca="false">IF(C1277="","",IFERROR(INDEX($S$5:$S$304,MATCH(C1277,$R$5:$R$304,0))&amp;"","?"))</f>
        <v>18</v>
      </c>
      <c r="N1277" s="2" t="n">
        <f aca="false">IF(E1277="","",IF(ISNUMBER(SEARCH("SUBSOLO",E1277)),IFERROR(-VALUE(LEFT(E1277,FIND("º",SUBSTITUTE(E1277,"°","º"))-1)),-1),IF(LEFT(E1277,6)="TÉRREO",0,IFERROR(VALUE(LEFT(E1277,FIND("º",SUBSTITUTE(E1277,"°","º"))-1)),""))))</f>
        <v>24</v>
      </c>
      <c r="O1277" s="2" t="str">
        <f aca="false">IF(OR(F1277="",G1277=""),"",IF(G1277&lt;='RETRATO 2027'!$K$5,"CONCLUÍDA",IF(F1277&lt;='RETRATO 2027'!$K$5,"EM ANDAMENTO","A INICIAR")))</f>
        <v>A INICIAR</v>
      </c>
    </row>
    <row r="1278" customFormat="false" ht="15" hidden="false" customHeight="false" outlineLevel="0" collapsed="false">
      <c r="B1278" s="4" t="n">
        <v>32750373</v>
      </c>
      <c r="C1278" s="4" t="s">
        <v>2458</v>
      </c>
      <c r="D1278" s="4" t="s">
        <v>463</v>
      </c>
      <c r="E1278" s="4" t="s">
        <v>2833</v>
      </c>
      <c r="F1278" s="127" t="n">
        <v>46814</v>
      </c>
      <c r="G1278" s="127" t="n">
        <v>46826</v>
      </c>
      <c r="H1278" s="127" t="n">
        <v>46289</v>
      </c>
      <c r="I1278" s="4" t="n">
        <v>0</v>
      </c>
      <c r="J1278" s="4" t="n">
        <v>0</v>
      </c>
      <c r="K1278" s="4" t="n">
        <v>0</v>
      </c>
      <c r="M1278" s="2" t="str">
        <f aca="false">IF(C1278="","",IFERROR(INDEX($S$5:$S$304,MATCH(C1278,$R$5:$R$304,0))&amp;"","?"))</f>
        <v>21</v>
      </c>
      <c r="N1278" s="2" t="n">
        <f aca="false">IF(E1278="","",IF(ISNUMBER(SEARCH("SUBSOLO",E1278)),IFERROR(-VALUE(LEFT(E1278,FIND("º",SUBSTITUTE(E1278,"°","º"))-1)),-1),IF(LEFT(E1278,6)="TÉRREO",0,IFERROR(VALUE(LEFT(E1278,FIND("º",SUBSTITUTE(E1278,"°","º"))-1)),""))))</f>
        <v>25</v>
      </c>
      <c r="O1278" s="2" t="str">
        <f aca="false">IF(OR(F1278="",G1278=""),"",IF(G1278&lt;='RETRATO 2027'!$K$5,"CONCLUÍDA",IF(F1278&lt;='RETRATO 2027'!$K$5,"EM ANDAMENTO","A INICIAR")))</f>
        <v>A INICIAR</v>
      </c>
    </row>
    <row r="1279" customFormat="false" ht="15" hidden="false" customHeight="false" outlineLevel="0" collapsed="false">
      <c r="B1279" s="4" t="n">
        <v>32750399</v>
      </c>
      <c r="C1279" s="4" t="s">
        <v>2461</v>
      </c>
      <c r="D1279" s="4" t="s">
        <v>463</v>
      </c>
      <c r="E1279" s="4" t="s">
        <v>2833</v>
      </c>
      <c r="F1279" s="127" t="n">
        <v>46814</v>
      </c>
      <c r="G1279" s="127" t="n">
        <v>46826</v>
      </c>
      <c r="H1279" s="127" t="n">
        <v>46289</v>
      </c>
      <c r="I1279" s="4" t="n">
        <v>0</v>
      </c>
      <c r="J1279" s="4" t="n">
        <v>0</v>
      </c>
      <c r="K1279" s="4" t="n">
        <v>0</v>
      </c>
      <c r="M1279" s="2" t="str">
        <f aca="false">IF(C1279="","",IFERROR(INDEX($S$5:$S$304,MATCH(C1279,$R$5:$R$304,0))&amp;"","?"))</f>
        <v>20</v>
      </c>
      <c r="N1279" s="2" t="n">
        <f aca="false">IF(E1279="","",IF(ISNUMBER(SEARCH("SUBSOLO",E1279)),IFERROR(-VALUE(LEFT(E1279,FIND("º",SUBSTITUTE(E1279,"°","º"))-1)),-1),IF(LEFT(E1279,6)="TÉRREO",0,IFERROR(VALUE(LEFT(E1279,FIND("º",SUBSTITUTE(E1279,"°","º"))-1)),""))))</f>
        <v>25</v>
      </c>
      <c r="O1279" s="2" t="str">
        <f aca="false">IF(OR(F1279="",G1279=""),"",IF(G1279&lt;='RETRATO 2027'!$K$5,"CONCLUÍDA",IF(F1279&lt;='RETRATO 2027'!$K$5,"EM ANDAMENTO","A INICIAR")))</f>
        <v>A INICIAR</v>
      </c>
    </row>
    <row r="1280" customFormat="false" ht="15" hidden="false" customHeight="false" outlineLevel="0" collapsed="false">
      <c r="B1280" s="4" t="n">
        <v>32750425</v>
      </c>
      <c r="C1280" s="4" t="s">
        <v>2464</v>
      </c>
      <c r="D1280" s="4" t="s">
        <v>463</v>
      </c>
      <c r="E1280" s="4" t="s">
        <v>2833</v>
      </c>
      <c r="F1280" s="127" t="n">
        <v>46814</v>
      </c>
      <c r="G1280" s="127" t="n">
        <v>46826</v>
      </c>
      <c r="H1280" s="127" t="n">
        <v>46289</v>
      </c>
      <c r="I1280" s="4" t="n">
        <v>0</v>
      </c>
      <c r="J1280" s="4" t="n">
        <v>0</v>
      </c>
      <c r="K1280" s="4" t="n">
        <v>0</v>
      </c>
      <c r="M1280" s="2" t="str">
        <f aca="false">IF(C1280="","",IFERROR(INDEX($S$5:$S$304,MATCH(C1280,$R$5:$R$304,0))&amp;"","?"))</f>
        <v>21</v>
      </c>
      <c r="N1280" s="2" t="n">
        <f aca="false">IF(E1280="","",IF(ISNUMBER(SEARCH("SUBSOLO",E1280)),IFERROR(-VALUE(LEFT(E1280,FIND("º",SUBSTITUTE(E1280,"°","º"))-1)),-1),IF(LEFT(E1280,6)="TÉRREO",0,IFERROR(VALUE(LEFT(E1280,FIND("º",SUBSTITUTE(E1280,"°","º"))-1)),""))))</f>
        <v>25</v>
      </c>
      <c r="O1280" s="2" t="str">
        <f aca="false">IF(OR(F1280="",G1280=""),"",IF(G1280&lt;='RETRATO 2027'!$K$5,"CONCLUÍDA",IF(F1280&lt;='RETRATO 2027'!$K$5,"EM ANDAMENTO","A INICIAR")))</f>
        <v>A INICIAR</v>
      </c>
    </row>
    <row r="1281" customFormat="false" ht="15" hidden="false" customHeight="false" outlineLevel="0" collapsed="false">
      <c r="B1281" s="4" t="n">
        <v>33896843</v>
      </c>
      <c r="C1281" s="4" t="s">
        <v>2467</v>
      </c>
      <c r="D1281" s="4" t="s">
        <v>463</v>
      </c>
      <c r="E1281" s="4" t="s">
        <v>2833</v>
      </c>
      <c r="F1281" s="127" t="n">
        <v>46814</v>
      </c>
      <c r="G1281" s="127" t="n">
        <v>46826</v>
      </c>
      <c r="H1281" s="127" t="n">
        <v>46289</v>
      </c>
      <c r="I1281" s="4" t="n">
        <v>0</v>
      </c>
      <c r="J1281" s="4" t="n">
        <v>0</v>
      </c>
      <c r="K1281" s="4" t="n">
        <v>0</v>
      </c>
      <c r="M1281" s="2" t="str">
        <f aca="false">IF(C1281="","",IFERROR(INDEX($S$5:$S$304,MATCH(C1281,$R$5:$R$304,0))&amp;"","?"))</f>
        <v>23</v>
      </c>
      <c r="N1281" s="2" t="n">
        <f aca="false">IF(E1281="","",IF(ISNUMBER(SEARCH("SUBSOLO",E1281)),IFERROR(-VALUE(LEFT(E1281,FIND("º",SUBSTITUTE(E1281,"°","º"))-1)),-1),IF(LEFT(E1281,6)="TÉRREO",0,IFERROR(VALUE(LEFT(E1281,FIND("º",SUBSTITUTE(E1281,"°","º"))-1)),""))))</f>
        <v>25</v>
      </c>
      <c r="O1281" s="2" t="str">
        <f aca="false">IF(OR(F1281="",G1281=""),"",IF(G1281&lt;='RETRATO 2027'!$K$5,"CONCLUÍDA",IF(F1281&lt;='RETRATO 2027'!$K$5,"EM ANDAMENTO","A INICIAR")))</f>
        <v>A INICIAR</v>
      </c>
    </row>
    <row r="1282" customFormat="false" ht="15" hidden="false" customHeight="false" outlineLevel="0" collapsed="false">
      <c r="B1282" s="4" t="n">
        <v>32749869</v>
      </c>
      <c r="C1282" s="4" t="s">
        <v>2455</v>
      </c>
      <c r="D1282" s="4" t="s">
        <v>463</v>
      </c>
      <c r="E1282" s="4" t="s">
        <v>2834</v>
      </c>
      <c r="F1282" s="127" t="n">
        <v>46814</v>
      </c>
      <c r="G1282" s="127" t="n">
        <v>46826</v>
      </c>
      <c r="H1282" s="127" t="n">
        <v>46289</v>
      </c>
      <c r="I1282" s="4" t="n">
        <v>0</v>
      </c>
      <c r="J1282" s="4" t="n">
        <v>0</v>
      </c>
      <c r="K1282" s="4" t="n">
        <v>0</v>
      </c>
      <c r="M1282" s="2" t="str">
        <f aca="false">IF(C1282="","",IFERROR(INDEX($S$5:$S$304,MATCH(C1282,$R$5:$R$304,0))&amp;"","?"))</f>
        <v>18</v>
      </c>
      <c r="N1282" s="2" t="n">
        <f aca="false">IF(E1282="","",IF(ISNUMBER(SEARCH("SUBSOLO",E1282)),IFERROR(-VALUE(LEFT(E1282,FIND("º",SUBSTITUTE(E1282,"°","º"))-1)),-1),IF(LEFT(E1282,6)="TÉRREO",0,IFERROR(VALUE(LEFT(E1282,FIND("º",SUBSTITUTE(E1282,"°","º"))-1)),""))))</f>
        <v>26</v>
      </c>
      <c r="O1282" s="2" t="str">
        <f aca="false">IF(OR(F1282="",G1282=""),"",IF(G1282&lt;='RETRATO 2027'!$K$5,"CONCLUÍDA",IF(F1282&lt;='RETRATO 2027'!$K$5,"EM ANDAMENTO","A INICIAR")))</f>
        <v>A INICIAR</v>
      </c>
    </row>
    <row r="1283" customFormat="false" ht="15" hidden="false" customHeight="false" outlineLevel="0" collapsed="false">
      <c r="B1283" s="4" t="n">
        <v>29980807</v>
      </c>
      <c r="C1283" s="4" t="s">
        <v>2449</v>
      </c>
      <c r="D1283" s="4" t="s">
        <v>463</v>
      </c>
      <c r="E1283" s="4" t="s">
        <v>2838</v>
      </c>
      <c r="F1283" s="127" t="n">
        <v>46814</v>
      </c>
      <c r="G1283" s="127" t="n">
        <v>46826</v>
      </c>
      <c r="H1283" s="127" t="n">
        <v>46289</v>
      </c>
      <c r="I1283" s="4" t="n">
        <v>0</v>
      </c>
      <c r="J1283" s="4" t="n">
        <v>0</v>
      </c>
      <c r="K1283" s="4" t="n">
        <v>0</v>
      </c>
      <c r="M1283" s="2" t="str">
        <f aca="false">IF(C1283="","",IFERROR(INDEX($S$5:$S$304,MATCH(C1283,$R$5:$R$304,0))&amp;"","?"))</f>
        <v>28</v>
      </c>
      <c r="N1283" s="2" t="n">
        <f aca="false">IF(E1283="","",IF(ISNUMBER(SEARCH("SUBSOLO",E1283)),IFERROR(-VALUE(LEFT(E1283,FIND("º",SUBSTITUTE(E1283,"°","º"))-1)),-1),IF(LEFT(E1283,6)="TÉRREO",0,IFERROR(VALUE(LEFT(E1283,FIND("º",SUBSTITUTE(E1283,"°","º"))-1)),""))))</f>
        <v>27</v>
      </c>
      <c r="O1283" s="2" t="str">
        <f aca="false">IF(OR(F1283="",G1283=""),"",IF(G1283&lt;='RETRATO 2027'!$K$5,"CONCLUÍDA",IF(F1283&lt;='RETRATO 2027'!$K$5,"EM ANDAMENTO","A INICIAR")))</f>
        <v>A INICIAR</v>
      </c>
    </row>
    <row r="1284" customFormat="false" ht="15" hidden="false" customHeight="false" outlineLevel="0" collapsed="false">
      <c r="B1284" s="4" t="n">
        <v>29980747</v>
      </c>
      <c r="C1284" s="4" t="s">
        <v>2440</v>
      </c>
      <c r="D1284" s="4" t="s">
        <v>463</v>
      </c>
      <c r="E1284" s="4" t="s">
        <v>2840</v>
      </c>
      <c r="F1284" s="127" t="n">
        <v>46814</v>
      </c>
      <c r="G1284" s="127" t="n">
        <v>46826</v>
      </c>
      <c r="H1284" s="127" t="n">
        <v>46289</v>
      </c>
      <c r="I1284" s="4" t="n">
        <v>0</v>
      </c>
      <c r="J1284" s="4" t="n">
        <v>0</v>
      </c>
      <c r="K1284" s="4" t="n">
        <v>0</v>
      </c>
      <c r="M1284" s="2" t="str">
        <f aca="false">IF(C1284="","",IFERROR(INDEX($S$5:$S$304,MATCH(C1284,$R$5:$R$304,0))&amp;"","?"))</f>
        <v>21</v>
      </c>
      <c r="N1284" s="2" t="n">
        <f aca="false">IF(E1284="","",IF(ISNUMBER(SEARCH("SUBSOLO",E1284)),IFERROR(-VALUE(LEFT(E1284,FIND("º",SUBSTITUTE(E1284,"°","º"))-1)),-1),IF(LEFT(E1284,6)="TÉRREO",0,IFERROR(VALUE(LEFT(E1284,FIND("º",SUBSTITUTE(E1284,"°","º"))-1)),""))))</f>
        <v>28</v>
      </c>
      <c r="O1284" s="2" t="str">
        <f aca="false">IF(OR(F1284="",G1284=""),"",IF(G1284&lt;='RETRATO 2027'!$K$5,"CONCLUÍDA",IF(F1284&lt;='RETRATO 2027'!$K$5,"EM ANDAMENTO","A INICIAR")))</f>
        <v>A INICIAR</v>
      </c>
    </row>
    <row r="1285" customFormat="false" ht="15" hidden="false" customHeight="false" outlineLevel="0" collapsed="false">
      <c r="B1285" s="4" t="n">
        <v>29980780</v>
      </c>
      <c r="C1285" s="4" t="s">
        <v>2443</v>
      </c>
      <c r="D1285" s="4" t="s">
        <v>463</v>
      </c>
      <c r="E1285" s="4" t="s">
        <v>2840</v>
      </c>
      <c r="F1285" s="127" t="n">
        <v>46814</v>
      </c>
      <c r="G1285" s="127" t="n">
        <v>46826</v>
      </c>
      <c r="H1285" s="127" t="n">
        <v>46289</v>
      </c>
      <c r="I1285" s="4" t="n">
        <v>0</v>
      </c>
      <c r="J1285" s="4" t="n">
        <v>0</v>
      </c>
      <c r="K1285" s="4" t="n">
        <v>0</v>
      </c>
      <c r="M1285" s="2" t="str">
        <f aca="false">IF(C1285="","",IFERROR(INDEX($S$5:$S$304,MATCH(C1285,$R$5:$R$304,0))&amp;"","?"))</f>
        <v>20</v>
      </c>
      <c r="N1285" s="2" t="n">
        <f aca="false">IF(E1285="","",IF(ISNUMBER(SEARCH("SUBSOLO",E1285)),IFERROR(-VALUE(LEFT(E1285,FIND("º",SUBSTITUTE(E1285,"°","º"))-1)),-1),IF(LEFT(E1285,6)="TÉRREO",0,IFERROR(VALUE(LEFT(E1285,FIND("º",SUBSTITUTE(E1285,"°","º"))-1)),""))))</f>
        <v>28</v>
      </c>
      <c r="O1285" s="2" t="str">
        <f aca="false">IF(OR(F1285="",G1285=""),"",IF(G1285&lt;='RETRATO 2027'!$K$5,"CONCLUÍDA",IF(F1285&lt;='RETRATO 2027'!$K$5,"EM ANDAMENTO","A INICIAR")))</f>
        <v>A INICIAR</v>
      </c>
    </row>
    <row r="1286" customFormat="false" ht="15" hidden="false" customHeight="false" outlineLevel="0" collapsed="false">
      <c r="B1286" s="4" t="n">
        <v>29980709</v>
      </c>
      <c r="C1286" s="4" t="s">
        <v>2437</v>
      </c>
      <c r="D1286" s="4" t="s">
        <v>463</v>
      </c>
      <c r="E1286" s="4" t="s">
        <v>2841</v>
      </c>
      <c r="F1286" s="127" t="n">
        <v>46814</v>
      </c>
      <c r="G1286" s="127" t="n">
        <v>46826</v>
      </c>
      <c r="H1286" s="127" t="n">
        <v>46289</v>
      </c>
      <c r="I1286" s="4" t="n">
        <v>0</v>
      </c>
      <c r="J1286" s="4" t="n">
        <v>0</v>
      </c>
      <c r="K1286" s="4" t="n">
        <v>0</v>
      </c>
      <c r="M1286" s="2" t="str">
        <f aca="false">IF(C1286="","",IFERROR(INDEX($S$5:$S$304,MATCH(C1286,$R$5:$R$304,0))&amp;"","?"))</f>
        <v>29</v>
      </c>
      <c r="N1286" s="2" t="n">
        <f aca="false">IF(E1286="","",IF(ISNUMBER(SEARCH("SUBSOLO",E1286)),IFERROR(-VALUE(LEFT(E1286,FIND("º",SUBSTITUTE(E1286,"°","º"))-1)),-1),IF(LEFT(E1286,6)="TÉRREO",0,IFERROR(VALUE(LEFT(E1286,FIND("º",SUBSTITUTE(E1286,"°","º"))-1)),""))))</f>
        <v>29</v>
      </c>
      <c r="O1286" s="2" t="str">
        <f aca="false">IF(OR(F1286="",G1286=""),"",IF(G1286&lt;='RETRATO 2027'!$K$5,"CONCLUÍDA",IF(F1286&lt;='RETRATO 2027'!$K$5,"EM ANDAMENTO","A INICIAR")))</f>
        <v>A INICIAR</v>
      </c>
    </row>
    <row r="1287" customFormat="false" ht="15" hidden="false" customHeight="false" outlineLevel="0" collapsed="false">
      <c r="B1287" s="4" t="n">
        <v>29980675</v>
      </c>
      <c r="C1287" s="4" t="s">
        <v>2434</v>
      </c>
      <c r="D1287" s="4" t="s">
        <v>463</v>
      </c>
      <c r="E1287" s="4" t="s">
        <v>2842</v>
      </c>
      <c r="F1287" s="127" t="n">
        <v>46814</v>
      </c>
      <c r="G1287" s="127" t="n">
        <v>46826</v>
      </c>
      <c r="H1287" s="127" t="n">
        <v>46289</v>
      </c>
      <c r="I1287" s="4" t="n">
        <v>0</v>
      </c>
      <c r="J1287" s="4" t="n">
        <v>0</v>
      </c>
      <c r="K1287" s="4" t="n">
        <v>0</v>
      </c>
      <c r="M1287" s="2" t="str">
        <f aca="false">IF(C1287="","",IFERROR(INDEX($S$5:$S$304,MATCH(C1287,$R$5:$R$304,0))&amp;"","?"))</f>
        <v>25</v>
      </c>
      <c r="N1287" s="2" t="n">
        <f aca="false">IF(E1287="","",IF(ISNUMBER(SEARCH("SUBSOLO",E1287)),IFERROR(-VALUE(LEFT(E1287,FIND("º",SUBSTITUTE(E1287,"°","º"))-1)),-1),IF(LEFT(E1287,6)="TÉRREO",0,IFERROR(VALUE(LEFT(E1287,FIND("º",SUBSTITUTE(E1287,"°","º"))-1)),""))))</f>
        <v>30</v>
      </c>
      <c r="O1287" s="2" t="str">
        <f aca="false">IF(OR(F1287="",G1287=""),"",IF(G1287&lt;='RETRATO 2027'!$K$5,"CONCLUÍDA",IF(F1287&lt;='RETRATO 2027'!$K$5,"EM ANDAMENTO","A INICIAR")))</f>
        <v>A INICIAR</v>
      </c>
    </row>
    <row r="1288" customFormat="false" ht="15" hidden="false" customHeight="false" outlineLevel="0" collapsed="false">
      <c r="B1288" s="4" t="n">
        <v>29980668</v>
      </c>
      <c r="C1288" s="4" t="s">
        <v>2425</v>
      </c>
      <c r="D1288" s="4" t="s">
        <v>463</v>
      </c>
      <c r="E1288" s="4" t="s">
        <v>2843</v>
      </c>
      <c r="F1288" s="127" t="n">
        <v>46814</v>
      </c>
      <c r="G1288" s="127" t="n">
        <v>46826</v>
      </c>
      <c r="H1288" s="127" t="n">
        <v>46289</v>
      </c>
      <c r="I1288" s="4" t="n">
        <v>0</v>
      </c>
      <c r="J1288" s="4" t="n">
        <v>0</v>
      </c>
      <c r="K1288" s="4" t="n">
        <v>0</v>
      </c>
      <c r="M1288" s="2" t="str">
        <f aca="false">IF(C1288="","",IFERROR(INDEX($S$5:$S$304,MATCH(C1288,$R$5:$R$304,0))&amp;"","?"))</f>
        <v>21</v>
      </c>
      <c r="N1288" s="2" t="n">
        <f aca="false">IF(E1288="","",IF(ISNUMBER(SEARCH("SUBSOLO",E1288)),IFERROR(-VALUE(LEFT(E1288,FIND("º",SUBSTITUTE(E1288,"°","º"))-1)),-1),IF(LEFT(E1288,6)="TÉRREO",0,IFERROR(VALUE(LEFT(E1288,FIND("º",SUBSTITUTE(E1288,"°","º"))-1)),""))))</f>
        <v>31</v>
      </c>
      <c r="O1288" s="2" t="str">
        <f aca="false">IF(OR(F1288="",G1288=""),"",IF(G1288&lt;='RETRATO 2027'!$K$5,"CONCLUÍDA",IF(F1288&lt;='RETRATO 2027'!$K$5,"EM ANDAMENTO","A INICIAR")))</f>
        <v>A INICIAR</v>
      </c>
    </row>
    <row r="1289" customFormat="false" ht="15" hidden="false" customHeight="false" outlineLevel="0" collapsed="false">
      <c r="B1289" s="4" t="n">
        <v>29980637</v>
      </c>
      <c r="C1289" s="4" t="s">
        <v>2428</v>
      </c>
      <c r="D1289" s="4" t="s">
        <v>463</v>
      </c>
      <c r="E1289" s="4" t="s">
        <v>2843</v>
      </c>
      <c r="F1289" s="127" t="n">
        <v>46814</v>
      </c>
      <c r="G1289" s="127" t="n">
        <v>46826</v>
      </c>
      <c r="H1289" s="127" t="n">
        <v>46289</v>
      </c>
      <c r="I1289" s="4" t="n">
        <v>0</v>
      </c>
      <c r="J1289" s="4" t="n">
        <v>0</v>
      </c>
      <c r="K1289" s="4" t="n">
        <v>0</v>
      </c>
      <c r="M1289" s="2" t="str">
        <f aca="false">IF(C1289="","",IFERROR(INDEX($S$5:$S$304,MATCH(C1289,$R$5:$R$304,0))&amp;"","?"))</f>
        <v>20</v>
      </c>
      <c r="N1289" s="2" t="n">
        <f aca="false">IF(E1289="","",IF(ISNUMBER(SEARCH("SUBSOLO",E1289)),IFERROR(-VALUE(LEFT(E1289,FIND("º",SUBSTITUTE(E1289,"°","º"))-1)),-1),IF(LEFT(E1289,6)="TÉRREO",0,IFERROR(VALUE(LEFT(E1289,FIND("º",SUBSTITUTE(E1289,"°","º"))-1)),""))))</f>
        <v>31</v>
      </c>
      <c r="O1289" s="2" t="str">
        <f aca="false">IF(OR(F1289="",G1289=""),"",IF(G1289&lt;='RETRATO 2027'!$K$5,"CONCLUÍDA",IF(F1289&lt;='RETRATO 2027'!$K$5,"EM ANDAMENTO","A INICIAR")))</f>
        <v>A INICIAR</v>
      </c>
    </row>
    <row r="1290" customFormat="false" ht="15" hidden="false" customHeight="false" outlineLevel="0" collapsed="false">
      <c r="B1290" s="4" t="n">
        <v>29980670</v>
      </c>
      <c r="C1290" s="4" t="s">
        <v>2431</v>
      </c>
      <c r="D1290" s="4" t="s">
        <v>463</v>
      </c>
      <c r="E1290" s="4" t="s">
        <v>2843</v>
      </c>
      <c r="F1290" s="127" t="n">
        <v>46814</v>
      </c>
      <c r="G1290" s="127" t="n">
        <v>46826</v>
      </c>
      <c r="H1290" s="127" t="n">
        <v>46289</v>
      </c>
      <c r="I1290" s="4" t="n">
        <v>0</v>
      </c>
      <c r="J1290" s="4" t="n">
        <v>0</v>
      </c>
      <c r="K1290" s="4" t="n">
        <v>0</v>
      </c>
      <c r="M1290" s="2" t="str">
        <f aca="false">IF(C1290="","",IFERROR(INDEX($S$5:$S$304,MATCH(C1290,$R$5:$R$304,0))&amp;"","?"))</f>
        <v>21</v>
      </c>
      <c r="N1290" s="2" t="n">
        <f aca="false">IF(E1290="","",IF(ISNUMBER(SEARCH("SUBSOLO",E1290)),IFERROR(-VALUE(LEFT(E1290,FIND("º",SUBSTITUTE(E1290,"°","º"))-1)),-1),IF(LEFT(E1290,6)="TÉRREO",0,IFERROR(VALUE(LEFT(E1290,FIND("º",SUBSTITUTE(E1290,"°","º"))-1)),""))))</f>
        <v>31</v>
      </c>
      <c r="O1290" s="2" t="str">
        <f aca="false">IF(OR(F1290="",G1290=""),"",IF(G1290&lt;='RETRATO 2027'!$K$5,"CONCLUÍDA",IF(F1290&lt;='RETRATO 2027'!$K$5,"EM ANDAMENTO","A INICIAR")))</f>
        <v>A INICIAR</v>
      </c>
    </row>
    <row r="1291" customFormat="false" ht="15" hidden="false" customHeight="false" outlineLevel="0" collapsed="false">
      <c r="B1291" s="4" t="n">
        <v>29980617</v>
      </c>
      <c r="C1291" s="4" t="s">
        <v>2422</v>
      </c>
      <c r="D1291" s="4" t="s">
        <v>463</v>
      </c>
      <c r="E1291" s="4" t="s">
        <v>2844</v>
      </c>
      <c r="F1291" s="127" t="n">
        <v>46814</v>
      </c>
      <c r="G1291" s="127" t="n">
        <v>46826</v>
      </c>
      <c r="H1291" s="127" t="n">
        <v>46289</v>
      </c>
      <c r="I1291" s="4" t="n">
        <v>0</v>
      </c>
      <c r="J1291" s="4" t="n">
        <v>0</v>
      </c>
      <c r="K1291" s="4" t="n">
        <v>0</v>
      </c>
      <c r="M1291" s="2" t="str">
        <f aca="false">IF(C1291="","",IFERROR(INDEX($S$5:$S$304,MATCH(C1291,$R$5:$R$304,0))&amp;"","?"))</f>
        <v>29</v>
      </c>
      <c r="N1291" s="2" t="n">
        <f aca="false">IF(E1291="","",IF(ISNUMBER(SEARCH("SUBSOLO",E1291)),IFERROR(-VALUE(LEFT(E1291,FIND("º",SUBSTITUTE(E1291,"°","º"))-1)),-1),IF(LEFT(E1291,6)="TÉRREO",0,IFERROR(VALUE(LEFT(E1291,FIND("º",SUBSTITUTE(E1291,"°","º"))-1)),""))))</f>
        <v>32</v>
      </c>
      <c r="O1291" s="2" t="str">
        <f aca="false">IF(OR(F1291="",G1291=""),"",IF(G1291&lt;='RETRATO 2027'!$K$5,"CONCLUÍDA",IF(F1291&lt;='RETRATO 2027'!$K$5,"EM ANDAMENTO","A INICIAR")))</f>
        <v>A INICIAR</v>
      </c>
    </row>
    <row r="1292" customFormat="false" ht="15" hidden="false" customHeight="false" outlineLevel="0" collapsed="false">
      <c r="B1292" s="4" t="n">
        <v>30205858</v>
      </c>
      <c r="C1292" s="4" t="s">
        <v>2480</v>
      </c>
      <c r="D1292" s="4" t="s">
        <v>463</v>
      </c>
      <c r="E1292" s="4" t="s">
        <v>2782</v>
      </c>
      <c r="F1292" s="127" t="n">
        <v>46815</v>
      </c>
      <c r="G1292" s="127" t="n">
        <v>46835</v>
      </c>
      <c r="H1292" s="127" t="n">
        <v>46289</v>
      </c>
      <c r="I1292" s="4" t="n">
        <v>0</v>
      </c>
      <c r="J1292" s="4" t="n">
        <v>0</v>
      </c>
      <c r="K1292" s="4" t="n">
        <v>0</v>
      </c>
      <c r="M1292" s="2" t="str">
        <f aca="false">IF(C1292="","",IFERROR(INDEX($S$5:$S$304,MATCH(C1292,$R$5:$R$304,0))&amp;"","?"))</f>
        <v>30</v>
      </c>
      <c r="N1292" s="2" t="n">
        <f aca="false">IF(E1292="","",IF(ISNUMBER(SEARCH("SUBSOLO",E1292)),IFERROR(-VALUE(LEFT(E1292,FIND("º",SUBSTITUTE(E1292,"°","º"))-1)),-1),IF(LEFT(E1292,6)="TÉRREO",0,IFERROR(VALUE(LEFT(E1292,FIND("º",SUBSTITUTE(E1292,"°","º"))-1)),""))))</f>
        <v>1</v>
      </c>
      <c r="O1292" s="2" t="str">
        <f aca="false">IF(OR(F1292="",G1292=""),"",IF(G1292&lt;='RETRATO 2027'!$K$5,"CONCLUÍDA",IF(F1292&lt;='RETRATO 2027'!$K$5,"EM ANDAMENTO","A INICIAR")))</f>
        <v>A INICIAR</v>
      </c>
    </row>
    <row r="1293" customFormat="false" ht="15" hidden="false" customHeight="false" outlineLevel="0" collapsed="false">
      <c r="B1293" s="4" t="n">
        <v>30208608</v>
      </c>
      <c r="C1293" s="4" t="s">
        <v>2611</v>
      </c>
      <c r="D1293" s="4" t="s">
        <v>463</v>
      </c>
      <c r="E1293" s="4" t="s">
        <v>2851</v>
      </c>
      <c r="F1293" s="127" t="n">
        <v>46815</v>
      </c>
      <c r="G1293" s="127" t="n">
        <v>46828</v>
      </c>
      <c r="H1293" s="127" t="n">
        <v>46289</v>
      </c>
      <c r="I1293" s="4" t="n">
        <v>0</v>
      </c>
      <c r="J1293" s="4" t="n">
        <v>0</v>
      </c>
      <c r="K1293" s="4" t="n">
        <v>0</v>
      </c>
      <c r="M1293" s="2" t="str">
        <f aca="false">IF(C1293="","",IFERROR(INDEX($S$5:$S$304,MATCH(C1293,$R$5:$R$304,0))&amp;"","?"))</f>
        <v>32</v>
      </c>
      <c r="N1293" s="2" t="n">
        <f aca="false">IF(E1293="","",IF(ISNUMBER(SEARCH("SUBSOLO",E1293)),IFERROR(-VALUE(LEFT(E1293,FIND("º",SUBSTITUTE(E1293,"°","º"))-1)),-1),IF(LEFT(E1293,6)="TÉRREO",0,IFERROR(VALUE(LEFT(E1293,FIND("º",SUBSTITUTE(E1293,"°","º"))-1)),""))))</f>
        <v>6</v>
      </c>
      <c r="O1293" s="2" t="str">
        <f aca="false">IF(OR(F1293="",G1293=""),"",IF(G1293&lt;='RETRATO 2027'!$K$5,"CONCLUÍDA",IF(F1293&lt;='RETRATO 2027'!$K$5,"EM ANDAMENTO","A INICIAR")))</f>
        <v>A INICIAR</v>
      </c>
    </row>
    <row r="1294" customFormat="false" ht="15" hidden="false" customHeight="false" outlineLevel="0" collapsed="false">
      <c r="B1294" s="4" t="n">
        <v>30206046</v>
      </c>
      <c r="C1294" s="4" t="s">
        <v>2416</v>
      </c>
      <c r="D1294" s="4" t="s">
        <v>463</v>
      </c>
      <c r="E1294" s="4" t="s">
        <v>2848</v>
      </c>
      <c r="F1294" s="127" t="n">
        <v>46819</v>
      </c>
      <c r="G1294" s="127" t="n">
        <v>46832</v>
      </c>
      <c r="H1294" s="127" t="n">
        <v>46289</v>
      </c>
      <c r="I1294" s="4" t="n">
        <v>0</v>
      </c>
      <c r="J1294" s="4" t="n">
        <v>0</v>
      </c>
      <c r="K1294" s="4" t="n">
        <v>0</v>
      </c>
      <c r="M1294" s="2" t="str">
        <f aca="false">IF(C1294="","",IFERROR(INDEX($S$5:$S$304,MATCH(C1294,$R$5:$R$304,0))&amp;"","?"))</f>
        <v>18</v>
      </c>
      <c r="N1294" s="2" t="n">
        <f aca="false">IF(E1294="","",IF(ISNUMBER(SEARCH("SUBSOLO",E1294)),IFERROR(-VALUE(LEFT(E1294,FIND("º",SUBSTITUTE(E1294,"°","º"))-1)),-1),IF(LEFT(E1294,6)="TÉRREO",0,IFERROR(VALUE(LEFT(E1294,FIND("º",SUBSTITUTE(E1294,"°","º"))-1)),""))))</f>
        <v>6</v>
      </c>
      <c r="O1294" s="2" t="str">
        <f aca="false">IF(OR(F1294="",G1294=""),"",IF(G1294&lt;='RETRATO 2027'!$K$5,"CONCLUÍDA",IF(F1294&lt;='RETRATO 2027'!$K$5,"EM ANDAMENTO","A INICIAR")))</f>
        <v>A INICIAR</v>
      </c>
    </row>
    <row r="1295" customFormat="false" ht="15" hidden="false" customHeight="false" outlineLevel="0" collapsed="false">
      <c r="B1295" s="4" t="n">
        <v>30205536</v>
      </c>
      <c r="C1295" s="4" t="s">
        <v>2545</v>
      </c>
      <c r="D1295" s="4" t="s">
        <v>463</v>
      </c>
      <c r="E1295" s="4" t="s">
        <v>2832</v>
      </c>
      <c r="F1295" s="127" t="n">
        <v>46822</v>
      </c>
      <c r="G1295" s="127" t="n">
        <v>46849</v>
      </c>
      <c r="H1295" s="127" t="n">
        <v>46289</v>
      </c>
      <c r="I1295" s="4" t="n">
        <v>0</v>
      </c>
      <c r="J1295" s="4" t="n">
        <v>0</v>
      </c>
      <c r="K1295" s="4" t="n">
        <v>0</v>
      </c>
      <c r="M1295" s="2" t="str">
        <f aca="false">IF(C1295="","",IFERROR(INDEX($S$5:$S$304,MATCH(C1295,$R$5:$R$304,0))&amp;"","?"))</f>
        <v>25</v>
      </c>
      <c r="N1295" s="2" t="n">
        <f aca="false">IF(E1295="","",IF(ISNUMBER(SEARCH("SUBSOLO",E1295)),IFERROR(-VALUE(LEFT(E1295,FIND("º",SUBSTITUTE(E1295,"°","º"))-1)),-1),IF(LEFT(E1295,6)="TÉRREO",0,IFERROR(VALUE(LEFT(E1295,FIND("º",SUBSTITUTE(E1295,"°","º"))-1)),""))))</f>
        <v>0</v>
      </c>
      <c r="O1295" s="2" t="str">
        <f aca="false">IF(OR(F1295="",G1295=""),"",IF(G1295&lt;='RETRATO 2027'!$K$5,"CONCLUÍDA",IF(F1295&lt;='RETRATO 2027'!$K$5,"EM ANDAMENTO","A INICIAR")))</f>
        <v>A INICIAR</v>
      </c>
    </row>
    <row r="1296" customFormat="false" ht="15" hidden="false" customHeight="false" outlineLevel="0" collapsed="false">
      <c r="B1296" s="4" t="n">
        <v>30205794</v>
      </c>
      <c r="C1296" s="4" t="s">
        <v>2501</v>
      </c>
      <c r="D1296" s="4" t="s">
        <v>463</v>
      </c>
      <c r="E1296" s="4" t="s">
        <v>2835</v>
      </c>
      <c r="F1296" s="127" t="n">
        <v>46822</v>
      </c>
      <c r="G1296" s="127" t="n">
        <v>46835</v>
      </c>
      <c r="H1296" s="127" t="n">
        <v>46289</v>
      </c>
      <c r="I1296" s="4" t="n">
        <v>0</v>
      </c>
      <c r="J1296" s="4" t="n">
        <v>0</v>
      </c>
      <c r="K1296" s="4" t="n">
        <v>0</v>
      </c>
      <c r="M1296" s="2" t="str">
        <f aca="false">IF(C1296="","",IFERROR(INDEX($S$5:$S$304,MATCH(C1296,$R$5:$R$304,0))&amp;"","?"))</f>
        <v>30</v>
      </c>
      <c r="N1296" s="2" t="n">
        <f aca="false">IF(E1296="","",IF(ISNUMBER(SEARCH("SUBSOLO",E1296)),IFERROR(-VALUE(LEFT(E1296,FIND("º",SUBSTITUTE(E1296,"°","º"))-1)),-1),IF(LEFT(E1296,6)="TÉRREO",0,IFERROR(VALUE(LEFT(E1296,FIND("º",SUBSTITUTE(E1296,"°","º"))-1)),""))))</f>
        <v>0</v>
      </c>
      <c r="O1296" s="2" t="str">
        <f aca="false">IF(OR(F1296="",G1296=""),"",IF(G1296&lt;='RETRATO 2027'!$K$5,"CONCLUÍDA",IF(F1296&lt;='RETRATO 2027'!$K$5,"EM ANDAMENTO","A INICIAR")))</f>
        <v>A INICIAR</v>
      </c>
    </row>
    <row r="1297" customFormat="false" ht="15" hidden="false" customHeight="false" outlineLevel="0" collapsed="false">
      <c r="B1297" s="4" t="n">
        <v>30205827</v>
      </c>
      <c r="C1297" s="4" t="s">
        <v>2480</v>
      </c>
      <c r="D1297" s="4" t="s">
        <v>463</v>
      </c>
      <c r="E1297" s="4" t="s">
        <v>2839</v>
      </c>
      <c r="F1297" s="127" t="n">
        <v>46822</v>
      </c>
      <c r="G1297" s="127" t="n">
        <v>46835</v>
      </c>
      <c r="H1297" s="127" t="n">
        <v>46289</v>
      </c>
      <c r="I1297" s="4" t="n">
        <v>0</v>
      </c>
      <c r="J1297" s="4" t="n">
        <v>0</v>
      </c>
      <c r="K1297" s="4" t="n">
        <v>0</v>
      </c>
      <c r="M1297" s="2" t="str">
        <f aca="false">IF(C1297="","",IFERROR(INDEX($S$5:$S$304,MATCH(C1297,$R$5:$R$304,0))&amp;"","?"))</f>
        <v>30</v>
      </c>
      <c r="N1297" s="2" t="n">
        <f aca="false">IF(E1297="","",IF(ISNUMBER(SEARCH("SUBSOLO",E1297)),IFERROR(-VALUE(LEFT(E1297,FIND("º",SUBSTITUTE(E1297,"°","º"))-1)),-1),IF(LEFT(E1297,6)="TÉRREO",0,IFERROR(VALUE(LEFT(E1297,FIND("º",SUBSTITUTE(E1297,"°","º"))-1)),""))))</f>
        <v>0</v>
      </c>
      <c r="O1297" s="2" t="str">
        <f aca="false">IF(OR(F1297="",G1297=""),"",IF(G1297&lt;='RETRATO 2027'!$K$5,"CONCLUÍDA",IF(F1297&lt;='RETRATO 2027'!$K$5,"EM ANDAMENTO","A INICIAR")))</f>
        <v>A INICIAR</v>
      </c>
    </row>
    <row r="1298" customFormat="false" ht="15" hidden="false" customHeight="false" outlineLevel="0" collapsed="false">
      <c r="B1298" s="4" t="n">
        <v>34179693</v>
      </c>
      <c r="C1298" s="4" t="s">
        <v>171</v>
      </c>
      <c r="D1298" s="4" t="s">
        <v>463</v>
      </c>
      <c r="E1298" s="4" t="s">
        <v>2836</v>
      </c>
      <c r="F1298" s="127" t="n">
        <v>46822</v>
      </c>
      <c r="G1298" s="127" t="n">
        <v>46918</v>
      </c>
      <c r="H1298" s="127" t="n">
        <v>46289</v>
      </c>
      <c r="I1298" s="4" t="n">
        <v>0</v>
      </c>
      <c r="J1298" s="4" t="n">
        <v>0</v>
      </c>
      <c r="K1298" s="4" t="n">
        <v>0</v>
      </c>
      <c r="M1298" s="2" t="str">
        <f aca="false">IF(C1298="","",IFERROR(INDEX($S$5:$S$304,MATCH(C1298,$R$5:$R$304,0))&amp;"","?"))</f>
        <v>19</v>
      </c>
      <c r="N1298" s="2" t="n">
        <f aca="false">IF(E1298="","",IF(ISNUMBER(SEARCH("SUBSOLO",E1298)),IFERROR(-VALUE(LEFT(E1298,FIND("º",SUBSTITUTE(E1298,"°","º"))-1)),-1),IF(LEFT(E1298,6)="TÉRREO",0,IFERROR(VALUE(LEFT(E1298,FIND("º",SUBSTITUTE(E1298,"°","º"))-1)),""))))</f>
        <v>0</v>
      </c>
      <c r="O1298" s="2" t="str">
        <f aca="false">IF(OR(F1298="",G1298=""),"",IF(G1298&lt;='RETRATO 2027'!$K$5,"CONCLUÍDA",IF(F1298&lt;='RETRATO 2027'!$K$5,"EM ANDAMENTO","A INICIAR")))</f>
        <v>A INICIAR</v>
      </c>
    </row>
    <row r="1299" customFormat="false" ht="15" hidden="false" customHeight="false" outlineLevel="0" collapsed="false">
      <c r="B1299" s="4" t="n">
        <v>30205759</v>
      </c>
      <c r="C1299" s="4" t="s">
        <v>171</v>
      </c>
      <c r="D1299" s="4" t="s">
        <v>463</v>
      </c>
      <c r="E1299" s="4" t="s">
        <v>2837</v>
      </c>
      <c r="F1299" s="127" t="n">
        <v>46822</v>
      </c>
      <c r="G1299" s="127" t="n">
        <v>46918</v>
      </c>
      <c r="H1299" s="127" t="n">
        <v>46289</v>
      </c>
      <c r="I1299" s="4" t="n">
        <v>0</v>
      </c>
      <c r="J1299" s="4" t="n">
        <v>0</v>
      </c>
      <c r="K1299" s="4" t="n">
        <v>0</v>
      </c>
      <c r="M1299" s="2" t="str">
        <f aca="false">IF(C1299="","",IFERROR(INDEX($S$5:$S$304,MATCH(C1299,$R$5:$R$304,0))&amp;"","?"))</f>
        <v>19</v>
      </c>
      <c r="N1299" s="2" t="n">
        <f aca="false">IF(E1299="","",IF(ISNUMBER(SEARCH("SUBSOLO",E1299)),IFERROR(-VALUE(LEFT(E1299,FIND("º",SUBSTITUTE(E1299,"°","º"))-1)),-1),IF(LEFT(E1299,6)="TÉRREO",0,IFERROR(VALUE(LEFT(E1299,FIND("º",SUBSTITUTE(E1299,"°","º"))-1)),""))))</f>
        <v>0</v>
      </c>
      <c r="O1299" s="2" t="str">
        <f aca="false">IF(OR(F1299="",G1299=""),"",IF(G1299&lt;='RETRATO 2027'!$K$5,"CONCLUÍDA",IF(F1299&lt;='RETRATO 2027'!$K$5,"EM ANDAMENTO","A INICIAR")))</f>
        <v>A INICIAR</v>
      </c>
    </row>
    <row r="1300" customFormat="false" ht="15" hidden="false" customHeight="false" outlineLevel="0" collapsed="false">
      <c r="B1300" s="4" t="n">
        <v>30206102</v>
      </c>
      <c r="C1300" s="4" t="s">
        <v>2434</v>
      </c>
      <c r="D1300" s="4" t="s">
        <v>463</v>
      </c>
      <c r="E1300" s="4" t="s">
        <v>2846</v>
      </c>
      <c r="F1300" s="127" t="n">
        <v>46825</v>
      </c>
      <c r="G1300" s="127" t="n">
        <v>46829</v>
      </c>
      <c r="H1300" s="127" t="n">
        <v>46289</v>
      </c>
      <c r="I1300" s="4" t="n">
        <v>0</v>
      </c>
      <c r="J1300" s="4" t="n">
        <v>0</v>
      </c>
      <c r="K1300" s="4" t="n">
        <v>0</v>
      </c>
      <c r="M1300" s="2" t="str">
        <f aca="false">IF(C1300="","",IFERROR(INDEX($S$5:$S$304,MATCH(C1300,$R$5:$R$304,0))&amp;"","?"))</f>
        <v>25</v>
      </c>
      <c r="N1300" s="2" t="n">
        <f aca="false">IF(E1300="","",IF(ISNUMBER(SEARCH("SUBSOLO",E1300)),IFERROR(-VALUE(LEFT(E1300,FIND("º",SUBSTITUTE(E1300,"°","º"))-1)),-1),IF(LEFT(E1300,6)="TÉRREO",0,IFERROR(VALUE(LEFT(E1300,FIND("º",SUBSTITUTE(E1300,"°","º"))-1)),""))))</f>
        <v>6</v>
      </c>
      <c r="O1300" s="2" t="str">
        <f aca="false">IF(OR(F1300="",G1300=""),"",IF(G1300&lt;='RETRATO 2027'!$K$5,"CONCLUÍDA",IF(F1300&lt;='RETRATO 2027'!$K$5,"EM ANDAMENTO","A INICIAR")))</f>
        <v>A INICIAR</v>
      </c>
    </row>
    <row r="1301" customFormat="false" ht="15" hidden="false" customHeight="false" outlineLevel="0" collapsed="false">
      <c r="B1301" s="4" t="n">
        <v>30206093</v>
      </c>
      <c r="C1301" s="4" t="s">
        <v>2425</v>
      </c>
      <c r="D1301" s="4" t="s">
        <v>463</v>
      </c>
      <c r="E1301" s="4" t="s">
        <v>2847</v>
      </c>
      <c r="F1301" s="127" t="n">
        <v>46825</v>
      </c>
      <c r="G1301" s="127" t="n">
        <v>46836</v>
      </c>
      <c r="H1301" s="127" t="n">
        <v>46289</v>
      </c>
      <c r="I1301" s="4" t="n">
        <v>0</v>
      </c>
      <c r="J1301" s="4" t="n">
        <v>0</v>
      </c>
      <c r="K1301" s="4" t="n">
        <v>0</v>
      </c>
      <c r="M1301" s="2" t="str">
        <f aca="false">IF(C1301="","",IFERROR(INDEX($S$5:$S$304,MATCH(C1301,$R$5:$R$304,0))&amp;"","?"))</f>
        <v>21</v>
      </c>
      <c r="N1301" s="2" t="n">
        <f aca="false">IF(E1301="","",IF(ISNUMBER(SEARCH("SUBSOLO",E1301)),IFERROR(-VALUE(LEFT(E1301,FIND("º",SUBSTITUTE(E1301,"°","º"))-1)),-1),IF(LEFT(E1301,6)="TÉRREO",0,IFERROR(VALUE(LEFT(E1301,FIND("º",SUBSTITUTE(E1301,"°","º"))-1)),""))))</f>
        <v>6</v>
      </c>
      <c r="O1301" s="2" t="str">
        <f aca="false">IF(OR(F1301="",G1301=""),"",IF(G1301&lt;='RETRATO 2027'!$K$5,"CONCLUÍDA",IF(F1301&lt;='RETRATO 2027'!$K$5,"EM ANDAMENTO","A INICIAR")))</f>
        <v>A INICIAR</v>
      </c>
    </row>
    <row r="1302" customFormat="false" ht="15" hidden="false" customHeight="false" outlineLevel="0" collapsed="false">
      <c r="B1302" s="4" t="n">
        <v>30206064</v>
      </c>
      <c r="C1302" s="4" t="s">
        <v>2428</v>
      </c>
      <c r="D1302" s="4" t="s">
        <v>463</v>
      </c>
      <c r="E1302" s="4" t="s">
        <v>2847</v>
      </c>
      <c r="F1302" s="127" t="n">
        <v>46825</v>
      </c>
      <c r="G1302" s="127" t="n">
        <v>46836</v>
      </c>
      <c r="H1302" s="127" t="n">
        <v>46289</v>
      </c>
      <c r="I1302" s="4" t="n">
        <v>0</v>
      </c>
      <c r="J1302" s="4" t="n">
        <v>0</v>
      </c>
      <c r="K1302" s="4" t="n">
        <v>0</v>
      </c>
      <c r="M1302" s="2" t="str">
        <f aca="false">IF(C1302="","",IFERROR(INDEX($S$5:$S$304,MATCH(C1302,$R$5:$R$304,0))&amp;"","?"))</f>
        <v>20</v>
      </c>
      <c r="N1302" s="2" t="n">
        <f aca="false">IF(E1302="","",IF(ISNUMBER(SEARCH("SUBSOLO",E1302)),IFERROR(-VALUE(LEFT(E1302,FIND("º",SUBSTITUTE(E1302,"°","º"))-1)),-1),IF(LEFT(E1302,6)="TÉRREO",0,IFERROR(VALUE(LEFT(E1302,FIND("º",SUBSTITUTE(E1302,"°","º"))-1)),""))))</f>
        <v>6</v>
      </c>
      <c r="O1302" s="2" t="str">
        <f aca="false">IF(OR(F1302="",G1302=""),"",IF(G1302&lt;='RETRATO 2027'!$K$5,"CONCLUÍDA",IF(F1302&lt;='RETRATO 2027'!$K$5,"EM ANDAMENTO","A INICIAR")))</f>
        <v>A INICIAR</v>
      </c>
    </row>
    <row r="1303" customFormat="false" ht="15" hidden="false" customHeight="false" outlineLevel="0" collapsed="false">
      <c r="B1303" s="4" t="n">
        <v>30206044</v>
      </c>
      <c r="C1303" s="4" t="s">
        <v>2422</v>
      </c>
      <c r="D1303" s="4" t="s">
        <v>463</v>
      </c>
      <c r="E1303" s="4" t="s">
        <v>2848</v>
      </c>
      <c r="F1303" s="127" t="n">
        <v>46825</v>
      </c>
      <c r="G1303" s="127" t="n">
        <v>46836</v>
      </c>
      <c r="H1303" s="127" t="n">
        <v>46289</v>
      </c>
      <c r="I1303" s="4" t="n">
        <v>0</v>
      </c>
      <c r="J1303" s="4" t="n">
        <v>0</v>
      </c>
      <c r="K1303" s="4" t="n">
        <v>0</v>
      </c>
      <c r="M1303" s="2" t="str">
        <f aca="false">IF(C1303="","",IFERROR(INDEX($S$5:$S$304,MATCH(C1303,$R$5:$R$304,0))&amp;"","?"))</f>
        <v>29</v>
      </c>
      <c r="N1303" s="2" t="n">
        <f aca="false">IF(E1303="","",IF(ISNUMBER(SEARCH("SUBSOLO",E1303)),IFERROR(-VALUE(LEFT(E1303,FIND("º",SUBSTITUTE(E1303,"°","º"))-1)),-1),IF(LEFT(E1303,6)="TÉRREO",0,IFERROR(VALUE(LEFT(E1303,FIND("º",SUBSTITUTE(E1303,"°","º"))-1)),""))))</f>
        <v>6</v>
      </c>
      <c r="O1303" s="2" t="str">
        <f aca="false">IF(OR(F1303="",G1303=""),"",IF(G1303&lt;='RETRATO 2027'!$K$5,"CONCLUÍDA",IF(F1303&lt;='RETRATO 2027'!$K$5,"EM ANDAMENTO","A INICIAR")))</f>
        <v>A INICIAR</v>
      </c>
    </row>
    <row r="1304" customFormat="false" ht="15" hidden="false" customHeight="false" outlineLevel="0" collapsed="false">
      <c r="B1304" s="4" t="n">
        <v>31790592</v>
      </c>
      <c r="C1304" s="4" t="s">
        <v>2613</v>
      </c>
      <c r="D1304" s="4" t="s">
        <v>463</v>
      </c>
      <c r="E1304" s="4" t="s">
        <v>2678</v>
      </c>
      <c r="F1304" s="127" t="n">
        <v>46825</v>
      </c>
      <c r="G1304" s="127" t="n">
        <v>46868</v>
      </c>
      <c r="H1304" s="127" t="n">
        <v>46289</v>
      </c>
      <c r="I1304" s="4" t="n">
        <v>0</v>
      </c>
      <c r="J1304" s="4" t="n">
        <v>0</v>
      </c>
      <c r="K1304" s="4" t="n">
        <v>0</v>
      </c>
      <c r="M1304" s="2" t="str">
        <f aca="false">IF(C1304="","",IFERROR(INDEX($S$5:$S$304,MATCH(C1304,$R$5:$R$304,0))&amp;"","?"))</f>
        <v>32</v>
      </c>
      <c r="N1304" s="2" t="str">
        <f aca="false"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 t="str">
        <f aca="false">IF(OR(F1304="",G1304=""),"",IF(G1304&lt;='RETRATO 2027'!$K$5,"CONCLUÍDA",IF(F1304&lt;='RETRATO 2027'!$K$5,"EM ANDAMENTO","A INICIAR")))</f>
        <v>A INICIAR</v>
      </c>
    </row>
    <row r="1305" customFormat="false" ht="15" hidden="false" customHeight="false" outlineLevel="0" collapsed="false">
      <c r="B1305" s="4" t="n">
        <v>29981537</v>
      </c>
      <c r="C1305" s="4" t="s">
        <v>2615</v>
      </c>
      <c r="D1305" s="4" t="s">
        <v>463</v>
      </c>
      <c r="E1305" s="4" t="s">
        <v>2803</v>
      </c>
      <c r="F1305" s="127" t="n">
        <v>46826</v>
      </c>
      <c r="G1305" s="127" t="n">
        <v>46836</v>
      </c>
      <c r="H1305" s="127" t="n">
        <v>46289</v>
      </c>
      <c r="I1305" s="4" t="n">
        <v>0</v>
      </c>
      <c r="J1305" s="4" t="n">
        <v>0</v>
      </c>
      <c r="K1305" s="4" t="n">
        <v>0</v>
      </c>
      <c r="M1305" s="2" t="str">
        <f aca="false">IF(C1305="","",IFERROR(INDEX($S$5:$S$304,MATCH(C1305,$R$5:$R$304,0))&amp;"","?"))</f>
        <v>37</v>
      </c>
      <c r="N1305" s="2" t="n">
        <f aca="false">IF(E1305="","",IF(ISNUMBER(SEARCH("SUBSOLO",E1305)),IFERROR(-VALUE(LEFT(E1305,FIND("º",SUBSTITUTE(E1305,"°","º"))-1)),-1),IF(LEFT(E1305,6)="TÉRREO",0,IFERROR(VALUE(LEFT(E1305,FIND("º",SUBSTITUTE(E1305,"°","º"))-1)),""))))</f>
        <v>7</v>
      </c>
      <c r="O1305" s="2" t="str">
        <f aca="false">IF(OR(F1305="",G1305=""),"",IF(G1305&lt;='RETRATO 2027'!$K$5,"CONCLUÍDA",IF(F1305&lt;='RETRATO 2027'!$K$5,"EM ANDAMENTO","A INICIAR")))</f>
        <v>A INICIAR</v>
      </c>
    </row>
    <row r="1306" customFormat="false" ht="15" hidden="false" customHeight="false" outlineLevel="0" collapsed="false">
      <c r="B1306" s="4" t="n">
        <v>29981494</v>
      </c>
      <c r="C1306" s="4" t="s">
        <v>2605</v>
      </c>
      <c r="D1306" s="4" t="s">
        <v>463</v>
      </c>
      <c r="E1306" s="4" t="s">
        <v>2804</v>
      </c>
      <c r="F1306" s="127" t="n">
        <v>46826</v>
      </c>
      <c r="G1306" s="127" t="n">
        <v>46836</v>
      </c>
      <c r="H1306" s="127" t="n">
        <v>46289</v>
      </c>
      <c r="I1306" s="4" t="n">
        <v>0</v>
      </c>
      <c r="J1306" s="4" t="n">
        <v>0</v>
      </c>
      <c r="K1306" s="4" t="n">
        <v>0</v>
      </c>
      <c r="M1306" s="2" t="str">
        <f aca="false">IF(C1306="","",IFERROR(INDEX($S$5:$S$304,MATCH(C1306,$R$5:$R$304,0))&amp;"","?"))</f>
        <v>34</v>
      </c>
      <c r="N1306" s="2" t="n">
        <f aca="false">IF(E1306="","",IF(ISNUMBER(SEARCH("SUBSOLO",E1306)),IFERROR(-VALUE(LEFT(E1306,FIND("º",SUBSTITUTE(E1306,"°","º"))-1)),-1),IF(LEFT(E1306,6)="TÉRREO",0,IFERROR(VALUE(LEFT(E1306,FIND("º",SUBSTITUTE(E1306,"°","º"))-1)),""))))</f>
        <v>8</v>
      </c>
      <c r="O1306" s="2" t="str">
        <f aca="false">IF(OR(F1306="",G1306=""),"",IF(G1306&lt;='RETRATO 2027'!$K$5,"CONCLUÍDA",IF(F1306&lt;='RETRATO 2027'!$K$5,"EM ANDAMENTO","A INICIAR")))</f>
        <v>A INICIAR</v>
      </c>
    </row>
    <row r="1307" customFormat="false" ht="15" hidden="false" customHeight="false" outlineLevel="0" collapsed="false">
      <c r="B1307" s="4" t="n">
        <v>29981499</v>
      </c>
      <c r="C1307" s="4" t="s">
        <v>2607</v>
      </c>
      <c r="D1307" s="4" t="s">
        <v>463</v>
      </c>
      <c r="E1307" s="4" t="s">
        <v>2804</v>
      </c>
      <c r="F1307" s="127" t="n">
        <v>46826</v>
      </c>
      <c r="G1307" s="127" t="n">
        <v>46836</v>
      </c>
      <c r="H1307" s="127" t="n">
        <v>46289</v>
      </c>
      <c r="I1307" s="4" t="n">
        <v>0</v>
      </c>
      <c r="J1307" s="4" t="n">
        <v>0</v>
      </c>
      <c r="K1307" s="4" t="n">
        <v>0</v>
      </c>
      <c r="M1307" s="2" t="str">
        <f aca="false">IF(C1307="","",IFERROR(INDEX($S$5:$S$304,MATCH(C1307,$R$5:$R$304,0))&amp;"","?"))</f>
        <v>34</v>
      </c>
      <c r="N1307" s="2" t="n">
        <f aca="false">IF(E1307="","",IF(ISNUMBER(SEARCH("SUBSOLO",E1307)),IFERROR(-VALUE(LEFT(E1307,FIND("º",SUBSTITUTE(E1307,"°","º"))-1)),-1),IF(LEFT(E1307,6)="TÉRREO",0,IFERROR(VALUE(LEFT(E1307,FIND("º",SUBSTITUTE(E1307,"°","º"))-1)),""))))</f>
        <v>8</v>
      </c>
      <c r="O1307" s="2" t="str">
        <f aca="false">IF(OR(F1307="",G1307=""),"",IF(G1307&lt;='RETRATO 2027'!$K$5,"CONCLUÍDA",IF(F1307&lt;='RETRATO 2027'!$K$5,"EM ANDAMENTO","A INICIAR")))</f>
        <v>A INICIAR</v>
      </c>
    </row>
    <row r="1308" customFormat="false" ht="15" hidden="false" customHeight="false" outlineLevel="0" collapsed="false">
      <c r="B1308" s="4" t="n">
        <v>29981498</v>
      </c>
      <c r="C1308" s="4" t="s">
        <v>2563</v>
      </c>
      <c r="D1308" s="4" t="s">
        <v>463</v>
      </c>
      <c r="E1308" s="4" t="s">
        <v>2804</v>
      </c>
      <c r="F1308" s="127" t="n">
        <v>46826</v>
      </c>
      <c r="G1308" s="127" t="n">
        <v>46836</v>
      </c>
      <c r="H1308" s="127" t="n">
        <v>46289</v>
      </c>
      <c r="I1308" s="4" t="n">
        <v>0</v>
      </c>
      <c r="J1308" s="4" t="n">
        <v>0</v>
      </c>
      <c r="K1308" s="4" t="n">
        <v>0</v>
      </c>
      <c r="M1308" s="2" t="str">
        <f aca="false">IF(C1308="","",IFERROR(INDEX($S$5:$S$304,MATCH(C1308,$R$5:$R$304,0))&amp;"","?"))</f>
        <v>20</v>
      </c>
      <c r="N1308" s="2" t="n">
        <f aca="false">IF(E1308="","",IF(ISNUMBER(SEARCH("SUBSOLO",E1308)),IFERROR(-VALUE(LEFT(E1308,FIND("º",SUBSTITUTE(E1308,"°","º"))-1)),-1),IF(LEFT(E1308,6)="TÉRREO",0,IFERROR(VALUE(LEFT(E1308,FIND("º",SUBSTITUTE(E1308,"°","º"))-1)),""))))</f>
        <v>8</v>
      </c>
      <c r="O1308" s="2" t="str">
        <f aca="false">IF(OR(F1308="",G1308=""),"",IF(G1308&lt;='RETRATO 2027'!$K$5,"CONCLUÍDA",IF(F1308&lt;='RETRATO 2027'!$K$5,"EM ANDAMENTO","A INICIAR")))</f>
        <v>A INICIAR</v>
      </c>
    </row>
    <row r="1309" customFormat="false" ht="15" hidden="false" customHeight="false" outlineLevel="0" collapsed="false">
      <c r="B1309" s="4" t="n">
        <v>29981497</v>
      </c>
      <c r="C1309" s="4" t="s">
        <v>2609</v>
      </c>
      <c r="D1309" s="4" t="s">
        <v>463</v>
      </c>
      <c r="E1309" s="4" t="s">
        <v>2804</v>
      </c>
      <c r="F1309" s="127" t="n">
        <v>46826</v>
      </c>
      <c r="G1309" s="127" t="n">
        <v>46836</v>
      </c>
      <c r="H1309" s="127" t="n">
        <v>46289</v>
      </c>
      <c r="I1309" s="4" t="n">
        <v>0</v>
      </c>
      <c r="J1309" s="4" t="n">
        <v>0</v>
      </c>
      <c r="K1309" s="4" t="n">
        <v>0</v>
      </c>
      <c r="M1309" s="2" t="str">
        <f aca="false">IF(C1309="","",IFERROR(INDEX($S$5:$S$304,MATCH(C1309,$R$5:$R$304,0))&amp;"","?"))</f>
        <v>23</v>
      </c>
      <c r="N1309" s="2" t="n">
        <f aca="false">IF(E1309="","",IF(ISNUMBER(SEARCH("SUBSOLO",E1309)),IFERROR(-VALUE(LEFT(E1309,FIND("º",SUBSTITUTE(E1309,"°","º"))-1)),-1),IF(LEFT(E1309,6)="TÉRREO",0,IFERROR(VALUE(LEFT(E1309,FIND("º",SUBSTITUTE(E1309,"°","º"))-1)),""))))</f>
        <v>8</v>
      </c>
      <c r="O1309" s="2" t="str">
        <f aca="false">IF(OR(F1309="",G1309=""),"",IF(G1309&lt;='RETRATO 2027'!$K$5,"CONCLUÍDA",IF(F1309&lt;='RETRATO 2027'!$K$5,"EM ANDAMENTO","A INICIAR")))</f>
        <v>A INICIAR</v>
      </c>
    </row>
    <row r="1310" customFormat="false" ht="15" hidden="false" customHeight="false" outlineLevel="0" collapsed="false">
      <c r="B1310" s="4" t="n">
        <v>29981456</v>
      </c>
      <c r="C1310" s="4" t="s">
        <v>2599</v>
      </c>
      <c r="D1310" s="4" t="s">
        <v>463</v>
      </c>
      <c r="E1310" s="4" t="s">
        <v>2805</v>
      </c>
      <c r="F1310" s="127" t="n">
        <v>46826</v>
      </c>
      <c r="G1310" s="127" t="n">
        <v>46836</v>
      </c>
      <c r="H1310" s="127" t="n">
        <v>46289</v>
      </c>
      <c r="I1310" s="4" t="n">
        <v>0</v>
      </c>
      <c r="J1310" s="4" t="n">
        <v>0</v>
      </c>
      <c r="K1310" s="4" t="n">
        <v>0</v>
      </c>
      <c r="M1310" s="2" t="str">
        <f aca="false">IF(C1310="","",IFERROR(INDEX($S$5:$S$304,MATCH(C1310,$R$5:$R$304,0))&amp;"","?"))</f>
        <v>30</v>
      </c>
      <c r="N1310" s="2" t="n">
        <f aca="false">IF(E1310="","",IF(ISNUMBER(SEARCH("SUBSOLO",E1310)),IFERROR(-VALUE(LEFT(E1310,FIND("º",SUBSTITUTE(E1310,"°","º"))-1)),-1),IF(LEFT(E1310,6)="TÉRREO",0,IFERROR(VALUE(LEFT(E1310,FIND("º",SUBSTITUTE(E1310,"°","º"))-1)),""))))</f>
        <v>9</v>
      </c>
      <c r="O1310" s="2" t="str">
        <f aca="false">IF(OR(F1310="",G1310=""),"",IF(G1310&lt;='RETRATO 2027'!$K$5,"CONCLUÍDA",IF(F1310&lt;='RETRATO 2027'!$K$5,"EM ANDAMENTO","A INICIAR")))</f>
        <v>A INICIAR</v>
      </c>
    </row>
    <row r="1311" customFormat="false" ht="15" hidden="false" customHeight="false" outlineLevel="0" collapsed="false">
      <c r="B1311" s="4" t="n">
        <v>29981418</v>
      </c>
      <c r="C1311" s="4" t="s">
        <v>2578</v>
      </c>
      <c r="D1311" s="4" t="s">
        <v>463</v>
      </c>
      <c r="E1311" s="4" t="s">
        <v>2809</v>
      </c>
      <c r="F1311" s="127" t="n">
        <v>46826</v>
      </c>
      <c r="G1311" s="127" t="n">
        <v>46836</v>
      </c>
      <c r="H1311" s="127" t="n">
        <v>46289</v>
      </c>
      <c r="I1311" s="4" t="n">
        <v>0</v>
      </c>
      <c r="J1311" s="4" t="n">
        <v>0</v>
      </c>
      <c r="K1311" s="4" t="n">
        <v>0</v>
      </c>
      <c r="M1311" s="2" t="str">
        <f aca="false">IF(C1311="","",IFERROR(INDEX($S$5:$S$304,MATCH(C1311,$R$5:$R$304,0))&amp;"","?"))</f>
        <v>25</v>
      </c>
      <c r="N1311" s="2" t="n">
        <f aca="false">IF(E1311="","",IF(ISNUMBER(SEARCH("SUBSOLO",E1311)),IFERROR(-VALUE(LEFT(E1311,FIND("º",SUBSTITUTE(E1311,"°","º"))-1)),-1),IF(LEFT(E1311,6)="TÉRREO",0,IFERROR(VALUE(LEFT(E1311,FIND("º",SUBSTITUTE(E1311,"°","º"))-1)),""))))</f>
        <v>10</v>
      </c>
      <c r="O1311" s="2" t="str">
        <f aca="false">IF(OR(F1311="",G1311=""),"",IF(G1311&lt;='RETRATO 2027'!$K$5,"CONCLUÍDA",IF(F1311&lt;='RETRATO 2027'!$K$5,"EM ANDAMENTO","A INICIAR")))</f>
        <v>A INICIAR</v>
      </c>
    </row>
    <row r="1312" customFormat="false" ht="15" hidden="false" customHeight="false" outlineLevel="0" collapsed="false">
      <c r="B1312" s="4" t="n">
        <v>29981380</v>
      </c>
      <c r="C1312" s="4" t="s">
        <v>2569</v>
      </c>
      <c r="D1312" s="4" t="s">
        <v>463</v>
      </c>
      <c r="E1312" s="4" t="s">
        <v>2810</v>
      </c>
      <c r="F1312" s="127" t="n">
        <v>46826</v>
      </c>
      <c r="G1312" s="127" t="n">
        <v>46836</v>
      </c>
      <c r="H1312" s="127" t="n">
        <v>46289</v>
      </c>
      <c r="I1312" s="4" t="n">
        <v>0</v>
      </c>
      <c r="J1312" s="4" t="n">
        <v>0</v>
      </c>
      <c r="K1312" s="4" t="n">
        <v>0</v>
      </c>
      <c r="M1312" s="2" t="str">
        <f aca="false">IF(C1312="","",IFERROR(INDEX($S$5:$S$304,MATCH(C1312,$R$5:$R$304,0))&amp;"","?"))</f>
        <v>30</v>
      </c>
      <c r="N1312" s="2" t="n">
        <f aca="false">IF(E1312="","",IF(ISNUMBER(SEARCH("SUBSOLO",E1312)),IFERROR(-VALUE(LEFT(E1312,FIND("º",SUBSTITUTE(E1312,"°","º"))-1)),-1),IF(LEFT(E1312,6)="TÉRREO",0,IFERROR(VALUE(LEFT(E1312,FIND("º",SUBSTITUTE(E1312,"°","º"))-1)),""))))</f>
        <v>11</v>
      </c>
      <c r="O1312" s="2" t="str">
        <f aca="false">IF(OR(F1312="",G1312=""),"",IF(G1312&lt;='RETRATO 2027'!$K$5,"CONCLUÍDA",IF(F1312&lt;='RETRATO 2027'!$K$5,"EM ANDAMENTO","A INICIAR")))</f>
        <v>A INICIAR</v>
      </c>
    </row>
    <row r="1313" customFormat="false" ht="15" hidden="false" customHeight="false" outlineLevel="0" collapsed="false">
      <c r="B1313" s="4" t="n">
        <v>29981342</v>
      </c>
      <c r="C1313" s="4" t="s">
        <v>2554</v>
      </c>
      <c r="D1313" s="4" t="s">
        <v>463</v>
      </c>
      <c r="E1313" s="4" t="s">
        <v>2811</v>
      </c>
      <c r="F1313" s="127" t="n">
        <v>46826</v>
      </c>
      <c r="G1313" s="127" t="n">
        <v>46836</v>
      </c>
      <c r="H1313" s="127" t="n">
        <v>46289</v>
      </c>
      <c r="I1313" s="4" t="n">
        <v>0</v>
      </c>
      <c r="J1313" s="4" t="n">
        <v>0</v>
      </c>
      <c r="K1313" s="4" t="n">
        <v>0</v>
      </c>
      <c r="M1313" s="2" t="str">
        <f aca="false">IF(C1313="","",IFERROR(INDEX($S$5:$S$304,MATCH(C1313,$R$5:$R$304,0))&amp;"","?"))</f>
        <v>35</v>
      </c>
      <c r="N1313" s="2" t="n">
        <f aca="false">IF(E1313="","",IF(ISNUMBER(SEARCH("SUBSOLO",E1313)),IFERROR(-VALUE(LEFT(E1313,FIND("º",SUBSTITUTE(E1313,"°","º"))-1)),-1),IF(LEFT(E1313,6)="TÉRREO",0,IFERROR(VALUE(LEFT(E1313,FIND("º",SUBSTITUTE(E1313,"°","º"))-1)),""))))</f>
        <v>12</v>
      </c>
      <c r="O1313" s="2" t="str">
        <f aca="false">IF(OR(F1313="",G1313=""),"",IF(G1313&lt;='RETRATO 2027'!$K$5,"CONCLUÍDA",IF(F1313&lt;='RETRATO 2027'!$K$5,"EM ANDAMENTO","A INICIAR")))</f>
        <v>A INICIAR</v>
      </c>
    </row>
    <row r="1314" customFormat="false" ht="15" hidden="false" customHeight="false" outlineLevel="0" collapsed="false">
      <c r="B1314" s="4" t="n">
        <v>29981331</v>
      </c>
      <c r="C1314" s="4" t="s">
        <v>2539</v>
      </c>
      <c r="D1314" s="4" t="s">
        <v>463</v>
      </c>
      <c r="E1314" s="4" t="s">
        <v>2812</v>
      </c>
      <c r="F1314" s="127" t="n">
        <v>46826</v>
      </c>
      <c r="G1314" s="127" t="n">
        <v>46836</v>
      </c>
      <c r="H1314" s="127" t="n">
        <v>46289</v>
      </c>
      <c r="I1314" s="4" t="n">
        <v>0</v>
      </c>
      <c r="J1314" s="4" t="n">
        <v>0</v>
      </c>
      <c r="K1314" s="4" t="n">
        <v>0</v>
      </c>
      <c r="M1314" s="2" t="str">
        <f aca="false">IF(C1314="","",IFERROR(INDEX($S$5:$S$304,MATCH(C1314,$R$5:$R$304,0))&amp;"","?"))</f>
        <v>35</v>
      </c>
      <c r="N1314" s="2" t="n">
        <f aca="false">IF(E1314="","",IF(ISNUMBER(SEARCH("SUBSOLO",E1314)),IFERROR(-VALUE(LEFT(E1314,FIND("º",SUBSTITUTE(E1314,"°","º"))-1)),-1),IF(LEFT(E1314,6)="TÉRREO",0,IFERROR(VALUE(LEFT(E1314,FIND("º",SUBSTITUTE(E1314,"°","º"))-1)),""))))</f>
        <v>13</v>
      </c>
      <c r="O1314" s="2" t="str">
        <f aca="false">IF(OR(F1314="",G1314=""),"",IF(G1314&lt;='RETRATO 2027'!$K$5,"CONCLUÍDA",IF(F1314&lt;='RETRATO 2027'!$K$5,"EM ANDAMENTO","A INICIAR")))</f>
        <v>A INICIAR</v>
      </c>
    </row>
    <row r="1315" customFormat="false" ht="15" hidden="false" customHeight="false" outlineLevel="0" collapsed="false">
      <c r="B1315" s="4" t="n">
        <v>33898095</v>
      </c>
      <c r="C1315" s="4" t="s">
        <v>2545</v>
      </c>
      <c r="D1315" s="4" t="s">
        <v>463</v>
      </c>
      <c r="E1315" s="4" t="s">
        <v>2813</v>
      </c>
      <c r="F1315" s="127" t="n">
        <v>46826</v>
      </c>
      <c r="G1315" s="127" t="n">
        <v>46836</v>
      </c>
      <c r="H1315" s="127" t="n">
        <v>46289</v>
      </c>
      <c r="I1315" s="4" t="n">
        <v>0</v>
      </c>
      <c r="J1315" s="4" t="n">
        <v>0</v>
      </c>
      <c r="K1315" s="4" t="n">
        <v>0</v>
      </c>
      <c r="M1315" s="2" t="str">
        <f aca="false">IF(C1315="","",IFERROR(INDEX($S$5:$S$304,MATCH(C1315,$R$5:$R$304,0))&amp;"","?"))</f>
        <v>25</v>
      </c>
      <c r="N1315" s="2" t="n">
        <f aca="false">IF(E1315="","",IF(ISNUMBER(SEARCH("SUBSOLO",E1315)),IFERROR(-VALUE(LEFT(E1315,FIND("º",SUBSTITUTE(E1315,"°","º"))-1)),-1),IF(LEFT(E1315,6)="TÉRREO",0,IFERROR(VALUE(LEFT(E1315,FIND("º",SUBSTITUTE(E1315,"°","º"))-1)),""))))</f>
        <v>14</v>
      </c>
      <c r="O1315" s="2" t="str">
        <f aca="false">IF(OR(F1315="",G1315=""),"",IF(G1315&lt;='RETRATO 2027'!$K$5,"CONCLUÍDA",IF(F1315&lt;='RETRATO 2027'!$K$5,"EM ANDAMENTO","A INICIAR")))</f>
        <v>A INICIAR</v>
      </c>
    </row>
    <row r="1316" customFormat="false" ht="15" hidden="false" customHeight="false" outlineLevel="0" collapsed="false">
      <c r="B1316" s="4" t="n">
        <v>30205699</v>
      </c>
      <c r="C1316" s="4" t="s">
        <v>2554</v>
      </c>
      <c r="D1316" s="4" t="s">
        <v>463</v>
      </c>
      <c r="E1316" s="4" t="s">
        <v>2819</v>
      </c>
      <c r="F1316" s="127" t="n">
        <v>46827</v>
      </c>
      <c r="G1316" s="127" t="n">
        <v>46840</v>
      </c>
      <c r="H1316" s="127" t="n">
        <v>46289</v>
      </c>
      <c r="I1316" s="4" t="n">
        <v>0</v>
      </c>
      <c r="J1316" s="4" t="n">
        <v>0</v>
      </c>
      <c r="K1316" s="4" t="n">
        <v>0</v>
      </c>
      <c r="M1316" s="2" t="str">
        <f aca="false">IF(C1316="","",IFERROR(INDEX($S$5:$S$304,MATCH(C1316,$R$5:$R$304,0))&amp;"","?"))</f>
        <v>35</v>
      </c>
      <c r="N1316" s="2" t="n">
        <f aca="false">IF(E1316="","",IF(ISNUMBER(SEARCH("SUBSOLO",E1316)),IFERROR(-VALUE(LEFT(E1316,FIND("º",SUBSTITUTE(E1316,"°","º"))-1)),-1),IF(LEFT(E1316,6)="TÉRREO",0,IFERROR(VALUE(LEFT(E1316,FIND("º",SUBSTITUTE(E1316,"°","º"))-1)),""))))</f>
        <v>0</v>
      </c>
      <c r="O1316" s="2" t="str">
        <f aca="false">IF(OR(F1316="",G1316=""),"",IF(G1316&lt;='RETRATO 2027'!$K$5,"CONCLUÍDA",IF(F1316&lt;='RETRATO 2027'!$K$5,"EM ANDAMENTO","A INICIAR")))</f>
        <v>A INICIAR</v>
      </c>
    </row>
    <row r="1317" customFormat="false" ht="15" hidden="false" customHeight="false" outlineLevel="0" collapsed="false">
      <c r="B1317" s="4" t="n">
        <v>29981144</v>
      </c>
      <c r="C1317" s="4" t="s">
        <v>216</v>
      </c>
      <c r="D1317" s="4" t="s">
        <v>463</v>
      </c>
      <c r="E1317" s="4" t="s">
        <v>2820</v>
      </c>
      <c r="F1317" s="127" t="n">
        <v>46827</v>
      </c>
      <c r="G1317" s="127" t="n">
        <v>46839</v>
      </c>
      <c r="H1317" s="127" t="n">
        <v>46289</v>
      </c>
      <c r="I1317" s="4" t="n">
        <v>0</v>
      </c>
      <c r="J1317" s="4" t="n">
        <v>0</v>
      </c>
      <c r="K1317" s="4" t="n">
        <v>0</v>
      </c>
      <c r="M1317" s="2" t="str">
        <f aca="false">IF(C1317="","",IFERROR(INDEX($S$5:$S$304,MATCH(C1317,$R$5:$R$304,0))&amp;"","?"))</f>
        <v>33</v>
      </c>
      <c r="N1317" s="2" t="n">
        <f aca="false">IF(E1317="","",IF(ISNUMBER(SEARCH("SUBSOLO",E1317)),IFERROR(-VALUE(LEFT(E1317,FIND("º",SUBSTITUTE(E1317,"°","º"))-1)),-1),IF(LEFT(E1317,6)="TÉRREO",0,IFERROR(VALUE(LEFT(E1317,FIND("º",SUBSTITUTE(E1317,"°","º"))-1)),""))))</f>
        <v>18</v>
      </c>
      <c r="O1317" s="2" t="str">
        <f aca="false">IF(OR(F1317="",G1317=""),"",IF(G1317&lt;='RETRATO 2027'!$K$5,"CONCLUÍDA",IF(F1317&lt;='RETRATO 2027'!$K$5,"EM ANDAMENTO","A INICIAR")))</f>
        <v>A INICIAR</v>
      </c>
    </row>
    <row r="1318" customFormat="false" ht="15" hidden="false" customHeight="false" outlineLevel="0" collapsed="false">
      <c r="B1318" s="4" t="n">
        <v>29981068</v>
      </c>
      <c r="C1318" s="4" t="s">
        <v>2508</v>
      </c>
      <c r="D1318" s="4" t="s">
        <v>463</v>
      </c>
      <c r="E1318" s="4" t="s">
        <v>2823</v>
      </c>
      <c r="F1318" s="127" t="n">
        <v>46827</v>
      </c>
      <c r="G1318" s="127" t="n">
        <v>46839</v>
      </c>
      <c r="H1318" s="127" t="n">
        <v>46289</v>
      </c>
      <c r="I1318" s="4" t="n">
        <v>0</v>
      </c>
      <c r="J1318" s="4" t="n">
        <v>0</v>
      </c>
      <c r="K1318" s="4" t="n">
        <v>0</v>
      </c>
      <c r="M1318" s="2" t="str">
        <f aca="false">IF(C1318="","",IFERROR(INDEX($S$5:$S$304,MATCH(C1318,$R$5:$R$304,0))&amp;"","?"))</f>
        <v>20</v>
      </c>
      <c r="N1318" s="2" t="n">
        <f aca="false">IF(E1318="","",IF(ISNUMBER(SEARCH("SUBSOLO",E1318)),IFERROR(-VALUE(LEFT(E1318,FIND("º",SUBSTITUTE(E1318,"°","º"))-1)),-1),IF(LEFT(E1318,6)="TÉRREO",0,IFERROR(VALUE(LEFT(E1318,FIND("º",SUBSTITUTE(E1318,"°","º"))-1)),""))))</f>
        <v>20</v>
      </c>
      <c r="O1318" s="2" t="str">
        <f aca="false">IF(OR(F1318="",G1318=""),"",IF(G1318&lt;='RETRATO 2027'!$K$5,"CONCLUÍDA",IF(F1318&lt;='RETRATO 2027'!$K$5,"EM ANDAMENTO","A INICIAR")))</f>
        <v>A INICIAR</v>
      </c>
    </row>
    <row r="1319" customFormat="false" ht="15" hidden="false" customHeight="false" outlineLevel="0" collapsed="false">
      <c r="B1319" s="4" t="n">
        <v>29981073</v>
      </c>
      <c r="C1319" s="4" t="s">
        <v>2511</v>
      </c>
      <c r="D1319" s="4" t="s">
        <v>463</v>
      </c>
      <c r="E1319" s="4" t="s">
        <v>2823</v>
      </c>
      <c r="F1319" s="127" t="n">
        <v>46827</v>
      </c>
      <c r="G1319" s="127" t="n">
        <v>46839</v>
      </c>
      <c r="H1319" s="127" t="n">
        <v>46289</v>
      </c>
      <c r="I1319" s="4" t="n">
        <v>0</v>
      </c>
      <c r="J1319" s="4" t="n">
        <v>0</v>
      </c>
      <c r="K1319" s="4" t="n">
        <v>0</v>
      </c>
      <c r="M1319" s="2" t="str">
        <f aca="false">IF(C1319="","",IFERROR(INDEX($S$5:$S$304,MATCH(C1319,$R$5:$R$304,0))&amp;"","?"))</f>
        <v>20</v>
      </c>
      <c r="N1319" s="2" t="n">
        <f aca="false">IF(E1319="","",IF(ISNUMBER(SEARCH("SUBSOLO",E1319)),IFERROR(-VALUE(LEFT(E1319,FIND("º",SUBSTITUTE(E1319,"°","º"))-1)),-1),IF(LEFT(E1319,6)="TÉRREO",0,IFERROR(VALUE(LEFT(E1319,FIND("º",SUBSTITUTE(E1319,"°","º"))-1)),""))))</f>
        <v>20</v>
      </c>
      <c r="O1319" s="2" t="str">
        <f aca="false">IF(OR(F1319="",G1319=""),"",IF(G1319&lt;='RETRATO 2027'!$K$5,"CONCLUÍDA",IF(F1319&lt;='RETRATO 2027'!$K$5,"EM ANDAMENTO","A INICIAR")))</f>
        <v>A INICIAR</v>
      </c>
    </row>
    <row r="1320" customFormat="false" ht="15" hidden="false" customHeight="false" outlineLevel="0" collapsed="false">
      <c r="B1320" s="4" t="n">
        <v>30214082</v>
      </c>
      <c r="C1320" s="4" t="s">
        <v>2514</v>
      </c>
      <c r="D1320" s="4" t="s">
        <v>463</v>
      </c>
      <c r="E1320" s="4" t="s">
        <v>2823</v>
      </c>
      <c r="F1320" s="127" t="n">
        <v>46827</v>
      </c>
      <c r="G1320" s="127" t="n">
        <v>46840</v>
      </c>
      <c r="H1320" s="127" t="n">
        <v>46289</v>
      </c>
      <c r="I1320" s="4" t="n">
        <v>0</v>
      </c>
      <c r="J1320" s="4" t="n">
        <v>0</v>
      </c>
      <c r="K1320" s="4" t="n">
        <v>0</v>
      </c>
      <c r="M1320" s="2" t="str">
        <f aca="false">IF(C1320="","",IFERROR(INDEX($S$5:$S$304,MATCH(C1320,$R$5:$R$304,0))&amp;"","?"))</f>
        <v>20</v>
      </c>
      <c r="N1320" s="2" t="n">
        <f aca="false">IF(E1320="","",IF(ISNUMBER(SEARCH("SUBSOLO",E1320)),IFERROR(-VALUE(LEFT(E1320,FIND("º",SUBSTITUTE(E1320,"°","º"))-1)),-1),IF(LEFT(E1320,6)="TÉRREO",0,IFERROR(VALUE(LEFT(E1320,FIND("º",SUBSTITUTE(E1320,"°","º"))-1)),""))))</f>
        <v>20</v>
      </c>
      <c r="O1320" s="2" t="str">
        <f aca="false">IF(OR(F1320="",G1320=""),"",IF(G1320&lt;='RETRATO 2027'!$K$5,"CONCLUÍDA",IF(F1320&lt;='RETRATO 2027'!$K$5,"EM ANDAMENTO","A INICIAR")))</f>
        <v>A INICIAR</v>
      </c>
    </row>
    <row r="1321" customFormat="false" ht="15" hidden="false" customHeight="false" outlineLevel="0" collapsed="false">
      <c r="B1321" s="4" t="n">
        <v>29981015</v>
      </c>
      <c r="C1321" s="4" t="s">
        <v>2501</v>
      </c>
      <c r="D1321" s="4" t="s">
        <v>463</v>
      </c>
      <c r="E1321" s="4" t="s">
        <v>2825</v>
      </c>
      <c r="F1321" s="127" t="n">
        <v>46827</v>
      </c>
      <c r="G1321" s="127" t="n">
        <v>46839</v>
      </c>
      <c r="H1321" s="127" t="n">
        <v>46289</v>
      </c>
      <c r="I1321" s="4" t="n">
        <v>0</v>
      </c>
      <c r="J1321" s="4" t="n">
        <v>0</v>
      </c>
      <c r="K1321" s="4" t="n">
        <v>0</v>
      </c>
      <c r="M1321" s="2" t="str">
        <f aca="false">IF(C1321="","",IFERROR(INDEX($S$5:$S$304,MATCH(C1321,$R$5:$R$304,0))&amp;"","?"))</f>
        <v>30</v>
      </c>
      <c r="N1321" s="2" t="n">
        <f aca="false">IF(E1321="","",IF(ISNUMBER(SEARCH("SUBSOLO",E1321)),IFERROR(-VALUE(LEFT(E1321,FIND("º",SUBSTITUTE(E1321,"°","º"))-1)),-1),IF(LEFT(E1321,6)="TÉRREO",0,IFERROR(VALUE(LEFT(E1321,FIND("º",SUBSTITUTE(E1321,"°","º"))-1)),""))))</f>
        <v>21</v>
      </c>
      <c r="O1321" s="2" t="str">
        <f aca="false">IF(OR(F1321="",G1321=""),"",IF(G1321&lt;='RETRATO 2027'!$K$5,"CONCLUÍDA",IF(F1321&lt;='RETRATO 2027'!$K$5,"EM ANDAMENTO","A INICIAR")))</f>
        <v>A INICIAR</v>
      </c>
    </row>
    <row r="1322" customFormat="false" ht="15" hidden="false" customHeight="false" outlineLevel="0" collapsed="false">
      <c r="B1322" s="4" t="n">
        <v>29980977</v>
      </c>
      <c r="C1322" s="4" t="s">
        <v>2486</v>
      </c>
      <c r="D1322" s="4" t="s">
        <v>463</v>
      </c>
      <c r="E1322" s="4" t="s">
        <v>2827</v>
      </c>
      <c r="F1322" s="127" t="n">
        <v>46827</v>
      </c>
      <c r="G1322" s="127" t="n">
        <v>46839</v>
      </c>
      <c r="H1322" s="127" t="n">
        <v>46289</v>
      </c>
      <c r="I1322" s="4" t="n">
        <v>0</v>
      </c>
      <c r="J1322" s="4" t="n">
        <v>0</v>
      </c>
      <c r="K1322" s="4" t="n">
        <v>0</v>
      </c>
      <c r="M1322" s="2" t="str">
        <f aca="false">IF(C1322="","",IFERROR(INDEX($S$5:$S$304,MATCH(C1322,$R$5:$R$304,0))&amp;"","?"))</f>
        <v>30</v>
      </c>
      <c r="N1322" s="2" t="n">
        <f aca="false">IF(E1322="","",IF(ISNUMBER(SEARCH("SUBSOLO",E1322)),IFERROR(-VALUE(LEFT(E1322,FIND("º",SUBSTITUTE(E1322,"°","º"))-1)),-1),IF(LEFT(E1322,6)="TÉRREO",0,IFERROR(VALUE(LEFT(E1322,FIND("º",SUBSTITUTE(E1322,"°","º"))-1)),""))))</f>
        <v>22</v>
      </c>
      <c r="O1322" s="2" t="str">
        <f aca="false">IF(OR(F1322="",G1322=""),"",IF(G1322&lt;='RETRATO 2027'!$K$5,"CONCLUÍDA",IF(F1322&lt;='RETRATO 2027'!$K$5,"EM ANDAMENTO","A INICIAR")))</f>
        <v>A INICIAR</v>
      </c>
    </row>
    <row r="1323" customFormat="false" ht="15" hidden="false" customHeight="false" outlineLevel="0" collapsed="false">
      <c r="B1323" s="4" t="n">
        <v>29980956</v>
      </c>
      <c r="C1323" s="4" t="s">
        <v>2480</v>
      </c>
      <c r="D1323" s="4" t="s">
        <v>463</v>
      </c>
      <c r="E1323" s="4" t="s">
        <v>2829</v>
      </c>
      <c r="F1323" s="127" t="n">
        <v>46827</v>
      </c>
      <c r="G1323" s="127" t="n">
        <v>46839</v>
      </c>
      <c r="H1323" s="127" t="n">
        <v>46289</v>
      </c>
      <c r="I1323" s="4" t="n">
        <v>0</v>
      </c>
      <c r="J1323" s="4" t="n">
        <v>0</v>
      </c>
      <c r="K1323" s="4" t="n">
        <v>0</v>
      </c>
      <c r="M1323" s="2" t="str">
        <f aca="false">IF(C1323="","",IFERROR(INDEX($S$5:$S$304,MATCH(C1323,$R$5:$R$304,0))&amp;"","?"))</f>
        <v>30</v>
      </c>
      <c r="N1323" s="2" t="n">
        <f aca="false">IF(E1323="","",IF(ISNUMBER(SEARCH("SUBSOLO",E1323)),IFERROR(-VALUE(LEFT(E1323,FIND("º",SUBSTITUTE(E1323,"°","º"))-1)),-1),IF(LEFT(E1323,6)="TÉRREO",0,IFERROR(VALUE(LEFT(E1323,FIND("º",SUBSTITUTE(E1323,"°","º"))-1)),""))))</f>
        <v>23</v>
      </c>
      <c r="O1323" s="2" t="str">
        <f aca="false">IF(OR(F1323="",G1323=""),"",IF(G1323&lt;='RETRATO 2027'!$K$5,"CONCLUÍDA",IF(F1323&lt;='RETRATO 2027'!$K$5,"EM ANDAMENTO","A INICIAR")))</f>
        <v>A INICIAR</v>
      </c>
    </row>
    <row r="1324" customFormat="false" ht="15" hidden="false" customHeight="false" outlineLevel="0" collapsed="false">
      <c r="B1324" s="4" t="n">
        <v>29980917</v>
      </c>
      <c r="C1324" s="4" t="s">
        <v>171</v>
      </c>
      <c r="D1324" s="4" t="s">
        <v>463</v>
      </c>
      <c r="E1324" s="4" t="s">
        <v>2831</v>
      </c>
      <c r="F1324" s="127" t="n">
        <v>46827</v>
      </c>
      <c r="G1324" s="127" t="n">
        <v>46839</v>
      </c>
      <c r="H1324" s="127" t="n">
        <v>46289</v>
      </c>
      <c r="I1324" s="4" t="n">
        <v>0</v>
      </c>
      <c r="J1324" s="4" t="n">
        <v>0</v>
      </c>
      <c r="K1324" s="4" t="n">
        <v>0</v>
      </c>
      <c r="M1324" s="2" t="str">
        <f aca="false">IF(C1324="","",IFERROR(INDEX($S$5:$S$304,MATCH(C1324,$R$5:$R$304,0))&amp;"","?"))</f>
        <v>19</v>
      </c>
      <c r="N1324" s="2" t="n">
        <f aca="false">IF(E1324="","",IF(ISNUMBER(SEARCH("SUBSOLO",E1324)),IFERROR(-VALUE(LEFT(E1324,FIND("º",SUBSTITUTE(E1324,"°","º"))-1)),-1),IF(LEFT(E1324,6)="TÉRREO",0,IFERROR(VALUE(LEFT(E1324,FIND("º",SUBSTITUTE(E1324,"°","º"))-1)),""))))</f>
        <v>24</v>
      </c>
      <c r="O1324" s="2" t="str">
        <f aca="false">IF(OR(F1324="",G1324=""),"",IF(G1324&lt;='RETRATO 2027'!$K$5,"CONCLUÍDA",IF(F1324&lt;='RETRATO 2027'!$K$5,"EM ANDAMENTO","A INICIAR")))</f>
        <v>A INICIAR</v>
      </c>
    </row>
    <row r="1325" customFormat="false" ht="15" hidden="false" customHeight="false" outlineLevel="0" collapsed="false">
      <c r="B1325" s="4" t="n">
        <v>32750451</v>
      </c>
      <c r="C1325" s="4" t="s">
        <v>2470</v>
      </c>
      <c r="D1325" s="4" t="s">
        <v>463</v>
      </c>
      <c r="E1325" s="4" t="s">
        <v>2833</v>
      </c>
      <c r="F1325" s="127" t="n">
        <v>46827</v>
      </c>
      <c r="G1325" s="127" t="n">
        <v>46839</v>
      </c>
      <c r="H1325" s="127" t="n">
        <v>46289</v>
      </c>
      <c r="I1325" s="4" t="n">
        <v>0</v>
      </c>
      <c r="J1325" s="4" t="n">
        <v>0</v>
      </c>
      <c r="K1325" s="4" t="n">
        <v>0</v>
      </c>
      <c r="M1325" s="2" t="str">
        <f aca="false">IF(C1325="","",IFERROR(INDEX($S$5:$S$304,MATCH(C1325,$R$5:$R$304,0))&amp;"","?"))</f>
        <v>18</v>
      </c>
      <c r="N1325" s="2" t="n">
        <f aca="false">IF(E1325="","",IF(ISNUMBER(SEARCH("SUBSOLO",E1325)),IFERROR(-VALUE(LEFT(E1325,FIND("º",SUBSTITUTE(E1325,"°","º"))-1)),-1),IF(LEFT(E1325,6)="TÉRREO",0,IFERROR(VALUE(LEFT(E1325,FIND("º",SUBSTITUTE(E1325,"°","º"))-1)),""))))</f>
        <v>25</v>
      </c>
      <c r="O1325" s="2" t="str">
        <f aca="false">IF(OR(F1325="",G1325=""),"",IF(G1325&lt;='RETRATO 2027'!$K$5,"CONCLUÍDA",IF(F1325&lt;='RETRATO 2027'!$K$5,"EM ANDAMENTO","A INICIAR")))</f>
        <v>A INICIAR</v>
      </c>
    </row>
    <row r="1326" customFormat="false" ht="15" hidden="false" customHeight="false" outlineLevel="0" collapsed="false">
      <c r="B1326" s="4" t="n">
        <v>32750374</v>
      </c>
      <c r="C1326" s="4" t="s">
        <v>2458</v>
      </c>
      <c r="D1326" s="4" t="s">
        <v>463</v>
      </c>
      <c r="E1326" s="4" t="s">
        <v>2834</v>
      </c>
      <c r="F1326" s="127" t="n">
        <v>46827</v>
      </c>
      <c r="G1326" s="127" t="n">
        <v>46839</v>
      </c>
      <c r="H1326" s="127" t="n">
        <v>46289</v>
      </c>
      <c r="I1326" s="4" t="n">
        <v>0</v>
      </c>
      <c r="J1326" s="4" t="n">
        <v>0</v>
      </c>
      <c r="K1326" s="4" t="n">
        <v>0</v>
      </c>
      <c r="M1326" s="2" t="str">
        <f aca="false">IF(C1326="","",IFERROR(INDEX($S$5:$S$304,MATCH(C1326,$R$5:$R$304,0))&amp;"","?"))</f>
        <v>21</v>
      </c>
      <c r="N1326" s="2" t="n">
        <f aca="false">IF(E1326="","",IF(ISNUMBER(SEARCH("SUBSOLO",E1326)),IFERROR(-VALUE(LEFT(E1326,FIND("º",SUBSTITUTE(E1326,"°","º"))-1)),-1),IF(LEFT(E1326,6)="TÉRREO",0,IFERROR(VALUE(LEFT(E1326,FIND("º",SUBSTITUTE(E1326,"°","º"))-1)),""))))</f>
        <v>26</v>
      </c>
      <c r="O1326" s="2" t="str">
        <f aca="false">IF(OR(F1326="",G1326=""),"",IF(G1326&lt;='RETRATO 2027'!$K$5,"CONCLUÍDA",IF(F1326&lt;='RETRATO 2027'!$K$5,"EM ANDAMENTO","A INICIAR")))</f>
        <v>A INICIAR</v>
      </c>
    </row>
    <row r="1327" customFormat="false" ht="15" hidden="false" customHeight="false" outlineLevel="0" collapsed="false">
      <c r="B1327" s="4" t="n">
        <v>32750400</v>
      </c>
      <c r="C1327" s="4" t="s">
        <v>2461</v>
      </c>
      <c r="D1327" s="4" t="s">
        <v>463</v>
      </c>
      <c r="E1327" s="4" t="s">
        <v>2834</v>
      </c>
      <c r="F1327" s="127" t="n">
        <v>46827</v>
      </c>
      <c r="G1327" s="127" t="n">
        <v>46839</v>
      </c>
      <c r="H1327" s="127" t="n">
        <v>46289</v>
      </c>
      <c r="I1327" s="4" t="n">
        <v>0</v>
      </c>
      <c r="J1327" s="4" t="n">
        <v>0</v>
      </c>
      <c r="K1327" s="4" t="n">
        <v>0</v>
      </c>
      <c r="M1327" s="2" t="str">
        <f aca="false">IF(C1327="","",IFERROR(INDEX($S$5:$S$304,MATCH(C1327,$R$5:$R$304,0))&amp;"","?"))</f>
        <v>20</v>
      </c>
      <c r="N1327" s="2" t="n">
        <f aca="false">IF(E1327="","",IF(ISNUMBER(SEARCH("SUBSOLO",E1327)),IFERROR(-VALUE(LEFT(E1327,FIND("º",SUBSTITUTE(E1327,"°","º"))-1)),-1),IF(LEFT(E1327,6)="TÉRREO",0,IFERROR(VALUE(LEFT(E1327,FIND("º",SUBSTITUTE(E1327,"°","º"))-1)),""))))</f>
        <v>26</v>
      </c>
      <c r="O1327" s="2" t="str">
        <f aca="false">IF(OR(F1327="",G1327=""),"",IF(G1327&lt;='RETRATO 2027'!$K$5,"CONCLUÍDA",IF(F1327&lt;='RETRATO 2027'!$K$5,"EM ANDAMENTO","A INICIAR")))</f>
        <v>A INICIAR</v>
      </c>
    </row>
    <row r="1328" customFormat="false" ht="15" hidden="false" customHeight="false" outlineLevel="0" collapsed="false">
      <c r="B1328" s="4" t="n">
        <v>32750426</v>
      </c>
      <c r="C1328" s="4" t="s">
        <v>2464</v>
      </c>
      <c r="D1328" s="4" t="s">
        <v>463</v>
      </c>
      <c r="E1328" s="4" t="s">
        <v>2834</v>
      </c>
      <c r="F1328" s="127" t="n">
        <v>46827</v>
      </c>
      <c r="G1328" s="127" t="n">
        <v>46839</v>
      </c>
      <c r="H1328" s="127" t="n">
        <v>46289</v>
      </c>
      <c r="I1328" s="4" t="n">
        <v>0</v>
      </c>
      <c r="J1328" s="4" t="n">
        <v>0</v>
      </c>
      <c r="K1328" s="4" t="n">
        <v>0</v>
      </c>
      <c r="M1328" s="2" t="str">
        <f aca="false">IF(C1328="","",IFERROR(INDEX($S$5:$S$304,MATCH(C1328,$R$5:$R$304,0))&amp;"","?"))</f>
        <v>21</v>
      </c>
      <c r="N1328" s="2" t="n">
        <f aca="false">IF(E1328="","",IF(ISNUMBER(SEARCH("SUBSOLO",E1328)),IFERROR(-VALUE(LEFT(E1328,FIND("º",SUBSTITUTE(E1328,"°","º"))-1)),-1),IF(LEFT(E1328,6)="TÉRREO",0,IFERROR(VALUE(LEFT(E1328,FIND("º",SUBSTITUTE(E1328,"°","º"))-1)),""))))</f>
        <v>26</v>
      </c>
      <c r="O1328" s="2" t="str">
        <f aca="false">IF(OR(F1328="",G1328=""),"",IF(G1328&lt;='RETRATO 2027'!$K$5,"CONCLUÍDA",IF(F1328&lt;='RETRATO 2027'!$K$5,"EM ANDAMENTO","A INICIAR")))</f>
        <v>A INICIAR</v>
      </c>
    </row>
    <row r="1329" customFormat="false" ht="15" hidden="false" customHeight="false" outlineLevel="0" collapsed="false">
      <c r="B1329" s="4" t="n">
        <v>33896844</v>
      </c>
      <c r="C1329" s="4" t="s">
        <v>2467</v>
      </c>
      <c r="D1329" s="4" t="s">
        <v>463</v>
      </c>
      <c r="E1329" s="4" t="s">
        <v>2834</v>
      </c>
      <c r="F1329" s="127" t="n">
        <v>46827</v>
      </c>
      <c r="G1329" s="127" t="n">
        <v>46839</v>
      </c>
      <c r="H1329" s="127" t="n">
        <v>46289</v>
      </c>
      <c r="I1329" s="4" t="n">
        <v>0</v>
      </c>
      <c r="J1329" s="4" t="n">
        <v>0</v>
      </c>
      <c r="K1329" s="4" t="n">
        <v>0</v>
      </c>
      <c r="M1329" s="2" t="str">
        <f aca="false">IF(C1329="","",IFERROR(INDEX($S$5:$S$304,MATCH(C1329,$R$5:$R$304,0))&amp;"","?"))</f>
        <v>23</v>
      </c>
      <c r="N1329" s="2" t="n">
        <f aca="false">IF(E1329="","",IF(ISNUMBER(SEARCH("SUBSOLO",E1329)),IFERROR(-VALUE(LEFT(E1329,FIND("º",SUBSTITUTE(E1329,"°","º"))-1)),-1),IF(LEFT(E1329,6)="TÉRREO",0,IFERROR(VALUE(LEFT(E1329,FIND("º",SUBSTITUTE(E1329,"°","º"))-1)),""))))</f>
        <v>26</v>
      </c>
      <c r="O1329" s="2" t="str">
        <f aca="false">IF(OR(F1329="",G1329=""),"",IF(G1329&lt;='RETRATO 2027'!$K$5,"CONCLUÍDA",IF(F1329&lt;='RETRATO 2027'!$K$5,"EM ANDAMENTO","A INICIAR")))</f>
        <v>A INICIAR</v>
      </c>
    </row>
    <row r="1330" customFormat="false" ht="15" hidden="false" customHeight="false" outlineLevel="0" collapsed="false">
      <c r="B1330" s="4" t="n">
        <v>32749870</v>
      </c>
      <c r="C1330" s="4" t="s">
        <v>2455</v>
      </c>
      <c r="D1330" s="4" t="s">
        <v>463</v>
      </c>
      <c r="E1330" s="4" t="s">
        <v>2838</v>
      </c>
      <c r="F1330" s="127" t="n">
        <v>46827</v>
      </c>
      <c r="G1330" s="127" t="n">
        <v>46839</v>
      </c>
      <c r="H1330" s="127" t="n">
        <v>46289</v>
      </c>
      <c r="I1330" s="4" t="n">
        <v>0</v>
      </c>
      <c r="J1330" s="4" t="n">
        <v>0</v>
      </c>
      <c r="K1330" s="4" t="n">
        <v>0</v>
      </c>
      <c r="M1330" s="2" t="str">
        <f aca="false">IF(C1330="","",IFERROR(INDEX($S$5:$S$304,MATCH(C1330,$R$5:$R$304,0))&amp;"","?"))</f>
        <v>18</v>
      </c>
      <c r="N1330" s="2" t="n">
        <f aca="false">IF(E1330="","",IF(ISNUMBER(SEARCH("SUBSOLO",E1330)),IFERROR(-VALUE(LEFT(E1330,FIND("º",SUBSTITUTE(E1330,"°","º"))-1)),-1),IF(LEFT(E1330,6)="TÉRREO",0,IFERROR(VALUE(LEFT(E1330,FIND("º",SUBSTITUTE(E1330,"°","º"))-1)),""))))</f>
        <v>27</v>
      </c>
      <c r="O1330" s="2" t="str">
        <f aca="false">IF(OR(F1330="",G1330=""),"",IF(G1330&lt;='RETRATO 2027'!$K$5,"CONCLUÍDA",IF(F1330&lt;='RETRATO 2027'!$K$5,"EM ANDAMENTO","A INICIAR")))</f>
        <v>A INICIAR</v>
      </c>
    </row>
    <row r="1331" customFormat="false" ht="15" hidden="false" customHeight="false" outlineLevel="0" collapsed="false">
      <c r="B1331" s="4" t="n">
        <v>29980770</v>
      </c>
      <c r="C1331" s="4" t="s">
        <v>2449</v>
      </c>
      <c r="D1331" s="4" t="s">
        <v>463</v>
      </c>
      <c r="E1331" s="4" t="s">
        <v>2840</v>
      </c>
      <c r="F1331" s="127" t="n">
        <v>46827</v>
      </c>
      <c r="G1331" s="127" t="n">
        <v>46839</v>
      </c>
      <c r="H1331" s="127" t="n">
        <v>46289</v>
      </c>
      <c r="I1331" s="4" t="n">
        <v>0</v>
      </c>
      <c r="J1331" s="4" t="n">
        <v>0</v>
      </c>
      <c r="K1331" s="4" t="n">
        <v>0</v>
      </c>
      <c r="M1331" s="2" t="str">
        <f aca="false">IF(C1331="","",IFERROR(INDEX($S$5:$S$304,MATCH(C1331,$R$5:$R$304,0))&amp;"","?"))</f>
        <v>28</v>
      </c>
      <c r="N1331" s="2" t="n">
        <f aca="false">IF(E1331="","",IF(ISNUMBER(SEARCH("SUBSOLO",E1331)),IFERROR(-VALUE(LEFT(E1331,FIND("º",SUBSTITUTE(E1331,"°","º"))-1)),-1),IF(LEFT(E1331,6)="TÉRREO",0,IFERROR(VALUE(LEFT(E1331,FIND("º",SUBSTITUTE(E1331,"°","º"))-1)),""))))</f>
        <v>28</v>
      </c>
      <c r="O1331" s="2" t="str">
        <f aca="false">IF(OR(F1331="",G1331=""),"",IF(G1331&lt;='RETRATO 2027'!$K$5,"CONCLUÍDA",IF(F1331&lt;='RETRATO 2027'!$K$5,"EM ANDAMENTO","A INICIAR")))</f>
        <v>A INICIAR</v>
      </c>
    </row>
    <row r="1332" customFormat="false" ht="15" hidden="false" customHeight="false" outlineLevel="0" collapsed="false">
      <c r="B1332" s="4" t="n">
        <v>29980710</v>
      </c>
      <c r="C1332" s="4" t="s">
        <v>2440</v>
      </c>
      <c r="D1332" s="4" t="s">
        <v>463</v>
      </c>
      <c r="E1332" s="4" t="s">
        <v>2841</v>
      </c>
      <c r="F1332" s="127" t="n">
        <v>46827</v>
      </c>
      <c r="G1332" s="127" t="n">
        <v>46839</v>
      </c>
      <c r="H1332" s="127" t="n">
        <v>46289</v>
      </c>
      <c r="I1332" s="4" t="n">
        <v>0</v>
      </c>
      <c r="J1332" s="4" t="n">
        <v>0</v>
      </c>
      <c r="K1332" s="4" t="n">
        <v>0</v>
      </c>
      <c r="M1332" s="2" t="str">
        <f aca="false">IF(C1332="","",IFERROR(INDEX($S$5:$S$304,MATCH(C1332,$R$5:$R$304,0))&amp;"","?"))</f>
        <v>21</v>
      </c>
      <c r="N1332" s="2" t="n">
        <f aca="false">IF(E1332="","",IF(ISNUMBER(SEARCH("SUBSOLO",E1332)),IFERROR(-VALUE(LEFT(E1332,FIND("º",SUBSTITUTE(E1332,"°","º"))-1)),-1),IF(LEFT(E1332,6)="TÉRREO",0,IFERROR(VALUE(LEFT(E1332,FIND("º",SUBSTITUTE(E1332,"°","º"))-1)),""))))</f>
        <v>29</v>
      </c>
      <c r="O1332" s="2" t="str">
        <f aca="false">IF(OR(F1332="",G1332=""),"",IF(G1332&lt;='RETRATO 2027'!$K$5,"CONCLUÍDA",IF(F1332&lt;='RETRATO 2027'!$K$5,"EM ANDAMENTO","A INICIAR")))</f>
        <v>A INICIAR</v>
      </c>
    </row>
    <row r="1333" customFormat="false" ht="15" hidden="false" customHeight="false" outlineLevel="0" collapsed="false">
      <c r="B1333" s="4" t="n">
        <v>29980743</v>
      </c>
      <c r="C1333" s="4" t="s">
        <v>2443</v>
      </c>
      <c r="D1333" s="4" t="s">
        <v>463</v>
      </c>
      <c r="E1333" s="4" t="s">
        <v>2841</v>
      </c>
      <c r="F1333" s="127" t="n">
        <v>46827</v>
      </c>
      <c r="G1333" s="127" t="n">
        <v>46839</v>
      </c>
      <c r="H1333" s="127" t="n">
        <v>46289</v>
      </c>
      <c r="I1333" s="4" t="n">
        <v>0</v>
      </c>
      <c r="J1333" s="4" t="n">
        <v>0</v>
      </c>
      <c r="K1333" s="4" t="n">
        <v>0</v>
      </c>
      <c r="M1333" s="2" t="str">
        <f aca="false">IF(C1333="","",IFERROR(INDEX($S$5:$S$304,MATCH(C1333,$R$5:$R$304,0))&amp;"","?"))</f>
        <v>20</v>
      </c>
      <c r="N1333" s="2" t="n">
        <f aca="false">IF(E1333="","",IF(ISNUMBER(SEARCH("SUBSOLO",E1333)),IFERROR(-VALUE(LEFT(E1333,FIND("º",SUBSTITUTE(E1333,"°","º"))-1)),-1),IF(LEFT(E1333,6)="TÉRREO",0,IFERROR(VALUE(LEFT(E1333,FIND("º",SUBSTITUTE(E1333,"°","º"))-1)),""))))</f>
        <v>29</v>
      </c>
      <c r="O1333" s="2" t="str">
        <f aca="false">IF(OR(F1333="",G1333=""),"",IF(G1333&lt;='RETRATO 2027'!$K$5,"CONCLUÍDA",IF(F1333&lt;='RETRATO 2027'!$K$5,"EM ANDAMENTO","A INICIAR")))</f>
        <v>A INICIAR</v>
      </c>
    </row>
    <row r="1334" customFormat="false" ht="15" hidden="false" customHeight="false" outlineLevel="0" collapsed="false">
      <c r="B1334" s="4" t="n">
        <v>29980672</v>
      </c>
      <c r="C1334" s="4" t="s">
        <v>2437</v>
      </c>
      <c r="D1334" s="4" t="s">
        <v>463</v>
      </c>
      <c r="E1334" s="4" t="s">
        <v>2842</v>
      </c>
      <c r="F1334" s="127" t="n">
        <v>46827</v>
      </c>
      <c r="G1334" s="127" t="n">
        <v>46839</v>
      </c>
      <c r="H1334" s="127" t="n">
        <v>46289</v>
      </c>
      <c r="I1334" s="4" t="n">
        <v>0</v>
      </c>
      <c r="J1334" s="4" t="n">
        <v>0</v>
      </c>
      <c r="K1334" s="4" t="n">
        <v>0</v>
      </c>
      <c r="M1334" s="2" t="str">
        <f aca="false">IF(C1334="","",IFERROR(INDEX($S$5:$S$304,MATCH(C1334,$R$5:$R$304,0))&amp;"","?"))</f>
        <v>29</v>
      </c>
      <c r="N1334" s="2" t="n">
        <f aca="false">IF(E1334="","",IF(ISNUMBER(SEARCH("SUBSOLO",E1334)),IFERROR(-VALUE(LEFT(E1334,FIND("º",SUBSTITUTE(E1334,"°","º"))-1)),-1),IF(LEFT(E1334,6)="TÉRREO",0,IFERROR(VALUE(LEFT(E1334,FIND("º",SUBSTITUTE(E1334,"°","º"))-1)),""))))</f>
        <v>30</v>
      </c>
      <c r="O1334" s="2" t="str">
        <f aca="false">IF(OR(F1334="",G1334=""),"",IF(G1334&lt;='RETRATO 2027'!$K$5,"CONCLUÍDA",IF(F1334&lt;='RETRATO 2027'!$K$5,"EM ANDAMENTO","A INICIAR")))</f>
        <v>A INICIAR</v>
      </c>
    </row>
    <row r="1335" customFormat="false" ht="15" hidden="false" customHeight="false" outlineLevel="0" collapsed="false">
      <c r="B1335" s="4" t="n">
        <v>29980638</v>
      </c>
      <c r="C1335" s="4" t="s">
        <v>2434</v>
      </c>
      <c r="D1335" s="4" t="s">
        <v>463</v>
      </c>
      <c r="E1335" s="4" t="s">
        <v>2843</v>
      </c>
      <c r="F1335" s="127" t="n">
        <v>46827</v>
      </c>
      <c r="G1335" s="127" t="n">
        <v>46839</v>
      </c>
      <c r="H1335" s="127" t="n">
        <v>46289</v>
      </c>
      <c r="I1335" s="4" t="n">
        <v>0</v>
      </c>
      <c r="J1335" s="4" t="n">
        <v>0</v>
      </c>
      <c r="K1335" s="4" t="n">
        <v>0</v>
      </c>
      <c r="M1335" s="2" t="str">
        <f aca="false">IF(C1335="","",IFERROR(INDEX($S$5:$S$304,MATCH(C1335,$R$5:$R$304,0))&amp;"","?"))</f>
        <v>25</v>
      </c>
      <c r="N1335" s="2" t="n">
        <f aca="false">IF(E1335="","",IF(ISNUMBER(SEARCH("SUBSOLO",E1335)),IFERROR(-VALUE(LEFT(E1335,FIND("º",SUBSTITUTE(E1335,"°","º"))-1)),-1),IF(LEFT(E1335,6)="TÉRREO",0,IFERROR(VALUE(LEFT(E1335,FIND("º",SUBSTITUTE(E1335,"°","º"))-1)),""))))</f>
        <v>31</v>
      </c>
      <c r="O1335" s="2" t="str">
        <f aca="false">IF(OR(F1335="",G1335=""),"",IF(G1335&lt;='RETRATO 2027'!$K$5,"CONCLUÍDA",IF(F1335&lt;='RETRATO 2027'!$K$5,"EM ANDAMENTO","A INICIAR")))</f>
        <v>A INICIAR</v>
      </c>
    </row>
    <row r="1336" customFormat="false" ht="15" hidden="false" customHeight="false" outlineLevel="0" collapsed="false">
      <c r="B1336" s="4" t="n">
        <v>29980631</v>
      </c>
      <c r="C1336" s="4" t="s">
        <v>2425</v>
      </c>
      <c r="D1336" s="4" t="s">
        <v>463</v>
      </c>
      <c r="E1336" s="4" t="s">
        <v>2844</v>
      </c>
      <c r="F1336" s="127" t="n">
        <v>46827</v>
      </c>
      <c r="G1336" s="127" t="n">
        <v>46839</v>
      </c>
      <c r="H1336" s="127" t="n">
        <v>46289</v>
      </c>
      <c r="I1336" s="4" t="n">
        <v>0</v>
      </c>
      <c r="J1336" s="4" t="n">
        <v>0</v>
      </c>
      <c r="K1336" s="4" t="n">
        <v>0</v>
      </c>
      <c r="M1336" s="2" t="str">
        <f aca="false">IF(C1336="","",IFERROR(INDEX($S$5:$S$304,MATCH(C1336,$R$5:$R$304,0))&amp;"","?"))</f>
        <v>21</v>
      </c>
      <c r="N1336" s="2" t="n">
        <f aca="false">IF(E1336="","",IF(ISNUMBER(SEARCH("SUBSOLO",E1336)),IFERROR(-VALUE(LEFT(E1336,FIND("º",SUBSTITUTE(E1336,"°","º"))-1)),-1),IF(LEFT(E1336,6)="TÉRREO",0,IFERROR(VALUE(LEFT(E1336,FIND("º",SUBSTITUTE(E1336,"°","º"))-1)),""))))</f>
        <v>32</v>
      </c>
      <c r="O1336" s="2" t="str">
        <f aca="false">IF(OR(F1336="",G1336=""),"",IF(G1336&lt;='RETRATO 2027'!$K$5,"CONCLUÍDA",IF(F1336&lt;='RETRATO 2027'!$K$5,"EM ANDAMENTO","A INICIAR")))</f>
        <v>A INICIAR</v>
      </c>
    </row>
    <row r="1337" customFormat="false" ht="15" hidden="false" customHeight="false" outlineLevel="0" collapsed="false">
      <c r="B1337" s="4" t="n">
        <v>29980600</v>
      </c>
      <c r="C1337" s="4" t="s">
        <v>2428</v>
      </c>
      <c r="D1337" s="4" t="s">
        <v>463</v>
      </c>
      <c r="E1337" s="4" t="s">
        <v>2844</v>
      </c>
      <c r="F1337" s="127" t="n">
        <v>46827</v>
      </c>
      <c r="G1337" s="127" t="n">
        <v>46839</v>
      </c>
      <c r="H1337" s="127" t="n">
        <v>46289</v>
      </c>
      <c r="I1337" s="4" t="n">
        <v>0</v>
      </c>
      <c r="J1337" s="4" t="n">
        <v>0</v>
      </c>
      <c r="K1337" s="4" t="n">
        <v>0</v>
      </c>
      <c r="M1337" s="2" t="str">
        <f aca="false">IF(C1337="","",IFERROR(INDEX($S$5:$S$304,MATCH(C1337,$R$5:$R$304,0))&amp;"","?"))</f>
        <v>20</v>
      </c>
      <c r="N1337" s="2" t="n">
        <f aca="false">IF(E1337="","",IF(ISNUMBER(SEARCH("SUBSOLO",E1337)),IFERROR(-VALUE(LEFT(E1337,FIND("º",SUBSTITUTE(E1337,"°","º"))-1)),-1),IF(LEFT(E1337,6)="TÉRREO",0,IFERROR(VALUE(LEFT(E1337,FIND("º",SUBSTITUTE(E1337,"°","º"))-1)),""))))</f>
        <v>32</v>
      </c>
      <c r="O1337" s="2" t="str">
        <f aca="false">IF(OR(F1337="",G1337=""),"",IF(G1337&lt;='RETRATO 2027'!$K$5,"CONCLUÍDA",IF(F1337&lt;='RETRATO 2027'!$K$5,"EM ANDAMENTO","A INICIAR")))</f>
        <v>A INICIAR</v>
      </c>
    </row>
    <row r="1338" customFormat="false" ht="15" hidden="false" customHeight="false" outlineLevel="0" collapsed="false">
      <c r="B1338" s="4" t="n">
        <v>29980633</v>
      </c>
      <c r="C1338" s="4" t="s">
        <v>2431</v>
      </c>
      <c r="D1338" s="4" t="s">
        <v>463</v>
      </c>
      <c r="E1338" s="4" t="s">
        <v>2844</v>
      </c>
      <c r="F1338" s="127" t="n">
        <v>46827</v>
      </c>
      <c r="G1338" s="127" t="n">
        <v>46839</v>
      </c>
      <c r="H1338" s="127" t="n">
        <v>46289</v>
      </c>
      <c r="I1338" s="4" t="n">
        <v>0</v>
      </c>
      <c r="J1338" s="4" t="n">
        <v>0</v>
      </c>
      <c r="K1338" s="4" t="n">
        <v>0</v>
      </c>
      <c r="M1338" s="2" t="str">
        <f aca="false">IF(C1338="","",IFERROR(INDEX($S$5:$S$304,MATCH(C1338,$R$5:$R$304,0))&amp;"","?"))</f>
        <v>21</v>
      </c>
      <c r="N1338" s="2" t="n">
        <f aca="false">IF(E1338="","",IF(ISNUMBER(SEARCH("SUBSOLO",E1338)),IFERROR(-VALUE(LEFT(E1338,FIND("º",SUBSTITUTE(E1338,"°","º"))-1)),-1),IF(LEFT(E1338,6)="TÉRREO",0,IFERROR(VALUE(LEFT(E1338,FIND("º",SUBSTITUTE(E1338,"°","º"))-1)),""))))</f>
        <v>32</v>
      </c>
      <c r="O1338" s="2" t="str">
        <f aca="false">IF(OR(F1338="",G1338=""),"",IF(G1338&lt;='RETRATO 2027'!$K$5,"CONCLUÍDA",IF(F1338&lt;='RETRATO 2027'!$K$5,"EM ANDAMENTO","A INICIAR")))</f>
        <v>A INICIAR</v>
      </c>
    </row>
    <row r="1339" customFormat="false" ht="15" hidden="false" customHeight="false" outlineLevel="0" collapsed="false">
      <c r="B1339" s="4" t="n">
        <v>31790148</v>
      </c>
      <c r="C1339" s="4" t="s">
        <v>2617</v>
      </c>
      <c r="D1339" s="4" t="s">
        <v>463</v>
      </c>
      <c r="E1339" s="4" t="s">
        <v>2678</v>
      </c>
      <c r="F1339" s="127" t="n">
        <v>46827</v>
      </c>
      <c r="G1339" s="127" t="n">
        <v>46862</v>
      </c>
      <c r="H1339" s="127" t="n">
        <v>46289</v>
      </c>
      <c r="I1339" s="4" t="n">
        <v>0</v>
      </c>
      <c r="J1339" s="4" t="n">
        <v>0</v>
      </c>
      <c r="K1339" s="4" t="n">
        <v>0</v>
      </c>
      <c r="M1339" s="2" t="str">
        <f aca="false">IF(C1339="","",IFERROR(INDEX($S$5:$S$304,MATCH(C1339,$R$5:$R$304,0))&amp;"","?"))</f>
        <v>32</v>
      </c>
      <c r="N1339" s="2" t="str">
        <f aca="false"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 t="str">
        <f aca="false">IF(OR(F1339="",G1339=""),"",IF(G1339&lt;='RETRATO 2027'!$K$5,"CONCLUÍDA",IF(F1339&lt;='RETRATO 2027'!$K$5,"EM ANDAMENTO","A INICIAR")))</f>
        <v>A INICIAR</v>
      </c>
    </row>
    <row r="1340" customFormat="false" ht="15" hidden="false" customHeight="false" outlineLevel="0" collapsed="false">
      <c r="B1340" s="4" t="n">
        <v>30205879</v>
      </c>
      <c r="C1340" s="4" t="s">
        <v>2611</v>
      </c>
      <c r="D1340" s="4" t="s">
        <v>463</v>
      </c>
      <c r="E1340" s="4" t="s">
        <v>2845</v>
      </c>
      <c r="F1340" s="127" t="n">
        <v>46828</v>
      </c>
      <c r="G1340" s="127" t="n">
        <v>46877</v>
      </c>
      <c r="H1340" s="127" t="n">
        <v>46289</v>
      </c>
      <c r="I1340" s="4" t="n">
        <v>0</v>
      </c>
      <c r="J1340" s="4" t="n">
        <v>0</v>
      </c>
      <c r="K1340" s="4" t="n">
        <v>0</v>
      </c>
      <c r="M1340" s="2" t="str">
        <f aca="false">IF(C1340="","",IFERROR(INDEX($S$5:$S$304,MATCH(C1340,$R$5:$R$304,0))&amp;"","?"))</f>
        <v>32</v>
      </c>
      <c r="N1340" s="2" t="n">
        <f aca="false">IF(E1340="","",IF(ISNUMBER(SEARCH("SUBSOLO",E1340)),IFERROR(-VALUE(LEFT(E1340,FIND("º",SUBSTITUTE(E1340,"°","º"))-1)),-1),IF(LEFT(E1340,6)="TÉRREO",0,IFERROR(VALUE(LEFT(E1340,FIND("º",SUBSTITUTE(E1340,"°","º"))-1)),""))))</f>
        <v>6</v>
      </c>
      <c r="O1340" s="2" t="str">
        <f aca="false">IF(OR(F1340="",G1340=""),"",IF(G1340&lt;='RETRATO 2027'!$K$5,"CONCLUÍDA",IF(F1340&lt;='RETRATO 2027'!$K$5,"EM ANDAMENTO","A INICIAR")))</f>
        <v>A INICIAR</v>
      </c>
    </row>
    <row r="1341" customFormat="false" ht="15" hidden="false" customHeight="false" outlineLevel="0" collapsed="false">
      <c r="B1341" s="4" t="n">
        <v>30208609</v>
      </c>
      <c r="C1341" s="4" t="s">
        <v>171</v>
      </c>
      <c r="D1341" s="4" t="s">
        <v>463</v>
      </c>
      <c r="E1341" s="4" t="s">
        <v>2851</v>
      </c>
      <c r="F1341" s="127" t="n">
        <v>46829</v>
      </c>
      <c r="G1341" s="127" t="n">
        <v>46882</v>
      </c>
      <c r="H1341" s="127" t="n">
        <v>46289</v>
      </c>
      <c r="I1341" s="4" t="n">
        <v>0</v>
      </c>
      <c r="J1341" s="4" t="n">
        <v>0</v>
      </c>
      <c r="K1341" s="4" t="n">
        <v>0</v>
      </c>
      <c r="M1341" s="2" t="str">
        <f aca="false">IF(C1341="","",IFERROR(INDEX($S$5:$S$304,MATCH(C1341,$R$5:$R$304,0))&amp;"","?"))</f>
        <v>19</v>
      </c>
      <c r="N1341" s="2" t="n">
        <f aca="false">IF(E1341="","",IF(ISNUMBER(SEARCH("SUBSOLO",E1341)),IFERROR(-VALUE(LEFT(E1341,FIND("º",SUBSTITUTE(E1341,"°","º"))-1)),-1),IF(LEFT(E1341,6)="TÉRREO",0,IFERROR(VALUE(LEFT(E1341,FIND("º",SUBSTITUTE(E1341,"°","º"))-1)),""))))</f>
        <v>6</v>
      </c>
      <c r="O1341" s="2" t="str">
        <f aca="false">IF(OR(F1341="",G1341=""),"",IF(G1341&lt;='RETRATO 2027'!$K$5,"CONCLUÍDA",IF(F1341&lt;='RETRATO 2027'!$K$5,"EM ANDAMENTO","A INICIAR")))</f>
        <v>A INICIAR</v>
      </c>
    </row>
    <row r="1342" customFormat="false" ht="15" hidden="false" customHeight="false" outlineLevel="0" collapsed="false">
      <c r="B1342" s="4" t="n">
        <v>13636002</v>
      </c>
      <c r="C1342" s="4" t="s">
        <v>171</v>
      </c>
      <c r="D1342" s="4" t="s">
        <v>2854</v>
      </c>
      <c r="E1342" s="4" t="s">
        <v>2851</v>
      </c>
      <c r="F1342" s="127" t="n">
        <v>46829</v>
      </c>
      <c r="G1342" s="127" t="n">
        <v>46835</v>
      </c>
      <c r="H1342" s="127" t="n">
        <v>46289</v>
      </c>
      <c r="I1342" s="4" t="n">
        <v>0</v>
      </c>
      <c r="J1342" s="4" t="n">
        <v>0</v>
      </c>
      <c r="K1342" s="4" t="n">
        <v>0</v>
      </c>
      <c r="M1342" s="2" t="str">
        <f aca="false">IF(C1342="","",IFERROR(INDEX($S$5:$S$304,MATCH(C1342,$R$5:$R$304,0))&amp;"","?"))</f>
        <v>19</v>
      </c>
      <c r="N1342" s="2" t="n">
        <f aca="false">IF(E1342="","",IF(ISNUMBER(SEARCH("SUBSOLO",E1342)),IFERROR(-VALUE(LEFT(E1342,FIND("º",SUBSTITUTE(E1342,"°","º"))-1)),-1),IF(LEFT(E1342,6)="TÉRREO",0,IFERROR(VALUE(LEFT(E1342,FIND("º",SUBSTITUTE(E1342,"°","º"))-1)),""))))</f>
        <v>6</v>
      </c>
      <c r="O1342" s="2" t="str">
        <f aca="false">IF(OR(F1342="",G1342=""),"",IF(G1342&lt;='RETRATO 2027'!$K$5,"CONCLUÍDA",IF(F1342&lt;='RETRATO 2027'!$K$5,"EM ANDAMENTO","A INICIAR")))</f>
        <v>A INICIAR</v>
      </c>
    </row>
    <row r="1343" customFormat="false" ht="15" hidden="false" customHeight="false" outlineLevel="0" collapsed="false">
      <c r="B1343" s="4" t="n">
        <v>13636003</v>
      </c>
      <c r="C1343" s="4" t="s">
        <v>171</v>
      </c>
      <c r="D1343" s="4" t="s">
        <v>2855</v>
      </c>
      <c r="E1343" s="4" t="s">
        <v>2851</v>
      </c>
      <c r="F1343" s="127" t="n">
        <v>46836</v>
      </c>
      <c r="G1343" s="127" t="n">
        <v>46842</v>
      </c>
      <c r="H1343" s="127" t="n">
        <v>46289</v>
      </c>
      <c r="I1343" s="4" t="n">
        <v>0</v>
      </c>
      <c r="J1343" s="4" t="n">
        <v>0</v>
      </c>
      <c r="K1343" s="4" t="n">
        <v>0</v>
      </c>
      <c r="M1343" s="2" t="str">
        <f aca="false">IF(C1343="","",IFERROR(INDEX($S$5:$S$304,MATCH(C1343,$R$5:$R$304,0))&amp;"","?"))</f>
        <v>19</v>
      </c>
      <c r="N1343" s="2" t="n">
        <f aca="false">IF(E1343="","",IF(ISNUMBER(SEARCH("SUBSOLO",E1343)),IFERROR(-VALUE(LEFT(E1343,FIND("º",SUBSTITUTE(E1343,"°","º"))-1)),-1),IF(LEFT(E1343,6)="TÉRREO",0,IFERROR(VALUE(LEFT(E1343,FIND("º",SUBSTITUTE(E1343,"°","º"))-1)),""))))</f>
        <v>6</v>
      </c>
      <c r="O1343" s="2" t="str">
        <f aca="false">IF(OR(F1343="",G1343=""),"",IF(G1343&lt;='RETRATO 2027'!$K$5,"CONCLUÍDA",IF(F1343&lt;='RETRATO 2027'!$K$5,"EM ANDAMENTO","A INICIAR")))</f>
        <v>A INICIAR</v>
      </c>
    </row>
    <row r="1344" customFormat="false" ht="15" hidden="false" customHeight="false" outlineLevel="0" collapsed="false">
      <c r="B1344" s="4" t="n">
        <v>13636004</v>
      </c>
      <c r="C1344" s="4" t="s">
        <v>171</v>
      </c>
      <c r="D1344" s="4" t="s">
        <v>2475</v>
      </c>
      <c r="E1344" s="4" t="s">
        <v>2851</v>
      </c>
      <c r="F1344" s="127" t="n">
        <v>46843</v>
      </c>
      <c r="G1344" s="127" t="n">
        <v>46867</v>
      </c>
      <c r="H1344" s="127" t="n">
        <v>46289</v>
      </c>
      <c r="I1344" s="4" t="n">
        <v>0</v>
      </c>
      <c r="J1344" s="4" t="n">
        <v>0</v>
      </c>
      <c r="K1344" s="4" t="n">
        <v>0</v>
      </c>
      <c r="M1344" s="2" t="str">
        <f aca="false">IF(C1344="","",IFERROR(INDEX($S$5:$S$304,MATCH(C1344,$R$5:$R$304,0))&amp;"","?"))</f>
        <v>19</v>
      </c>
      <c r="N1344" s="2" t="n">
        <f aca="false">IF(E1344="","",IF(ISNUMBER(SEARCH("SUBSOLO",E1344)),IFERROR(-VALUE(LEFT(E1344,FIND("º",SUBSTITUTE(E1344,"°","º"))-1)),-1),IF(LEFT(E1344,6)="TÉRREO",0,IFERROR(VALUE(LEFT(E1344,FIND("º",SUBSTITUTE(E1344,"°","º"))-1)),""))))</f>
        <v>6</v>
      </c>
      <c r="O1344" s="2" t="str">
        <f aca="false">IF(OR(F1344="",G1344=""),"",IF(G1344&lt;='RETRATO 2027'!$K$5,"CONCLUÍDA",IF(F1344&lt;='RETRATO 2027'!$K$5,"EM ANDAMENTO","A INICIAR")))</f>
        <v>A INICIAR</v>
      </c>
    </row>
    <row r="1345" customFormat="false" ht="15" hidden="false" customHeight="false" outlineLevel="0" collapsed="false">
      <c r="B1345" s="4" t="n">
        <v>13636005</v>
      </c>
      <c r="C1345" s="4" t="s">
        <v>171</v>
      </c>
      <c r="D1345" s="4" t="s">
        <v>2856</v>
      </c>
      <c r="E1345" s="4" t="s">
        <v>2851</v>
      </c>
      <c r="F1345" s="127" t="n">
        <v>46868</v>
      </c>
      <c r="G1345" s="127" t="n">
        <v>46882</v>
      </c>
      <c r="H1345" s="127" t="n">
        <v>46289</v>
      </c>
      <c r="I1345" s="4" t="n">
        <v>0</v>
      </c>
      <c r="J1345" s="4" t="n">
        <v>0</v>
      </c>
      <c r="K1345" s="4" t="n">
        <v>0</v>
      </c>
      <c r="M1345" s="2" t="str">
        <f aca="false">IF(C1345="","",IFERROR(INDEX($S$5:$S$304,MATCH(C1345,$R$5:$R$304,0))&amp;"","?"))</f>
        <v>19</v>
      </c>
      <c r="N1345" s="2" t="n">
        <f aca="false">IF(E1345="","",IF(ISNUMBER(SEARCH("SUBSOLO",E1345)),IFERROR(-VALUE(LEFT(E1345,FIND("º",SUBSTITUTE(E1345,"°","º"))-1)),-1),IF(LEFT(E1345,6)="TÉRREO",0,IFERROR(VALUE(LEFT(E1345,FIND("º",SUBSTITUTE(E1345,"°","º"))-1)),""))))</f>
        <v>6</v>
      </c>
      <c r="O1345" s="2" t="str">
        <f aca="false">IF(OR(F1345="",G1345=""),"",IF(G1345&lt;='RETRATO 2027'!$K$5,"CONCLUÍDA",IF(F1345&lt;='RETRATO 2027'!$K$5,"EM ANDAMENTO","A INICIAR")))</f>
        <v>A INICIAR</v>
      </c>
    </row>
    <row r="1346" customFormat="false" ht="15" hidden="false" customHeight="false" outlineLevel="0" collapsed="false">
      <c r="B1346" s="4" t="n">
        <v>30206099</v>
      </c>
      <c r="C1346" s="4" t="s">
        <v>2437</v>
      </c>
      <c r="D1346" s="4" t="s">
        <v>463</v>
      </c>
      <c r="E1346" s="4" t="s">
        <v>2846</v>
      </c>
      <c r="F1346" s="127" t="n">
        <v>46832</v>
      </c>
      <c r="G1346" s="127" t="n">
        <v>46843</v>
      </c>
      <c r="H1346" s="127" t="n">
        <v>46289</v>
      </c>
      <c r="I1346" s="4" t="n">
        <v>0</v>
      </c>
      <c r="J1346" s="4" t="n">
        <v>0</v>
      </c>
      <c r="K1346" s="4" t="n">
        <v>0</v>
      </c>
      <c r="M1346" s="2" t="str">
        <f aca="false">IF(C1346="","",IFERROR(INDEX($S$5:$S$304,MATCH(C1346,$R$5:$R$304,0))&amp;"","?"))</f>
        <v>29</v>
      </c>
      <c r="N1346" s="2" t="n">
        <f aca="false">IF(E1346="","",IF(ISNUMBER(SEARCH("SUBSOLO",E1346)),IFERROR(-VALUE(LEFT(E1346,FIND("º",SUBSTITUTE(E1346,"°","º"))-1)),-1),IF(LEFT(E1346,6)="TÉRREO",0,IFERROR(VALUE(LEFT(E1346,FIND("º",SUBSTITUTE(E1346,"°","º"))-1)),""))))</f>
        <v>6</v>
      </c>
      <c r="O1346" s="2" t="str">
        <f aca="false">IF(OR(F1346="",G1346=""),"",IF(G1346&lt;='RETRATO 2027'!$K$5,"CONCLUÍDA",IF(F1346&lt;='RETRATO 2027'!$K$5,"EM ANDAMENTO","A INICIAR")))</f>
        <v>A INICIAR</v>
      </c>
    </row>
    <row r="1347" customFormat="false" ht="15" hidden="false" customHeight="false" outlineLevel="0" collapsed="false">
      <c r="B1347" s="4" t="n">
        <v>30206009</v>
      </c>
      <c r="C1347" s="4" t="s">
        <v>2416</v>
      </c>
      <c r="D1347" s="4" t="s">
        <v>463</v>
      </c>
      <c r="E1347" s="4" t="s">
        <v>2849</v>
      </c>
      <c r="F1347" s="127" t="n">
        <v>46833</v>
      </c>
      <c r="G1347" s="127" t="n">
        <v>46846</v>
      </c>
      <c r="H1347" s="127" t="n">
        <v>46289</v>
      </c>
      <c r="I1347" s="4" t="n">
        <v>0</v>
      </c>
      <c r="J1347" s="4" t="n">
        <v>0</v>
      </c>
      <c r="K1347" s="4" t="n">
        <v>0</v>
      </c>
      <c r="M1347" s="2" t="str">
        <f aca="false">IF(C1347="","",IFERROR(INDEX($S$5:$S$304,MATCH(C1347,$R$5:$R$304,0))&amp;"","?"))</f>
        <v>18</v>
      </c>
      <c r="N1347" s="2" t="n">
        <f aca="false">IF(E1347="","",IF(ISNUMBER(SEARCH("SUBSOLO",E1347)),IFERROR(-VALUE(LEFT(E1347,FIND("º",SUBSTITUTE(E1347,"°","º"))-1)),-1),IF(LEFT(E1347,6)="TÉRREO",0,IFERROR(VALUE(LEFT(E1347,FIND("º",SUBSTITUTE(E1347,"°","º"))-1)),""))))</f>
        <v>6</v>
      </c>
      <c r="O1347" s="2" t="str">
        <f aca="false">IF(OR(F1347="",G1347=""),"",IF(G1347&lt;='RETRATO 2027'!$K$5,"CONCLUÍDA",IF(F1347&lt;='RETRATO 2027'!$K$5,"EM ANDAMENTO","A INICIAR")))</f>
        <v>A INICIAR</v>
      </c>
    </row>
    <row r="1348" customFormat="false" ht="15" hidden="false" customHeight="false" outlineLevel="0" collapsed="false">
      <c r="B1348" s="4" t="n">
        <v>30210371</v>
      </c>
      <c r="C1348" s="4" t="s">
        <v>168</v>
      </c>
      <c r="D1348" s="4" t="s">
        <v>463</v>
      </c>
      <c r="E1348" s="4" t="s">
        <v>2852</v>
      </c>
      <c r="F1348" s="127" t="n">
        <v>46833</v>
      </c>
      <c r="G1348" s="127" t="n">
        <v>46853</v>
      </c>
      <c r="H1348" s="127" t="n">
        <v>46289</v>
      </c>
      <c r="I1348" s="4" t="n">
        <v>0</v>
      </c>
      <c r="J1348" s="4" t="n">
        <v>0</v>
      </c>
      <c r="K1348" s="4" t="n">
        <v>0</v>
      </c>
      <c r="M1348" s="2" t="str">
        <f aca="false">IF(C1348="","",IFERROR(INDEX($S$5:$S$304,MATCH(C1348,$R$5:$R$304,0))&amp;"","?"))</f>
        <v>18</v>
      </c>
      <c r="N1348" s="2" t="n">
        <f aca="false">IF(E1348="","",IF(ISNUMBER(SEARCH("SUBSOLO",E1348)),IFERROR(-VALUE(LEFT(E1348,FIND("º",SUBSTITUTE(E1348,"°","º"))-1)),-1),IF(LEFT(E1348,6)="TÉRREO",0,IFERROR(VALUE(LEFT(E1348,FIND("º",SUBSTITUTE(E1348,"°","º"))-1)),""))))</f>
        <v>33</v>
      </c>
      <c r="O1348" s="2" t="str">
        <f aca="false">IF(OR(F1348="",G1348=""),"",IF(G1348&lt;='RETRATO 2027'!$K$5,"CONCLUÍDA",IF(F1348&lt;='RETRATO 2027'!$K$5,"EM ANDAMENTO","A INICIAR")))</f>
        <v>A INICIAR</v>
      </c>
    </row>
    <row r="1349" customFormat="false" ht="15" hidden="false" customHeight="false" outlineLevel="0" collapsed="false">
      <c r="B1349" s="4" t="n">
        <v>30171442</v>
      </c>
      <c r="C1349" s="4" t="s">
        <v>2563</v>
      </c>
      <c r="D1349" s="4" t="s">
        <v>463</v>
      </c>
      <c r="E1349" s="4" t="s">
        <v>2790</v>
      </c>
      <c r="F1349" s="127" t="n">
        <v>46835</v>
      </c>
      <c r="G1349" s="127" t="n">
        <v>46863</v>
      </c>
      <c r="H1349" s="127" t="n">
        <v>46289</v>
      </c>
      <c r="I1349" s="4" t="n">
        <v>0</v>
      </c>
      <c r="J1349" s="4" t="n">
        <v>0</v>
      </c>
      <c r="K1349" s="4" t="n">
        <v>0</v>
      </c>
      <c r="M1349" s="2" t="str">
        <f aca="false">IF(C1349="","",IFERROR(INDEX($S$5:$S$304,MATCH(C1349,$R$5:$R$304,0))&amp;"","?"))</f>
        <v>20</v>
      </c>
      <c r="N1349" s="2" t="n">
        <f aca="false">IF(E1349="","",IF(ISNUMBER(SEARCH("SUBSOLO",E1349)),IFERROR(-VALUE(LEFT(E1349,FIND("º",SUBSTITUTE(E1349,"°","º"))-1)),-1),IF(LEFT(E1349,6)="TÉRREO",0,IFERROR(VALUE(LEFT(E1349,FIND("º",SUBSTITUTE(E1349,"°","º"))-1)),""))))</f>
        <v>3</v>
      </c>
      <c r="O1349" s="2" t="str">
        <f aca="false">IF(OR(F1349="",G1349=""),"",IF(G1349&lt;='RETRATO 2027'!$K$5,"CONCLUÍDA",IF(F1349&lt;='RETRATO 2027'!$K$5,"EM ANDAMENTO","A INICIAR")))</f>
        <v>A INICIAR</v>
      </c>
    </row>
    <row r="1350" customFormat="false" ht="15" hidden="false" customHeight="false" outlineLevel="0" collapsed="false">
      <c r="B1350" s="4" t="n">
        <v>30171439</v>
      </c>
      <c r="C1350" s="4" t="s">
        <v>2566</v>
      </c>
      <c r="D1350" s="4" t="s">
        <v>463</v>
      </c>
      <c r="E1350" s="4" t="s">
        <v>2790</v>
      </c>
      <c r="F1350" s="127" t="n">
        <v>46835</v>
      </c>
      <c r="G1350" s="127" t="n">
        <v>46863</v>
      </c>
      <c r="H1350" s="127" t="n">
        <v>46289</v>
      </c>
      <c r="I1350" s="4" t="n">
        <v>0</v>
      </c>
      <c r="J1350" s="4" t="n">
        <v>0</v>
      </c>
      <c r="K1350" s="4" t="n">
        <v>0</v>
      </c>
      <c r="M1350" s="2" t="str">
        <f aca="false">IF(C1350="","",IFERROR(INDEX($S$5:$S$304,MATCH(C1350,$R$5:$R$304,0))&amp;"","?"))</f>
        <v>20</v>
      </c>
      <c r="N1350" s="2" t="n">
        <f aca="false">IF(E1350="","",IF(ISNUMBER(SEARCH("SUBSOLO",E1350)),IFERROR(-VALUE(LEFT(E1350,FIND("º",SUBSTITUTE(E1350,"°","º"))-1)),-1),IF(LEFT(E1350,6)="TÉRREO",0,IFERROR(VALUE(LEFT(E1350,FIND("º",SUBSTITUTE(E1350,"°","º"))-1)),""))))</f>
        <v>3</v>
      </c>
      <c r="O1350" s="2" t="str">
        <f aca="false">IF(OR(F1350="",G1350=""),"",IF(G1350&lt;='RETRATO 2027'!$K$5,"CONCLUÍDA",IF(F1350&lt;='RETRATO 2027'!$K$5,"EM ANDAMENTO","A INICIAR")))</f>
        <v>A INICIAR</v>
      </c>
    </row>
    <row r="1351" customFormat="false" ht="15" hidden="false" customHeight="false" outlineLevel="0" collapsed="false">
      <c r="B1351" s="4" t="n">
        <v>30171410</v>
      </c>
      <c r="C1351" s="4" t="s">
        <v>2508</v>
      </c>
      <c r="D1351" s="4" t="s">
        <v>463</v>
      </c>
      <c r="E1351" s="4" t="s">
        <v>2800</v>
      </c>
      <c r="F1351" s="127" t="n">
        <v>46835</v>
      </c>
      <c r="G1351" s="127" t="n">
        <v>46899</v>
      </c>
      <c r="H1351" s="127" t="n">
        <v>46289</v>
      </c>
      <c r="I1351" s="4" t="n">
        <v>0</v>
      </c>
      <c r="J1351" s="4" t="n">
        <v>0</v>
      </c>
      <c r="K1351" s="4" t="n">
        <v>0</v>
      </c>
      <c r="M1351" s="2" t="str">
        <f aca="false">IF(C1351="","",IFERROR(INDEX($S$5:$S$304,MATCH(C1351,$R$5:$R$304,0))&amp;"","?"))</f>
        <v>20</v>
      </c>
      <c r="N1351" s="2" t="n">
        <f aca="false">IF(E1351="","",IF(ISNUMBER(SEARCH("SUBSOLO",E1351)),IFERROR(-VALUE(LEFT(E1351,FIND("º",SUBSTITUTE(E1351,"°","º"))-1)),-1),IF(LEFT(E1351,6)="TÉRREO",0,IFERROR(VALUE(LEFT(E1351,FIND("º",SUBSTITUTE(E1351,"°","º"))-1)),""))))</f>
        <v>4</v>
      </c>
      <c r="O1351" s="2" t="str">
        <f aca="false">IF(OR(F1351="",G1351=""),"",IF(G1351&lt;='RETRATO 2027'!$K$5,"CONCLUÍDA",IF(F1351&lt;='RETRATO 2027'!$K$5,"EM ANDAMENTO","A INICIAR")))</f>
        <v>A INICIAR</v>
      </c>
    </row>
    <row r="1352" customFormat="false" ht="15" hidden="false" customHeight="false" outlineLevel="0" collapsed="false">
      <c r="B1352" s="4" t="n">
        <v>30171429</v>
      </c>
      <c r="C1352" s="4" t="s">
        <v>2511</v>
      </c>
      <c r="D1352" s="4" t="s">
        <v>463</v>
      </c>
      <c r="E1352" s="4" t="s">
        <v>2800</v>
      </c>
      <c r="F1352" s="127" t="n">
        <v>46835</v>
      </c>
      <c r="G1352" s="127" t="n">
        <v>46899</v>
      </c>
      <c r="H1352" s="127" t="n">
        <v>46289</v>
      </c>
      <c r="I1352" s="4" t="n">
        <v>0</v>
      </c>
      <c r="J1352" s="4" t="n">
        <v>0</v>
      </c>
      <c r="K1352" s="4" t="n">
        <v>0</v>
      </c>
      <c r="M1352" s="2" t="str">
        <f aca="false">IF(C1352="","",IFERROR(INDEX($S$5:$S$304,MATCH(C1352,$R$5:$R$304,0))&amp;"","?"))</f>
        <v>20</v>
      </c>
      <c r="N1352" s="2" t="n">
        <f aca="false">IF(E1352="","",IF(ISNUMBER(SEARCH("SUBSOLO",E1352)),IFERROR(-VALUE(LEFT(E1352,FIND("º",SUBSTITUTE(E1352,"°","º"))-1)),-1),IF(LEFT(E1352,6)="TÉRREO",0,IFERROR(VALUE(LEFT(E1352,FIND("º",SUBSTITUTE(E1352,"°","º"))-1)),""))))</f>
        <v>4</v>
      </c>
      <c r="O1352" s="2" t="str">
        <f aca="false">IF(OR(F1352="",G1352=""),"",IF(G1352&lt;='RETRATO 2027'!$K$5,"CONCLUÍDA",IF(F1352&lt;='RETRATO 2027'!$K$5,"EM ANDAMENTO","A INICIAR")))</f>
        <v>A INICIAR</v>
      </c>
    </row>
    <row r="1353" customFormat="false" ht="15" hidden="false" customHeight="false" outlineLevel="0" collapsed="false">
      <c r="B1353" s="4" t="n">
        <v>30171412</v>
      </c>
      <c r="C1353" s="4" t="s">
        <v>2525</v>
      </c>
      <c r="D1353" s="4" t="s">
        <v>463</v>
      </c>
      <c r="E1353" s="4" t="s">
        <v>2800</v>
      </c>
      <c r="F1353" s="127" t="n">
        <v>46835</v>
      </c>
      <c r="G1353" s="127" t="n">
        <v>46863</v>
      </c>
      <c r="H1353" s="127" t="n">
        <v>46289</v>
      </c>
      <c r="I1353" s="4" t="n">
        <v>0</v>
      </c>
      <c r="J1353" s="4" t="n">
        <v>0</v>
      </c>
      <c r="K1353" s="4" t="n">
        <v>0</v>
      </c>
      <c r="M1353" s="2" t="str">
        <f aca="false">IF(C1353="","",IFERROR(INDEX($S$5:$S$304,MATCH(C1353,$R$5:$R$304,0))&amp;"","?"))</f>
        <v>18</v>
      </c>
      <c r="N1353" s="2" t="n">
        <f aca="false">IF(E1353="","",IF(ISNUMBER(SEARCH("SUBSOLO",E1353)),IFERROR(-VALUE(LEFT(E1353,FIND("º",SUBSTITUTE(E1353,"°","º"))-1)),-1),IF(LEFT(E1353,6)="TÉRREO",0,IFERROR(VALUE(LEFT(E1353,FIND("º",SUBSTITUTE(E1353,"°","º"))-1)),""))))</f>
        <v>4</v>
      </c>
      <c r="O1353" s="2" t="str">
        <f aca="false">IF(OR(F1353="",G1353=""),"",IF(G1353&lt;='RETRATO 2027'!$K$5,"CONCLUÍDA",IF(F1353&lt;='RETRATO 2027'!$K$5,"EM ANDAMENTO","A INICIAR")))</f>
        <v>A INICIAR</v>
      </c>
    </row>
    <row r="1354" customFormat="false" ht="15" hidden="false" customHeight="false" outlineLevel="0" collapsed="false">
      <c r="B1354" s="4" t="n">
        <v>30214061</v>
      </c>
      <c r="C1354" s="4" t="s">
        <v>2514</v>
      </c>
      <c r="D1354" s="4" t="s">
        <v>463</v>
      </c>
      <c r="E1354" s="4" t="s">
        <v>2800</v>
      </c>
      <c r="F1354" s="127" t="n">
        <v>46835</v>
      </c>
      <c r="G1354" s="127" t="n">
        <v>46848</v>
      </c>
      <c r="H1354" s="127" t="n">
        <v>46289</v>
      </c>
      <c r="I1354" s="4" t="n">
        <v>0</v>
      </c>
      <c r="J1354" s="4" t="n">
        <v>0</v>
      </c>
      <c r="K1354" s="4" t="n">
        <v>0</v>
      </c>
      <c r="M1354" s="2" t="str">
        <f aca="false">IF(C1354="","",IFERROR(INDEX($S$5:$S$304,MATCH(C1354,$R$5:$R$304,0))&amp;"","?"))</f>
        <v>20</v>
      </c>
      <c r="N1354" s="2" t="n">
        <f aca="false">IF(E1354="","",IF(ISNUMBER(SEARCH("SUBSOLO",E1354)),IFERROR(-VALUE(LEFT(E1354,FIND("º",SUBSTITUTE(E1354,"°","º"))-1)),-1),IF(LEFT(E1354,6)="TÉRREO",0,IFERROR(VALUE(LEFT(E1354,FIND("º",SUBSTITUTE(E1354,"°","º"))-1)),""))))</f>
        <v>4</v>
      </c>
      <c r="O1354" s="2" t="str">
        <f aca="false">IF(OR(F1354="",G1354=""),"",IF(G1354&lt;='RETRATO 2027'!$K$5,"CONCLUÍDA",IF(F1354&lt;='RETRATO 2027'!$K$5,"EM ANDAMENTO","A INICIAR")))</f>
        <v>A INICIAR</v>
      </c>
    </row>
    <row r="1355" customFormat="false" ht="15" hidden="false" customHeight="false" outlineLevel="0" collapsed="false">
      <c r="B1355" s="4" t="n">
        <v>29981099</v>
      </c>
      <c r="C1355" s="4" t="s">
        <v>168</v>
      </c>
      <c r="D1355" s="4" t="s">
        <v>463</v>
      </c>
      <c r="E1355" s="4" t="s">
        <v>2822</v>
      </c>
      <c r="F1355" s="127" t="n">
        <v>46835</v>
      </c>
      <c r="G1355" s="127" t="n">
        <v>46847</v>
      </c>
      <c r="H1355" s="127" t="n">
        <v>46289</v>
      </c>
      <c r="I1355" s="4" t="n">
        <v>0</v>
      </c>
      <c r="J1355" s="4" t="n">
        <v>0</v>
      </c>
      <c r="K1355" s="4" t="n">
        <v>0</v>
      </c>
      <c r="M1355" s="2" t="str">
        <f aca="false">IF(C1355="","",IFERROR(INDEX($S$5:$S$304,MATCH(C1355,$R$5:$R$304,0))&amp;"","?"))</f>
        <v>18</v>
      </c>
      <c r="N1355" s="2" t="n">
        <f aca="false">IF(E1355="","",IF(ISNUMBER(SEARCH("SUBSOLO",E1355)),IFERROR(-VALUE(LEFT(E1355,FIND("º",SUBSTITUTE(E1355,"°","º"))-1)),-1),IF(LEFT(E1355,6)="TÉRREO",0,IFERROR(VALUE(LEFT(E1355,FIND("º",SUBSTITUTE(E1355,"°","º"))-1)),""))))</f>
        <v>19</v>
      </c>
      <c r="O1355" s="2" t="str">
        <f aca="false">IF(OR(F1355="",G1355=""),"",IF(G1355&lt;='RETRATO 2027'!$K$5,"CONCLUÍDA",IF(F1355&lt;='RETRATO 2027'!$K$5,"EM ANDAMENTO","A INICIAR")))</f>
        <v>A INICIAR</v>
      </c>
    </row>
    <row r="1356" customFormat="false" ht="15" hidden="false" customHeight="false" outlineLevel="0" collapsed="false">
      <c r="B1356" s="4" t="n">
        <v>30205713</v>
      </c>
      <c r="C1356" s="4" t="s">
        <v>2619</v>
      </c>
      <c r="D1356" s="4" t="s">
        <v>463</v>
      </c>
      <c r="E1356" s="4" t="s">
        <v>2740</v>
      </c>
      <c r="F1356" s="127" t="n">
        <v>46836</v>
      </c>
      <c r="G1356" s="127" t="n">
        <v>46856</v>
      </c>
      <c r="H1356" s="127" t="n">
        <v>46289</v>
      </c>
      <c r="I1356" s="4" t="n">
        <v>0</v>
      </c>
      <c r="J1356" s="4" t="n">
        <v>0</v>
      </c>
      <c r="K1356" s="4" t="n">
        <v>0</v>
      </c>
      <c r="M1356" s="2" t="str">
        <f aca="false">IF(C1356="","",IFERROR(INDEX($S$5:$S$304,MATCH(C1356,$R$5:$R$304,0))&amp;"","?"))</f>
        <v>30</v>
      </c>
      <c r="N1356" s="2" t="n">
        <f aca="false">IF(E1356="","",IF(ISNUMBER(SEARCH("SUBSOLO",E1356)),IFERROR(-VALUE(LEFT(E1356,FIND("º",SUBSTITUTE(E1356,"°","º"))-1)),-1),IF(LEFT(E1356,6)="TÉRREO",0,IFERROR(VALUE(LEFT(E1356,FIND("º",SUBSTITUTE(E1356,"°","º"))-1)),""))))</f>
        <v>-1</v>
      </c>
      <c r="O1356" s="2" t="str">
        <f aca="false">IF(OR(F1356="",G1356=""),"",IF(G1356&lt;='RETRATO 2027'!$K$5,"CONCLUÍDA",IF(F1356&lt;='RETRATO 2027'!$K$5,"EM ANDAMENTO","A INICIAR")))</f>
        <v>A INICIAR</v>
      </c>
    </row>
    <row r="1357" customFormat="false" ht="15" hidden="false" customHeight="false" outlineLevel="0" collapsed="false">
      <c r="B1357" s="4" t="n">
        <v>30205829</v>
      </c>
      <c r="C1357" s="4" t="s">
        <v>2508</v>
      </c>
      <c r="D1357" s="4" t="s">
        <v>463</v>
      </c>
      <c r="E1357" s="4" t="s">
        <v>2835</v>
      </c>
      <c r="F1357" s="127" t="n">
        <v>46836</v>
      </c>
      <c r="G1357" s="127" t="n">
        <v>46849</v>
      </c>
      <c r="H1357" s="127" t="n">
        <v>46289</v>
      </c>
      <c r="I1357" s="4" t="n">
        <v>0</v>
      </c>
      <c r="J1357" s="4" t="n">
        <v>0</v>
      </c>
      <c r="K1357" s="4" t="n">
        <v>0</v>
      </c>
      <c r="M1357" s="2" t="str">
        <f aca="false">IF(C1357="","",IFERROR(INDEX($S$5:$S$304,MATCH(C1357,$R$5:$R$304,0))&amp;"","?"))</f>
        <v>20</v>
      </c>
      <c r="N1357" s="2" t="n">
        <f aca="false">IF(E1357="","",IF(ISNUMBER(SEARCH("SUBSOLO",E1357)),IFERROR(-VALUE(LEFT(E1357,FIND("º",SUBSTITUTE(E1357,"°","º"))-1)),-1),IF(LEFT(E1357,6)="TÉRREO",0,IFERROR(VALUE(LEFT(E1357,FIND("º",SUBSTITUTE(E1357,"°","º"))-1)),""))))</f>
        <v>0</v>
      </c>
      <c r="O1357" s="2" t="str">
        <f aca="false">IF(OR(F1357="",G1357=""),"",IF(G1357&lt;='RETRATO 2027'!$K$5,"CONCLUÍDA",IF(F1357&lt;='RETRATO 2027'!$K$5,"EM ANDAMENTO","A INICIAR")))</f>
        <v>A INICIAR</v>
      </c>
    </row>
    <row r="1358" customFormat="false" ht="15" hidden="false" customHeight="false" outlineLevel="0" collapsed="false">
      <c r="B1358" s="4" t="n">
        <v>30205823</v>
      </c>
      <c r="C1358" s="4" t="s">
        <v>2486</v>
      </c>
      <c r="D1358" s="4" t="s">
        <v>463</v>
      </c>
      <c r="E1358" s="4" t="s">
        <v>2839</v>
      </c>
      <c r="F1358" s="127" t="n">
        <v>46836</v>
      </c>
      <c r="G1358" s="127" t="n">
        <v>46849</v>
      </c>
      <c r="H1358" s="127" t="n">
        <v>46289</v>
      </c>
      <c r="I1358" s="4" t="n">
        <v>0</v>
      </c>
      <c r="J1358" s="4" t="n">
        <v>0</v>
      </c>
      <c r="K1358" s="4" t="n">
        <v>0</v>
      </c>
      <c r="M1358" s="2" t="str">
        <f aca="false">IF(C1358="","",IFERROR(INDEX($S$5:$S$304,MATCH(C1358,$R$5:$R$304,0))&amp;"","?"))</f>
        <v>30</v>
      </c>
      <c r="N1358" s="2" t="n">
        <f aca="false">IF(E1358="","",IF(ISNUMBER(SEARCH("SUBSOLO",E1358)),IFERROR(-VALUE(LEFT(E1358,FIND("º",SUBSTITUTE(E1358,"°","º"))-1)),-1),IF(LEFT(E1358,6)="TÉRREO",0,IFERROR(VALUE(LEFT(E1358,FIND("º",SUBSTITUTE(E1358,"°","º"))-1)),""))))</f>
        <v>0</v>
      </c>
      <c r="O1358" s="2" t="str">
        <f aca="false">IF(OR(F1358="",G1358=""),"",IF(G1358&lt;='RETRATO 2027'!$K$5,"CONCLUÍDA",IF(F1358&lt;='RETRATO 2027'!$K$5,"EM ANDAMENTO","A INICIAR")))</f>
        <v>A INICIAR</v>
      </c>
    </row>
    <row r="1359" customFormat="false" ht="15" hidden="false" customHeight="false" outlineLevel="0" collapsed="false">
      <c r="B1359" s="4" t="n">
        <v>30205854</v>
      </c>
      <c r="C1359" s="4" t="s">
        <v>2486</v>
      </c>
      <c r="D1359" s="4" t="s">
        <v>463</v>
      </c>
      <c r="E1359" s="4" t="s">
        <v>2782</v>
      </c>
      <c r="F1359" s="127" t="n">
        <v>46836</v>
      </c>
      <c r="G1359" s="127" t="n">
        <v>46856</v>
      </c>
      <c r="H1359" s="127" t="n">
        <v>46289</v>
      </c>
      <c r="I1359" s="4" t="n">
        <v>0</v>
      </c>
      <c r="J1359" s="4" t="n">
        <v>0</v>
      </c>
      <c r="K1359" s="4" t="n">
        <v>0</v>
      </c>
      <c r="M1359" s="2" t="str">
        <f aca="false">IF(C1359="","",IFERROR(INDEX($S$5:$S$304,MATCH(C1359,$R$5:$R$304,0))&amp;"","?"))</f>
        <v>30</v>
      </c>
      <c r="N1359" s="2" t="n">
        <f aca="false">IF(E1359="","",IF(ISNUMBER(SEARCH("SUBSOLO",E1359)),IFERROR(-VALUE(LEFT(E1359,FIND("º",SUBSTITUTE(E1359,"°","º"))-1)),-1),IF(LEFT(E1359,6)="TÉRREO",0,IFERROR(VALUE(LEFT(E1359,FIND("º",SUBSTITUTE(E1359,"°","º"))-1)),""))))</f>
        <v>1</v>
      </c>
      <c r="O1359" s="2" t="str">
        <f aca="false">IF(OR(F1359="",G1359=""),"",IF(G1359&lt;='RETRATO 2027'!$K$5,"CONCLUÍDA",IF(F1359&lt;='RETRATO 2027'!$K$5,"EM ANDAMENTO","A INICIAR")))</f>
        <v>A INICIAR</v>
      </c>
    </row>
    <row r="1360" customFormat="false" ht="15" hidden="false" customHeight="false" outlineLevel="0" collapsed="false">
      <c r="B1360" s="4" t="n">
        <v>31791084</v>
      </c>
      <c r="C1360" s="4" t="s">
        <v>2621</v>
      </c>
      <c r="D1360" s="4" t="s">
        <v>463</v>
      </c>
      <c r="E1360" s="4" t="s">
        <v>2678</v>
      </c>
      <c r="F1360" s="127" t="n">
        <v>46836</v>
      </c>
      <c r="G1360" s="127" t="n">
        <v>46867</v>
      </c>
      <c r="H1360" s="127" t="n">
        <v>46289</v>
      </c>
      <c r="I1360" s="4" t="n">
        <v>0</v>
      </c>
      <c r="J1360" s="4" t="n">
        <v>0</v>
      </c>
      <c r="K1360" s="4" t="n">
        <v>0</v>
      </c>
      <c r="M1360" s="2" t="str">
        <f aca="false">IF(C1360="","",IFERROR(INDEX($S$5:$S$304,MATCH(C1360,$R$5:$R$304,0))&amp;"","?"))</f>
        <v>32</v>
      </c>
      <c r="N1360" s="2" t="str">
        <f aca="false"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 t="str">
        <f aca="false">IF(OR(F1360="",G1360=""),"",IF(G1360&lt;='RETRATO 2027'!$K$5,"CONCLUÍDA",IF(F1360&lt;='RETRATO 2027'!$K$5,"EM ANDAMENTO","A INICIAR")))</f>
        <v>A INICIAR</v>
      </c>
    </row>
    <row r="1361" customFormat="false" ht="15" hidden="false" customHeight="false" outlineLevel="0" collapsed="false">
      <c r="B1361" s="4" t="n">
        <v>30206065</v>
      </c>
      <c r="C1361" s="4" t="s">
        <v>2434</v>
      </c>
      <c r="D1361" s="4" t="s">
        <v>463</v>
      </c>
      <c r="E1361" s="4" t="s">
        <v>2847</v>
      </c>
      <c r="F1361" s="127" t="n">
        <v>46839</v>
      </c>
      <c r="G1361" s="127" t="n">
        <v>46843</v>
      </c>
      <c r="H1361" s="127" t="n">
        <v>46289</v>
      </c>
      <c r="I1361" s="4" t="n">
        <v>0</v>
      </c>
      <c r="J1361" s="4" t="n">
        <v>0</v>
      </c>
      <c r="K1361" s="4" t="n">
        <v>0</v>
      </c>
      <c r="M1361" s="2" t="str">
        <f aca="false">IF(C1361="","",IFERROR(INDEX($S$5:$S$304,MATCH(C1361,$R$5:$R$304,0))&amp;"","?"))</f>
        <v>25</v>
      </c>
      <c r="N1361" s="2" t="n">
        <f aca="false">IF(E1361="","",IF(ISNUMBER(SEARCH("SUBSOLO",E1361)),IFERROR(-VALUE(LEFT(E1361,FIND("º",SUBSTITUTE(E1361,"°","º"))-1)),-1),IF(LEFT(E1361,6)="TÉRREO",0,IFERROR(VALUE(LEFT(E1361,FIND("º",SUBSTITUTE(E1361,"°","º"))-1)),""))))</f>
        <v>6</v>
      </c>
      <c r="O1361" s="2" t="str">
        <f aca="false">IF(OR(F1361="",G1361=""),"",IF(G1361&lt;='RETRATO 2027'!$K$5,"CONCLUÍDA",IF(F1361&lt;='RETRATO 2027'!$K$5,"EM ANDAMENTO","A INICIAR")))</f>
        <v>A INICIAR</v>
      </c>
    </row>
    <row r="1362" customFormat="false" ht="15" hidden="false" customHeight="false" outlineLevel="0" collapsed="false">
      <c r="B1362" s="4" t="n">
        <v>30206056</v>
      </c>
      <c r="C1362" s="4" t="s">
        <v>2425</v>
      </c>
      <c r="D1362" s="4" t="s">
        <v>463</v>
      </c>
      <c r="E1362" s="4" t="s">
        <v>2848</v>
      </c>
      <c r="F1362" s="127" t="n">
        <v>46839</v>
      </c>
      <c r="G1362" s="127" t="n">
        <v>46850</v>
      </c>
      <c r="H1362" s="127" t="n">
        <v>46289</v>
      </c>
      <c r="I1362" s="4" t="n">
        <v>0</v>
      </c>
      <c r="J1362" s="4" t="n">
        <v>0</v>
      </c>
      <c r="K1362" s="4" t="n">
        <v>0</v>
      </c>
      <c r="M1362" s="2" t="str">
        <f aca="false">IF(C1362="","",IFERROR(INDEX($S$5:$S$304,MATCH(C1362,$R$5:$R$304,0))&amp;"","?"))</f>
        <v>21</v>
      </c>
      <c r="N1362" s="2" t="n">
        <f aca="false">IF(E1362="","",IF(ISNUMBER(SEARCH("SUBSOLO",E1362)),IFERROR(-VALUE(LEFT(E1362,FIND("º",SUBSTITUTE(E1362,"°","º"))-1)),-1),IF(LEFT(E1362,6)="TÉRREO",0,IFERROR(VALUE(LEFT(E1362,FIND("º",SUBSTITUTE(E1362,"°","º"))-1)),""))))</f>
        <v>6</v>
      </c>
      <c r="O1362" s="2" t="str">
        <f aca="false">IF(OR(F1362="",G1362=""),"",IF(G1362&lt;='RETRATO 2027'!$K$5,"CONCLUÍDA",IF(F1362&lt;='RETRATO 2027'!$K$5,"EM ANDAMENTO","A INICIAR")))</f>
        <v>A INICIAR</v>
      </c>
    </row>
    <row r="1363" customFormat="false" ht="15" hidden="false" customHeight="false" outlineLevel="0" collapsed="false">
      <c r="B1363" s="4" t="n">
        <v>30206027</v>
      </c>
      <c r="C1363" s="4" t="s">
        <v>2428</v>
      </c>
      <c r="D1363" s="4" t="s">
        <v>463</v>
      </c>
      <c r="E1363" s="4" t="s">
        <v>2848</v>
      </c>
      <c r="F1363" s="127" t="n">
        <v>46839</v>
      </c>
      <c r="G1363" s="127" t="n">
        <v>46850</v>
      </c>
      <c r="H1363" s="127" t="n">
        <v>46289</v>
      </c>
      <c r="I1363" s="4" t="n">
        <v>0</v>
      </c>
      <c r="J1363" s="4" t="n">
        <v>0</v>
      </c>
      <c r="K1363" s="4" t="n">
        <v>0</v>
      </c>
      <c r="M1363" s="2" t="str">
        <f aca="false">IF(C1363="","",IFERROR(INDEX($S$5:$S$304,MATCH(C1363,$R$5:$R$304,0))&amp;"","?"))</f>
        <v>20</v>
      </c>
      <c r="N1363" s="2" t="n">
        <f aca="false">IF(E1363="","",IF(ISNUMBER(SEARCH("SUBSOLO",E1363)),IFERROR(-VALUE(LEFT(E1363,FIND("º",SUBSTITUTE(E1363,"°","º"))-1)),-1),IF(LEFT(E1363,6)="TÉRREO",0,IFERROR(VALUE(LEFT(E1363,FIND("º",SUBSTITUTE(E1363,"°","º"))-1)),""))))</f>
        <v>6</v>
      </c>
      <c r="O1363" s="2" t="str">
        <f aca="false">IF(OR(F1363="",G1363=""),"",IF(G1363&lt;='RETRATO 2027'!$K$5,"CONCLUÍDA",IF(F1363&lt;='RETRATO 2027'!$K$5,"EM ANDAMENTO","A INICIAR")))</f>
        <v>A INICIAR</v>
      </c>
    </row>
    <row r="1364" customFormat="false" ht="15" hidden="false" customHeight="false" outlineLevel="0" collapsed="false">
      <c r="B1364" s="4" t="n">
        <v>30206057</v>
      </c>
      <c r="C1364" s="4" t="s">
        <v>2431</v>
      </c>
      <c r="D1364" s="4" t="s">
        <v>463</v>
      </c>
      <c r="E1364" s="4" t="s">
        <v>2848</v>
      </c>
      <c r="F1364" s="127" t="n">
        <v>46839</v>
      </c>
      <c r="G1364" s="127" t="n">
        <v>46850</v>
      </c>
      <c r="H1364" s="127" t="n">
        <v>46289</v>
      </c>
      <c r="I1364" s="4" t="n">
        <v>0</v>
      </c>
      <c r="J1364" s="4" t="n">
        <v>0</v>
      </c>
      <c r="K1364" s="4" t="n">
        <v>0</v>
      </c>
      <c r="M1364" s="2" t="str">
        <f aca="false">IF(C1364="","",IFERROR(INDEX($S$5:$S$304,MATCH(C1364,$R$5:$R$304,0))&amp;"","?"))</f>
        <v>21</v>
      </c>
      <c r="N1364" s="2" t="n">
        <f aca="false">IF(E1364="","",IF(ISNUMBER(SEARCH("SUBSOLO",E1364)),IFERROR(-VALUE(LEFT(E1364,FIND("º",SUBSTITUTE(E1364,"°","º"))-1)),-1),IF(LEFT(E1364,6)="TÉRREO",0,IFERROR(VALUE(LEFT(E1364,FIND("º",SUBSTITUTE(E1364,"°","º"))-1)),""))))</f>
        <v>6</v>
      </c>
      <c r="O1364" s="2" t="str">
        <f aca="false">IF(OR(F1364="",G1364=""),"",IF(G1364&lt;='RETRATO 2027'!$K$5,"CONCLUÍDA",IF(F1364&lt;='RETRATO 2027'!$K$5,"EM ANDAMENTO","A INICIAR")))</f>
        <v>A INICIAR</v>
      </c>
    </row>
    <row r="1365" customFormat="false" ht="15" hidden="false" customHeight="false" outlineLevel="0" collapsed="false">
      <c r="B1365" s="4" t="n">
        <v>30206007</v>
      </c>
      <c r="C1365" s="4" t="s">
        <v>2422</v>
      </c>
      <c r="D1365" s="4" t="s">
        <v>463</v>
      </c>
      <c r="E1365" s="4" t="s">
        <v>2849</v>
      </c>
      <c r="F1365" s="127" t="n">
        <v>46839</v>
      </c>
      <c r="G1365" s="127" t="n">
        <v>46850</v>
      </c>
      <c r="H1365" s="127" t="n">
        <v>46289</v>
      </c>
      <c r="I1365" s="4" t="n">
        <v>0</v>
      </c>
      <c r="J1365" s="4" t="n">
        <v>0</v>
      </c>
      <c r="K1365" s="4" t="n">
        <v>0</v>
      </c>
      <c r="M1365" s="2" t="str">
        <f aca="false">IF(C1365="","",IFERROR(INDEX($S$5:$S$304,MATCH(C1365,$R$5:$R$304,0))&amp;"","?"))</f>
        <v>29</v>
      </c>
      <c r="N1365" s="2" t="n">
        <f aca="false">IF(E1365="","",IF(ISNUMBER(SEARCH("SUBSOLO",E1365)),IFERROR(-VALUE(LEFT(E1365,FIND("º",SUBSTITUTE(E1365,"°","º"))-1)),-1),IF(LEFT(E1365,6)="TÉRREO",0,IFERROR(VALUE(LEFT(E1365,FIND("º",SUBSTITUTE(E1365,"°","º"))-1)),""))))</f>
        <v>6</v>
      </c>
      <c r="O1365" s="2" t="str">
        <f aca="false">IF(OR(F1365="",G1365=""),"",IF(G1365&lt;='RETRATO 2027'!$K$5,"CONCLUÍDA",IF(F1365&lt;='RETRATO 2027'!$K$5,"EM ANDAMENTO","A INICIAR")))</f>
        <v>A INICIAR</v>
      </c>
    </row>
    <row r="1366" customFormat="false" ht="15" hidden="false" customHeight="false" outlineLevel="0" collapsed="false">
      <c r="B1366" s="4" t="n">
        <v>29981538</v>
      </c>
      <c r="C1366" s="4" t="s">
        <v>2623</v>
      </c>
      <c r="D1366" s="4" t="s">
        <v>463</v>
      </c>
      <c r="E1366" s="4" t="s">
        <v>2803</v>
      </c>
      <c r="F1366" s="127" t="n">
        <v>46839</v>
      </c>
      <c r="G1366" s="127" t="n">
        <v>46849</v>
      </c>
      <c r="H1366" s="127" t="n">
        <v>46289</v>
      </c>
      <c r="I1366" s="4" t="n">
        <v>0</v>
      </c>
      <c r="J1366" s="4" t="n">
        <v>0</v>
      </c>
      <c r="K1366" s="4" t="n">
        <v>0</v>
      </c>
      <c r="M1366" s="2" t="str">
        <f aca="false">IF(C1366="","",IFERROR(INDEX($S$5:$S$304,MATCH(C1366,$R$5:$R$304,0))&amp;"","?"))</f>
        <v>35</v>
      </c>
      <c r="N1366" s="2" t="n">
        <f aca="false">IF(E1366="","",IF(ISNUMBER(SEARCH("SUBSOLO",E1366)),IFERROR(-VALUE(LEFT(E1366,FIND("º",SUBSTITUTE(E1366,"°","º"))-1)),-1),IF(LEFT(E1366,6)="TÉRREO",0,IFERROR(VALUE(LEFT(E1366,FIND("º",SUBSTITUTE(E1366,"°","º"))-1)),""))))</f>
        <v>7</v>
      </c>
      <c r="O1366" s="2" t="str">
        <f aca="false">IF(OR(F1366="",G1366=""),"",IF(G1366&lt;='RETRATO 2027'!$K$5,"CONCLUÍDA",IF(F1366&lt;='RETRATO 2027'!$K$5,"EM ANDAMENTO","A INICIAR")))</f>
        <v>A INICIAR</v>
      </c>
    </row>
    <row r="1367" customFormat="false" ht="15" hidden="false" customHeight="false" outlineLevel="0" collapsed="false">
      <c r="B1367" s="4" t="n">
        <v>33919785</v>
      </c>
      <c r="C1367" s="4" t="s">
        <v>2625</v>
      </c>
      <c r="D1367" s="4" t="s">
        <v>463</v>
      </c>
      <c r="E1367" s="4" t="s">
        <v>2803</v>
      </c>
      <c r="F1367" s="127" t="n">
        <v>46839</v>
      </c>
      <c r="G1367" s="127" t="n">
        <v>46849</v>
      </c>
      <c r="H1367" s="127" t="n">
        <v>46289</v>
      </c>
      <c r="I1367" s="4" t="n">
        <v>0</v>
      </c>
      <c r="J1367" s="4" t="n">
        <v>0</v>
      </c>
      <c r="K1367" s="4" t="n">
        <v>0</v>
      </c>
      <c r="M1367" s="2" t="str">
        <f aca="false">IF(C1367="","",IFERROR(INDEX($S$5:$S$304,MATCH(C1367,$R$5:$R$304,0))&amp;"","?"))</f>
        <v>32</v>
      </c>
      <c r="N1367" s="2" t="n">
        <f aca="false">IF(E1367="","",IF(ISNUMBER(SEARCH("SUBSOLO",E1367)),IFERROR(-VALUE(LEFT(E1367,FIND("º",SUBSTITUTE(E1367,"°","º"))-1)),-1),IF(LEFT(E1367,6)="TÉRREO",0,IFERROR(VALUE(LEFT(E1367,FIND("º",SUBSTITUTE(E1367,"°","º"))-1)),""))))</f>
        <v>7</v>
      </c>
      <c r="O1367" s="2" t="str">
        <f aca="false">IF(OR(F1367="",G1367=""),"",IF(G1367&lt;='RETRATO 2027'!$K$5,"CONCLUÍDA",IF(F1367&lt;='RETRATO 2027'!$K$5,"EM ANDAMENTO","A INICIAR")))</f>
        <v>A INICIAR</v>
      </c>
    </row>
    <row r="1368" customFormat="false" ht="15" hidden="false" customHeight="false" outlineLevel="0" collapsed="false">
      <c r="B1368" s="4" t="n">
        <v>29981500</v>
      </c>
      <c r="C1368" s="4" t="s">
        <v>2615</v>
      </c>
      <c r="D1368" s="4" t="s">
        <v>463</v>
      </c>
      <c r="E1368" s="4" t="s">
        <v>2804</v>
      </c>
      <c r="F1368" s="127" t="n">
        <v>46839</v>
      </c>
      <c r="G1368" s="127" t="n">
        <v>46849</v>
      </c>
      <c r="H1368" s="127" t="n">
        <v>46289</v>
      </c>
      <c r="I1368" s="4" t="n">
        <v>0</v>
      </c>
      <c r="J1368" s="4" t="n">
        <v>0</v>
      </c>
      <c r="K1368" s="4" t="n">
        <v>0</v>
      </c>
      <c r="M1368" s="2" t="str">
        <f aca="false">IF(C1368="","",IFERROR(INDEX($S$5:$S$304,MATCH(C1368,$R$5:$R$304,0))&amp;"","?"))</f>
        <v>37</v>
      </c>
      <c r="N1368" s="2" t="n">
        <f aca="false">IF(E1368="","",IF(ISNUMBER(SEARCH("SUBSOLO",E1368)),IFERROR(-VALUE(LEFT(E1368,FIND("º",SUBSTITUTE(E1368,"°","º"))-1)),-1),IF(LEFT(E1368,6)="TÉRREO",0,IFERROR(VALUE(LEFT(E1368,FIND("º",SUBSTITUTE(E1368,"°","º"))-1)),""))))</f>
        <v>8</v>
      </c>
      <c r="O1368" s="2" t="str">
        <f aca="false">IF(OR(F1368="",G1368=""),"",IF(G1368&lt;='RETRATO 2027'!$K$5,"CONCLUÍDA",IF(F1368&lt;='RETRATO 2027'!$K$5,"EM ANDAMENTO","A INICIAR")))</f>
        <v>A INICIAR</v>
      </c>
    </row>
    <row r="1369" customFormat="false" ht="15" hidden="false" customHeight="false" outlineLevel="0" collapsed="false">
      <c r="B1369" s="4" t="n">
        <v>29981457</v>
      </c>
      <c r="C1369" s="4" t="s">
        <v>2605</v>
      </c>
      <c r="D1369" s="4" t="s">
        <v>463</v>
      </c>
      <c r="E1369" s="4" t="s">
        <v>2805</v>
      </c>
      <c r="F1369" s="127" t="n">
        <v>46839</v>
      </c>
      <c r="G1369" s="127" t="n">
        <v>46849</v>
      </c>
      <c r="H1369" s="127" t="n">
        <v>46289</v>
      </c>
      <c r="I1369" s="4" t="n">
        <v>0</v>
      </c>
      <c r="J1369" s="4" t="n">
        <v>0</v>
      </c>
      <c r="K1369" s="4" t="n">
        <v>0</v>
      </c>
      <c r="M1369" s="2" t="str">
        <f aca="false">IF(C1369="","",IFERROR(INDEX($S$5:$S$304,MATCH(C1369,$R$5:$R$304,0))&amp;"","?"))</f>
        <v>34</v>
      </c>
      <c r="N1369" s="2" t="n">
        <f aca="false">IF(E1369="","",IF(ISNUMBER(SEARCH("SUBSOLO",E1369)),IFERROR(-VALUE(LEFT(E1369,FIND("º",SUBSTITUTE(E1369,"°","º"))-1)),-1),IF(LEFT(E1369,6)="TÉRREO",0,IFERROR(VALUE(LEFT(E1369,FIND("º",SUBSTITUTE(E1369,"°","º"))-1)),""))))</f>
        <v>9</v>
      </c>
      <c r="O1369" s="2" t="str">
        <f aca="false">IF(OR(F1369="",G1369=""),"",IF(G1369&lt;='RETRATO 2027'!$K$5,"CONCLUÍDA",IF(F1369&lt;='RETRATO 2027'!$K$5,"EM ANDAMENTO","A INICIAR")))</f>
        <v>A INICIAR</v>
      </c>
    </row>
    <row r="1370" customFormat="false" ht="15" hidden="false" customHeight="false" outlineLevel="0" collapsed="false">
      <c r="B1370" s="4" t="n">
        <v>29981462</v>
      </c>
      <c r="C1370" s="4" t="s">
        <v>2607</v>
      </c>
      <c r="D1370" s="4" t="s">
        <v>463</v>
      </c>
      <c r="E1370" s="4" t="s">
        <v>2805</v>
      </c>
      <c r="F1370" s="127" t="n">
        <v>46839</v>
      </c>
      <c r="G1370" s="127" t="n">
        <v>46849</v>
      </c>
      <c r="H1370" s="127" t="n">
        <v>46289</v>
      </c>
      <c r="I1370" s="4" t="n">
        <v>0</v>
      </c>
      <c r="J1370" s="4" t="n">
        <v>0</v>
      </c>
      <c r="K1370" s="4" t="n">
        <v>0</v>
      </c>
      <c r="M1370" s="2" t="str">
        <f aca="false">IF(C1370="","",IFERROR(INDEX($S$5:$S$304,MATCH(C1370,$R$5:$R$304,0))&amp;"","?"))</f>
        <v>34</v>
      </c>
      <c r="N1370" s="2" t="n">
        <f aca="false">IF(E1370="","",IF(ISNUMBER(SEARCH("SUBSOLO",E1370)),IFERROR(-VALUE(LEFT(E1370,FIND("º",SUBSTITUTE(E1370,"°","º"))-1)),-1),IF(LEFT(E1370,6)="TÉRREO",0,IFERROR(VALUE(LEFT(E1370,FIND("º",SUBSTITUTE(E1370,"°","º"))-1)),""))))</f>
        <v>9</v>
      </c>
      <c r="O1370" s="2" t="str">
        <f aca="false">IF(OR(F1370="",G1370=""),"",IF(G1370&lt;='RETRATO 2027'!$K$5,"CONCLUÍDA",IF(F1370&lt;='RETRATO 2027'!$K$5,"EM ANDAMENTO","A INICIAR")))</f>
        <v>A INICIAR</v>
      </c>
    </row>
    <row r="1371" customFormat="false" ht="15" hidden="false" customHeight="false" outlineLevel="0" collapsed="false">
      <c r="B1371" s="4" t="n">
        <v>29981461</v>
      </c>
      <c r="C1371" s="4" t="s">
        <v>2563</v>
      </c>
      <c r="D1371" s="4" t="s">
        <v>463</v>
      </c>
      <c r="E1371" s="4" t="s">
        <v>2805</v>
      </c>
      <c r="F1371" s="127" t="n">
        <v>46839</v>
      </c>
      <c r="G1371" s="127" t="n">
        <v>46849</v>
      </c>
      <c r="H1371" s="127" t="n">
        <v>46289</v>
      </c>
      <c r="I1371" s="4" t="n">
        <v>0</v>
      </c>
      <c r="J1371" s="4" t="n">
        <v>0</v>
      </c>
      <c r="K1371" s="4" t="n">
        <v>0</v>
      </c>
      <c r="M1371" s="2" t="str">
        <f aca="false">IF(C1371="","",IFERROR(INDEX($S$5:$S$304,MATCH(C1371,$R$5:$R$304,0))&amp;"","?"))</f>
        <v>20</v>
      </c>
      <c r="N1371" s="2" t="n">
        <f aca="false">IF(E1371="","",IF(ISNUMBER(SEARCH("SUBSOLO",E1371)),IFERROR(-VALUE(LEFT(E1371,FIND("º",SUBSTITUTE(E1371,"°","º"))-1)),-1),IF(LEFT(E1371,6)="TÉRREO",0,IFERROR(VALUE(LEFT(E1371,FIND("º",SUBSTITUTE(E1371,"°","º"))-1)),""))))</f>
        <v>9</v>
      </c>
      <c r="O1371" s="2" t="str">
        <f aca="false">IF(OR(F1371="",G1371=""),"",IF(G1371&lt;='RETRATO 2027'!$K$5,"CONCLUÍDA",IF(F1371&lt;='RETRATO 2027'!$K$5,"EM ANDAMENTO","A INICIAR")))</f>
        <v>A INICIAR</v>
      </c>
    </row>
    <row r="1372" customFormat="false" ht="15" hidden="false" customHeight="false" outlineLevel="0" collapsed="false">
      <c r="B1372" s="4" t="n">
        <v>29981460</v>
      </c>
      <c r="C1372" s="4" t="s">
        <v>2609</v>
      </c>
      <c r="D1372" s="4" t="s">
        <v>463</v>
      </c>
      <c r="E1372" s="4" t="s">
        <v>2805</v>
      </c>
      <c r="F1372" s="127" t="n">
        <v>46839</v>
      </c>
      <c r="G1372" s="127" t="n">
        <v>46849</v>
      </c>
      <c r="H1372" s="127" t="n">
        <v>46289</v>
      </c>
      <c r="I1372" s="4" t="n">
        <v>0</v>
      </c>
      <c r="J1372" s="4" t="n">
        <v>0</v>
      </c>
      <c r="K1372" s="4" t="n">
        <v>0</v>
      </c>
      <c r="M1372" s="2" t="str">
        <f aca="false">IF(C1372="","",IFERROR(INDEX($S$5:$S$304,MATCH(C1372,$R$5:$R$304,0))&amp;"","?"))</f>
        <v>23</v>
      </c>
      <c r="N1372" s="2" t="n">
        <f aca="false">IF(E1372="","",IF(ISNUMBER(SEARCH("SUBSOLO",E1372)),IFERROR(-VALUE(LEFT(E1372,FIND("º",SUBSTITUTE(E1372,"°","º"))-1)),-1),IF(LEFT(E1372,6)="TÉRREO",0,IFERROR(VALUE(LEFT(E1372,FIND("º",SUBSTITUTE(E1372,"°","º"))-1)),""))))</f>
        <v>9</v>
      </c>
      <c r="O1372" s="2" t="str">
        <f aca="false">IF(OR(F1372="",G1372=""),"",IF(G1372&lt;='RETRATO 2027'!$K$5,"CONCLUÍDA",IF(F1372&lt;='RETRATO 2027'!$K$5,"EM ANDAMENTO","A INICIAR")))</f>
        <v>A INICIAR</v>
      </c>
    </row>
    <row r="1373" customFormat="false" ht="15" hidden="false" customHeight="false" outlineLevel="0" collapsed="false">
      <c r="B1373" s="4" t="n">
        <v>29981419</v>
      </c>
      <c r="C1373" s="4" t="s">
        <v>2599</v>
      </c>
      <c r="D1373" s="4" t="s">
        <v>463</v>
      </c>
      <c r="E1373" s="4" t="s">
        <v>2809</v>
      </c>
      <c r="F1373" s="127" t="n">
        <v>46839</v>
      </c>
      <c r="G1373" s="127" t="n">
        <v>46849</v>
      </c>
      <c r="H1373" s="127" t="n">
        <v>46289</v>
      </c>
      <c r="I1373" s="4" t="n">
        <v>0</v>
      </c>
      <c r="J1373" s="4" t="n">
        <v>0</v>
      </c>
      <c r="K1373" s="4" t="n">
        <v>0</v>
      </c>
      <c r="M1373" s="2" t="str">
        <f aca="false">IF(C1373="","",IFERROR(INDEX($S$5:$S$304,MATCH(C1373,$R$5:$R$304,0))&amp;"","?"))</f>
        <v>30</v>
      </c>
      <c r="N1373" s="2" t="n">
        <f aca="false">IF(E1373="","",IF(ISNUMBER(SEARCH("SUBSOLO",E1373)),IFERROR(-VALUE(LEFT(E1373,FIND("º",SUBSTITUTE(E1373,"°","º"))-1)),-1),IF(LEFT(E1373,6)="TÉRREO",0,IFERROR(VALUE(LEFT(E1373,FIND("º",SUBSTITUTE(E1373,"°","º"))-1)),""))))</f>
        <v>10</v>
      </c>
      <c r="O1373" s="2" t="str">
        <f aca="false">IF(OR(F1373="",G1373=""),"",IF(G1373&lt;='RETRATO 2027'!$K$5,"CONCLUÍDA",IF(F1373&lt;='RETRATO 2027'!$K$5,"EM ANDAMENTO","A INICIAR")))</f>
        <v>A INICIAR</v>
      </c>
    </row>
    <row r="1374" customFormat="false" ht="15" hidden="false" customHeight="false" outlineLevel="0" collapsed="false">
      <c r="B1374" s="4" t="n">
        <v>29981381</v>
      </c>
      <c r="C1374" s="4" t="s">
        <v>2578</v>
      </c>
      <c r="D1374" s="4" t="s">
        <v>463</v>
      </c>
      <c r="E1374" s="4" t="s">
        <v>2810</v>
      </c>
      <c r="F1374" s="127" t="n">
        <v>46839</v>
      </c>
      <c r="G1374" s="127" t="n">
        <v>46849</v>
      </c>
      <c r="H1374" s="127" t="n">
        <v>46289</v>
      </c>
      <c r="I1374" s="4" t="n">
        <v>0</v>
      </c>
      <c r="J1374" s="4" t="n">
        <v>0</v>
      </c>
      <c r="K1374" s="4" t="n">
        <v>0</v>
      </c>
      <c r="M1374" s="2" t="str">
        <f aca="false">IF(C1374="","",IFERROR(INDEX($S$5:$S$304,MATCH(C1374,$R$5:$R$304,0))&amp;"","?"))</f>
        <v>25</v>
      </c>
      <c r="N1374" s="2" t="n">
        <f aca="false">IF(E1374="","",IF(ISNUMBER(SEARCH("SUBSOLO",E1374)),IFERROR(-VALUE(LEFT(E1374,FIND("º",SUBSTITUTE(E1374,"°","º"))-1)),-1),IF(LEFT(E1374,6)="TÉRREO",0,IFERROR(VALUE(LEFT(E1374,FIND("º",SUBSTITUTE(E1374,"°","º"))-1)),""))))</f>
        <v>11</v>
      </c>
      <c r="O1374" s="2" t="str">
        <f aca="false">IF(OR(F1374="",G1374=""),"",IF(G1374&lt;='RETRATO 2027'!$K$5,"CONCLUÍDA",IF(F1374&lt;='RETRATO 2027'!$K$5,"EM ANDAMENTO","A INICIAR")))</f>
        <v>A INICIAR</v>
      </c>
    </row>
    <row r="1375" customFormat="false" ht="15" hidden="false" customHeight="false" outlineLevel="0" collapsed="false">
      <c r="B1375" s="4" t="n">
        <v>29981343</v>
      </c>
      <c r="C1375" s="4" t="s">
        <v>2569</v>
      </c>
      <c r="D1375" s="4" t="s">
        <v>463</v>
      </c>
      <c r="E1375" s="4" t="s">
        <v>2811</v>
      </c>
      <c r="F1375" s="127" t="n">
        <v>46839</v>
      </c>
      <c r="G1375" s="127" t="n">
        <v>46849</v>
      </c>
      <c r="H1375" s="127" t="n">
        <v>46289</v>
      </c>
      <c r="I1375" s="4" t="n">
        <v>0</v>
      </c>
      <c r="J1375" s="4" t="n">
        <v>0</v>
      </c>
      <c r="K1375" s="4" t="n">
        <v>0</v>
      </c>
      <c r="M1375" s="2" t="str">
        <f aca="false">IF(C1375="","",IFERROR(INDEX($S$5:$S$304,MATCH(C1375,$R$5:$R$304,0))&amp;"","?"))</f>
        <v>30</v>
      </c>
      <c r="N1375" s="2" t="n">
        <f aca="false">IF(E1375="","",IF(ISNUMBER(SEARCH("SUBSOLO",E1375)),IFERROR(-VALUE(LEFT(E1375,FIND("º",SUBSTITUTE(E1375,"°","º"))-1)),-1),IF(LEFT(E1375,6)="TÉRREO",0,IFERROR(VALUE(LEFT(E1375,FIND("º",SUBSTITUTE(E1375,"°","º"))-1)),""))))</f>
        <v>12</v>
      </c>
      <c r="O1375" s="2" t="str">
        <f aca="false">IF(OR(F1375="",G1375=""),"",IF(G1375&lt;='RETRATO 2027'!$K$5,"CONCLUÍDA",IF(F1375&lt;='RETRATO 2027'!$K$5,"EM ANDAMENTO","A INICIAR")))</f>
        <v>A INICIAR</v>
      </c>
    </row>
    <row r="1376" customFormat="false" ht="15" hidden="false" customHeight="false" outlineLevel="0" collapsed="false">
      <c r="B1376" s="4" t="n">
        <v>29981305</v>
      </c>
      <c r="C1376" s="4" t="s">
        <v>2554</v>
      </c>
      <c r="D1376" s="4" t="s">
        <v>463</v>
      </c>
      <c r="E1376" s="4" t="s">
        <v>2812</v>
      </c>
      <c r="F1376" s="127" t="n">
        <v>46839</v>
      </c>
      <c r="G1376" s="127" t="n">
        <v>46849</v>
      </c>
      <c r="H1376" s="127" t="n">
        <v>46289</v>
      </c>
      <c r="I1376" s="4" t="n">
        <v>0</v>
      </c>
      <c r="J1376" s="4" t="n">
        <v>0</v>
      </c>
      <c r="K1376" s="4" t="n">
        <v>0</v>
      </c>
      <c r="M1376" s="2" t="str">
        <f aca="false">IF(C1376="","",IFERROR(INDEX($S$5:$S$304,MATCH(C1376,$R$5:$R$304,0))&amp;"","?"))</f>
        <v>35</v>
      </c>
      <c r="N1376" s="2" t="n">
        <f aca="false">IF(E1376="","",IF(ISNUMBER(SEARCH("SUBSOLO",E1376)),IFERROR(-VALUE(LEFT(E1376,FIND("º",SUBSTITUTE(E1376,"°","º"))-1)),-1),IF(LEFT(E1376,6)="TÉRREO",0,IFERROR(VALUE(LEFT(E1376,FIND("º",SUBSTITUTE(E1376,"°","º"))-1)),""))))</f>
        <v>13</v>
      </c>
      <c r="O1376" s="2" t="str">
        <f aca="false">IF(OR(F1376="",G1376=""),"",IF(G1376&lt;='RETRATO 2027'!$K$5,"CONCLUÍDA",IF(F1376&lt;='RETRATO 2027'!$K$5,"EM ANDAMENTO","A INICIAR")))</f>
        <v>A INICIAR</v>
      </c>
    </row>
    <row r="1377" customFormat="false" ht="15" hidden="false" customHeight="false" outlineLevel="0" collapsed="false">
      <c r="B1377" s="4" t="n">
        <v>29981294</v>
      </c>
      <c r="C1377" s="4" t="s">
        <v>2539</v>
      </c>
      <c r="D1377" s="4" t="s">
        <v>463</v>
      </c>
      <c r="E1377" s="4" t="s">
        <v>2813</v>
      </c>
      <c r="F1377" s="127" t="n">
        <v>46839</v>
      </c>
      <c r="G1377" s="127" t="n">
        <v>46849</v>
      </c>
      <c r="H1377" s="127" t="n">
        <v>46289</v>
      </c>
      <c r="I1377" s="4" t="n">
        <v>0</v>
      </c>
      <c r="J1377" s="4" t="n">
        <v>0</v>
      </c>
      <c r="K1377" s="4" t="n">
        <v>0</v>
      </c>
      <c r="M1377" s="2" t="str">
        <f aca="false">IF(C1377="","",IFERROR(INDEX($S$5:$S$304,MATCH(C1377,$R$5:$R$304,0))&amp;"","?"))</f>
        <v>35</v>
      </c>
      <c r="N1377" s="2" t="n">
        <f aca="false">IF(E1377="","",IF(ISNUMBER(SEARCH("SUBSOLO",E1377)),IFERROR(-VALUE(LEFT(E1377,FIND("º",SUBSTITUTE(E1377,"°","º"))-1)),-1),IF(LEFT(E1377,6)="TÉRREO",0,IFERROR(VALUE(LEFT(E1377,FIND("º",SUBSTITUTE(E1377,"°","º"))-1)),""))))</f>
        <v>14</v>
      </c>
      <c r="O1377" s="2" t="str">
        <f aca="false">IF(OR(F1377="",G1377=""),"",IF(G1377&lt;='RETRATO 2027'!$K$5,"CONCLUÍDA",IF(F1377&lt;='RETRATO 2027'!$K$5,"EM ANDAMENTO","A INICIAR")))</f>
        <v>A INICIAR</v>
      </c>
    </row>
    <row r="1378" customFormat="false" ht="15" hidden="false" customHeight="false" outlineLevel="0" collapsed="false">
      <c r="B1378" s="4" t="n">
        <v>33898096</v>
      </c>
      <c r="C1378" s="4" t="s">
        <v>2545</v>
      </c>
      <c r="D1378" s="4" t="s">
        <v>463</v>
      </c>
      <c r="E1378" s="4" t="s">
        <v>2814</v>
      </c>
      <c r="F1378" s="127" t="n">
        <v>46839</v>
      </c>
      <c r="G1378" s="127" t="n">
        <v>46849</v>
      </c>
      <c r="H1378" s="127" t="n">
        <v>46289</v>
      </c>
      <c r="I1378" s="4" t="n">
        <v>0</v>
      </c>
      <c r="J1378" s="4" t="n">
        <v>0</v>
      </c>
      <c r="K1378" s="4" t="n">
        <v>0</v>
      </c>
      <c r="M1378" s="2" t="str">
        <f aca="false">IF(C1378="","",IFERROR(INDEX($S$5:$S$304,MATCH(C1378,$R$5:$R$304,0))&amp;"","?"))</f>
        <v>25</v>
      </c>
      <c r="N1378" s="2" t="n">
        <f aca="false">IF(E1378="","",IF(ISNUMBER(SEARCH("SUBSOLO",E1378)),IFERROR(-VALUE(LEFT(E1378,FIND("º",SUBSTITUTE(E1378,"°","º"))-1)),-1),IF(LEFT(E1378,6)="TÉRREO",0,IFERROR(VALUE(LEFT(E1378,FIND("º",SUBSTITUTE(E1378,"°","º"))-1)),""))))</f>
        <v>15</v>
      </c>
      <c r="O1378" s="2" t="str">
        <f aca="false">IF(OR(F1378="",G1378=""),"",IF(G1378&lt;='RETRATO 2027'!$K$5,"CONCLUÍDA",IF(F1378&lt;='RETRATO 2027'!$K$5,"EM ANDAMENTO","A INICIAR")))</f>
        <v>A INICIAR</v>
      </c>
    </row>
    <row r="1379" customFormat="false" ht="15" hidden="false" customHeight="false" outlineLevel="0" collapsed="false">
      <c r="B1379" s="4" t="n">
        <v>29981070</v>
      </c>
      <c r="C1379" s="4" t="s">
        <v>216</v>
      </c>
      <c r="D1379" s="4" t="s">
        <v>463</v>
      </c>
      <c r="E1379" s="4" t="s">
        <v>2823</v>
      </c>
      <c r="F1379" s="127" t="n">
        <v>46840</v>
      </c>
      <c r="G1379" s="127" t="n">
        <v>46850</v>
      </c>
      <c r="H1379" s="127" t="n">
        <v>46289</v>
      </c>
      <c r="I1379" s="4" t="n">
        <v>0</v>
      </c>
      <c r="J1379" s="4" t="n">
        <v>0</v>
      </c>
      <c r="K1379" s="4" t="n">
        <v>0</v>
      </c>
      <c r="M1379" s="2" t="str">
        <f aca="false">IF(C1379="","",IFERROR(INDEX($S$5:$S$304,MATCH(C1379,$R$5:$R$304,0))&amp;"","?"))</f>
        <v>33</v>
      </c>
      <c r="N1379" s="2" t="n">
        <f aca="false">IF(E1379="","",IF(ISNUMBER(SEARCH("SUBSOLO",E1379)),IFERROR(-VALUE(LEFT(E1379,FIND("º",SUBSTITUTE(E1379,"°","º"))-1)),-1),IF(LEFT(E1379,6)="TÉRREO",0,IFERROR(VALUE(LEFT(E1379,FIND("º",SUBSTITUTE(E1379,"°","º"))-1)),""))))</f>
        <v>20</v>
      </c>
      <c r="O1379" s="2" t="str">
        <f aca="false">IF(OR(F1379="",G1379=""),"",IF(G1379&lt;='RETRATO 2027'!$K$5,"CONCLUÍDA",IF(F1379&lt;='RETRATO 2027'!$K$5,"EM ANDAMENTO","A INICIAR")))</f>
        <v>A INICIAR</v>
      </c>
    </row>
    <row r="1380" customFormat="false" ht="15" hidden="false" customHeight="false" outlineLevel="0" collapsed="false">
      <c r="B1380" s="4" t="n">
        <v>29981031</v>
      </c>
      <c r="C1380" s="4" t="s">
        <v>2508</v>
      </c>
      <c r="D1380" s="4" t="s">
        <v>463</v>
      </c>
      <c r="E1380" s="4" t="s">
        <v>2825</v>
      </c>
      <c r="F1380" s="127" t="n">
        <v>46840</v>
      </c>
      <c r="G1380" s="127" t="n">
        <v>46850</v>
      </c>
      <c r="H1380" s="127" t="n">
        <v>46289</v>
      </c>
      <c r="I1380" s="4" t="n">
        <v>0</v>
      </c>
      <c r="J1380" s="4" t="n">
        <v>0</v>
      </c>
      <c r="K1380" s="4" t="n">
        <v>0</v>
      </c>
      <c r="M1380" s="2" t="str">
        <f aca="false">IF(C1380="","",IFERROR(INDEX($S$5:$S$304,MATCH(C1380,$R$5:$R$304,0))&amp;"","?"))</f>
        <v>20</v>
      </c>
      <c r="N1380" s="2" t="n">
        <f aca="false">IF(E1380="","",IF(ISNUMBER(SEARCH("SUBSOLO",E1380)),IFERROR(-VALUE(LEFT(E1380,FIND("º",SUBSTITUTE(E1380,"°","º"))-1)),-1),IF(LEFT(E1380,6)="TÉRREO",0,IFERROR(VALUE(LEFT(E1380,FIND("º",SUBSTITUTE(E1380,"°","º"))-1)),""))))</f>
        <v>21</v>
      </c>
      <c r="O1380" s="2" t="str">
        <f aca="false">IF(OR(F1380="",G1380=""),"",IF(G1380&lt;='RETRATO 2027'!$K$5,"CONCLUÍDA",IF(F1380&lt;='RETRATO 2027'!$K$5,"EM ANDAMENTO","A INICIAR")))</f>
        <v>A INICIAR</v>
      </c>
    </row>
    <row r="1381" customFormat="false" ht="15" hidden="false" customHeight="false" outlineLevel="0" collapsed="false">
      <c r="B1381" s="4" t="n">
        <v>29981036</v>
      </c>
      <c r="C1381" s="4" t="s">
        <v>2511</v>
      </c>
      <c r="D1381" s="4" t="s">
        <v>463</v>
      </c>
      <c r="E1381" s="4" t="s">
        <v>2825</v>
      </c>
      <c r="F1381" s="127" t="n">
        <v>46840</v>
      </c>
      <c r="G1381" s="127" t="n">
        <v>46850</v>
      </c>
      <c r="H1381" s="127" t="n">
        <v>46289</v>
      </c>
      <c r="I1381" s="4" t="n">
        <v>0</v>
      </c>
      <c r="J1381" s="4" t="n">
        <v>0</v>
      </c>
      <c r="K1381" s="4" t="n">
        <v>0</v>
      </c>
      <c r="M1381" s="2" t="str">
        <f aca="false">IF(C1381="","",IFERROR(INDEX($S$5:$S$304,MATCH(C1381,$R$5:$R$304,0))&amp;"","?"))</f>
        <v>20</v>
      </c>
      <c r="N1381" s="2" t="n">
        <f aca="false">IF(E1381="","",IF(ISNUMBER(SEARCH("SUBSOLO",E1381)),IFERROR(-VALUE(LEFT(E1381,FIND("º",SUBSTITUTE(E1381,"°","º"))-1)),-1),IF(LEFT(E1381,6)="TÉRREO",0,IFERROR(VALUE(LEFT(E1381,FIND("º",SUBSTITUTE(E1381,"°","º"))-1)),""))))</f>
        <v>21</v>
      </c>
      <c r="O1381" s="2" t="str">
        <f aca="false">IF(OR(F1381="",G1381=""),"",IF(G1381&lt;='RETRATO 2027'!$K$5,"CONCLUÍDA",IF(F1381&lt;='RETRATO 2027'!$K$5,"EM ANDAMENTO","A INICIAR")))</f>
        <v>A INICIAR</v>
      </c>
    </row>
    <row r="1382" customFormat="false" ht="15" hidden="false" customHeight="false" outlineLevel="0" collapsed="false">
      <c r="B1382" s="4" t="n">
        <v>30214083</v>
      </c>
      <c r="C1382" s="4" t="s">
        <v>2514</v>
      </c>
      <c r="D1382" s="4" t="s">
        <v>463</v>
      </c>
      <c r="E1382" s="4" t="s">
        <v>2825</v>
      </c>
      <c r="F1382" s="127" t="n">
        <v>46840</v>
      </c>
      <c r="G1382" s="127" t="n">
        <v>46853</v>
      </c>
      <c r="H1382" s="127" t="n">
        <v>46289</v>
      </c>
      <c r="I1382" s="4" t="n">
        <v>0</v>
      </c>
      <c r="J1382" s="4" t="n">
        <v>0</v>
      </c>
      <c r="K1382" s="4" t="n">
        <v>0</v>
      </c>
      <c r="M1382" s="2" t="str">
        <f aca="false">IF(C1382="","",IFERROR(INDEX($S$5:$S$304,MATCH(C1382,$R$5:$R$304,0))&amp;"","?"))</f>
        <v>20</v>
      </c>
      <c r="N1382" s="2" t="n">
        <f aca="false">IF(E1382="","",IF(ISNUMBER(SEARCH("SUBSOLO",E1382)),IFERROR(-VALUE(LEFT(E1382,FIND("º",SUBSTITUTE(E1382,"°","º"))-1)),-1),IF(LEFT(E1382,6)="TÉRREO",0,IFERROR(VALUE(LEFT(E1382,FIND("º",SUBSTITUTE(E1382,"°","º"))-1)),""))))</f>
        <v>21</v>
      </c>
      <c r="O1382" s="2" t="str">
        <f aca="false">IF(OR(F1382="",G1382=""),"",IF(G1382&lt;='RETRATO 2027'!$K$5,"CONCLUÍDA",IF(F1382&lt;='RETRATO 2027'!$K$5,"EM ANDAMENTO","A INICIAR")))</f>
        <v>A INICIAR</v>
      </c>
    </row>
    <row r="1383" customFormat="false" ht="15" hidden="false" customHeight="false" outlineLevel="0" collapsed="false">
      <c r="B1383" s="4" t="n">
        <v>29980978</v>
      </c>
      <c r="C1383" s="4" t="s">
        <v>2501</v>
      </c>
      <c r="D1383" s="4" t="s">
        <v>463</v>
      </c>
      <c r="E1383" s="4" t="s">
        <v>2827</v>
      </c>
      <c r="F1383" s="127" t="n">
        <v>46840</v>
      </c>
      <c r="G1383" s="127" t="n">
        <v>46850</v>
      </c>
      <c r="H1383" s="127" t="n">
        <v>46289</v>
      </c>
      <c r="I1383" s="4" t="n">
        <v>0</v>
      </c>
      <c r="J1383" s="4" t="n">
        <v>0</v>
      </c>
      <c r="K1383" s="4" t="n">
        <v>0</v>
      </c>
      <c r="M1383" s="2" t="str">
        <f aca="false">IF(C1383="","",IFERROR(INDEX($S$5:$S$304,MATCH(C1383,$R$5:$R$304,0))&amp;"","?"))</f>
        <v>30</v>
      </c>
      <c r="N1383" s="2" t="n">
        <f aca="false">IF(E1383="","",IF(ISNUMBER(SEARCH("SUBSOLO",E1383)),IFERROR(-VALUE(LEFT(E1383,FIND("º",SUBSTITUTE(E1383,"°","º"))-1)),-1),IF(LEFT(E1383,6)="TÉRREO",0,IFERROR(VALUE(LEFT(E1383,FIND("º",SUBSTITUTE(E1383,"°","º"))-1)),""))))</f>
        <v>22</v>
      </c>
      <c r="O1383" s="2" t="str">
        <f aca="false">IF(OR(F1383="",G1383=""),"",IF(G1383&lt;='RETRATO 2027'!$K$5,"CONCLUÍDA",IF(F1383&lt;='RETRATO 2027'!$K$5,"EM ANDAMENTO","A INICIAR")))</f>
        <v>A INICIAR</v>
      </c>
    </row>
    <row r="1384" customFormat="false" ht="15" hidden="false" customHeight="false" outlineLevel="0" collapsed="false">
      <c r="B1384" s="4" t="n">
        <v>29980940</v>
      </c>
      <c r="C1384" s="4" t="s">
        <v>2486</v>
      </c>
      <c r="D1384" s="4" t="s">
        <v>463</v>
      </c>
      <c r="E1384" s="4" t="s">
        <v>2829</v>
      </c>
      <c r="F1384" s="127" t="n">
        <v>46840</v>
      </c>
      <c r="G1384" s="127" t="n">
        <v>46850</v>
      </c>
      <c r="H1384" s="127" t="n">
        <v>46289</v>
      </c>
      <c r="I1384" s="4" t="n">
        <v>0</v>
      </c>
      <c r="J1384" s="4" t="n">
        <v>0</v>
      </c>
      <c r="K1384" s="4" t="n">
        <v>0</v>
      </c>
      <c r="M1384" s="2" t="str">
        <f aca="false">IF(C1384="","",IFERROR(INDEX($S$5:$S$304,MATCH(C1384,$R$5:$R$304,0))&amp;"","?"))</f>
        <v>30</v>
      </c>
      <c r="N1384" s="2" t="n">
        <f aca="false">IF(E1384="","",IF(ISNUMBER(SEARCH("SUBSOLO",E1384)),IFERROR(-VALUE(LEFT(E1384,FIND("º",SUBSTITUTE(E1384,"°","º"))-1)),-1),IF(LEFT(E1384,6)="TÉRREO",0,IFERROR(VALUE(LEFT(E1384,FIND("º",SUBSTITUTE(E1384,"°","º"))-1)),""))))</f>
        <v>23</v>
      </c>
      <c r="O1384" s="2" t="str">
        <f aca="false">IF(OR(F1384="",G1384=""),"",IF(G1384&lt;='RETRATO 2027'!$K$5,"CONCLUÍDA",IF(F1384&lt;='RETRATO 2027'!$K$5,"EM ANDAMENTO","A INICIAR")))</f>
        <v>A INICIAR</v>
      </c>
    </row>
    <row r="1385" customFormat="false" ht="15" hidden="false" customHeight="false" outlineLevel="0" collapsed="false">
      <c r="B1385" s="4" t="n">
        <v>29980919</v>
      </c>
      <c r="C1385" s="4" t="s">
        <v>2480</v>
      </c>
      <c r="D1385" s="4" t="s">
        <v>463</v>
      </c>
      <c r="E1385" s="4" t="s">
        <v>2831</v>
      </c>
      <c r="F1385" s="127" t="n">
        <v>46840</v>
      </c>
      <c r="G1385" s="127" t="n">
        <v>46850</v>
      </c>
      <c r="H1385" s="127" t="n">
        <v>46289</v>
      </c>
      <c r="I1385" s="4" t="n">
        <v>0</v>
      </c>
      <c r="J1385" s="4" t="n">
        <v>0</v>
      </c>
      <c r="K1385" s="4" t="n">
        <v>0</v>
      </c>
      <c r="M1385" s="2" t="str">
        <f aca="false">IF(C1385="","",IFERROR(INDEX($S$5:$S$304,MATCH(C1385,$R$5:$R$304,0))&amp;"","?"))</f>
        <v>30</v>
      </c>
      <c r="N1385" s="2" t="n">
        <f aca="false">IF(E1385="","",IF(ISNUMBER(SEARCH("SUBSOLO",E1385)),IFERROR(-VALUE(LEFT(E1385,FIND("º",SUBSTITUTE(E1385,"°","º"))-1)),-1),IF(LEFT(E1385,6)="TÉRREO",0,IFERROR(VALUE(LEFT(E1385,FIND("º",SUBSTITUTE(E1385,"°","º"))-1)),""))))</f>
        <v>24</v>
      </c>
      <c r="O1385" s="2" t="str">
        <f aca="false">IF(OR(F1385="",G1385=""),"",IF(G1385&lt;='RETRATO 2027'!$K$5,"CONCLUÍDA",IF(F1385&lt;='RETRATO 2027'!$K$5,"EM ANDAMENTO","A INICIAR")))</f>
        <v>A INICIAR</v>
      </c>
    </row>
    <row r="1386" customFormat="false" ht="15" hidden="false" customHeight="false" outlineLevel="0" collapsed="false">
      <c r="B1386" s="4" t="n">
        <v>29980880</v>
      </c>
      <c r="C1386" s="4" t="s">
        <v>171</v>
      </c>
      <c r="D1386" s="4" t="s">
        <v>463</v>
      </c>
      <c r="E1386" s="4" t="s">
        <v>2833</v>
      </c>
      <c r="F1386" s="127" t="n">
        <v>46840</v>
      </c>
      <c r="G1386" s="127" t="n">
        <v>46850</v>
      </c>
      <c r="H1386" s="127" t="n">
        <v>46289</v>
      </c>
      <c r="I1386" s="4" t="n">
        <v>0</v>
      </c>
      <c r="J1386" s="4" t="n">
        <v>0</v>
      </c>
      <c r="K1386" s="4" t="n">
        <v>0</v>
      </c>
      <c r="M1386" s="2" t="str">
        <f aca="false">IF(C1386="","",IFERROR(INDEX($S$5:$S$304,MATCH(C1386,$R$5:$R$304,0))&amp;"","?"))</f>
        <v>19</v>
      </c>
      <c r="N1386" s="2" t="n">
        <f aca="false">IF(E1386="","",IF(ISNUMBER(SEARCH("SUBSOLO",E1386)),IFERROR(-VALUE(LEFT(E1386,FIND("º",SUBSTITUTE(E1386,"°","º"))-1)),-1),IF(LEFT(E1386,6)="TÉRREO",0,IFERROR(VALUE(LEFT(E1386,FIND("º",SUBSTITUTE(E1386,"°","º"))-1)),""))))</f>
        <v>25</v>
      </c>
      <c r="O1386" s="2" t="str">
        <f aca="false">IF(OR(F1386="",G1386=""),"",IF(G1386&lt;='RETRATO 2027'!$K$5,"CONCLUÍDA",IF(F1386&lt;='RETRATO 2027'!$K$5,"EM ANDAMENTO","A INICIAR")))</f>
        <v>A INICIAR</v>
      </c>
    </row>
    <row r="1387" customFormat="false" ht="15" hidden="false" customHeight="false" outlineLevel="0" collapsed="false">
      <c r="B1387" s="4" t="n">
        <v>32750452</v>
      </c>
      <c r="C1387" s="4" t="s">
        <v>2470</v>
      </c>
      <c r="D1387" s="4" t="s">
        <v>463</v>
      </c>
      <c r="E1387" s="4" t="s">
        <v>2834</v>
      </c>
      <c r="F1387" s="127" t="n">
        <v>46840</v>
      </c>
      <c r="G1387" s="127" t="n">
        <v>46850</v>
      </c>
      <c r="H1387" s="127" t="n">
        <v>46289</v>
      </c>
      <c r="I1387" s="4" t="n">
        <v>0</v>
      </c>
      <c r="J1387" s="4" t="n">
        <v>0</v>
      </c>
      <c r="K1387" s="4" t="n">
        <v>0</v>
      </c>
      <c r="M1387" s="2" t="str">
        <f aca="false">IF(C1387="","",IFERROR(INDEX($S$5:$S$304,MATCH(C1387,$R$5:$R$304,0))&amp;"","?"))</f>
        <v>18</v>
      </c>
      <c r="N1387" s="2" t="n">
        <f aca="false">IF(E1387="","",IF(ISNUMBER(SEARCH("SUBSOLO",E1387)),IFERROR(-VALUE(LEFT(E1387,FIND("º",SUBSTITUTE(E1387,"°","º"))-1)),-1),IF(LEFT(E1387,6)="TÉRREO",0,IFERROR(VALUE(LEFT(E1387,FIND("º",SUBSTITUTE(E1387,"°","º"))-1)),""))))</f>
        <v>26</v>
      </c>
      <c r="O1387" s="2" t="str">
        <f aca="false">IF(OR(F1387="",G1387=""),"",IF(G1387&lt;='RETRATO 2027'!$K$5,"CONCLUÍDA",IF(F1387&lt;='RETRATO 2027'!$K$5,"EM ANDAMENTO","A INICIAR")))</f>
        <v>A INICIAR</v>
      </c>
    </row>
    <row r="1388" customFormat="false" ht="15" hidden="false" customHeight="false" outlineLevel="0" collapsed="false">
      <c r="B1388" s="4" t="n">
        <v>32750375</v>
      </c>
      <c r="C1388" s="4" t="s">
        <v>2458</v>
      </c>
      <c r="D1388" s="4" t="s">
        <v>463</v>
      </c>
      <c r="E1388" s="4" t="s">
        <v>2838</v>
      </c>
      <c r="F1388" s="127" t="n">
        <v>46840</v>
      </c>
      <c r="G1388" s="127" t="n">
        <v>46850</v>
      </c>
      <c r="H1388" s="127" t="n">
        <v>46289</v>
      </c>
      <c r="I1388" s="4" t="n">
        <v>0</v>
      </c>
      <c r="J1388" s="4" t="n">
        <v>0</v>
      </c>
      <c r="K1388" s="4" t="n">
        <v>0</v>
      </c>
      <c r="M1388" s="2" t="str">
        <f aca="false">IF(C1388="","",IFERROR(INDEX($S$5:$S$304,MATCH(C1388,$R$5:$R$304,0))&amp;"","?"))</f>
        <v>21</v>
      </c>
      <c r="N1388" s="2" t="n">
        <f aca="false">IF(E1388="","",IF(ISNUMBER(SEARCH("SUBSOLO",E1388)),IFERROR(-VALUE(LEFT(E1388,FIND("º",SUBSTITUTE(E1388,"°","º"))-1)),-1),IF(LEFT(E1388,6)="TÉRREO",0,IFERROR(VALUE(LEFT(E1388,FIND("º",SUBSTITUTE(E1388,"°","º"))-1)),""))))</f>
        <v>27</v>
      </c>
      <c r="O1388" s="2" t="str">
        <f aca="false">IF(OR(F1388="",G1388=""),"",IF(G1388&lt;='RETRATO 2027'!$K$5,"CONCLUÍDA",IF(F1388&lt;='RETRATO 2027'!$K$5,"EM ANDAMENTO","A INICIAR")))</f>
        <v>A INICIAR</v>
      </c>
    </row>
    <row r="1389" customFormat="false" ht="15" hidden="false" customHeight="false" outlineLevel="0" collapsed="false">
      <c r="B1389" s="4" t="n">
        <v>32750401</v>
      </c>
      <c r="C1389" s="4" t="s">
        <v>2461</v>
      </c>
      <c r="D1389" s="4" t="s">
        <v>463</v>
      </c>
      <c r="E1389" s="4" t="s">
        <v>2838</v>
      </c>
      <c r="F1389" s="127" t="n">
        <v>46840</v>
      </c>
      <c r="G1389" s="127" t="n">
        <v>46850</v>
      </c>
      <c r="H1389" s="127" t="n">
        <v>46289</v>
      </c>
      <c r="I1389" s="4" t="n">
        <v>0</v>
      </c>
      <c r="J1389" s="4" t="n">
        <v>0</v>
      </c>
      <c r="K1389" s="4" t="n">
        <v>0</v>
      </c>
      <c r="M1389" s="2" t="str">
        <f aca="false">IF(C1389="","",IFERROR(INDEX($S$5:$S$304,MATCH(C1389,$R$5:$R$304,0))&amp;"","?"))</f>
        <v>20</v>
      </c>
      <c r="N1389" s="2" t="n">
        <f aca="false">IF(E1389="","",IF(ISNUMBER(SEARCH("SUBSOLO",E1389)),IFERROR(-VALUE(LEFT(E1389,FIND("º",SUBSTITUTE(E1389,"°","º"))-1)),-1),IF(LEFT(E1389,6)="TÉRREO",0,IFERROR(VALUE(LEFT(E1389,FIND("º",SUBSTITUTE(E1389,"°","º"))-1)),""))))</f>
        <v>27</v>
      </c>
      <c r="O1389" s="2" t="str">
        <f aca="false">IF(OR(F1389="",G1389=""),"",IF(G1389&lt;='RETRATO 2027'!$K$5,"CONCLUÍDA",IF(F1389&lt;='RETRATO 2027'!$K$5,"EM ANDAMENTO","A INICIAR")))</f>
        <v>A INICIAR</v>
      </c>
    </row>
    <row r="1390" customFormat="false" ht="15" hidden="false" customHeight="false" outlineLevel="0" collapsed="false">
      <c r="B1390" s="4" t="n">
        <v>32750427</v>
      </c>
      <c r="C1390" s="4" t="s">
        <v>2464</v>
      </c>
      <c r="D1390" s="4" t="s">
        <v>463</v>
      </c>
      <c r="E1390" s="4" t="s">
        <v>2838</v>
      </c>
      <c r="F1390" s="127" t="n">
        <v>46840</v>
      </c>
      <c r="G1390" s="127" t="n">
        <v>46850</v>
      </c>
      <c r="H1390" s="127" t="n">
        <v>46289</v>
      </c>
      <c r="I1390" s="4" t="n">
        <v>0</v>
      </c>
      <c r="J1390" s="4" t="n">
        <v>0</v>
      </c>
      <c r="K1390" s="4" t="n">
        <v>0</v>
      </c>
      <c r="M1390" s="2" t="str">
        <f aca="false">IF(C1390="","",IFERROR(INDEX($S$5:$S$304,MATCH(C1390,$R$5:$R$304,0))&amp;"","?"))</f>
        <v>21</v>
      </c>
      <c r="N1390" s="2" t="n">
        <f aca="false">IF(E1390="","",IF(ISNUMBER(SEARCH("SUBSOLO",E1390)),IFERROR(-VALUE(LEFT(E1390,FIND("º",SUBSTITUTE(E1390,"°","º"))-1)),-1),IF(LEFT(E1390,6)="TÉRREO",0,IFERROR(VALUE(LEFT(E1390,FIND("º",SUBSTITUTE(E1390,"°","º"))-1)),""))))</f>
        <v>27</v>
      </c>
      <c r="O1390" s="2" t="str">
        <f aca="false">IF(OR(F1390="",G1390=""),"",IF(G1390&lt;='RETRATO 2027'!$K$5,"CONCLUÍDA",IF(F1390&lt;='RETRATO 2027'!$K$5,"EM ANDAMENTO","A INICIAR")))</f>
        <v>A INICIAR</v>
      </c>
    </row>
    <row r="1391" customFormat="false" ht="15" hidden="false" customHeight="false" outlineLevel="0" collapsed="false">
      <c r="B1391" s="4" t="n">
        <v>33896845</v>
      </c>
      <c r="C1391" s="4" t="s">
        <v>2467</v>
      </c>
      <c r="D1391" s="4" t="s">
        <v>463</v>
      </c>
      <c r="E1391" s="4" t="s">
        <v>2838</v>
      </c>
      <c r="F1391" s="127" t="n">
        <v>46840</v>
      </c>
      <c r="G1391" s="127" t="n">
        <v>46850</v>
      </c>
      <c r="H1391" s="127" t="n">
        <v>46289</v>
      </c>
      <c r="I1391" s="4" t="n">
        <v>0</v>
      </c>
      <c r="J1391" s="4" t="n">
        <v>0</v>
      </c>
      <c r="K1391" s="4" t="n">
        <v>0</v>
      </c>
      <c r="M1391" s="2" t="str">
        <f aca="false">IF(C1391="","",IFERROR(INDEX($S$5:$S$304,MATCH(C1391,$R$5:$R$304,0))&amp;"","?"))</f>
        <v>23</v>
      </c>
      <c r="N1391" s="2" t="n">
        <f aca="false">IF(E1391="","",IF(ISNUMBER(SEARCH("SUBSOLO",E1391)),IFERROR(-VALUE(LEFT(E1391,FIND("º",SUBSTITUTE(E1391,"°","º"))-1)),-1),IF(LEFT(E1391,6)="TÉRREO",0,IFERROR(VALUE(LEFT(E1391,FIND("º",SUBSTITUTE(E1391,"°","º"))-1)),""))))</f>
        <v>27</v>
      </c>
      <c r="O1391" s="2" t="str">
        <f aca="false">IF(OR(F1391="",G1391=""),"",IF(G1391&lt;='RETRATO 2027'!$K$5,"CONCLUÍDA",IF(F1391&lt;='RETRATO 2027'!$K$5,"EM ANDAMENTO","A INICIAR")))</f>
        <v>A INICIAR</v>
      </c>
    </row>
    <row r="1392" customFormat="false" ht="15" hidden="false" customHeight="false" outlineLevel="0" collapsed="false">
      <c r="B1392" s="4" t="n">
        <v>32749871</v>
      </c>
      <c r="C1392" s="4" t="s">
        <v>2455</v>
      </c>
      <c r="D1392" s="4" t="s">
        <v>463</v>
      </c>
      <c r="E1392" s="4" t="s">
        <v>2840</v>
      </c>
      <c r="F1392" s="127" t="n">
        <v>46840</v>
      </c>
      <c r="G1392" s="127" t="n">
        <v>46850</v>
      </c>
      <c r="H1392" s="127" t="n">
        <v>46289</v>
      </c>
      <c r="I1392" s="4" t="n">
        <v>0</v>
      </c>
      <c r="J1392" s="4" t="n">
        <v>0</v>
      </c>
      <c r="K1392" s="4" t="n">
        <v>0</v>
      </c>
      <c r="M1392" s="2" t="str">
        <f aca="false">IF(C1392="","",IFERROR(INDEX($S$5:$S$304,MATCH(C1392,$R$5:$R$304,0))&amp;"","?"))</f>
        <v>18</v>
      </c>
      <c r="N1392" s="2" t="n">
        <f aca="false">IF(E1392="","",IF(ISNUMBER(SEARCH("SUBSOLO",E1392)),IFERROR(-VALUE(LEFT(E1392,FIND("º",SUBSTITUTE(E1392,"°","º"))-1)),-1),IF(LEFT(E1392,6)="TÉRREO",0,IFERROR(VALUE(LEFT(E1392,FIND("º",SUBSTITUTE(E1392,"°","º"))-1)),""))))</f>
        <v>28</v>
      </c>
      <c r="O1392" s="2" t="str">
        <f aca="false">IF(OR(F1392="",G1392=""),"",IF(G1392&lt;='RETRATO 2027'!$K$5,"CONCLUÍDA",IF(F1392&lt;='RETRATO 2027'!$K$5,"EM ANDAMENTO","A INICIAR")))</f>
        <v>A INICIAR</v>
      </c>
    </row>
    <row r="1393" customFormat="false" ht="15" hidden="false" customHeight="false" outlineLevel="0" collapsed="false">
      <c r="B1393" s="4" t="n">
        <v>29980733</v>
      </c>
      <c r="C1393" s="4" t="s">
        <v>2449</v>
      </c>
      <c r="D1393" s="4" t="s">
        <v>463</v>
      </c>
      <c r="E1393" s="4" t="s">
        <v>2841</v>
      </c>
      <c r="F1393" s="127" t="n">
        <v>46840</v>
      </c>
      <c r="G1393" s="127" t="n">
        <v>46850</v>
      </c>
      <c r="H1393" s="127" t="n">
        <v>46289</v>
      </c>
      <c r="I1393" s="4" t="n">
        <v>0</v>
      </c>
      <c r="J1393" s="4" t="n">
        <v>0</v>
      </c>
      <c r="K1393" s="4" t="n">
        <v>0</v>
      </c>
      <c r="M1393" s="2" t="str">
        <f aca="false">IF(C1393="","",IFERROR(INDEX($S$5:$S$304,MATCH(C1393,$R$5:$R$304,0))&amp;"","?"))</f>
        <v>28</v>
      </c>
      <c r="N1393" s="2" t="n">
        <f aca="false">IF(E1393="","",IF(ISNUMBER(SEARCH("SUBSOLO",E1393)),IFERROR(-VALUE(LEFT(E1393,FIND("º",SUBSTITUTE(E1393,"°","º"))-1)),-1),IF(LEFT(E1393,6)="TÉRREO",0,IFERROR(VALUE(LEFT(E1393,FIND("º",SUBSTITUTE(E1393,"°","º"))-1)),""))))</f>
        <v>29</v>
      </c>
      <c r="O1393" s="2" t="str">
        <f aca="false">IF(OR(F1393="",G1393=""),"",IF(G1393&lt;='RETRATO 2027'!$K$5,"CONCLUÍDA",IF(F1393&lt;='RETRATO 2027'!$K$5,"EM ANDAMENTO","A INICIAR")))</f>
        <v>A INICIAR</v>
      </c>
    </row>
    <row r="1394" customFormat="false" ht="15" hidden="false" customHeight="false" outlineLevel="0" collapsed="false">
      <c r="B1394" s="4" t="n">
        <v>29980673</v>
      </c>
      <c r="C1394" s="4" t="s">
        <v>2440</v>
      </c>
      <c r="D1394" s="4" t="s">
        <v>463</v>
      </c>
      <c r="E1394" s="4" t="s">
        <v>2842</v>
      </c>
      <c r="F1394" s="127" t="n">
        <v>46840</v>
      </c>
      <c r="G1394" s="127" t="n">
        <v>46850</v>
      </c>
      <c r="H1394" s="127" t="n">
        <v>46289</v>
      </c>
      <c r="I1394" s="4" t="n">
        <v>0</v>
      </c>
      <c r="J1394" s="4" t="n">
        <v>0</v>
      </c>
      <c r="K1394" s="4" t="n">
        <v>0</v>
      </c>
      <c r="M1394" s="2" t="str">
        <f aca="false">IF(C1394="","",IFERROR(INDEX($S$5:$S$304,MATCH(C1394,$R$5:$R$304,0))&amp;"","?"))</f>
        <v>21</v>
      </c>
      <c r="N1394" s="2" t="n">
        <f aca="false">IF(E1394="","",IF(ISNUMBER(SEARCH("SUBSOLO",E1394)),IFERROR(-VALUE(LEFT(E1394,FIND("º",SUBSTITUTE(E1394,"°","º"))-1)),-1),IF(LEFT(E1394,6)="TÉRREO",0,IFERROR(VALUE(LEFT(E1394,FIND("º",SUBSTITUTE(E1394,"°","º"))-1)),""))))</f>
        <v>30</v>
      </c>
      <c r="O1394" s="2" t="str">
        <f aca="false">IF(OR(F1394="",G1394=""),"",IF(G1394&lt;='RETRATO 2027'!$K$5,"CONCLUÍDA",IF(F1394&lt;='RETRATO 2027'!$K$5,"EM ANDAMENTO","A INICIAR")))</f>
        <v>A INICIAR</v>
      </c>
    </row>
    <row r="1395" customFormat="false" ht="15" hidden="false" customHeight="false" outlineLevel="0" collapsed="false">
      <c r="B1395" s="4" t="n">
        <v>29980706</v>
      </c>
      <c r="C1395" s="4" t="s">
        <v>2443</v>
      </c>
      <c r="D1395" s="4" t="s">
        <v>463</v>
      </c>
      <c r="E1395" s="4" t="s">
        <v>2842</v>
      </c>
      <c r="F1395" s="127" t="n">
        <v>46840</v>
      </c>
      <c r="G1395" s="127" t="n">
        <v>46850</v>
      </c>
      <c r="H1395" s="127" t="n">
        <v>46289</v>
      </c>
      <c r="I1395" s="4" t="n">
        <v>0</v>
      </c>
      <c r="J1395" s="4" t="n">
        <v>0</v>
      </c>
      <c r="K1395" s="4" t="n">
        <v>0</v>
      </c>
      <c r="M1395" s="2" t="str">
        <f aca="false">IF(C1395="","",IFERROR(INDEX($S$5:$S$304,MATCH(C1395,$R$5:$R$304,0))&amp;"","?"))</f>
        <v>20</v>
      </c>
      <c r="N1395" s="2" t="n">
        <f aca="false">IF(E1395="","",IF(ISNUMBER(SEARCH("SUBSOLO",E1395)),IFERROR(-VALUE(LEFT(E1395,FIND("º",SUBSTITUTE(E1395,"°","º"))-1)),-1),IF(LEFT(E1395,6)="TÉRREO",0,IFERROR(VALUE(LEFT(E1395,FIND("º",SUBSTITUTE(E1395,"°","º"))-1)),""))))</f>
        <v>30</v>
      </c>
      <c r="O1395" s="2" t="str">
        <f aca="false">IF(OR(F1395="",G1395=""),"",IF(G1395&lt;='RETRATO 2027'!$K$5,"CONCLUÍDA",IF(F1395&lt;='RETRATO 2027'!$K$5,"EM ANDAMENTO","A INICIAR")))</f>
        <v>A INICIAR</v>
      </c>
    </row>
    <row r="1396" customFormat="false" ht="15" hidden="false" customHeight="false" outlineLevel="0" collapsed="false">
      <c r="B1396" s="4" t="n">
        <v>29980635</v>
      </c>
      <c r="C1396" s="4" t="s">
        <v>2437</v>
      </c>
      <c r="D1396" s="4" t="s">
        <v>463</v>
      </c>
      <c r="E1396" s="4" t="s">
        <v>2843</v>
      </c>
      <c r="F1396" s="127" t="n">
        <v>46840</v>
      </c>
      <c r="G1396" s="127" t="n">
        <v>46850</v>
      </c>
      <c r="H1396" s="127" t="n">
        <v>46289</v>
      </c>
      <c r="I1396" s="4" t="n">
        <v>0</v>
      </c>
      <c r="J1396" s="4" t="n">
        <v>0</v>
      </c>
      <c r="K1396" s="4" t="n">
        <v>0</v>
      </c>
      <c r="M1396" s="2" t="str">
        <f aca="false">IF(C1396="","",IFERROR(INDEX($S$5:$S$304,MATCH(C1396,$R$5:$R$304,0))&amp;"","?"))</f>
        <v>29</v>
      </c>
      <c r="N1396" s="2" t="n">
        <f aca="false">IF(E1396="","",IF(ISNUMBER(SEARCH("SUBSOLO",E1396)),IFERROR(-VALUE(LEFT(E1396,FIND("º",SUBSTITUTE(E1396,"°","º"))-1)),-1),IF(LEFT(E1396,6)="TÉRREO",0,IFERROR(VALUE(LEFT(E1396,FIND("º",SUBSTITUTE(E1396,"°","º"))-1)),""))))</f>
        <v>31</v>
      </c>
      <c r="O1396" s="2" t="str">
        <f aca="false">IF(OR(F1396="",G1396=""),"",IF(G1396&lt;='RETRATO 2027'!$K$5,"CONCLUÍDA",IF(F1396&lt;='RETRATO 2027'!$K$5,"EM ANDAMENTO","A INICIAR")))</f>
        <v>A INICIAR</v>
      </c>
    </row>
    <row r="1397" customFormat="false" ht="15" hidden="false" customHeight="false" outlineLevel="0" collapsed="false">
      <c r="B1397" s="4" t="n">
        <v>29980601</v>
      </c>
      <c r="C1397" s="4" t="s">
        <v>2434</v>
      </c>
      <c r="D1397" s="4" t="s">
        <v>463</v>
      </c>
      <c r="E1397" s="4" t="s">
        <v>2844</v>
      </c>
      <c r="F1397" s="127" t="n">
        <v>46840</v>
      </c>
      <c r="G1397" s="127" t="n">
        <v>46850</v>
      </c>
      <c r="H1397" s="127" t="n">
        <v>46289</v>
      </c>
      <c r="I1397" s="4" t="n">
        <v>0</v>
      </c>
      <c r="J1397" s="4" t="n">
        <v>0</v>
      </c>
      <c r="K1397" s="4" t="n">
        <v>0</v>
      </c>
      <c r="M1397" s="2" t="str">
        <f aca="false">IF(C1397="","",IFERROR(INDEX($S$5:$S$304,MATCH(C1397,$R$5:$R$304,0))&amp;"","?"))</f>
        <v>25</v>
      </c>
      <c r="N1397" s="2" t="n">
        <f aca="false">IF(E1397="","",IF(ISNUMBER(SEARCH("SUBSOLO",E1397)),IFERROR(-VALUE(LEFT(E1397,FIND("º",SUBSTITUTE(E1397,"°","º"))-1)),-1),IF(LEFT(E1397,6)="TÉRREO",0,IFERROR(VALUE(LEFT(E1397,FIND("º",SUBSTITUTE(E1397,"°","º"))-1)),""))))</f>
        <v>32</v>
      </c>
      <c r="O1397" s="2" t="str">
        <f aca="false">IF(OR(F1397="",G1397=""),"",IF(G1397&lt;='RETRATO 2027'!$K$5,"CONCLUÍDA",IF(F1397&lt;='RETRATO 2027'!$K$5,"EM ANDAMENTO","A INICIAR")))</f>
        <v>A INICIAR</v>
      </c>
    </row>
    <row r="1398" customFormat="false" ht="15" hidden="false" customHeight="false" outlineLevel="0" collapsed="false">
      <c r="B1398" s="4" t="n">
        <v>30211208</v>
      </c>
      <c r="C1398" s="4" t="s">
        <v>2505</v>
      </c>
      <c r="D1398" s="4" t="s">
        <v>463</v>
      </c>
      <c r="E1398" s="4" t="s">
        <v>2853</v>
      </c>
      <c r="F1398" s="127" t="n">
        <v>46840</v>
      </c>
      <c r="G1398" s="127" t="n">
        <v>46861</v>
      </c>
      <c r="H1398" s="127" t="n">
        <v>46289</v>
      </c>
      <c r="I1398" s="4" t="n">
        <v>0</v>
      </c>
      <c r="J1398" s="4" t="n">
        <v>0</v>
      </c>
      <c r="K1398" s="4" t="n">
        <v>0</v>
      </c>
      <c r="M1398" s="2" t="str">
        <f aca="false">IF(C1398="","",IFERROR(INDEX($S$5:$S$304,MATCH(C1398,$R$5:$R$304,0))&amp;"","?"))</f>
        <v>21</v>
      </c>
      <c r="N1398" s="2" t="n">
        <f aca="false">IF(E1398="","",IF(ISNUMBER(SEARCH("SUBSOLO",E1398)),IFERROR(-VALUE(LEFT(E1398,FIND("º",SUBSTITUTE(E1398,"°","º"))-1)),-1),IF(LEFT(E1398,6)="TÉRREO",0,IFERROR(VALUE(LEFT(E1398,FIND("º",SUBSTITUTE(E1398,"°","º"))-1)),""))))</f>
        <v>34</v>
      </c>
      <c r="O1398" s="2" t="str">
        <f aca="false">IF(OR(F1398="",G1398=""),"",IF(G1398&lt;='RETRATO 2027'!$K$5,"CONCLUÍDA",IF(F1398&lt;='RETRATO 2027'!$K$5,"EM ANDAMENTO","A INICIAR")))</f>
        <v>A INICIAR</v>
      </c>
    </row>
    <row r="1399" customFormat="false" ht="15" hidden="false" customHeight="false" outlineLevel="0" collapsed="false">
      <c r="B1399" s="4" t="n">
        <v>30205690</v>
      </c>
      <c r="C1399" s="4" t="s">
        <v>2578</v>
      </c>
      <c r="D1399" s="4" t="s">
        <v>463</v>
      </c>
      <c r="E1399" s="4" t="s">
        <v>2819</v>
      </c>
      <c r="F1399" s="127" t="n">
        <v>46841</v>
      </c>
      <c r="G1399" s="127" t="n">
        <v>46854</v>
      </c>
      <c r="H1399" s="127" t="n">
        <v>46289</v>
      </c>
      <c r="I1399" s="4" t="n">
        <v>0</v>
      </c>
      <c r="J1399" s="4" t="n">
        <v>0</v>
      </c>
      <c r="K1399" s="4" t="n">
        <v>0</v>
      </c>
      <c r="M1399" s="2" t="str">
        <f aca="false">IF(C1399="","",IFERROR(INDEX($S$5:$S$304,MATCH(C1399,$R$5:$R$304,0))&amp;"","?"))</f>
        <v>25</v>
      </c>
      <c r="N1399" s="2" t="n">
        <f aca="false">IF(E1399="","",IF(ISNUMBER(SEARCH("SUBSOLO",E1399)),IFERROR(-VALUE(LEFT(E1399,FIND("º",SUBSTITUTE(E1399,"°","º"))-1)),-1),IF(LEFT(E1399,6)="TÉRREO",0,IFERROR(VALUE(LEFT(E1399,FIND("º",SUBSTITUTE(E1399,"°","º"))-1)),""))))</f>
        <v>0</v>
      </c>
      <c r="O1399" s="2" t="str">
        <f aca="false">IF(OR(F1399="",G1399=""),"",IF(G1399&lt;='RETRATO 2027'!$K$5,"CONCLUÍDA",IF(F1399&lt;='RETRATO 2027'!$K$5,"EM ANDAMENTO","A INICIAR")))</f>
        <v>A INICIAR</v>
      </c>
    </row>
    <row r="1400" customFormat="false" ht="15" hidden="false" customHeight="false" outlineLevel="0" collapsed="false">
      <c r="B1400" s="4" t="n">
        <v>30205689</v>
      </c>
      <c r="C1400" s="4" t="s">
        <v>2605</v>
      </c>
      <c r="D1400" s="4" t="s">
        <v>463</v>
      </c>
      <c r="E1400" s="4" t="s">
        <v>2819</v>
      </c>
      <c r="F1400" s="127" t="n">
        <v>46841</v>
      </c>
      <c r="G1400" s="127" t="n">
        <v>46854</v>
      </c>
      <c r="H1400" s="127" t="n">
        <v>46289</v>
      </c>
      <c r="I1400" s="4" t="n">
        <v>0</v>
      </c>
      <c r="J1400" s="4" t="n">
        <v>0</v>
      </c>
      <c r="K1400" s="4" t="n">
        <v>0</v>
      </c>
      <c r="M1400" s="2" t="str">
        <f aca="false">IF(C1400="","",IFERROR(INDEX($S$5:$S$304,MATCH(C1400,$R$5:$R$304,0))&amp;"","?"))</f>
        <v>34</v>
      </c>
      <c r="N1400" s="2" t="n">
        <f aca="false">IF(E1400="","",IF(ISNUMBER(SEARCH("SUBSOLO",E1400)),IFERROR(-VALUE(LEFT(E1400,FIND("º",SUBSTITUTE(E1400,"°","º"))-1)),-1),IF(LEFT(E1400,6)="TÉRREO",0,IFERROR(VALUE(LEFT(E1400,FIND("º",SUBSTITUTE(E1400,"°","º"))-1)),""))))</f>
        <v>0</v>
      </c>
      <c r="O1400" s="2" t="str">
        <f aca="false">IF(OR(F1400="",G1400=""),"",IF(G1400&lt;='RETRATO 2027'!$K$5,"CONCLUÍDA",IF(F1400&lt;='RETRATO 2027'!$K$5,"EM ANDAMENTO","A INICIAR")))</f>
        <v>A INICIAR</v>
      </c>
    </row>
    <row r="1401" customFormat="false" ht="15" hidden="false" customHeight="false" outlineLevel="0" collapsed="false">
      <c r="B1401" s="4" t="n">
        <v>30205687</v>
      </c>
      <c r="C1401" s="4" t="s">
        <v>2607</v>
      </c>
      <c r="D1401" s="4" t="s">
        <v>463</v>
      </c>
      <c r="E1401" s="4" t="s">
        <v>2819</v>
      </c>
      <c r="F1401" s="127" t="n">
        <v>46841</v>
      </c>
      <c r="G1401" s="127" t="n">
        <v>46854</v>
      </c>
      <c r="H1401" s="127" t="n">
        <v>46289</v>
      </c>
      <c r="I1401" s="4" t="n">
        <v>0</v>
      </c>
      <c r="J1401" s="4" t="n">
        <v>0</v>
      </c>
      <c r="K1401" s="4" t="n">
        <v>0</v>
      </c>
      <c r="M1401" s="2" t="str">
        <f aca="false">IF(C1401="","",IFERROR(INDEX($S$5:$S$304,MATCH(C1401,$R$5:$R$304,0))&amp;"","?"))</f>
        <v>34</v>
      </c>
      <c r="N1401" s="2" t="n">
        <f aca="false">IF(E1401="","",IF(ISNUMBER(SEARCH("SUBSOLO",E1401)),IFERROR(-VALUE(LEFT(E1401,FIND("º",SUBSTITUTE(E1401,"°","º"))-1)),-1),IF(LEFT(E1401,6)="TÉRREO",0,IFERROR(VALUE(LEFT(E1401,FIND("º",SUBSTITUTE(E1401,"°","º"))-1)),""))))</f>
        <v>0</v>
      </c>
      <c r="O1401" s="2" t="str">
        <f aca="false">IF(OR(F1401="",G1401=""),"",IF(G1401&lt;='RETRATO 2027'!$K$5,"CONCLUÍDA",IF(F1401&lt;='RETRATO 2027'!$K$5,"EM ANDAMENTO","A INICIAR")))</f>
        <v>A INICIAR</v>
      </c>
    </row>
    <row r="1402" customFormat="false" ht="15" hidden="false" customHeight="false" outlineLevel="0" collapsed="false">
      <c r="B1402" s="4" t="n">
        <v>30205672</v>
      </c>
      <c r="C1402" s="4" t="s">
        <v>2554</v>
      </c>
      <c r="D1402" s="4" t="s">
        <v>463</v>
      </c>
      <c r="E1402" s="4" t="s">
        <v>2821</v>
      </c>
      <c r="F1402" s="127" t="n">
        <v>46841</v>
      </c>
      <c r="G1402" s="127" t="n">
        <v>46854</v>
      </c>
      <c r="H1402" s="127" t="n">
        <v>46289</v>
      </c>
      <c r="I1402" s="4" t="n">
        <v>0</v>
      </c>
      <c r="J1402" s="4" t="n">
        <v>0</v>
      </c>
      <c r="K1402" s="4" t="n">
        <v>0</v>
      </c>
      <c r="M1402" s="2" t="str">
        <f aca="false">IF(C1402="","",IFERROR(INDEX($S$5:$S$304,MATCH(C1402,$R$5:$R$304,0))&amp;"","?"))</f>
        <v>35</v>
      </c>
      <c r="N1402" s="2" t="n">
        <f aca="false">IF(E1402="","",IF(ISNUMBER(SEARCH("SUBSOLO",E1402)),IFERROR(-VALUE(LEFT(E1402,FIND("º",SUBSTITUTE(E1402,"°","º"))-1)),-1),IF(LEFT(E1402,6)="TÉRREO",0,IFERROR(VALUE(LEFT(E1402,FIND("º",SUBSTITUTE(E1402,"°","º"))-1)),""))))</f>
        <v>0</v>
      </c>
      <c r="O1402" s="2" t="str">
        <f aca="false">IF(OR(F1402="",G1402=""),"",IF(G1402&lt;='RETRATO 2027'!$K$5,"CONCLUÍDA",IF(F1402&lt;='RETRATO 2027'!$K$5,"EM ANDAMENTO","A INICIAR")))</f>
        <v>A INICIAR</v>
      </c>
    </row>
    <row r="1403" customFormat="false" ht="15" hidden="false" customHeight="false" outlineLevel="0" collapsed="false">
      <c r="B1403" s="4" t="n">
        <v>30210378</v>
      </c>
      <c r="C1403" s="4" t="s">
        <v>2627</v>
      </c>
      <c r="D1403" s="4" t="s">
        <v>463</v>
      </c>
      <c r="E1403" s="4" t="s">
        <v>2853</v>
      </c>
      <c r="F1403" s="127" t="n">
        <v>46841</v>
      </c>
      <c r="G1403" s="127" t="n">
        <v>46847</v>
      </c>
      <c r="H1403" s="127" t="n">
        <v>46289</v>
      </c>
      <c r="I1403" s="4" t="n">
        <v>0</v>
      </c>
      <c r="J1403" s="4" t="n">
        <v>0</v>
      </c>
      <c r="K1403" s="4" t="n">
        <v>0</v>
      </c>
      <c r="M1403" s="2" t="str">
        <f aca="false">IF(C1403="","",IFERROR(INDEX($S$5:$S$304,MATCH(C1403,$R$5:$R$304,0))&amp;"","?"))</f>
        <v>26</v>
      </c>
      <c r="N1403" s="2" t="n">
        <f aca="false">IF(E1403="","",IF(ISNUMBER(SEARCH("SUBSOLO",E1403)),IFERROR(-VALUE(LEFT(E1403,FIND("º",SUBSTITUTE(E1403,"°","º"))-1)),-1),IF(LEFT(E1403,6)="TÉRREO",0,IFERROR(VALUE(LEFT(E1403,FIND("º",SUBSTITUTE(E1403,"°","º"))-1)),""))))</f>
        <v>34</v>
      </c>
      <c r="O1403" s="2" t="str">
        <f aca="false">IF(OR(F1403="",G1403=""),"",IF(G1403&lt;='RETRATO 2027'!$K$5,"CONCLUÍDA",IF(F1403&lt;='RETRATO 2027'!$K$5,"EM ANDAMENTO","A INICIAR")))</f>
        <v>A INICIAR</v>
      </c>
    </row>
    <row r="1404" customFormat="false" ht="15" hidden="false" customHeight="false" outlineLevel="0" collapsed="false">
      <c r="B1404" s="4" t="n">
        <v>30206100</v>
      </c>
      <c r="C1404" s="4" t="s">
        <v>2440</v>
      </c>
      <c r="D1404" s="4" t="s">
        <v>463</v>
      </c>
      <c r="E1404" s="4" t="s">
        <v>2846</v>
      </c>
      <c r="F1404" s="127" t="n">
        <v>46846</v>
      </c>
      <c r="G1404" s="127" t="n">
        <v>46860</v>
      </c>
      <c r="H1404" s="127" t="n">
        <v>46289</v>
      </c>
      <c r="I1404" s="4" t="n">
        <v>0</v>
      </c>
      <c r="J1404" s="4" t="n">
        <v>0</v>
      </c>
      <c r="K1404" s="4" t="n">
        <v>0</v>
      </c>
      <c r="M1404" s="2" t="str">
        <f aca="false">IF(C1404="","",IFERROR(INDEX($S$5:$S$304,MATCH(C1404,$R$5:$R$304,0))&amp;"","?"))</f>
        <v>21</v>
      </c>
      <c r="N1404" s="2" t="n">
        <f aca="false">IF(E1404="","",IF(ISNUMBER(SEARCH("SUBSOLO",E1404)),IFERROR(-VALUE(LEFT(E1404,FIND("º",SUBSTITUTE(E1404,"°","º"))-1)),-1),IF(LEFT(E1404,6)="TÉRREO",0,IFERROR(VALUE(LEFT(E1404,FIND("º",SUBSTITUTE(E1404,"°","º"))-1)),""))))</f>
        <v>6</v>
      </c>
      <c r="O1404" s="2" t="str">
        <f aca="false">IF(OR(F1404="",G1404=""),"",IF(G1404&lt;='RETRATO 2027'!$K$5,"CONCLUÍDA",IF(F1404&lt;='RETRATO 2027'!$K$5,"EM ANDAMENTO","A INICIAR")))</f>
        <v>A INICIAR</v>
      </c>
    </row>
    <row r="1405" customFormat="false" ht="15" hidden="false" customHeight="false" outlineLevel="0" collapsed="false">
      <c r="B1405" s="4" t="n">
        <v>30206062</v>
      </c>
      <c r="C1405" s="4" t="s">
        <v>2437</v>
      </c>
      <c r="D1405" s="4" t="s">
        <v>463</v>
      </c>
      <c r="E1405" s="4" t="s">
        <v>2847</v>
      </c>
      <c r="F1405" s="127" t="n">
        <v>46846</v>
      </c>
      <c r="G1405" s="127" t="n">
        <v>46860</v>
      </c>
      <c r="H1405" s="127" t="n">
        <v>46289</v>
      </c>
      <c r="I1405" s="4" t="n">
        <v>0</v>
      </c>
      <c r="J1405" s="4" t="n">
        <v>0</v>
      </c>
      <c r="K1405" s="4" t="n">
        <v>0</v>
      </c>
      <c r="M1405" s="2" t="str">
        <f aca="false">IF(C1405="","",IFERROR(INDEX($S$5:$S$304,MATCH(C1405,$R$5:$R$304,0))&amp;"","?"))</f>
        <v>29</v>
      </c>
      <c r="N1405" s="2" t="n">
        <f aca="false">IF(E1405="","",IF(ISNUMBER(SEARCH("SUBSOLO",E1405)),IFERROR(-VALUE(LEFT(E1405,FIND("º",SUBSTITUTE(E1405,"°","º"))-1)),-1),IF(LEFT(E1405,6)="TÉRREO",0,IFERROR(VALUE(LEFT(E1405,FIND("º",SUBSTITUTE(E1405,"°","º"))-1)),""))))</f>
        <v>6</v>
      </c>
      <c r="O1405" s="2" t="str">
        <f aca="false">IF(OR(F1405="",G1405=""),"",IF(G1405&lt;='RETRATO 2027'!$K$5,"CONCLUÍDA",IF(F1405&lt;='RETRATO 2027'!$K$5,"EM ANDAMENTO","A INICIAR")))</f>
        <v>A INICIAR</v>
      </c>
    </row>
    <row r="1406" customFormat="false" ht="15" hidden="false" customHeight="false" outlineLevel="0" collapsed="false">
      <c r="B1406" s="4" t="n">
        <v>30205972</v>
      </c>
      <c r="C1406" s="4" t="s">
        <v>2416</v>
      </c>
      <c r="D1406" s="4" t="s">
        <v>463</v>
      </c>
      <c r="E1406" s="4" t="s">
        <v>2850</v>
      </c>
      <c r="F1406" s="127" t="n">
        <v>46847</v>
      </c>
      <c r="G1406" s="127" t="n">
        <v>46861</v>
      </c>
      <c r="H1406" s="127" t="n">
        <v>46289</v>
      </c>
      <c r="I1406" s="4" t="n">
        <v>0</v>
      </c>
      <c r="J1406" s="4" t="n">
        <v>0</v>
      </c>
      <c r="K1406" s="4" t="n">
        <v>0</v>
      </c>
      <c r="M1406" s="2" t="str">
        <f aca="false">IF(C1406="","",IFERROR(INDEX($S$5:$S$304,MATCH(C1406,$R$5:$R$304,0))&amp;"","?"))</f>
        <v>18</v>
      </c>
      <c r="N1406" s="2" t="n">
        <f aca="false">IF(E1406="","",IF(ISNUMBER(SEARCH("SUBSOLO",E1406)),IFERROR(-VALUE(LEFT(E1406,FIND("º",SUBSTITUTE(E1406,"°","º"))-1)),-1),IF(LEFT(E1406,6)="TÉRREO",0,IFERROR(VALUE(LEFT(E1406,FIND("º",SUBSTITUTE(E1406,"°","º"))-1)),""))))</f>
        <v>6</v>
      </c>
      <c r="O1406" s="2" t="str">
        <f aca="false">IF(OR(F1406="",G1406=""),"",IF(G1406&lt;='RETRATO 2027'!$K$5,"CONCLUÍDA",IF(F1406&lt;='RETRATO 2027'!$K$5,"EM ANDAMENTO","A INICIAR")))</f>
        <v>A INICIAR</v>
      </c>
    </row>
    <row r="1407" customFormat="false" ht="15" hidden="false" customHeight="false" outlineLevel="0" collapsed="false">
      <c r="B1407" s="4" t="n">
        <v>29981111</v>
      </c>
      <c r="C1407" s="4" t="s">
        <v>2410</v>
      </c>
      <c r="D1407" s="4" t="s">
        <v>463</v>
      </c>
      <c r="E1407" s="4" t="s">
        <v>2822</v>
      </c>
      <c r="F1407" s="127" t="n">
        <v>46848</v>
      </c>
      <c r="G1407" s="127" t="n">
        <v>46861</v>
      </c>
      <c r="H1407" s="127" t="n">
        <v>46289</v>
      </c>
      <c r="I1407" s="4" t="n">
        <v>0</v>
      </c>
      <c r="J1407" s="4" t="n">
        <v>0</v>
      </c>
      <c r="K1407" s="4" t="n">
        <v>0</v>
      </c>
      <c r="M1407" s="2" t="str">
        <f aca="false">IF(C1407="","",IFERROR(INDEX($S$5:$S$304,MATCH(C1407,$R$5:$R$304,0))&amp;"","?"))</f>
        <v>22</v>
      </c>
      <c r="N1407" s="2" t="n">
        <f aca="false">IF(E1407="","",IF(ISNUMBER(SEARCH("SUBSOLO",E1407)),IFERROR(-VALUE(LEFT(E1407,FIND("º",SUBSTITUTE(E1407,"°","º"))-1)),-1),IF(LEFT(E1407,6)="TÉRREO",0,IFERROR(VALUE(LEFT(E1407,FIND("º",SUBSTITUTE(E1407,"°","º"))-1)),""))))</f>
        <v>19</v>
      </c>
      <c r="O1407" s="2" t="str">
        <f aca="false">IF(OR(F1407="",G1407=""),"",IF(G1407&lt;='RETRATO 2027'!$K$5,"CONCLUÍDA",IF(F1407&lt;='RETRATO 2027'!$K$5,"EM ANDAMENTO","A INICIAR")))</f>
        <v>A INICIAR</v>
      </c>
    </row>
    <row r="1408" customFormat="false" ht="15" hidden="false" customHeight="false" outlineLevel="0" collapsed="false">
      <c r="B1408" s="4" t="n">
        <v>30205795</v>
      </c>
      <c r="C1408" s="4" t="s">
        <v>216</v>
      </c>
      <c r="D1408" s="4" t="s">
        <v>463</v>
      </c>
      <c r="E1408" s="4" t="s">
        <v>2835</v>
      </c>
      <c r="F1408" s="127" t="n">
        <v>46850</v>
      </c>
      <c r="G1408" s="127" t="n">
        <v>46867</v>
      </c>
      <c r="H1408" s="127" t="n">
        <v>46289</v>
      </c>
      <c r="I1408" s="4" t="n">
        <v>0</v>
      </c>
      <c r="J1408" s="4" t="n">
        <v>0</v>
      </c>
      <c r="K1408" s="4" t="n">
        <v>0</v>
      </c>
      <c r="M1408" s="2" t="str">
        <f aca="false">IF(C1408="","",IFERROR(INDEX($S$5:$S$304,MATCH(C1408,$R$5:$R$304,0))&amp;"","?"))</f>
        <v>33</v>
      </c>
      <c r="N1408" s="2" t="n">
        <f aca="false">IF(E1408="","",IF(ISNUMBER(SEARCH("SUBSOLO",E1408)),IFERROR(-VALUE(LEFT(E1408,FIND("º",SUBSTITUTE(E1408,"°","º"))-1)),-1),IF(LEFT(E1408,6)="TÉRREO",0,IFERROR(VALUE(LEFT(E1408,FIND("º",SUBSTITUTE(E1408,"°","º"))-1)),""))))</f>
        <v>0</v>
      </c>
      <c r="O1408" s="2" t="str">
        <f aca="false">IF(OR(F1408="",G1408=""),"",IF(G1408&lt;='RETRATO 2027'!$K$5,"CONCLUÍDA",IF(F1408&lt;='RETRATO 2027'!$K$5,"EM ANDAMENTO","A INICIAR")))</f>
        <v>A INICIAR</v>
      </c>
    </row>
    <row r="1409" customFormat="false" ht="15" hidden="false" customHeight="false" outlineLevel="0" collapsed="false">
      <c r="B1409" s="4" t="n">
        <v>30205821</v>
      </c>
      <c r="C1409" s="4" t="s">
        <v>2501</v>
      </c>
      <c r="D1409" s="4" t="s">
        <v>463</v>
      </c>
      <c r="E1409" s="4" t="s">
        <v>2839</v>
      </c>
      <c r="F1409" s="127" t="n">
        <v>46850</v>
      </c>
      <c r="G1409" s="127" t="n">
        <v>46867</v>
      </c>
      <c r="H1409" s="127" t="n">
        <v>46289</v>
      </c>
      <c r="I1409" s="4" t="n">
        <v>0</v>
      </c>
      <c r="J1409" s="4" t="n">
        <v>0</v>
      </c>
      <c r="K1409" s="4" t="n">
        <v>0</v>
      </c>
      <c r="M1409" s="2" t="str">
        <f aca="false">IF(C1409="","",IFERROR(INDEX($S$5:$S$304,MATCH(C1409,$R$5:$R$304,0))&amp;"","?"))</f>
        <v>30</v>
      </c>
      <c r="N1409" s="2" t="n">
        <f aca="false">IF(E1409="","",IF(ISNUMBER(SEARCH("SUBSOLO",E1409)),IFERROR(-VALUE(LEFT(E1409,FIND("º",SUBSTITUTE(E1409,"°","º"))-1)),-1),IF(LEFT(E1409,6)="TÉRREO",0,IFERROR(VALUE(LEFT(E1409,FIND("º",SUBSTITUTE(E1409,"°","º"))-1)),""))))</f>
        <v>0</v>
      </c>
      <c r="O1409" s="2" t="str">
        <f aca="false">IF(OR(F1409="",G1409=""),"",IF(G1409&lt;='RETRATO 2027'!$K$5,"CONCLUÍDA",IF(F1409&lt;='RETRATO 2027'!$K$5,"EM ANDAMENTO","A INICIAR")))</f>
        <v>A INICIAR</v>
      </c>
    </row>
    <row r="1410" customFormat="false" ht="15" hidden="false" customHeight="false" outlineLevel="0" collapsed="false">
      <c r="B1410" s="4" t="n">
        <v>29981541</v>
      </c>
      <c r="C1410" s="4" t="s">
        <v>2629</v>
      </c>
      <c r="D1410" s="4" t="s">
        <v>463</v>
      </c>
      <c r="E1410" s="4" t="s">
        <v>2803</v>
      </c>
      <c r="F1410" s="127" t="n">
        <v>46850</v>
      </c>
      <c r="G1410" s="127" t="n">
        <v>46863</v>
      </c>
      <c r="H1410" s="127" t="n">
        <v>46289</v>
      </c>
      <c r="I1410" s="4" t="n">
        <v>0</v>
      </c>
      <c r="J1410" s="4" t="n">
        <v>0</v>
      </c>
      <c r="K1410" s="4" t="n">
        <v>0</v>
      </c>
      <c r="M1410" s="2" t="str">
        <f aca="false">IF(C1410="","",IFERROR(INDEX($S$5:$S$304,MATCH(C1410,$R$5:$R$304,0))&amp;"","?"))</f>
        <v>20</v>
      </c>
      <c r="N1410" s="2" t="n">
        <f aca="false">IF(E1410="","",IF(ISNUMBER(SEARCH("SUBSOLO",E1410)),IFERROR(-VALUE(LEFT(E1410,FIND("º",SUBSTITUTE(E1410,"°","º"))-1)),-1),IF(LEFT(E1410,6)="TÉRREO",0,IFERROR(VALUE(LEFT(E1410,FIND("º",SUBSTITUTE(E1410,"°","º"))-1)),""))))</f>
        <v>7</v>
      </c>
      <c r="O1410" s="2" t="str">
        <f aca="false">IF(OR(F1410="",G1410=""),"",IF(G1410&lt;='RETRATO 2027'!$K$5,"CONCLUÍDA",IF(F1410&lt;='RETRATO 2027'!$K$5,"EM ANDAMENTO","A INICIAR")))</f>
        <v>A INICIAR</v>
      </c>
    </row>
    <row r="1411" customFormat="false" ht="15" hidden="false" customHeight="false" outlineLevel="0" collapsed="false">
      <c r="B1411" s="4" t="n">
        <v>29981501</v>
      </c>
      <c r="C1411" s="4" t="s">
        <v>2623</v>
      </c>
      <c r="D1411" s="4" t="s">
        <v>463</v>
      </c>
      <c r="E1411" s="4" t="s">
        <v>2804</v>
      </c>
      <c r="F1411" s="127" t="n">
        <v>46850</v>
      </c>
      <c r="G1411" s="127" t="n">
        <v>46863</v>
      </c>
      <c r="H1411" s="127" t="n">
        <v>46289</v>
      </c>
      <c r="I1411" s="4" t="n">
        <v>0</v>
      </c>
      <c r="J1411" s="4" t="n">
        <v>0</v>
      </c>
      <c r="K1411" s="4" t="n">
        <v>0</v>
      </c>
      <c r="M1411" s="2" t="str">
        <f aca="false">IF(C1411="","",IFERROR(INDEX($S$5:$S$304,MATCH(C1411,$R$5:$R$304,0))&amp;"","?"))</f>
        <v>35</v>
      </c>
      <c r="N1411" s="2" t="n">
        <f aca="false">IF(E1411="","",IF(ISNUMBER(SEARCH("SUBSOLO",E1411)),IFERROR(-VALUE(LEFT(E1411,FIND("º",SUBSTITUTE(E1411,"°","º"))-1)),-1),IF(LEFT(E1411,6)="TÉRREO",0,IFERROR(VALUE(LEFT(E1411,FIND("º",SUBSTITUTE(E1411,"°","º"))-1)),""))))</f>
        <v>8</v>
      </c>
      <c r="O1411" s="2" t="str">
        <f aca="false">IF(OR(F1411="",G1411=""),"",IF(G1411&lt;='RETRATO 2027'!$K$5,"CONCLUÍDA",IF(F1411&lt;='RETRATO 2027'!$K$5,"EM ANDAMENTO","A INICIAR")))</f>
        <v>A INICIAR</v>
      </c>
    </row>
    <row r="1412" customFormat="false" ht="15" hidden="false" customHeight="false" outlineLevel="0" collapsed="false">
      <c r="B1412" s="4" t="n">
        <v>33919786</v>
      </c>
      <c r="C1412" s="4" t="s">
        <v>2625</v>
      </c>
      <c r="D1412" s="4" t="s">
        <v>463</v>
      </c>
      <c r="E1412" s="4" t="s">
        <v>2804</v>
      </c>
      <c r="F1412" s="127" t="n">
        <v>46850</v>
      </c>
      <c r="G1412" s="127" t="n">
        <v>46863</v>
      </c>
      <c r="H1412" s="127" t="n">
        <v>46289</v>
      </c>
      <c r="I1412" s="4" t="n">
        <v>0</v>
      </c>
      <c r="J1412" s="4" t="n">
        <v>0</v>
      </c>
      <c r="K1412" s="4" t="n">
        <v>0</v>
      </c>
      <c r="M1412" s="2" t="str">
        <f aca="false">IF(C1412="","",IFERROR(INDEX($S$5:$S$304,MATCH(C1412,$R$5:$R$304,0))&amp;"","?"))</f>
        <v>32</v>
      </c>
      <c r="N1412" s="2" t="n">
        <f aca="false">IF(E1412="","",IF(ISNUMBER(SEARCH("SUBSOLO",E1412)),IFERROR(-VALUE(LEFT(E1412,FIND("º",SUBSTITUTE(E1412,"°","º"))-1)),-1),IF(LEFT(E1412,6)="TÉRREO",0,IFERROR(VALUE(LEFT(E1412,FIND("º",SUBSTITUTE(E1412,"°","º"))-1)),""))))</f>
        <v>8</v>
      </c>
      <c r="O1412" s="2" t="str">
        <f aca="false">IF(OR(F1412="",G1412=""),"",IF(G1412&lt;='RETRATO 2027'!$K$5,"CONCLUÍDA",IF(F1412&lt;='RETRATO 2027'!$K$5,"EM ANDAMENTO","A INICIAR")))</f>
        <v>A INICIAR</v>
      </c>
    </row>
    <row r="1413" customFormat="false" ht="15" hidden="false" customHeight="false" outlineLevel="0" collapsed="false">
      <c r="B1413" s="4" t="n">
        <v>29981463</v>
      </c>
      <c r="C1413" s="4" t="s">
        <v>2615</v>
      </c>
      <c r="D1413" s="4" t="s">
        <v>463</v>
      </c>
      <c r="E1413" s="4" t="s">
        <v>2805</v>
      </c>
      <c r="F1413" s="127" t="n">
        <v>46850</v>
      </c>
      <c r="G1413" s="127" t="n">
        <v>46863</v>
      </c>
      <c r="H1413" s="127" t="n">
        <v>46289</v>
      </c>
      <c r="I1413" s="4" t="n">
        <v>0</v>
      </c>
      <c r="J1413" s="4" t="n">
        <v>0</v>
      </c>
      <c r="K1413" s="4" t="n">
        <v>0</v>
      </c>
      <c r="M1413" s="2" t="str">
        <f aca="false">IF(C1413="","",IFERROR(INDEX($S$5:$S$304,MATCH(C1413,$R$5:$R$304,0))&amp;"","?"))</f>
        <v>37</v>
      </c>
      <c r="N1413" s="2" t="n">
        <f aca="false">IF(E1413="","",IF(ISNUMBER(SEARCH("SUBSOLO",E1413)),IFERROR(-VALUE(LEFT(E1413,FIND("º",SUBSTITUTE(E1413,"°","º"))-1)),-1),IF(LEFT(E1413,6)="TÉRREO",0,IFERROR(VALUE(LEFT(E1413,FIND("º",SUBSTITUTE(E1413,"°","º"))-1)),""))))</f>
        <v>9</v>
      </c>
      <c r="O1413" s="2" t="str">
        <f aca="false">IF(OR(F1413="",G1413=""),"",IF(G1413&lt;='RETRATO 2027'!$K$5,"CONCLUÍDA",IF(F1413&lt;='RETRATO 2027'!$K$5,"EM ANDAMENTO","A INICIAR")))</f>
        <v>A INICIAR</v>
      </c>
    </row>
    <row r="1414" customFormat="false" ht="15" hidden="false" customHeight="false" outlineLevel="0" collapsed="false">
      <c r="B1414" s="4" t="n">
        <v>29981420</v>
      </c>
      <c r="C1414" s="4" t="s">
        <v>2605</v>
      </c>
      <c r="D1414" s="4" t="s">
        <v>463</v>
      </c>
      <c r="E1414" s="4" t="s">
        <v>2809</v>
      </c>
      <c r="F1414" s="127" t="n">
        <v>46850</v>
      </c>
      <c r="G1414" s="127" t="n">
        <v>46863</v>
      </c>
      <c r="H1414" s="127" t="n">
        <v>46289</v>
      </c>
      <c r="I1414" s="4" t="n">
        <v>0</v>
      </c>
      <c r="J1414" s="4" t="n">
        <v>0</v>
      </c>
      <c r="K1414" s="4" t="n">
        <v>0</v>
      </c>
      <c r="M1414" s="2" t="str">
        <f aca="false">IF(C1414="","",IFERROR(INDEX($S$5:$S$304,MATCH(C1414,$R$5:$R$304,0))&amp;"","?"))</f>
        <v>34</v>
      </c>
      <c r="N1414" s="2" t="n">
        <f aca="false">IF(E1414="","",IF(ISNUMBER(SEARCH("SUBSOLO",E1414)),IFERROR(-VALUE(LEFT(E1414,FIND("º",SUBSTITUTE(E1414,"°","º"))-1)),-1),IF(LEFT(E1414,6)="TÉRREO",0,IFERROR(VALUE(LEFT(E1414,FIND("º",SUBSTITUTE(E1414,"°","º"))-1)),""))))</f>
        <v>10</v>
      </c>
      <c r="O1414" s="2" t="str">
        <f aca="false">IF(OR(F1414="",G1414=""),"",IF(G1414&lt;='RETRATO 2027'!$K$5,"CONCLUÍDA",IF(F1414&lt;='RETRATO 2027'!$K$5,"EM ANDAMENTO","A INICIAR")))</f>
        <v>A INICIAR</v>
      </c>
    </row>
    <row r="1415" customFormat="false" ht="15" hidden="false" customHeight="false" outlineLevel="0" collapsed="false">
      <c r="B1415" s="4" t="n">
        <v>29981425</v>
      </c>
      <c r="C1415" s="4" t="s">
        <v>2607</v>
      </c>
      <c r="D1415" s="4" t="s">
        <v>463</v>
      </c>
      <c r="E1415" s="4" t="s">
        <v>2809</v>
      </c>
      <c r="F1415" s="127" t="n">
        <v>46850</v>
      </c>
      <c r="G1415" s="127" t="n">
        <v>46863</v>
      </c>
      <c r="H1415" s="127" t="n">
        <v>46289</v>
      </c>
      <c r="I1415" s="4" t="n">
        <v>0</v>
      </c>
      <c r="J1415" s="4" t="n">
        <v>0</v>
      </c>
      <c r="K1415" s="4" t="n">
        <v>0</v>
      </c>
      <c r="M1415" s="2" t="str">
        <f aca="false">IF(C1415="","",IFERROR(INDEX($S$5:$S$304,MATCH(C1415,$R$5:$R$304,0))&amp;"","?"))</f>
        <v>34</v>
      </c>
      <c r="N1415" s="2" t="n">
        <f aca="false">IF(E1415="","",IF(ISNUMBER(SEARCH("SUBSOLO",E1415)),IFERROR(-VALUE(LEFT(E1415,FIND("º",SUBSTITUTE(E1415,"°","º"))-1)),-1),IF(LEFT(E1415,6)="TÉRREO",0,IFERROR(VALUE(LEFT(E1415,FIND("º",SUBSTITUTE(E1415,"°","º"))-1)),""))))</f>
        <v>10</v>
      </c>
      <c r="O1415" s="2" t="str">
        <f aca="false">IF(OR(F1415="",G1415=""),"",IF(G1415&lt;='RETRATO 2027'!$K$5,"CONCLUÍDA",IF(F1415&lt;='RETRATO 2027'!$K$5,"EM ANDAMENTO","A INICIAR")))</f>
        <v>A INICIAR</v>
      </c>
    </row>
    <row r="1416" customFormat="false" ht="15" hidden="false" customHeight="false" outlineLevel="0" collapsed="false">
      <c r="B1416" s="4" t="n">
        <v>29981424</v>
      </c>
      <c r="C1416" s="4" t="s">
        <v>2563</v>
      </c>
      <c r="D1416" s="4" t="s">
        <v>463</v>
      </c>
      <c r="E1416" s="4" t="s">
        <v>2809</v>
      </c>
      <c r="F1416" s="127" t="n">
        <v>46850</v>
      </c>
      <c r="G1416" s="127" t="n">
        <v>46863</v>
      </c>
      <c r="H1416" s="127" t="n">
        <v>46289</v>
      </c>
      <c r="I1416" s="4" t="n">
        <v>0</v>
      </c>
      <c r="J1416" s="4" t="n">
        <v>0</v>
      </c>
      <c r="K1416" s="4" t="n">
        <v>0</v>
      </c>
      <c r="M1416" s="2" t="str">
        <f aca="false">IF(C1416="","",IFERROR(INDEX($S$5:$S$304,MATCH(C1416,$R$5:$R$304,0))&amp;"","?"))</f>
        <v>20</v>
      </c>
      <c r="N1416" s="2" t="n">
        <f aca="false">IF(E1416="","",IF(ISNUMBER(SEARCH("SUBSOLO",E1416)),IFERROR(-VALUE(LEFT(E1416,FIND("º",SUBSTITUTE(E1416,"°","º"))-1)),-1),IF(LEFT(E1416,6)="TÉRREO",0,IFERROR(VALUE(LEFT(E1416,FIND("º",SUBSTITUTE(E1416,"°","º"))-1)),""))))</f>
        <v>10</v>
      </c>
      <c r="O1416" s="2" t="str">
        <f aca="false">IF(OR(F1416="",G1416=""),"",IF(G1416&lt;='RETRATO 2027'!$K$5,"CONCLUÍDA",IF(F1416&lt;='RETRATO 2027'!$K$5,"EM ANDAMENTO","A INICIAR")))</f>
        <v>A INICIAR</v>
      </c>
    </row>
    <row r="1417" customFormat="false" ht="15" hidden="false" customHeight="false" outlineLevel="0" collapsed="false">
      <c r="B1417" s="4" t="n">
        <v>29981423</v>
      </c>
      <c r="C1417" s="4" t="s">
        <v>2609</v>
      </c>
      <c r="D1417" s="4" t="s">
        <v>463</v>
      </c>
      <c r="E1417" s="4" t="s">
        <v>2809</v>
      </c>
      <c r="F1417" s="127" t="n">
        <v>46850</v>
      </c>
      <c r="G1417" s="127" t="n">
        <v>46863</v>
      </c>
      <c r="H1417" s="127" t="n">
        <v>46289</v>
      </c>
      <c r="I1417" s="4" t="n">
        <v>0</v>
      </c>
      <c r="J1417" s="4" t="n">
        <v>0</v>
      </c>
      <c r="K1417" s="4" t="n">
        <v>0</v>
      </c>
      <c r="M1417" s="2" t="str">
        <f aca="false">IF(C1417="","",IFERROR(INDEX($S$5:$S$304,MATCH(C1417,$R$5:$R$304,0))&amp;"","?"))</f>
        <v>23</v>
      </c>
      <c r="N1417" s="2" t="n">
        <f aca="false">IF(E1417="","",IF(ISNUMBER(SEARCH("SUBSOLO",E1417)),IFERROR(-VALUE(LEFT(E1417,FIND("º",SUBSTITUTE(E1417,"°","º"))-1)),-1),IF(LEFT(E1417,6)="TÉRREO",0,IFERROR(VALUE(LEFT(E1417,FIND("º",SUBSTITUTE(E1417,"°","º"))-1)),""))))</f>
        <v>10</v>
      </c>
      <c r="O1417" s="2" t="str">
        <f aca="false">IF(OR(F1417="",G1417=""),"",IF(G1417&lt;='RETRATO 2027'!$K$5,"CONCLUÍDA",IF(F1417&lt;='RETRATO 2027'!$K$5,"EM ANDAMENTO","A INICIAR")))</f>
        <v>A INICIAR</v>
      </c>
    </row>
    <row r="1418" customFormat="false" ht="15" hidden="false" customHeight="false" outlineLevel="0" collapsed="false">
      <c r="B1418" s="4" t="n">
        <v>29981382</v>
      </c>
      <c r="C1418" s="4" t="s">
        <v>2599</v>
      </c>
      <c r="D1418" s="4" t="s">
        <v>463</v>
      </c>
      <c r="E1418" s="4" t="s">
        <v>2810</v>
      </c>
      <c r="F1418" s="127" t="n">
        <v>46850</v>
      </c>
      <c r="G1418" s="127" t="n">
        <v>46863</v>
      </c>
      <c r="H1418" s="127" t="n">
        <v>46289</v>
      </c>
      <c r="I1418" s="4" t="n">
        <v>0</v>
      </c>
      <c r="J1418" s="4" t="n">
        <v>0</v>
      </c>
      <c r="K1418" s="4" t="n">
        <v>0</v>
      </c>
      <c r="M1418" s="2" t="str">
        <f aca="false">IF(C1418="","",IFERROR(INDEX($S$5:$S$304,MATCH(C1418,$R$5:$R$304,0))&amp;"","?"))</f>
        <v>30</v>
      </c>
      <c r="N1418" s="2" t="n">
        <f aca="false">IF(E1418="","",IF(ISNUMBER(SEARCH("SUBSOLO",E1418)),IFERROR(-VALUE(LEFT(E1418,FIND("º",SUBSTITUTE(E1418,"°","º"))-1)),-1),IF(LEFT(E1418,6)="TÉRREO",0,IFERROR(VALUE(LEFT(E1418,FIND("º",SUBSTITUTE(E1418,"°","º"))-1)),""))))</f>
        <v>11</v>
      </c>
      <c r="O1418" s="2" t="str">
        <f aca="false">IF(OR(F1418="",G1418=""),"",IF(G1418&lt;='RETRATO 2027'!$K$5,"CONCLUÍDA",IF(F1418&lt;='RETRATO 2027'!$K$5,"EM ANDAMENTO","A INICIAR")))</f>
        <v>A INICIAR</v>
      </c>
    </row>
    <row r="1419" customFormat="false" ht="15" hidden="false" customHeight="false" outlineLevel="0" collapsed="false">
      <c r="B1419" s="4" t="n">
        <v>29981344</v>
      </c>
      <c r="C1419" s="4" t="s">
        <v>2578</v>
      </c>
      <c r="D1419" s="4" t="s">
        <v>463</v>
      </c>
      <c r="E1419" s="4" t="s">
        <v>2811</v>
      </c>
      <c r="F1419" s="127" t="n">
        <v>46850</v>
      </c>
      <c r="G1419" s="127" t="n">
        <v>46863</v>
      </c>
      <c r="H1419" s="127" t="n">
        <v>46289</v>
      </c>
      <c r="I1419" s="4" t="n">
        <v>0</v>
      </c>
      <c r="J1419" s="4" t="n">
        <v>0</v>
      </c>
      <c r="K1419" s="4" t="n">
        <v>0</v>
      </c>
      <c r="M1419" s="2" t="str">
        <f aca="false">IF(C1419="","",IFERROR(INDEX($S$5:$S$304,MATCH(C1419,$R$5:$R$304,0))&amp;"","?"))</f>
        <v>25</v>
      </c>
      <c r="N1419" s="2" t="n">
        <f aca="false">IF(E1419="","",IF(ISNUMBER(SEARCH("SUBSOLO",E1419)),IFERROR(-VALUE(LEFT(E1419,FIND("º",SUBSTITUTE(E1419,"°","º"))-1)),-1),IF(LEFT(E1419,6)="TÉRREO",0,IFERROR(VALUE(LEFT(E1419,FIND("º",SUBSTITUTE(E1419,"°","º"))-1)),""))))</f>
        <v>12</v>
      </c>
      <c r="O1419" s="2" t="str">
        <f aca="false">IF(OR(F1419="",G1419=""),"",IF(G1419&lt;='RETRATO 2027'!$K$5,"CONCLUÍDA",IF(F1419&lt;='RETRATO 2027'!$K$5,"EM ANDAMENTO","A INICIAR")))</f>
        <v>A INICIAR</v>
      </c>
    </row>
    <row r="1420" customFormat="false" ht="15" hidden="false" customHeight="false" outlineLevel="0" collapsed="false">
      <c r="B1420" s="4" t="n">
        <v>29981306</v>
      </c>
      <c r="C1420" s="4" t="s">
        <v>2569</v>
      </c>
      <c r="D1420" s="4" t="s">
        <v>463</v>
      </c>
      <c r="E1420" s="4" t="s">
        <v>2812</v>
      </c>
      <c r="F1420" s="127" t="n">
        <v>46850</v>
      </c>
      <c r="G1420" s="127" t="n">
        <v>46863</v>
      </c>
      <c r="H1420" s="127" t="n">
        <v>46289</v>
      </c>
      <c r="I1420" s="4" t="n">
        <v>0</v>
      </c>
      <c r="J1420" s="4" t="n">
        <v>0</v>
      </c>
      <c r="K1420" s="4" t="n">
        <v>0</v>
      </c>
      <c r="M1420" s="2" t="str">
        <f aca="false">IF(C1420="","",IFERROR(INDEX($S$5:$S$304,MATCH(C1420,$R$5:$R$304,0))&amp;"","?"))</f>
        <v>30</v>
      </c>
      <c r="N1420" s="2" t="n">
        <f aca="false">IF(E1420="","",IF(ISNUMBER(SEARCH("SUBSOLO",E1420)),IFERROR(-VALUE(LEFT(E1420,FIND("º",SUBSTITUTE(E1420,"°","º"))-1)),-1),IF(LEFT(E1420,6)="TÉRREO",0,IFERROR(VALUE(LEFT(E1420,FIND("º",SUBSTITUTE(E1420,"°","º"))-1)),""))))</f>
        <v>13</v>
      </c>
      <c r="O1420" s="2" t="str">
        <f aca="false">IF(OR(F1420="",G1420=""),"",IF(G1420&lt;='RETRATO 2027'!$K$5,"CONCLUÍDA",IF(F1420&lt;='RETRATO 2027'!$K$5,"EM ANDAMENTO","A INICIAR")))</f>
        <v>A INICIAR</v>
      </c>
    </row>
    <row r="1421" customFormat="false" ht="15" hidden="false" customHeight="false" outlineLevel="0" collapsed="false">
      <c r="B1421" s="4" t="n">
        <v>29981268</v>
      </c>
      <c r="C1421" s="4" t="s">
        <v>2554</v>
      </c>
      <c r="D1421" s="4" t="s">
        <v>463</v>
      </c>
      <c r="E1421" s="4" t="s">
        <v>2813</v>
      </c>
      <c r="F1421" s="127" t="n">
        <v>46850</v>
      </c>
      <c r="G1421" s="127" t="n">
        <v>46863</v>
      </c>
      <c r="H1421" s="127" t="n">
        <v>46289</v>
      </c>
      <c r="I1421" s="4" t="n">
        <v>0</v>
      </c>
      <c r="J1421" s="4" t="n">
        <v>0</v>
      </c>
      <c r="K1421" s="4" t="n">
        <v>0</v>
      </c>
      <c r="M1421" s="2" t="str">
        <f aca="false">IF(C1421="","",IFERROR(INDEX($S$5:$S$304,MATCH(C1421,$R$5:$R$304,0))&amp;"","?"))</f>
        <v>35</v>
      </c>
      <c r="N1421" s="2" t="n">
        <f aca="false">IF(E1421="","",IF(ISNUMBER(SEARCH("SUBSOLO",E1421)),IFERROR(-VALUE(LEFT(E1421,FIND("º",SUBSTITUTE(E1421,"°","º"))-1)),-1),IF(LEFT(E1421,6)="TÉRREO",0,IFERROR(VALUE(LEFT(E1421,FIND("º",SUBSTITUTE(E1421,"°","º"))-1)),""))))</f>
        <v>14</v>
      </c>
      <c r="O1421" s="2" t="str">
        <f aca="false">IF(OR(F1421="",G1421=""),"",IF(G1421&lt;='RETRATO 2027'!$K$5,"CONCLUÍDA",IF(F1421&lt;='RETRATO 2027'!$K$5,"EM ANDAMENTO","A INICIAR")))</f>
        <v>A INICIAR</v>
      </c>
    </row>
    <row r="1422" customFormat="false" ht="15" hidden="false" customHeight="false" outlineLevel="0" collapsed="false">
      <c r="B1422" s="4" t="n">
        <v>29981257</v>
      </c>
      <c r="C1422" s="4" t="s">
        <v>2539</v>
      </c>
      <c r="D1422" s="4" t="s">
        <v>463</v>
      </c>
      <c r="E1422" s="4" t="s">
        <v>2814</v>
      </c>
      <c r="F1422" s="127" t="n">
        <v>46850</v>
      </c>
      <c r="G1422" s="127" t="n">
        <v>46863</v>
      </c>
      <c r="H1422" s="127" t="n">
        <v>46289</v>
      </c>
      <c r="I1422" s="4" t="n">
        <v>0</v>
      </c>
      <c r="J1422" s="4" t="n">
        <v>0</v>
      </c>
      <c r="K1422" s="4" t="n">
        <v>0</v>
      </c>
      <c r="M1422" s="2" t="str">
        <f aca="false">IF(C1422="","",IFERROR(INDEX($S$5:$S$304,MATCH(C1422,$R$5:$R$304,0))&amp;"","?"))</f>
        <v>35</v>
      </c>
      <c r="N1422" s="2" t="n">
        <f aca="false">IF(E1422="","",IF(ISNUMBER(SEARCH("SUBSOLO",E1422)),IFERROR(-VALUE(LEFT(E1422,FIND("º",SUBSTITUTE(E1422,"°","º"))-1)),-1),IF(LEFT(E1422,6)="TÉRREO",0,IFERROR(VALUE(LEFT(E1422,FIND("º",SUBSTITUTE(E1422,"°","º"))-1)),""))))</f>
        <v>15</v>
      </c>
      <c r="O1422" s="2" t="str">
        <f aca="false">IF(OR(F1422="",G1422=""),"",IF(G1422&lt;='RETRATO 2027'!$K$5,"CONCLUÍDA",IF(F1422&lt;='RETRATO 2027'!$K$5,"EM ANDAMENTO","A INICIAR")))</f>
        <v>A INICIAR</v>
      </c>
    </row>
    <row r="1423" customFormat="false" ht="15" hidden="false" customHeight="false" outlineLevel="0" collapsed="false">
      <c r="B1423" s="4" t="n">
        <v>33898097</v>
      </c>
      <c r="C1423" s="4" t="s">
        <v>2545</v>
      </c>
      <c r="D1423" s="4" t="s">
        <v>463</v>
      </c>
      <c r="E1423" s="4" t="s">
        <v>2815</v>
      </c>
      <c r="F1423" s="127" t="n">
        <v>46850</v>
      </c>
      <c r="G1423" s="127" t="n">
        <v>46863</v>
      </c>
      <c r="H1423" s="127" t="n">
        <v>46289</v>
      </c>
      <c r="I1423" s="4" t="n">
        <v>0</v>
      </c>
      <c r="J1423" s="4" t="n">
        <v>0</v>
      </c>
      <c r="K1423" s="4" t="n">
        <v>0</v>
      </c>
      <c r="M1423" s="2" t="str">
        <f aca="false">IF(C1423="","",IFERROR(INDEX($S$5:$S$304,MATCH(C1423,$R$5:$R$304,0))&amp;"","?"))</f>
        <v>25</v>
      </c>
      <c r="N1423" s="2" t="n">
        <f aca="false">IF(E1423="","",IF(ISNUMBER(SEARCH("SUBSOLO",E1423)),IFERROR(-VALUE(LEFT(E1423,FIND("º",SUBSTITUTE(E1423,"°","º"))-1)),-1),IF(LEFT(E1423,6)="TÉRREO",0,IFERROR(VALUE(LEFT(E1423,FIND("º",SUBSTITUTE(E1423,"°","º"))-1)),""))))</f>
        <v>16</v>
      </c>
      <c r="O1423" s="2" t="str">
        <f aca="false">IF(OR(F1423="",G1423=""),"",IF(G1423&lt;='RETRATO 2027'!$K$5,"CONCLUÍDA",IF(F1423&lt;='RETRATO 2027'!$K$5,"EM ANDAMENTO","A INICIAR")))</f>
        <v>A INICIAR</v>
      </c>
    </row>
    <row r="1424" customFormat="false" ht="15" hidden="false" customHeight="false" outlineLevel="0" collapsed="false">
      <c r="B1424" s="4" t="n">
        <v>30206028</v>
      </c>
      <c r="C1424" s="4" t="s">
        <v>2434</v>
      </c>
      <c r="D1424" s="4" t="s">
        <v>463</v>
      </c>
      <c r="E1424" s="4" t="s">
        <v>2848</v>
      </c>
      <c r="F1424" s="127" t="n">
        <v>46853</v>
      </c>
      <c r="G1424" s="127" t="n">
        <v>46860</v>
      </c>
      <c r="H1424" s="127" t="n">
        <v>46289</v>
      </c>
      <c r="I1424" s="4" t="n">
        <v>0</v>
      </c>
      <c r="J1424" s="4" t="n">
        <v>0</v>
      </c>
      <c r="K1424" s="4" t="n">
        <v>0</v>
      </c>
      <c r="M1424" s="2" t="str">
        <f aca="false">IF(C1424="","",IFERROR(INDEX($S$5:$S$304,MATCH(C1424,$R$5:$R$304,0))&amp;"","?"))</f>
        <v>25</v>
      </c>
      <c r="N1424" s="2" t="n">
        <f aca="false">IF(E1424="","",IF(ISNUMBER(SEARCH("SUBSOLO",E1424)),IFERROR(-VALUE(LEFT(E1424,FIND("º",SUBSTITUTE(E1424,"°","º"))-1)),-1),IF(LEFT(E1424,6)="TÉRREO",0,IFERROR(VALUE(LEFT(E1424,FIND("º",SUBSTITUTE(E1424,"°","º"))-1)),""))))</f>
        <v>6</v>
      </c>
      <c r="O1424" s="2" t="str">
        <f aca="false">IF(OR(F1424="",G1424=""),"",IF(G1424&lt;='RETRATO 2027'!$K$5,"CONCLUÍDA",IF(F1424&lt;='RETRATO 2027'!$K$5,"EM ANDAMENTO","A INICIAR")))</f>
        <v>A INICIAR</v>
      </c>
    </row>
    <row r="1425" customFormat="false" ht="15" hidden="false" customHeight="false" outlineLevel="0" collapsed="false">
      <c r="B1425" s="4" t="n">
        <v>30206019</v>
      </c>
      <c r="C1425" s="4" t="s">
        <v>2425</v>
      </c>
      <c r="D1425" s="4" t="s">
        <v>463</v>
      </c>
      <c r="E1425" s="4" t="s">
        <v>2849</v>
      </c>
      <c r="F1425" s="127" t="n">
        <v>46853</v>
      </c>
      <c r="G1425" s="127" t="n">
        <v>46868</v>
      </c>
      <c r="H1425" s="127" t="n">
        <v>46289</v>
      </c>
      <c r="I1425" s="4" t="n">
        <v>0</v>
      </c>
      <c r="J1425" s="4" t="n">
        <v>0</v>
      </c>
      <c r="K1425" s="4" t="n">
        <v>0</v>
      </c>
      <c r="M1425" s="2" t="str">
        <f aca="false">IF(C1425="","",IFERROR(INDEX($S$5:$S$304,MATCH(C1425,$R$5:$R$304,0))&amp;"","?"))</f>
        <v>21</v>
      </c>
      <c r="N1425" s="2" t="n">
        <f aca="false">IF(E1425="","",IF(ISNUMBER(SEARCH("SUBSOLO",E1425)),IFERROR(-VALUE(LEFT(E1425,FIND("º",SUBSTITUTE(E1425,"°","º"))-1)),-1),IF(LEFT(E1425,6)="TÉRREO",0,IFERROR(VALUE(LEFT(E1425,FIND("º",SUBSTITUTE(E1425,"°","º"))-1)),""))))</f>
        <v>6</v>
      </c>
      <c r="O1425" s="2" t="str">
        <f aca="false">IF(OR(F1425="",G1425=""),"",IF(G1425&lt;='RETRATO 2027'!$K$5,"CONCLUÍDA",IF(F1425&lt;='RETRATO 2027'!$K$5,"EM ANDAMENTO","A INICIAR")))</f>
        <v>A INICIAR</v>
      </c>
    </row>
    <row r="1426" customFormat="false" ht="15" hidden="false" customHeight="false" outlineLevel="0" collapsed="false">
      <c r="B1426" s="4" t="n">
        <v>30205990</v>
      </c>
      <c r="C1426" s="4" t="s">
        <v>2428</v>
      </c>
      <c r="D1426" s="4" t="s">
        <v>463</v>
      </c>
      <c r="E1426" s="4" t="s">
        <v>2849</v>
      </c>
      <c r="F1426" s="127" t="n">
        <v>46853</v>
      </c>
      <c r="G1426" s="127" t="n">
        <v>46868</v>
      </c>
      <c r="H1426" s="127" t="n">
        <v>46289</v>
      </c>
      <c r="I1426" s="4" t="n">
        <v>0</v>
      </c>
      <c r="J1426" s="4" t="n">
        <v>0</v>
      </c>
      <c r="K1426" s="4" t="n">
        <v>0</v>
      </c>
      <c r="M1426" s="2" t="str">
        <f aca="false">IF(C1426="","",IFERROR(INDEX($S$5:$S$304,MATCH(C1426,$R$5:$R$304,0))&amp;"","?"))</f>
        <v>20</v>
      </c>
      <c r="N1426" s="2" t="n">
        <f aca="false">IF(E1426="","",IF(ISNUMBER(SEARCH("SUBSOLO",E1426)),IFERROR(-VALUE(LEFT(E1426,FIND("º",SUBSTITUTE(E1426,"°","º"))-1)),-1),IF(LEFT(E1426,6)="TÉRREO",0,IFERROR(VALUE(LEFT(E1426,FIND("º",SUBSTITUTE(E1426,"°","º"))-1)),""))))</f>
        <v>6</v>
      </c>
      <c r="O1426" s="2" t="str">
        <f aca="false">IF(OR(F1426="",G1426=""),"",IF(G1426&lt;='RETRATO 2027'!$K$5,"CONCLUÍDA",IF(F1426&lt;='RETRATO 2027'!$K$5,"EM ANDAMENTO","A INICIAR")))</f>
        <v>A INICIAR</v>
      </c>
    </row>
    <row r="1427" customFormat="false" ht="15" hidden="false" customHeight="false" outlineLevel="0" collapsed="false">
      <c r="B1427" s="4" t="n">
        <v>30205970</v>
      </c>
      <c r="C1427" s="4" t="s">
        <v>2422</v>
      </c>
      <c r="D1427" s="4" t="s">
        <v>463</v>
      </c>
      <c r="E1427" s="4" t="s">
        <v>2850</v>
      </c>
      <c r="F1427" s="127" t="n">
        <v>46853</v>
      </c>
      <c r="G1427" s="127" t="n">
        <v>46868</v>
      </c>
      <c r="H1427" s="127" t="n">
        <v>46289</v>
      </c>
      <c r="I1427" s="4" t="n">
        <v>0</v>
      </c>
      <c r="J1427" s="4" t="n">
        <v>0</v>
      </c>
      <c r="K1427" s="4" t="n">
        <v>0</v>
      </c>
      <c r="M1427" s="2" t="str">
        <f aca="false">IF(C1427="","",IFERROR(INDEX($S$5:$S$304,MATCH(C1427,$R$5:$R$304,0))&amp;"","?"))</f>
        <v>29</v>
      </c>
      <c r="N1427" s="2" t="n">
        <f aca="false">IF(E1427="","",IF(ISNUMBER(SEARCH("SUBSOLO",E1427)),IFERROR(-VALUE(LEFT(E1427,FIND("º",SUBSTITUTE(E1427,"°","º"))-1)),-1),IF(LEFT(E1427,6)="TÉRREO",0,IFERROR(VALUE(LEFT(E1427,FIND("º",SUBSTITUTE(E1427,"°","º"))-1)),""))))</f>
        <v>6</v>
      </c>
      <c r="O1427" s="2" t="str">
        <f aca="false">IF(OR(F1427="",G1427=""),"",IF(G1427&lt;='RETRATO 2027'!$K$5,"CONCLUÍDA",IF(F1427&lt;='RETRATO 2027'!$K$5,"EM ANDAMENTO","A INICIAR")))</f>
        <v>A INICIAR</v>
      </c>
    </row>
    <row r="1428" customFormat="false" ht="15" hidden="false" customHeight="false" outlineLevel="0" collapsed="false">
      <c r="B1428" s="4" t="n">
        <v>29981033</v>
      </c>
      <c r="C1428" s="4" t="s">
        <v>216</v>
      </c>
      <c r="D1428" s="4" t="s">
        <v>463</v>
      </c>
      <c r="E1428" s="4" t="s">
        <v>2825</v>
      </c>
      <c r="F1428" s="127" t="n">
        <v>46853</v>
      </c>
      <c r="G1428" s="127" t="n">
        <v>46867</v>
      </c>
      <c r="H1428" s="127" t="n">
        <v>46289</v>
      </c>
      <c r="I1428" s="4" t="n">
        <v>0</v>
      </c>
      <c r="J1428" s="4" t="n">
        <v>0</v>
      </c>
      <c r="K1428" s="4" t="n">
        <v>0</v>
      </c>
      <c r="M1428" s="2" t="str">
        <f aca="false">IF(C1428="","",IFERROR(INDEX($S$5:$S$304,MATCH(C1428,$R$5:$R$304,0))&amp;"","?"))</f>
        <v>33</v>
      </c>
      <c r="N1428" s="2" t="n">
        <f aca="false">IF(E1428="","",IF(ISNUMBER(SEARCH("SUBSOLO",E1428)),IFERROR(-VALUE(LEFT(E1428,FIND("º",SUBSTITUTE(E1428,"°","º"))-1)),-1),IF(LEFT(E1428,6)="TÉRREO",0,IFERROR(VALUE(LEFT(E1428,FIND("º",SUBSTITUTE(E1428,"°","º"))-1)),""))))</f>
        <v>21</v>
      </c>
      <c r="O1428" s="2" t="str">
        <f aca="false">IF(OR(F1428="",G1428=""),"",IF(G1428&lt;='RETRATO 2027'!$K$5,"CONCLUÍDA",IF(F1428&lt;='RETRATO 2027'!$K$5,"EM ANDAMENTO","A INICIAR")))</f>
        <v>A INICIAR</v>
      </c>
    </row>
    <row r="1429" customFormat="false" ht="15" hidden="false" customHeight="false" outlineLevel="0" collapsed="false">
      <c r="B1429" s="4" t="n">
        <v>29980994</v>
      </c>
      <c r="C1429" s="4" t="s">
        <v>2508</v>
      </c>
      <c r="D1429" s="4" t="s">
        <v>463</v>
      </c>
      <c r="E1429" s="4" t="s">
        <v>2827</v>
      </c>
      <c r="F1429" s="127" t="n">
        <v>46853</v>
      </c>
      <c r="G1429" s="127" t="n">
        <v>46867</v>
      </c>
      <c r="H1429" s="127" t="n">
        <v>46289</v>
      </c>
      <c r="I1429" s="4" t="n">
        <v>0</v>
      </c>
      <c r="J1429" s="4" t="n">
        <v>0</v>
      </c>
      <c r="K1429" s="4" t="n">
        <v>0</v>
      </c>
      <c r="M1429" s="2" t="str">
        <f aca="false">IF(C1429="","",IFERROR(INDEX($S$5:$S$304,MATCH(C1429,$R$5:$R$304,0))&amp;"","?"))</f>
        <v>20</v>
      </c>
      <c r="N1429" s="2" t="n">
        <f aca="false">IF(E1429="","",IF(ISNUMBER(SEARCH("SUBSOLO",E1429)),IFERROR(-VALUE(LEFT(E1429,FIND("º",SUBSTITUTE(E1429,"°","º"))-1)),-1),IF(LEFT(E1429,6)="TÉRREO",0,IFERROR(VALUE(LEFT(E1429,FIND("º",SUBSTITUTE(E1429,"°","º"))-1)),""))))</f>
        <v>22</v>
      </c>
      <c r="O1429" s="2" t="str">
        <f aca="false">IF(OR(F1429="",G1429=""),"",IF(G1429&lt;='RETRATO 2027'!$K$5,"CONCLUÍDA",IF(F1429&lt;='RETRATO 2027'!$K$5,"EM ANDAMENTO","A INICIAR")))</f>
        <v>A INICIAR</v>
      </c>
    </row>
    <row r="1430" customFormat="false" ht="15" hidden="false" customHeight="false" outlineLevel="0" collapsed="false">
      <c r="B1430" s="4" t="n">
        <v>29980999</v>
      </c>
      <c r="C1430" s="4" t="s">
        <v>2511</v>
      </c>
      <c r="D1430" s="4" t="s">
        <v>463</v>
      </c>
      <c r="E1430" s="4" t="s">
        <v>2827</v>
      </c>
      <c r="F1430" s="127" t="n">
        <v>46853</v>
      </c>
      <c r="G1430" s="127" t="n">
        <v>46867</v>
      </c>
      <c r="H1430" s="127" t="n">
        <v>46289</v>
      </c>
      <c r="I1430" s="4" t="n">
        <v>0</v>
      </c>
      <c r="J1430" s="4" t="n">
        <v>0</v>
      </c>
      <c r="K1430" s="4" t="n">
        <v>0</v>
      </c>
      <c r="M1430" s="2" t="str">
        <f aca="false">IF(C1430="","",IFERROR(INDEX($S$5:$S$304,MATCH(C1430,$R$5:$R$304,0))&amp;"","?"))</f>
        <v>20</v>
      </c>
      <c r="N1430" s="2" t="n">
        <f aca="false">IF(E1430="","",IF(ISNUMBER(SEARCH("SUBSOLO",E1430)),IFERROR(-VALUE(LEFT(E1430,FIND("º",SUBSTITUTE(E1430,"°","º"))-1)),-1),IF(LEFT(E1430,6)="TÉRREO",0,IFERROR(VALUE(LEFT(E1430,FIND("º",SUBSTITUTE(E1430,"°","º"))-1)),""))))</f>
        <v>22</v>
      </c>
      <c r="O1430" s="2" t="str">
        <f aca="false">IF(OR(F1430="",G1430=""),"",IF(G1430&lt;='RETRATO 2027'!$K$5,"CONCLUÍDA",IF(F1430&lt;='RETRATO 2027'!$K$5,"EM ANDAMENTO","A INICIAR")))</f>
        <v>A INICIAR</v>
      </c>
    </row>
    <row r="1431" customFormat="false" ht="15" hidden="false" customHeight="false" outlineLevel="0" collapsed="false">
      <c r="B1431" s="4" t="n">
        <v>30214084</v>
      </c>
      <c r="C1431" s="4" t="s">
        <v>2514</v>
      </c>
      <c r="D1431" s="4" t="s">
        <v>463</v>
      </c>
      <c r="E1431" s="4" t="s">
        <v>2827</v>
      </c>
      <c r="F1431" s="127" t="n">
        <v>46853</v>
      </c>
      <c r="G1431" s="127" t="n">
        <v>46868</v>
      </c>
      <c r="H1431" s="127" t="n">
        <v>46289</v>
      </c>
      <c r="I1431" s="4" t="n">
        <v>0</v>
      </c>
      <c r="J1431" s="4" t="n">
        <v>0</v>
      </c>
      <c r="K1431" s="4" t="n">
        <v>0</v>
      </c>
      <c r="M1431" s="2" t="str">
        <f aca="false">IF(C1431="","",IFERROR(INDEX($S$5:$S$304,MATCH(C1431,$R$5:$R$304,0))&amp;"","?"))</f>
        <v>20</v>
      </c>
      <c r="N1431" s="2" t="n">
        <f aca="false">IF(E1431="","",IF(ISNUMBER(SEARCH("SUBSOLO",E1431)),IFERROR(-VALUE(LEFT(E1431,FIND("º",SUBSTITUTE(E1431,"°","º"))-1)),-1),IF(LEFT(E1431,6)="TÉRREO",0,IFERROR(VALUE(LEFT(E1431,FIND("º",SUBSTITUTE(E1431,"°","º"))-1)),""))))</f>
        <v>22</v>
      </c>
      <c r="O1431" s="2" t="str">
        <f aca="false">IF(OR(F1431="",G1431=""),"",IF(G1431&lt;='RETRATO 2027'!$K$5,"CONCLUÍDA",IF(F1431&lt;='RETRATO 2027'!$K$5,"EM ANDAMENTO","A INICIAR")))</f>
        <v>A INICIAR</v>
      </c>
    </row>
    <row r="1432" customFormat="false" ht="15" hidden="false" customHeight="false" outlineLevel="0" collapsed="false">
      <c r="B1432" s="4" t="n">
        <v>29980941</v>
      </c>
      <c r="C1432" s="4" t="s">
        <v>2501</v>
      </c>
      <c r="D1432" s="4" t="s">
        <v>463</v>
      </c>
      <c r="E1432" s="4" t="s">
        <v>2829</v>
      </c>
      <c r="F1432" s="127" t="n">
        <v>46853</v>
      </c>
      <c r="G1432" s="127" t="n">
        <v>46867</v>
      </c>
      <c r="H1432" s="127" t="n">
        <v>46289</v>
      </c>
      <c r="I1432" s="4" t="n">
        <v>0</v>
      </c>
      <c r="J1432" s="4" t="n">
        <v>0</v>
      </c>
      <c r="K1432" s="4" t="n">
        <v>0</v>
      </c>
      <c r="M1432" s="2" t="str">
        <f aca="false">IF(C1432="","",IFERROR(INDEX($S$5:$S$304,MATCH(C1432,$R$5:$R$304,0))&amp;"","?"))</f>
        <v>30</v>
      </c>
      <c r="N1432" s="2" t="n">
        <f aca="false">IF(E1432="","",IF(ISNUMBER(SEARCH("SUBSOLO",E1432)),IFERROR(-VALUE(LEFT(E1432,FIND("º",SUBSTITUTE(E1432,"°","º"))-1)),-1),IF(LEFT(E1432,6)="TÉRREO",0,IFERROR(VALUE(LEFT(E1432,FIND("º",SUBSTITUTE(E1432,"°","º"))-1)),""))))</f>
        <v>23</v>
      </c>
      <c r="O1432" s="2" t="str">
        <f aca="false">IF(OR(F1432="",G1432=""),"",IF(G1432&lt;='RETRATO 2027'!$K$5,"CONCLUÍDA",IF(F1432&lt;='RETRATO 2027'!$K$5,"EM ANDAMENTO","A INICIAR")))</f>
        <v>A INICIAR</v>
      </c>
    </row>
    <row r="1433" customFormat="false" ht="15" hidden="false" customHeight="false" outlineLevel="0" collapsed="false">
      <c r="B1433" s="4" t="n">
        <v>29980903</v>
      </c>
      <c r="C1433" s="4" t="s">
        <v>2486</v>
      </c>
      <c r="D1433" s="4" t="s">
        <v>463</v>
      </c>
      <c r="E1433" s="4" t="s">
        <v>2831</v>
      </c>
      <c r="F1433" s="127" t="n">
        <v>46853</v>
      </c>
      <c r="G1433" s="127" t="n">
        <v>46867</v>
      </c>
      <c r="H1433" s="127" t="n">
        <v>46289</v>
      </c>
      <c r="I1433" s="4" t="n">
        <v>0</v>
      </c>
      <c r="J1433" s="4" t="n">
        <v>0</v>
      </c>
      <c r="K1433" s="4" t="n">
        <v>0</v>
      </c>
      <c r="M1433" s="2" t="str">
        <f aca="false">IF(C1433="","",IFERROR(INDEX($S$5:$S$304,MATCH(C1433,$R$5:$R$304,0))&amp;"","?"))</f>
        <v>30</v>
      </c>
      <c r="N1433" s="2" t="n">
        <f aca="false">IF(E1433="","",IF(ISNUMBER(SEARCH("SUBSOLO",E1433)),IFERROR(-VALUE(LEFT(E1433,FIND("º",SUBSTITUTE(E1433,"°","º"))-1)),-1),IF(LEFT(E1433,6)="TÉRREO",0,IFERROR(VALUE(LEFT(E1433,FIND("º",SUBSTITUTE(E1433,"°","º"))-1)),""))))</f>
        <v>24</v>
      </c>
      <c r="O1433" s="2" t="str">
        <f aca="false">IF(OR(F1433="",G1433=""),"",IF(G1433&lt;='RETRATO 2027'!$K$5,"CONCLUÍDA",IF(F1433&lt;='RETRATO 2027'!$K$5,"EM ANDAMENTO","A INICIAR")))</f>
        <v>A INICIAR</v>
      </c>
    </row>
    <row r="1434" customFormat="false" ht="15" hidden="false" customHeight="false" outlineLevel="0" collapsed="false">
      <c r="B1434" s="4" t="n">
        <v>29980882</v>
      </c>
      <c r="C1434" s="4" t="s">
        <v>2480</v>
      </c>
      <c r="D1434" s="4" t="s">
        <v>463</v>
      </c>
      <c r="E1434" s="4" t="s">
        <v>2833</v>
      </c>
      <c r="F1434" s="127" t="n">
        <v>46853</v>
      </c>
      <c r="G1434" s="127" t="n">
        <v>46867</v>
      </c>
      <c r="H1434" s="127" t="n">
        <v>46289</v>
      </c>
      <c r="I1434" s="4" t="n">
        <v>0</v>
      </c>
      <c r="J1434" s="4" t="n">
        <v>0</v>
      </c>
      <c r="K1434" s="4" t="n">
        <v>0</v>
      </c>
      <c r="M1434" s="2" t="str">
        <f aca="false">IF(C1434="","",IFERROR(INDEX($S$5:$S$304,MATCH(C1434,$R$5:$R$304,0))&amp;"","?"))</f>
        <v>30</v>
      </c>
      <c r="N1434" s="2" t="n">
        <f aca="false">IF(E1434="","",IF(ISNUMBER(SEARCH("SUBSOLO",E1434)),IFERROR(-VALUE(LEFT(E1434,FIND("º",SUBSTITUTE(E1434,"°","º"))-1)),-1),IF(LEFT(E1434,6)="TÉRREO",0,IFERROR(VALUE(LEFT(E1434,FIND("º",SUBSTITUTE(E1434,"°","º"))-1)),""))))</f>
        <v>25</v>
      </c>
      <c r="O1434" s="2" t="str">
        <f aca="false">IF(OR(F1434="",G1434=""),"",IF(G1434&lt;='RETRATO 2027'!$K$5,"CONCLUÍDA",IF(F1434&lt;='RETRATO 2027'!$K$5,"EM ANDAMENTO","A INICIAR")))</f>
        <v>A INICIAR</v>
      </c>
    </row>
    <row r="1435" customFormat="false" ht="15" hidden="false" customHeight="false" outlineLevel="0" collapsed="false">
      <c r="B1435" s="4" t="n">
        <v>29980843</v>
      </c>
      <c r="C1435" s="4" t="s">
        <v>171</v>
      </c>
      <c r="D1435" s="4" t="s">
        <v>463</v>
      </c>
      <c r="E1435" s="4" t="s">
        <v>2834</v>
      </c>
      <c r="F1435" s="127" t="n">
        <v>46853</v>
      </c>
      <c r="G1435" s="127" t="n">
        <v>46867</v>
      </c>
      <c r="H1435" s="127" t="n">
        <v>46289</v>
      </c>
      <c r="I1435" s="4" t="n">
        <v>0</v>
      </c>
      <c r="J1435" s="4" t="n">
        <v>0</v>
      </c>
      <c r="K1435" s="4" t="n">
        <v>0</v>
      </c>
      <c r="M1435" s="2" t="str">
        <f aca="false">IF(C1435="","",IFERROR(INDEX($S$5:$S$304,MATCH(C1435,$R$5:$R$304,0))&amp;"","?"))</f>
        <v>19</v>
      </c>
      <c r="N1435" s="2" t="n">
        <f aca="false">IF(E1435="","",IF(ISNUMBER(SEARCH("SUBSOLO",E1435)),IFERROR(-VALUE(LEFT(E1435,FIND("º",SUBSTITUTE(E1435,"°","º"))-1)),-1),IF(LEFT(E1435,6)="TÉRREO",0,IFERROR(VALUE(LEFT(E1435,FIND("º",SUBSTITUTE(E1435,"°","º"))-1)),""))))</f>
        <v>26</v>
      </c>
      <c r="O1435" s="2" t="str">
        <f aca="false">IF(OR(F1435="",G1435=""),"",IF(G1435&lt;='RETRATO 2027'!$K$5,"CONCLUÍDA",IF(F1435&lt;='RETRATO 2027'!$K$5,"EM ANDAMENTO","A INICIAR")))</f>
        <v>A INICIAR</v>
      </c>
    </row>
    <row r="1436" customFormat="false" ht="15" hidden="false" customHeight="false" outlineLevel="0" collapsed="false">
      <c r="B1436" s="4" t="n">
        <v>32750453</v>
      </c>
      <c r="C1436" s="4" t="s">
        <v>2470</v>
      </c>
      <c r="D1436" s="4" t="s">
        <v>463</v>
      </c>
      <c r="E1436" s="4" t="s">
        <v>2838</v>
      </c>
      <c r="F1436" s="127" t="n">
        <v>46853</v>
      </c>
      <c r="G1436" s="127" t="n">
        <v>46867</v>
      </c>
      <c r="H1436" s="127" t="n">
        <v>46289</v>
      </c>
      <c r="I1436" s="4" t="n">
        <v>0</v>
      </c>
      <c r="J1436" s="4" t="n">
        <v>0</v>
      </c>
      <c r="K1436" s="4" t="n">
        <v>0</v>
      </c>
      <c r="M1436" s="2" t="str">
        <f aca="false">IF(C1436="","",IFERROR(INDEX($S$5:$S$304,MATCH(C1436,$R$5:$R$304,0))&amp;"","?"))</f>
        <v>18</v>
      </c>
      <c r="N1436" s="2" t="n">
        <f aca="false">IF(E1436="","",IF(ISNUMBER(SEARCH("SUBSOLO",E1436)),IFERROR(-VALUE(LEFT(E1436,FIND("º",SUBSTITUTE(E1436,"°","º"))-1)),-1),IF(LEFT(E1436,6)="TÉRREO",0,IFERROR(VALUE(LEFT(E1436,FIND("º",SUBSTITUTE(E1436,"°","º"))-1)),""))))</f>
        <v>27</v>
      </c>
      <c r="O1436" s="2" t="str">
        <f aca="false">IF(OR(F1436="",G1436=""),"",IF(G1436&lt;='RETRATO 2027'!$K$5,"CONCLUÍDA",IF(F1436&lt;='RETRATO 2027'!$K$5,"EM ANDAMENTO","A INICIAR")))</f>
        <v>A INICIAR</v>
      </c>
    </row>
    <row r="1437" customFormat="false" ht="15" hidden="false" customHeight="false" outlineLevel="0" collapsed="false">
      <c r="B1437" s="4" t="n">
        <v>32750376</v>
      </c>
      <c r="C1437" s="4" t="s">
        <v>2458</v>
      </c>
      <c r="D1437" s="4" t="s">
        <v>463</v>
      </c>
      <c r="E1437" s="4" t="s">
        <v>2840</v>
      </c>
      <c r="F1437" s="127" t="n">
        <v>46853</v>
      </c>
      <c r="G1437" s="127" t="n">
        <v>46867</v>
      </c>
      <c r="H1437" s="127" t="n">
        <v>46289</v>
      </c>
      <c r="I1437" s="4" t="n">
        <v>0</v>
      </c>
      <c r="J1437" s="4" t="n">
        <v>0</v>
      </c>
      <c r="K1437" s="4" t="n">
        <v>0</v>
      </c>
      <c r="M1437" s="2" t="str">
        <f aca="false">IF(C1437="","",IFERROR(INDEX($S$5:$S$304,MATCH(C1437,$R$5:$R$304,0))&amp;"","?"))</f>
        <v>21</v>
      </c>
      <c r="N1437" s="2" t="n">
        <f aca="false">IF(E1437="","",IF(ISNUMBER(SEARCH("SUBSOLO",E1437)),IFERROR(-VALUE(LEFT(E1437,FIND("º",SUBSTITUTE(E1437,"°","º"))-1)),-1),IF(LEFT(E1437,6)="TÉRREO",0,IFERROR(VALUE(LEFT(E1437,FIND("º",SUBSTITUTE(E1437,"°","º"))-1)),""))))</f>
        <v>28</v>
      </c>
      <c r="O1437" s="2" t="str">
        <f aca="false">IF(OR(F1437="",G1437=""),"",IF(G1437&lt;='RETRATO 2027'!$K$5,"CONCLUÍDA",IF(F1437&lt;='RETRATO 2027'!$K$5,"EM ANDAMENTO","A INICIAR")))</f>
        <v>A INICIAR</v>
      </c>
    </row>
    <row r="1438" customFormat="false" ht="15" hidden="false" customHeight="false" outlineLevel="0" collapsed="false">
      <c r="B1438" s="4" t="n">
        <v>32750402</v>
      </c>
      <c r="C1438" s="4" t="s">
        <v>2461</v>
      </c>
      <c r="D1438" s="4" t="s">
        <v>463</v>
      </c>
      <c r="E1438" s="4" t="s">
        <v>2840</v>
      </c>
      <c r="F1438" s="127" t="n">
        <v>46853</v>
      </c>
      <c r="G1438" s="127" t="n">
        <v>46867</v>
      </c>
      <c r="H1438" s="127" t="n">
        <v>46289</v>
      </c>
      <c r="I1438" s="4" t="n">
        <v>0</v>
      </c>
      <c r="J1438" s="4" t="n">
        <v>0</v>
      </c>
      <c r="K1438" s="4" t="n">
        <v>0</v>
      </c>
      <c r="M1438" s="2" t="str">
        <f aca="false">IF(C1438="","",IFERROR(INDEX($S$5:$S$304,MATCH(C1438,$R$5:$R$304,0))&amp;"","?"))</f>
        <v>20</v>
      </c>
      <c r="N1438" s="2" t="n">
        <f aca="false">IF(E1438="","",IF(ISNUMBER(SEARCH("SUBSOLO",E1438)),IFERROR(-VALUE(LEFT(E1438,FIND("º",SUBSTITUTE(E1438,"°","º"))-1)),-1),IF(LEFT(E1438,6)="TÉRREO",0,IFERROR(VALUE(LEFT(E1438,FIND("º",SUBSTITUTE(E1438,"°","º"))-1)),""))))</f>
        <v>28</v>
      </c>
      <c r="O1438" s="2" t="str">
        <f aca="false">IF(OR(F1438="",G1438=""),"",IF(G1438&lt;='RETRATO 2027'!$K$5,"CONCLUÍDA",IF(F1438&lt;='RETRATO 2027'!$K$5,"EM ANDAMENTO","A INICIAR")))</f>
        <v>A INICIAR</v>
      </c>
    </row>
    <row r="1439" customFormat="false" ht="15" hidden="false" customHeight="false" outlineLevel="0" collapsed="false">
      <c r="B1439" s="4" t="n">
        <v>32750428</v>
      </c>
      <c r="C1439" s="4" t="s">
        <v>2464</v>
      </c>
      <c r="D1439" s="4" t="s">
        <v>463</v>
      </c>
      <c r="E1439" s="4" t="s">
        <v>2840</v>
      </c>
      <c r="F1439" s="127" t="n">
        <v>46853</v>
      </c>
      <c r="G1439" s="127" t="n">
        <v>46867</v>
      </c>
      <c r="H1439" s="127" t="n">
        <v>46289</v>
      </c>
      <c r="I1439" s="4" t="n">
        <v>0</v>
      </c>
      <c r="J1439" s="4" t="n">
        <v>0</v>
      </c>
      <c r="K1439" s="4" t="n">
        <v>0</v>
      </c>
      <c r="M1439" s="2" t="str">
        <f aca="false">IF(C1439="","",IFERROR(INDEX($S$5:$S$304,MATCH(C1439,$R$5:$R$304,0))&amp;"","?"))</f>
        <v>21</v>
      </c>
      <c r="N1439" s="2" t="n">
        <f aca="false">IF(E1439="","",IF(ISNUMBER(SEARCH("SUBSOLO",E1439)),IFERROR(-VALUE(LEFT(E1439,FIND("º",SUBSTITUTE(E1439,"°","º"))-1)),-1),IF(LEFT(E1439,6)="TÉRREO",0,IFERROR(VALUE(LEFT(E1439,FIND("º",SUBSTITUTE(E1439,"°","º"))-1)),""))))</f>
        <v>28</v>
      </c>
      <c r="O1439" s="2" t="str">
        <f aca="false">IF(OR(F1439="",G1439=""),"",IF(G1439&lt;='RETRATO 2027'!$K$5,"CONCLUÍDA",IF(F1439&lt;='RETRATO 2027'!$K$5,"EM ANDAMENTO","A INICIAR")))</f>
        <v>A INICIAR</v>
      </c>
    </row>
    <row r="1440" customFormat="false" ht="15" hidden="false" customHeight="false" outlineLevel="0" collapsed="false">
      <c r="B1440" s="4" t="n">
        <v>33896846</v>
      </c>
      <c r="C1440" s="4" t="s">
        <v>2467</v>
      </c>
      <c r="D1440" s="4" t="s">
        <v>463</v>
      </c>
      <c r="E1440" s="4" t="s">
        <v>2840</v>
      </c>
      <c r="F1440" s="127" t="n">
        <v>46853</v>
      </c>
      <c r="G1440" s="127" t="n">
        <v>46867</v>
      </c>
      <c r="H1440" s="127" t="n">
        <v>46289</v>
      </c>
      <c r="I1440" s="4" t="n">
        <v>0</v>
      </c>
      <c r="J1440" s="4" t="n">
        <v>0</v>
      </c>
      <c r="K1440" s="4" t="n">
        <v>0</v>
      </c>
      <c r="M1440" s="2" t="str">
        <f aca="false">IF(C1440="","",IFERROR(INDEX($S$5:$S$304,MATCH(C1440,$R$5:$R$304,0))&amp;"","?"))</f>
        <v>23</v>
      </c>
      <c r="N1440" s="2" t="n">
        <f aca="false">IF(E1440="","",IF(ISNUMBER(SEARCH("SUBSOLO",E1440)),IFERROR(-VALUE(LEFT(E1440,FIND("º",SUBSTITUTE(E1440,"°","º"))-1)),-1),IF(LEFT(E1440,6)="TÉRREO",0,IFERROR(VALUE(LEFT(E1440,FIND("º",SUBSTITUTE(E1440,"°","º"))-1)),""))))</f>
        <v>28</v>
      </c>
      <c r="O1440" s="2" t="str">
        <f aca="false">IF(OR(F1440="",G1440=""),"",IF(G1440&lt;='RETRATO 2027'!$K$5,"CONCLUÍDA",IF(F1440&lt;='RETRATO 2027'!$K$5,"EM ANDAMENTO","A INICIAR")))</f>
        <v>A INICIAR</v>
      </c>
    </row>
    <row r="1441" customFormat="false" ht="15" hidden="false" customHeight="false" outlineLevel="0" collapsed="false">
      <c r="B1441" s="4" t="n">
        <v>32749872</v>
      </c>
      <c r="C1441" s="4" t="s">
        <v>2455</v>
      </c>
      <c r="D1441" s="4" t="s">
        <v>463</v>
      </c>
      <c r="E1441" s="4" t="s">
        <v>2841</v>
      </c>
      <c r="F1441" s="127" t="n">
        <v>46853</v>
      </c>
      <c r="G1441" s="127" t="n">
        <v>46867</v>
      </c>
      <c r="H1441" s="127" t="n">
        <v>46289</v>
      </c>
      <c r="I1441" s="4" t="n">
        <v>0</v>
      </c>
      <c r="J1441" s="4" t="n">
        <v>0</v>
      </c>
      <c r="K1441" s="4" t="n">
        <v>0</v>
      </c>
      <c r="M1441" s="2" t="str">
        <f aca="false">IF(C1441="","",IFERROR(INDEX($S$5:$S$304,MATCH(C1441,$R$5:$R$304,0))&amp;"","?"))</f>
        <v>18</v>
      </c>
      <c r="N1441" s="2" t="n">
        <f aca="false">IF(E1441="","",IF(ISNUMBER(SEARCH("SUBSOLO",E1441)),IFERROR(-VALUE(LEFT(E1441,FIND("º",SUBSTITUTE(E1441,"°","º"))-1)),-1),IF(LEFT(E1441,6)="TÉRREO",0,IFERROR(VALUE(LEFT(E1441,FIND("º",SUBSTITUTE(E1441,"°","º"))-1)),""))))</f>
        <v>29</v>
      </c>
      <c r="O1441" s="2" t="str">
        <f aca="false">IF(OR(F1441="",G1441=""),"",IF(G1441&lt;='RETRATO 2027'!$K$5,"CONCLUÍDA",IF(F1441&lt;='RETRATO 2027'!$K$5,"EM ANDAMENTO","A INICIAR")))</f>
        <v>A INICIAR</v>
      </c>
    </row>
    <row r="1442" customFormat="false" ht="15" hidden="false" customHeight="false" outlineLevel="0" collapsed="false">
      <c r="B1442" s="4" t="n">
        <v>29980696</v>
      </c>
      <c r="C1442" s="4" t="s">
        <v>2449</v>
      </c>
      <c r="D1442" s="4" t="s">
        <v>463</v>
      </c>
      <c r="E1442" s="4" t="s">
        <v>2842</v>
      </c>
      <c r="F1442" s="127" t="n">
        <v>46853</v>
      </c>
      <c r="G1442" s="127" t="n">
        <v>46867</v>
      </c>
      <c r="H1442" s="127" t="n">
        <v>46289</v>
      </c>
      <c r="I1442" s="4" t="n">
        <v>0</v>
      </c>
      <c r="J1442" s="4" t="n">
        <v>0</v>
      </c>
      <c r="K1442" s="4" t="n">
        <v>0</v>
      </c>
      <c r="M1442" s="2" t="str">
        <f aca="false">IF(C1442="","",IFERROR(INDEX($S$5:$S$304,MATCH(C1442,$R$5:$R$304,0))&amp;"","?"))</f>
        <v>28</v>
      </c>
      <c r="N1442" s="2" t="n">
        <f aca="false">IF(E1442="","",IF(ISNUMBER(SEARCH("SUBSOLO",E1442)),IFERROR(-VALUE(LEFT(E1442,FIND("º",SUBSTITUTE(E1442,"°","º"))-1)),-1),IF(LEFT(E1442,6)="TÉRREO",0,IFERROR(VALUE(LEFT(E1442,FIND("º",SUBSTITUTE(E1442,"°","º"))-1)),""))))</f>
        <v>30</v>
      </c>
      <c r="O1442" s="2" t="str">
        <f aca="false">IF(OR(F1442="",G1442=""),"",IF(G1442&lt;='RETRATO 2027'!$K$5,"CONCLUÍDA",IF(F1442&lt;='RETRATO 2027'!$K$5,"EM ANDAMENTO","A INICIAR")))</f>
        <v>A INICIAR</v>
      </c>
    </row>
    <row r="1443" customFormat="false" ht="15" hidden="false" customHeight="false" outlineLevel="0" collapsed="false">
      <c r="B1443" s="4" t="n">
        <v>29980636</v>
      </c>
      <c r="C1443" s="4" t="s">
        <v>2440</v>
      </c>
      <c r="D1443" s="4" t="s">
        <v>463</v>
      </c>
      <c r="E1443" s="4" t="s">
        <v>2843</v>
      </c>
      <c r="F1443" s="127" t="n">
        <v>46853</v>
      </c>
      <c r="G1443" s="127" t="n">
        <v>46867</v>
      </c>
      <c r="H1443" s="127" t="n">
        <v>46289</v>
      </c>
      <c r="I1443" s="4" t="n">
        <v>0</v>
      </c>
      <c r="J1443" s="4" t="n">
        <v>0</v>
      </c>
      <c r="K1443" s="4" t="n">
        <v>0</v>
      </c>
      <c r="M1443" s="2" t="str">
        <f aca="false">IF(C1443="","",IFERROR(INDEX($S$5:$S$304,MATCH(C1443,$R$5:$R$304,0))&amp;"","?"))</f>
        <v>21</v>
      </c>
      <c r="N1443" s="2" t="n">
        <f aca="false">IF(E1443="","",IF(ISNUMBER(SEARCH("SUBSOLO",E1443)),IFERROR(-VALUE(LEFT(E1443,FIND("º",SUBSTITUTE(E1443,"°","º"))-1)),-1),IF(LEFT(E1443,6)="TÉRREO",0,IFERROR(VALUE(LEFT(E1443,FIND("º",SUBSTITUTE(E1443,"°","º"))-1)),""))))</f>
        <v>31</v>
      </c>
      <c r="O1443" s="2" t="str">
        <f aca="false">IF(OR(F1443="",G1443=""),"",IF(G1443&lt;='RETRATO 2027'!$K$5,"CONCLUÍDA",IF(F1443&lt;='RETRATO 2027'!$K$5,"EM ANDAMENTO","A INICIAR")))</f>
        <v>A INICIAR</v>
      </c>
    </row>
    <row r="1444" customFormat="false" ht="15" hidden="false" customHeight="false" outlineLevel="0" collapsed="false">
      <c r="B1444" s="4" t="n">
        <v>29980669</v>
      </c>
      <c r="C1444" s="4" t="s">
        <v>2443</v>
      </c>
      <c r="D1444" s="4" t="s">
        <v>463</v>
      </c>
      <c r="E1444" s="4" t="s">
        <v>2843</v>
      </c>
      <c r="F1444" s="127" t="n">
        <v>46853</v>
      </c>
      <c r="G1444" s="127" t="n">
        <v>46867</v>
      </c>
      <c r="H1444" s="127" t="n">
        <v>46289</v>
      </c>
      <c r="I1444" s="4" t="n">
        <v>0</v>
      </c>
      <c r="J1444" s="4" t="n">
        <v>0</v>
      </c>
      <c r="K1444" s="4" t="n">
        <v>0</v>
      </c>
      <c r="M1444" s="2" t="str">
        <f aca="false">IF(C1444="","",IFERROR(INDEX($S$5:$S$304,MATCH(C1444,$R$5:$R$304,0))&amp;"","?"))</f>
        <v>20</v>
      </c>
      <c r="N1444" s="2" t="n">
        <f aca="false">IF(E1444="","",IF(ISNUMBER(SEARCH("SUBSOLO",E1444)),IFERROR(-VALUE(LEFT(E1444,FIND("º",SUBSTITUTE(E1444,"°","º"))-1)),-1),IF(LEFT(E1444,6)="TÉRREO",0,IFERROR(VALUE(LEFT(E1444,FIND("º",SUBSTITUTE(E1444,"°","º"))-1)),""))))</f>
        <v>31</v>
      </c>
      <c r="O1444" s="2" t="str">
        <f aca="false">IF(OR(F1444="",G1444=""),"",IF(G1444&lt;='RETRATO 2027'!$K$5,"CONCLUÍDA",IF(F1444&lt;='RETRATO 2027'!$K$5,"EM ANDAMENTO","A INICIAR")))</f>
        <v>A INICIAR</v>
      </c>
    </row>
    <row r="1445" customFormat="false" ht="15" hidden="false" customHeight="false" outlineLevel="0" collapsed="false">
      <c r="B1445" s="4" t="n">
        <v>29980598</v>
      </c>
      <c r="C1445" s="4" t="s">
        <v>2437</v>
      </c>
      <c r="D1445" s="4" t="s">
        <v>463</v>
      </c>
      <c r="E1445" s="4" t="s">
        <v>2844</v>
      </c>
      <c r="F1445" s="127" t="n">
        <v>46853</v>
      </c>
      <c r="G1445" s="127" t="n">
        <v>46867</v>
      </c>
      <c r="H1445" s="127" t="n">
        <v>46289</v>
      </c>
      <c r="I1445" s="4" t="n">
        <v>0</v>
      </c>
      <c r="J1445" s="4" t="n">
        <v>0</v>
      </c>
      <c r="K1445" s="4" t="n">
        <v>0</v>
      </c>
      <c r="M1445" s="2" t="str">
        <f aca="false">IF(C1445="","",IFERROR(INDEX($S$5:$S$304,MATCH(C1445,$R$5:$R$304,0))&amp;"","?"))</f>
        <v>29</v>
      </c>
      <c r="N1445" s="2" t="n">
        <f aca="false">IF(E1445="","",IF(ISNUMBER(SEARCH("SUBSOLO",E1445)),IFERROR(-VALUE(LEFT(E1445,FIND("º",SUBSTITUTE(E1445,"°","º"))-1)),-1),IF(LEFT(E1445,6)="TÉRREO",0,IFERROR(VALUE(LEFT(E1445,FIND("º",SUBSTITUTE(E1445,"°","º"))-1)),""))))</f>
        <v>32</v>
      </c>
      <c r="O1445" s="2" t="str">
        <f aca="false">IF(OR(F1445="",G1445=""),"",IF(G1445&lt;='RETRATO 2027'!$K$5,"CONCLUÍDA",IF(F1445&lt;='RETRATO 2027'!$K$5,"EM ANDAMENTO","A INICIAR")))</f>
        <v>A INICIAR</v>
      </c>
    </row>
    <row r="1446" customFormat="false" ht="15" hidden="false" customHeight="false" outlineLevel="0" collapsed="false">
      <c r="B1446" s="4" t="n">
        <v>29981101</v>
      </c>
      <c r="C1446" s="4" t="s">
        <v>2413</v>
      </c>
      <c r="D1446" s="4" t="s">
        <v>463</v>
      </c>
      <c r="E1446" s="4" t="s">
        <v>2822</v>
      </c>
      <c r="F1446" s="127" t="n">
        <v>46854</v>
      </c>
      <c r="G1446" s="127" t="n">
        <v>46868</v>
      </c>
      <c r="H1446" s="127" t="n">
        <v>46289</v>
      </c>
      <c r="I1446" s="4" t="n">
        <v>0</v>
      </c>
      <c r="J1446" s="4" t="n">
        <v>0</v>
      </c>
      <c r="K1446" s="4" t="n">
        <v>0</v>
      </c>
      <c r="M1446" s="2" t="str">
        <f aca="false">IF(C1446="","",IFERROR(INDEX($S$5:$S$304,MATCH(C1446,$R$5:$R$304,0))&amp;"","?"))</f>
        <v>21</v>
      </c>
      <c r="N1446" s="2" t="n">
        <f aca="false">IF(E1446="","",IF(ISNUMBER(SEARCH("SUBSOLO",E1446)),IFERROR(-VALUE(LEFT(E1446,FIND("º",SUBSTITUTE(E1446,"°","º"))-1)),-1),IF(LEFT(E1446,6)="TÉRREO",0,IFERROR(VALUE(LEFT(E1446,FIND("º",SUBSTITUTE(E1446,"°","º"))-1)),""))))</f>
        <v>19</v>
      </c>
      <c r="O1446" s="2" t="str">
        <f aca="false">IF(OR(F1446="",G1446=""),"",IF(G1446&lt;='RETRATO 2027'!$K$5,"CONCLUÍDA",IF(F1446&lt;='RETRATO 2027'!$K$5,"EM ANDAMENTO","A INICIAR")))</f>
        <v>A INICIAR</v>
      </c>
    </row>
    <row r="1447" customFormat="false" ht="15" hidden="false" customHeight="false" outlineLevel="0" collapsed="false">
      <c r="B1447" s="4" t="n">
        <v>30210372</v>
      </c>
      <c r="C1447" s="4" t="s">
        <v>77</v>
      </c>
      <c r="D1447" s="4" t="s">
        <v>463</v>
      </c>
      <c r="E1447" s="4" t="s">
        <v>2852</v>
      </c>
      <c r="F1447" s="127" t="n">
        <v>46854</v>
      </c>
      <c r="G1447" s="127" t="n">
        <v>46903</v>
      </c>
      <c r="H1447" s="127" t="n">
        <v>46289</v>
      </c>
      <c r="I1447" s="4" t="n">
        <v>0</v>
      </c>
      <c r="J1447" s="4" t="n">
        <v>0</v>
      </c>
      <c r="K1447" s="4" t="n">
        <v>0</v>
      </c>
      <c r="M1447" s="2" t="str">
        <f aca="false">IF(C1447="","",IFERROR(INDEX($S$5:$S$304,MATCH(C1447,$R$5:$R$304,0))&amp;"","?"))</f>
        <v>20</v>
      </c>
      <c r="N1447" s="2" t="n">
        <f aca="false">IF(E1447="","",IF(ISNUMBER(SEARCH("SUBSOLO",E1447)),IFERROR(-VALUE(LEFT(E1447,FIND("º",SUBSTITUTE(E1447,"°","º"))-1)),-1),IF(LEFT(E1447,6)="TÉRREO",0,IFERROR(VALUE(LEFT(E1447,FIND("º",SUBSTITUTE(E1447,"°","º"))-1)),""))))</f>
        <v>33</v>
      </c>
      <c r="O1447" s="2" t="str">
        <f aca="false">IF(OR(F1447="",G1447=""),"",IF(G1447&lt;='RETRATO 2027'!$K$5,"CONCLUÍDA",IF(F1447&lt;='RETRATO 2027'!$K$5,"EM ANDAMENTO","A INICIAR")))</f>
        <v>A INICIAR</v>
      </c>
    </row>
    <row r="1448" customFormat="false" ht="15" hidden="false" customHeight="false" outlineLevel="0" collapsed="false">
      <c r="B1448" s="4" t="n">
        <v>30210373</v>
      </c>
      <c r="C1448" s="4" t="s">
        <v>2505</v>
      </c>
      <c r="D1448" s="4" t="s">
        <v>463</v>
      </c>
      <c r="E1448" s="4" t="s">
        <v>2852</v>
      </c>
      <c r="F1448" s="127" t="n">
        <v>46854</v>
      </c>
      <c r="G1448" s="127" t="n">
        <v>46903</v>
      </c>
      <c r="H1448" s="127" t="n">
        <v>46289</v>
      </c>
      <c r="I1448" s="4" t="n">
        <v>0</v>
      </c>
      <c r="J1448" s="4" t="n">
        <v>0</v>
      </c>
      <c r="K1448" s="4" t="n">
        <v>0</v>
      </c>
      <c r="M1448" s="2" t="str">
        <f aca="false">IF(C1448="","",IFERROR(INDEX($S$5:$S$304,MATCH(C1448,$R$5:$R$304,0))&amp;"","?"))</f>
        <v>21</v>
      </c>
      <c r="N1448" s="2" t="n">
        <f aca="false">IF(E1448="","",IF(ISNUMBER(SEARCH("SUBSOLO",E1448)),IFERROR(-VALUE(LEFT(E1448,FIND("º",SUBSTITUTE(E1448,"°","º"))-1)),-1),IF(LEFT(E1448,6)="TÉRREO",0,IFERROR(VALUE(LEFT(E1448,FIND("º",SUBSTITUTE(E1448,"°","º"))-1)),""))))</f>
        <v>33</v>
      </c>
      <c r="O1448" s="2" t="str">
        <f aca="false">IF(OR(F1448="",G1448=""),"",IF(G1448&lt;='RETRATO 2027'!$K$5,"CONCLUÍDA",IF(F1448&lt;='RETRATO 2027'!$K$5,"EM ANDAMENTO","A INICIAR")))</f>
        <v>A INICIAR</v>
      </c>
    </row>
    <row r="1449" customFormat="false" ht="15" hidden="false" customHeight="false" outlineLevel="0" collapsed="false">
      <c r="B1449" s="4" t="n">
        <v>30211205</v>
      </c>
      <c r="C1449" s="4" t="s">
        <v>168</v>
      </c>
      <c r="D1449" s="4" t="s">
        <v>463</v>
      </c>
      <c r="E1449" s="4" t="s">
        <v>2853</v>
      </c>
      <c r="F1449" s="127" t="n">
        <v>46854</v>
      </c>
      <c r="G1449" s="127" t="n">
        <v>46877</v>
      </c>
      <c r="H1449" s="127" t="n">
        <v>46289</v>
      </c>
      <c r="I1449" s="4" t="n">
        <v>0</v>
      </c>
      <c r="J1449" s="4" t="n">
        <v>0</v>
      </c>
      <c r="K1449" s="4" t="n">
        <v>0</v>
      </c>
      <c r="M1449" s="2" t="str">
        <f aca="false">IF(C1449="","",IFERROR(INDEX($S$5:$S$304,MATCH(C1449,$R$5:$R$304,0))&amp;"","?"))</f>
        <v>18</v>
      </c>
      <c r="N1449" s="2" t="n">
        <f aca="false">IF(E1449="","",IF(ISNUMBER(SEARCH("SUBSOLO",E1449)),IFERROR(-VALUE(LEFT(E1449,FIND("º",SUBSTITUTE(E1449,"°","º"))-1)),-1),IF(LEFT(E1449,6)="TÉRREO",0,IFERROR(VALUE(LEFT(E1449,FIND("º",SUBSTITUTE(E1449,"°","º"))-1)),""))))</f>
        <v>34</v>
      </c>
      <c r="O1449" s="2" t="str">
        <f aca="false">IF(OR(F1449="",G1449=""),"",IF(G1449&lt;='RETRATO 2027'!$K$5,"CONCLUÍDA",IF(F1449&lt;='RETRATO 2027'!$K$5,"EM ANDAMENTO","A INICIAR")))</f>
        <v>A INICIAR</v>
      </c>
    </row>
    <row r="1450" customFormat="false" ht="15" hidden="false" customHeight="false" outlineLevel="0" collapsed="false">
      <c r="B1450" s="4" t="n">
        <v>30205688</v>
      </c>
      <c r="C1450" s="4" t="s">
        <v>2563</v>
      </c>
      <c r="D1450" s="4" t="s">
        <v>463</v>
      </c>
      <c r="E1450" s="4" t="s">
        <v>2819</v>
      </c>
      <c r="F1450" s="127" t="n">
        <v>46855</v>
      </c>
      <c r="G1450" s="127" t="n">
        <v>46862</v>
      </c>
      <c r="H1450" s="127" t="n">
        <v>46289</v>
      </c>
      <c r="I1450" s="4" t="n">
        <v>0</v>
      </c>
      <c r="J1450" s="4" t="n">
        <v>0</v>
      </c>
      <c r="K1450" s="4" t="n">
        <v>0</v>
      </c>
      <c r="M1450" s="2" t="str">
        <f aca="false">IF(C1450="","",IFERROR(INDEX($S$5:$S$304,MATCH(C1450,$R$5:$R$304,0))&amp;"","?"))</f>
        <v>20</v>
      </c>
      <c r="N1450" s="2" t="n">
        <f aca="false">IF(E1450="","",IF(ISNUMBER(SEARCH("SUBSOLO",E1450)),IFERROR(-VALUE(LEFT(E1450,FIND("º",SUBSTITUTE(E1450,"°","º"))-1)),-1),IF(LEFT(E1450,6)="TÉRREO",0,IFERROR(VALUE(LEFT(E1450,FIND("º",SUBSTITUTE(E1450,"°","º"))-1)),""))))</f>
        <v>0</v>
      </c>
      <c r="O1450" s="2" t="str">
        <f aca="false">IF(OR(F1450="",G1450=""),"",IF(G1450&lt;='RETRATO 2027'!$K$5,"CONCLUÍDA",IF(F1450&lt;='RETRATO 2027'!$K$5,"EM ANDAMENTO","A INICIAR")))</f>
        <v>A INICIAR</v>
      </c>
    </row>
    <row r="1451" customFormat="false" ht="15" hidden="false" customHeight="false" outlineLevel="0" collapsed="false">
      <c r="B1451" s="4" t="n">
        <v>30205663</v>
      </c>
      <c r="C1451" s="4" t="s">
        <v>2578</v>
      </c>
      <c r="D1451" s="4" t="s">
        <v>463</v>
      </c>
      <c r="E1451" s="4" t="s">
        <v>2821</v>
      </c>
      <c r="F1451" s="127" t="n">
        <v>46855</v>
      </c>
      <c r="G1451" s="127" t="n">
        <v>46870</v>
      </c>
      <c r="H1451" s="127" t="n">
        <v>46289</v>
      </c>
      <c r="I1451" s="4" t="n">
        <v>0</v>
      </c>
      <c r="J1451" s="4" t="n">
        <v>0</v>
      </c>
      <c r="K1451" s="4" t="n">
        <v>0</v>
      </c>
      <c r="M1451" s="2" t="str">
        <f aca="false">IF(C1451="","",IFERROR(INDEX($S$5:$S$304,MATCH(C1451,$R$5:$R$304,0))&amp;"","?"))</f>
        <v>25</v>
      </c>
      <c r="N1451" s="2" t="n">
        <f aca="false">IF(E1451="","",IF(ISNUMBER(SEARCH("SUBSOLO",E1451)),IFERROR(-VALUE(LEFT(E1451,FIND("º",SUBSTITUTE(E1451,"°","º"))-1)),-1),IF(LEFT(E1451,6)="TÉRREO",0,IFERROR(VALUE(LEFT(E1451,FIND("º",SUBSTITUTE(E1451,"°","º"))-1)),""))))</f>
        <v>0</v>
      </c>
      <c r="O1451" s="2" t="str">
        <f aca="false">IF(OR(F1451="",G1451=""),"",IF(G1451&lt;='RETRATO 2027'!$K$5,"CONCLUÍDA",IF(F1451&lt;='RETRATO 2027'!$K$5,"EM ANDAMENTO","A INICIAR")))</f>
        <v>A INICIAR</v>
      </c>
    </row>
    <row r="1452" customFormat="false" ht="15" hidden="false" customHeight="false" outlineLevel="0" collapsed="false">
      <c r="B1452" s="4" t="n">
        <v>30205662</v>
      </c>
      <c r="C1452" s="4" t="s">
        <v>2605</v>
      </c>
      <c r="D1452" s="4" t="s">
        <v>463</v>
      </c>
      <c r="E1452" s="4" t="s">
        <v>2821</v>
      </c>
      <c r="F1452" s="127" t="n">
        <v>46855</v>
      </c>
      <c r="G1452" s="127" t="n">
        <v>46870</v>
      </c>
      <c r="H1452" s="127" t="n">
        <v>46289</v>
      </c>
      <c r="I1452" s="4" t="n">
        <v>0</v>
      </c>
      <c r="J1452" s="4" t="n">
        <v>0</v>
      </c>
      <c r="K1452" s="4" t="n">
        <v>0</v>
      </c>
      <c r="M1452" s="2" t="str">
        <f aca="false">IF(C1452="","",IFERROR(INDEX($S$5:$S$304,MATCH(C1452,$R$5:$R$304,0))&amp;"","?"))</f>
        <v>34</v>
      </c>
      <c r="N1452" s="2" t="n">
        <f aca="false">IF(E1452="","",IF(ISNUMBER(SEARCH("SUBSOLO",E1452)),IFERROR(-VALUE(LEFT(E1452,FIND("º",SUBSTITUTE(E1452,"°","º"))-1)),-1),IF(LEFT(E1452,6)="TÉRREO",0,IFERROR(VALUE(LEFT(E1452,FIND("º",SUBSTITUTE(E1452,"°","º"))-1)),""))))</f>
        <v>0</v>
      </c>
      <c r="O1452" s="2" t="str">
        <f aca="false">IF(OR(F1452="",G1452=""),"",IF(G1452&lt;='RETRATO 2027'!$K$5,"CONCLUÍDA",IF(F1452&lt;='RETRATO 2027'!$K$5,"EM ANDAMENTO","A INICIAR")))</f>
        <v>A INICIAR</v>
      </c>
    </row>
    <row r="1453" customFormat="false" ht="15" hidden="false" customHeight="false" outlineLevel="0" collapsed="false">
      <c r="B1453" s="4" t="n">
        <v>30205660</v>
      </c>
      <c r="C1453" s="4" t="s">
        <v>2607</v>
      </c>
      <c r="D1453" s="4" t="s">
        <v>463</v>
      </c>
      <c r="E1453" s="4" t="s">
        <v>2821</v>
      </c>
      <c r="F1453" s="127" t="n">
        <v>46855</v>
      </c>
      <c r="G1453" s="127" t="n">
        <v>46870</v>
      </c>
      <c r="H1453" s="127" t="n">
        <v>46289</v>
      </c>
      <c r="I1453" s="4" t="n">
        <v>0</v>
      </c>
      <c r="J1453" s="4" t="n">
        <v>0</v>
      </c>
      <c r="K1453" s="4" t="n">
        <v>0</v>
      </c>
      <c r="M1453" s="2" t="str">
        <f aca="false">IF(C1453="","",IFERROR(INDEX($S$5:$S$304,MATCH(C1453,$R$5:$R$304,0))&amp;"","?"))</f>
        <v>34</v>
      </c>
      <c r="N1453" s="2" t="n">
        <f aca="false">IF(E1453="","",IF(ISNUMBER(SEARCH("SUBSOLO",E1453)),IFERROR(-VALUE(LEFT(E1453,FIND("º",SUBSTITUTE(E1453,"°","º"))-1)),-1),IF(LEFT(E1453,6)="TÉRREO",0,IFERROR(VALUE(LEFT(E1453,FIND("º",SUBSTITUTE(E1453,"°","º"))-1)),""))))</f>
        <v>0</v>
      </c>
      <c r="O1453" s="2" t="str">
        <f aca="false">IF(OR(F1453="",G1453=""),"",IF(G1453&lt;='RETRATO 2027'!$K$5,"CONCLUÍDA",IF(F1453&lt;='RETRATO 2027'!$K$5,"EM ANDAMENTO","A INICIAR")))</f>
        <v>A INICIAR</v>
      </c>
    </row>
    <row r="1454" customFormat="false" ht="15" hidden="false" customHeight="false" outlineLevel="0" collapsed="false">
      <c r="B1454" s="4" t="n">
        <v>30205645</v>
      </c>
      <c r="C1454" s="4" t="s">
        <v>2554</v>
      </c>
      <c r="D1454" s="4" t="s">
        <v>463</v>
      </c>
      <c r="E1454" s="4" t="s">
        <v>2824</v>
      </c>
      <c r="F1454" s="127" t="n">
        <v>46855</v>
      </c>
      <c r="G1454" s="127" t="n">
        <v>46870</v>
      </c>
      <c r="H1454" s="127" t="n">
        <v>46289</v>
      </c>
      <c r="I1454" s="4" t="n">
        <v>0</v>
      </c>
      <c r="J1454" s="4" t="n">
        <v>0</v>
      </c>
      <c r="K1454" s="4" t="n">
        <v>0</v>
      </c>
      <c r="M1454" s="2" t="str">
        <f aca="false">IF(C1454="","",IFERROR(INDEX($S$5:$S$304,MATCH(C1454,$R$5:$R$304,0))&amp;"","?"))</f>
        <v>35</v>
      </c>
      <c r="N1454" s="2" t="n">
        <f aca="false">IF(E1454="","",IF(ISNUMBER(SEARCH("SUBSOLO",E1454)),IFERROR(-VALUE(LEFT(E1454,FIND("º",SUBSTITUTE(E1454,"°","º"))-1)),-1),IF(LEFT(E1454,6)="TÉRREO",0,IFERROR(VALUE(LEFT(E1454,FIND("º",SUBSTITUTE(E1454,"°","º"))-1)),""))))</f>
        <v>0</v>
      </c>
      <c r="O1454" s="2" t="str">
        <f aca="false">IF(OR(F1454="",G1454=""),"",IF(G1454&lt;='RETRATO 2027'!$K$5,"CONCLUÍDA",IF(F1454&lt;='RETRATO 2027'!$K$5,"EM ANDAMENTO","A INICIAR")))</f>
        <v>A INICIAR</v>
      </c>
    </row>
    <row r="1455" customFormat="false" ht="15" hidden="false" customHeight="false" outlineLevel="0" collapsed="false">
      <c r="B1455" s="4" t="n">
        <v>29981100</v>
      </c>
      <c r="C1455" s="4" t="s">
        <v>2416</v>
      </c>
      <c r="D1455" s="4" t="s">
        <v>463</v>
      </c>
      <c r="E1455" s="4" t="s">
        <v>2822</v>
      </c>
      <c r="F1455" s="127" t="n">
        <v>46856</v>
      </c>
      <c r="G1455" s="127" t="n">
        <v>46870</v>
      </c>
      <c r="H1455" s="127" t="n">
        <v>46289</v>
      </c>
      <c r="I1455" s="4" t="n">
        <v>0</v>
      </c>
      <c r="J1455" s="4" t="n">
        <v>0</v>
      </c>
      <c r="K1455" s="4" t="n">
        <v>0</v>
      </c>
      <c r="M1455" s="2" t="str">
        <f aca="false">IF(C1455="","",IFERROR(INDEX($S$5:$S$304,MATCH(C1455,$R$5:$R$304,0))&amp;"","?"))</f>
        <v>18</v>
      </c>
      <c r="N1455" s="2" t="n">
        <f aca="false">IF(E1455="","",IF(ISNUMBER(SEARCH("SUBSOLO",E1455)),IFERROR(-VALUE(LEFT(E1455,FIND("º",SUBSTITUTE(E1455,"°","º"))-1)),-1),IF(LEFT(E1455,6)="TÉRREO",0,IFERROR(VALUE(LEFT(E1455,FIND("º",SUBSTITUTE(E1455,"°","º"))-1)),""))))</f>
        <v>19</v>
      </c>
      <c r="O1455" s="2" t="str">
        <f aca="false">IF(OR(F1455="",G1455=""),"",IF(G1455&lt;='RETRATO 2027'!$K$5,"CONCLUÍDA",IF(F1455&lt;='RETRATO 2027'!$K$5,"EM ANDAMENTO","A INICIAR")))</f>
        <v>A INICIAR</v>
      </c>
    </row>
    <row r="1456" customFormat="false" ht="15" hidden="false" customHeight="false" outlineLevel="0" collapsed="false">
      <c r="B1456" s="4" t="n">
        <v>30205717</v>
      </c>
      <c r="C1456" s="4" t="s">
        <v>2631</v>
      </c>
      <c r="D1456" s="4" t="s">
        <v>463</v>
      </c>
      <c r="E1456" s="4" t="s">
        <v>2740</v>
      </c>
      <c r="F1456" s="127" t="n">
        <v>46860</v>
      </c>
      <c r="G1456" s="127" t="n">
        <v>46891</v>
      </c>
      <c r="H1456" s="127" t="n">
        <v>46289</v>
      </c>
      <c r="I1456" s="4" t="n">
        <v>0</v>
      </c>
      <c r="J1456" s="4" t="n">
        <v>0</v>
      </c>
      <c r="K1456" s="4" t="n">
        <v>0</v>
      </c>
      <c r="M1456" s="2" t="str">
        <f aca="false">IF(C1456="","",IFERROR(INDEX($S$5:$S$304,MATCH(C1456,$R$5:$R$304,0))&amp;"","?"))</f>
        <v>35</v>
      </c>
      <c r="N1456" s="2" t="n">
        <f aca="false">IF(E1456="","",IF(ISNUMBER(SEARCH("SUBSOLO",E1456)),IFERROR(-VALUE(LEFT(E1456,FIND("º",SUBSTITUTE(E1456,"°","º"))-1)),-1),IF(LEFT(E1456,6)="TÉRREO",0,IFERROR(VALUE(LEFT(E1456,FIND("º",SUBSTITUTE(E1456,"°","º"))-1)),""))))</f>
        <v>-1</v>
      </c>
      <c r="O1456" s="2" t="str">
        <f aca="false">IF(OR(F1456="",G1456=""),"",IF(G1456&lt;='RETRATO 2027'!$K$5,"CONCLUÍDA",IF(F1456&lt;='RETRATO 2027'!$K$5,"EM ANDAMENTO","A INICIAR")))</f>
        <v>A INICIAR</v>
      </c>
    </row>
    <row r="1457" customFormat="false" ht="15" hidden="false" customHeight="false" outlineLevel="0" collapsed="false">
      <c r="B1457" s="4" t="n">
        <v>30205733</v>
      </c>
      <c r="C1457" s="4" t="s">
        <v>2633</v>
      </c>
      <c r="D1457" s="4" t="s">
        <v>463</v>
      </c>
      <c r="E1457" s="4" t="s">
        <v>2740</v>
      </c>
      <c r="F1457" s="127" t="n">
        <v>46860</v>
      </c>
      <c r="G1457" s="127" t="n">
        <v>46891</v>
      </c>
      <c r="H1457" s="127" t="n">
        <v>46289</v>
      </c>
      <c r="I1457" s="4" t="n">
        <v>0</v>
      </c>
      <c r="J1457" s="4" t="n">
        <v>0</v>
      </c>
      <c r="K1457" s="4" t="n">
        <v>0</v>
      </c>
      <c r="M1457" s="2" t="str">
        <f aca="false">IF(C1457="","",IFERROR(INDEX($S$5:$S$304,MATCH(C1457,$R$5:$R$304,0))&amp;"","?"))</f>
        <v>35</v>
      </c>
      <c r="N1457" s="2" t="n">
        <f aca="false">IF(E1457="","",IF(ISNUMBER(SEARCH("SUBSOLO",E1457)),IFERROR(-VALUE(LEFT(E1457,FIND("º",SUBSTITUTE(E1457,"°","º"))-1)),-1),IF(LEFT(E1457,6)="TÉRREO",0,IFERROR(VALUE(LEFT(E1457,FIND("º",SUBSTITUTE(E1457,"°","º"))-1)),""))))</f>
        <v>-1</v>
      </c>
      <c r="O1457" s="2" t="str">
        <f aca="false">IF(OR(F1457="",G1457=""),"",IF(G1457&lt;='RETRATO 2027'!$K$5,"CONCLUÍDA",IF(F1457&lt;='RETRATO 2027'!$K$5,"EM ANDAMENTO","A INICIAR")))</f>
        <v>A INICIAR</v>
      </c>
    </row>
    <row r="1458" customFormat="false" ht="15" hidden="false" customHeight="false" outlineLevel="0" collapsed="false">
      <c r="B1458" s="4" t="n">
        <v>30205852</v>
      </c>
      <c r="C1458" s="4" t="s">
        <v>2501</v>
      </c>
      <c r="D1458" s="4" t="s">
        <v>463</v>
      </c>
      <c r="E1458" s="4" t="s">
        <v>2782</v>
      </c>
      <c r="F1458" s="127" t="n">
        <v>46860</v>
      </c>
      <c r="G1458" s="127" t="n">
        <v>46875</v>
      </c>
      <c r="H1458" s="127" t="n">
        <v>46289</v>
      </c>
      <c r="I1458" s="4" t="n">
        <v>0</v>
      </c>
      <c r="J1458" s="4" t="n">
        <v>0</v>
      </c>
      <c r="K1458" s="4" t="n">
        <v>0</v>
      </c>
      <c r="M1458" s="2" t="str">
        <f aca="false">IF(C1458="","",IFERROR(INDEX($S$5:$S$304,MATCH(C1458,$R$5:$R$304,0))&amp;"","?"))</f>
        <v>30</v>
      </c>
      <c r="N1458" s="2" t="n">
        <f aca="false">IF(E1458="","",IF(ISNUMBER(SEARCH("SUBSOLO",E1458)),IFERROR(-VALUE(LEFT(E1458,FIND("º",SUBSTITUTE(E1458,"°","º"))-1)),-1),IF(LEFT(E1458,6)="TÉRREO",0,IFERROR(VALUE(LEFT(E1458,FIND("º",SUBSTITUTE(E1458,"°","º"))-1)),""))))</f>
        <v>1</v>
      </c>
      <c r="O1458" s="2" t="str">
        <f aca="false">IF(OR(F1458="",G1458=""),"",IF(G1458&lt;='RETRATO 2027'!$K$5,"CONCLUÍDA",IF(F1458&lt;='RETRATO 2027'!$K$5,"EM ANDAMENTO","A INICIAR")))</f>
        <v>A INICIAR</v>
      </c>
    </row>
    <row r="1459" customFormat="false" ht="15" hidden="false" customHeight="false" outlineLevel="0" collapsed="false">
      <c r="B1459" s="4" t="n">
        <v>31791437</v>
      </c>
      <c r="C1459" s="4" t="s">
        <v>2635</v>
      </c>
      <c r="D1459" s="4" t="s">
        <v>463</v>
      </c>
      <c r="E1459" s="4" t="s">
        <v>2678</v>
      </c>
      <c r="F1459" s="127" t="n">
        <v>46860</v>
      </c>
      <c r="G1459" s="127" t="n">
        <v>46882</v>
      </c>
      <c r="H1459" s="127" t="n">
        <v>46289</v>
      </c>
      <c r="I1459" s="4" t="n">
        <v>0</v>
      </c>
      <c r="J1459" s="4" t="n">
        <v>0</v>
      </c>
      <c r="K1459" s="4" t="n">
        <v>0</v>
      </c>
      <c r="M1459" s="2" t="str">
        <f aca="false">IF(C1459="","",IFERROR(INDEX($S$5:$S$304,MATCH(C1459,$R$5:$R$304,0))&amp;"","?"))</f>
        <v>32</v>
      </c>
      <c r="N1459" s="2" t="str">
        <f aca="false"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 t="str">
        <f aca="false">IF(OR(F1459="",G1459=""),"",IF(G1459&lt;='RETRATO 2027'!$K$5,"CONCLUÍDA",IF(F1459&lt;='RETRATO 2027'!$K$5,"EM ANDAMENTO","A INICIAR")))</f>
        <v>A INICIAR</v>
      </c>
    </row>
    <row r="1460" customFormat="false" ht="15" hidden="false" customHeight="false" outlineLevel="0" collapsed="false">
      <c r="B1460" s="4" t="n">
        <v>30206123</v>
      </c>
      <c r="C1460" s="4" t="s">
        <v>2449</v>
      </c>
      <c r="D1460" s="4" t="s">
        <v>463</v>
      </c>
      <c r="E1460" s="4" t="s">
        <v>2846</v>
      </c>
      <c r="F1460" s="127" t="n">
        <v>46861</v>
      </c>
      <c r="G1460" s="127" t="n">
        <v>46876</v>
      </c>
      <c r="H1460" s="127" t="n">
        <v>46289</v>
      </c>
      <c r="I1460" s="4" t="n">
        <v>0</v>
      </c>
      <c r="J1460" s="4" t="n">
        <v>0</v>
      </c>
      <c r="K1460" s="4" t="n">
        <v>0</v>
      </c>
      <c r="M1460" s="2" t="str">
        <f aca="false">IF(C1460="","",IFERROR(INDEX($S$5:$S$304,MATCH(C1460,$R$5:$R$304,0))&amp;"","?"))</f>
        <v>28</v>
      </c>
      <c r="N1460" s="2" t="n">
        <f aca="false">IF(E1460="","",IF(ISNUMBER(SEARCH("SUBSOLO",E1460)),IFERROR(-VALUE(LEFT(E1460,FIND("º",SUBSTITUTE(E1460,"°","º"))-1)),-1),IF(LEFT(E1460,6)="TÉRREO",0,IFERROR(VALUE(LEFT(E1460,FIND("º",SUBSTITUTE(E1460,"°","º"))-1)),""))))</f>
        <v>6</v>
      </c>
      <c r="O1460" s="2" t="str">
        <f aca="false">IF(OR(F1460="",G1460=""),"",IF(G1460&lt;='RETRATO 2027'!$K$5,"CONCLUÍDA",IF(F1460&lt;='RETRATO 2027'!$K$5,"EM ANDAMENTO","A INICIAR")))</f>
        <v>A INICIAR</v>
      </c>
    </row>
    <row r="1461" customFormat="false" ht="15" hidden="false" customHeight="false" outlineLevel="0" collapsed="false">
      <c r="B1461" s="4" t="n">
        <v>30206063</v>
      </c>
      <c r="C1461" s="4" t="s">
        <v>2440</v>
      </c>
      <c r="D1461" s="4" t="s">
        <v>463</v>
      </c>
      <c r="E1461" s="4" t="s">
        <v>2847</v>
      </c>
      <c r="F1461" s="127" t="n">
        <v>46861</v>
      </c>
      <c r="G1461" s="127" t="n">
        <v>46876</v>
      </c>
      <c r="H1461" s="127" t="n">
        <v>46289</v>
      </c>
      <c r="I1461" s="4" t="n">
        <v>0</v>
      </c>
      <c r="J1461" s="4" t="n">
        <v>0</v>
      </c>
      <c r="K1461" s="4" t="n">
        <v>0</v>
      </c>
      <c r="M1461" s="2" t="str">
        <f aca="false">IF(C1461="","",IFERROR(INDEX($S$5:$S$304,MATCH(C1461,$R$5:$R$304,0))&amp;"","?"))</f>
        <v>21</v>
      </c>
      <c r="N1461" s="2" t="n">
        <f aca="false">IF(E1461="","",IF(ISNUMBER(SEARCH("SUBSOLO",E1461)),IFERROR(-VALUE(LEFT(E1461,FIND("º",SUBSTITUTE(E1461,"°","º"))-1)),-1),IF(LEFT(E1461,6)="TÉRREO",0,IFERROR(VALUE(LEFT(E1461,FIND("º",SUBSTITUTE(E1461,"°","º"))-1)),""))))</f>
        <v>6</v>
      </c>
      <c r="O1461" s="2" t="str">
        <f aca="false">IF(OR(F1461="",G1461=""),"",IF(G1461&lt;='RETRATO 2027'!$K$5,"CONCLUÍDA",IF(F1461&lt;='RETRATO 2027'!$K$5,"EM ANDAMENTO","A INICIAR")))</f>
        <v>A INICIAR</v>
      </c>
    </row>
    <row r="1462" customFormat="false" ht="15" hidden="false" customHeight="false" outlineLevel="0" collapsed="false">
      <c r="B1462" s="4" t="n">
        <v>30206025</v>
      </c>
      <c r="C1462" s="4" t="s">
        <v>2437</v>
      </c>
      <c r="D1462" s="4" t="s">
        <v>463</v>
      </c>
      <c r="E1462" s="4" t="s">
        <v>2848</v>
      </c>
      <c r="F1462" s="127" t="n">
        <v>46861</v>
      </c>
      <c r="G1462" s="127" t="n">
        <v>46876</v>
      </c>
      <c r="H1462" s="127" t="n">
        <v>46289</v>
      </c>
      <c r="I1462" s="4" t="n">
        <v>0</v>
      </c>
      <c r="J1462" s="4" t="n">
        <v>0</v>
      </c>
      <c r="K1462" s="4" t="n">
        <v>0</v>
      </c>
      <c r="M1462" s="2" t="str">
        <f aca="false">IF(C1462="","",IFERROR(INDEX($S$5:$S$304,MATCH(C1462,$R$5:$R$304,0))&amp;"","?"))</f>
        <v>29</v>
      </c>
      <c r="N1462" s="2" t="n">
        <f aca="false">IF(E1462="","",IF(ISNUMBER(SEARCH("SUBSOLO",E1462)),IFERROR(-VALUE(LEFT(E1462,FIND("º",SUBSTITUTE(E1462,"°","º"))-1)),-1),IF(LEFT(E1462,6)="TÉRREO",0,IFERROR(VALUE(LEFT(E1462,FIND("º",SUBSTITUTE(E1462,"°","º"))-1)),""))))</f>
        <v>6</v>
      </c>
      <c r="O1462" s="2" t="str">
        <f aca="false">IF(OR(F1462="",G1462=""),"",IF(G1462&lt;='RETRATO 2027'!$K$5,"CONCLUÍDA",IF(F1462&lt;='RETRATO 2027'!$K$5,"EM ANDAMENTO","A INICIAR")))</f>
        <v>A INICIAR</v>
      </c>
    </row>
    <row r="1463" customFormat="false" ht="15" hidden="false" customHeight="false" outlineLevel="0" collapsed="false">
      <c r="B1463" s="4" t="n">
        <v>30205707</v>
      </c>
      <c r="C1463" s="4" t="s">
        <v>2615</v>
      </c>
      <c r="D1463" s="4" t="s">
        <v>463</v>
      </c>
      <c r="E1463" s="4" t="s">
        <v>2819</v>
      </c>
      <c r="F1463" s="127" t="n">
        <v>46863</v>
      </c>
      <c r="G1463" s="127" t="n">
        <v>46878</v>
      </c>
      <c r="H1463" s="127" t="n">
        <v>46289</v>
      </c>
      <c r="I1463" s="4" t="n">
        <v>0</v>
      </c>
      <c r="J1463" s="4" t="n">
        <v>0</v>
      </c>
      <c r="K1463" s="4" t="n">
        <v>0</v>
      </c>
      <c r="M1463" s="2" t="str">
        <f aca="false">IF(C1463="","",IFERROR(INDEX($S$5:$S$304,MATCH(C1463,$R$5:$R$304,0))&amp;"","?"))</f>
        <v>37</v>
      </c>
      <c r="N1463" s="2" t="n">
        <f aca="false">IF(E1463="","",IF(ISNUMBER(SEARCH("SUBSOLO",E1463)),IFERROR(-VALUE(LEFT(E1463,FIND("º",SUBSTITUTE(E1463,"°","º"))-1)),-1),IF(LEFT(E1463,6)="TÉRREO",0,IFERROR(VALUE(LEFT(E1463,FIND("º",SUBSTITUTE(E1463,"°","º"))-1)),""))))</f>
        <v>0</v>
      </c>
      <c r="O1463" s="2" t="str">
        <f aca="false">IF(OR(F1463="",G1463=""),"",IF(G1463&lt;='RETRATO 2027'!$K$5,"CONCLUÍDA",IF(F1463&lt;='RETRATO 2027'!$K$5,"EM ANDAMENTO","A INICIAR")))</f>
        <v>A INICIAR</v>
      </c>
    </row>
    <row r="1464" customFormat="false" ht="15" hidden="false" customHeight="false" outlineLevel="0" collapsed="false">
      <c r="B1464" s="4" t="n">
        <v>30171516</v>
      </c>
      <c r="C1464" s="4" t="s">
        <v>2623</v>
      </c>
      <c r="D1464" s="4" t="s">
        <v>463</v>
      </c>
      <c r="E1464" s="4" t="s">
        <v>2817</v>
      </c>
      <c r="F1464" s="127" t="n">
        <v>46867</v>
      </c>
      <c r="G1464" s="127" t="n">
        <v>47165</v>
      </c>
      <c r="H1464" s="127" t="n">
        <v>46289</v>
      </c>
      <c r="I1464" s="4" t="n">
        <v>0</v>
      </c>
      <c r="J1464" s="4" t="n">
        <v>0</v>
      </c>
      <c r="K1464" s="4" t="n">
        <v>0</v>
      </c>
      <c r="M1464" s="2" t="str">
        <f aca="false">IF(C1464="","",IFERROR(INDEX($S$5:$S$304,MATCH(C1464,$R$5:$R$304,0))&amp;"","?"))</f>
        <v>35</v>
      </c>
      <c r="N1464" s="2" t="str">
        <f aca="false"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 t="str">
        <f aca="false">IF(OR(F1464="",G1464=""),"",IF(G1464&lt;='RETRATO 2027'!$K$5,"CONCLUÍDA",IF(F1464&lt;='RETRATO 2027'!$K$5,"EM ANDAMENTO","A INICIAR")))</f>
        <v>A INICIAR</v>
      </c>
    </row>
    <row r="1465" customFormat="false" ht="15" hidden="false" customHeight="false" outlineLevel="0" collapsed="false">
      <c r="B1465" s="4" t="n">
        <v>29981539</v>
      </c>
      <c r="C1465" s="4" t="s">
        <v>2637</v>
      </c>
      <c r="D1465" s="4" t="s">
        <v>463</v>
      </c>
      <c r="E1465" s="4" t="s">
        <v>2803</v>
      </c>
      <c r="F1465" s="127" t="n">
        <v>46867</v>
      </c>
      <c r="G1465" s="127" t="n">
        <v>46871</v>
      </c>
      <c r="H1465" s="127" t="n">
        <v>46289</v>
      </c>
      <c r="I1465" s="4" t="n">
        <v>0</v>
      </c>
      <c r="J1465" s="4" t="n">
        <v>0</v>
      </c>
      <c r="K1465" s="4" t="n">
        <v>0</v>
      </c>
      <c r="M1465" s="2" t="str">
        <f aca="false">IF(C1465="","",IFERROR(INDEX($S$5:$S$304,MATCH(C1465,$R$5:$R$304,0))&amp;"","?"))</f>
        <v/>
      </c>
      <c r="N1465" s="2" t="n">
        <f aca="false">IF(E1465="","",IF(ISNUMBER(SEARCH("SUBSOLO",E1465)),IFERROR(-VALUE(LEFT(E1465,FIND("º",SUBSTITUTE(E1465,"°","º"))-1)),-1),IF(LEFT(E1465,6)="TÉRREO",0,IFERROR(VALUE(LEFT(E1465,FIND("º",SUBSTITUTE(E1465,"°","º"))-1)),""))))</f>
        <v>7</v>
      </c>
      <c r="O1465" s="2" t="str">
        <f aca="false">IF(OR(F1465="",G1465=""),"",IF(G1465&lt;='RETRATO 2027'!$K$5,"CONCLUÍDA",IF(F1465&lt;='RETRATO 2027'!$K$5,"EM ANDAMENTO","A INICIAR")))</f>
        <v>A INICIAR</v>
      </c>
    </row>
    <row r="1466" customFormat="false" ht="15" hidden="false" customHeight="false" outlineLevel="0" collapsed="false">
      <c r="B1466" s="4" t="n">
        <v>29981504</v>
      </c>
      <c r="C1466" s="4" t="s">
        <v>2629</v>
      </c>
      <c r="D1466" s="4" t="s">
        <v>463</v>
      </c>
      <c r="E1466" s="4" t="s">
        <v>2804</v>
      </c>
      <c r="F1466" s="127" t="n">
        <v>46867</v>
      </c>
      <c r="G1466" s="127" t="n">
        <v>46878</v>
      </c>
      <c r="H1466" s="127" t="n">
        <v>46289</v>
      </c>
      <c r="I1466" s="4" t="n">
        <v>0</v>
      </c>
      <c r="J1466" s="4" t="n">
        <v>0</v>
      </c>
      <c r="K1466" s="4" t="n">
        <v>0</v>
      </c>
      <c r="M1466" s="2" t="str">
        <f aca="false">IF(C1466="","",IFERROR(INDEX($S$5:$S$304,MATCH(C1466,$R$5:$R$304,0))&amp;"","?"))</f>
        <v>20</v>
      </c>
      <c r="N1466" s="2" t="n">
        <f aca="false">IF(E1466="","",IF(ISNUMBER(SEARCH("SUBSOLO",E1466)),IFERROR(-VALUE(LEFT(E1466,FIND("º",SUBSTITUTE(E1466,"°","º"))-1)),-1),IF(LEFT(E1466,6)="TÉRREO",0,IFERROR(VALUE(LEFT(E1466,FIND("º",SUBSTITUTE(E1466,"°","º"))-1)),""))))</f>
        <v>8</v>
      </c>
      <c r="O1466" s="2" t="str">
        <f aca="false">IF(OR(F1466="",G1466=""),"",IF(G1466&lt;='RETRATO 2027'!$K$5,"CONCLUÍDA",IF(F1466&lt;='RETRATO 2027'!$K$5,"EM ANDAMENTO","A INICIAR")))</f>
        <v>A INICIAR</v>
      </c>
    </row>
    <row r="1467" customFormat="false" ht="15" hidden="false" customHeight="false" outlineLevel="0" collapsed="false">
      <c r="B1467" s="4" t="n">
        <v>29981464</v>
      </c>
      <c r="C1467" s="4" t="s">
        <v>2623</v>
      </c>
      <c r="D1467" s="4" t="s">
        <v>463</v>
      </c>
      <c r="E1467" s="4" t="s">
        <v>2805</v>
      </c>
      <c r="F1467" s="127" t="n">
        <v>46867</v>
      </c>
      <c r="G1467" s="127" t="n">
        <v>46878</v>
      </c>
      <c r="H1467" s="127" t="n">
        <v>46289</v>
      </c>
      <c r="I1467" s="4" t="n">
        <v>0</v>
      </c>
      <c r="J1467" s="4" t="n">
        <v>0</v>
      </c>
      <c r="K1467" s="4" t="n">
        <v>0</v>
      </c>
      <c r="M1467" s="2" t="str">
        <f aca="false">IF(C1467="","",IFERROR(INDEX($S$5:$S$304,MATCH(C1467,$R$5:$R$304,0))&amp;"","?"))</f>
        <v>35</v>
      </c>
      <c r="N1467" s="2" t="n">
        <f aca="false">IF(E1467="","",IF(ISNUMBER(SEARCH("SUBSOLO",E1467)),IFERROR(-VALUE(LEFT(E1467,FIND("º",SUBSTITUTE(E1467,"°","º"))-1)),-1),IF(LEFT(E1467,6)="TÉRREO",0,IFERROR(VALUE(LEFT(E1467,FIND("º",SUBSTITUTE(E1467,"°","º"))-1)),""))))</f>
        <v>9</v>
      </c>
      <c r="O1467" s="2" t="str">
        <f aca="false">IF(OR(F1467="",G1467=""),"",IF(G1467&lt;='RETRATO 2027'!$K$5,"CONCLUÍDA",IF(F1467&lt;='RETRATO 2027'!$K$5,"EM ANDAMENTO","A INICIAR")))</f>
        <v>A INICIAR</v>
      </c>
    </row>
    <row r="1468" customFormat="false" ht="15" hidden="false" customHeight="false" outlineLevel="0" collapsed="false">
      <c r="B1468" s="4" t="n">
        <v>33919787</v>
      </c>
      <c r="C1468" s="4" t="s">
        <v>2625</v>
      </c>
      <c r="D1468" s="4" t="s">
        <v>463</v>
      </c>
      <c r="E1468" s="4" t="s">
        <v>2805</v>
      </c>
      <c r="F1468" s="127" t="n">
        <v>46867</v>
      </c>
      <c r="G1468" s="127" t="n">
        <v>46878</v>
      </c>
      <c r="H1468" s="127" t="n">
        <v>46289</v>
      </c>
      <c r="I1468" s="4" t="n">
        <v>0</v>
      </c>
      <c r="J1468" s="4" t="n">
        <v>0</v>
      </c>
      <c r="K1468" s="4" t="n">
        <v>0</v>
      </c>
      <c r="M1468" s="2" t="str">
        <f aca="false">IF(C1468="","",IFERROR(INDEX($S$5:$S$304,MATCH(C1468,$R$5:$R$304,0))&amp;"","?"))</f>
        <v>32</v>
      </c>
      <c r="N1468" s="2" t="n">
        <f aca="false">IF(E1468="","",IF(ISNUMBER(SEARCH("SUBSOLO",E1468)),IFERROR(-VALUE(LEFT(E1468,FIND("º",SUBSTITUTE(E1468,"°","º"))-1)),-1),IF(LEFT(E1468,6)="TÉRREO",0,IFERROR(VALUE(LEFT(E1468,FIND("º",SUBSTITUTE(E1468,"°","º"))-1)),""))))</f>
        <v>9</v>
      </c>
      <c r="O1468" s="2" t="str">
        <f aca="false">IF(OR(F1468="",G1468=""),"",IF(G1468&lt;='RETRATO 2027'!$K$5,"CONCLUÍDA",IF(F1468&lt;='RETRATO 2027'!$K$5,"EM ANDAMENTO","A INICIAR")))</f>
        <v>A INICIAR</v>
      </c>
    </row>
    <row r="1469" customFormat="false" ht="15" hidden="false" customHeight="false" outlineLevel="0" collapsed="false">
      <c r="B1469" s="4" t="n">
        <v>29981426</v>
      </c>
      <c r="C1469" s="4" t="s">
        <v>2615</v>
      </c>
      <c r="D1469" s="4" t="s">
        <v>463</v>
      </c>
      <c r="E1469" s="4" t="s">
        <v>2809</v>
      </c>
      <c r="F1469" s="127" t="n">
        <v>46867</v>
      </c>
      <c r="G1469" s="127" t="n">
        <v>46878</v>
      </c>
      <c r="H1469" s="127" t="n">
        <v>46289</v>
      </c>
      <c r="I1469" s="4" t="n">
        <v>0</v>
      </c>
      <c r="J1469" s="4" t="n">
        <v>0</v>
      </c>
      <c r="K1469" s="4" t="n">
        <v>0</v>
      </c>
      <c r="M1469" s="2" t="str">
        <f aca="false">IF(C1469="","",IFERROR(INDEX($S$5:$S$304,MATCH(C1469,$R$5:$R$304,0))&amp;"","?"))</f>
        <v>37</v>
      </c>
      <c r="N1469" s="2" t="n">
        <f aca="false">IF(E1469="","",IF(ISNUMBER(SEARCH("SUBSOLO",E1469)),IFERROR(-VALUE(LEFT(E1469,FIND("º",SUBSTITUTE(E1469,"°","º"))-1)),-1),IF(LEFT(E1469,6)="TÉRREO",0,IFERROR(VALUE(LEFT(E1469,FIND("º",SUBSTITUTE(E1469,"°","º"))-1)),""))))</f>
        <v>10</v>
      </c>
      <c r="O1469" s="2" t="str">
        <f aca="false">IF(OR(F1469="",G1469=""),"",IF(G1469&lt;='RETRATO 2027'!$K$5,"CONCLUÍDA",IF(F1469&lt;='RETRATO 2027'!$K$5,"EM ANDAMENTO","A INICIAR")))</f>
        <v>A INICIAR</v>
      </c>
    </row>
    <row r="1470" customFormat="false" ht="15" hidden="false" customHeight="false" outlineLevel="0" collapsed="false">
      <c r="B1470" s="4" t="n">
        <v>29981383</v>
      </c>
      <c r="C1470" s="4" t="s">
        <v>2605</v>
      </c>
      <c r="D1470" s="4" t="s">
        <v>463</v>
      </c>
      <c r="E1470" s="4" t="s">
        <v>2810</v>
      </c>
      <c r="F1470" s="127" t="n">
        <v>46867</v>
      </c>
      <c r="G1470" s="127" t="n">
        <v>46878</v>
      </c>
      <c r="H1470" s="127" t="n">
        <v>46289</v>
      </c>
      <c r="I1470" s="4" t="n">
        <v>0</v>
      </c>
      <c r="J1470" s="4" t="n">
        <v>0</v>
      </c>
      <c r="K1470" s="4" t="n">
        <v>0</v>
      </c>
      <c r="M1470" s="2" t="str">
        <f aca="false">IF(C1470="","",IFERROR(INDEX($S$5:$S$304,MATCH(C1470,$R$5:$R$304,0))&amp;"","?"))</f>
        <v>34</v>
      </c>
      <c r="N1470" s="2" t="n">
        <f aca="false">IF(E1470="","",IF(ISNUMBER(SEARCH("SUBSOLO",E1470)),IFERROR(-VALUE(LEFT(E1470,FIND("º",SUBSTITUTE(E1470,"°","º"))-1)),-1),IF(LEFT(E1470,6)="TÉRREO",0,IFERROR(VALUE(LEFT(E1470,FIND("º",SUBSTITUTE(E1470,"°","º"))-1)),""))))</f>
        <v>11</v>
      </c>
      <c r="O1470" s="2" t="str">
        <f aca="false">IF(OR(F1470="",G1470=""),"",IF(G1470&lt;='RETRATO 2027'!$K$5,"CONCLUÍDA",IF(F1470&lt;='RETRATO 2027'!$K$5,"EM ANDAMENTO","A INICIAR")))</f>
        <v>A INICIAR</v>
      </c>
    </row>
    <row r="1471" customFormat="false" ht="15" hidden="false" customHeight="false" outlineLevel="0" collapsed="false">
      <c r="B1471" s="4" t="n">
        <v>29981388</v>
      </c>
      <c r="C1471" s="4" t="s">
        <v>2607</v>
      </c>
      <c r="D1471" s="4" t="s">
        <v>463</v>
      </c>
      <c r="E1471" s="4" t="s">
        <v>2810</v>
      </c>
      <c r="F1471" s="127" t="n">
        <v>46867</v>
      </c>
      <c r="G1471" s="127" t="n">
        <v>46878</v>
      </c>
      <c r="H1471" s="127" t="n">
        <v>46289</v>
      </c>
      <c r="I1471" s="4" t="n">
        <v>0</v>
      </c>
      <c r="J1471" s="4" t="n">
        <v>0</v>
      </c>
      <c r="K1471" s="4" t="n">
        <v>0</v>
      </c>
      <c r="M1471" s="2" t="str">
        <f aca="false">IF(C1471="","",IFERROR(INDEX($S$5:$S$304,MATCH(C1471,$R$5:$R$304,0))&amp;"","?"))</f>
        <v>34</v>
      </c>
      <c r="N1471" s="2" t="n">
        <f aca="false">IF(E1471="","",IF(ISNUMBER(SEARCH("SUBSOLO",E1471)),IFERROR(-VALUE(LEFT(E1471,FIND("º",SUBSTITUTE(E1471,"°","º"))-1)),-1),IF(LEFT(E1471,6)="TÉRREO",0,IFERROR(VALUE(LEFT(E1471,FIND("º",SUBSTITUTE(E1471,"°","º"))-1)),""))))</f>
        <v>11</v>
      </c>
      <c r="O1471" s="2" t="str">
        <f aca="false">IF(OR(F1471="",G1471=""),"",IF(G1471&lt;='RETRATO 2027'!$K$5,"CONCLUÍDA",IF(F1471&lt;='RETRATO 2027'!$K$5,"EM ANDAMENTO","A INICIAR")))</f>
        <v>A INICIAR</v>
      </c>
    </row>
    <row r="1472" customFormat="false" ht="15" hidden="false" customHeight="false" outlineLevel="0" collapsed="false">
      <c r="B1472" s="4" t="n">
        <v>29981387</v>
      </c>
      <c r="C1472" s="4" t="s">
        <v>2563</v>
      </c>
      <c r="D1472" s="4" t="s">
        <v>463</v>
      </c>
      <c r="E1472" s="4" t="s">
        <v>2810</v>
      </c>
      <c r="F1472" s="127" t="n">
        <v>46867</v>
      </c>
      <c r="G1472" s="127" t="n">
        <v>46878</v>
      </c>
      <c r="H1472" s="127" t="n">
        <v>46289</v>
      </c>
      <c r="I1472" s="4" t="n">
        <v>0</v>
      </c>
      <c r="J1472" s="4" t="n">
        <v>0</v>
      </c>
      <c r="K1472" s="4" t="n">
        <v>0</v>
      </c>
      <c r="M1472" s="2" t="str">
        <f aca="false">IF(C1472="","",IFERROR(INDEX($S$5:$S$304,MATCH(C1472,$R$5:$R$304,0))&amp;"","?"))</f>
        <v>20</v>
      </c>
      <c r="N1472" s="2" t="n">
        <f aca="false">IF(E1472="","",IF(ISNUMBER(SEARCH("SUBSOLO",E1472)),IFERROR(-VALUE(LEFT(E1472,FIND("º",SUBSTITUTE(E1472,"°","º"))-1)),-1),IF(LEFT(E1472,6)="TÉRREO",0,IFERROR(VALUE(LEFT(E1472,FIND("º",SUBSTITUTE(E1472,"°","º"))-1)),""))))</f>
        <v>11</v>
      </c>
      <c r="O1472" s="2" t="str">
        <f aca="false">IF(OR(F1472="",G1472=""),"",IF(G1472&lt;='RETRATO 2027'!$K$5,"CONCLUÍDA",IF(F1472&lt;='RETRATO 2027'!$K$5,"EM ANDAMENTO","A INICIAR")))</f>
        <v>A INICIAR</v>
      </c>
    </row>
    <row r="1473" customFormat="false" ht="15" hidden="false" customHeight="false" outlineLevel="0" collapsed="false">
      <c r="B1473" s="4" t="n">
        <v>29981386</v>
      </c>
      <c r="C1473" s="4" t="s">
        <v>2609</v>
      </c>
      <c r="D1473" s="4" t="s">
        <v>463</v>
      </c>
      <c r="E1473" s="4" t="s">
        <v>2810</v>
      </c>
      <c r="F1473" s="127" t="n">
        <v>46867</v>
      </c>
      <c r="G1473" s="127" t="n">
        <v>46878</v>
      </c>
      <c r="H1473" s="127" t="n">
        <v>46289</v>
      </c>
      <c r="I1473" s="4" t="n">
        <v>0</v>
      </c>
      <c r="J1473" s="4" t="n">
        <v>0</v>
      </c>
      <c r="K1473" s="4" t="n">
        <v>0</v>
      </c>
      <c r="M1473" s="2" t="str">
        <f aca="false">IF(C1473="","",IFERROR(INDEX($S$5:$S$304,MATCH(C1473,$R$5:$R$304,0))&amp;"","?"))</f>
        <v>23</v>
      </c>
      <c r="N1473" s="2" t="n">
        <f aca="false">IF(E1473="","",IF(ISNUMBER(SEARCH("SUBSOLO",E1473)),IFERROR(-VALUE(LEFT(E1473,FIND("º",SUBSTITUTE(E1473,"°","º"))-1)),-1),IF(LEFT(E1473,6)="TÉRREO",0,IFERROR(VALUE(LEFT(E1473,FIND("º",SUBSTITUTE(E1473,"°","º"))-1)),""))))</f>
        <v>11</v>
      </c>
      <c r="O1473" s="2" t="str">
        <f aca="false">IF(OR(F1473="",G1473=""),"",IF(G1473&lt;='RETRATO 2027'!$K$5,"CONCLUÍDA",IF(F1473&lt;='RETRATO 2027'!$K$5,"EM ANDAMENTO","A INICIAR")))</f>
        <v>A INICIAR</v>
      </c>
    </row>
    <row r="1474" customFormat="false" ht="15" hidden="false" customHeight="false" outlineLevel="0" collapsed="false">
      <c r="B1474" s="4" t="n">
        <v>29981345</v>
      </c>
      <c r="C1474" s="4" t="s">
        <v>2599</v>
      </c>
      <c r="D1474" s="4" t="s">
        <v>463</v>
      </c>
      <c r="E1474" s="4" t="s">
        <v>2811</v>
      </c>
      <c r="F1474" s="127" t="n">
        <v>46867</v>
      </c>
      <c r="G1474" s="127" t="n">
        <v>46878</v>
      </c>
      <c r="H1474" s="127" t="n">
        <v>46289</v>
      </c>
      <c r="I1474" s="4" t="n">
        <v>0</v>
      </c>
      <c r="J1474" s="4" t="n">
        <v>0</v>
      </c>
      <c r="K1474" s="4" t="n">
        <v>0</v>
      </c>
      <c r="M1474" s="2" t="str">
        <f aca="false">IF(C1474="","",IFERROR(INDEX($S$5:$S$304,MATCH(C1474,$R$5:$R$304,0))&amp;"","?"))</f>
        <v>30</v>
      </c>
      <c r="N1474" s="2" t="n">
        <f aca="false">IF(E1474="","",IF(ISNUMBER(SEARCH("SUBSOLO",E1474)),IFERROR(-VALUE(LEFT(E1474,FIND("º",SUBSTITUTE(E1474,"°","º"))-1)),-1),IF(LEFT(E1474,6)="TÉRREO",0,IFERROR(VALUE(LEFT(E1474,FIND("º",SUBSTITUTE(E1474,"°","º"))-1)),""))))</f>
        <v>12</v>
      </c>
      <c r="O1474" s="2" t="str">
        <f aca="false">IF(OR(F1474="",G1474=""),"",IF(G1474&lt;='RETRATO 2027'!$K$5,"CONCLUÍDA",IF(F1474&lt;='RETRATO 2027'!$K$5,"EM ANDAMENTO","A INICIAR")))</f>
        <v>A INICIAR</v>
      </c>
    </row>
    <row r="1475" customFormat="false" ht="15" hidden="false" customHeight="false" outlineLevel="0" collapsed="false">
      <c r="B1475" s="4" t="n">
        <v>29981307</v>
      </c>
      <c r="C1475" s="4" t="s">
        <v>2578</v>
      </c>
      <c r="D1475" s="4" t="s">
        <v>463</v>
      </c>
      <c r="E1475" s="4" t="s">
        <v>2812</v>
      </c>
      <c r="F1475" s="127" t="n">
        <v>46867</v>
      </c>
      <c r="G1475" s="127" t="n">
        <v>46878</v>
      </c>
      <c r="H1475" s="127" t="n">
        <v>46289</v>
      </c>
      <c r="I1475" s="4" t="n">
        <v>0</v>
      </c>
      <c r="J1475" s="4" t="n">
        <v>0</v>
      </c>
      <c r="K1475" s="4" t="n">
        <v>0</v>
      </c>
      <c r="M1475" s="2" t="str">
        <f aca="false">IF(C1475="","",IFERROR(INDEX($S$5:$S$304,MATCH(C1475,$R$5:$R$304,0))&amp;"","?"))</f>
        <v>25</v>
      </c>
      <c r="N1475" s="2" t="n">
        <f aca="false">IF(E1475="","",IF(ISNUMBER(SEARCH("SUBSOLO",E1475)),IFERROR(-VALUE(LEFT(E1475,FIND("º",SUBSTITUTE(E1475,"°","º"))-1)),-1),IF(LEFT(E1475,6)="TÉRREO",0,IFERROR(VALUE(LEFT(E1475,FIND("º",SUBSTITUTE(E1475,"°","º"))-1)),""))))</f>
        <v>13</v>
      </c>
      <c r="O1475" s="2" t="str">
        <f aca="false">IF(OR(F1475="",G1475=""),"",IF(G1475&lt;='RETRATO 2027'!$K$5,"CONCLUÍDA",IF(F1475&lt;='RETRATO 2027'!$K$5,"EM ANDAMENTO","A INICIAR")))</f>
        <v>A INICIAR</v>
      </c>
    </row>
    <row r="1476" customFormat="false" ht="15" hidden="false" customHeight="false" outlineLevel="0" collapsed="false">
      <c r="B1476" s="4" t="n">
        <v>29981269</v>
      </c>
      <c r="C1476" s="4" t="s">
        <v>2569</v>
      </c>
      <c r="D1476" s="4" t="s">
        <v>463</v>
      </c>
      <c r="E1476" s="4" t="s">
        <v>2813</v>
      </c>
      <c r="F1476" s="127" t="n">
        <v>46867</v>
      </c>
      <c r="G1476" s="127" t="n">
        <v>46878</v>
      </c>
      <c r="H1476" s="127" t="n">
        <v>46289</v>
      </c>
      <c r="I1476" s="4" t="n">
        <v>0</v>
      </c>
      <c r="J1476" s="4" t="n">
        <v>0</v>
      </c>
      <c r="K1476" s="4" t="n">
        <v>0</v>
      </c>
      <c r="M1476" s="2" t="str">
        <f aca="false">IF(C1476="","",IFERROR(INDEX($S$5:$S$304,MATCH(C1476,$R$5:$R$304,0))&amp;"","?"))</f>
        <v>30</v>
      </c>
      <c r="N1476" s="2" t="n">
        <f aca="false">IF(E1476="","",IF(ISNUMBER(SEARCH("SUBSOLO",E1476)),IFERROR(-VALUE(LEFT(E1476,FIND("º",SUBSTITUTE(E1476,"°","º"))-1)),-1),IF(LEFT(E1476,6)="TÉRREO",0,IFERROR(VALUE(LEFT(E1476,FIND("º",SUBSTITUTE(E1476,"°","º"))-1)),""))))</f>
        <v>14</v>
      </c>
      <c r="O1476" s="2" t="str">
        <f aca="false">IF(OR(F1476="",G1476=""),"",IF(G1476&lt;='RETRATO 2027'!$K$5,"CONCLUÍDA",IF(F1476&lt;='RETRATO 2027'!$K$5,"EM ANDAMENTO","A INICIAR")))</f>
        <v>A INICIAR</v>
      </c>
    </row>
    <row r="1477" customFormat="false" ht="15" hidden="false" customHeight="false" outlineLevel="0" collapsed="false">
      <c r="B1477" s="4" t="n">
        <v>29981231</v>
      </c>
      <c r="C1477" s="4" t="s">
        <v>2554</v>
      </c>
      <c r="D1477" s="4" t="s">
        <v>463</v>
      </c>
      <c r="E1477" s="4" t="s">
        <v>2814</v>
      </c>
      <c r="F1477" s="127" t="n">
        <v>46867</v>
      </c>
      <c r="G1477" s="127" t="n">
        <v>46878</v>
      </c>
      <c r="H1477" s="127" t="n">
        <v>46289</v>
      </c>
      <c r="I1477" s="4" t="n">
        <v>0</v>
      </c>
      <c r="J1477" s="4" t="n">
        <v>0</v>
      </c>
      <c r="K1477" s="4" t="n">
        <v>0</v>
      </c>
      <c r="M1477" s="2" t="str">
        <f aca="false">IF(C1477="","",IFERROR(INDEX($S$5:$S$304,MATCH(C1477,$R$5:$R$304,0))&amp;"","?"))</f>
        <v>35</v>
      </c>
      <c r="N1477" s="2" t="n">
        <f aca="false">IF(E1477="","",IF(ISNUMBER(SEARCH("SUBSOLO",E1477)),IFERROR(-VALUE(LEFT(E1477,FIND("º",SUBSTITUTE(E1477,"°","º"))-1)),-1),IF(LEFT(E1477,6)="TÉRREO",0,IFERROR(VALUE(LEFT(E1477,FIND("º",SUBSTITUTE(E1477,"°","º"))-1)),""))))</f>
        <v>15</v>
      </c>
      <c r="O1477" s="2" t="str">
        <f aca="false">IF(OR(F1477="",G1477=""),"",IF(G1477&lt;='RETRATO 2027'!$K$5,"CONCLUÍDA",IF(F1477&lt;='RETRATO 2027'!$K$5,"EM ANDAMENTO","A INICIAR")))</f>
        <v>A INICIAR</v>
      </c>
    </row>
    <row r="1478" customFormat="false" ht="15" hidden="false" customHeight="false" outlineLevel="0" collapsed="false">
      <c r="B1478" s="4" t="n">
        <v>29981220</v>
      </c>
      <c r="C1478" s="4" t="s">
        <v>2539</v>
      </c>
      <c r="D1478" s="4" t="s">
        <v>463</v>
      </c>
      <c r="E1478" s="4" t="s">
        <v>2815</v>
      </c>
      <c r="F1478" s="127" t="n">
        <v>46867</v>
      </c>
      <c r="G1478" s="127" t="n">
        <v>46878</v>
      </c>
      <c r="H1478" s="127" t="n">
        <v>46289</v>
      </c>
      <c r="I1478" s="4" t="n">
        <v>0</v>
      </c>
      <c r="J1478" s="4" t="n">
        <v>0</v>
      </c>
      <c r="K1478" s="4" t="n">
        <v>0</v>
      </c>
      <c r="M1478" s="2" t="str">
        <f aca="false">IF(C1478="","",IFERROR(INDEX($S$5:$S$304,MATCH(C1478,$R$5:$R$304,0))&amp;"","?"))</f>
        <v>35</v>
      </c>
      <c r="N1478" s="2" t="n">
        <f aca="false">IF(E1478="","",IF(ISNUMBER(SEARCH("SUBSOLO",E1478)),IFERROR(-VALUE(LEFT(E1478,FIND("º",SUBSTITUTE(E1478,"°","º"))-1)),-1),IF(LEFT(E1478,6)="TÉRREO",0,IFERROR(VALUE(LEFT(E1478,FIND("º",SUBSTITUTE(E1478,"°","º"))-1)),""))))</f>
        <v>16</v>
      </c>
      <c r="O1478" s="2" t="str">
        <f aca="false">IF(OR(F1478="",G1478=""),"",IF(G1478&lt;='RETRATO 2027'!$K$5,"CONCLUÍDA",IF(F1478&lt;='RETRATO 2027'!$K$5,"EM ANDAMENTO","A INICIAR")))</f>
        <v>A INICIAR</v>
      </c>
    </row>
    <row r="1479" customFormat="false" ht="15" hidden="false" customHeight="false" outlineLevel="0" collapsed="false">
      <c r="B1479" s="4" t="n">
        <v>33898098</v>
      </c>
      <c r="C1479" s="4" t="s">
        <v>2545</v>
      </c>
      <c r="D1479" s="4" t="s">
        <v>463</v>
      </c>
      <c r="E1479" s="4" t="s">
        <v>2818</v>
      </c>
      <c r="F1479" s="127" t="n">
        <v>46867</v>
      </c>
      <c r="G1479" s="127" t="n">
        <v>46878</v>
      </c>
      <c r="H1479" s="127" t="n">
        <v>46289</v>
      </c>
      <c r="I1479" s="4" t="n">
        <v>0</v>
      </c>
      <c r="J1479" s="4" t="n">
        <v>0</v>
      </c>
      <c r="K1479" s="4" t="n">
        <v>0</v>
      </c>
      <c r="M1479" s="2" t="str">
        <f aca="false">IF(C1479="","",IFERROR(INDEX($S$5:$S$304,MATCH(C1479,$R$5:$R$304,0))&amp;"","?"))</f>
        <v>25</v>
      </c>
      <c r="N1479" s="2" t="n">
        <f aca="false">IF(E1479="","",IF(ISNUMBER(SEARCH("SUBSOLO",E1479)),IFERROR(-VALUE(LEFT(E1479,FIND("º",SUBSTITUTE(E1479,"°","º"))-1)),-1),IF(LEFT(E1479,6)="TÉRREO",0,IFERROR(VALUE(LEFT(E1479,FIND("º",SUBSTITUTE(E1479,"°","º"))-1)),""))))</f>
        <v>17</v>
      </c>
      <c r="O1479" s="2" t="str">
        <f aca="false">IF(OR(F1479="",G1479=""),"",IF(G1479&lt;='RETRATO 2027'!$K$5,"CONCLUÍDA",IF(F1479&lt;='RETRATO 2027'!$K$5,"EM ANDAMENTO","A INICIAR")))</f>
        <v>A INICIAR</v>
      </c>
    </row>
    <row r="1480" customFormat="false" ht="15" hidden="false" customHeight="false" outlineLevel="0" collapsed="false">
      <c r="B1480" s="4" t="n">
        <v>30205798</v>
      </c>
      <c r="C1480" s="4" t="s">
        <v>2539</v>
      </c>
      <c r="D1480" s="4" t="s">
        <v>463</v>
      </c>
      <c r="E1480" s="4" t="s">
        <v>2835</v>
      </c>
      <c r="F1480" s="127" t="n">
        <v>46868</v>
      </c>
      <c r="G1480" s="127" t="n">
        <v>46889</v>
      </c>
      <c r="H1480" s="127" t="n">
        <v>46289</v>
      </c>
      <c r="I1480" s="4" t="n">
        <v>0</v>
      </c>
      <c r="J1480" s="4" t="n">
        <v>0</v>
      </c>
      <c r="K1480" s="4" t="n">
        <v>0</v>
      </c>
      <c r="M1480" s="2" t="str">
        <f aca="false">IF(C1480="","",IFERROR(INDEX($S$5:$S$304,MATCH(C1480,$R$5:$R$304,0))&amp;"","?"))</f>
        <v>35</v>
      </c>
      <c r="N1480" s="2" t="n">
        <f aca="false">IF(E1480="","",IF(ISNUMBER(SEARCH("SUBSOLO",E1480)),IFERROR(-VALUE(LEFT(E1480,FIND("º",SUBSTITUTE(E1480,"°","º"))-1)),-1),IF(LEFT(E1480,6)="TÉRREO",0,IFERROR(VALUE(LEFT(E1480,FIND("º",SUBSTITUTE(E1480,"°","º"))-1)),""))))</f>
        <v>0</v>
      </c>
      <c r="O1480" s="2" t="str">
        <f aca="false">IF(OR(F1480="",G1480=""),"",IF(G1480&lt;='RETRATO 2027'!$K$5,"CONCLUÍDA",IF(F1480&lt;='RETRATO 2027'!$K$5,"EM ANDAMENTO","A INICIAR")))</f>
        <v>A INICIAR</v>
      </c>
    </row>
    <row r="1481" customFormat="false" ht="15" hidden="false" customHeight="false" outlineLevel="0" collapsed="false">
      <c r="B1481" s="4" t="n">
        <v>30205830</v>
      </c>
      <c r="C1481" s="4" t="s">
        <v>2508</v>
      </c>
      <c r="D1481" s="4" t="s">
        <v>463</v>
      </c>
      <c r="E1481" s="4" t="s">
        <v>2839</v>
      </c>
      <c r="F1481" s="127" t="n">
        <v>46868</v>
      </c>
      <c r="G1481" s="127" t="n">
        <v>46882</v>
      </c>
      <c r="H1481" s="127" t="n">
        <v>46289</v>
      </c>
      <c r="I1481" s="4" t="n">
        <v>0</v>
      </c>
      <c r="J1481" s="4" t="n">
        <v>0</v>
      </c>
      <c r="K1481" s="4" t="n">
        <v>0</v>
      </c>
      <c r="M1481" s="2" t="str">
        <f aca="false">IF(C1481="","",IFERROR(INDEX($S$5:$S$304,MATCH(C1481,$R$5:$R$304,0))&amp;"","?"))</f>
        <v>20</v>
      </c>
      <c r="N1481" s="2" t="n">
        <f aca="false">IF(E1481="","",IF(ISNUMBER(SEARCH("SUBSOLO",E1481)),IFERROR(-VALUE(LEFT(E1481,FIND("º",SUBSTITUTE(E1481,"°","º"))-1)),-1),IF(LEFT(E1481,6)="TÉRREO",0,IFERROR(VALUE(LEFT(E1481,FIND("º",SUBSTITUTE(E1481,"°","º"))-1)),""))))</f>
        <v>0</v>
      </c>
      <c r="O1481" s="2" t="str">
        <f aca="false">IF(OR(F1481="",G1481=""),"",IF(G1481&lt;='RETRATO 2027'!$K$5,"CONCLUÍDA",IF(F1481&lt;='RETRATO 2027'!$K$5,"EM ANDAMENTO","A INICIAR")))</f>
        <v>A INICIAR</v>
      </c>
    </row>
    <row r="1482" customFormat="false" ht="15" hidden="false" customHeight="false" outlineLevel="0" collapsed="false">
      <c r="B1482" s="4" t="n">
        <v>30171649</v>
      </c>
      <c r="C1482" s="4" t="s">
        <v>2508</v>
      </c>
      <c r="D1482" s="4" t="s">
        <v>463</v>
      </c>
      <c r="E1482" s="4" t="s">
        <v>2816</v>
      </c>
      <c r="F1482" s="127" t="n">
        <v>46868</v>
      </c>
      <c r="G1482" s="127" t="n">
        <v>46974</v>
      </c>
      <c r="H1482" s="127" t="n">
        <v>46289</v>
      </c>
      <c r="I1482" s="4" t="n">
        <v>0</v>
      </c>
      <c r="J1482" s="4" t="n">
        <v>0</v>
      </c>
      <c r="K1482" s="4" t="n">
        <v>0</v>
      </c>
      <c r="M1482" s="2" t="str">
        <f aca="false">IF(C1482="","",IFERROR(INDEX($S$5:$S$304,MATCH(C1482,$R$5:$R$304,0))&amp;"","?"))</f>
        <v>20</v>
      </c>
      <c r="N1482" s="2" t="str">
        <f aca="false"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 t="str">
        <f aca="false">IF(OR(F1482="",G1482=""),"",IF(G1482&lt;='RETRATO 2027'!$K$5,"CONCLUÍDA",IF(F1482&lt;='RETRATO 2027'!$K$5,"EM ANDAMENTO","A INICIAR")))</f>
        <v>A INICIAR</v>
      </c>
    </row>
    <row r="1483" customFormat="false" ht="15" hidden="false" customHeight="false" outlineLevel="0" collapsed="false">
      <c r="B1483" s="4" t="n">
        <v>29980996</v>
      </c>
      <c r="C1483" s="4" t="s">
        <v>216</v>
      </c>
      <c r="D1483" s="4" t="s">
        <v>463</v>
      </c>
      <c r="E1483" s="4" t="s">
        <v>2827</v>
      </c>
      <c r="F1483" s="127" t="n">
        <v>46868</v>
      </c>
      <c r="G1483" s="127" t="n">
        <v>46881</v>
      </c>
      <c r="H1483" s="127" t="n">
        <v>46289</v>
      </c>
      <c r="I1483" s="4" t="n">
        <v>0</v>
      </c>
      <c r="J1483" s="4" t="n">
        <v>0</v>
      </c>
      <c r="K1483" s="4" t="n">
        <v>0</v>
      </c>
      <c r="M1483" s="2" t="str">
        <f aca="false">IF(C1483="","",IFERROR(INDEX($S$5:$S$304,MATCH(C1483,$R$5:$R$304,0))&amp;"","?"))</f>
        <v>33</v>
      </c>
      <c r="N1483" s="2" t="n">
        <f aca="false">IF(E1483="","",IF(ISNUMBER(SEARCH("SUBSOLO",E1483)),IFERROR(-VALUE(LEFT(E1483,FIND("º",SUBSTITUTE(E1483,"°","º"))-1)),-1),IF(LEFT(E1483,6)="TÉRREO",0,IFERROR(VALUE(LEFT(E1483,FIND("º",SUBSTITUTE(E1483,"°","º"))-1)),""))))</f>
        <v>22</v>
      </c>
      <c r="O1483" s="2" t="str">
        <f aca="false">IF(OR(F1483="",G1483=""),"",IF(G1483&lt;='RETRATO 2027'!$K$5,"CONCLUÍDA",IF(F1483&lt;='RETRATO 2027'!$K$5,"EM ANDAMENTO","A INICIAR")))</f>
        <v>A INICIAR</v>
      </c>
    </row>
    <row r="1484" customFormat="false" ht="15" hidden="false" customHeight="false" outlineLevel="0" collapsed="false">
      <c r="B1484" s="4" t="n">
        <v>29980957</v>
      </c>
      <c r="C1484" s="4" t="s">
        <v>2508</v>
      </c>
      <c r="D1484" s="4" t="s">
        <v>463</v>
      </c>
      <c r="E1484" s="4" t="s">
        <v>2829</v>
      </c>
      <c r="F1484" s="127" t="n">
        <v>46868</v>
      </c>
      <c r="G1484" s="127" t="n">
        <v>46881</v>
      </c>
      <c r="H1484" s="127" t="n">
        <v>46289</v>
      </c>
      <c r="I1484" s="4" t="n">
        <v>0</v>
      </c>
      <c r="J1484" s="4" t="n">
        <v>0</v>
      </c>
      <c r="K1484" s="4" t="n">
        <v>0</v>
      </c>
      <c r="M1484" s="2" t="str">
        <f aca="false">IF(C1484="","",IFERROR(INDEX($S$5:$S$304,MATCH(C1484,$R$5:$R$304,0))&amp;"","?"))</f>
        <v>20</v>
      </c>
      <c r="N1484" s="2" t="n">
        <f aca="false">IF(E1484="","",IF(ISNUMBER(SEARCH("SUBSOLO",E1484)),IFERROR(-VALUE(LEFT(E1484,FIND("º",SUBSTITUTE(E1484,"°","º"))-1)),-1),IF(LEFT(E1484,6)="TÉRREO",0,IFERROR(VALUE(LEFT(E1484,FIND("º",SUBSTITUTE(E1484,"°","º"))-1)),""))))</f>
        <v>23</v>
      </c>
      <c r="O1484" s="2" t="str">
        <f aca="false">IF(OR(F1484="",G1484=""),"",IF(G1484&lt;='RETRATO 2027'!$K$5,"CONCLUÍDA",IF(F1484&lt;='RETRATO 2027'!$K$5,"EM ANDAMENTO","A INICIAR")))</f>
        <v>A INICIAR</v>
      </c>
    </row>
    <row r="1485" customFormat="false" ht="15" hidden="false" customHeight="false" outlineLevel="0" collapsed="false">
      <c r="B1485" s="4" t="n">
        <v>29980962</v>
      </c>
      <c r="C1485" s="4" t="s">
        <v>2511</v>
      </c>
      <c r="D1485" s="4" t="s">
        <v>463</v>
      </c>
      <c r="E1485" s="4" t="s">
        <v>2829</v>
      </c>
      <c r="F1485" s="127" t="n">
        <v>46868</v>
      </c>
      <c r="G1485" s="127" t="n">
        <v>46881</v>
      </c>
      <c r="H1485" s="127" t="n">
        <v>46289</v>
      </c>
      <c r="I1485" s="4" t="n">
        <v>0</v>
      </c>
      <c r="J1485" s="4" t="n">
        <v>0</v>
      </c>
      <c r="K1485" s="4" t="n">
        <v>0</v>
      </c>
      <c r="M1485" s="2" t="str">
        <f aca="false">IF(C1485="","",IFERROR(INDEX($S$5:$S$304,MATCH(C1485,$R$5:$R$304,0))&amp;"","?"))</f>
        <v>20</v>
      </c>
      <c r="N1485" s="2" t="n">
        <f aca="false">IF(E1485="","",IF(ISNUMBER(SEARCH("SUBSOLO",E1485)),IFERROR(-VALUE(LEFT(E1485,FIND("º",SUBSTITUTE(E1485,"°","º"))-1)),-1),IF(LEFT(E1485,6)="TÉRREO",0,IFERROR(VALUE(LEFT(E1485,FIND("º",SUBSTITUTE(E1485,"°","º"))-1)),""))))</f>
        <v>23</v>
      </c>
      <c r="O1485" s="2" t="str">
        <f aca="false">IF(OR(F1485="",G1485=""),"",IF(G1485&lt;='RETRATO 2027'!$K$5,"CONCLUÍDA",IF(F1485&lt;='RETRATO 2027'!$K$5,"EM ANDAMENTO","A INICIAR")))</f>
        <v>A INICIAR</v>
      </c>
    </row>
    <row r="1486" customFormat="false" ht="15" hidden="false" customHeight="false" outlineLevel="0" collapsed="false">
      <c r="B1486" s="4" t="n">
        <v>30214085</v>
      </c>
      <c r="C1486" s="4" t="s">
        <v>2514</v>
      </c>
      <c r="D1486" s="4" t="s">
        <v>463</v>
      </c>
      <c r="E1486" s="4" t="s">
        <v>2829</v>
      </c>
      <c r="F1486" s="127" t="n">
        <v>46868</v>
      </c>
      <c r="G1486" s="127" t="n">
        <v>46882</v>
      </c>
      <c r="H1486" s="127" t="n">
        <v>46289</v>
      </c>
      <c r="I1486" s="4" t="n">
        <v>0</v>
      </c>
      <c r="J1486" s="4" t="n">
        <v>0</v>
      </c>
      <c r="K1486" s="4" t="n">
        <v>0</v>
      </c>
      <c r="M1486" s="2" t="str">
        <f aca="false">IF(C1486="","",IFERROR(INDEX($S$5:$S$304,MATCH(C1486,$R$5:$R$304,0))&amp;"","?"))</f>
        <v>20</v>
      </c>
      <c r="N1486" s="2" t="n">
        <f aca="false">IF(E1486="","",IF(ISNUMBER(SEARCH("SUBSOLO",E1486)),IFERROR(-VALUE(LEFT(E1486,FIND("º",SUBSTITUTE(E1486,"°","º"))-1)),-1),IF(LEFT(E1486,6)="TÉRREO",0,IFERROR(VALUE(LEFT(E1486,FIND("º",SUBSTITUTE(E1486,"°","º"))-1)),""))))</f>
        <v>23</v>
      </c>
      <c r="O1486" s="2" t="str">
        <f aca="false">IF(OR(F1486="",G1486=""),"",IF(G1486&lt;='RETRATO 2027'!$K$5,"CONCLUÍDA",IF(F1486&lt;='RETRATO 2027'!$K$5,"EM ANDAMENTO","A INICIAR")))</f>
        <v>A INICIAR</v>
      </c>
    </row>
    <row r="1487" customFormat="false" ht="15" hidden="false" customHeight="false" outlineLevel="0" collapsed="false">
      <c r="B1487" s="4" t="n">
        <v>29980904</v>
      </c>
      <c r="C1487" s="4" t="s">
        <v>2501</v>
      </c>
      <c r="D1487" s="4" t="s">
        <v>463</v>
      </c>
      <c r="E1487" s="4" t="s">
        <v>2831</v>
      </c>
      <c r="F1487" s="127" t="n">
        <v>46868</v>
      </c>
      <c r="G1487" s="127" t="n">
        <v>46881</v>
      </c>
      <c r="H1487" s="127" t="n">
        <v>46289</v>
      </c>
      <c r="I1487" s="4" t="n">
        <v>0</v>
      </c>
      <c r="J1487" s="4" t="n">
        <v>0</v>
      </c>
      <c r="K1487" s="4" t="n">
        <v>0</v>
      </c>
      <c r="M1487" s="2" t="str">
        <f aca="false">IF(C1487="","",IFERROR(INDEX($S$5:$S$304,MATCH(C1487,$R$5:$R$304,0))&amp;"","?"))</f>
        <v>30</v>
      </c>
      <c r="N1487" s="2" t="n">
        <f aca="false">IF(E1487="","",IF(ISNUMBER(SEARCH("SUBSOLO",E1487)),IFERROR(-VALUE(LEFT(E1487,FIND("º",SUBSTITUTE(E1487,"°","º"))-1)),-1),IF(LEFT(E1487,6)="TÉRREO",0,IFERROR(VALUE(LEFT(E1487,FIND("º",SUBSTITUTE(E1487,"°","º"))-1)),""))))</f>
        <v>24</v>
      </c>
      <c r="O1487" s="2" t="str">
        <f aca="false">IF(OR(F1487="",G1487=""),"",IF(G1487&lt;='RETRATO 2027'!$K$5,"CONCLUÍDA",IF(F1487&lt;='RETRATO 2027'!$K$5,"EM ANDAMENTO","A INICIAR")))</f>
        <v>A INICIAR</v>
      </c>
    </row>
    <row r="1488" customFormat="false" ht="15" hidden="false" customHeight="false" outlineLevel="0" collapsed="false">
      <c r="B1488" s="4" t="n">
        <v>29980866</v>
      </c>
      <c r="C1488" s="4" t="s">
        <v>2486</v>
      </c>
      <c r="D1488" s="4" t="s">
        <v>463</v>
      </c>
      <c r="E1488" s="4" t="s">
        <v>2833</v>
      </c>
      <c r="F1488" s="127" t="n">
        <v>46868</v>
      </c>
      <c r="G1488" s="127" t="n">
        <v>46881</v>
      </c>
      <c r="H1488" s="127" t="n">
        <v>46289</v>
      </c>
      <c r="I1488" s="4" t="n">
        <v>0</v>
      </c>
      <c r="J1488" s="4" t="n">
        <v>0</v>
      </c>
      <c r="K1488" s="4" t="n">
        <v>0</v>
      </c>
      <c r="M1488" s="2" t="str">
        <f aca="false">IF(C1488="","",IFERROR(INDEX($S$5:$S$304,MATCH(C1488,$R$5:$R$304,0))&amp;"","?"))</f>
        <v>30</v>
      </c>
      <c r="N1488" s="2" t="n">
        <f aca="false">IF(E1488="","",IF(ISNUMBER(SEARCH("SUBSOLO",E1488)),IFERROR(-VALUE(LEFT(E1488,FIND("º",SUBSTITUTE(E1488,"°","º"))-1)),-1),IF(LEFT(E1488,6)="TÉRREO",0,IFERROR(VALUE(LEFT(E1488,FIND("º",SUBSTITUTE(E1488,"°","º"))-1)),""))))</f>
        <v>25</v>
      </c>
      <c r="O1488" s="2" t="str">
        <f aca="false">IF(OR(F1488="",G1488=""),"",IF(G1488&lt;='RETRATO 2027'!$K$5,"CONCLUÍDA",IF(F1488&lt;='RETRATO 2027'!$K$5,"EM ANDAMENTO","A INICIAR")))</f>
        <v>A INICIAR</v>
      </c>
    </row>
    <row r="1489" customFormat="false" ht="15" hidden="false" customHeight="false" outlineLevel="0" collapsed="false">
      <c r="B1489" s="4" t="n">
        <v>29980845</v>
      </c>
      <c r="C1489" s="4" t="s">
        <v>2480</v>
      </c>
      <c r="D1489" s="4" t="s">
        <v>463</v>
      </c>
      <c r="E1489" s="4" t="s">
        <v>2834</v>
      </c>
      <c r="F1489" s="127" t="n">
        <v>46868</v>
      </c>
      <c r="G1489" s="127" t="n">
        <v>46881</v>
      </c>
      <c r="H1489" s="127" t="n">
        <v>46289</v>
      </c>
      <c r="I1489" s="4" t="n">
        <v>0</v>
      </c>
      <c r="J1489" s="4" t="n">
        <v>0</v>
      </c>
      <c r="K1489" s="4" t="n">
        <v>0</v>
      </c>
      <c r="M1489" s="2" t="str">
        <f aca="false">IF(C1489="","",IFERROR(INDEX($S$5:$S$304,MATCH(C1489,$R$5:$R$304,0))&amp;"","?"))</f>
        <v>30</v>
      </c>
      <c r="N1489" s="2" t="n">
        <f aca="false">IF(E1489="","",IF(ISNUMBER(SEARCH("SUBSOLO",E1489)),IFERROR(-VALUE(LEFT(E1489,FIND("º",SUBSTITUTE(E1489,"°","º"))-1)),-1),IF(LEFT(E1489,6)="TÉRREO",0,IFERROR(VALUE(LEFT(E1489,FIND("º",SUBSTITUTE(E1489,"°","º"))-1)),""))))</f>
        <v>26</v>
      </c>
      <c r="O1489" s="2" t="str">
        <f aca="false">IF(OR(F1489="",G1489=""),"",IF(G1489&lt;='RETRATO 2027'!$K$5,"CONCLUÍDA",IF(F1489&lt;='RETRATO 2027'!$K$5,"EM ANDAMENTO","A INICIAR")))</f>
        <v>A INICIAR</v>
      </c>
    </row>
    <row r="1490" customFormat="false" ht="15" hidden="false" customHeight="false" outlineLevel="0" collapsed="false">
      <c r="B1490" s="4" t="n">
        <v>29980806</v>
      </c>
      <c r="C1490" s="4" t="s">
        <v>171</v>
      </c>
      <c r="D1490" s="4" t="s">
        <v>463</v>
      </c>
      <c r="E1490" s="4" t="s">
        <v>2838</v>
      </c>
      <c r="F1490" s="127" t="n">
        <v>46868</v>
      </c>
      <c r="G1490" s="127" t="n">
        <v>46881</v>
      </c>
      <c r="H1490" s="127" t="n">
        <v>46289</v>
      </c>
      <c r="I1490" s="4" t="n">
        <v>0</v>
      </c>
      <c r="J1490" s="4" t="n">
        <v>0</v>
      </c>
      <c r="K1490" s="4" t="n">
        <v>0</v>
      </c>
      <c r="M1490" s="2" t="str">
        <f aca="false">IF(C1490="","",IFERROR(INDEX($S$5:$S$304,MATCH(C1490,$R$5:$R$304,0))&amp;"","?"))</f>
        <v>19</v>
      </c>
      <c r="N1490" s="2" t="n">
        <f aca="false">IF(E1490="","",IF(ISNUMBER(SEARCH("SUBSOLO",E1490)),IFERROR(-VALUE(LEFT(E1490,FIND("º",SUBSTITUTE(E1490,"°","º"))-1)),-1),IF(LEFT(E1490,6)="TÉRREO",0,IFERROR(VALUE(LEFT(E1490,FIND("º",SUBSTITUTE(E1490,"°","º"))-1)),""))))</f>
        <v>27</v>
      </c>
      <c r="O1490" s="2" t="str">
        <f aca="false">IF(OR(F1490="",G1490=""),"",IF(G1490&lt;='RETRATO 2027'!$K$5,"CONCLUÍDA",IF(F1490&lt;='RETRATO 2027'!$K$5,"EM ANDAMENTO","A INICIAR")))</f>
        <v>A INICIAR</v>
      </c>
    </row>
    <row r="1491" customFormat="false" ht="15" hidden="false" customHeight="false" outlineLevel="0" collapsed="false">
      <c r="B1491" s="4" t="n">
        <v>32750454</v>
      </c>
      <c r="C1491" s="4" t="s">
        <v>2470</v>
      </c>
      <c r="D1491" s="4" t="s">
        <v>463</v>
      </c>
      <c r="E1491" s="4" t="s">
        <v>2840</v>
      </c>
      <c r="F1491" s="127" t="n">
        <v>46868</v>
      </c>
      <c r="G1491" s="127" t="n">
        <v>46881</v>
      </c>
      <c r="H1491" s="127" t="n">
        <v>46289</v>
      </c>
      <c r="I1491" s="4" t="n">
        <v>0</v>
      </c>
      <c r="J1491" s="4" t="n">
        <v>0</v>
      </c>
      <c r="K1491" s="4" t="n">
        <v>0</v>
      </c>
      <c r="M1491" s="2" t="str">
        <f aca="false">IF(C1491="","",IFERROR(INDEX($S$5:$S$304,MATCH(C1491,$R$5:$R$304,0))&amp;"","?"))</f>
        <v>18</v>
      </c>
      <c r="N1491" s="2" t="n">
        <f aca="false">IF(E1491="","",IF(ISNUMBER(SEARCH("SUBSOLO",E1491)),IFERROR(-VALUE(LEFT(E1491,FIND("º",SUBSTITUTE(E1491,"°","º"))-1)),-1),IF(LEFT(E1491,6)="TÉRREO",0,IFERROR(VALUE(LEFT(E1491,FIND("º",SUBSTITUTE(E1491,"°","º"))-1)),""))))</f>
        <v>28</v>
      </c>
      <c r="O1491" s="2" t="str">
        <f aca="false">IF(OR(F1491="",G1491=""),"",IF(G1491&lt;='RETRATO 2027'!$K$5,"CONCLUÍDA",IF(F1491&lt;='RETRATO 2027'!$K$5,"EM ANDAMENTO","A INICIAR")))</f>
        <v>A INICIAR</v>
      </c>
    </row>
    <row r="1492" customFormat="false" ht="15" hidden="false" customHeight="false" outlineLevel="0" collapsed="false">
      <c r="B1492" s="4" t="n">
        <v>32750377</v>
      </c>
      <c r="C1492" s="4" t="s">
        <v>2458</v>
      </c>
      <c r="D1492" s="4" t="s">
        <v>463</v>
      </c>
      <c r="E1492" s="4" t="s">
        <v>2841</v>
      </c>
      <c r="F1492" s="127" t="n">
        <v>46868</v>
      </c>
      <c r="G1492" s="127" t="n">
        <v>46881</v>
      </c>
      <c r="H1492" s="127" t="n">
        <v>46289</v>
      </c>
      <c r="I1492" s="4" t="n">
        <v>0</v>
      </c>
      <c r="J1492" s="4" t="n">
        <v>0</v>
      </c>
      <c r="K1492" s="4" t="n">
        <v>0</v>
      </c>
      <c r="M1492" s="2" t="str">
        <f aca="false">IF(C1492="","",IFERROR(INDEX($S$5:$S$304,MATCH(C1492,$R$5:$R$304,0))&amp;"","?"))</f>
        <v>21</v>
      </c>
      <c r="N1492" s="2" t="n">
        <f aca="false">IF(E1492="","",IF(ISNUMBER(SEARCH("SUBSOLO",E1492)),IFERROR(-VALUE(LEFT(E1492,FIND("º",SUBSTITUTE(E1492,"°","º"))-1)),-1),IF(LEFT(E1492,6)="TÉRREO",0,IFERROR(VALUE(LEFT(E1492,FIND("º",SUBSTITUTE(E1492,"°","º"))-1)),""))))</f>
        <v>29</v>
      </c>
      <c r="O1492" s="2" t="str">
        <f aca="false">IF(OR(F1492="",G1492=""),"",IF(G1492&lt;='RETRATO 2027'!$K$5,"CONCLUÍDA",IF(F1492&lt;='RETRATO 2027'!$K$5,"EM ANDAMENTO","A INICIAR")))</f>
        <v>A INICIAR</v>
      </c>
    </row>
    <row r="1493" customFormat="false" ht="15" hidden="false" customHeight="false" outlineLevel="0" collapsed="false">
      <c r="B1493" s="4" t="n">
        <v>32750403</v>
      </c>
      <c r="C1493" s="4" t="s">
        <v>2461</v>
      </c>
      <c r="D1493" s="4" t="s">
        <v>463</v>
      </c>
      <c r="E1493" s="4" t="s">
        <v>2841</v>
      </c>
      <c r="F1493" s="127" t="n">
        <v>46868</v>
      </c>
      <c r="G1493" s="127" t="n">
        <v>46881</v>
      </c>
      <c r="H1493" s="127" t="n">
        <v>46289</v>
      </c>
      <c r="I1493" s="4" t="n">
        <v>0</v>
      </c>
      <c r="J1493" s="4" t="n">
        <v>0</v>
      </c>
      <c r="K1493" s="4" t="n">
        <v>0</v>
      </c>
      <c r="M1493" s="2" t="str">
        <f aca="false">IF(C1493="","",IFERROR(INDEX($S$5:$S$304,MATCH(C1493,$R$5:$R$304,0))&amp;"","?"))</f>
        <v>20</v>
      </c>
      <c r="N1493" s="2" t="n">
        <f aca="false">IF(E1493="","",IF(ISNUMBER(SEARCH("SUBSOLO",E1493)),IFERROR(-VALUE(LEFT(E1493,FIND("º",SUBSTITUTE(E1493,"°","º"))-1)),-1),IF(LEFT(E1493,6)="TÉRREO",0,IFERROR(VALUE(LEFT(E1493,FIND("º",SUBSTITUTE(E1493,"°","º"))-1)),""))))</f>
        <v>29</v>
      </c>
      <c r="O1493" s="2" t="str">
        <f aca="false">IF(OR(F1493="",G1493=""),"",IF(G1493&lt;='RETRATO 2027'!$K$5,"CONCLUÍDA",IF(F1493&lt;='RETRATO 2027'!$K$5,"EM ANDAMENTO","A INICIAR")))</f>
        <v>A INICIAR</v>
      </c>
    </row>
    <row r="1494" customFormat="false" ht="15" hidden="false" customHeight="false" outlineLevel="0" collapsed="false">
      <c r="B1494" s="4" t="n">
        <v>32750429</v>
      </c>
      <c r="C1494" s="4" t="s">
        <v>2464</v>
      </c>
      <c r="D1494" s="4" t="s">
        <v>463</v>
      </c>
      <c r="E1494" s="4" t="s">
        <v>2841</v>
      </c>
      <c r="F1494" s="127" t="n">
        <v>46868</v>
      </c>
      <c r="G1494" s="127" t="n">
        <v>46881</v>
      </c>
      <c r="H1494" s="127" t="n">
        <v>46289</v>
      </c>
      <c r="I1494" s="4" t="n">
        <v>0</v>
      </c>
      <c r="J1494" s="4" t="n">
        <v>0</v>
      </c>
      <c r="K1494" s="4" t="n">
        <v>0</v>
      </c>
      <c r="M1494" s="2" t="str">
        <f aca="false">IF(C1494="","",IFERROR(INDEX($S$5:$S$304,MATCH(C1494,$R$5:$R$304,0))&amp;"","?"))</f>
        <v>21</v>
      </c>
      <c r="N1494" s="2" t="n">
        <f aca="false">IF(E1494="","",IF(ISNUMBER(SEARCH("SUBSOLO",E1494)),IFERROR(-VALUE(LEFT(E1494,FIND("º",SUBSTITUTE(E1494,"°","º"))-1)),-1),IF(LEFT(E1494,6)="TÉRREO",0,IFERROR(VALUE(LEFT(E1494,FIND("º",SUBSTITUTE(E1494,"°","º"))-1)),""))))</f>
        <v>29</v>
      </c>
      <c r="O1494" s="2" t="str">
        <f aca="false">IF(OR(F1494="",G1494=""),"",IF(G1494&lt;='RETRATO 2027'!$K$5,"CONCLUÍDA",IF(F1494&lt;='RETRATO 2027'!$K$5,"EM ANDAMENTO","A INICIAR")))</f>
        <v>A INICIAR</v>
      </c>
    </row>
    <row r="1495" customFormat="false" ht="15" hidden="false" customHeight="false" outlineLevel="0" collapsed="false">
      <c r="B1495" s="4" t="n">
        <v>33896847</v>
      </c>
      <c r="C1495" s="4" t="s">
        <v>2467</v>
      </c>
      <c r="D1495" s="4" t="s">
        <v>463</v>
      </c>
      <c r="E1495" s="4" t="s">
        <v>2841</v>
      </c>
      <c r="F1495" s="127" t="n">
        <v>46868</v>
      </c>
      <c r="G1495" s="127" t="n">
        <v>46881</v>
      </c>
      <c r="H1495" s="127" t="n">
        <v>46289</v>
      </c>
      <c r="I1495" s="4" t="n">
        <v>0</v>
      </c>
      <c r="J1495" s="4" t="n">
        <v>0</v>
      </c>
      <c r="K1495" s="4" t="n">
        <v>0</v>
      </c>
      <c r="M1495" s="2" t="str">
        <f aca="false">IF(C1495="","",IFERROR(INDEX($S$5:$S$304,MATCH(C1495,$R$5:$R$304,0))&amp;"","?"))</f>
        <v>23</v>
      </c>
      <c r="N1495" s="2" t="n">
        <f aca="false">IF(E1495="","",IF(ISNUMBER(SEARCH("SUBSOLO",E1495)),IFERROR(-VALUE(LEFT(E1495,FIND("º",SUBSTITUTE(E1495,"°","º"))-1)),-1),IF(LEFT(E1495,6)="TÉRREO",0,IFERROR(VALUE(LEFT(E1495,FIND("º",SUBSTITUTE(E1495,"°","º"))-1)),""))))</f>
        <v>29</v>
      </c>
      <c r="O1495" s="2" t="str">
        <f aca="false">IF(OR(F1495="",G1495=""),"",IF(G1495&lt;='RETRATO 2027'!$K$5,"CONCLUÍDA",IF(F1495&lt;='RETRATO 2027'!$K$5,"EM ANDAMENTO","A INICIAR")))</f>
        <v>A INICIAR</v>
      </c>
    </row>
    <row r="1496" customFormat="false" ht="15" hidden="false" customHeight="false" outlineLevel="0" collapsed="false">
      <c r="B1496" s="4" t="n">
        <v>32749873</v>
      </c>
      <c r="C1496" s="4" t="s">
        <v>2455</v>
      </c>
      <c r="D1496" s="4" t="s">
        <v>463</v>
      </c>
      <c r="E1496" s="4" t="s">
        <v>2842</v>
      </c>
      <c r="F1496" s="127" t="n">
        <v>46868</v>
      </c>
      <c r="G1496" s="127" t="n">
        <v>46881</v>
      </c>
      <c r="H1496" s="127" t="n">
        <v>46289</v>
      </c>
      <c r="I1496" s="4" t="n">
        <v>0</v>
      </c>
      <c r="J1496" s="4" t="n">
        <v>0</v>
      </c>
      <c r="K1496" s="4" t="n">
        <v>0</v>
      </c>
      <c r="M1496" s="2" t="str">
        <f aca="false">IF(C1496="","",IFERROR(INDEX($S$5:$S$304,MATCH(C1496,$R$5:$R$304,0))&amp;"","?"))</f>
        <v>18</v>
      </c>
      <c r="N1496" s="2" t="n">
        <f aca="false">IF(E1496="","",IF(ISNUMBER(SEARCH("SUBSOLO",E1496)),IFERROR(-VALUE(LEFT(E1496,FIND("º",SUBSTITUTE(E1496,"°","º"))-1)),-1),IF(LEFT(E1496,6)="TÉRREO",0,IFERROR(VALUE(LEFT(E1496,FIND("º",SUBSTITUTE(E1496,"°","º"))-1)),""))))</f>
        <v>30</v>
      </c>
      <c r="O1496" s="2" t="str">
        <f aca="false">IF(OR(F1496="",G1496=""),"",IF(G1496&lt;='RETRATO 2027'!$K$5,"CONCLUÍDA",IF(F1496&lt;='RETRATO 2027'!$K$5,"EM ANDAMENTO","A INICIAR")))</f>
        <v>A INICIAR</v>
      </c>
    </row>
    <row r="1497" customFormat="false" ht="15" hidden="false" customHeight="false" outlineLevel="0" collapsed="false">
      <c r="B1497" s="4" t="n">
        <v>29980659</v>
      </c>
      <c r="C1497" s="4" t="s">
        <v>2449</v>
      </c>
      <c r="D1497" s="4" t="s">
        <v>463</v>
      </c>
      <c r="E1497" s="4" t="s">
        <v>2843</v>
      </c>
      <c r="F1497" s="127" t="n">
        <v>46868</v>
      </c>
      <c r="G1497" s="127" t="n">
        <v>46881</v>
      </c>
      <c r="H1497" s="127" t="n">
        <v>46289</v>
      </c>
      <c r="I1497" s="4" t="n">
        <v>0</v>
      </c>
      <c r="J1497" s="4" t="n">
        <v>0</v>
      </c>
      <c r="K1497" s="4" t="n">
        <v>0</v>
      </c>
      <c r="M1497" s="2" t="str">
        <f aca="false">IF(C1497="","",IFERROR(INDEX($S$5:$S$304,MATCH(C1497,$R$5:$R$304,0))&amp;"","?"))</f>
        <v>28</v>
      </c>
      <c r="N1497" s="2" t="n">
        <f aca="false">IF(E1497="","",IF(ISNUMBER(SEARCH("SUBSOLO",E1497)),IFERROR(-VALUE(LEFT(E1497,FIND("º",SUBSTITUTE(E1497,"°","º"))-1)),-1),IF(LEFT(E1497,6)="TÉRREO",0,IFERROR(VALUE(LEFT(E1497,FIND("º",SUBSTITUTE(E1497,"°","º"))-1)),""))))</f>
        <v>31</v>
      </c>
      <c r="O1497" s="2" t="str">
        <f aca="false">IF(OR(F1497="",G1497=""),"",IF(G1497&lt;='RETRATO 2027'!$K$5,"CONCLUÍDA",IF(F1497&lt;='RETRATO 2027'!$K$5,"EM ANDAMENTO","A INICIAR")))</f>
        <v>A INICIAR</v>
      </c>
    </row>
    <row r="1498" customFormat="false" ht="15" hidden="false" customHeight="false" outlineLevel="0" collapsed="false">
      <c r="B1498" s="4" t="n">
        <v>29980599</v>
      </c>
      <c r="C1498" s="4" t="s">
        <v>2440</v>
      </c>
      <c r="D1498" s="4" t="s">
        <v>463</v>
      </c>
      <c r="E1498" s="4" t="s">
        <v>2844</v>
      </c>
      <c r="F1498" s="127" t="n">
        <v>46868</v>
      </c>
      <c r="G1498" s="127" t="n">
        <v>46881</v>
      </c>
      <c r="H1498" s="127" t="n">
        <v>46289</v>
      </c>
      <c r="I1498" s="4" t="n">
        <v>0</v>
      </c>
      <c r="J1498" s="4" t="n">
        <v>0</v>
      </c>
      <c r="K1498" s="4" t="n">
        <v>0</v>
      </c>
      <c r="M1498" s="2" t="str">
        <f aca="false">IF(C1498="","",IFERROR(INDEX($S$5:$S$304,MATCH(C1498,$R$5:$R$304,0))&amp;"","?"))</f>
        <v>21</v>
      </c>
      <c r="N1498" s="2" t="n">
        <f aca="false">IF(E1498="","",IF(ISNUMBER(SEARCH("SUBSOLO",E1498)),IFERROR(-VALUE(LEFT(E1498,FIND("º",SUBSTITUTE(E1498,"°","º"))-1)),-1),IF(LEFT(E1498,6)="TÉRREO",0,IFERROR(VALUE(LEFT(E1498,FIND("º",SUBSTITUTE(E1498,"°","º"))-1)),""))))</f>
        <v>32</v>
      </c>
      <c r="O1498" s="2" t="str">
        <f aca="false">IF(OR(F1498="",G1498=""),"",IF(G1498&lt;='RETRATO 2027'!$K$5,"CONCLUÍDA",IF(F1498&lt;='RETRATO 2027'!$K$5,"EM ANDAMENTO","A INICIAR")))</f>
        <v>A INICIAR</v>
      </c>
    </row>
    <row r="1499" customFormat="false" ht="15" hidden="false" customHeight="false" outlineLevel="0" collapsed="false">
      <c r="B1499" s="4" t="n">
        <v>29980632</v>
      </c>
      <c r="C1499" s="4" t="s">
        <v>2443</v>
      </c>
      <c r="D1499" s="4" t="s">
        <v>463</v>
      </c>
      <c r="E1499" s="4" t="s">
        <v>2844</v>
      </c>
      <c r="F1499" s="127" t="n">
        <v>46868</v>
      </c>
      <c r="G1499" s="127" t="n">
        <v>46881</v>
      </c>
      <c r="H1499" s="127" t="n">
        <v>46289</v>
      </c>
      <c r="I1499" s="4" t="n">
        <v>0</v>
      </c>
      <c r="J1499" s="4" t="n">
        <v>0</v>
      </c>
      <c r="K1499" s="4" t="n">
        <v>0</v>
      </c>
      <c r="M1499" s="2" t="str">
        <f aca="false">IF(C1499="","",IFERROR(INDEX($S$5:$S$304,MATCH(C1499,$R$5:$R$304,0))&amp;"","?"))</f>
        <v>20</v>
      </c>
      <c r="N1499" s="2" t="n">
        <f aca="false">IF(E1499="","",IF(ISNUMBER(SEARCH("SUBSOLO",E1499)),IFERROR(-VALUE(LEFT(E1499,FIND("º",SUBSTITUTE(E1499,"°","º"))-1)),-1),IF(LEFT(E1499,6)="TÉRREO",0,IFERROR(VALUE(LEFT(E1499,FIND("º",SUBSTITUTE(E1499,"°","º"))-1)),""))))</f>
        <v>32</v>
      </c>
      <c r="O1499" s="2" t="str">
        <f aca="false">IF(OR(F1499="",G1499=""),"",IF(G1499&lt;='RETRATO 2027'!$K$5,"CONCLUÍDA",IF(F1499&lt;='RETRATO 2027'!$K$5,"EM ANDAMENTO","A INICIAR")))</f>
        <v>A INICIAR</v>
      </c>
    </row>
    <row r="1500" customFormat="false" ht="15" hidden="false" customHeight="false" outlineLevel="0" collapsed="false">
      <c r="B1500" s="4" t="n">
        <v>30205991</v>
      </c>
      <c r="C1500" s="4" t="s">
        <v>2434</v>
      </c>
      <c r="D1500" s="4" t="s">
        <v>463</v>
      </c>
      <c r="E1500" s="4" t="s">
        <v>2849</v>
      </c>
      <c r="F1500" s="127" t="n">
        <v>46869</v>
      </c>
      <c r="G1500" s="127" t="n">
        <v>46876</v>
      </c>
      <c r="H1500" s="127" t="n">
        <v>46289</v>
      </c>
      <c r="I1500" s="4" t="n">
        <v>0</v>
      </c>
      <c r="J1500" s="4" t="n">
        <v>0</v>
      </c>
      <c r="K1500" s="4" t="n">
        <v>0</v>
      </c>
      <c r="M1500" s="2" t="str">
        <f aca="false">IF(C1500="","",IFERROR(INDEX($S$5:$S$304,MATCH(C1500,$R$5:$R$304,0))&amp;"","?"))</f>
        <v>25</v>
      </c>
      <c r="N1500" s="2" t="n">
        <f aca="false">IF(E1500="","",IF(ISNUMBER(SEARCH("SUBSOLO",E1500)),IFERROR(-VALUE(LEFT(E1500,FIND("º",SUBSTITUTE(E1500,"°","º"))-1)),-1),IF(LEFT(E1500,6)="TÉRREO",0,IFERROR(VALUE(LEFT(E1500,FIND("º",SUBSTITUTE(E1500,"°","º"))-1)),""))))</f>
        <v>6</v>
      </c>
      <c r="O1500" s="2" t="str">
        <f aca="false">IF(OR(F1500="",G1500=""),"",IF(G1500&lt;='RETRATO 2027'!$K$5,"CONCLUÍDA",IF(F1500&lt;='RETRATO 2027'!$K$5,"EM ANDAMENTO","A INICIAR")))</f>
        <v>A INICIAR</v>
      </c>
    </row>
    <row r="1501" customFormat="false" ht="15" hidden="false" customHeight="false" outlineLevel="0" collapsed="false">
      <c r="B1501" s="4" t="n">
        <v>30205982</v>
      </c>
      <c r="C1501" s="4" t="s">
        <v>2425</v>
      </c>
      <c r="D1501" s="4" t="s">
        <v>463</v>
      </c>
      <c r="E1501" s="4" t="s">
        <v>2850</v>
      </c>
      <c r="F1501" s="127" t="n">
        <v>46869</v>
      </c>
      <c r="G1501" s="127" t="n">
        <v>46883</v>
      </c>
      <c r="H1501" s="127" t="n">
        <v>46289</v>
      </c>
      <c r="I1501" s="4" t="n">
        <v>0</v>
      </c>
      <c r="J1501" s="4" t="n">
        <v>0</v>
      </c>
      <c r="K1501" s="4" t="n">
        <v>0</v>
      </c>
      <c r="M1501" s="2" t="str">
        <f aca="false">IF(C1501="","",IFERROR(INDEX($S$5:$S$304,MATCH(C1501,$R$5:$R$304,0))&amp;"","?"))</f>
        <v>21</v>
      </c>
      <c r="N1501" s="2" t="n">
        <f aca="false">IF(E1501="","",IF(ISNUMBER(SEARCH("SUBSOLO",E1501)),IFERROR(-VALUE(LEFT(E1501,FIND("º",SUBSTITUTE(E1501,"°","º"))-1)),-1),IF(LEFT(E1501,6)="TÉRREO",0,IFERROR(VALUE(LEFT(E1501,FIND("º",SUBSTITUTE(E1501,"°","º"))-1)),""))))</f>
        <v>6</v>
      </c>
      <c r="O1501" s="2" t="str">
        <f aca="false">IF(OR(F1501="",G1501=""),"",IF(G1501&lt;='RETRATO 2027'!$K$5,"CONCLUÍDA",IF(F1501&lt;='RETRATO 2027'!$K$5,"EM ANDAMENTO","A INICIAR")))</f>
        <v>A INICIAR</v>
      </c>
    </row>
    <row r="1502" customFormat="false" ht="15" hidden="false" customHeight="false" outlineLevel="0" collapsed="false">
      <c r="B1502" s="4" t="n">
        <v>30205953</v>
      </c>
      <c r="C1502" s="4" t="s">
        <v>2428</v>
      </c>
      <c r="D1502" s="4" t="s">
        <v>463</v>
      </c>
      <c r="E1502" s="4" t="s">
        <v>2850</v>
      </c>
      <c r="F1502" s="127" t="n">
        <v>46869</v>
      </c>
      <c r="G1502" s="127" t="n">
        <v>46883</v>
      </c>
      <c r="H1502" s="127" t="n">
        <v>46289</v>
      </c>
      <c r="I1502" s="4" t="n">
        <v>0</v>
      </c>
      <c r="J1502" s="4" t="n">
        <v>0</v>
      </c>
      <c r="K1502" s="4" t="n">
        <v>0</v>
      </c>
      <c r="M1502" s="2" t="str">
        <f aca="false">IF(C1502="","",IFERROR(INDEX($S$5:$S$304,MATCH(C1502,$R$5:$R$304,0))&amp;"","?"))</f>
        <v>20</v>
      </c>
      <c r="N1502" s="2" t="n">
        <f aca="false">IF(E1502="","",IF(ISNUMBER(SEARCH("SUBSOLO",E1502)),IFERROR(-VALUE(LEFT(E1502,FIND("º",SUBSTITUTE(E1502,"°","º"))-1)),-1),IF(LEFT(E1502,6)="TÉRREO",0,IFERROR(VALUE(LEFT(E1502,FIND("º",SUBSTITUTE(E1502,"°","º"))-1)),""))))</f>
        <v>6</v>
      </c>
      <c r="O1502" s="2" t="str">
        <f aca="false">IF(OR(F1502="",G1502=""),"",IF(G1502&lt;='RETRATO 2027'!$K$5,"CONCLUÍDA",IF(F1502&lt;='RETRATO 2027'!$K$5,"EM ANDAMENTO","A INICIAR")))</f>
        <v>A INICIAR</v>
      </c>
    </row>
    <row r="1503" customFormat="false" ht="15" hidden="false" customHeight="false" outlineLevel="0" collapsed="false">
      <c r="B1503" s="4" t="n">
        <v>30205983</v>
      </c>
      <c r="C1503" s="4" t="s">
        <v>2431</v>
      </c>
      <c r="D1503" s="4" t="s">
        <v>463</v>
      </c>
      <c r="E1503" s="4" t="s">
        <v>2850</v>
      </c>
      <c r="F1503" s="127" t="n">
        <v>46869</v>
      </c>
      <c r="G1503" s="127" t="n">
        <v>46883</v>
      </c>
      <c r="H1503" s="127" t="n">
        <v>46289</v>
      </c>
      <c r="I1503" s="4" t="n">
        <v>0</v>
      </c>
      <c r="J1503" s="4" t="n">
        <v>0</v>
      </c>
      <c r="K1503" s="4" t="n">
        <v>0</v>
      </c>
      <c r="M1503" s="2" t="str">
        <f aca="false">IF(C1503="","",IFERROR(INDEX($S$5:$S$304,MATCH(C1503,$R$5:$R$304,0))&amp;"","?"))</f>
        <v>21</v>
      </c>
      <c r="N1503" s="2" t="n">
        <f aca="false">IF(E1503="","",IF(ISNUMBER(SEARCH("SUBSOLO",E1503)),IFERROR(-VALUE(LEFT(E1503,FIND("º",SUBSTITUTE(E1503,"°","º"))-1)),-1),IF(LEFT(E1503,6)="TÉRREO",0,IFERROR(VALUE(LEFT(E1503,FIND("º",SUBSTITUTE(E1503,"°","º"))-1)),""))))</f>
        <v>6</v>
      </c>
      <c r="O1503" s="2" t="str">
        <f aca="false">IF(OR(F1503="",G1503=""),"",IF(G1503&lt;='RETRATO 2027'!$K$5,"CONCLUÍDA",IF(F1503&lt;='RETRATO 2027'!$K$5,"EM ANDAMENTO","A INICIAR")))</f>
        <v>A INICIAR</v>
      </c>
    </row>
    <row r="1504" customFormat="false" ht="15" hidden="false" customHeight="false" outlineLevel="0" collapsed="false">
      <c r="B1504" s="4" t="n">
        <v>29981098</v>
      </c>
      <c r="C1504" s="4" t="s">
        <v>2422</v>
      </c>
      <c r="D1504" s="4" t="s">
        <v>463</v>
      </c>
      <c r="E1504" s="4" t="s">
        <v>2822</v>
      </c>
      <c r="F1504" s="127" t="n">
        <v>46869</v>
      </c>
      <c r="G1504" s="127" t="n">
        <v>46882</v>
      </c>
      <c r="H1504" s="127" t="n">
        <v>46289</v>
      </c>
      <c r="I1504" s="4" t="n">
        <v>0</v>
      </c>
      <c r="J1504" s="4" t="n">
        <v>0</v>
      </c>
      <c r="K1504" s="4" t="n">
        <v>0</v>
      </c>
      <c r="M1504" s="2" t="str">
        <f aca="false">IF(C1504="","",IFERROR(INDEX($S$5:$S$304,MATCH(C1504,$R$5:$R$304,0))&amp;"","?"))</f>
        <v>29</v>
      </c>
      <c r="N1504" s="2" t="n">
        <f aca="false">IF(E1504="","",IF(ISNUMBER(SEARCH("SUBSOLO",E1504)),IFERROR(-VALUE(LEFT(E1504,FIND("º",SUBSTITUTE(E1504,"°","º"))-1)),-1),IF(LEFT(E1504,6)="TÉRREO",0,IFERROR(VALUE(LEFT(E1504,FIND("º",SUBSTITUTE(E1504,"°","º"))-1)),""))))</f>
        <v>19</v>
      </c>
      <c r="O1504" s="2" t="str">
        <f aca="false">IF(OR(F1504="",G1504=""),"",IF(G1504&lt;='RETRATO 2027'!$K$5,"CONCLUÍDA",IF(F1504&lt;='RETRATO 2027'!$K$5,"EM ANDAMENTO","A INICIAR")))</f>
        <v>A INICIAR</v>
      </c>
    </row>
    <row r="1505" customFormat="false" ht="15" hidden="false" customHeight="false" outlineLevel="0" collapsed="false">
      <c r="B1505" s="4" t="n">
        <v>31790597</v>
      </c>
      <c r="C1505" s="4" t="s">
        <v>2639</v>
      </c>
      <c r="D1505" s="4" t="s">
        <v>463</v>
      </c>
      <c r="E1505" s="4" t="s">
        <v>2678</v>
      </c>
      <c r="F1505" s="127" t="n">
        <v>46869</v>
      </c>
      <c r="G1505" s="127" t="n">
        <v>46911</v>
      </c>
      <c r="H1505" s="127" t="n">
        <v>46289</v>
      </c>
      <c r="I1505" s="4" t="n">
        <v>0</v>
      </c>
      <c r="J1505" s="4" t="n">
        <v>0</v>
      </c>
      <c r="K1505" s="4" t="n">
        <v>0</v>
      </c>
      <c r="M1505" s="2" t="str">
        <f aca="false">IF(C1505="","",IFERROR(INDEX($S$5:$S$304,MATCH(C1505,$R$5:$R$304,0))&amp;"","?"))</f>
        <v>32</v>
      </c>
      <c r="N1505" s="2" t="str">
        <f aca="false"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 t="str">
        <f aca="false">IF(OR(F1505="",G1505=""),"",IF(G1505&lt;='RETRATO 2027'!$K$5,"CONCLUÍDA",IF(F1505&lt;='RETRATO 2027'!$K$5,"EM ANDAMENTO","A INICIAR")))</f>
        <v>A INICIAR</v>
      </c>
    </row>
    <row r="1506" customFormat="false" ht="15" hidden="false" customHeight="false" outlineLevel="0" collapsed="false">
      <c r="B1506" s="4" t="n">
        <v>30205661</v>
      </c>
      <c r="C1506" s="4" t="s">
        <v>2563</v>
      </c>
      <c r="D1506" s="4" t="s">
        <v>463</v>
      </c>
      <c r="E1506" s="4" t="s">
        <v>2821</v>
      </c>
      <c r="F1506" s="127" t="n">
        <v>46871</v>
      </c>
      <c r="G1506" s="127" t="n">
        <v>46878</v>
      </c>
      <c r="H1506" s="127" t="n">
        <v>46289</v>
      </c>
      <c r="I1506" s="4" t="n">
        <v>0</v>
      </c>
      <c r="J1506" s="4" t="n">
        <v>0</v>
      </c>
      <c r="K1506" s="4" t="n">
        <v>0</v>
      </c>
      <c r="M1506" s="2" t="str">
        <f aca="false">IF(C1506="","",IFERROR(INDEX($S$5:$S$304,MATCH(C1506,$R$5:$R$304,0))&amp;"","?"))</f>
        <v>20</v>
      </c>
      <c r="N1506" s="2" t="n">
        <f aca="false">IF(E1506="","",IF(ISNUMBER(SEARCH("SUBSOLO",E1506)),IFERROR(-VALUE(LEFT(E1506,FIND("º",SUBSTITUTE(E1506,"°","º"))-1)),-1),IF(LEFT(E1506,6)="TÉRREO",0,IFERROR(VALUE(LEFT(E1506,FIND("º",SUBSTITUTE(E1506,"°","º"))-1)),""))))</f>
        <v>0</v>
      </c>
      <c r="O1506" s="2" t="str">
        <f aca="false">IF(OR(F1506="",G1506=""),"",IF(G1506&lt;='RETRATO 2027'!$K$5,"CONCLUÍDA",IF(F1506&lt;='RETRATO 2027'!$K$5,"EM ANDAMENTO","A INICIAR")))</f>
        <v>A INICIAR</v>
      </c>
    </row>
    <row r="1507" customFormat="false" ht="15" hidden="false" customHeight="false" outlineLevel="0" collapsed="false">
      <c r="B1507" s="4" t="n">
        <v>30205636</v>
      </c>
      <c r="C1507" s="4" t="s">
        <v>2578</v>
      </c>
      <c r="D1507" s="4" t="s">
        <v>463</v>
      </c>
      <c r="E1507" s="4" t="s">
        <v>2824</v>
      </c>
      <c r="F1507" s="127" t="n">
        <v>46871</v>
      </c>
      <c r="G1507" s="127" t="n">
        <v>46885</v>
      </c>
      <c r="H1507" s="127" t="n">
        <v>46289</v>
      </c>
      <c r="I1507" s="4" t="n">
        <v>0</v>
      </c>
      <c r="J1507" s="4" t="n">
        <v>0</v>
      </c>
      <c r="K1507" s="4" t="n">
        <v>0</v>
      </c>
      <c r="M1507" s="2" t="str">
        <f aca="false">IF(C1507="","",IFERROR(INDEX($S$5:$S$304,MATCH(C1507,$R$5:$R$304,0))&amp;"","?"))</f>
        <v>25</v>
      </c>
      <c r="N1507" s="2" t="n">
        <f aca="false">IF(E1507="","",IF(ISNUMBER(SEARCH("SUBSOLO",E1507)),IFERROR(-VALUE(LEFT(E1507,FIND("º",SUBSTITUTE(E1507,"°","º"))-1)),-1),IF(LEFT(E1507,6)="TÉRREO",0,IFERROR(VALUE(LEFT(E1507,FIND("º",SUBSTITUTE(E1507,"°","º"))-1)),""))))</f>
        <v>0</v>
      </c>
      <c r="O1507" s="2" t="str">
        <f aca="false">IF(OR(F1507="",G1507=""),"",IF(G1507&lt;='RETRATO 2027'!$K$5,"CONCLUÍDA",IF(F1507&lt;='RETRATO 2027'!$K$5,"EM ANDAMENTO","A INICIAR")))</f>
        <v>A INICIAR</v>
      </c>
    </row>
    <row r="1508" customFormat="false" ht="15" hidden="false" customHeight="false" outlineLevel="0" collapsed="false">
      <c r="B1508" s="4" t="n">
        <v>30205635</v>
      </c>
      <c r="C1508" s="4" t="s">
        <v>2605</v>
      </c>
      <c r="D1508" s="4" t="s">
        <v>463</v>
      </c>
      <c r="E1508" s="4" t="s">
        <v>2824</v>
      </c>
      <c r="F1508" s="127" t="n">
        <v>46871</v>
      </c>
      <c r="G1508" s="127" t="n">
        <v>46885</v>
      </c>
      <c r="H1508" s="127" t="n">
        <v>46289</v>
      </c>
      <c r="I1508" s="4" t="n">
        <v>0</v>
      </c>
      <c r="J1508" s="4" t="n">
        <v>0</v>
      </c>
      <c r="K1508" s="4" t="n">
        <v>0</v>
      </c>
      <c r="M1508" s="2" t="str">
        <f aca="false">IF(C1508="","",IFERROR(INDEX($S$5:$S$304,MATCH(C1508,$R$5:$R$304,0))&amp;"","?"))</f>
        <v>34</v>
      </c>
      <c r="N1508" s="2" t="n">
        <f aca="false">IF(E1508="","",IF(ISNUMBER(SEARCH("SUBSOLO",E1508)),IFERROR(-VALUE(LEFT(E1508,FIND("º",SUBSTITUTE(E1508,"°","º"))-1)),-1),IF(LEFT(E1508,6)="TÉRREO",0,IFERROR(VALUE(LEFT(E1508,FIND("º",SUBSTITUTE(E1508,"°","º"))-1)),""))))</f>
        <v>0</v>
      </c>
      <c r="O1508" s="2" t="str">
        <f aca="false">IF(OR(F1508="",G1508=""),"",IF(G1508&lt;='RETRATO 2027'!$K$5,"CONCLUÍDA",IF(F1508&lt;='RETRATO 2027'!$K$5,"EM ANDAMENTO","A INICIAR")))</f>
        <v>A INICIAR</v>
      </c>
    </row>
    <row r="1509" customFormat="false" ht="15" hidden="false" customHeight="false" outlineLevel="0" collapsed="false">
      <c r="B1509" s="4" t="n">
        <v>30205633</v>
      </c>
      <c r="C1509" s="4" t="s">
        <v>2607</v>
      </c>
      <c r="D1509" s="4" t="s">
        <v>463</v>
      </c>
      <c r="E1509" s="4" t="s">
        <v>2824</v>
      </c>
      <c r="F1509" s="127" t="n">
        <v>46871</v>
      </c>
      <c r="G1509" s="127" t="n">
        <v>46885</v>
      </c>
      <c r="H1509" s="127" t="n">
        <v>46289</v>
      </c>
      <c r="I1509" s="4" t="n">
        <v>0</v>
      </c>
      <c r="J1509" s="4" t="n">
        <v>0</v>
      </c>
      <c r="K1509" s="4" t="n">
        <v>0</v>
      </c>
      <c r="M1509" s="2" t="str">
        <f aca="false">IF(C1509="","",IFERROR(INDEX($S$5:$S$304,MATCH(C1509,$R$5:$R$304,0))&amp;"","?"))</f>
        <v>34</v>
      </c>
      <c r="N1509" s="2" t="n">
        <f aca="false">IF(E1509="","",IF(ISNUMBER(SEARCH("SUBSOLO",E1509)),IFERROR(-VALUE(LEFT(E1509,FIND("º",SUBSTITUTE(E1509,"°","º"))-1)),-1),IF(LEFT(E1509,6)="TÉRREO",0,IFERROR(VALUE(LEFT(E1509,FIND("º",SUBSTITUTE(E1509,"°","º"))-1)),""))))</f>
        <v>0</v>
      </c>
      <c r="O1509" s="2" t="str">
        <f aca="false">IF(OR(F1509="",G1509=""),"",IF(G1509&lt;='RETRATO 2027'!$K$5,"CONCLUÍDA",IF(F1509&lt;='RETRATO 2027'!$K$5,"EM ANDAMENTO","A INICIAR")))</f>
        <v>A INICIAR</v>
      </c>
    </row>
    <row r="1510" customFormat="false" ht="15" hidden="false" customHeight="false" outlineLevel="0" collapsed="false">
      <c r="B1510" s="4" t="n">
        <v>30205618</v>
      </c>
      <c r="C1510" s="4" t="s">
        <v>2554</v>
      </c>
      <c r="D1510" s="4" t="s">
        <v>463</v>
      </c>
      <c r="E1510" s="4" t="s">
        <v>2826</v>
      </c>
      <c r="F1510" s="127" t="n">
        <v>46871</v>
      </c>
      <c r="G1510" s="127" t="n">
        <v>46885</v>
      </c>
      <c r="H1510" s="127" t="n">
        <v>46289</v>
      </c>
      <c r="I1510" s="4" t="n">
        <v>0</v>
      </c>
      <c r="J1510" s="4" t="n">
        <v>0</v>
      </c>
      <c r="K1510" s="4" t="n">
        <v>0</v>
      </c>
      <c r="M1510" s="2" t="str">
        <f aca="false">IF(C1510="","",IFERROR(INDEX($S$5:$S$304,MATCH(C1510,$R$5:$R$304,0))&amp;"","?"))</f>
        <v>35</v>
      </c>
      <c r="N1510" s="2" t="n">
        <f aca="false">IF(E1510="","",IF(ISNUMBER(SEARCH("SUBSOLO",E1510)),IFERROR(-VALUE(LEFT(E1510,FIND("º",SUBSTITUTE(E1510,"°","º"))-1)),-1),IF(LEFT(E1510,6)="TÉRREO",0,IFERROR(VALUE(LEFT(E1510,FIND("º",SUBSTITUTE(E1510,"°","º"))-1)),""))))</f>
        <v>0</v>
      </c>
      <c r="O1510" s="2" t="str">
        <f aca="false">IF(OR(F1510="",G1510=""),"",IF(G1510&lt;='RETRATO 2027'!$K$5,"CONCLUÍDA",IF(F1510&lt;='RETRATO 2027'!$K$5,"EM ANDAMENTO","A INICIAR")))</f>
        <v>A INICIAR</v>
      </c>
    </row>
    <row r="1511" customFormat="false" ht="15" hidden="false" customHeight="false" outlineLevel="0" collapsed="false">
      <c r="B1511" s="4" t="n">
        <v>30205933</v>
      </c>
      <c r="C1511" s="4" t="s">
        <v>171</v>
      </c>
      <c r="D1511" s="4" t="s">
        <v>463</v>
      </c>
      <c r="E1511" s="4" t="s">
        <v>2801</v>
      </c>
      <c r="F1511" s="127" t="n">
        <v>46871</v>
      </c>
      <c r="G1511" s="127" t="n">
        <v>46885</v>
      </c>
      <c r="H1511" s="127" t="n">
        <v>46289</v>
      </c>
      <c r="I1511" s="4" t="n">
        <v>0</v>
      </c>
      <c r="J1511" s="4" t="n">
        <v>0</v>
      </c>
      <c r="K1511" s="4" t="n">
        <v>0</v>
      </c>
      <c r="M1511" s="2" t="str">
        <f aca="false">IF(C1511="","",IFERROR(INDEX($S$5:$S$304,MATCH(C1511,$R$5:$R$304,0))&amp;"","?"))</f>
        <v>19</v>
      </c>
      <c r="N1511" s="2" t="n">
        <f aca="false">IF(E1511="","",IF(ISNUMBER(SEARCH("SUBSOLO",E1511)),IFERROR(-VALUE(LEFT(E1511,FIND("º",SUBSTITUTE(E1511,"°","º"))-1)),-1),IF(LEFT(E1511,6)="TÉRREO",0,IFERROR(VALUE(LEFT(E1511,FIND("º",SUBSTITUTE(E1511,"°","º"))-1)),""))))</f>
        <v>5</v>
      </c>
      <c r="O1511" s="2" t="str">
        <f aca="false">IF(OR(F1511="",G1511=""),"",IF(G1511&lt;='RETRATO 2027'!$K$5,"CONCLUÍDA",IF(F1511&lt;='RETRATO 2027'!$K$5,"EM ANDAMENTO","A INICIAR")))</f>
        <v>A INICIAR</v>
      </c>
    </row>
    <row r="1512" customFormat="false" ht="15" hidden="false" customHeight="false" outlineLevel="0" collapsed="false">
      <c r="B1512" s="4" t="n">
        <v>30171387</v>
      </c>
      <c r="C1512" s="4" t="s">
        <v>2413</v>
      </c>
      <c r="D1512" s="4" t="s">
        <v>463</v>
      </c>
      <c r="E1512" s="4" t="s">
        <v>2801</v>
      </c>
      <c r="F1512" s="127" t="n">
        <v>46871</v>
      </c>
      <c r="G1512" s="127" t="n">
        <v>46899</v>
      </c>
      <c r="H1512" s="127" t="n">
        <v>46289</v>
      </c>
      <c r="I1512" s="4" t="n">
        <v>0</v>
      </c>
      <c r="J1512" s="4" t="n">
        <v>0</v>
      </c>
      <c r="K1512" s="4" t="n">
        <v>0</v>
      </c>
      <c r="M1512" s="2" t="str">
        <f aca="false">IF(C1512="","",IFERROR(INDEX($S$5:$S$304,MATCH(C1512,$R$5:$R$304,0))&amp;"","?"))</f>
        <v>21</v>
      </c>
      <c r="N1512" s="2" t="n">
        <f aca="false">IF(E1512="","",IF(ISNUMBER(SEARCH("SUBSOLO",E1512)),IFERROR(-VALUE(LEFT(E1512,FIND("º",SUBSTITUTE(E1512,"°","º"))-1)),-1),IF(LEFT(E1512,6)="TÉRREO",0,IFERROR(VALUE(LEFT(E1512,FIND("º",SUBSTITUTE(E1512,"°","º"))-1)),""))))</f>
        <v>5</v>
      </c>
      <c r="O1512" s="2" t="str">
        <f aca="false">IF(OR(F1512="",G1512=""),"",IF(G1512&lt;='RETRATO 2027'!$K$5,"CONCLUÍDA",IF(F1512&lt;='RETRATO 2027'!$K$5,"EM ANDAMENTO","A INICIAR")))</f>
        <v>A INICIAR</v>
      </c>
    </row>
    <row r="1513" customFormat="false" ht="15" hidden="false" customHeight="false" outlineLevel="0" collapsed="false">
      <c r="B1513" s="4" t="n">
        <v>30171388</v>
      </c>
      <c r="C1513" s="4" t="s">
        <v>2443</v>
      </c>
      <c r="D1513" s="4" t="s">
        <v>463</v>
      </c>
      <c r="E1513" s="4" t="s">
        <v>2801</v>
      </c>
      <c r="F1513" s="127" t="n">
        <v>46871</v>
      </c>
      <c r="G1513" s="127" t="n">
        <v>46899</v>
      </c>
      <c r="H1513" s="127" t="n">
        <v>46289</v>
      </c>
      <c r="I1513" s="4" t="n">
        <v>0</v>
      </c>
      <c r="J1513" s="4" t="n">
        <v>0</v>
      </c>
      <c r="K1513" s="4" t="n">
        <v>0</v>
      </c>
      <c r="M1513" s="2" t="str">
        <f aca="false">IF(C1513="","",IFERROR(INDEX($S$5:$S$304,MATCH(C1513,$R$5:$R$304,0))&amp;"","?"))</f>
        <v>20</v>
      </c>
      <c r="N1513" s="2" t="n">
        <f aca="false">IF(E1513="","",IF(ISNUMBER(SEARCH("SUBSOLO",E1513)),IFERROR(-VALUE(LEFT(E1513,FIND("º",SUBSTITUTE(E1513,"°","º"))-1)),-1),IF(LEFT(E1513,6)="TÉRREO",0,IFERROR(VALUE(LEFT(E1513,FIND("º",SUBSTITUTE(E1513,"°","º"))-1)),""))))</f>
        <v>5</v>
      </c>
      <c r="O1513" s="2" t="str">
        <f aca="false">IF(OR(F1513="",G1513=""),"",IF(G1513&lt;='RETRATO 2027'!$K$5,"CONCLUÍDA",IF(F1513&lt;='RETRATO 2027'!$K$5,"EM ANDAMENTO","A INICIAR")))</f>
        <v>A INICIAR</v>
      </c>
    </row>
    <row r="1514" customFormat="false" ht="15" hidden="false" customHeight="false" outlineLevel="0" collapsed="false">
      <c r="B1514" s="4" t="n">
        <v>30171400</v>
      </c>
      <c r="C1514" s="4" t="s">
        <v>2517</v>
      </c>
      <c r="D1514" s="4" t="s">
        <v>463</v>
      </c>
      <c r="E1514" s="4" t="s">
        <v>2801</v>
      </c>
      <c r="F1514" s="127" t="n">
        <v>46871</v>
      </c>
      <c r="G1514" s="127" t="n">
        <v>46899</v>
      </c>
      <c r="H1514" s="127" t="n">
        <v>46289</v>
      </c>
      <c r="I1514" s="4" t="n">
        <v>0</v>
      </c>
      <c r="J1514" s="4" t="n">
        <v>0</v>
      </c>
      <c r="K1514" s="4" t="n">
        <v>0</v>
      </c>
      <c r="M1514" s="2" t="str">
        <f aca="false">IF(C1514="","",IFERROR(INDEX($S$5:$S$304,MATCH(C1514,$R$5:$R$304,0))&amp;"","?"))</f>
        <v>22</v>
      </c>
      <c r="N1514" s="2" t="n">
        <f aca="false">IF(E1514="","",IF(ISNUMBER(SEARCH("SUBSOLO",E1514)),IFERROR(-VALUE(LEFT(E1514,FIND("º",SUBSTITUTE(E1514,"°","º"))-1)),-1),IF(LEFT(E1514,6)="TÉRREO",0,IFERROR(VALUE(LEFT(E1514,FIND("º",SUBSTITUTE(E1514,"°","º"))-1)),""))))</f>
        <v>5</v>
      </c>
      <c r="O1514" s="2" t="str">
        <f aca="false">IF(OR(F1514="",G1514=""),"",IF(G1514&lt;='RETRATO 2027'!$K$5,"CONCLUÍDA",IF(F1514&lt;='RETRATO 2027'!$K$5,"EM ANDAMENTO","A INICIAR")))</f>
        <v>A INICIAR</v>
      </c>
    </row>
    <row r="1515" customFormat="false" ht="15" hidden="false" customHeight="false" outlineLevel="0" collapsed="false">
      <c r="B1515" s="4" t="n">
        <v>30171519</v>
      </c>
      <c r="C1515" s="4" t="s">
        <v>2437</v>
      </c>
      <c r="D1515" s="4" t="s">
        <v>463</v>
      </c>
      <c r="E1515" s="4" t="s">
        <v>2857</v>
      </c>
      <c r="F1515" s="127" t="n">
        <v>46871</v>
      </c>
      <c r="G1515" s="127" t="n">
        <v>46903</v>
      </c>
      <c r="H1515" s="127" t="n">
        <v>46289</v>
      </c>
      <c r="I1515" s="4" t="n">
        <v>0</v>
      </c>
      <c r="J1515" s="4" t="n">
        <v>0</v>
      </c>
      <c r="K1515" s="4" t="n">
        <v>0</v>
      </c>
      <c r="M1515" s="2" t="str">
        <f aca="false">IF(C1515="","",IFERROR(INDEX($S$5:$S$304,MATCH(C1515,$R$5:$R$304,0))&amp;"","?"))</f>
        <v>29</v>
      </c>
      <c r="N1515" s="2" t="str">
        <f aca="false"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 t="str">
        <f aca="false">IF(OR(F1515="",G1515=""),"",IF(G1515&lt;='RETRATO 2027'!$K$5,"CONCLUÍDA",IF(F1515&lt;='RETRATO 2027'!$K$5,"EM ANDAMENTO","A INICIAR")))</f>
        <v>A INICIAR</v>
      </c>
    </row>
    <row r="1516" customFormat="false" ht="15" hidden="false" customHeight="false" outlineLevel="0" collapsed="false">
      <c r="B1516" s="4" t="n">
        <v>29981540</v>
      </c>
      <c r="C1516" s="4" t="s">
        <v>2641</v>
      </c>
      <c r="D1516" s="4" t="s">
        <v>463</v>
      </c>
      <c r="E1516" s="4" t="s">
        <v>2803</v>
      </c>
      <c r="F1516" s="127" t="n">
        <v>46875</v>
      </c>
      <c r="G1516" s="127" t="n">
        <v>46885</v>
      </c>
      <c r="H1516" s="127" t="n">
        <v>46289</v>
      </c>
      <c r="I1516" s="4" t="n">
        <v>0</v>
      </c>
      <c r="J1516" s="4" t="n">
        <v>0</v>
      </c>
      <c r="K1516" s="4" t="n">
        <v>0</v>
      </c>
      <c r="M1516" s="2" t="str">
        <f aca="false">IF(C1516="","",IFERROR(INDEX($S$5:$S$304,MATCH(C1516,$R$5:$R$304,0))&amp;"","?"))</f>
        <v>35</v>
      </c>
      <c r="N1516" s="2" t="n">
        <f aca="false">IF(E1516="","",IF(ISNUMBER(SEARCH("SUBSOLO",E1516)),IFERROR(-VALUE(LEFT(E1516,FIND("º",SUBSTITUTE(E1516,"°","º"))-1)),-1),IF(LEFT(E1516,6)="TÉRREO",0,IFERROR(VALUE(LEFT(E1516,FIND("º",SUBSTITUTE(E1516,"°","º"))-1)),""))))</f>
        <v>7</v>
      </c>
      <c r="O1516" s="2" t="str">
        <f aca="false">IF(OR(F1516="",G1516=""),"",IF(G1516&lt;='RETRATO 2027'!$K$5,"CONCLUÍDA",IF(F1516&lt;='RETRATO 2027'!$K$5,"EM ANDAMENTO","A INICIAR")))</f>
        <v>A INICIAR</v>
      </c>
    </row>
    <row r="1517" customFormat="false" ht="15" hidden="false" customHeight="false" outlineLevel="0" collapsed="false">
      <c r="B1517" s="4" t="n">
        <v>30205861</v>
      </c>
      <c r="C1517" s="4" t="s">
        <v>2508</v>
      </c>
      <c r="D1517" s="4" t="s">
        <v>463</v>
      </c>
      <c r="E1517" s="4" t="s">
        <v>2782</v>
      </c>
      <c r="F1517" s="127" t="n">
        <v>46876</v>
      </c>
      <c r="G1517" s="127" t="n">
        <v>46889</v>
      </c>
      <c r="H1517" s="127" t="n">
        <v>46289</v>
      </c>
      <c r="I1517" s="4" t="n">
        <v>0</v>
      </c>
      <c r="J1517" s="4" t="n">
        <v>0</v>
      </c>
      <c r="K1517" s="4" t="n">
        <v>0</v>
      </c>
      <c r="M1517" s="2" t="str">
        <f aca="false">IF(C1517="","",IFERROR(INDEX($S$5:$S$304,MATCH(C1517,$R$5:$R$304,0))&amp;"","?"))</f>
        <v>20</v>
      </c>
      <c r="N1517" s="2" t="n">
        <f aca="false">IF(E1517="","",IF(ISNUMBER(SEARCH("SUBSOLO",E1517)),IFERROR(-VALUE(LEFT(E1517,FIND("º",SUBSTITUTE(E1517,"°","º"))-1)),-1),IF(LEFT(E1517,6)="TÉRREO",0,IFERROR(VALUE(LEFT(E1517,FIND("º",SUBSTITUTE(E1517,"°","º"))-1)),""))))</f>
        <v>1</v>
      </c>
      <c r="O1517" s="2" t="str">
        <f aca="false">IF(OR(F1517="",G1517=""),"",IF(G1517&lt;='RETRATO 2027'!$K$5,"CONCLUÍDA",IF(F1517&lt;='RETRATO 2027'!$K$5,"EM ANDAMENTO","A INICIAR")))</f>
        <v>A INICIAR</v>
      </c>
    </row>
    <row r="1518" customFormat="false" ht="15" hidden="false" customHeight="false" outlineLevel="0" collapsed="false">
      <c r="B1518" s="4" t="n">
        <v>30208602</v>
      </c>
      <c r="C1518" s="4" t="s">
        <v>2511</v>
      </c>
      <c r="D1518" s="4" t="s">
        <v>463</v>
      </c>
      <c r="E1518" s="4" t="s">
        <v>2782</v>
      </c>
      <c r="F1518" s="127" t="n">
        <v>46876</v>
      </c>
      <c r="G1518" s="127" t="n">
        <v>46889</v>
      </c>
      <c r="H1518" s="127" t="n">
        <v>46289</v>
      </c>
      <c r="I1518" s="4" t="n">
        <v>0</v>
      </c>
      <c r="J1518" s="4" t="n">
        <v>0</v>
      </c>
      <c r="K1518" s="4" t="n">
        <v>0</v>
      </c>
      <c r="M1518" s="2" t="str">
        <f aca="false">IF(C1518="","",IFERROR(INDEX($S$5:$S$304,MATCH(C1518,$R$5:$R$304,0))&amp;"","?"))</f>
        <v>20</v>
      </c>
      <c r="N1518" s="2" t="n">
        <f aca="false">IF(E1518="","",IF(ISNUMBER(SEARCH("SUBSOLO",E1518)),IFERROR(-VALUE(LEFT(E1518,FIND("º",SUBSTITUTE(E1518,"°","º"))-1)),-1),IF(LEFT(E1518,6)="TÉRREO",0,IFERROR(VALUE(LEFT(E1518,FIND("º",SUBSTITUTE(E1518,"°","º"))-1)),""))))</f>
        <v>1</v>
      </c>
      <c r="O1518" s="2" t="str">
        <f aca="false">IF(OR(F1518="",G1518=""),"",IF(G1518&lt;='RETRATO 2027'!$K$5,"CONCLUÍDA",IF(F1518&lt;='RETRATO 2027'!$K$5,"EM ANDAMENTO","A INICIAR")))</f>
        <v>A INICIAR</v>
      </c>
    </row>
    <row r="1519" customFormat="false" ht="15" hidden="false" customHeight="false" outlineLevel="0" collapsed="false">
      <c r="B1519" s="4" t="n">
        <v>30214058</v>
      </c>
      <c r="C1519" s="4" t="s">
        <v>2514</v>
      </c>
      <c r="D1519" s="4" t="s">
        <v>463</v>
      </c>
      <c r="E1519" s="4" t="s">
        <v>2782</v>
      </c>
      <c r="F1519" s="127" t="n">
        <v>46876</v>
      </c>
      <c r="G1519" s="127" t="n">
        <v>46889</v>
      </c>
      <c r="H1519" s="127" t="n">
        <v>46289</v>
      </c>
      <c r="I1519" s="4" t="n">
        <v>0</v>
      </c>
      <c r="J1519" s="4" t="n">
        <v>0</v>
      </c>
      <c r="K1519" s="4" t="n">
        <v>0</v>
      </c>
      <c r="M1519" s="2" t="str">
        <f aca="false">IF(C1519="","",IFERROR(INDEX($S$5:$S$304,MATCH(C1519,$R$5:$R$304,0))&amp;"","?"))</f>
        <v>20</v>
      </c>
      <c r="N1519" s="2" t="n">
        <f aca="false">IF(E1519="","",IF(ISNUMBER(SEARCH("SUBSOLO",E1519)),IFERROR(-VALUE(LEFT(E1519,FIND("º",SUBSTITUTE(E1519,"°","º"))-1)),-1),IF(LEFT(E1519,6)="TÉRREO",0,IFERROR(VALUE(LEFT(E1519,FIND("º",SUBSTITUTE(E1519,"°","º"))-1)),""))))</f>
        <v>1</v>
      </c>
      <c r="O1519" s="2" t="str">
        <f aca="false">IF(OR(F1519="",G1519=""),"",IF(G1519&lt;='RETRATO 2027'!$K$5,"CONCLUÍDA",IF(F1519&lt;='RETRATO 2027'!$K$5,"EM ANDAMENTO","A INICIAR")))</f>
        <v>A INICIAR</v>
      </c>
    </row>
    <row r="1520" customFormat="false" ht="15" hidden="false" customHeight="false" outlineLevel="0" collapsed="false">
      <c r="B1520" s="4" t="n">
        <v>30208599</v>
      </c>
      <c r="C1520" s="4" t="s">
        <v>2443</v>
      </c>
      <c r="D1520" s="4" t="s">
        <v>463</v>
      </c>
      <c r="E1520" s="4" t="s">
        <v>2802</v>
      </c>
      <c r="F1520" s="127" t="n">
        <v>46877</v>
      </c>
      <c r="G1520" s="127" t="n">
        <v>46890</v>
      </c>
      <c r="H1520" s="127" t="n">
        <v>46289</v>
      </c>
      <c r="I1520" s="4" t="n">
        <v>0</v>
      </c>
      <c r="J1520" s="4" t="n">
        <v>0</v>
      </c>
      <c r="K1520" s="4" t="n">
        <v>0</v>
      </c>
      <c r="M1520" s="2" t="str">
        <f aca="false">IF(C1520="","",IFERROR(INDEX($S$5:$S$304,MATCH(C1520,$R$5:$R$304,0))&amp;"","?"))</f>
        <v>20</v>
      </c>
      <c r="N1520" s="2" t="n">
        <f aca="false">IF(E1520="","",IF(ISNUMBER(SEARCH("SUBSOLO",E1520)),IFERROR(-VALUE(LEFT(E1520,FIND("º",SUBSTITUTE(E1520,"°","º"))-1)),-1),IF(LEFT(E1520,6)="TÉRREO",0,IFERROR(VALUE(LEFT(E1520,FIND("º",SUBSTITUTE(E1520,"°","º"))-1)),""))))</f>
        <v>6</v>
      </c>
      <c r="O1520" s="2" t="str">
        <f aca="false">IF(OR(F1520="",G1520=""),"",IF(G1520&lt;='RETRATO 2027'!$K$5,"CONCLUÍDA",IF(F1520&lt;='RETRATO 2027'!$K$5,"EM ANDAMENTO","A INICIAR")))</f>
        <v>A INICIAR</v>
      </c>
    </row>
    <row r="1521" customFormat="false" ht="15" hidden="false" customHeight="false" outlineLevel="0" collapsed="false">
      <c r="B1521" s="4" t="n">
        <v>33897806</v>
      </c>
      <c r="C1521" s="4" t="s">
        <v>2467</v>
      </c>
      <c r="D1521" s="4" t="s">
        <v>463</v>
      </c>
      <c r="E1521" s="4" t="s">
        <v>2846</v>
      </c>
      <c r="F1521" s="127" t="n">
        <v>46877</v>
      </c>
      <c r="G1521" s="127" t="n">
        <v>46890</v>
      </c>
      <c r="H1521" s="127" t="n">
        <v>46289</v>
      </c>
      <c r="I1521" s="4" t="n">
        <v>0</v>
      </c>
      <c r="J1521" s="4" t="n">
        <v>0</v>
      </c>
      <c r="K1521" s="4" t="n">
        <v>0</v>
      </c>
      <c r="M1521" s="2" t="str">
        <f aca="false">IF(C1521="","",IFERROR(INDEX($S$5:$S$304,MATCH(C1521,$R$5:$R$304,0))&amp;"","?"))</f>
        <v>23</v>
      </c>
      <c r="N1521" s="2" t="n">
        <f aca="false">IF(E1521="","",IF(ISNUMBER(SEARCH("SUBSOLO",E1521)),IFERROR(-VALUE(LEFT(E1521,FIND("º",SUBSTITUTE(E1521,"°","º"))-1)),-1),IF(LEFT(E1521,6)="TÉRREO",0,IFERROR(VALUE(LEFT(E1521,FIND("º",SUBSTITUTE(E1521,"°","º"))-1)),""))))</f>
        <v>6</v>
      </c>
      <c r="O1521" s="2" t="str">
        <f aca="false">IF(OR(F1521="",G1521=""),"",IF(G1521&lt;='RETRATO 2027'!$K$5,"CONCLUÍDA",IF(F1521&lt;='RETRATO 2027'!$K$5,"EM ANDAMENTO","A INICIAR")))</f>
        <v>A INICIAR</v>
      </c>
    </row>
    <row r="1522" customFormat="false" ht="15" hidden="false" customHeight="false" outlineLevel="0" collapsed="false">
      <c r="B1522" s="4" t="n">
        <v>30206085</v>
      </c>
      <c r="C1522" s="4" t="s">
        <v>171</v>
      </c>
      <c r="D1522" s="4" t="s">
        <v>463</v>
      </c>
      <c r="E1522" s="4" t="s">
        <v>2847</v>
      </c>
      <c r="F1522" s="127" t="n">
        <v>46877</v>
      </c>
      <c r="G1522" s="127" t="n">
        <v>46890</v>
      </c>
      <c r="H1522" s="127" t="n">
        <v>46289</v>
      </c>
      <c r="I1522" s="4" t="n">
        <v>0</v>
      </c>
      <c r="J1522" s="4" t="n">
        <v>0</v>
      </c>
      <c r="K1522" s="4" t="n">
        <v>0</v>
      </c>
      <c r="M1522" s="2" t="str">
        <f aca="false">IF(C1522="","",IFERROR(INDEX($S$5:$S$304,MATCH(C1522,$R$5:$R$304,0))&amp;"","?"))</f>
        <v>19</v>
      </c>
      <c r="N1522" s="2" t="n">
        <f aca="false">IF(E1522="","",IF(ISNUMBER(SEARCH("SUBSOLO",E1522)),IFERROR(-VALUE(LEFT(E1522,FIND("º",SUBSTITUTE(E1522,"°","º"))-1)),-1),IF(LEFT(E1522,6)="TÉRREO",0,IFERROR(VALUE(LEFT(E1522,FIND("º",SUBSTITUTE(E1522,"°","º"))-1)),""))))</f>
        <v>6</v>
      </c>
      <c r="O1522" s="2" t="str">
        <f aca="false">IF(OR(F1522="",G1522=""),"",IF(G1522&lt;='RETRATO 2027'!$K$5,"CONCLUÍDA",IF(F1522&lt;='RETRATO 2027'!$K$5,"EM ANDAMENTO","A INICIAR")))</f>
        <v>A INICIAR</v>
      </c>
    </row>
    <row r="1523" customFormat="false" ht="15" hidden="false" customHeight="false" outlineLevel="0" collapsed="false">
      <c r="B1523" s="4" t="n">
        <v>30206026</v>
      </c>
      <c r="C1523" s="4" t="s">
        <v>2440</v>
      </c>
      <c r="D1523" s="4" t="s">
        <v>463</v>
      </c>
      <c r="E1523" s="4" t="s">
        <v>2848</v>
      </c>
      <c r="F1523" s="127" t="n">
        <v>46877</v>
      </c>
      <c r="G1523" s="127" t="n">
        <v>46890</v>
      </c>
      <c r="H1523" s="127" t="n">
        <v>46289</v>
      </c>
      <c r="I1523" s="4" t="n">
        <v>0</v>
      </c>
      <c r="J1523" s="4" t="n">
        <v>0</v>
      </c>
      <c r="K1523" s="4" t="n">
        <v>0</v>
      </c>
      <c r="M1523" s="2" t="str">
        <f aca="false">IF(C1523="","",IFERROR(INDEX($S$5:$S$304,MATCH(C1523,$R$5:$R$304,0))&amp;"","?"))</f>
        <v>21</v>
      </c>
      <c r="N1523" s="2" t="n">
        <f aca="false">IF(E1523="","",IF(ISNUMBER(SEARCH("SUBSOLO",E1523)),IFERROR(-VALUE(LEFT(E1523,FIND("º",SUBSTITUTE(E1523,"°","º"))-1)),-1),IF(LEFT(E1523,6)="TÉRREO",0,IFERROR(VALUE(LEFT(E1523,FIND("º",SUBSTITUTE(E1523,"°","º"))-1)),""))))</f>
        <v>6</v>
      </c>
      <c r="O1523" s="2" t="str">
        <f aca="false">IF(OR(F1523="",G1523=""),"",IF(G1523&lt;='RETRATO 2027'!$K$5,"CONCLUÍDA",IF(F1523&lt;='RETRATO 2027'!$K$5,"EM ANDAMENTO","A INICIAR")))</f>
        <v>A INICIAR</v>
      </c>
    </row>
    <row r="1524" customFormat="false" ht="15" hidden="false" customHeight="false" outlineLevel="0" collapsed="false">
      <c r="B1524" s="4" t="n">
        <v>30205988</v>
      </c>
      <c r="C1524" s="4" t="s">
        <v>2437</v>
      </c>
      <c r="D1524" s="4" t="s">
        <v>463</v>
      </c>
      <c r="E1524" s="4" t="s">
        <v>2849</v>
      </c>
      <c r="F1524" s="127" t="n">
        <v>46877</v>
      </c>
      <c r="G1524" s="127" t="n">
        <v>46890</v>
      </c>
      <c r="H1524" s="127" t="n">
        <v>46289</v>
      </c>
      <c r="I1524" s="4" t="n">
        <v>0</v>
      </c>
      <c r="J1524" s="4" t="n">
        <v>0</v>
      </c>
      <c r="K1524" s="4" t="n">
        <v>0</v>
      </c>
      <c r="M1524" s="2" t="str">
        <f aca="false">IF(C1524="","",IFERROR(INDEX($S$5:$S$304,MATCH(C1524,$R$5:$R$304,0))&amp;"","?"))</f>
        <v>29</v>
      </c>
      <c r="N1524" s="2" t="n">
        <f aca="false">IF(E1524="","",IF(ISNUMBER(SEARCH("SUBSOLO",E1524)),IFERROR(-VALUE(LEFT(E1524,FIND("º",SUBSTITUTE(E1524,"°","º"))-1)),-1),IF(LEFT(E1524,6)="TÉRREO",0,IFERROR(VALUE(LEFT(E1524,FIND("º",SUBSTITUTE(E1524,"°","º"))-1)),""))))</f>
        <v>6</v>
      </c>
      <c r="O1524" s="2" t="str">
        <f aca="false">IF(OR(F1524="",G1524=""),"",IF(G1524&lt;='RETRATO 2027'!$K$5,"CONCLUÍDA",IF(F1524&lt;='RETRATO 2027'!$K$5,"EM ANDAMENTO","A INICIAR")))</f>
        <v>A INICIAR</v>
      </c>
    </row>
    <row r="1525" customFormat="false" ht="15" hidden="false" customHeight="false" outlineLevel="0" collapsed="false">
      <c r="B1525" s="4" t="n">
        <v>30205880</v>
      </c>
      <c r="C1525" s="4" t="s">
        <v>171</v>
      </c>
      <c r="D1525" s="4" t="s">
        <v>463</v>
      </c>
      <c r="E1525" s="4" t="s">
        <v>2845</v>
      </c>
      <c r="F1525" s="127" t="n">
        <v>46878</v>
      </c>
      <c r="G1525" s="127" t="n">
        <v>46940</v>
      </c>
      <c r="H1525" s="127" t="n">
        <v>46289</v>
      </c>
      <c r="I1525" s="4" t="n">
        <v>0</v>
      </c>
      <c r="J1525" s="4" t="n">
        <v>0</v>
      </c>
      <c r="K1525" s="4" t="n">
        <v>0</v>
      </c>
      <c r="M1525" s="2" t="str">
        <f aca="false">IF(C1525="","",IFERROR(INDEX($S$5:$S$304,MATCH(C1525,$R$5:$R$304,0))&amp;"","?"))</f>
        <v>19</v>
      </c>
      <c r="N1525" s="2" t="n">
        <f aca="false">IF(E1525="","",IF(ISNUMBER(SEARCH("SUBSOLO",E1525)),IFERROR(-VALUE(LEFT(E1525,FIND("º",SUBSTITUTE(E1525,"°","º"))-1)),-1),IF(LEFT(E1525,6)="TÉRREO",0,IFERROR(VALUE(LEFT(E1525,FIND("º",SUBSTITUTE(E1525,"°","º"))-1)),""))))</f>
        <v>6</v>
      </c>
      <c r="O1525" s="2" t="str">
        <f aca="false">IF(OR(F1525="",G1525=""),"",IF(G1525&lt;='RETRATO 2027'!$K$5,"CONCLUÍDA",IF(F1525&lt;='RETRATO 2027'!$K$5,"EM ANDAMENTO","A INICIAR")))</f>
        <v>A INICIAR</v>
      </c>
    </row>
    <row r="1526" customFormat="false" ht="15" hidden="false" customHeight="false" outlineLevel="0" collapsed="false">
      <c r="B1526" s="4" t="n">
        <v>30171661</v>
      </c>
      <c r="C1526" s="4" t="s">
        <v>2643</v>
      </c>
      <c r="D1526" s="4" t="s">
        <v>463</v>
      </c>
      <c r="E1526" s="4" t="s">
        <v>2816</v>
      </c>
      <c r="F1526" s="127" t="n">
        <v>46878</v>
      </c>
      <c r="G1526" s="127" t="n">
        <v>46905</v>
      </c>
      <c r="H1526" s="127" t="n">
        <v>46289</v>
      </c>
      <c r="I1526" s="4" t="n">
        <v>0</v>
      </c>
      <c r="J1526" s="4" t="n">
        <v>0</v>
      </c>
      <c r="K1526" s="4" t="n">
        <v>0</v>
      </c>
      <c r="M1526" s="2" t="str">
        <f aca="false">IF(C1526="","",IFERROR(INDEX($S$5:$S$304,MATCH(C1526,$R$5:$R$304,0))&amp;"","?"))</f>
        <v>35</v>
      </c>
      <c r="N1526" s="2" t="str">
        <f aca="false"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 t="str">
        <f aca="false">IF(OR(F1526="",G1526=""),"",IF(G1526&lt;='RETRATO 2027'!$K$5,"CONCLUÍDA",IF(F1526&lt;='RETRATO 2027'!$K$5,"EM ANDAMENTO","A INICIAR")))</f>
        <v>A INICIAR</v>
      </c>
    </row>
    <row r="1527" customFormat="false" ht="15" hidden="false" customHeight="false" outlineLevel="0" collapsed="false">
      <c r="B1527" s="4" t="n">
        <v>30211206</v>
      </c>
      <c r="C1527" s="4" t="s">
        <v>2611</v>
      </c>
      <c r="D1527" s="4" t="s">
        <v>463</v>
      </c>
      <c r="E1527" s="4" t="s">
        <v>2853</v>
      </c>
      <c r="F1527" s="127" t="n">
        <v>46878</v>
      </c>
      <c r="G1527" s="127" t="n">
        <v>46898</v>
      </c>
      <c r="H1527" s="127" t="n">
        <v>46289</v>
      </c>
      <c r="I1527" s="4" t="n">
        <v>0</v>
      </c>
      <c r="J1527" s="4" t="n">
        <v>0</v>
      </c>
      <c r="K1527" s="4" t="n">
        <v>0</v>
      </c>
      <c r="M1527" s="2" t="str">
        <f aca="false">IF(C1527="","",IFERROR(INDEX($S$5:$S$304,MATCH(C1527,$R$5:$R$304,0))&amp;"","?"))</f>
        <v>32</v>
      </c>
      <c r="N1527" s="2" t="n">
        <f aca="false">IF(E1527="","",IF(ISNUMBER(SEARCH("SUBSOLO",E1527)),IFERROR(-VALUE(LEFT(E1527,FIND("º",SUBSTITUTE(E1527,"°","º"))-1)),-1),IF(LEFT(E1527,6)="TÉRREO",0,IFERROR(VALUE(LEFT(E1527,FIND("º",SUBSTITUTE(E1527,"°","º"))-1)),""))))</f>
        <v>34</v>
      </c>
      <c r="O1527" s="2" t="str">
        <f aca="false">IF(OR(F1527="",G1527=""),"",IF(G1527&lt;='RETRATO 2027'!$K$5,"CONCLUÍDA",IF(F1527&lt;='RETRATO 2027'!$K$5,"EM ANDAMENTO","A INICIAR")))</f>
        <v>A INICIAR</v>
      </c>
    </row>
    <row r="1528" customFormat="false" ht="15" hidden="false" customHeight="false" outlineLevel="0" collapsed="false">
      <c r="B1528" s="4" t="n">
        <v>30205694</v>
      </c>
      <c r="C1528" s="4" t="s">
        <v>2623</v>
      </c>
      <c r="D1528" s="4" t="s">
        <v>463</v>
      </c>
      <c r="E1528" s="4" t="s">
        <v>2819</v>
      </c>
      <c r="F1528" s="127" t="n">
        <v>46881</v>
      </c>
      <c r="G1528" s="127" t="n">
        <v>46892</v>
      </c>
      <c r="H1528" s="127" t="n">
        <v>46289</v>
      </c>
      <c r="I1528" s="4" t="n">
        <v>0</v>
      </c>
      <c r="J1528" s="4" t="n">
        <v>0</v>
      </c>
      <c r="K1528" s="4" t="n">
        <v>0</v>
      </c>
      <c r="M1528" s="2" t="str">
        <f aca="false">IF(C1528="","",IFERROR(INDEX($S$5:$S$304,MATCH(C1528,$R$5:$R$304,0))&amp;"","?"))</f>
        <v>35</v>
      </c>
      <c r="N1528" s="2" t="n">
        <f aca="false">IF(E1528="","",IF(ISNUMBER(SEARCH("SUBSOLO",E1528)),IFERROR(-VALUE(LEFT(E1528,FIND("º",SUBSTITUTE(E1528,"°","º"))-1)),-1),IF(LEFT(E1528,6)="TÉRREO",0,IFERROR(VALUE(LEFT(E1528,FIND("º",SUBSTITUTE(E1528,"°","º"))-1)),""))))</f>
        <v>0</v>
      </c>
      <c r="O1528" s="2" t="str">
        <f aca="false">IF(OR(F1528="",G1528=""),"",IF(G1528&lt;='RETRATO 2027'!$K$5,"CONCLUÍDA",IF(F1528&lt;='RETRATO 2027'!$K$5,"EM ANDAMENTO","A INICIAR")))</f>
        <v>A INICIAR</v>
      </c>
    </row>
    <row r="1529" customFormat="false" ht="15" hidden="false" customHeight="false" outlineLevel="0" collapsed="false">
      <c r="B1529" s="4" t="n">
        <v>30205680</v>
      </c>
      <c r="C1529" s="4" t="s">
        <v>2615</v>
      </c>
      <c r="D1529" s="4" t="s">
        <v>463</v>
      </c>
      <c r="E1529" s="4" t="s">
        <v>2821</v>
      </c>
      <c r="F1529" s="127" t="n">
        <v>46881</v>
      </c>
      <c r="G1529" s="127" t="n">
        <v>46892</v>
      </c>
      <c r="H1529" s="127" t="n">
        <v>46289</v>
      </c>
      <c r="I1529" s="4" t="n">
        <v>0</v>
      </c>
      <c r="J1529" s="4" t="n">
        <v>0</v>
      </c>
      <c r="K1529" s="4" t="n">
        <v>0</v>
      </c>
      <c r="M1529" s="2" t="str">
        <f aca="false">IF(C1529="","",IFERROR(INDEX($S$5:$S$304,MATCH(C1529,$R$5:$R$304,0))&amp;"","?"))</f>
        <v>37</v>
      </c>
      <c r="N1529" s="2" t="n">
        <f aca="false">IF(E1529="","",IF(ISNUMBER(SEARCH("SUBSOLO",E1529)),IFERROR(-VALUE(LEFT(E1529,FIND("º",SUBSTITUTE(E1529,"°","º"))-1)),-1),IF(LEFT(E1529,6)="TÉRREO",0,IFERROR(VALUE(LEFT(E1529,FIND("º",SUBSTITUTE(E1529,"°","º"))-1)),""))))</f>
        <v>0</v>
      </c>
      <c r="O1529" s="2" t="str">
        <f aca="false">IF(OR(F1529="",G1529=""),"",IF(G1529&lt;='RETRATO 2027'!$K$5,"CONCLUÍDA",IF(F1529&lt;='RETRATO 2027'!$K$5,"EM ANDAMENTO","A INICIAR")))</f>
        <v>A INICIAR</v>
      </c>
    </row>
    <row r="1530" customFormat="false" ht="15" hidden="false" customHeight="false" outlineLevel="0" collapsed="false">
      <c r="B1530" s="4" t="n">
        <v>29981502</v>
      </c>
      <c r="C1530" s="4" t="s">
        <v>2637</v>
      </c>
      <c r="D1530" s="4" t="s">
        <v>463</v>
      </c>
      <c r="E1530" s="4" t="s">
        <v>2804</v>
      </c>
      <c r="F1530" s="127" t="n">
        <v>46881</v>
      </c>
      <c r="G1530" s="127" t="n">
        <v>46885</v>
      </c>
      <c r="H1530" s="127" t="n">
        <v>46289</v>
      </c>
      <c r="I1530" s="4" t="n">
        <v>0</v>
      </c>
      <c r="J1530" s="4" t="n">
        <v>0</v>
      </c>
      <c r="K1530" s="4" t="n">
        <v>0</v>
      </c>
      <c r="M1530" s="2" t="str">
        <f aca="false">IF(C1530="","",IFERROR(INDEX($S$5:$S$304,MATCH(C1530,$R$5:$R$304,0))&amp;"","?"))</f>
        <v/>
      </c>
      <c r="N1530" s="2" t="n">
        <f aca="false">IF(E1530="","",IF(ISNUMBER(SEARCH("SUBSOLO",E1530)),IFERROR(-VALUE(LEFT(E1530,FIND("º",SUBSTITUTE(E1530,"°","º"))-1)),-1),IF(LEFT(E1530,6)="TÉRREO",0,IFERROR(VALUE(LEFT(E1530,FIND("º",SUBSTITUTE(E1530,"°","º"))-1)),""))))</f>
        <v>8</v>
      </c>
      <c r="O1530" s="2" t="str">
        <f aca="false">IF(OR(F1530="",G1530=""),"",IF(G1530&lt;='RETRATO 2027'!$K$5,"CONCLUÍDA",IF(F1530&lt;='RETRATO 2027'!$K$5,"EM ANDAMENTO","A INICIAR")))</f>
        <v>A INICIAR</v>
      </c>
    </row>
    <row r="1531" customFormat="false" ht="15" hidden="false" customHeight="false" outlineLevel="0" collapsed="false">
      <c r="B1531" s="4" t="n">
        <v>29981467</v>
      </c>
      <c r="C1531" s="4" t="s">
        <v>2629</v>
      </c>
      <c r="D1531" s="4" t="s">
        <v>463</v>
      </c>
      <c r="E1531" s="4" t="s">
        <v>2805</v>
      </c>
      <c r="F1531" s="127" t="n">
        <v>46881</v>
      </c>
      <c r="G1531" s="127" t="n">
        <v>46891</v>
      </c>
      <c r="H1531" s="127" t="n">
        <v>46289</v>
      </c>
      <c r="I1531" s="4" t="n">
        <v>0</v>
      </c>
      <c r="J1531" s="4" t="n">
        <v>0</v>
      </c>
      <c r="K1531" s="4" t="n">
        <v>0</v>
      </c>
      <c r="M1531" s="2" t="str">
        <f aca="false">IF(C1531="","",IFERROR(INDEX($S$5:$S$304,MATCH(C1531,$R$5:$R$304,0))&amp;"","?"))</f>
        <v>20</v>
      </c>
      <c r="N1531" s="2" t="n">
        <f aca="false">IF(E1531="","",IF(ISNUMBER(SEARCH("SUBSOLO",E1531)),IFERROR(-VALUE(LEFT(E1531,FIND("º",SUBSTITUTE(E1531,"°","º"))-1)),-1),IF(LEFT(E1531,6)="TÉRREO",0,IFERROR(VALUE(LEFT(E1531,FIND("º",SUBSTITUTE(E1531,"°","º"))-1)),""))))</f>
        <v>9</v>
      </c>
      <c r="O1531" s="2" t="str">
        <f aca="false">IF(OR(F1531="",G1531=""),"",IF(G1531&lt;='RETRATO 2027'!$K$5,"CONCLUÍDA",IF(F1531&lt;='RETRATO 2027'!$K$5,"EM ANDAMENTO","A INICIAR")))</f>
        <v>A INICIAR</v>
      </c>
    </row>
    <row r="1532" customFormat="false" ht="15" hidden="false" customHeight="false" outlineLevel="0" collapsed="false">
      <c r="B1532" s="4" t="n">
        <v>29981427</v>
      </c>
      <c r="C1532" s="4" t="s">
        <v>2623</v>
      </c>
      <c r="D1532" s="4" t="s">
        <v>463</v>
      </c>
      <c r="E1532" s="4" t="s">
        <v>2809</v>
      </c>
      <c r="F1532" s="127" t="n">
        <v>46881</v>
      </c>
      <c r="G1532" s="127" t="n">
        <v>46891</v>
      </c>
      <c r="H1532" s="127" t="n">
        <v>46289</v>
      </c>
      <c r="I1532" s="4" t="n">
        <v>0</v>
      </c>
      <c r="J1532" s="4" t="n">
        <v>0</v>
      </c>
      <c r="K1532" s="4" t="n">
        <v>0</v>
      </c>
      <c r="M1532" s="2" t="str">
        <f aca="false">IF(C1532="","",IFERROR(INDEX($S$5:$S$304,MATCH(C1532,$R$5:$R$304,0))&amp;"","?"))</f>
        <v>35</v>
      </c>
      <c r="N1532" s="2" t="n">
        <f aca="false">IF(E1532="","",IF(ISNUMBER(SEARCH("SUBSOLO",E1532)),IFERROR(-VALUE(LEFT(E1532,FIND("º",SUBSTITUTE(E1532,"°","º"))-1)),-1),IF(LEFT(E1532,6)="TÉRREO",0,IFERROR(VALUE(LEFT(E1532,FIND("º",SUBSTITUTE(E1532,"°","º"))-1)),""))))</f>
        <v>10</v>
      </c>
      <c r="O1532" s="2" t="str">
        <f aca="false">IF(OR(F1532="",G1532=""),"",IF(G1532&lt;='RETRATO 2027'!$K$5,"CONCLUÍDA",IF(F1532&lt;='RETRATO 2027'!$K$5,"EM ANDAMENTO","A INICIAR")))</f>
        <v>A INICIAR</v>
      </c>
    </row>
    <row r="1533" customFormat="false" ht="15" hidden="false" customHeight="false" outlineLevel="0" collapsed="false">
      <c r="B1533" s="4" t="n">
        <v>33919788</v>
      </c>
      <c r="C1533" s="4" t="s">
        <v>2625</v>
      </c>
      <c r="D1533" s="4" t="s">
        <v>463</v>
      </c>
      <c r="E1533" s="4" t="s">
        <v>2809</v>
      </c>
      <c r="F1533" s="127" t="n">
        <v>46881</v>
      </c>
      <c r="G1533" s="127" t="n">
        <v>46891</v>
      </c>
      <c r="H1533" s="127" t="n">
        <v>46289</v>
      </c>
      <c r="I1533" s="4" t="n">
        <v>0</v>
      </c>
      <c r="J1533" s="4" t="n">
        <v>0</v>
      </c>
      <c r="K1533" s="4" t="n">
        <v>0</v>
      </c>
      <c r="M1533" s="2" t="str">
        <f aca="false">IF(C1533="","",IFERROR(INDEX($S$5:$S$304,MATCH(C1533,$R$5:$R$304,0))&amp;"","?"))</f>
        <v>32</v>
      </c>
      <c r="N1533" s="2" t="n">
        <f aca="false">IF(E1533="","",IF(ISNUMBER(SEARCH("SUBSOLO",E1533)),IFERROR(-VALUE(LEFT(E1533,FIND("º",SUBSTITUTE(E1533,"°","º"))-1)),-1),IF(LEFT(E1533,6)="TÉRREO",0,IFERROR(VALUE(LEFT(E1533,FIND("º",SUBSTITUTE(E1533,"°","º"))-1)),""))))</f>
        <v>10</v>
      </c>
      <c r="O1533" s="2" t="str">
        <f aca="false">IF(OR(F1533="",G1533=""),"",IF(G1533&lt;='RETRATO 2027'!$K$5,"CONCLUÍDA",IF(F1533&lt;='RETRATO 2027'!$K$5,"EM ANDAMENTO","A INICIAR")))</f>
        <v>A INICIAR</v>
      </c>
    </row>
    <row r="1534" customFormat="false" ht="15" hidden="false" customHeight="false" outlineLevel="0" collapsed="false">
      <c r="B1534" s="4" t="n">
        <v>29981389</v>
      </c>
      <c r="C1534" s="4" t="s">
        <v>2615</v>
      </c>
      <c r="D1534" s="4" t="s">
        <v>463</v>
      </c>
      <c r="E1534" s="4" t="s">
        <v>2810</v>
      </c>
      <c r="F1534" s="127" t="n">
        <v>46881</v>
      </c>
      <c r="G1534" s="127" t="n">
        <v>46891</v>
      </c>
      <c r="H1534" s="127" t="n">
        <v>46289</v>
      </c>
      <c r="I1534" s="4" t="n">
        <v>0</v>
      </c>
      <c r="J1534" s="4" t="n">
        <v>0</v>
      </c>
      <c r="K1534" s="4" t="n">
        <v>0</v>
      </c>
      <c r="M1534" s="2" t="str">
        <f aca="false">IF(C1534="","",IFERROR(INDEX($S$5:$S$304,MATCH(C1534,$R$5:$R$304,0))&amp;"","?"))</f>
        <v>37</v>
      </c>
      <c r="N1534" s="2" t="n">
        <f aca="false">IF(E1534="","",IF(ISNUMBER(SEARCH("SUBSOLO",E1534)),IFERROR(-VALUE(LEFT(E1534,FIND("º",SUBSTITUTE(E1534,"°","º"))-1)),-1),IF(LEFT(E1534,6)="TÉRREO",0,IFERROR(VALUE(LEFT(E1534,FIND("º",SUBSTITUTE(E1534,"°","º"))-1)),""))))</f>
        <v>11</v>
      </c>
      <c r="O1534" s="2" t="str">
        <f aca="false">IF(OR(F1534="",G1534=""),"",IF(G1534&lt;='RETRATO 2027'!$K$5,"CONCLUÍDA",IF(F1534&lt;='RETRATO 2027'!$K$5,"EM ANDAMENTO","A INICIAR")))</f>
        <v>A INICIAR</v>
      </c>
    </row>
    <row r="1535" customFormat="false" ht="15" hidden="false" customHeight="false" outlineLevel="0" collapsed="false">
      <c r="B1535" s="4" t="n">
        <v>29981346</v>
      </c>
      <c r="C1535" s="4" t="s">
        <v>2605</v>
      </c>
      <c r="D1535" s="4" t="s">
        <v>463</v>
      </c>
      <c r="E1535" s="4" t="s">
        <v>2811</v>
      </c>
      <c r="F1535" s="127" t="n">
        <v>46881</v>
      </c>
      <c r="G1535" s="127" t="n">
        <v>46891</v>
      </c>
      <c r="H1535" s="127" t="n">
        <v>46289</v>
      </c>
      <c r="I1535" s="4" t="n">
        <v>0</v>
      </c>
      <c r="J1535" s="4" t="n">
        <v>0</v>
      </c>
      <c r="K1535" s="4" t="n">
        <v>0</v>
      </c>
      <c r="M1535" s="2" t="str">
        <f aca="false">IF(C1535="","",IFERROR(INDEX($S$5:$S$304,MATCH(C1535,$R$5:$R$304,0))&amp;"","?"))</f>
        <v>34</v>
      </c>
      <c r="N1535" s="2" t="n">
        <f aca="false">IF(E1535="","",IF(ISNUMBER(SEARCH("SUBSOLO",E1535)),IFERROR(-VALUE(LEFT(E1535,FIND("º",SUBSTITUTE(E1535,"°","º"))-1)),-1),IF(LEFT(E1535,6)="TÉRREO",0,IFERROR(VALUE(LEFT(E1535,FIND("º",SUBSTITUTE(E1535,"°","º"))-1)),""))))</f>
        <v>12</v>
      </c>
      <c r="O1535" s="2" t="str">
        <f aca="false">IF(OR(F1535="",G1535=""),"",IF(G1535&lt;='RETRATO 2027'!$K$5,"CONCLUÍDA",IF(F1535&lt;='RETRATO 2027'!$K$5,"EM ANDAMENTO","A INICIAR")))</f>
        <v>A INICIAR</v>
      </c>
    </row>
    <row r="1536" customFormat="false" ht="15" hidden="false" customHeight="false" outlineLevel="0" collapsed="false">
      <c r="B1536" s="4" t="n">
        <v>29981351</v>
      </c>
      <c r="C1536" s="4" t="s">
        <v>2607</v>
      </c>
      <c r="D1536" s="4" t="s">
        <v>463</v>
      </c>
      <c r="E1536" s="4" t="s">
        <v>2811</v>
      </c>
      <c r="F1536" s="127" t="n">
        <v>46881</v>
      </c>
      <c r="G1536" s="127" t="n">
        <v>46891</v>
      </c>
      <c r="H1536" s="127" t="n">
        <v>46289</v>
      </c>
      <c r="I1536" s="4" t="n">
        <v>0</v>
      </c>
      <c r="J1536" s="4" t="n">
        <v>0</v>
      </c>
      <c r="K1536" s="4" t="n">
        <v>0</v>
      </c>
      <c r="M1536" s="2" t="str">
        <f aca="false">IF(C1536="","",IFERROR(INDEX($S$5:$S$304,MATCH(C1536,$R$5:$R$304,0))&amp;"","?"))</f>
        <v>34</v>
      </c>
      <c r="N1536" s="2" t="n">
        <f aca="false">IF(E1536="","",IF(ISNUMBER(SEARCH("SUBSOLO",E1536)),IFERROR(-VALUE(LEFT(E1536,FIND("º",SUBSTITUTE(E1536,"°","º"))-1)),-1),IF(LEFT(E1536,6)="TÉRREO",0,IFERROR(VALUE(LEFT(E1536,FIND("º",SUBSTITUTE(E1536,"°","º"))-1)),""))))</f>
        <v>12</v>
      </c>
      <c r="O1536" s="2" t="str">
        <f aca="false">IF(OR(F1536="",G1536=""),"",IF(G1536&lt;='RETRATO 2027'!$K$5,"CONCLUÍDA",IF(F1536&lt;='RETRATO 2027'!$K$5,"EM ANDAMENTO","A INICIAR")))</f>
        <v>A INICIAR</v>
      </c>
    </row>
    <row r="1537" customFormat="false" ht="15" hidden="false" customHeight="false" outlineLevel="0" collapsed="false">
      <c r="B1537" s="4" t="n">
        <v>29981350</v>
      </c>
      <c r="C1537" s="4" t="s">
        <v>2563</v>
      </c>
      <c r="D1537" s="4" t="s">
        <v>463</v>
      </c>
      <c r="E1537" s="4" t="s">
        <v>2811</v>
      </c>
      <c r="F1537" s="127" t="n">
        <v>46881</v>
      </c>
      <c r="G1537" s="127" t="n">
        <v>46891</v>
      </c>
      <c r="H1537" s="127" t="n">
        <v>46289</v>
      </c>
      <c r="I1537" s="4" t="n">
        <v>0</v>
      </c>
      <c r="J1537" s="4" t="n">
        <v>0</v>
      </c>
      <c r="K1537" s="4" t="n">
        <v>0</v>
      </c>
      <c r="M1537" s="2" t="str">
        <f aca="false">IF(C1537="","",IFERROR(INDEX($S$5:$S$304,MATCH(C1537,$R$5:$R$304,0))&amp;"","?"))</f>
        <v>20</v>
      </c>
      <c r="N1537" s="2" t="n">
        <f aca="false">IF(E1537="","",IF(ISNUMBER(SEARCH("SUBSOLO",E1537)),IFERROR(-VALUE(LEFT(E1537,FIND("º",SUBSTITUTE(E1537,"°","º"))-1)),-1),IF(LEFT(E1537,6)="TÉRREO",0,IFERROR(VALUE(LEFT(E1537,FIND("º",SUBSTITUTE(E1537,"°","º"))-1)),""))))</f>
        <v>12</v>
      </c>
      <c r="O1537" s="2" t="str">
        <f aca="false">IF(OR(F1537="",G1537=""),"",IF(G1537&lt;='RETRATO 2027'!$K$5,"CONCLUÍDA",IF(F1537&lt;='RETRATO 2027'!$K$5,"EM ANDAMENTO","A INICIAR")))</f>
        <v>A INICIAR</v>
      </c>
    </row>
    <row r="1538" customFormat="false" ht="15" hidden="false" customHeight="false" outlineLevel="0" collapsed="false">
      <c r="B1538" s="4" t="n">
        <v>29981349</v>
      </c>
      <c r="C1538" s="4" t="s">
        <v>2609</v>
      </c>
      <c r="D1538" s="4" t="s">
        <v>463</v>
      </c>
      <c r="E1538" s="4" t="s">
        <v>2811</v>
      </c>
      <c r="F1538" s="127" t="n">
        <v>46881</v>
      </c>
      <c r="G1538" s="127" t="n">
        <v>46891</v>
      </c>
      <c r="H1538" s="127" t="n">
        <v>46289</v>
      </c>
      <c r="I1538" s="4" t="n">
        <v>0</v>
      </c>
      <c r="J1538" s="4" t="n">
        <v>0</v>
      </c>
      <c r="K1538" s="4" t="n">
        <v>0</v>
      </c>
      <c r="M1538" s="2" t="str">
        <f aca="false">IF(C1538="","",IFERROR(INDEX($S$5:$S$304,MATCH(C1538,$R$5:$R$304,0))&amp;"","?"))</f>
        <v>23</v>
      </c>
      <c r="N1538" s="2" t="n">
        <f aca="false">IF(E1538="","",IF(ISNUMBER(SEARCH("SUBSOLO",E1538)),IFERROR(-VALUE(LEFT(E1538,FIND("º",SUBSTITUTE(E1538,"°","º"))-1)),-1),IF(LEFT(E1538,6)="TÉRREO",0,IFERROR(VALUE(LEFT(E1538,FIND("º",SUBSTITUTE(E1538,"°","º"))-1)),""))))</f>
        <v>12</v>
      </c>
      <c r="O1538" s="2" t="str">
        <f aca="false">IF(OR(F1538="",G1538=""),"",IF(G1538&lt;='RETRATO 2027'!$K$5,"CONCLUÍDA",IF(F1538&lt;='RETRATO 2027'!$K$5,"EM ANDAMENTO","A INICIAR")))</f>
        <v>A INICIAR</v>
      </c>
    </row>
    <row r="1539" customFormat="false" ht="15" hidden="false" customHeight="false" outlineLevel="0" collapsed="false">
      <c r="B1539" s="4" t="n">
        <v>29981308</v>
      </c>
      <c r="C1539" s="4" t="s">
        <v>2599</v>
      </c>
      <c r="D1539" s="4" t="s">
        <v>463</v>
      </c>
      <c r="E1539" s="4" t="s">
        <v>2812</v>
      </c>
      <c r="F1539" s="127" t="n">
        <v>46881</v>
      </c>
      <c r="G1539" s="127" t="n">
        <v>46891</v>
      </c>
      <c r="H1539" s="127" t="n">
        <v>46289</v>
      </c>
      <c r="I1539" s="4" t="n">
        <v>0</v>
      </c>
      <c r="J1539" s="4" t="n">
        <v>0</v>
      </c>
      <c r="K1539" s="4" t="n">
        <v>0</v>
      </c>
      <c r="M1539" s="2" t="str">
        <f aca="false">IF(C1539="","",IFERROR(INDEX($S$5:$S$304,MATCH(C1539,$R$5:$R$304,0))&amp;"","?"))</f>
        <v>30</v>
      </c>
      <c r="N1539" s="2" t="n">
        <f aca="false">IF(E1539="","",IF(ISNUMBER(SEARCH("SUBSOLO",E1539)),IFERROR(-VALUE(LEFT(E1539,FIND("º",SUBSTITUTE(E1539,"°","º"))-1)),-1),IF(LEFT(E1539,6)="TÉRREO",0,IFERROR(VALUE(LEFT(E1539,FIND("º",SUBSTITUTE(E1539,"°","º"))-1)),""))))</f>
        <v>13</v>
      </c>
      <c r="O1539" s="2" t="str">
        <f aca="false">IF(OR(F1539="",G1539=""),"",IF(G1539&lt;='RETRATO 2027'!$K$5,"CONCLUÍDA",IF(F1539&lt;='RETRATO 2027'!$K$5,"EM ANDAMENTO","A INICIAR")))</f>
        <v>A INICIAR</v>
      </c>
    </row>
    <row r="1540" customFormat="false" ht="15" hidden="false" customHeight="false" outlineLevel="0" collapsed="false">
      <c r="B1540" s="4" t="n">
        <v>29981270</v>
      </c>
      <c r="C1540" s="4" t="s">
        <v>2578</v>
      </c>
      <c r="D1540" s="4" t="s">
        <v>463</v>
      </c>
      <c r="E1540" s="4" t="s">
        <v>2813</v>
      </c>
      <c r="F1540" s="127" t="n">
        <v>46881</v>
      </c>
      <c r="G1540" s="127" t="n">
        <v>46891</v>
      </c>
      <c r="H1540" s="127" t="n">
        <v>46289</v>
      </c>
      <c r="I1540" s="4" t="n">
        <v>0</v>
      </c>
      <c r="J1540" s="4" t="n">
        <v>0</v>
      </c>
      <c r="K1540" s="4" t="n">
        <v>0</v>
      </c>
      <c r="M1540" s="2" t="str">
        <f aca="false">IF(C1540="","",IFERROR(INDEX($S$5:$S$304,MATCH(C1540,$R$5:$R$304,0))&amp;"","?"))</f>
        <v>25</v>
      </c>
      <c r="N1540" s="2" t="n">
        <f aca="false">IF(E1540="","",IF(ISNUMBER(SEARCH("SUBSOLO",E1540)),IFERROR(-VALUE(LEFT(E1540,FIND("º",SUBSTITUTE(E1540,"°","º"))-1)),-1),IF(LEFT(E1540,6)="TÉRREO",0,IFERROR(VALUE(LEFT(E1540,FIND("º",SUBSTITUTE(E1540,"°","º"))-1)),""))))</f>
        <v>14</v>
      </c>
      <c r="O1540" s="2" t="str">
        <f aca="false">IF(OR(F1540="",G1540=""),"",IF(G1540&lt;='RETRATO 2027'!$K$5,"CONCLUÍDA",IF(F1540&lt;='RETRATO 2027'!$K$5,"EM ANDAMENTO","A INICIAR")))</f>
        <v>A INICIAR</v>
      </c>
    </row>
    <row r="1541" customFormat="false" ht="15" hidden="false" customHeight="false" outlineLevel="0" collapsed="false">
      <c r="B1541" s="4" t="n">
        <v>29981232</v>
      </c>
      <c r="C1541" s="4" t="s">
        <v>2569</v>
      </c>
      <c r="D1541" s="4" t="s">
        <v>463</v>
      </c>
      <c r="E1541" s="4" t="s">
        <v>2814</v>
      </c>
      <c r="F1541" s="127" t="n">
        <v>46881</v>
      </c>
      <c r="G1541" s="127" t="n">
        <v>46891</v>
      </c>
      <c r="H1541" s="127" t="n">
        <v>46289</v>
      </c>
      <c r="I1541" s="4" t="n">
        <v>0</v>
      </c>
      <c r="J1541" s="4" t="n">
        <v>0</v>
      </c>
      <c r="K1541" s="4" t="n">
        <v>0</v>
      </c>
      <c r="M1541" s="2" t="str">
        <f aca="false">IF(C1541="","",IFERROR(INDEX($S$5:$S$304,MATCH(C1541,$R$5:$R$304,0))&amp;"","?"))</f>
        <v>30</v>
      </c>
      <c r="N1541" s="2" t="n">
        <f aca="false">IF(E1541="","",IF(ISNUMBER(SEARCH("SUBSOLO",E1541)),IFERROR(-VALUE(LEFT(E1541,FIND("º",SUBSTITUTE(E1541,"°","º"))-1)),-1),IF(LEFT(E1541,6)="TÉRREO",0,IFERROR(VALUE(LEFT(E1541,FIND("º",SUBSTITUTE(E1541,"°","º"))-1)),""))))</f>
        <v>15</v>
      </c>
      <c r="O1541" s="2" t="str">
        <f aca="false">IF(OR(F1541="",G1541=""),"",IF(G1541&lt;='RETRATO 2027'!$K$5,"CONCLUÍDA",IF(F1541&lt;='RETRATO 2027'!$K$5,"EM ANDAMENTO","A INICIAR")))</f>
        <v>A INICIAR</v>
      </c>
    </row>
    <row r="1542" customFormat="false" ht="15" hidden="false" customHeight="false" outlineLevel="0" collapsed="false">
      <c r="B1542" s="4" t="n">
        <v>29981194</v>
      </c>
      <c r="C1542" s="4" t="s">
        <v>2554</v>
      </c>
      <c r="D1542" s="4" t="s">
        <v>463</v>
      </c>
      <c r="E1542" s="4" t="s">
        <v>2815</v>
      </c>
      <c r="F1542" s="127" t="n">
        <v>46881</v>
      </c>
      <c r="G1542" s="127" t="n">
        <v>46891</v>
      </c>
      <c r="H1542" s="127" t="n">
        <v>46289</v>
      </c>
      <c r="I1542" s="4" t="n">
        <v>0</v>
      </c>
      <c r="J1542" s="4" t="n">
        <v>0</v>
      </c>
      <c r="K1542" s="4" t="n">
        <v>0</v>
      </c>
      <c r="M1542" s="2" t="str">
        <f aca="false">IF(C1542="","",IFERROR(INDEX($S$5:$S$304,MATCH(C1542,$R$5:$R$304,0))&amp;"","?"))</f>
        <v>35</v>
      </c>
      <c r="N1542" s="2" t="n">
        <f aca="false">IF(E1542="","",IF(ISNUMBER(SEARCH("SUBSOLO",E1542)),IFERROR(-VALUE(LEFT(E1542,FIND("º",SUBSTITUTE(E1542,"°","º"))-1)),-1),IF(LEFT(E1542,6)="TÉRREO",0,IFERROR(VALUE(LEFT(E1542,FIND("º",SUBSTITUTE(E1542,"°","º"))-1)),""))))</f>
        <v>16</v>
      </c>
      <c r="O1542" s="2" t="str">
        <f aca="false">IF(OR(F1542="",G1542=""),"",IF(G1542&lt;='RETRATO 2027'!$K$5,"CONCLUÍDA",IF(F1542&lt;='RETRATO 2027'!$K$5,"EM ANDAMENTO","A INICIAR")))</f>
        <v>A INICIAR</v>
      </c>
    </row>
    <row r="1543" customFormat="false" ht="15" hidden="false" customHeight="false" outlineLevel="0" collapsed="false">
      <c r="B1543" s="4" t="n">
        <v>29981183</v>
      </c>
      <c r="C1543" s="4" t="s">
        <v>2539</v>
      </c>
      <c r="D1543" s="4" t="s">
        <v>463</v>
      </c>
      <c r="E1543" s="4" t="s">
        <v>2818</v>
      </c>
      <c r="F1543" s="127" t="n">
        <v>46881</v>
      </c>
      <c r="G1543" s="127" t="n">
        <v>46891</v>
      </c>
      <c r="H1543" s="127" t="n">
        <v>46289</v>
      </c>
      <c r="I1543" s="4" t="n">
        <v>0</v>
      </c>
      <c r="J1543" s="4" t="n">
        <v>0</v>
      </c>
      <c r="K1543" s="4" t="n">
        <v>0</v>
      </c>
      <c r="M1543" s="2" t="str">
        <f aca="false">IF(C1543="","",IFERROR(INDEX($S$5:$S$304,MATCH(C1543,$R$5:$R$304,0))&amp;"","?"))</f>
        <v>35</v>
      </c>
      <c r="N1543" s="2" t="n">
        <f aca="false">IF(E1543="","",IF(ISNUMBER(SEARCH("SUBSOLO",E1543)),IFERROR(-VALUE(LEFT(E1543,FIND("º",SUBSTITUTE(E1543,"°","º"))-1)),-1),IF(LEFT(E1543,6)="TÉRREO",0,IFERROR(VALUE(LEFT(E1543,FIND("º",SUBSTITUTE(E1543,"°","º"))-1)),""))))</f>
        <v>17</v>
      </c>
      <c r="O1543" s="2" t="str">
        <f aca="false">IF(OR(F1543="",G1543=""),"",IF(G1543&lt;='RETRATO 2027'!$K$5,"CONCLUÍDA",IF(F1543&lt;='RETRATO 2027'!$K$5,"EM ANDAMENTO","A INICIAR")))</f>
        <v>A INICIAR</v>
      </c>
    </row>
    <row r="1544" customFormat="false" ht="15" hidden="false" customHeight="false" outlineLevel="0" collapsed="false">
      <c r="B1544" s="4" t="n">
        <v>33898099</v>
      </c>
      <c r="C1544" s="4" t="s">
        <v>2545</v>
      </c>
      <c r="D1544" s="4" t="s">
        <v>463</v>
      </c>
      <c r="E1544" s="4" t="s">
        <v>2820</v>
      </c>
      <c r="F1544" s="127" t="n">
        <v>46881</v>
      </c>
      <c r="G1544" s="127" t="n">
        <v>46891</v>
      </c>
      <c r="H1544" s="127" t="n">
        <v>46289</v>
      </c>
      <c r="I1544" s="4" t="n">
        <v>0</v>
      </c>
      <c r="J1544" s="4" t="n">
        <v>0</v>
      </c>
      <c r="K1544" s="4" t="n">
        <v>0</v>
      </c>
      <c r="M1544" s="2" t="str">
        <f aca="false">IF(C1544="","",IFERROR(INDEX($S$5:$S$304,MATCH(C1544,$R$5:$R$304,0))&amp;"","?"))</f>
        <v>25</v>
      </c>
      <c r="N1544" s="2" t="n">
        <f aca="false">IF(E1544="","",IF(ISNUMBER(SEARCH("SUBSOLO",E1544)),IFERROR(-VALUE(LEFT(E1544,FIND("º",SUBSTITUTE(E1544,"°","º"))-1)),-1),IF(LEFT(E1544,6)="TÉRREO",0,IFERROR(VALUE(LEFT(E1544,FIND("º",SUBSTITUTE(E1544,"°","º"))-1)),""))))</f>
        <v>18</v>
      </c>
      <c r="O1544" s="2" t="str">
        <f aca="false">IF(OR(F1544="",G1544=""),"",IF(G1544&lt;='RETRATO 2027'!$K$5,"CONCLUÍDA",IF(F1544&lt;='RETRATO 2027'!$K$5,"EM ANDAMENTO","A INICIAR")))</f>
        <v>A INICIAR</v>
      </c>
    </row>
    <row r="1545" customFormat="false" ht="15" hidden="false" customHeight="false" outlineLevel="0" collapsed="false">
      <c r="B1545" s="4" t="n">
        <v>29980959</v>
      </c>
      <c r="C1545" s="4" t="s">
        <v>216</v>
      </c>
      <c r="D1545" s="4" t="s">
        <v>463</v>
      </c>
      <c r="E1545" s="4" t="s">
        <v>2829</v>
      </c>
      <c r="F1545" s="127" t="n">
        <v>46882</v>
      </c>
      <c r="G1545" s="127" t="n">
        <v>46892</v>
      </c>
      <c r="H1545" s="127" t="n">
        <v>46289</v>
      </c>
      <c r="I1545" s="4" t="n">
        <v>0</v>
      </c>
      <c r="J1545" s="4" t="n">
        <v>0</v>
      </c>
      <c r="K1545" s="4" t="n">
        <v>0</v>
      </c>
      <c r="M1545" s="2" t="str">
        <f aca="false">IF(C1545="","",IFERROR(INDEX($S$5:$S$304,MATCH(C1545,$R$5:$R$304,0))&amp;"","?"))</f>
        <v>33</v>
      </c>
      <c r="N1545" s="2" t="n">
        <f aca="false">IF(E1545="","",IF(ISNUMBER(SEARCH("SUBSOLO",E1545)),IFERROR(-VALUE(LEFT(E1545,FIND("º",SUBSTITUTE(E1545,"°","º"))-1)),-1),IF(LEFT(E1545,6)="TÉRREO",0,IFERROR(VALUE(LEFT(E1545,FIND("º",SUBSTITUTE(E1545,"°","º"))-1)),""))))</f>
        <v>23</v>
      </c>
      <c r="O1545" s="2" t="str">
        <f aca="false">IF(OR(F1545="",G1545=""),"",IF(G1545&lt;='RETRATO 2027'!$K$5,"CONCLUÍDA",IF(F1545&lt;='RETRATO 2027'!$K$5,"EM ANDAMENTO","A INICIAR")))</f>
        <v>A INICIAR</v>
      </c>
    </row>
    <row r="1546" customFormat="false" ht="15" hidden="false" customHeight="false" outlineLevel="0" collapsed="false">
      <c r="B1546" s="4" t="n">
        <v>29980920</v>
      </c>
      <c r="C1546" s="4" t="s">
        <v>2508</v>
      </c>
      <c r="D1546" s="4" t="s">
        <v>463</v>
      </c>
      <c r="E1546" s="4" t="s">
        <v>2831</v>
      </c>
      <c r="F1546" s="127" t="n">
        <v>46882</v>
      </c>
      <c r="G1546" s="127" t="n">
        <v>46892</v>
      </c>
      <c r="H1546" s="127" t="n">
        <v>46289</v>
      </c>
      <c r="I1546" s="4" t="n">
        <v>0</v>
      </c>
      <c r="J1546" s="4" t="n">
        <v>0</v>
      </c>
      <c r="K1546" s="4" t="n">
        <v>0</v>
      </c>
      <c r="M1546" s="2" t="str">
        <f aca="false">IF(C1546="","",IFERROR(INDEX($S$5:$S$304,MATCH(C1546,$R$5:$R$304,0))&amp;"","?"))</f>
        <v>20</v>
      </c>
      <c r="N1546" s="2" t="n">
        <f aca="false">IF(E1546="","",IF(ISNUMBER(SEARCH("SUBSOLO",E1546)),IFERROR(-VALUE(LEFT(E1546,FIND("º",SUBSTITUTE(E1546,"°","º"))-1)),-1),IF(LEFT(E1546,6)="TÉRREO",0,IFERROR(VALUE(LEFT(E1546,FIND("º",SUBSTITUTE(E1546,"°","º"))-1)),""))))</f>
        <v>24</v>
      </c>
      <c r="O1546" s="2" t="str">
        <f aca="false">IF(OR(F1546="",G1546=""),"",IF(G1546&lt;='RETRATO 2027'!$K$5,"CONCLUÍDA",IF(F1546&lt;='RETRATO 2027'!$K$5,"EM ANDAMENTO","A INICIAR")))</f>
        <v>A INICIAR</v>
      </c>
    </row>
    <row r="1547" customFormat="false" ht="15" hidden="false" customHeight="false" outlineLevel="0" collapsed="false">
      <c r="B1547" s="4" t="n">
        <v>29980925</v>
      </c>
      <c r="C1547" s="4" t="s">
        <v>2511</v>
      </c>
      <c r="D1547" s="4" t="s">
        <v>463</v>
      </c>
      <c r="E1547" s="4" t="s">
        <v>2831</v>
      </c>
      <c r="F1547" s="127" t="n">
        <v>46882</v>
      </c>
      <c r="G1547" s="127" t="n">
        <v>46892</v>
      </c>
      <c r="H1547" s="127" t="n">
        <v>46289</v>
      </c>
      <c r="I1547" s="4" t="n">
        <v>0</v>
      </c>
      <c r="J1547" s="4" t="n">
        <v>0</v>
      </c>
      <c r="K1547" s="4" t="n">
        <v>0</v>
      </c>
      <c r="M1547" s="2" t="str">
        <f aca="false">IF(C1547="","",IFERROR(INDEX($S$5:$S$304,MATCH(C1547,$R$5:$R$304,0))&amp;"","?"))</f>
        <v>20</v>
      </c>
      <c r="N1547" s="2" t="n">
        <f aca="false">IF(E1547="","",IF(ISNUMBER(SEARCH("SUBSOLO",E1547)),IFERROR(-VALUE(LEFT(E1547,FIND("º",SUBSTITUTE(E1547,"°","º"))-1)),-1),IF(LEFT(E1547,6)="TÉRREO",0,IFERROR(VALUE(LEFT(E1547,FIND("º",SUBSTITUTE(E1547,"°","º"))-1)),""))))</f>
        <v>24</v>
      </c>
      <c r="O1547" s="2" t="str">
        <f aca="false">IF(OR(F1547="",G1547=""),"",IF(G1547&lt;='RETRATO 2027'!$K$5,"CONCLUÍDA",IF(F1547&lt;='RETRATO 2027'!$K$5,"EM ANDAMENTO","A INICIAR")))</f>
        <v>A INICIAR</v>
      </c>
    </row>
    <row r="1548" customFormat="false" ht="15" hidden="false" customHeight="false" outlineLevel="0" collapsed="false">
      <c r="B1548" s="4" t="n">
        <v>30214086</v>
      </c>
      <c r="C1548" s="4" t="s">
        <v>2514</v>
      </c>
      <c r="D1548" s="4" t="s">
        <v>463</v>
      </c>
      <c r="E1548" s="4" t="s">
        <v>2831</v>
      </c>
      <c r="F1548" s="127" t="n">
        <v>46882</v>
      </c>
      <c r="G1548" s="127" t="n">
        <v>46895</v>
      </c>
      <c r="H1548" s="127" t="n">
        <v>46289</v>
      </c>
      <c r="I1548" s="4" t="n">
        <v>0</v>
      </c>
      <c r="J1548" s="4" t="n">
        <v>0</v>
      </c>
      <c r="K1548" s="4" t="n">
        <v>0</v>
      </c>
      <c r="M1548" s="2" t="str">
        <f aca="false">IF(C1548="","",IFERROR(INDEX($S$5:$S$304,MATCH(C1548,$R$5:$R$304,0))&amp;"","?"))</f>
        <v>20</v>
      </c>
      <c r="N1548" s="2" t="n">
        <f aca="false">IF(E1548="","",IF(ISNUMBER(SEARCH("SUBSOLO",E1548)),IFERROR(-VALUE(LEFT(E1548,FIND("º",SUBSTITUTE(E1548,"°","º"))-1)),-1),IF(LEFT(E1548,6)="TÉRREO",0,IFERROR(VALUE(LEFT(E1548,FIND("º",SUBSTITUTE(E1548,"°","º"))-1)),""))))</f>
        <v>24</v>
      </c>
      <c r="O1548" s="2" t="str">
        <f aca="false">IF(OR(F1548="",G1548=""),"",IF(G1548&lt;='RETRATO 2027'!$K$5,"CONCLUÍDA",IF(F1548&lt;='RETRATO 2027'!$K$5,"EM ANDAMENTO","A INICIAR")))</f>
        <v>A INICIAR</v>
      </c>
    </row>
    <row r="1549" customFormat="false" ht="15" hidden="false" customHeight="false" outlineLevel="0" collapsed="false">
      <c r="B1549" s="4" t="n">
        <v>29980867</v>
      </c>
      <c r="C1549" s="4" t="s">
        <v>2501</v>
      </c>
      <c r="D1549" s="4" t="s">
        <v>463</v>
      </c>
      <c r="E1549" s="4" t="s">
        <v>2833</v>
      </c>
      <c r="F1549" s="127" t="n">
        <v>46882</v>
      </c>
      <c r="G1549" s="127" t="n">
        <v>46892</v>
      </c>
      <c r="H1549" s="127" t="n">
        <v>46289</v>
      </c>
      <c r="I1549" s="4" t="n">
        <v>0</v>
      </c>
      <c r="J1549" s="4" t="n">
        <v>0</v>
      </c>
      <c r="K1549" s="4" t="n">
        <v>0</v>
      </c>
      <c r="M1549" s="2" t="str">
        <f aca="false">IF(C1549="","",IFERROR(INDEX($S$5:$S$304,MATCH(C1549,$R$5:$R$304,0))&amp;"","?"))</f>
        <v>30</v>
      </c>
      <c r="N1549" s="2" t="n">
        <f aca="false">IF(E1549="","",IF(ISNUMBER(SEARCH("SUBSOLO",E1549)),IFERROR(-VALUE(LEFT(E1549,FIND("º",SUBSTITUTE(E1549,"°","º"))-1)),-1),IF(LEFT(E1549,6)="TÉRREO",0,IFERROR(VALUE(LEFT(E1549,FIND("º",SUBSTITUTE(E1549,"°","º"))-1)),""))))</f>
        <v>25</v>
      </c>
      <c r="O1549" s="2" t="str">
        <f aca="false">IF(OR(F1549="",G1549=""),"",IF(G1549&lt;='RETRATO 2027'!$K$5,"CONCLUÍDA",IF(F1549&lt;='RETRATO 2027'!$K$5,"EM ANDAMENTO","A INICIAR")))</f>
        <v>A INICIAR</v>
      </c>
    </row>
    <row r="1550" customFormat="false" ht="15" hidden="false" customHeight="false" outlineLevel="0" collapsed="false">
      <c r="B1550" s="4" t="n">
        <v>29980829</v>
      </c>
      <c r="C1550" s="4" t="s">
        <v>2486</v>
      </c>
      <c r="D1550" s="4" t="s">
        <v>463</v>
      </c>
      <c r="E1550" s="4" t="s">
        <v>2834</v>
      </c>
      <c r="F1550" s="127" t="n">
        <v>46882</v>
      </c>
      <c r="G1550" s="127" t="n">
        <v>46892</v>
      </c>
      <c r="H1550" s="127" t="n">
        <v>46289</v>
      </c>
      <c r="I1550" s="4" t="n">
        <v>0</v>
      </c>
      <c r="J1550" s="4" t="n">
        <v>0</v>
      </c>
      <c r="K1550" s="4" t="n">
        <v>0</v>
      </c>
      <c r="M1550" s="2" t="str">
        <f aca="false">IF(C1550="","",IFERROR(INDEX($S$5:$S$304,MATCH(C1550,$R$5:$R$304,0))&amp;"","?"))</f>
        <v>30</v>
      </c>
      <c r="N1550" s="2" t="n">
        <f aca="false">IF(E1550="","",IF(ISNUMBER(SEARCH("SUBSOLO",E1550)),IFERROR(-VALUE(LEFT(E1550,FIND("º",SUBSTITUTE(E1550,"°","º"))-1)),-1),IF(LEFT(E1550,6)="TÉRREO",0,IFERROR(VALUE(LEFT(E1550,FIND("º",SUBSTITUTE(E1550,"°","º"))-1)),""))))</f>
        <v>26</v>
      </c>
      <c r="O1550" s="2" t="str">
        <f aca="false">IF(OR(F1550="",G1550=""),"",IF(G1550&lt;='RETRATO 2027'!$K$5,"CONCLUÍDA",IF(F1550&lt;='RETRATO 2027'!$K$5,"EM ANDAMENTO","A INICIAR")))</f>
        <v>A INICIAR</v>
      </c>
    </row>
    <row r="1551" customFormat="false" ht="15" hidden="false" customHeight="false" outlineLevel="0" collapsed="false">
      <c r="B1551" s="4" t="n">
        <v>29980808</v>
      </c>
      <c r="C1551" s="4" t="s">
        <v>2480</v>
      </c>
      <c r="D1551" s="4" t="s">
        <v>463</v>
      </c>
      <c r="E1551" s="4" t="s">
        <v>2838</v>
      </c>
      <c r="F1551" s="127" t="n">
        <v>46882</v>
      </c>
      <c r="G1551" s="127" t="n">
        <v>46892</v>
      </c>
      <c r="H1551" s="127" t="n">
        <v>46289</v>
      </c>
      <c r="I1551" s="4" t="n">
        <v>0</v>
      </c>
      <c r="J1551" s="4" t="n">
        <v>0</v>
      </c>
      <c r="K1551" s="4" t="n">
        <v>0</v>
      </c>
      <c r="M1551" s="2" t="str">
        <f aca="false">IF(C1551="","",IFERROR(INDEX($S$5:$S$304,MATCH(C1551,$R$5:$R$304,0))&amp;"","?"))</f>
        <v>30</v>
      </c>
      <c r="N1551" s="2" t="n">
        <f aca="false">IF(E1551="","",IF(ISNUMBER(SEARCH("SUBSOLO",E1551)),IFERROR(-VALUE(LEFT(E1551,FIND("º",SUBSTITUTE(E1551,"°","º"))-1)),-1),IF(LEFT(E1551,6)="TÉRREO",0,IFERROR(VALUE(LEFT(E1551,FIND("º",SUBSTITUTE(E1551,"°","º"))-1)),""))))</f>
        <v>27</v>
      </c>
      <c r="O1551" s="2" t="str">
        <f aca="false">IF(OR(F1551="",G1551=""),"",IF(G1551&lt;='RETRATO 2027'!$K$5,"CONCLUÍDA",IF(F1551&lt;='RETRATO 2027'!$K$5,"EM ANDAMENTO","A INICIAR")))</f>
        <v>A INICIAR</v>
      </c>
    </row>
    <row r="1552" customFormat="false" ht="15" hidden="false" customHeight="false" outlineLevel="0" collapsed="false">
      <c r="B1552" s="4" t="n">
        <v>29980769</v>
      </c>
      <c r="C1552" s="4" t="s">
        <v>171</v>
      </c>
      <c r="D1552" s="4" t="s">
        <v>463</v>
      </c>
      <c r="E1552" s="4" t="s">
        <v>2840</v>
      </c>
      <c r="F1552" s="127" t="n">
        <v>46882</v>
      </c>
      <c r="G1552" s="127" t="n">
        <v>46892</v>
      </c>
      <c r="H1552" s="127" t="n">
        <v>46289</v>
      </c>
      <c r="I1552" s="4" t="n">
        <v>0</v>
      </c>
      <c r="J1552" s="4" t="n">
        <v>0</v>
      </c>
      <c r="K1552" s="4" t="n">
        <v>0</v>
      </c>
      <c r="M1552" s="2" t="str">
        <f aca="false">IF(C1552="","",IFERROR(INDEX($S$5:$S$304,MATCH(C1552,$R$5:$R$304,0))&amp;"","?"))</f>
        <v>19</v>
      </c>
      <c r="N1552" s="2" t="n">
        <f aca="false">IF(E1552="","",IF(ISNUMBER(SEARCH("SUBSOLO",E1552)),IFERROR(-VALUE(LEFT(E1552,FIND("º",SUBSTITUTE(E1552,"°","º"))-1)),-1),IF(LEFT(E1552,6)="TÉRREO",0,IFERROR(VALUE(LEFT(E1552,FIND("º",SUBSTITUTE(E1552,"°","º"))-1)),""))))</f>
        <v>28</v>
      </c>
      <c r="O1552" s="2" t="str">
        <f aca="false">IF(OR(F1552="",G1552=""),"",IF(G1552&lt;='RETRATO 2027'!$K$5,"CONCLUÍDA",IF(F1552&lt;='RETRATO 2027'!$K$5,"EM ANDAMENTO","A INICIAR")))</f>
        <v>A INICIAR</v>
      </c>
    </row>
    <row r="1553" customFormat="false" ht="15" hidden="false" customHeight="false" outlineLevel="0" collapsed="false">
      <c r="B1553" s="4" t="n">
        <v>32750455</v>
      </c>
      <c r="C1553" s="4" t="s">
        <v>2470</v>
      </c>
      <c r="D1553" s="4" t="s">
        <v>463</v>
      </c>
      <c r="E1553" s="4" t="s">
        <v>2841</v>
      </c>
      <c r="F1553" s="127" t="n">
        <v>46882</v>
      </c>
      <c r="G1553" s="127" t="n">
        <v>46892</v>
      </c>
      <c r="H1553" s="127" t="n">
        <v>46289</v>
      </c>
      <c r="I1553" s="4" t="n">
        <v>0</v>
      </c>
      <c r="J1553" s="4" t="n">
        <v>0</v>
      </c>
      <c r="K1553" s="4" t="n">
        <v>0</v>
      </c>
      <c r="M1553" s="2" t="str">
        <f aca="false">IF(C1553="","",IFERROR(INDEX($S$5:$S$304,MATCH(C1553,$R$5:$R$304,0))&amp;"","?"))</f>
        <v>18</v>
      </c>
      <c r="N1553" s="2" t="n">
        <f aca="false">IF(E1553="","",IF(ISNUMBER(SEARCH("SUBSOLO",E1553)),IFERROR(-VALUE(LEFT(E1553,FIND("º",SUBSTITUTE(E1553,"°","º"))-1)),-1),IF(LEFT(E1553,6)="TÉRREO",0,IFERROR(VALUE(LEFT(E1553,FIND("º",SUBSTITUTE(E1553,"°","º"))-1)),""))))</f>
        <v>29</v>
      </c>
      <c r="O1553" s="2" t="str">
        <f aca="false">IF(OR(F1553="",G1553=""),"",IF(G1553&lt;='RETRATO 2027'!$K$5,"CONCLUÍDA",IF(F1553&lt;='RETRATO 2027'!$K$5,"EM ANDAMENTO","A INICIAR")))</f>
        <v>A INICIAR</v>
      </c>
    </row>
    <row r="1554" customFormat="false" ht="15" hidden="false" customHeight="false" outlineLevel="0" collapsed="false">
      <c r="B1554" s="4" t="n">
        <v>32750378</v>
      </c>
      <c r="C1554" s="4" t="s">
        <v>2458</v>
      </c>
      <c r="D1554" s="4" t="s">
        <v>463</v>
      </c>
      <c r="E1554" s="4" t="s">
        <v>2842</v>
      </c>
      <c r="F1554" s="127" t="n">
        <v>46882</v>
      </c>
      <c r="G1554" s="127" t="n">
        <v>46892</v>
      </c>
      <c r="H1554" s="127" t="n">
        <v>46289</v>
      </c>
      <c r="I1554" s="4" t="n">
        <v>0</v>
      </c>
      <c r="J1554" s="4" t="n">
        <v>0</v>
      </c>
      <c r="K1554" s="4" t="n">
        <v>0</v>
      </c>
      <c r="M1554" s="2" t="str">
        <f aca="false">IF(C1554="","",IFERROR(INDEX($S$5:$S$304,MATCH(C1554,$R$5:$R$304,0))&amp;"","?"))</f>
        <v>21</v>
      </c>
      <c r="N1554" s="2" t="n">
        <f aca="false">IF(E1554="","",IF(ISNUMBER(SEARCH("SUBSOLO",E1554)),IFERROR(-VALUE(LEFT(E1554,FIND("º",SUBSTITUTE(E1554,"°","º"))-1)),-1),IF(LEFT(E1554,6)="TÉRREO",0,IFERROR(VALUE(LEFT(E1554,FIND("º",SUBSTITUTE(E1554,"°","º"))-1)),""))))</f>
        <v>30</v>
      </c>
      <c r="O1554" s="2" t="str">
        <f aca="false">IF(OR(F1554="",G1554=""),"",IF(G1554&lt;='RETRATO 2027'!$K$5,"CONCLUÍDA",IF(F1554&lt;='RETRATO 2027'!$K$5,"EM ANDAMENTO","A INICIAR")))</f>
        <v>A INICIAR</v>
      </c>
    </row>
    <row r="1555" customFormat="false" ht="15" hidden="false" customHeight="false" outlineLevel="0" collapsed="false">
      <c r="B1555" s="4" t="n">
        <v>32750404</v>
      </c>
      <c r="C1555" s="4" t="s">
        <v>2461</v>
      </c>
      <c r="D1555" s="4" t="s">
        <v>463</v>
      </c>
      <c r="E1555" s="4" t="s">
        <v>2842</v>
      </c>
      <c r="F1555" s="127" t="n">
        <v>46882</v>
      </c>
      <c r="G1555" s="127" t="n">
        <v>46892</v>
      </c>
      <c r="H1555" s="127" t="n">
        <v>46289</v>
      </c>
      <c r="I1555" s="4" t="n">
        <v>0</v>
      </c>
      <c r="J1555" s="4" t="n">
        <v>0</v>
      </c>
      <c r="K1555" s="4" t="n">
        <v>0</v>
      </c>
      <c r="M1555" s="2" t="str">
        <f aca="false">IF(C1555="","",IFERROR(INDEX($S$5:$S$304,MATCH(C1555,$R$5:$R$304,0))&amp;"","?"))</f>
        <v>20</v>
      </c>
      <c r="N1555" s="2" t="n">
        <f aca="false">IF(E1555="","",IF(ISNUMBER(SEARCH("SUBSOLO",E1555)),IFERROR(-VALUE(LEFT(E1555,FIND("º",SUBSTITUTE(E1555,"°","º"))-1)),-1),IF(LEFT(E1555,6)="TÉRREO",0,IFERROR(VALUE(LEFT(E1555,FIND("º",SUBSTITUTE(E1555,"°","º"))-1)),""))))</f>
        <v>30</v>
      </c>
      <c r="O1555" s="2" t="str">
        <f aca="false">IF(OR(F1555="",G1555=""),"",IF(G1555&lt;='RETRATO 2027'!$K$5,"CONCLUÍDA",IF(F1555&lt;='RETRATO 2027'!$K$5,"EM ANDAMENTO","A INICIAR")))</f>
        <v>A INICIAR</v>
      </c>
    </row>
    <row r="1556" customFormat="false" ht="15" hidden="false" customHeight="false" outlineLevel="0" collapsed="false">
      <c r="B1556" s="4" t="n">
        <v>32750430</v>
      </c>
      <c r="C1556" s="4" t="s">
        <v>2464</v>
      </c>
      <c r="D1556" s="4" t="s">
        <v>463</v>
      </c>
      <c r="E1556" s="4" t="s">
        <v>2842</v>
      </c>
      <c r="F1556" s="127" t="n">
        <v>46882</v>
      </c>
      <c r="G1556" s="127" t="n">
        <v>46892</v>
      </c>
      <c r="H1556" s="127" t="n">
        <v>46289</v>
      </c>
      <c r="I1556" s="4" t="n">
        <v>0</v>
      </c>
      <c r="J1556" s="4" t="n">
        <v>0</v>
      </c>
      <c r="K1556" s="4" t="n">
        <v>0</v>
      </c>
      <c r="M1556" s="2" t="str">
        <f aca="false">IF(C1556="","",IFERROR(INDEX($S$5:$S$304,MATCH(C1556,$R$5:$R$304,0))&amp;"","?"))</f>
        <v>21</v>
      </c>
      <c r="N1556" s="2" t="n">
        <f aca="false">IF(E1556="","",IF(ISNUMBER(SEARCH("SUBSOLO",E1556)),IFERROR(-VALUE(LEFT(E1556,FIND("º",SUBSTITUTE(E1556,"°","º"))-1)),-1),IF(LEFT(E1556,6)="TÉRREO",0,IFERROR(VALUE(LEFT(E1556,FIND("º",SUBSTITUTE(E1556,"°","º"))-1)),""))))</f>
        <v>30</v>
      </c>
      <c r="O1556" s="2" t="str">
        <f aca="false">IF(OR(F1556="",G1556=""),"",IF(G1556&lt;='RETRATO 2027'!$K$5,"CONCLUÍDA",IF(F1556&lt;='RETRATO 2027'!$K$5,"EM ANDAMENTO","A INICIAR")))</f>
        <v>A INICIAR</v>
      </c>
    </row>
    <row r="1557" customFormat="false" ht="15" hidden="false" customHeight="false" outlineLevel="0" collapsed="false">
      <c r="B1557" s="4" t="n">
        <v>33896848</v>
      </c>
      <c r="C1557" s="4" t="s">
        <v>2467</v>
      </c>
      <c r="D1557" s="4" t="s">
        <v>463</v>
      </c>
      <c r="E1557" s="4" t="s">
        <v>2842</v>
      </c>
      <c r="F1557" s="127" t="n">
        <v>46882</v>
      </c>
      <c r="G1557" s="127" t="n">
        <v>46892</v>
      </c>
      <c r="H1557" s="127" t="n">
        <v>46289</v>
      </c>
      <c r="I1557" s="4" t="n">
        <v>0</v>
      </c>
      <c r="J1557" s="4" t="n">
        <v>0</v>
      </c>
      <c r="K1557" s="4" t="n">
        <v>0</v>
      </c>
      <c r="M1557" s="2" t="str">
        <f aca="false">IF(C1557="","",IFERROR(INDEX($S$5:$S$304,MATCH(C1557,$R$5:$R$304,0))&amp;"","?"))</f>
        <v>23</v>
      </c>
      <c r="N1557" s="2" t="n">
        <f aca="false">IF(E1557="","",IF(ISNUMBER(SEARCH("SUBSOLO",E1557)),IFERROR(-VALUE(LEFT(E1557,FIND("º",SUBSTITUTE(E1557,"°","º"))-1)),-1),IF(LEFT(E1557,6)="TÉRREO",0,IFERROR(VALUE(LEFT(E1557,FIND("º",SUBSTITUTE(E1557,"°","º"))-1)),""))))</f>
        <v>30</v>
      </c>
      <c r="O1557" s="2" t="str">
        <f aca="false">IF(OR(F1557="",G1557=""),"",IF(G1557&lt;='RETRATO 2027'!$K$5,"CONCLUÍDA",IF(F1557&lt;='RETRATO 2027'!$K$5,"EM ANDAMENTO","A INICIAR")))</f>
        <v>A INICIAR</v>
      </c>
    </row>
    <row r="1558" customFormat="false" ht="15" hidden="false" customHeight="false" outlineLevel="0" collapsed="false">
      <c r="B1558" s="4" t="n">
        <v>32749874</v>
      </c>
      <c r="C1558" s="4" t="s">
        <v>2455</v>
      </c>
      <c r="D1558" s="4" t="s">
        <v>463</v>
      </c>
      <c r="E1558" s="4" t="s">
        <v>2843</v>
      </c>
      <c r="F1558" s="127" t="n">
        <v>46882</v>
      </c>
      <c r="G1558" s="127" t="n">
        <v>46892</v>
      </c>
      <c r="H1558" s="127" t="n">
        <v>46289</v>
      </c>
      <c r="I1558" s="4" t="n">
        <v>0</v>
      </c>
      <c r="J1558" s="4" t="n">
        <v>0</v>
      </c>
      <c r="K1558" s="4" t="n">
        <v>0</v>
      </c>
      <c r="M1558" s="2" t="str">
        <f aca="false">IF(C1558="","",IFERROR(INDEX($S$5:$S$304,MATCH(C1558,$R$5:$R$304,0))&amp;"","?"))</f>
        <v>18</v>
      </c>
      <c r="N1558" s="2" t="n">
        <f aca="false">IF(E1558="","",IF(ISNUMBER(SEARCH("SUBSOLO",E1558)),IFERROR(-VALUE(LEFT(E1558,FIND("º",SUBSTITUTE(E1558,"°","º"))-1)),-1),IF(LEFT(E1558,6)="TÉRREO",0,IFERROR(VALUE(LEFT(E1558,FIND("º",SUBSTITUTE(E1558,"°","º"))-1)),""))))</f>
        <v>31</v>
      </c>
      <c r="O1558" s="2" t="str">
        <f aca="false">IF(OR(F1558="",G1558=""),"",IF(G1558&lt;='RETRATO 2027'!$K$5,"CONCLUÍDA",IF(F1558&lt;='RETRATO 2027'!$K$5,"EM ANDAMENTO","A INICIAR")))</f>
        <v>A INICIAR</v>
      </c>
    </row>
    <row r="1559" customFormat="false" ht="15" hidden="false" customHeight="false" outlineLevel="0" collapsed="false">
      <c r="B1559" s="4" t="n">
        <v>29980622</v>
      </c>
      <c r="C1559" s="4" t="s">
        <v>2449</v>
      </c>
      <c r="D1559" s="4" t="s">
        <v>463</v>
      </c>
      <c r="E1559" s="4" t="s">
        <v>2844</v>
      </c>
      <c r="F1559" s="127" t="n">
        <v>46882</v>
      </c>
      <c r="G1559" s="127" t="n">
        <v>46892</v>
      </c>
      <c r="H1559" s="127" t="n">
        <v>46289</v>
      </c>
      <c r="I1559" s="4" t="n">
        <v>0</v>
      </c>
      <c r="J1559" s="4" t="n">
        <v>0</v>
      </c>
      <c r="K1559" s="4" t="n">
        <v>0</v>
      </c>
      <c r="M1559" s="2" t="str">
        <f aca="false">IF(C1559="","",IFERROR(INDEX($S$5:$S$304,MATCH(C1559,$R$5:$R$304,0))&amp;"","?"))</f>
        <v>28</v>
      </c>
      <c r="N1559" s="2" t="n">
        <f aca="false">IF(E1559="","",IF(ISNUMBER(SEARCH("SUBSOLO",E1559)),IFERROR(-VALUE(LEFT(E1559,FIND("º",SUBSTITUTE(E1559,"°","º"))-1)),-1),IF(LEFT(E1559,6)="TÉRREO",0,IFERROR(VALUE(LEFT(E1559,FIND("º",SUBSTITUTE(E1559,"°","º"))-1)),""))))</f>
        <v>32</v>
      </c>
      <c r="O1559" s="2" t="str">
        <f aca="false">IF(OR(F1559="",G1559=""),"",IF(G1559&lt;='RETRATO 2027'!$K$5,"CONCLUÍDA",IF(F1559&lt;='RETRATO 2027'!$K$5,"EM ANDAMENTO","A INICIAR")))</f>
        <v>A INICIAR</v>
      </c>
    </row>
    <row r="1560" customFormat="false" ht="15" hidden="false" customHeight="false" outlineLevel="0" collapsed="false">
      <c r="B1560" s="4" t="n">
        <v>30205822</v>
      </c>
      <c r="C1560" s="4" t="s">
        <v>216</v>
      </c>
      <c r="D1560" s="4" t="s">
        <v>463</v>
      </c>
      <c r="E1560" s="4" t="s">
        <v>2839</v>
      </c>
      <c r="F1560" s="127" t="n">
        <v>46883</v>
      </c>
      <c r="G1560" s="127" t="n">
        <v>46896</v>
      </c>
      <c r="H1560" s="127" t="n">
        <v>46289</v>
      </c>
      <c r="I1560" s="4" t="n">
        <v>0</v>
      </c>
      <c r="J1560" s="4" t="n">
        <v>0</v>
      </c>
      <c r="K1560" s="4" t="n">
        <v>0</v>
      </c>
      <c r="M1560" s="2" t="str">
        <f aca="false">IF(C1560="","",IFERROR(INDEX($S$5:$S$304,MATCH(C1560,$R$5:$R$304,0))&amp;"","?"))</f>
        <v>33</v>
      </c>
      <c r="N1560" s="2" t="n">
        <f aca="false">IF(E1560="","",IF(ISNUMBER(SEARCH("SUBSOLO",E1560)),IFERROR(-VALUE(LEFT(E1560,FIND("º",SUBSTITUTE(E1560,"°","º"))-1)),-1),IF(LEFT(E1560,6)="TÉRREO",0,IFERROR(VALUE(LEFT(E1560,FIND("º",SUBSTITUTE(E1560,"°","º"))-1)),""))))</f>
        <v>0</v>
      </c>
      <c r="O1560" s="2" t="str">
        <f aca="false">IF(OR(F1560="",G1560=""),"",IF(G1560&lt;='RETRATO 2027'!$K$5,"CONCLUÍDA",IF(F1560&lt;='RETRATO 2027'!$K$5,"EM ANDAMENTO","A INICIAR")))</f>
        <v>A INICIAR</v>
      </c>
    </row>
    <row r="1561" customFormat="false" ht="15" hidden="false" customHeight="false" outlineLevel="0" collapsed="false">
      <c r="B1561" s="4" t="n">
        <v>30208604</v>
      </c>
      <c r="C1561" s="4" t="s">
        <v>2511</v>
      </c>
      <c r="D1561" s="4" t="s">
        <v>463</v>
      </c>
      <c r="E1561" s="4" t="s">
        <v>2757</v>
      </c>
      <c r="F1561" s="127" t="n">
        <v>46883</v>
      </c>
      <c r="G1561" s="127" t="n">
        <v>46896</v>
      </c>
      <c r="H1561" s="127" t="n">
        <v>46289</v>
      </c>
      <c r="I1561" s="4" t="n">
        <v>0</v>
      </c>
      <c r="J1561" s="4" t="n">
        <v>0</v>
      </c>
      <c r="K1561" s="4" t="n">
        <v>0</v>
      </c>
      <c r="M1561" s="2" t="str">
        <f aca="false">IF(C1561="","",IFERROR(INDEX($S$5:$S$304,MATCH(C1561,$R$5:$R$304,0))&amp;"","?"))</f>
        <v>20</v>
      </c>
      <c r="N1561" s="2" t="n">
        <f aca="false">IF(E1561="","",IF(ISNUMBER(SEARCH("SUBSOLO",E1561)),IFERROR(-VALUE(LEFT(E1561,FIND("º",SUBSTITUTE(E1561,"°","º"))-1)),-1),IF(LEFT(E1561,6)="TÉRREO",0,IFERROR(VALUE(LEFT(E1561,FIND("º",SUBSTITUTE(E1561,"°","º"))-1)),""))))</f>
        <v>0</v>
      </c>
      <c r="O1561" s="2" t="str">
        <f aca="false">IF(OR(F1561="",G1561=""),"",IF(G1561&lt;='RETRATO 2027'!$K$5,"CONCLUÍDA",IF(F1561&lt;='RETRATO 2027'!$K$5,"EM ANDAMENTO","A INICIAR")))</f>
        <v>A INICIAR</v>
      </c>
    </row>
    <row r="1562" customFormat="false" ht="15" hidden="false" customHeight="false" outlineLevel="0" collapsed="false">
      <c r="B1562" s="4" t="n">
        <v>30208610</v>
      </c>
      <c r="C1562" s="4" t="s">
        <v>2449</v>
      </c>
      <c r="D1562" s="4" t="s">
        <v>463</v>
      </c>
      <c r="E1562" s="4" t="s">
        <v>2851</v>
      </c>
      <c r="F1562" s="127" t="n">
        <v>46883</v>
      </c>
      <c r="G1562" s="127" t="n">
        <v>46903</v>
      </c>
      <c r="H1562" s="127" t="n">
        <v>46289</v>
      </c>
      <c r="I1562" s="4" t="n">
        <v>0</v>
      </c>
      <c r="J1562" s="4" t="n">
        <v>0</v>
      </c>
      <c r="K1562" s="4" t="n">
        <v>0</v>
      </c>
      <c r="M1562" s="2" t="str">
        <f aca="false">IF(C1562="","",IFERROR(INDEX($S$5:$S$304,MATCH(C1562,$R$5:$R$304,0))&amp;"","?"))</f>
        <v>28</v>
      </c>
      <c r="N1562" s="2" t="n">
        <f aca="false">IF(E1562="","",IF(ISNUMBER(SEARCH("SUBSOLO",E1562)),IFERROR(-VALUE(LEFT(E1562,FIND("º",SUBSTITUTE(E1562,"°","º"))-1)),-1),IF(LEFT(E1562,6)="TÉRREO",0,IFERROR(VALUE(LEFT(E1562,FIND("º",SUBSTITUTE(E1562,"°","º"))-1)),""))))</f>
        <v>6</v>
      </c>
      <c r="O1562" s="2" t="str">
        <f aca="false">IF(OR(F1562="",G1562=""),"",IF(G1562&lt;='RETRATO 2027'!$K$5,"CONCLUÍDA",IF(F1562&lt;='RETRATO 2027'!$K$5,"EM ANDAMENTO","A INICIAR")))</f>
        <v>A INICIAR</v>
      </c>
    </row>
    <row r="1563" customFormat="false" ht="15" hidden="false" customHeight="false" outlineLevel="0" collapsed="false">
      <c r="B1563" s="4" t="n">
        <v>29981112</v>
      </c>
      <c r="C1563" s="4" t="s">
        <v>2425</v>
      </c>
      <c r="D1563" s="4" t="s">
        <v>463</v>
      </c>
      <c r="E1563" s="4" t="s">
        <v>2822</v>
      </c>
      <c r="F1563" s="127" t="n">
        <v>46883</v>
      </c>
      <c r="G1563" s="127" t="n">
        <v>46895</v>
      </c>
      <c r="H1563" s="127" t="n">
        <v>46289</v>
      </c>
      <c r="I1563" s="4" t="n">
        <v>0</v>
      </c>
      <c r="J1563" s="4" t="n">
        <v>0</v>
      </c>
      <c r="K1563" s="4" t="n">
        <v>0</v>
      </c>
      <c r="M1563" s="2" t="str">
        <f aca="false">IF(C1563="","",IFERROR(INDEX($S$5:$S$304,MATCH(C1563,$R$5:$R$304,0))&amp;"","?"))</f>
        <v>21</v>
      </c>
      <c r="N1563" s="2" t="n">
        <f aca="false">IF(E1563="","",IF(ISNUMBER(SEARCH("SUBSOLO",E1563)),IFERROR(-VALUE(LEFT(E1563,FIND("º",SUBSTITUTE(E1563,"°","º"))-1)),-1),IF(LEFT(E1563,6)="TÉRREO",0,IFERROR(VALUE(LEFT(E1563,FIND("º",SUBSTITUTE(E1563,"°","º"))-1)),""))))</f>
        <v>19</v>
      </c>
      <c r="O1563" s="2" t="str">
        <f aca="false">IF(OR(F1563="",G1563=""),"",IF(G1563&lt;='RETRATO 2027'!$K$5,"CONCLUÍDA",IF(F1563&lt;='RETRATO 2027'!$K$5,"EM ANDAMENTO","A INICIAR")))</f>
        <v>A INICIAR</v>
      </c>
    </row>
    <row r="1564" customFormat="false" ht="15" hidden="false" customHeight="false" outlineLevel="0" collapsed="false">
      <c r="B1564" s="4" t="n">
        <v>29981081</v>
      </c>
      <c r="C1564" s="4" t="s">
        <v>2428</v>
      </c>
      <c r="D1564" s="4" t="s">
        <v>463</v>
      </c>
      <c r="E1564" s="4" t="s">
        <v>2822</v>
      </c>
      <c r="F1564" s="127" t="n">
        <v>46883</v>
      </c>
      <c r="G1564" s="127" t="n">
        <v>46895</v>
      </c>
      <c r="H1564" s="127" t="n">
        <v>46289</v>
      </c>
      <c r="I1564" s="4" t="n">
        <v>0</v>
      </c>
      <c r="J1564" s="4" t="n">
        <v>0</v>
      </c>
      <c r="K1564" s="4" t="n">
        <v>0</v>
      </c>
      <c r="M1564" s="2" t="str">
        <f aca="false">IF(C1564="","",IFERROR(INDEX($S$5:$S$304,MATCH(C1564,$R$5:$R$304,0))&amp;"","?"))</f>
        <v>20</v>
      </c>
      <c r="N1564" s="2" t="n">
        <f aca="false">IF(E1564="","",IF(ISNUMBER(SEARCH("SUBSOLO",E1564)),IFERROR(-VALUE(LEFT(E1564,FIND("º",SUBSTITUTE(E1564,"°","º"))-1)),-1),IF(LEFT(E1564,6)="TÉRREO",0,IFERROR(VALUE(LEFT(E1564,FIND("º",SUBSTITUTE(E1564,"°","º"))-1)),""))))</f>
        <v>19</v>
      </c>
      <c r="O1564" s="2" t="str">
        <f aca="false">IF(OR(F1564="",G1564=""),"",IF(G1564&lt;='RETRATO 2027'!$K$5,"CONCLUÍDA",IF(F1564&lt;='RETRATO 2027'!$K$5,"EM ANDAMENTO","A INICIAR")))</f>
        <v>A INICIAR</v>
      </c>
    </row>
    <row r="1565" customFormat="false" ht="15" hidden="false" customHeight="false" outlineLevel="0" collapsed="false">
      <c r="B1565" s="4" t="n">
        <v>29981114</v>
      </c>
      <c r="C1565" s="4" t="s">
        <v>2431</v>
      </c>
      <c r="D1565" s="4" t="s">
        <v>463</v>
      </c>
      <c r="E1565" s="4" t="s">
        <v>2822</v>
      </c>
      <c r="F1565" s="127" t="n">
        <v>46883</v>
      </c>
      <c r="G1565" s="127" t="n">
        <v>46895</v>
      </c>
      <c r="H1565" s="127" t="n">
        <v>46289</v>
      </c>
      <c r="I1565" s="4" t="n">
        <v>0</v>
      </c>
      <c r="J1565" s="4" t="n">
        <v>0</v>
      </c>
      <c r="K1565" s="4" t="n">
        <v>0</v>
      </c>
      <c r="M1565" s="2" t="str">
        <f aca="false">IF(C1565="","",IFERROR(INDEX($S$5:$S$304,MATCH(C1565,$R$5:$R$304,0))&amp;"","?"))</f>
        <v>21</v>
      </c>
      <c r="N1565" s="2" t="n">
        <f aca="false">IF(E1565="","",IF(ISNUMBER(SEARCH("SUBSOLO",E1565)),IFERROR(-VALUE(LEFT(E1565,FIND("º",SUBSTITUTE(E1565,"°","º"))-1)),-1),IF(LEFT(E1565,6)="TÉRREO",0,IFERROR(VALUE(LEFT(E1565,FIND("º",SUBSTITUTE(E1565,"°","º"))-1)),""))))</f>
        <v>19</v>
      </c>
      <c r="O1565" s="2" t="str">
        <f aca="false">IF(OR(F1565="",G1565=""),"",IF(G1565&lt;='RETRATO 2027'!$K$5,"CONCLUÍDA",IF(F1565&lt;='RETRATO 2027'!$K$5,"EM ANDAMENTO","A INICIAR")))</f>
        <v>A INICIAR</v>
      </c>
    </row>
    <row r="1566" customFormat="false" ht="15" hidden="false" customHeight="false" outlineLevel="0" collapsed="false">
      <c r="B1566" s="4" t="n">
        <v>31791087</v>
      </c>
      <c r="C1566" s="4" t="s">
        <v>2645</v>
      </c>
      <c r="D1566" s="4" t="s">
        <v>463</v>
      </c>
      <c r="E1566" s="4" t="s">
        <v>2678</v>
      </c>
      <c r="F1566" s="127" t="n">
        <v>46883</v>
      </c>
      <c r="G1566" s="127" t="n">
        <v>46910</v>
      </c>
      <c r="H1566" s="127" t="n">
        <v>46289</v>
      </c>
      <c r="I1566" s="4" t="n">
        <v>0</v>
      </c>
      <c r="J1566" s="4" t="n">
        <v>0</v>
      </c>
      <c r="K1566" s="4" t="n">
        <v>0</v>
      </c>
      <c r="M1566" s="2" t="str">
        <f aca="false">IF(C1566="","",IFERROR(INDEX($S$5:$S$304,MATCH(C1566,$R$5:$R$304,0))&amp;"","?"))</f>
        <v>32</v>
      </c>
      <c r="N1566" s="2" t="str">
        <f aca="false"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 t="str">
        <f aca="false">IF(OR(F1566="",G1566=""),"",IF(G1566&lt;='RETRATO 2027'!$K$5,"CONCLUÍDA",IF(F1566&lt;='RETRATO 2027'!$K$5,"EM ANDAMENTO","A INICIAR")))</f>
        <v>A INICIAR</v>
      </c>
    </row>
    <row r="1567" customFormat="false" ht="15" hidden="false" customHeight="false" outlineLevel="0" collapsed="false">
      <c r="B1567" s="4" t="n">
        <v>31800444</v>
      </c>
      <c r="C1567" s="4" t="s">
        <v>2647</v>
      </c>
      <c r="D1567" s="4" t="s">
        <v>463</v>
      </c>
      <c r="E1567" s="4" t="s">
        <v>2678</v>
      </c>
      <c r="F1567" s="127" t="n">
        <v>46883</v>
      </c>
      <c r="G1567" s="127" t="n">
        <v>46925</v>
      </c>
      <c r="H1567" s="127" t="n">
        <v>46289</v>
      </c>
      <c r="I1567" s="4" t="n">
        <v>0</v>
      </c>
      <c r="J1567" s="4" t="n">
        <v>0</v>
      </c>
      <c r="K1567" s="4" t="n">
        <v>0</v>
      </c>
      <c r="M1567" s="2" t="str">
        <f aca="false">IF(C1567="","",IFERROR(INDEX($S$5:$S$304,MATCH(C1567,$R$5:$R$304,0))&amp;"","?"))</f>
        <v>25</v>
      </c>
      <c r="N1567" s="2" t="str">
        <f aca="false"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 t="str">
        <f aca="false">IF(OR(F1567="",G1567=""),"",IF(G1567&lt;='RETRATO 2027'!$K$5,"CONCLUÍDA",IF(F1567&lt;='RETRATO 2027'!$K$5,"EM ANDAMENTO","A INICIAR")))</f>
        <v>A INICIAR</v>
      </c>
    </row>
    <row r="1568" customFormat="false" ht="15" hidden="false" customHeight="false" outlineLevel="0" collapsed="false">
      <c r="B1568" s="4" t="n">
        <v>30205954</v>
      </c>
      <c r="C1568" s="4" t="s">
        <v>2434</v>
      </c>
      <c r="D1568" s="4" t="s">
        <v>463</v>
      </c>
      <c r="E1568" s="4" t="s">
        <v>2850</v>
      </c>
      <c r="F1568" s="127" t="n">
        <v>46884</v>
      </c>
      <c r="G1568" s="127" t="n">
        <v>46890</v>
      </c>
      <c r="H1568" s="127" t="n">
        <v>46289</v>
      </c>
      <c r="I1568" s="4" t="n">
        <v>0</v>
      </c>
      <c r="J1568" s="4" t="n">
        <v>0</v>
      </c>
      <c r="K1568" s="4" t="n">
        <v>0</v>
      </c>
      <c r="M1568" s="2" t="str">
        <f aca="false">IF(C1568="","",IFERROR(INDEX($S$5:$S$304,MATCH(C1568,$R$5:$R$304,0))&amp;"","?"))</f>
        <v>25</v>
      </c>
      <c r="N1568" s="2" t="n">
        <f aca="false">IF(E1568="","",IF(ISNUMBER(SEARCH("SUBSOLO",E1568)),IFERROR(-VALUE(LEFT(E1568,FIND("º",SUBSTITUTE(E1568,"°","º"))-1)),-1),IF(LEFT(E1568,6)="TÉRREO",0,IFERROR(VALUE(LEFT(E1568,FIND("º",SUBSTITUTE(E1568,"°","º"))-1)),""))))</f>
        <v>6</v>
      </c>
      <c r="O1568" s="2" t="str">
        <f aca="false">IF(OR(F1568="",G1568=""),"",IF(G1568&lt;='RETRATO 2027'!$K$5,"CONCLUÍDA",IF(F1568&lt;='RETRATO 2027'!$K$5,"EM ANDAMENTO","A INICIAR")))</f>
        <v>A INICIAR</v>
      </c>
    </row>
    <row r="1569" customFormat="false" ht="15" hidden="false" customHeight="false" outlineLevel="0" collapsed="false">
      <c r="B1569" s="4" t="n">
        <v>30205634</v>
      </c>
      <c r="C1569" s="4" t="s">
        <v>2563</v>
      </c>
      <c r="D1569" s="4" t="s">
        <v>463</v>
      </c>
      <c r="E1569" s="4" t="s">
        <v>2824</v>
      </c>
      <c r="F1569" s="127" t="n">
        <v>46888</v>
      </c>
      <c r="G1569" s="127" t="n">
        <v>46892</v>
      </c>
      <c r="H1569" s="127" t="n">
        <v>46289</v>
      </c>
      <c r="I1569" s="4" t="n">
        <v>0</v>
      </c>
      <c r="J1569" s="4" t="n">
        <v>0</v>
      </c>
      <c r="K1569" s="4" t="n">
        <v>0</v>
      </c>
      <c r="M1569" s="2" t="str">
        <f aca="false">IF(C1569="","",IFERROR(INDEX($S$5:$S$304,MATCH(C1569,$R$5:$R$304,0))&amp;"","?"))</f>
        <v>20</v>
      </c>
      <c r="N1569" s="2" t="n">
        <f aca="false">IF(E1569="","",IF(ISNUMBER(SEARCH("SUBSOLO",E1569)),IFERROR(-VALUE(LEFT(E1569,FIND("º",SUBSTITUTE(E1569,"°","º"))-1)),-1),IF(LEFT(E1569,6)="TÉRREO",0,IFERROR(VALUE(LEFT(E1569,FIND("º",SUBSTITUTE(E1569,"°","º"))-1)),""))))</f>
        <v>0</v>
      </c>
      <c r="O1569" s="2" t="str">
        <f aca="false">IF(OR(F1569="",G1569=""),"",IF(G1569&lt;='RETRATO 2027'!$K$5,"CONCLUÍDA",IF(F1569&lt;='RETRATO 2027'!$K$5,"EM ANDAMENTO","A INICIAR")))</f>
        <v>A INICIAR</v>
      </c>
    </row>
    <row r="1570" customFormat="false" ht="15" hidden="false" customHeight="false" outlineLevel="0" collapsed="false">
      <c r="B1570" s="4" t="n">
        <v>30205609</v>
      </c>
      <c r="C1570" s="4" t="s">
        <v>2578</v>
      </c>
      <c r="D1570" s="4" t="s">
        <v>463</v>
      </c>
      <c r="E1570" s="4" t="s">
        <v>2826</v>
      </c>
      <c r="F1570" s="127" t="n">
        <v>46888</v>
      </c>
      <c r="G1570" s="127" t="n">
        <v>46899</v>
      </c>
      <c r="H1570" s="127" t="n">
        <v>46289</v>
      </c>
      <c r="I1570" s="4" t="n">
        <v>0</v>
      </c>
      <c r="J1570" s="4" t="n">
        <v>0</v>
      </c>
      <c r="K1570" s="4" t="n">
        <v>0</v>
      </c>
      <c r="M1570" s="2" t="str">
        <f aca="false">IF(C1570="","",IFERROR(INDEX($S$5:$S$304,MATCH(C1570,$R$5:$R$304,0))&amp;"","?"))</f>
        <v>25</v>
      </c>
      <c r="N1570" s="2" t="n">
        <f aca="false">IF(E1570="","",IF(ISNUMBER(SEARCH("SUBSOLO",E1570)),IFERROR(-VALUE(LEFT(E1570,FIND("º",SUBSTITUTE(E1570,"°","º"))-1)),-1),IF(LEFT(E1570,6)="TÉRREO",0,IFERROR(VALUE(LEFT(E1570,FIND("º",SUBSTITUTE(E1570,"°","º"))-1)),""))))</f>
        <v>0</v>
      </c>
      <c r="O1570" s="2" t="str">
        <f aca="false">IF(OR(F1570="",G1570=""),"",IF(G1570&lt;='RETRATO 2027'!$K$5,"CONCLUÍDA",IF(F1570&lt;='RETRATO 2027'!$K$5,"EM ANDAMENTO","A INICIAR")))</f>
        <v>A INICIAR</v>
      </c>
    </row>
    <row r="1571" customFormat="false" ht="15" hidden="false" customHeight="false" outlineLevel="0" collapsed="false">
      <c r="B1571" s="4" t="n">
        <v>30205608</v>
      </c>
      <c r="C1571" s="4" t="s">
        <v>2605</v>
      </c>
      <c r="D1571" s="4" t="s">
        <v>463</v>
      </c>
      <c r="E1571" s="4" t="s">
        <v>2826</v>
      </c>
      <c r="F1571" s="127" t="n">
        <v>46888</v>
      </c>
      <c r="G1571" s="127" t="n">
        <v>46899</v>
      </c>
      <c r="H1571" s="127" t="n">
        <v>46289</v>
      </c>
      <c r="I1571" s="4" t="n">
        <v>0</v>
      </c>
      <c r="J1571" s="4" t="n">
        <v>0</v>
      </c>
      <c r="K1571" s="4" t="n">
        <v>0</v>
      </c>
      <c r="M1571" s="2" t="str">
        <f aca="false">IF(C1571="","",IFERROR(INDEX($S$5:$S$304,MATCH(C1571,$R$5:$R$304,0))&amp;"","?"))</f>
        <v>34</v>
      </c>
      <c r="N1571" s="2" t="n">
        <f aca="false">IF(E1571="","",IF(ISNUMBER(SEARCH("SUBSOLO",E1571)),IFERROR(-VALUE(LEFT(E1571,FIND("º",SUBSTITUTE(E1571,"°","º"))-1)),-1),IF(LEFT(E1571,6)="TÉRREO",0,IFERROR(VALUE(LEFT(E1571,FIND("º",SUBSTITUTE(E1571,"°","º"))-1)),""))))</f>
        <v>0</v>
      </c>
      <c r="O1571" s="2" t="str">
        <f aca="false">IF(OR(F1571="",G1571=""),"",IF(G1571&lt;='RETRATO 2027'!$K$5,"CONCLUÍDA",IF(F1571&lt;='RETRATO 2027'!$K$5,"EM ANDAMENTO","A INICIAR")))</f>
        <v>A INICIAR</v>
      </c>
    </row>
    <row r="1572" customFormat="false" ht="15" hidden="false" customHeight="false" outlineLevel="0" collapsed="false">
      <c r="B1572" s="4" t="n">
        <v>30205606</v>
      </c>
      <c r="C1572" s="4" t="s">
        <v>2607</v>
      </c>
      <c r="D1572" s="4" t="s">
        <v>463</v>
      </c>
      <c r="E1572" s="4" t="s">
        <v>2826</v>
      </c>
      <c r="F1572" s="127" t="n">
        <v>46888</v>
      </c>
      <c r="G1572" s="127" t="n">
        <v>46899</v>
      </c>
      <c r="H1572" s="127" t="n">
        <v>46289</v>
      </c>
      <c r="I1572" s="4" t="n">
        <v>0</v>
      </c>
      <c r="J1572" s="4" t="n">
        <v>0</v>
      </c>
      <c r="K1572" s="4" t="n">
        <v>0</v>
      </c>
      <c r="M1572" s="2" t="str">
        <f aca="false">IF(C1572="","",IFERROR(INDEX($S$5:$S$304,MATCH(C1572,$R$5:$R$304,0))&amp;"","?"))</f>
        <v>34</v>
      </c>
      <c r="N1572" s="2" t="n">
        <f aca="false">IF(E1572="","",IF(ISNUMBER(SEARCH("SUBSOLO",E1572)),IFERROR(-VALUE(LEFT(E1572,FIND("º",SUBSTITUTE(E1572,"°","º"))-1)),-1),IF(LEFT(E1572,6)="TÉRREO",0,IFERROR(VALUE(LEFT(E1572,FIND("º",SUBSTITUTE(E1572,"°","º"))-1)),""))))</f>
        <v>0</v>
      </c>
      <c r="O1572" s="2" t="str">
        <f aca="false">IF(OR(F1572="",G1572=""),"",IF(G1572&lt;='RETRATO 2027'!$K$5,"CONCLUÍDA",IF(F1572&lt;='RETRATO 2027'!$K$5,"EM ANDAMENTO","A INICIAR")))</f>
        <v>A INICIAR</v>
      </c>
    </row>
    <row r="1573" customFormat="false" ht="15" hidden="false" customHeight="false" outlineLevel="0" collapsed="false">
      <c r="B1573" s="4" t="n">
        <v>30205591</v>
      </c>
      <c r="C1573" s="4" t="s">
        <v>2554</v>
      </c>
      <c r="D1573" s="4" t="s">
        <v>463</v>
      </c>
      <c r="E1573" s="4" t="s">
        <v>2828</v>
      </c>
      <c r="F1573" s="127" t="n">
        <v>46888</v>
      </c>
      <c r="G1573" s="127" t="n">
        <v>46899</v>
      </c>
      <c r="H1573" s="127" t="n">
        <v>46289</v>
      </c>
      <c r="I1573" s="4" t="n">
        <v>0</v>
      </c>
      <c r="J1573" s="4" t="n">
        <v>0</v>
      </c>
      <c r="K1573" s="4" t="n">
        <v>0</v>
      </c>
      <c r="M1573" s="2" t="str">
        <f aca="false">IF(C1573="","",IFERROR(INDEX($S$5:$S$304,MATCH(C1573,$R$5:$R$304,0))&amp;"","?"))</f>
        <v>35</v>
      </c>
      <c r="N1573" s="2" t="n">
        <f aca="false">IF(E1573="","",IF(ISNUMBER(SEARCH("SUBSOLO",E1573)),IFERROR(-VALUE(LEFT(E1573,FIND("º",SUBSTITUTE(E1573,"°","º"))-1)),-1),IF(LEFT(E1573,6)="TÉRREO",0,IFERROR(VALUE(LEFT(E1573,FIND("º",SUBSTITUTE(E1573,"°","º"))-1)),""))))</f>
        <v>0</v>
      </c>
      <c r="O1573" s="2" t="str">
        <f aca="false">IF(OR(F1573="",G1573=""),"",IF(G1573&lt;='RETRATO 2027'!$K$5,"CONCLUÍDA",IF(F1573&lt;='RETRATO 2027'!$K$5,"EM ANDAMENTO","A INICIAR")))</f>
        <v>A INICIAR</v>
      </c>
    </row>
    <row r="1574" customFormat="false" ht="15" hidden="false" customHeight="false" outlineLevel="0" collapsed="false">
      <c r="B1574" s="4" t="n">
        <v>29981550</v>
      </c>
      <c r="C1574" s="4" t="s">
        <v>2649</v>
      </c>
      <c r="D1574" s="4" t="s">
        <v>463</v>
      </c>
      <c r="E1574" s="4" t="s">
        <v>2803</v>
      </c>
      <c r="F1574" s="127" t="n">
        <v>46888</v>
      </c>
      <c r="G1574" s="127" t="n">
        <v>46898</v>
      </c>
      <c r="H1574" s="127" t="n">
        <v>46289</v>
      </c>
      <c r="I1574" s="4" t="n">
        <v>0</v>
      </c>
      <c r="J1574" s="4" t="n">
        <v>0</v>
      </c>
      <c r="K1574" s="4" t="n">
        <v>0</v>
      </c>
      <c r="M1574" s="2" t="str">
        <f aca="false">IF(C1574="","",IFERROR(INDEX($S$5:$S$304,MATCH(C1574,$R$5:$R$304,0))&amp;"","?"))</f>
        <v>37</v>
      </c>
      <c r="N1574" s="2" t="n">
        <f aca="false">IF(E1574="","",IF(ISNUMBER(SEARCH("SUBSOLO",E1574)),IFERROR(-VALUE(LEFT(E1574,FIND("º",SUBSTITUTE(E1574,"°","º"))-1)),-1),IF(LEFT(E1574,6)="TÉRREO",0,IFERROR(VALUE(LEFT(E1574,FIND("º",SUBSTITUTE(E1574,"°","º"))-1)),""))))</f>
        <v>7</v>
      </c>
      <c r="O1574" s="2" t="str">
        <f aca="false">IF(OR(F1574="",G1574=""),"",IF(G1574&lt;='RETRATO 2027'!$K$5,"CONCLUÍDA",IF(F1574&lt;='RETRATO 2027'!$K$5,"EM ANDAMENTO","A INICIAR")))</f>
        <v>A INICIAR</v>
      </c>
    </row>
    <row r="1575" customFormat="false" ht="15" hidden="false" customHeight="false" outlineLevel="0" collapsed="false">
      <c r="B1575" s="4" t="n">
        <v>29981503</v>
      </c>
      <c r="C1575" s="4" t="s">
        <v>2641</v>
      </c>
      <c r="D1575" s="4" t="s">
        <v>463</v>
      </c>
      <c r="E1575" s="4" t="s">
        <v>2804</v>
      </c>
      <c r="F1575" s="127" t="n">
        <v>46888</v>
      </c>
      <c r="G1575" s="127" t="n">
        <v>46898</v>
      </c>
      <c r="H1575" s="127" t="n">
        <v>46289</v>
      </c>
      <c r="I1575" s="4" t="n">
        <v>0</v>
      </c>
      <c r="J1575" s="4" t="n">
        <v>0</v>
      </c>
      <c r="K1575" s="4" t="n">
        <v>0</v>
      </c>
      <c r="M1575" s="2" t="str">
        <f aca="false">IF(C1575="","",IFERROR(INDEX($S$5:$S$304,MATCH(C1575,$R$5:$R$304,0))&amp;"","?"))</f>
        <v>35</v>
      </c>
      <c r="N1575" s="2" t="n">
        <f aca="false">IF(E1575="","",IF(ISNUMBER(SEARCH("SUBSOLO",E1575)),IFERROR(-VALUE(LEFT(E1575,FIND("º",SUBSTITUTE(E1575,"°","º"))-1)),-1),IF(LEFT(E1575,6)="TÉRREO",0,IFERROR(VALUE(LEFT(E1575,FIND("º",SUBSTITUTE(E1575,"°","º"))-1)),""))))</f>
        <v>8</v>
      </c>
      <c r="O1575" s="2" t="str">
        <f aca="false">IF(OR(F1575="",G1575=""),"",IF(G1575&lt;='RETRATO 2027'!$K$5,"CONCLUÍDA",IF(F1575&lt;='RETRATO 2027'!$K$5,"EM ANDAMENTO","A INICIAR")))</f>
        <v>A INICIAR</v>
      </c>
    </row>
    <row r="1576" customFormat="false" ht="15" hidden="false" customHeight="false" outlineLevel="0" collapsed="false">
      <c r="B1576" s="4" t="n">
        <v>30205790</v>
      </c>
      <c r="C1576" s="4" t="s">
        <v>2545</v>
      </c>
      <c r="D1576" s="4" t="s">
        <v>463</v>
      </c>
      <c r="E1576" s="4" t="s">
        <v>2835</v>
      </c>
      <c r="F1576" s="127" t="n">
        <v>46890</v>
      </c>
      <c r="G1576" s="127" t="n">
        <v>46910</v>
      </c>
      <c r="H1576" s="127" t="n">
        <v>46289</v>
      </c>
      <c r="I1576" s="4" t="n">
        <v>0</v>
      </c>
      <c r="J1576" s="4" t="n">
        <v>0</v>
      </c>
      <c r="K1576" s="4" t="n">
        <v>0</v>
      </c>
      <c r="M1576" s="2" t="str">
        <f aca="false">IF(C1576="","",IFERROR(INDEX($S$5:$S$304,MATCH(C1576,$R$5:$R$304,0))&amp;"","?"))</f>
        <v>25</v>
      </c>
      <c r="N1576" s="2" t="n">
        <f aca="false">IF(E1576="","",IF(ISNUMBER(SEARCH("SUBSOLO",E1576)),IFERROR(-VALUE(LEFT(E1576,FIND("º",SUBSTITUTE(E1576,"°","º"))-1)),-1),IF(LEFT(E1576,6)="TÉRREO",0,IFERROR(VALUE(LEFT(E1576,FIND("º",SUBSTITUTE(E1576,"°","º"))-1)),""))))</f>
        <v>0</v>
      </c>
      <c r="O1576" s="2" t="str">
        <f aca="false">IF(OR(F1576="",G1576=""),"",IF(G1576&lt;='RETRATO 2027'!$K$5,"CONCLUÍDA",IF(F1576&lt;='RETRATO 2027'!$K$5,"EM ANDAMENTO","A INICIAR")))</f>
        <v>A INICIAR</v>
      </c>
    </row>
    <row r="1577" customFormat="false" ht="15" hidden="false" customHeight="false" outlineLevel="0" collapsed="false">
      <c r="B1577" s="4" t="n">
        <v>30205853</v>
      </c>
      <c r="C1577" s="4" t="s">
        <v>216</v>
      </c>
      <c r="D1577" s="4" t="s">
        <v>463</v>
      </c>
      <c r="E1577" s="4" t="s">
        <v>2782</v>
      </c>
      <c r="F1577" s="127" t="n">
        <v>46890</v>
      </c>
      <c r="G1577" s="127" t="n">
        <v>46903</v>
      </c>
      <c r="H1577" s="127" t="n">
        <v>46289</v>
      </c>
      <c r="I1577" s="4" t="n">
        <v>0</v>
      </c>
      <c r="J1577" s="4" t="n">
        <v>0</v>
      </c>
      <c r="K1577" s="4" t="n">
        <v>0</v>
      </c>
      <c r="M1577" s="2" t="str">
        <f aca="false">IF(C1577="","",IFERROR(INDEX($S$5:$S$304,MATCH(C1577,$R$5:$R$304,0))&amp;"","?"))</f>
        <v>33</v>
      </c>
      <c r="N1577" s="2" t="n">
        <f aca="false">IF(E1577="","",IF(ISNUMBER(SEARCH("SUBSOLO",E1577)),IFERROR(-VALUE(LEFT(E1577,FIND("º",SUBSTITUTE(E1577,"°","º"))-1)),-1),IF(LEFT(E1577,6)="TÉRREO",0,IFERROR(VALUE(LEFT(E1577,FIND("º",SUBSTITUTE(E1577,"°","º"))-1)),""))))</f>
        <v>1</v>
      </c>
      <c r="O1577" s="2" t="str">
        <f aca="false">IF(OR(F1577="",G1577=""),"",IF(G1577&lt;='RETRATO 2027'!$K$5,"CONCLUÍDA",IF(F1577&lt;='RETRATO 2027'!$K$5,"EM ANDAMENTO","A INICIAR")))</f>
        <v>A INICIAR</v>
      </c>
    </row>
    <row r="1578" customFormat="false" ht="15" hidden="false" customHeight="false" outlineLevel="0" collapsed="false">
      <c r="B1578" s="4" t="n">
        <v>30208615</v>
      </c>
      <c r="C1578" s="4" t="s">
        <v>2651</v>
      </c>
      <c r="D1578" s="4" t="s">
        <v>463</v>
      </c>
      <c r="E1578" s="4" t="s">
        <v>2846</v>
      </c>
      <c r="F1578" s="127" t="n">
        <v>46891</v>
      </c>
      <c r="G1578" s="127" t="n">
        <v>46904</v>
      </c>
      <c r="H1578" s="127" t="n">
        <v>46289</v>
      </c>
      <c r="I1578" s="4" t="n">
        <v>0</v>
      </c>
      <c r="J1578" s="4" t="n">
        <v>0</v>
      </c>
      <c r="K1578" s="4" t="n">
        <v>0</v>
      </c>
      <c r="M1578" s="2" t="str">
        <f aca="false">IF(C1578="","",IFERROR(INDEX($S$5:$S$304,MATCH(C1578,$R$5:$R$304,0))&amp;"","?"))</f>
        <v>30</v>
      </c>
      <c r="N1578" s="2" t="n">
        <f aca="false">IF(E1578="","",IF(ISNUMBER(SEARCH("SUBSOLO",E1578)),IFERROR(-VALUE(LEFT(E1578,FIND("º",SUBSTITUTE(E1578,"°","º"))-1)),-1),IF(LEFT(E1578,6)="TÉRREO",0,IFERROR(VALUE(LEFT(E1578,FIND("º",SUBSTITUTE(E1578,"°","º"))-1)),""))))</f>
        <v>6</v>
      </c>
      <c r="O1578" s="2" t="str">
        <f aca="false">IF(OR(F1578="",G1578=""),"",IF(G1578&lt;='RETRATO 2027'!$K$5,"CONCLUÍDA",IF(F1578&lt;='RETRATO 2027'!$K$5,"EM ANDAMENTO","A INICIAR")))</f>
        <v>A INICIAR</v>
      </c>
    </row>
    <row r="1579" customFormat="false" ht="15" hidden="false" customHeight="false" outlineLevel="0" collapsed="false">
      <c r="B1579" s="4" t="n">
        <v>30206086</v>
      </c>
      <c r="C1579" s="4" t="s">
        <v>2449</v>
      </c>
      <c r="D1579" s="4" t="s">
        <v>463</v>
      </c>
      <c r="E1579" s="4" t="s">
        <v>2847</v>
      </c>
      <c r="F1579" s="127" t="n">
        <v>46891</v>
      </c>
      <c r="G1579" s="127" t="n">
        <v>46904</v>
      </c>
      <c r="H1579" s="127" t="n">
        <v>46289</v>
      </c>
      <c r="I1579" s="4" t="n">
        <v>0</v>
      </c>
      <c r="J1579" s="4" t="n">
        <v>0</v>
      </c>
      <c r="K1579" s="4" t="n">
        <v>0</v>
      </c>
      <c r="M1579" s="2" t="str">
        <f aca="false">IF(C1579="","",IFERROR(INDEX($S$5:$S$304,MATCH(C1579,$R$5:$R$304,0))&amp;"","?"))</f>
        <v>28</v>
      </c>
      <c r="N1579" s="2" t="n">
        <f aca="false">IF(E1579="","",IF(ISNUMBER(SEARCH("SUBSOLO",E1579)),IFERROR(-VALUE(LEFT(E1579,FIND("º",SUBSTITUTE(E1579,"°","º"))-1)),-1),IF(LEFT(E1579,6)="TÉRREO",0,IFERROR(VALUE(LEFT(E1579,FIND("º",SUBSTITUTE(E1579,"°","º"))-1)),""))))</f>
        <v>6</v>
      </c>
      <c r="O1579" s="2" t="str">
        <f aca="false">IF(OR(F1579="",G1579=""),"",IF(G1579&lt;='RETRATO 2027'!$K$5,"CONCLUÍDA",IF(F1579&lt;='RETRATO 2027'!$K$5,"EM ANDAMENTO","A INICIAR")))</f>
        <v>A INICIAR</v>
      </c>
    </row>
    <row r="1580" customFormat="false" ht="15" hidden="false" customHeight="false" outlineLevel="0" collapsed="false">
      <c r="B1580" s="4" t="n">
        <v>30206048</v>
      </c>
      <c r="C1580" s="4" t="s">
        <v>171</v>
      </c>
      <c r="D1580" s="4" t="s">
        <v>463</v>
      </c>
      <c r="E1580" s="4" t="s">
        <v>2848</v>
      </c>
      <c r="F1580" s="127" t="n">
        <v>46891</v>
      </c>
      <c r="G1580" s="127" t="n">
        <v>46904</v>
      </c>
      <c r="H1580" s="127" t="n">
        <v>46289</v>
      </c>
      <c r="I1580" s="4" t="n">
        <v>0</v>
      </c>
      <c r="J1580" s="4" t="n">
        <v>0</v>
      </c>
      <c r="K1580" s="4" t="n">
        <v>0</v>
      </c>
      <c r="M1580" s="2" t="str">
        <f aca="false">IF(C1580="","",IFERROR(INDEX($S$5:$S$304,MATCH(C1580,$R$5:$R$304,0))&amp;"","?"))</f>
        <v>19</v>
      </c>
      <c r="N1580" s="2" t="n">
        <f aca="false">IF(E1580="","",IF(ISNUMBER(SEARCH("SUBSOLO",E1580)),IFERROR(-VALUE(LEFT(E1580,FIND("º",SUBSTITUTE(E1580,"°","º"))-1)),-1),IF(LEFT(E1580,6)="TÉRREO",0,IFERROR(VALUE(LEFT(E1580,FIND("º",SUBSTITUTE(E1580,"°","º"))-1)),""))))</f>
        <v>6</v>
      </c>
      <c r="O1580" s="2" t="str">
        <f aca="false">IF(OR(F1580="",G1580=""),"",IF(G1580&lt;='RETRATO 2027'!$K$5,"CONCLUÍDA",IF(F1580&lt;='RETRATO 2027'!$K$5,"EM ANDAMENTO","A INICIAR")))</f>
        <v>A INICIAR</v>
      </c>
    </row>
    <row r="1581" customFormat="false" ht="15" hidden="false" customHeight="false" outlineLevel="0" collapsed="false">
      <c r="B1581" s="4" t="n">
        <v>30205989</v>
      </c>
      <c r="C1581" s="4" t="s">
        <v>2440</v>
      </c>
      <c r="D1581" s="4" t="s">
        <v>463</v>
      </c>
      <c r="E1581" s="4" t="s">
        <v>2849</v>
      </c>
      <c r="F1581" s="127" t="n">
        <v>46891</v>
      </c>
      <c r="G1581" s="127" t="n">
        <v>46904</v>
      </c>
      <c r="H1581" s="127" t="n">
        <v>46289</v>
      </c>
      <c r="I1581" s="4" t="n">
        <v>0</v>
      </c>
      <c r="J1581" s="4" t="n">
        <v>0</v>
      </c>
      <c r="K1581" s="4" t="n">
        <v>0</v>
      </c>
      <c r="M1581" s="2" t="str">
        <f aca="false">IF(C1581="","",IFERROR(INDEX($S$5:$S$304,MATCH(C1581,$R$5:$R$304,0))&amp;"","?"))</f>
        <v>21</v>
      </c>
      <c r="N1581" s="2" t="n">
        <f aca="false">IF(E1581="","",IF(ISNUMBER(SEARCH("SUBSOLO",E1581)),IFERROR(-VALUE(LEFT(E1581,FIND("º",SUBSTITUTE(E1581,"°","º"))-1)),-1),IF(LEFT(E1581,6)="TÉRREO",0,IFERROR(VALUE(LEFT(E1581,FIND("º",SUBSTITUTE(E1581,"°","º"))-1)),""))))</f>
        <v>6</v>
      </c>
      <c r="O1581" s="2" t="str">
        <f aca="false">IF(OR(F1581="",G1581=""),"",IF(G1581&lt;='RETRATO 2027'!$K$5,"CONCLUÍDA",IF(F1581&lt;='RETRATO 2027'!$K$5,"EM ANDAMENTO","A INICIAR")))</f>
        <v>A INICIAR</v>
      </c>
    </row>
    <row r="1582" customFormat="false" ht="15" hidden="false" customHeight="false" outlineLevel="0" collapsed="false">
      <c r="B1582" s="4" t="n">
        <v>30205951</v>
      </c>
      <c r="C1582" s="4" t="s">
        <v>2437</v>
      </c>
      <c r="D1582" s="4" t="s">
        <v>463</v>
      </c>
      <c r="E1582" s="4" t="s">
        <v>2850</v>
      </c>
      <c r="F1582" s="127" t="n">
        <v>46891</v>
      </c>
      <c r="G1582" s="127" t="n">
        <v>46904</v>
      </c>
      <c r="H1582" s="127" t="n">
        <v>46289</v>
      </c>
      <c r="I1582" s="4" t="n">
        <v>0</v>
      </c>
      <c r="J1582" s="4" t="n">
        <v>0</v>
      </c>
      <c r="K1582" s="4" t="n">
        <v>0</v>
      </c>
      <c r="M1582" s="2" t="str">
        <f aca="false">IF(C1582="","",IFERROR(INDEX($S$5:$S$304,MATCH(C1582,$R$5:$R$304,0))&amp;"","?"))</f>
        <v>29</v>
      </c>
      <c r="N1582" s="2" t="n">
        <f aca="false">IF(E1582="","",IF(ISNUMBER(SEARCH("SUBSOLO",E1582)),IFERROR(-VALUE(LEFT(E1582,FIND("º",SUBSTITUTE(E1582,"°","º"))-1)),-1),IF(LEFT(E1582,6)="TÉRREO",0,IFERROR(VALUE(LEFT(E1582,FIND("º",SUBSTITUTE(E1582,"°","º"))-1)),""))))</f>
        <v>6</v>
      </c>
      <c r="O1582" s="2" t="str">
        <f aca="false">IF(OR(F1582="",G1582=""),"",IF(G1582&lt;='RETRATO 2027'!$K$5,"CONCLUÍDA",IF(F1582&lt;='RETRATO 2027'!$K$5,"EM ANDAMENTO","A INICIAR")))</f>
        <v>A INICIAR</v>
      </c>
    </row>
    <row r="1583" customFormat="false" ht="15" hidden="false" customHeight="false" outlineLevel="0" collapsed="false">
      <c r="B1583" s="4" t="n">
        <v>30205719</v>
      </c>
      <c r="C1583" s="4" t="s">
        <v>2629</v>
      </c>
      <c r="D1583" s="4" t="s">
        <v>463</v>
      </c>
      <c r="E1583" s="4" t="s">
        <v>2740</v>
      </c>
      <c r="F1583" s="127" t="n">
        <v>46892</v>
      </c>
      <c r="G1583" s="127" t="n">
        <v>46905</v>
      </c>
      <c r="H1583" s="127" t="n">
        <v>46289</v>
      </c>
      <c r="I1583" s="4" t="n">
        <v>0</v>
      </c>
      <c r="J1583" s="4" t="n">
        <v>0</v>
      </c>
      <c r="K1583" s="4" t="n">
        <v>0</v>
      </c>
      <c r="M1583" s="2" t="str">
        <f aca="false">IF(C1583="","",IFERROR(INDEX($S$5:$S$304,MATCH(C1583,$R$5:$R$304,0))&amp;"","?"))</f>
        <v>20</v>
      </c>
      <c r="N1583" s="2" t="n">
        <f aca="false">IF(E1583="","",IF(ISNUMBER(SEARCH("SUBSOLO",E1583)),IFERROR(-VALUE(LEFT(E1583,FIND("º",SUBSTITUTE(E1583,"°","º"))-1)),-1),IF(LEFT(E1583,6)="TÉRREO",0,IFERROR(VALUE(LEFT(E1583,FIND("º",SUBSTITUTE(E1583,"°","º"))-1)),""))))</f>
        <v>-1</v>
      </c>
      <c r="O1583" s="2" t="str">
        <f aca="false">IF(OR(F1583="",G1583=""),"",IF(G1583&lt;='RETRATO 2027'!$K$5,"CONCLUÍDA",IF(F1583&lt;='RETRATO 2027'!$K$5,"EM ANDAMENTO","A INICIAR")))</f>
        <v>A INICIAR</v>
      </c>
    </row>
    <row r="1584" customFormat="false" ht="15" hidden="false" customHeight="false" outlineLevel="0" collapsed="false">
      <c r="B1584" s="4" t="n">
        <v>30205718</v>
      </c>
      <c r="C1584" s="4" t="s">
        <v>2653</v>
      </c>
      <c r="D1584" s="4" t="s">
        <v>463</v>
      </c>
      <c r="E1584" s="4" t="s">
        <v>2740</v>
      </c>
      <c r="F1584" s="127" t="n">
        <v>46892</v>
      </c>
      <c r="G1584" s="127" t="n">
        <v>46912</v>
      </c>
      <c r="H1584" s="127" t="n">
        <v>46289</v>
      </c>
      <c r="I1584" s="4" t="n">
        <v>0</v>
      </c>
      <c r="J1584" s="4" t="n">
        <v>0</v>
      </c>
      <c r="K1584" s="4" t="n">
        <v>0</v>
      </c>
      <c r="M1584" s="2" t="str">
        <f aca="false">IF(C1584="","",IFERROR(INDEX($S$5:$S$304,MATCH(C1584,$R$5:$R$304,0))&amp;"","?"))</f>
        <v>31</v>
      </c>
      <c r="N1584" s="2" t="n">
        <f aca="false">IF(E1584="","",IF(ISNUMBER(SEARCH("SUBSOLO",E1584)),IFERROR(-VALUE(LEFT(E1584,FIND("º",SUBSTITUTE(E1584,"°","º"))-1)),-1),IF(LEFT(E1584,6)="TÉRREO",0,IFERROR(VALUE(LEFT(E1584,FIND("º",SUBSTITUTE(E1584,"°","º"))-1)),""))))</f>
        <v>-1</v>
      </c>
      <c r="O1584" s="2" t="str">
        <f aca="false">IF(OR(F1584="",G1584=""),"",IF(G1584&lt;='RETRATO 2027'!$K$5,"CONCLUÍDA",IF(F1584&lt;='RETRATO 2027'!$K$5,"EM ANDAMENTO","A INICIAR")))</f>
        <v>A INICIAR</v>
      </c>
    </row>
    <row r="1585" customFormat="false" ht="15" hidden="false" customHeight="false" outlineLevel="0" collapsed="false">
      <c r="B1585" s="4" t="n">
        <v>30205730</v>
      </c>
      <c r="C1585" s="4" t="s">
        <v>2655</v>
      </c>
      <c r="D1585" s="4" t="s">
        <v>463</v>
      </c>
      <c r="E1585" s="4" t="s">
        <v>2740</v>
      </c>
      <c r="F1585" s="127" t="n">
        <v>46892</v>
      </c>
      <c r="G1585" s="127" t="n">
        <v>46905</v>
      </c>
      <c r="H1585" s="127" t="n">
        <v>46289</v>
      </c>
      <c r="I1585" s="4" t="n">
        <v>0</v>
      </c>
      <c r="J1585" s="4" t="n">
        <v>0</v>
      </c>
      <c r="K1585" s="4" t="n">
        <v>0</v>
      </c>
      <c r="M1585" s="2" t="str">
        <f aca="false">IF(C1585="","",IFERROR(INDEX($S$5:$S$304,MATCH(C1585,$R$5:$R$304,0))&amp;"","?"))</f>
        <v>34</v>
      </c>
      <c r="N1585" s="2" t="n">
        <f aca="false">IF(E1585="","",IF(ISNUMBER(SEARCH("SUBSOLO",E1585)),IFERROR(-VALUE(LEFT(E1585,FIND("º",SUBSTITUTE(E1585,"°","º"))-1)),-1),IF(LEFT(E1585,6)="TÉRREO",0,IFERROR(VALUE(LEFT(E1585,FIND("º",SUBSTITUTE(E1585,"°","º"))-1)),""))))</f>
        <v>-1</v>
      </c>
      <c r="O1585" s="2" t="str">
        <f aca="false">IF(OR(F1585="",G1585=""),"",IF(G1585&lt;='RETRATO 2027'!$K$5,"CONCLUÍDA",IF(F1585&lt;='RETRATO 2027'!$K$5,"EM ANDAMENTO","A INICIAR")))</f>
        <v>A INICIAR</v>
      </c>
    </row>
    <row r="1586" customFormat="false" ht="15" hidden="false" customHeight="false" outlineLevel="0" collapsed="false">
      <c r="B1586" s="4" t="n">
        <v>30205731</v>
      </c>
      <c r="C1586" s="4" t="s">
        <v>2656</v>
      </c>
      <c r="D1586" s="4" t="s">
        <v>463</v>
      </c>
      <c r="E1586" s="4" t="s">
        <v>2740</v>
      </c>
      <c r="F1586" s="127" t="n">
        <v>46892</v>
      </c>
      <c r="G1586" s="127" t="n">
        <v>46905</v>
      </c>
      <c r="H1586" s="127" t="n">
        <v>46289</v>
      </c>
      <c r="I1586" s="4" t="n">
        <v>0</v>
      </c>
      <c r="J1586" s="4" t="n">
        <v>0</v>
      </c>
      <c r="K1586" s="4" t="n">
        <v>0</v>
      </c>
      <c r="M1586" s="2" t="str">
        <f aca="false">IF(C1586="","",IFERROR(INDEX($S$5:$S$304,MATCH(C1586,$R$5:$R$304,0))&amp;"","?"))</f>
        <v>20</v>
      </c>
      <c r="N1586" s="2" t="n">
        <f aca="false">IF(E1586="","",IF(ISNUMBER(SEARCH("SUBSOLO",E1586)),IFERROR(-VALUE(LEFT(E1586,FIND("º",SUBSTITUTE(E1586,"°","º"))-1)),-1),IF(LEFT(E1586,6)="TÉRREO",0,IFERROR(VALUE(LEFT(E1586,FIND("º",SUBSTITUTE(E1586,"°","º"))-1)),""))))</f>
        <v>-1</v>
      </c>
      <c r="O1586" s="2" t="str">
        <f aca="false">IF(OR(F1586="",G1586=""),"",IF(G1586&lt;='RETRATO 2027'!$K$5,"CONCLUÍDA",IF(F1586&lt;='RETRATO 2027'!$K$5,"EM ANDAMENTO","A INICIAR")))</f>
        <v>A INICIAR</v>
      </c>
    </row>
    <row r="1587" customFormat="false" ht="15" hidden="false" customHeight="false" outlineLevel="0" collapsed="false">
      <c r="B1587" s="4" t="n">
        <v>30205734</v>
      </c>
      <c r="C1587" s="4" t="s">
        <v>2581</v>
      </c>
      <c r="D1587" s="4" t="s">
        <v>463</v>
      </c>
      <c r="E1587" s="4" t="s">
        <v>2740</v>
      </c>
      <c r="F1587" s="127" t="n">
        <v>46892</v>
      </c>
      <c r="G1587" s="127" t="n">
        <v>46905</v>
      </c>
      <c r="H1587" s="127" t="n">
        <v>46289</v>
      </c>
      <c r="I1587" s="4" t="n">
        <v>0</v>
      </c>
      <c r="J1587" s="4" t="n">
        <v>0</v>
      </c>
      <c r="K1587" s="4" t="n">
        <v>0</v>
      </c>
      <c r="M1587" s="2" t="str">
        <f aca="false">IF(C1587="","",IFERROR(INDEX($S$5:$S$304,MATCH(C1587,$R$5:$R$304,0))&amp;"","?"))</f>
        <v/>
      </c>
      <c r="N1587" s="2" t="n">
        <f aca="false">IF(E1587="","",IF(ISNUMBER(SEARCH("SUBSOLO",E1587)),IFERROR(-VALUE(LEFT(E1587,FIND("º",SUBSTITUTE(E1587,"°","º"))-1)),-1),IF(LEFT(E1587,6)="TÉRREO",0,IFERROR(VALUE(LEFT(E1587,FIND("º",SUBSTITUTE(E1587,"°","º"))-1)),""))))</f>
        <v>-1</v>
      </c>
      <c r="O1587" s="2" t="str">
        <f aca="false">IF(OR(F1587="",G1587=""),"",IF(G1587&lt;='RETRATO 2027'!$K$5,"CONCLUÍDA",IF(F1587&lt;='RETRATO 2027'!$K$5,"EM ANDAMENTO","A INICIAR")))</f>
        <v>A INICIAR</v>
      </c>
    </row>
    <row r="1588" customFormat="false" ht="15" hidden="false" customHeight="false" outlineLevel="0" collapsed="false">
      <c r="B1588" s="4" t="n">
        <v>29981465</v>
      </c>
      <c r="C1588" s="4" t="s">
        <v>2637</v>
      </c>
      <c r="D1588" s="4" t="s">
        <v>463</v>
      </c>
      <c r="E1588" s="4" t="s">
        <v>2805</v>
      </c>
      <c r="F1588" s="127" t="n">
        <v>46892</v>
      </c>
      <c r="G1588" s="127" t="n">
        <v>46898</v>
      </c>
      <c r="H1588" s="127" t="n">
        <v>46289</v>
      </c>
      <c r="I1588" s="4" t="n">
        <v>0</v>
      </c>
      <c r="J1588" s="4" t="n">
        <v>0</v>
      </c>
      <c r="K1588" s="4" t="n">
        <v>0</v>
      </c>
      <c r="M1588" s="2" t="str">
        <f aca="false">IF(C1588="","",IFERROR(INDEX($S$5:$S$304,MATCH(C1588,$R$5:$R$304,0))&amp;"","?"))</f>
        <v/>
      </c>
      <c r="N1588" s="2" t="n">
        <f aca="false">IF(E1588="","",IF(ISNUMBER(SEARCH("SUBSOLO",E1588)),IFERROR(-VALUE(LEFT(E1588,FIND("º",SUBSTITUTE(E1588,"°","º"))-1)),-1),IF(LEFT(E1588,6)="TÉRREO",0,IFERROR(VALUE(LEFT(E1588,FIND("º",SUBSTITUTE(E1588,"°","º"))-1)),""))))</f>
        <v>9</v>
      </c>
      <c r="O1588" s="2" t="str">
        <f aca="false">IF(OR(F1588="",G1588=""),"",IF(G1588&lt;='RETRATO 2027'!$K$5,"CONCLUÍDA",IF(F1588&lt;='RETRATO 2027'!$K$5,"EM ANDAMENTO","A INICIAR")))</f>
        <v>A INICIAR</v>
      </c>
    </row>
    <row r="1589" customFormat="false" ht="15" hidden="false" customHeight="false" outlineLevel="0" collapsed="false">
      <c r="B1589" s="4" t="n">
        <v>29981430</v>
      </c>
      <c r="C1589" s="4" t="s">
        <v>2629</v>
      </c>
      <c r="D1589" s="4" t="s">
        <v>463</v>
      </c>
      <c r="E1589" s="4" t="s">
        <v>2809</v>
      </c>
      <c r="F1589" s="127" t="n">
        <v>46892</v>
      </c>
      <c r="G1589" s="127" t="n">
        <v>46904</v>
      </c>
      <c r="H1589" s="127" t="n">
        <v>46289</v>
      </c>
      <c r="I1589" s="4" t="n">
        <v>0</v>
      </c>
      <c r="J1589" s="4" t="n">
        <v>0</v>
      </c>
      <c r="K1589" s="4" t="n">
        <v>0</v>
      </c>
      <c r="M1589" s="2" t="str">
        <f aca="false">IF(C1589="","",IFERROR(INDEX($S$5:$S$304,MATCH(C1589,$R$5:$R$304,0))&amp;"","?"))</f>
        <v>20</v>
      </c>
      <c r="N1589" s="2" t="n">
        <f aca="false">IF(E1589="","",IF(ISNUMBER(SEARCH("SUBSOLO",E1589)),IFERROR(-VALUE(LEFT(E1589,FIND("º",SUBSTITUTE(E1589,"°","º"))-1)),-1),IF(LEFT(E1589,6)="TÉRREO",0,IFERROR(VALUE(LEFT(E1589,FIND("º",SUBSTITUTE(E1589,"°","º"))-1)),""))))</f>
        <v>10</v>
      </c>
      <c r="O1589" s="2" t="str">
        <f aca="false">IF(OR(F1589="",G1589=""),"",IF(G1589&lt;='RETRATO 2027'!$K$5,"CONCLUÍDA",IF(F1589&lt;='RETRATO 2027'!$K$5,"EM ANDAMENTO","A INICIAR")))</f>
        <v>A INICIAR</v>
      </c>
    </row>
    <row r="1590" customFormat="false" ht="15" hidden="false" customHeight="false" outlineLevel="0" collapsed="false">
      <c r="B1590" s="4" t="n">
        <v>29981390</v>
      </c>
      <c r="C1590" s="4" t="s">
        <v>2623</v>
      </c>
      <c r="D1590" s="4" t="s">
        <v>463</v>
      </c>
      <c r="E1590" s="4" t="s">
        <v>2810</v>
      </c>
      <c r="F1590" s="127" t="n">
        <v>46892</v>
      </c>
      <c r="G1590" s="127" t="n">
        <v>46904</v>
      </c>
      <c r="H1590" s="127" t="n">
        <v>46289</v>
      </c>
      <c r="I1590" s="4" t="n">
        <v>0</v>
      </c>
      <c r="J1590" s="4" t="n">
        <v>0</v>
      </c>
      <c r="K1590" s="4" t="n">
        <v>0</v>
      </c>
      <c r="M1590" s="2" t="str">
        <f aca="false">IF(C1590="","",IFERROR(INDEX($S$5:$S$304,MATCH(C1590,$R$5:$R$304,0))&amp;"","?"))</f>
        <v>35</v>
      </c>
      <c r="N1590" s="2" t="n">
        <f aca="false">IF(E1590="","",IF(ISNUMBER(SEARCH("SUBSOLO",E1590)),IFERROR(-VALUE(LEFT(E1590,FIND("º",SUBSTITUTE(E1590,"°","º"))-1)),-1),IF(LEFT(E1590,6)="TÉRREO",0,IFERROR(VALUE(LEFT(E1590,FIND("º",SUBSTITUTE(E1590,"°","º"))-1)),""))))</f>
        <v>11</v>
      </c>
      <c r="O1590" s="2" t="str">
        <f aca="false">IF(OR(F1590="",G1590=""),"",IF(G1590&lt;='RETRATO 2027'!$K$5,"CONCLUÍDA",IF(F1590&lt;='RETRATO 2027'!$K$5,"EM ANDAMENTO","A INICIAR")))</f>
        <v>A INICIAR</v>
      </c>
    </row>
    <row r="1591" customFormat="false" ht="15" hidden="false" customHeight="false" outlineLevel="0" collapsed="false">
      <c r="B1591" s="4" t="n">
        <v>33919789</v>
      </c>
      <c r="C1591" s="4" t="s">
        <v>2625</v>
      </c>
      <c r="D1591" s="4" t="s">
        <v>463</v>
      </c>
      <c r="E1591" s="4" t="s">
        <v>2810</v>
      </c>
      <c r="F1591" s="127" t="n">
        <v>46892</v>
      </c>
      <c r="G1591" s="127" t="n">
        <v>46904</v>
      </c>
      <c r="H1591" s="127" t="n">
        <v>46289</v>
      </c>
      <c r="I1591" s="4" t="n">
        <v>0</v>
      </c>
      <c r="J1591" s="4" t="n">
        <v>0</v>
      </c>
      <c r="K1591" s="4" t="n">
        <v>0</v>
      </c>
      <c r="M1591" s="2" t="str">
        <f aca="false">IF(C1591="","",IFERROR(INDEX($S$5:$S$304,MATCH(C1591,$R$5:$R$304,0))&amp;"","?"))</f>
        <v>32</v>
      </c>
      <c r="N1591" s="2" t="n">
        <f aca="false">IF(E1591="","",IF(ISNUMBER(SEARCH("SUBSOLO",E1591)),IFERROR(-VALUE(LEFT(E1591,FIND("º",SUBSTITUTE(E1591,"°","º"))-1)),-1),IF(LEFT(E1591,6)="TÉRREO",0,IFERROR(VALUE(LEFT(E1591,FIND("º",SUBSTITUTE(E1591,"°","º"))-1)),""))))</f>
        <v>11</v>
      </c>
      <c r="O1591" s="2" t="str">
        <f aca="false">IF(OR(F1591="",G1591=""),"",IF(G1591&lt;='RETRATO 2027'!$K$5,"CONCLUÍDA",IF(F1591&lt;='RETRATO 2027'!$K$5,"EM ANDAMENTO","A INICIAR")))</f>
        <v>A INICIAR</v>
      </c>
    </row>
    <row r="1592" customFormat="false" ht="15" hidden="false" customHeight="false" outlineLevel="0" collapsed="false">
      <c r="B1592" s="4" t="n">
        <v>29981352</v>
      </c>
      <c r="C1592" s="4" t="s">
        <v>2615</v>
      </c>
      <c r="D1592" s="4" t="s">
        <v>463</v>
      </c>
      <c r="E1592" s="4" t="s">
        <v>2811</v>
      </c>
      <c r="F1592" s="127" t="n">
        <v>46892</v>
      </c>
      <c r="G1592" s="127" t="n">
        <v>46904</v>
      </c>
      <c r="H1592" s="127" t="n">
        <v>46289</v>
      </c>
      <c r="I1592" s="4" t="n">
        <v>0</v>
      </c>
      <c r="J1592" s="4" t="n">
        <v>0</v>
      </c>
      <c r="K1592" s="4" t="n">
        <v>0</v>
      </c>
      <c r="M1592" s="2" t="str">
        <f aca="false">IF(C1592="","",IFERROR(INDEX($S$5:$S$304,MATCH(C1592,$R$5:$R$304,0))&amp;"","?"))</f>
        <v>37</v>
      </c>
      <c r="N1592" s="2" t="n">
        <f aca="false">IF(E1592="","",IF(ISNUMBER(SEARCH("SUBSOLO",E1592)),IFERROR(-VALUE(LEFT(E1592,FIND("º",SUBSTITUTE(E1592,"°","º"))-1)),-1),IF(LEFT(E1592,6)="TÉRREO",0,IFERROR(VALUE(LEFT(E1592,FIND("º",SUBSTITUTE(E1592,"°","º"))-1)),""))))</f>
        <v>12</v>
      </c>
      <c r="O1592" s="2" t="str">
        <f aca="false">IF(OR(F1592="",G1592=""),"",IF(G1592&lt;='RETRATO 2027'!$K$5,"CONCLUÍDA",IF(F1592&lt;='RETRATO 2027'!$K$5,"EM ANDAMENTO","A INICIAR")))</f>
        <v>A INICIAR</v>
      </c>
    </row>
    <row r="1593" customFormat="false" ht="15" hidden="false" customHeight="false" outlineLevel="0" collapsed="false">
      <c r="B1593" s="4" t="n">
        <v>29981309</v>
      </c>
      <c r="C1593" s="4" t="s">
        <v>2605</v>
      </c>
      <c r="D1593" s="4" t="s">
        <v>463</v>
      </c>
      <c r="E1593" s="4" t="s">
        <v>2812</v>
      </c>
      <c r="F1593" s="127" t="n">
        <v>46892</v>
      </c>
      <c r="G1593" s="127" t="n">
        <v>46904</v>
      </c>
      <c r="H1593" s="127" t="n">
        <v>46289</v>
      </c>
      <c r="I1593" s="4" t="n">
        <v>0</v>
      </c>
      <c r="J1593" s="4" t="n">
        <v>0</v>
      </c>
      <c r="K1593" s="4" t="n">
        <v>0</v>
      </c>
      <c r="M1593" s="2" t="str">
        <f aca="false">IF(C1593="","",IFERROR(INDEX($S$5:$S$304,MATCH(C1593,$R$5:$R$304,0))&amp;"","?"))</f>
        <v>34</v>
      </c>
      <c r="N1593" s="2" t="n">
        <f aca="false">IF(E1593="","",IF(ISNUMBER(SEARCH("SUBSOLO",E1593)),IFERROR(-VALUE(LEFT(E1593,FIND("º",SUBSTITUTE(E1593,"°","º"))-1)),-1),IF(LEFT(E1593,6)="TÉRREO",0,IFERROR(VALUE(LEFT(E1593,FIND("º",SUBSTITUTE(E1593,"°","º"))-1)),""))))</f>
        <v>13</v>
      </c>
      <c r="O1593" s="2" t="str">
        <f aca="false">IF(OR(F1593="",G1593=""),"",IF(G1593&lt;='RETRATO 2027'!$K$5,"CONCLUÍDA",IF(F1593&lt;='RETRATO 2027'!$K$5,"EM ANDAMENTO","A INICIAR")))</f>
        <v>A INICIAR</v>
      </c>
    </row>
    <row r="1594" customFormat="false" ht="15" hidden="false" customHeight="false" outlineLevel="0" collapsed="false">
      <c r="B1594" s="4" t="n">
        <v>29981314</v>
      </c>
      <c r="C1594" s="4" t="s">
        <v>2607</v>
      </c>
      <c r="D1594" s="4" t="s">
        <v>463</v>
      </c>
      <c r="E1594" s="4" t="s">
        <v>2812</v>
      </c>
      <c r="F1594" s="127" t="n">
        <v>46892</v>
      </c>
      <c r="G1594" s="127" t="n">
        <v>46904</v>
      </c>
      <c r="H1594" s="127" t="n">
        <v>46289</v>
      </c>
      <c r="I1594" s="4" t="n">
        <v>0</v>
      </c>
      <c r="J1594" s="4" t="n">
        <v>0</v>
      </c>
      <c r="K1594" s="4" t="n">
        <v>0</v>
      </c>
      <c r="M1594" s="2" t="str">
        <f aca="false">IF(C1594="","",IFERROR(INDEX($S$5:$S$304,MATCH(C1594,$R$5:$R$304,0))&amp;"","?"))</f>
        <v>34</v>
      </c>
      <c r="N1594" s="2" t="n">
        <f aca="false">IF(E1594="","",IF(ISNUMBER(SEARCH("SUBSOLO",E1594)),IFERROR(-VALUE(LEFT(E1594,FIND("º",SUBSTITUTE(E1594,"°","º"))-1)),-1),IF(LEFT(E1594,6)="TÉRREO",0,IFERROR(VALUE(LEFT(E1594,FIND("º",SUBSTITUTE(E1594,"°","º"))-1)),""))))</f>
        <v>13</v>
      </c>
      <c r="O1594" s="2" t="str">
        <f aca="false">IF(OR(F1594="",G1594=""),"",IF(G1594&lt;='RETRATO 2027'!$K$5,"CONCLUÍDA",IF(F1594&lt;='RETRATO 2027'!$K$5,"EM ANDAMENTO","A INICIAR")))</f>
        <v>A INICIAR</v>
      </c>
    </row>
    <row r="1595" customFormat="false" ht="15" hidden="false" customHeight="false" outlineLevel="0" collapsed="false">
      <c r="B1595" s="4" t="n">
        <v>29981313</v>
      </c>
      <c r="C1595" s="4" t="s">
        <v>2563</v>
      </c>
      <c r="D1595" s="4" t="s">
        <v>463</v>
      </c>
      <c r="E1595" s="4" t="s">
        <v>2812</v>
      </c>
      <c r="F1595" s="127" t="n">
        <v>46892</v>
      </c>
      <c r="G1595" s="127" t="n">
        <v>46904</v>
      </c>
      <c r="H1595" s="127" t="n">
        <v>46289</v>
      </c>
      <c r="I1595" s="4" t="n">
        <v>0</v>
      </c>
      <c r="J1595" s="4" t="n">
        <v>0</v>
      </c>
      <c r="K1595" s="4" t="n">
        <v>0</v>
      </c>
      <c r="M1595" s="2" t="str">
        <f aca="false">IF(C1595="","",IFERROR(INDEX($S$5:$S$304,MATCH(C1595,$R$5:$R$304,0))&amp;"","?"))</f>
        <v>20</v>
      </c>
      <c r="N1595" s="2" t="n">
        <f aca="false">IF(E1595="","",IF(ISNUMBER(SEARCH("SUBSOLO",E1595)),IFERROR(-VALUE(LEFT(E1595,FIND("º",SUBSTITUTE(E1595,"°","º"))-1)),-1),IF(LEFT(E1595,6)="TÉRREO",0,IFERROR(VALUE(LEFT(E1595,FIND("º",SUBSTITUTE(E1595,"°","º"))-1)),""))))</f>
        <v>13</v>
      </c>
      <c r="O1595" s="2" t="str">
        <f aca="false">IF(OR(F1595="",G1595=""),"",IF(G1595&lt;='RETRATO 2027'!$K$5,"CONCLUÍDA",IF(F1595&lt;='RETRATO 2027'!$K$5,"EM ANDAMENTO","A INICIAR")))</f>
        <v>A INICIAR</v>
      </c>
    </row>
    <row r="1596" customFormat="false" ht="15" hidden="false" customHeight="false" outlineLevel="0" collapsed="false">
      <c r="B1596" s="4" t="n">
        <v>29981312</v>
      </c>
      <c r="C1596" s="4" t="s">
        <v>2609</v>
      </c>
      <c r="D1596" s="4" t="s">
        <v>463</v>
      </c>
      <c r="E1596" s="4" t="s">
        <v>2812</v>
      </c>
      <c r="F1596" s="127" t="n">
        <v>46892</v>
      </c>
      <c r="G1596" s="127" t="n">
        <v>46904</v>
      </c>
      <c r="H1596" s="127" t="n">
        <v>46289</v>
      </c>
      <c r="I1596" s="4" t="n">
        <v>0</v>
      </c>
      <c r="J1596" s="4" t="n">
        <v>0</v>
      </c>
      <c r="K1596" s="4" t="n">
        <v>0</v>
      </c>
      <c r="M1596" s="2" t="str">
        <f aca="false">IF(C1596="","",IFERROR(INDEX($S$5:$S$304,MATCH(C1596,$R$5:$R$304,0))&amp;"","?"))</f>
        <v>23</v>
      </c>
      <c r="N1596" s="2" t="n">
        <f aca="false">IF(E1596="","",IF(ISNUMBER(SEARCH("SUBSOLO",E1596)),IFERROR(-VALUE(LEFT(E1596,FIND("º",SUBSTITUTE(E1596,"°","º"))-1)),-1),IF(LEFT(E1596,6)="TÉRREO",0,IFERROR(VALUE(LEFT(E1596,FIND("º",SUBSTITUTE(E1596,"°","º"))-1)),""))))</f>
        <v>13</v>
      </c>
      <c r="O1596" s="2" t="str">
        <f aca="false">IF(OR(F1596="",G1596=""),"",IF(G1596&lt;='RETRATO 2027'!$K$5,"CONCLUÍDA",IF(F1596&lt;='RETRATO 2027'!$K$5,"EM ANDAMENTO","A INICIAR")))</f>
        <v>A INICIAR</v>
      </c>
    </row>
    <row r="1597" customFormat="false" ht="15" hidden="false" customHeight="false" outlineLevel="0" collapsed="false">
      <c r="B1597" s="4" t="n">
        <v>29981271</v>
      </c>
      <c r="C1597" s="4" t="s">
        <v>2599</v>
      </c>
      <c r="D1597" s="4" t="s">
        <v>463</v>
      </c>
      <c r="E1597" s="4" t="s">
        <v>2813</v>
      </c>
      <c r="F1597" s="127" t="n">
        <v>46892</v>
      </c>
      <c r="G1597" s="127" t="n">
        <v>46904</v>
      </c>
      <c r="H1597" s="127" t="n">
        <v>46289</v>
      </c>
      <c r="I1597" s="4" t="n">
        <v>0</v>
      </c>
      <c r="J1597" s="4" t="n">
        <v>0</v>
      </c>
      <c r="K1597" s="4" t="n">
        <v>0</v>
      </c>
      <c r="M1597" s="2" t="str">
        <f aca="false">IF(C1597="","",IFERROR(INDEX($S$5:$S$304,MATCH(C1597,$R$5:$R$304,0))&amp;"","?"))</f>
        <v>30</v>
      </c>
      <c r="N1597" s="2" t="n">
        <f aca="false">IF(E1597="","",IF(ISNUMBER(SEARCH("SUBSOLO",E1597)),IFERROR(-VALUE(LEFT(E1597,FIND("º",SUBSTITUTE(E1597,"°","º"))-1)),-1),IF(LEFT(E1597,6)="TÉRREO",0,IFERROR(VALUE(LEFT(E1597,FIND("º",SUBSTITUTE(E1597,"°","º"))-1)),""))))</f>
        <v>14</v>
      </c>
      <c r="O1597" s="2" t="str">
        <f aca="false">IF(OR(F1597="",G1597=""),"",IF(G1597&lt;='RETRATO 2027'!$K$5,"CONCLUÍDA",IF(F1597&lt;='RETRATO 2027'!$K$5,"EM ANDAMENTO","A INICIAR")))</f>
        <v>A INICIAR</v>
      </c>
    </row>
    <row r="1598" customFormat="false" ht="15" hidden="false" customHeight="false" outlineLevel="0" collapsed="false">
      <c r="B1598" s="4" t="n">
        <v>29981233</v>
      </c>
      <c r="C1598" s="4" t="s">
        <v>2578</v>
      </c>
      <c r="D1598" s="4" t="s">
        <v>463</v>
      </c>
      <c r="E1598" s="4" t="s">
        <v>2814</v>
      </c>
      <c r="F1598" s="127" t="n">
        <v>46892</v>
      </c>
      <c r="G1598" s="127" t="n">
        <v>46904</v>
      </c>
      <c r="H1598" s="127" t="n">
        <v>46289</v>
      </c>
      <c r="I1598" s="4" t="n">
        <v>0</v>
      </c>
      <c r="J1598" s="4" t="n">
        <v>0</v>
      </c>
      <c r="K1598" s="4" t="n">
        <v>0</v>
      </c>
      <c r="M1598" s="2" t="str">
        <f aca="false">IF(C1598="","",IFERROR(INDEX($S$5:$S$304,MATCH(C1598,$R$5:$R$304,0))&amp;"","?"))</f>
        <v>25</v>
      </c>
      <c r="N1598" s="2" t="n">
        <f aca="false">IF(E1598="","",IF(ISNUMBER(SEARCH("SUBSOLO",E1598)),IFERROR(-VALUE(LEFT(E1598,FIND("º",SUBSTITUTE(E1598,"°","º"))-1)),-1),IF(LEFT(E1598,6)="TÉRREO",0,IFERROR(VALUE(LEFT(E1598,FIND("º",SUBSTITUTE(E1598,"°","º"))-1)),""))))</f>
        <v>15</v>
      </c>
      <c r="O1598" s="2" t="str">
        <f aca="false">IF(OR(F1598="",G1598=""),"",IF(G1598&lt;='RETRATO 2027'!$K$5,"CONCLUÍDA",IF(F1598&lt;='RETRATO 2027'!$K$5,"EM ANDAMENTO","A INICIAR")))</f>
        <v>A INICIAR</v>
      </c>
    </row>
    <row r="1599" customFormat="false" ht="15" hidden="false" customHeight="false" outlineLevel="0" collapsed="false">
      <c r="B1599" s="4" t="n">
        <v>29981195</v>
      </c>
      <c r="C1599" s="4" t="s">
        <v>2569</v>
      </c>
      <c r="D1599" s="4" t="s">
        <v>463</v>
      </c>
      <c r="E1599" s="4" t="s">
        <v>2815</v>
      </c>
      <c r="F1599" s="127" t="n">
        <v>46892</v>
      </c>
      <c r="G1599" s="127" t="n">
        <v>46904</v>
      </c>
      <c r="H1599" s="127" t="n">
        <v>46289</v>
      </c>
      <c r="I1599" s="4" t="n">
        <v>0</v>
      </c>
      <c r="J1599" s="4" t="n">
        <v>0</v>
      </c>
      <c r="K1599" s="4" t="n">
        <v>0</v>
      </c>
      <c r="M1599" s="2" t="str">
        <f aca="false">IF(C1599="","",IFERROR(INDEX($S$5:$S$304,MATCH(C1599,$R$5:$R$304,0))&amp;"","?"))</f>
        <v>30</v>
      </c>
      <c r="N1599" s="2" t="n">
        <f aca="false">IF(E1599="","",IF(ISNUMBER(SEARCH("SUBSOLO",E1599)),IFERROR(-VALUE(LEFT(E1599,FIND("º",SUBSTITUTE(E1599,"°","º"))-1)),-1),IF(LEFT(E1599,6)="TÉRREO",0,IFERROR(VALUE(LEFT(E1599,FIND("º",SUBSTITUTE(E1599,"°","º"))-1)),""))))</f>
        <v>16</v>
      </c>
      <c r="O1599" s="2" t="str">
        <f aca="false">IF(OR(F1599="",G1599=""),"",IF(G1599&lt;='RETRATO 2027'!$K$5,"CONCLUÍDA",IF(F1599&lt;='RETRATO 2027'!$K$5,"EM ANDAMENTO","A INICIAR")))</f>
        <v>A INICIAR</v>
      </c>
    </row>
    <row r="1600" customFormat="false" ht="15" hidden="false" customHeight="false" outlineLevel="0" collapsed="false">
      <c r="B1600" s="4" t="n">
        <v>29981157</v>
      </c>
      <c r="C1600" s="4" t="s">
        <v>2554</v>
      </c>
      <c r="D1600" s="4" t="s">
        <v>463</v>
      </c>
      <c r="E1600" s="4" t="s">
        <v>2818</v>
      </c>
      <c r="F1600" s="127" t="n">
        <v>46892</v>
      </c>
      <c r="G1600" s="127" t="n">
        <v>46904</v>
      </c>
      <c r="H1600" s="127" t="n">
        <v>46289</v>
      </c>
      <c r="I1600" s="4" t="n">
        <v>0</v>
      </c>
      <c r="J1600" s="4" t="n">
        <v>0</v>
      </c>
      <c r="K1600" s="4" t="n">
        <v>0</v>
      </c>
      <c r="M1600" s="2" t="str">
        <f aca="false">IF(C1600="","",IFERROR(INDEX($S$5:$S$304,MATCH(C1600,$R$5:$R$304,0))&amp;"","?"))</f>
        <v>35</v>
      </c>
      <c r="N1600" s="2" t="n">
        <f aca="false">IF(E1600="","",IF(ISNUMBER(SEARCH("SUBSOLO",E1600)),IFERROR(-VALUE(LEFT(E1600,FIND("º",SUBSTITUTE(E1600,"°","º"))-1)),-1),IF(LEFT(E1600,6)="TÉRREO",0,IFERROR(VALUE(LEFT(E1600,FIND("º",SUBSTITUTE(E1600,"°","º"))-1)),""))))</f>
        <v>17</v>
      </c>
      <c r="O1600" s="2" t="str">
        <f aca="false">IF(OR(F1600="",G1600=""),"",IF(G1600&lt;='RETRATO 2027'!$K$5,"CONCLUÍDA",IF(F1600&lt;='RETRATO 2027'!$K$5,"EM ANDAMENTO","A INICIAR")))</f>
        <v>A INICIAR</v>
      </c>
    </row>
    <row r="1601" customFormat="false" ht="15" hidden="false" customHeight="false" outlineLevel="0" collapsed="false">
      <c r="B1601" s="4" t="n">
        <v>29981146</v>
      </c>
      <c r="C1601" s="4" t="s">
        <v>2539</v>
      </c>
      <c r="D1601" s="4" t="s">
        <v>463</v>
      </c>
      <c r="E1601" s="4" t="s">
        <v>2820</v>
      </c>
      <c r="F1601" s="127" t="n">
        <v>46892</v>
      </c>
      <c r="G1601" s="127" t="n">
        <v>46904</v>
      </c>
      <c r="H1601" s="127" t="n">
        <v>46289</v>
      </c>
      <c r="I1601" s="4" t="n">
        <v>0</v>
      </c>
      <c r="J1601" s="4" t="n">
        <v>0</v>
      </c>
      <c r="K1601" s="4" t="n">
        <v>0</v>
      </c>
      <c r="M1601" s="2" t="str">
        <f aca="false">IF(C1601="","",IFERROR(INDEX($S$5:$S$304,MATCH(C1601,$R$5:$R$304,0))&amp;"","?"))</f>
        <v>35</v>
      </c>
      <c r="N1601" s="2" t="n">
        <f aca="false">IF(E1601="","",IF(ISNUMBER(SEARCH("SUBSOLO",E1601)),IFERROR(-VALUE(LEFT(E1601,FIND("º",SUBSTITUTE(E1601,"°","º"))-1)),-1),IF(LEFT(E1601,6)="TÉRREO",0,IFERROR(VALUE(LEFT(E1601,FIND("º",SUBSTITUTE(E1601,"°","º"))-1)),""))))</f>
        <v>18</v>
      </c>
      <c r="O1601" s="2" t="str">
        <f aca="false">IF(OR(F1601="",G1601=""),"",IF(G1601&lt;='RETRATO 2027'!$K$5,"CONCLUÍDA",IF(F1601&lt;='RETRATO 2027'!$K$5,"EM ANDAMENTO","A INICIAR")))</f>
        <v>A INICIAR</v>
      </c>
    </row>
    <row r="1602" customFormat="false" ht="15" hidden="false" customHeight="false" outlineLevel="0" collapsed="false">
      <c r="B1602" s="4" t="n">
        <v>33898103</v>
      </c>
      <c r="C1602" s="4" t="s">
        <v>2545</v>
      </c>
      <c r="D1602" s="4" t="s">
        <v>463</v>
      </c>
      <c r="E1602" s="4" t="s">
        <v>2823</v>
      </c>
      <c r="F1602" s="127" t="n">
        <v>46892</v>
      </c>
      <c r="G1602" s="127" t="n">
        <v>46904</v>
      </c>
      <c r="H1602" s="127" t="n">
        <v>46289</v>
      </c>
      <c r="I1602" s="4" t="n">
        <v>0</v>
      </c>
      <c r="J1602" s="4" t="n">
        <v>0</v>
      </c>
      <c r="K1602" s="4" t="n">
        <v>0</v>
      </c>
      <c r="M1602" s="2" t="str">
        <f aca="false">IF(C1602="","",IFERROR(INDEX($S$5:$S$304,MATCH(C1602,$R$5:$R$304,0))&amp;"","?"))</f>
        <v>25</v>
      </c>
      <c r="N1602" s="2" t="n">
        <f aca="false">IF(E1602="","",IF(ISNUMBER(SEARCH("SUBSOLO",E1602)),IFERROR(-VALUE(LEFT(E1602,FIND("º",SUBSTITUTE(E1602,"°","º"))-1)),-1),IF(LEFT(E1602,6)="TÉRREO",0,IFERROR(VALUE(LEFT(E1602,FIND("º",SUBSTITUTE(E1602,"°","º"))-1)),""))))</f>
        <v>20</v>
      </c>
      <c r="O1602" s="2" t="str">
        <f aca="false">IF(OR(F1602="",G1602=""),"",IF(G1602&lt;='RETRATO 2027'!$K$5,"CONCLUÍDA",IF(F1602&lt;='RETRATO 2027'!$K$5,"EM ANDAMENTO","A INICIAR")))</f>
        <v>A INICIAR</v>
      </c>
    </row>
    <row r="1603" customFormat="false" ht="15" hidden="false" customHeight="false" outlineLevel="0" collapsed="false">
      <c r="B1603" s="4" t="n">
        <v>30210366</v>
      </c>
      <c r="C1603" s="4" t="s">
        <v>2658</v>
      </c>
      <c r="D1603" s="4" t="s">
        <v>463</v>
      </c>
      <c r="E1603" s="4" t="s">
        <v>186</v>
      </c>
      <c r="F1603" s="127" t="n">
        <v>46892</v>
      </c>
      <c r="G1603" s="127" t="n">
        <v>46939</v>
      </c>
      <c r="H1603" s="127" t="n">
        <v>46289</v>
      </c>
      <c r="I1603" s="4" t="n">
        <v>0</v>
      </c>
      <c r="J1603" s="4" t="n">
        <v>0</v>
      </c>
      <c r="K1603" s="4" t="n">
        <v>0</v>
      </c>
      <c r="M1603" s="2" t="str">
        <f aca="false">IF(C1603="","",IFERROR(INDEX($S$5:$S$304,MATCH(C1603,$R$5:$R$304,0))&amp;"","?"))</f>
        <v>24</v>
      </c>
      <c r="N1603" s="2" t="str">
        <f aca="false"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 t="str">
        <f aca="false">IF(OR(F1603="",G1603=""),"",IF(G1603&lt;='RETRATO 2027'!$K$5,"CONCLUÍDA",IF(F1603&lt;='RETRATO 2027'!$K$5,"EM ANDAMENTO","A INICIAR")))</f>
        <v>A INICIAR</v>
      </c>
    </row>
    <row r="1604" customFormat="false" ht="15" hidden="false" customHeight="false" outlineLevel="0" collapsed="false">
      <c r="B1604" s="4" t="n">
        <v>30205695</v>
      </c>
      <c r="C1604" s="4" t="s">
        <v>2629</v>
      </c>
      <c r="D1604" s="4" t="s">
        <v>463</v>
      </c>
      <c r="E1604" s="4" t="s">
        <v>2819</v>
      </c>
      <c r="F1604" s="127" t="n">
        <v>46895</v>
      </c>
      <c r="G1604" s="127" t="n">
        <v>46906</v>
      </c>
      <c r="H1604" s="127" t="n">
        <v>46289</v>
      </c>
      <c r="I1604" s="4" t="n">
        <v>0</v>
      </c>
      <c r="J1604" s="4" t="n">
        <v>0</v>
      </c>
      <c r="K1604" s="4" t="n">
        <v>0</v>
      </c>
      <c r="M1604" s="2" t="str">
        <f aca="false">IF(C1604="","",IFERROR(INDEX($S$5:$S$304,MATCH(C1604,$R$5:$R$304,0))&amp;"","?"))</f>
        <v>20</v>
      </c>
      <c r="N1604" s="2" t="n">
        <f aca="false">IF(E1604="","",IF(ISNUMBER(SEARCH("SUBSOLO",E1604)),IFERROR(-VALUE(LEFT(E1604,FIND("º",SUBSTITUTE(E1604,"°","º"))-1)),-1),IF(LEFT(E1604,6)="TÉRREO",0,IFERROR(VALUE(LEFT(E1604,FIND("º",SUBSTITUTE(E1604,"°","º"))-1)),""))))</f>
        <v>0</v>
      </c>
      <c r="O1604" s="2" t="str">
        <f aca="false">IF(OR(F1604="",G1604=""),"",IF(G1604&lt;='RETRATO 2027'!$K$5,"CONCLUÍDA",IF(F1604&lt;='RETRATO 2027'!$K$5,"EM ANDAMENTO","A INICIAR")))</f>
        <v>A INICIAR</v>
      </c>
    </row>
    <row r="1605" customFormat="false" ht="15" hidden="false" customHeight="false" outlineLevel="0" collapsed="false">
      <c r="B1605" s="4" t="n">
        <v>30205667</v>
      </c>
      <c r="C1605" s="4" t="s">
        <v>2623</v>
      </c>
      <c r="D1605" s="4" t="s">
        <v>463</v>
      </c>
      <c r="E1605" s="4" t="s">
        <v>2821</v>
      </c>
      <c r="F1605" s="127" t="n">
        <v>46895</v>
      </c>
      <c r="G1605" s="127" t="n">
        <v>46906</v>
      </c>
      <c r="H1605" s="127" t="n">
        <v>46289</v>
      </c>
      <c r="I1605" s="4" t="n">
        <v>0</v>
      </c>
      <c r="J1605" s="4" t="n">
        <v>0</v>
      </c>
      <c r="K1605" s="4" t="n">
        <v>0</v>
      </c>
      <c r="M1605" s="2" t="str">
        <f aca="false">IF(C1605="","",IFERROR(INDEX($S$5:$S$304,MATCH(C1605,$R$5:$R$304,0))&amp;"","?"))</f>
        <v>35</v>
      </c>
      <c r="N1605" s="2" t="n">
        <f aca="false">IF(E1605="","",IF(ISNUMBER(SEARCH("SUBSOLO",E1605)),IFERROR(-VALUE(LEFT(E1605,FIND("º",SUBSTITUTE(E1605,"°","º"))-1)),-1),IF(LEFT(E1605,6)="TÉRREO",0,IFERROR(VALUE(LEFT(E1605,FIND("º",SUBSTITUTE(E1605,"°","º"))-1)),""))))</f>
        <v>0</v>
      </c>
      <c r="O1605" s="2" t="str">
        <f aca="false">IF(OR(F1605="",G1605=""),"",IF(G1605&lt;='RETRATO 2027'!$K$5,"CONCLUÍDA",IF(F1605&lt;='RETRATO 2027'!$K$5,"EM ANDAMENTO","A INICIAR")))</f>
        <v>A INICIAR</v>
      </c>
    </row>
    <row r="1606" customFormat="false" ht="15" hidden="false" customHeight="false" outlineLevel="0" collapsed="false">
      <c r="B1606" s="4" t="n">
        <v>30205653</v>
      </c>
      <c r="C1606" s="4" t="s">
        <v>2615</v>
      </c>
      <c r="D1606" s="4" t="s">
        <v>463</v>
      </c>
      <c r="E1606" s="4" t="s">
        <v>2824</v>
      </c>
      <c r="F1606" s="127" t="n">
        <v>46895</v>
      </c>
      <c r="G1606" s="127" t="n">
        <v>46906</v>
      </c>
      <c r="H1606" s="127" t="n">
        <v>46289</v>
      </c>
      <c r="I1606" s="4" t="n">
        <v>0</v>
      </c>
      <c r="J1606" s="4" t="n">
        <v>0</v>
      </c>
      <c r="K1606" s="4" t="n">
        <v>0</v>
      </c>
      <c r="M1606" s="2" t="str">
        <f aca="false">IF(C1606="","",IFERROR(INDEX($S$5:$S$304,MATCH(C1606,$R$5:$R$304,0))&amp;"","?"))</f>
        <v>37</v>
      </c>
      <c r="N1606" s="2" t="n">
        <f aca="false">IF(E1606="","",IF(ISNUMBER(SEARCH("SUBSOLO",E1606)),IFERROR(-VALUE(LEFT(E1606,FIND("º",SUBSTITUTE(E1606,"°","º"))-1)),-1),IF(LEFT(E1606,6)="TÉRREO",0,IFERROR(VALUE(LEFT(E1606,FIND("º",SUBSTITUTE(E1606,"°","º"))-1)),""))))</f>
        <v>0</v>
      </c>
      <c r="O1606" s="2" t="str">
        <f aca="false">IF(OR(F1606="",G1606=""),"",IF(G1606&lt;='RETRATO 2027'!$K$5,"CONCLUÍDA",IF(F1606&lt;='RETRATO 2027'!$K$5,"EM ANDAMENTO","A INICIAR")))</f>
        <v>A INICIAR</v>
      </c>
    </row>
    <row r="1607" customFormat="false" ht="15" hidden="false" customHeight="false" outlineLevel="0" collapsed="false">
      <c r="B1607" s="4" t="n">
        <v>30171510</v>
      </c>
      <c r="C1607" s="4" t="s">
        <v>2629</v>
      </c>
      <c r="D1607" s="4" t="s">
        <v>463</v>
      </c>
      <c r="E1607" s="4" t="s">
        <v>2817</v>
      </c>
      <c r="F1607" s="127" t="n">
        <v>46895</v>
      </c>
      <c r="G1607" s="127" t="n">
        <v>47176</v>
      </c>
      <c r="H1607" s="127" t="n">
        <v>46289</v>
      </c>
      <c r="I1607" s="4" t="n">
        <v>0</v>
      </c>
      <c r="J1607" s="4" t="n">
        <v>0</v>
      </c>
      <c r="K1607" s="4" t="n">
        <v>0</v>
      </c>
      <c r="M1607" s="2" t="str">
        <f aca="false">IF(C1607="","",IFERROR(INDEX($S$5:$S$304,MATCH(C1607,$R$5:$R$304,0))&amp;"","?"))</f>
        <v>20</v>
      </c>
      <c r="N1607" s="2" t="str">
        <f aca="false"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 t="str">
        <f aca="false">IF(OR(F1607="",G1607=""),"",IF(G1607&lt;='RETRATO 2027'!$K$5,"CONCLUÍDA",IF(F1607&lt;='RETRATO 2027'!$K$5,"EM ANDAMENTO","A INICIAR")))</f>
        <v>A INICIAR</v>
      </c>
    </row>
    <row r="1608" customFormat="false" ht="15" hidden="false" customHeight="false" outlineLevel="0" collapsed="false">
      <c r="B1608" s="4" t="n">
        <v>29980922</v>
      </c>
      <c r="C1608" s="4" t="s">
        <v>216</v>
      </c>
      <c r="D1608" s="4" t="s">
        <v>463</v>
      </c>
      <c r="E1608" s="4" t="s">
        <v>2831</v>
      </c>
      <c r="F1608" s="127" t="n">
        <v>46895</v>
      </c>
      <c r="G1608" s="127" t="n">
        <v>46905</v>
      </c>
      <c r="H1608" s="127" t="n">
        <v>46289</v>
      </c>
      <c r="I1608" s="4" t="n">
        <v>0</v>
      </c>
      <c r="J1608" s="4" t="n">
        <v>0</v>
      </c>
      <c r="K1608" s="4" t="n">
        <v>0</v>
      </c>
      <c r="M1608" s="2" t="str">
        <f aca="false">IF(C1608="","",IFERROR(INDEX($S$5:$S$304,MATCH(C1608,$R$5:$R$304,0))&amp;"","?"))</f>
        <v>33</v>
      </c>
      <c r="N1608" s="2" t="n">
        <f aca="false">IF(E1608="","",IF(ISNUMBER(SEARCH("SUBSOLO",E1608)),IFERROR(-VALUE(LEFT(E1608,FIND("º",SUBSTITUTE(E1608,"°","º"))-1)),-1),IF(LEFT(E1608,6)="TÉRREO",0,IFERROR(VALUE(LEFT(E1608,FIND("º",SUBSTITUTE(E1608,"°","º"))-1)),""))))</f>
        <v>24</v>
      </c>
      <c r="O1608" s="2" t="str">
        <f aca="false">IF(OR(F1608="",G1608=""),"",IF(G1608&lt;='RETRATO 2027'!$K$5,"CONCLUÍDA",IF(F1608&lt;='RETRATO 2027'!$K$5,"EM ANDAMENTO","A INICIAR")))</f>
        <v>A INICIAR</v>
      </c>
    </row>
    <row r="1609" customFormat="false" ht="15" hidden="false" customHeight="false" outlineLevel="0" collapsed="false">
      <c r="B1609" s="4" t="n">
        <v>29980883</v>
      </c>
      <c r="C1609" s="4" t="s">
        <v>2508</v>
      </c>
      <c r="D1609" s="4" t="s">
        <v>463</v>
      </c>
      <c r="E1609" s="4" t="s">
        <v>2833</v>
      </c>
      <c r="F1609" s="127" t="n">
        <v>46895</v>
      </c>
      <c r="G1609" s="127" t="n">
        <v>46905</v>
      </c>
      <c r="H1609" s="127" t="n">
        <v>46289</v>
      </c>
      <c r="I1609" s="4" t="n">
        <v>0</v>
      </c>
      <c r="J1609" s="4" t="n">
        <v>0</v>
      </c>
      <c r="K1609" s="4" t="n">
        <v>0</v>
      </c>
      <c r="M1609" s="2" t="str">
        <f aca="false">IF(C1609="","",IFERROR(INDEX($S$5:$S$304,MATCH(C1609,$R$5:$R$304,0))&amp;"","?"))</f>
        <v>20</v>
      </c>
      <c r="N1609" s="2" t="n">
        <f aca="false">IF(E1609="","",IF(ISNUMBER(SEARCH("SUBSOLO",E1609)),IFERROR(-VALUE(LEFT(E1609,FIND("º",SUBSTITUTE(E1609,"°","º"))-1)),-1),IF(LEFT(E1609,6)="TÉRREO",0,IFERROR(VALUE(LEFT(E1609,FIND("º",SUBSTITUTE(E1609,"°","º"))-1)),""))))</f>
        <v>25</v>
      </c>
      <c r="O1609" s="2" t="str">
        <f aca="false">IF(OR(F1609="",G1609=""),"",IF(G1609&lt;='RETRATO 2027'!$K$5,"CONCLUÍDA",IF(F1609&lt;='RETRATO 2027'!$K$5,"EM ANDAMENTO","A INICIAR")))</f>
        <v>A INICIAR</v>
      </c>
    </row>
    <row r="1610" customFormat="false" ht="15" hidden="false" customHeight="false" outlineLevel="0" collapsed="false">
      <c r="B1610" s="4" t="n">
        <v>29980888</v>
      </c>
      <c r="C1610" s="4" t="s">
        <v>2511</v>
      </c>
      <c r="D1610" s="4" t="s">
        <v>463</v>
      </c>
      <c r="E1610" s="4" t="s">
        <v>2833</v>
      </c>
      <c r="F1610" s="127" t="n">
        <v>46895</v>
      </c>
      <c r="G1610" s="127" t="n">
        <v>46905</v>
      </c>
      <c r="H1610" s="127" t="n">
        <v>46289</v>
      </c>
      <c r="I1610" s="4" t="n">
        <v>0</v>
      </c>
      <c r="J1610" s="4" t="n">
        <v>0</v>
      </c>
      <c r="K1610" s="4" t="n">
        <v>0</v>
      </c>
      <c r="M1610" s="2" t="str">
        <f aca="false">IF(C1610="","",IFERROR(INDEX($S$5:$S$304,MATCH(C1610,$R$5:$R$304,0))&amp;"","?"))</f>
        <v>20</v>
      </c>
      <c r="N1610" s="2" t="n">
        <f aca="false">IF(E1610="","",IF(ISNUMBER(SEARCH("SUBSOLO",E1610)),IFERROR(-VALUE(LEFT(E1610,FIND("º",SUBSTITUTE(E1610,"°","º"))-1)),-1),IF(LEFT(E1610,6)="TÉRREO",0,IFERROR(VALUE(LEFT(E1610,FIND("º",SUBSTITUTE(E1610,"°","º"))-1)),""))))</f>
        <v>25</v>
      </c>
      <c r="O1610" s="2" t="str">
        <f aca="false">IF(OR(F1610="",G1610=""),"",IF(G1610&lt;='RETRATO 2027'!$K$5,"CONCLUÍDA",IF(F1610&lt;='RETRATO 2027'!$K$5,"EM ANDAMENTO","A INICIAR")))</f>
        <v>A INICIAR</v>
      </c>
    </row>
    <row r="1611" customFormat="false" ht="15" hidden="false" customHeight="false" outlineLevel="0" collapsed="false">
      <c r="B1611" s="4" t="n">
        <v>30214087</v>
      </c>
      <c r="C1611" s="4" t="s">
        <v>2514</v>
      </c>
      <c r="D1611" s="4" t="s">
        <v>463</v>
      </c>
      <c r="E1611" s="4" t="s">
        <v>2833</v>
      </c>
      <c r="F1611" s="127" t="n">
        <v>46895</v>
      </c>
      <c r="G1611" s="127" t="n">
        <v>46906</v>
      </c>
      <c r="H1611" s="127" t="n">
        <v>46289</v>
      </c>
      <c r="I1611" s="4" t="n">
        <v>0</v>
      </c>
      <c r="J1611" s="4" t="n">
        <v>0</v>
      </c>
      <c r="K1611" s="4" t="n">
        <v>0</v>
      </c>
      <c r="M1611" s="2" t="str">
        <f aca="false">IF(C1611="","",IFERROR(INDEX($S$5:$S$304,MATCH(C1611,$R$5:$R$304,0))&amp;"","?"))</f>
        <v>20</v>
      </c>
      <c r="N1611" s="2" t="n">
        <f aca="false">IF(E1611="","",IF(ISNUMBER(SEARCH("SUBSOLO",E1611)),IFERROR(-VALUE(LEFT(E1611,FIND("º",SUBSTITUTE(E1611,"°","º"))-1)),-1),IF(LEFT(E1611,6)="TÉRREO",0,IFERROR(VALUE(LEFT(E1611,FIND("º",SUBSTITUTE(E1611,"°","º"))-1)),""))))</f>
        <v>25</v>
      </c>
      <c r="O1611" s="2" t="str">
        <f aca="false">IF(OR(F1611="",G1611=""),"",IF(G1611&lt;='RETRATO 2027'!$K$5,"CONCLUÍDA",IF(F1611&lt;='RETRATO 2027'!$K$5,"EM ANDAMENTO","A INICIAR")))</f>
        <v>A INICIAR</v>
      </c>
    </row>
    <row r="1612" customFormat="false" ht="15" hidden="false" customHeight="false" outlineLevel="0" collapsed="false">
      <c r="B1612" s="4" t="n">
        <v>29980830</v>
      </c>
      <c r="C1612" s="4" t="s">
        <v>2501</v>
      </c>
      <c r="D1612" s="4" t="s">
        <v>463</v>
      </c>
      <c r="E1612" s="4" t="s">
        <v>2834</v>
      </c>
      <c r="F1612" s="127" t="n">
        <v>46895</v>
      </c>
      <c r="G1612" s="127" t="n">
        <v>46905</v>
      </c>
      <c r="H1612" s="127" t="n">
        <v>46289</v>
      </c>
      <c r="I1612" s="4" t="n">
        <v>0</v>
      </c>
      <c r="J1612" s="4" t="n">
        <v>0</v>
      </c>
      <c r="K1612" s="4" t="n">
        <v>0</v>
      </c>
      <c r="M1612" s="2" t="str">
        <f aca="false">IF(C1612="","",IFERROR(INDEX($S$5:$S$304,MATCH(C1612,$R$5:$R$304,0))&amp;"","?"))</f>
        <v>30</v>
      </c>
      <c r="N1612" s="2" t="n">
        <f aca="false">IF(E1612="","",IF(ISNUMBER(SEARCH("SUBSOLO",E1612)),IFERROR(-VALUE(LEFT(E1612,FIND("º",SUBSTITUTE(E1612,"°","º"))-1)),-1),IF(LEFT(E1612,6)="TÉRREO",0,IFERROR(VALUE(LEFT(E1612,FIND("º",SUBSTITUTE(E1612,"°","º"))-1)),""))))</f>
        <v>26</v>
      </c>
      <c r="O1612" s="2" t="str">
        <f aca="false">IF(OR(F1612="",G1612=""),"",IF(G1612&lt;='RETRATO 2027'!$K$5,"CONCLUÍDA",IF(F1612&lt;='RETRATO 2027'!$K$5,"EM ANDAMENTO","A INICIAR")))</f>
        <v>A INICIAR</v>
      </c>
    </row>
    <row r="1613" customFormat="false" ht="15" hidden="false" customHeight="false" outlineLevel="0" collapsed="false">
      <c r="B1613" s="4" t="n">
        <v>29980792</v>
      </c>
      <c r="C1613" s="4" t="s">
        <v>2486</v>
      </c>
      <c r="D1613" s="4" t="s">
        <v>463</v>
      </c>
      <c r="E1613" s="4" t="s">
        <v>2838</v>
      </c>
      <c r="F1613" s="127" t="n">
        <v>46895</v>
      </c>
      <c r="G1613" s="127" t="n">
        <v>46905</v>
      </c>
      <c r="H1613" s="127" t="n">
        <v>46289</v>
      </c>
      <c r="I1613" s="4" t="n">
        <v>0</v>
      </c>
      <c r="J1613" s="4" t="n">
        <v>0</v>
      </c>
      <c r="K1613" s="4" t="n">
        <v>0</v>
      </c>
      <c r="M1613" s="2" t="str">
        <f aca="false">IF(C1613="","",IFERROR(INDEX($S$5:$S$304,MATCH(C1613,$R$5:$R$304,0))&amp;"","?"))</f>
        <v>30</v>
      </c>
      <c r="N1613" s="2" t="n">
        <f aca="false">IF(E1613="","",IF(ISNUMBER(SEARCH("SUBSOLO",E1613)),IFERROR(-VALUE(LEFT(E1613,FIND("º",SUBSTITUTE(E1613,"°","º"))-1)),-1),IF(LEFT(E1613,6)="TÉRREO",0,IFERROR(VALUE(LEFT(E1613,FIND("º",SUBSTITUTE(E1613,"°","º"))-1)),""))))</f>
        <v>27</v>
      </c>
      <c r="O1613" s="2" t="str">
        <f aca="false">IF(OR(F1613="",G1613=""),"",IF(G1613&lt;='RETRATO 2027'!$K$5,"CONCLUÍDA",IF(F1613&lt;='RETRATO 2027'!$K$5,"EM ANDAMENTO","A INICIAR")))</f>
        <v>A INICIAR</v>
      </c>
    </row>
    <row r="1614" customFormat="false" ht="15" hidden="false" customHeight="false" outlineLevel="0" collapsed="false">
      <c r="B1614" s="4" t="n">
        <v>29980771</v>
      </c>
      <c r="C1614" s="4" t="s">
        <v>2480</v>
      </c>
      <c r="D1614" s="4" t="s">
        <v>463</v>
      </c>
      <c r="E1614" s="4" t="s">
        <v>2840</v>
      </c>
      <c r="F1614" s="127" t="n">
        <v>46895</v>
      </c>
      <c r="G1614" s="127" t="n">
        <v>46905</v>
      </c>
      <c r="H1614" s="127" t="n">
        <v>46289</v>
      </c>
      <c r="I1614" s="4" t="n">
        <v>0</v>
      </c>
      <c r="J1614" s="4" t="n">
        <v>0</v>
      </c>
      <c r="K1614" s="4" t="n">
        <v>0</v>
      </c>
      <c r="M1614" s="2" t="str">
        <f aca="false">IF(C1614="","",IFERROR(INDEX($S$5:$S$304,MATCH(C1614,$R$5:$R$304,0))&amp;"","?"))</f>
        <v>30</v>
      </c>
      <c r="N1614" s="2" t="n">
        <f aca="false">IF(E1614="","",IF(ISNUMBER(SEARCH("SUBSOLO",E1614)),IFERROR(-VALUE(LEFT(E1614,FIND("º",SUBSTITUTE(E1614,"°","º"))-1)),-1),IF(LEFT(E1614,6)="TÉRREO",0,IFERROR(VALUE(LEFT(E1614,FIND("º",SUBSTITUTE(E1614,"°","º"))-1)),""))))</f>
        <v>28</v>
      </c>
      <c r="O1614" s="2" t="str">
        <f aca="false">IF(OR(F1614="",G1614=""),"",IF(G1614&lt;='RETRATO 2027'!$K$5,"CONCLUÍDA",IF(F1614&lt;='RETRATO 2027'!$K$5,"EM ANDAMENTO","A INICIAR")))</f>
        <v>A INICIAR</v>
      </c>
    </row>
    <row r="1615" customFormat="false" ht="15" hidden="false" customHeight="false" outlineLevel="0" collapsed="false">
      <c r="B1615" s="4" t="n">
        <v>29980732</v>
      </c>
      <c r="C1615" s="4" t="s">
        <v>171</v>
      </c>
      <c r="D1615" s="4" t="s">
        <v>463</v>
      </c>
      <c r="E1615" s="4" t="s">
        <v>2841</v>
      </c>
      <c r="F1615" s="127" t="n">
        <v>46895</v>
      </c>
      <c r="G1615" s="127" t="n">
        <v>46905</v>
      </c>
      <c r="H1615" s="127" t="n">
        <v>46289</v>
      </c>
      <c r="I1615" s="4" t="n">
        <v>0</v>
      </c>
      <c r="J1615" s="4" t="n">
        <v>0</v>
      </c>
      <c r="K1615" s="4" t="n">
        <v>0</v>
      </c>
      <c r="M1615" s="2" t="str">
        <f aca="false">IF(C1615="","",IFERROR(INDEX($S$5:$S$304,MATCH(C1615,$R$5:$R$304,0))&amp;"","?"))</f>
        <v>19</v>
      </c>
      <c r="N1615" s="2" t="n">
        <f aca="false">IF(E1615="","",IF(ISNUMBER(SEARCH("SUBSOLO",E1615)),IFERROR(-VALUE(LEFT(E1615,FIND("º",SUBSTITUTE(E1615,"°","º"))-1)),-1),IF(LEFT(E1615,6)="TÉRREO",0,IFERROR(VALUE(LEFT(E1615,FIND("º",SUBSTITUTE(E1615,"°","º"))-1)),""))))</f>
        <v>29</v>
      </c>
      <c r="O1615" s="2" t="str">
        <f aca="false">IF(OR(F1615="",G1615=""),"",IF(G1615&lt;='RETRATO 2027'!$K$5,"CONCLUÍDA",IF(F1615&lt;='RETRATO 2027'!$K$5,"EM ANDAMENTO","A INICIAR")))</f>
        <v>A INICIAR</v>
      </c>
    </row>
    <row r="1616" customFormat="false" ht="15" hidden="false" customHeight="false" outlineLevel="0" collapsed="false">
      <c r="B1616" s="4" t="n">
        <v>32750456</v>
      </c>
      <c r="C1616" s="4" t="s">
        <v>2470</v>
      </c>
      <c r="D1616" s="4" t="s">
        <v>463</v>
      </c>
      <c r="E1616" s="4" t="s">
        <v>2842</v>
      </c>
      <c r="F1616" s="127" t="n">
        <v>46895</v>
      </c>
      <c r="G1616" s="127" t="n">
        <v>46905</v>
      </c>
      <c r="H1616" s="127" t="n">
        <v>46289</v>
      </c>
      <c r="I1616" s="4" t="n">
        <v>0</v>
      </c>
      <c r="J1616" s="4" t="n">
        <v>0</v>
      </c>
      <c r="K1616" s="4" t="n">
        <v>0</v>
      </c>
      <c r="M1616" s="2" t="str">
        <f aca="false">IF(C1616="","",IFERROR(INDEX($S$5:$S$304,MATCH(C1616,$R$5:$R$304,0))&amp;"","?"))</f>
        <v>18</v>
      </c>
      <c r="N1616" s="2" t="n">
        <f aca="false">IF(E1616="","",IF(ISNUMBER(SEARCH("SUBSOLO",E1616)),IFERROR(-VALUE(LEFT(E1616,FIND("º",SUBSTITUTE(E1616,"°","º"))-1)),-1),IF(LEFT(E1616,6)="TÉRREO",0,IFERROR(VALUE(LEFT(E1616,FIND("º",SUBSTITUTE(E1616,"°","º"))-1)),""))))</f>
        <v>30</v>
      </c>
      <c r="O1616" s="2" t="str">
        <f aca="false">IF(OR(F1616="",G1616=""),"",IF(G1616&lt;='RETRATO 2027'!$K$5,"CONCLUÍDA",IF(F1616&lt;='RETRATO 2027'!$K$5,"EM ANDAMENTO","A INICIAR")))</f>
        <v>A INICIAR</v>
      </c>
    </row>
    <row r="1617" customFormat="false" ht="15" hidden="false" customHeight="false" outlineLevel="0" collapsed="false">
      <c r="B1617" s="4" t="n">
        <v>32750379</v>
      </c>
      <c r="C1617" s="4" t="s">
        <v>2458</v>
      </c>
      <c r="D1617" s="4" t="s">
        <v>463</v>
      </c>
      <c r="E1617" s="4" t="s">
        <v>2843</v>
      </c>
      <c r="F1617" s="127" t="n">
        <v>46895</v>
      </c>
      <c r="G1617" s="127" t="n">
        <v>46905</v>
      </c>
      <c r="H1617" s="127" t="n">
        <v>46289</v>
      </c>
      <c r="I1617" s="4" t="n">
        <v>0</v>
      </c>
      <c r="J1617" s="4" t="n">
        <v>0</v>
      </c>
      <c r="K1617" s="4" t="n">
        <v>0</v>
      </c>
      <c r="M1617" s="2" t="str">
        <f aca="false">IF(C1617="","",IFERROR(INDEX($S$5:$S$304,MATCH(C1617,$R$5:$R$304,0))&amp;"","?"))</f>
        <v>21</v>
      </c>
      <c r="N1617" s="2" t="n">
        <f aca="false">IF(E1617="","",IF(ISNUMBER(SEARCH("SUBSOLO",E1617)),IFERROR(-VALUE(LEFT(E1617,FIND("º",SUBSTITUTE(E1617,"°","º"))-1)),-1),IF(LEFT(E1617,6)="TÉRREO",0,IFERROR(VALUE(LEFT(E1617,FIND("º",SUBSTITUTE(E1617,"°","º"))-1)),""))))</f>
        <v>31</v>
      </c>
      <c r="O1617" s="2" t="str">
        <f aca="false">IF(OR(F1617="",G1617=""),"",IF(G1617&lt;='RETRATO 2027'!$K$5,"CONCLUÍDA",IF(F1617&lt;='RETRATO 2027'!$K$5,"EM ANDAMENTO","A INICIAR")))</f>
        <v>A INICIAR</v>
      </c>
    </row>
    <row r="1618" customFormat="false" ht="15" hidden="false" customHeight="false" outlineLevel="0" collapsed="false">
      <c r="B1618" s="4" t="n">
        <v>32750405</v>
      </c>
      <c r="C1618" s="4" t="s">
        <v>2461</v>
      </c>
      <c r="D1618" s="4" t="s">
        <v>463</v>
      </c>
      <c r="E1618" s="4" t="s">
        <v>2843</v>
      </c>
      <c r="F1618" s="127" t="n">
        <v>46895</v>
      </c>
      <c r="G1618" s="127" t="n">
        <v>46905</v>
      </c>
      <c r="H1618" s="127" t="n">
        <v>46289</v>
      </c>
      <c r="I1618" s="4" t="n">
        <v>0</v>
      </c>
      <c r="J1618" s="4" t="n">
        <v>0</v>
      </c>
      <c r="K1618" s="4" t="n">
        <v>0</v>
      </c>
      <c r="M1618" s="2" t="str">
        <f aca="false">IF(C1618="","",IFERROR(INDEX($S$5:$S$304,MATCH(C1618,$R$5:$R$304,0))&amp;"","?"))</f>
        <v>20</v>
      </c>
      <c r="N1618" s="2" t="n">
        <f aca="false">IF(E1618="","",IF(ISNUMBER(SEARCH("SUBSOLO",E1618)),IFERROR(-VALUE(LEFT(E1618,FIND("º",SUBSTITUTE(E1618,"°","º"))-1)),-1),IF(LEFT(E1618,6)="TÉRREO",0,IFERROR(VALUE(LEFT(E1618,FIND("º",SUBSTITUTE(E1618,"°","º"))-1)),""))))</f>
        <v>31</v>
      </c>
      <c r="O1618" s="2" t="str">
        <f aca="false">IF(OR(F1618="",G1618=""),"",IF(G1618&lt;='RETRATO 2027'!$K$5,"CONCLUÍDA",IF(F1618&lt;='RETRATO 2027'!$K$5,"EM ANDAMENTO","A INICIAR")))</f>
        <v>A INICIAR</v>
      </c>
    </row>
    <row r="1619" customFormat="false" ht="15" hidden="false" customHeight="false" outlineLevel="0" collapsed="false">
      <c r="B1619" s="4" t="n">
        <v>32750431</v>
      </c>
      <c r="C1619" s="4" t="s">
        <v>2464</v>
      </c>
      <c r="D1619" s="4" t="s">
        <v>463</v>
      </c>
      <c r="E1619" s="4" t="s">
        <v>2843</v>
      </c>
      <c r="F1619" s="127" t="n">
        <v>46895</v>
      </c>
      <c r="G1619" s="127" t="n">
        <v>46905</v>
      </c>
      <c r="H1619" s="127" t="n">
        <v>46289</v>
      </c>
      <c r="I1619" s="4" t="n">
        <v>0</v>
      </c>
      <c r="J1619" s="4" t="n">
        <v>0</v>
      </c>
      <c r="K1619" s="4" t="n">
        <v>0</v>
      </c>
      <c r="M1619" s="2" t="str">
        <f aca="false">IF(C1619="","",IFERROR(INDEX($S$5:$S$304,MATCH(C1619,$R$5:$R$304,0))&amp;"","?"))</f>
        <v>21</v>
      </c>
      <c r="N1619" s="2" t="n">
        <f aca="false">IF(E1619="","",IF(ISNUMBER(SEARCH("SUBSOLO",E1619)),IFERROR(-VALUE(LEFT(E1619,FIND("º",SUBSTITUTE(E1619,"°","º"))-1)),-1),IF(LEFT(E1619,6)="TÉRREO",0,IFERROR(VALUE(LEFT(E1619,FIND("º",SUBSTITUTE(E1619,"°","º"))-1)),""))))</f>
        <v>31</v>
      </c>
      <c r="O1619" s="2" t="str">
        <f aca="false">IF(OR(F1619="",G1619=""),"",IF(G1619&lt;='RETRATO 2027'!$K$5,"CONCLUÍDA",IF(F1619&lt;='RETRATO 2027'!$K$5,"EM ANDAMENTO","A INICIAR")))</f>
        <v>A INICIAR</v>
      </c>
    </row>
    <row r="1620" customFormat="false" ht="15" hidden="false" customHeight="false" outlineLevel="0" collapsed="false">
      <c r="B1620" s="4" t="n">
        <v>33896849</v>
      </c>
      <c r="C1620" s="4" t="s">
        <v>2467</v>
      </c>
      <c r="D1620" s="4" t="s">
        <v>463</v>
      </c>
      <c r="E1620" s="4" t="s">
        <v>2843</v>
      </c>
      <c r="F1620" s="127" t="n">
        <v>46895</v>
      </c>
      <c r="G1620" s="127" t="n">
        <v>46905</v>
      </c>
      <c r="H1620" s="127" t="n">
        <v>46289</v>
      </c>
      <c r="I1620" s="4" t="n">
        <v>0</v>
      </c>
      <c r="J1620" s="4" t="n">
        <v>0</v>
      </c>
      <c r="K1620" s="4" t="n">
        <v>0</v>
      </c>
      <c r="M1620" s="2" t="str">
        <f aca="false">IF(C1620="","",IFERROR(INDEX($S$5:$S$304,MATCH(C1620,$R$5:$R$304,0))&amp;"","?"))</f>
        <v>23</v>
      </c>
      <c r="N1620" s="2" t="n">
        <f aca="false">IF(E1620="","",IF(ISNUMBER(SEARCH("SUBSOLO",E1620)),IFERROR(-VALUE(LEFT(E1620,FIND("º",SUBSTITUTE(E1620,"°","º"))-1)),-1),IF(LEFT(E1620,6)="TÉRREO",0,IFERROR(VALUE(LEFT(E1620,FIND("º",SUBSTITUTE(E1620,"°","º"))-1)),""))))</f>
        <v>31</v>
      </c>
      <c r="O1620" s="2" t="str">
        <f aca="false">IF(OR(F1620="",G1620=""),"",IF(G1620&lt;='RETRATO 2027'!$K$5,"CONCLUÍDA",IF(F1620&lt;='RETRATO 2027'!$K$5,"EM ANDAMENTO","A INICIAR")))</f>
        <v>A INICIAR</v>
      </c>
    </row>
    <row r="1621" customFormat="false" ht="15" hidden="false" customHeight="false" outlineLevel="0" collapsed="false">
      <c r="B1621" s="4" t="n">
        <v>29981082</v>
      </c>
      <c r="C1621" s="4" t="s">
        <v>2434</v>
      </c>
      <c r="D1621" s="4" t="s">
        <v>463</v>
      </c>
      <c r="E1621" s="4" t="s">
        <v>2822</v>
      </c>
      <c r="F1621" s="127" t="n">
        <v>46896</v>
      </c>
      <c r="G1621" s="127" t="n">
        <v>46906</v>
      </c>
      <c r="H1621" s="127" t="n">
        <v>46289</v>
      </c>
      <c r="I1621" s="4" t="n">
        <v>0</v>
      </c>
      <c r="J1621" s="4" t="n">
        <v>0</v>
      </c>
      <c r="K1621" s="4" t="n">
        <v>0</v>
      </c>
      <c r="M1621" s="2" t="str">
        <f aca="false">IF(C1621="","",IFERROR(INDEX($S$5:$S$304,MATCH(C1621,$R$5:$R$304,0))&amp;"","?"))</f>
        <v>25</v>
      </c>
      <c r="N1621" s="2" t="n">
        <f aca="false">IF(E1621="","",IF(ISNUMBER(SEARCH("SUBSOLO",E1621)),IFERROR(-VALUE(LEFT(E1621,FIND("º",SUBSTITUTE(E1621,"°","º"))-1)),-1),IF(LEFT(E1621,6)="TÉRREO",0,IFERROR(VALUE(LEFT(E1621,FIND("º",SUBSTITUTE(E1621,"°","º"))-1)),""))))</f>
        <v>19</v>
      </c>
      <c r="O1621" s="2" t="str">
        <f aca="false">IF(OR(F1621="",G1621=""),"",IF(G1621&lt;='RETRATO 2027'!$K$5,"CONCLUÍDA",IF(F1621&lt;='RETRATO 2027'!$K$5,"EM ANDAMENTO","A INICIAR")))</f>
        <v>A INICIAR</v>
      </c>
    </row>
    <row r="1622" customFormat="false" ht="15" hidden="false" customHeight="false" outlineLevel="0" collapsed="false">
      <c r="B1622" s="4" t="n">
        <v>30205825</v>
      </c>
      <c r="C1622" s="4" t="s">
        <v>2539</v>
      </c>
      <c r="D1622" s="4" t="s">
        <v>463</v>
      </c>
      <c r="E1622" s="4" t="s">
        <v>2839</v>
      </c>
      <c r="F1622" s="127" t="n">
        <v>46897</v>
      </c>
      <c r="G1622" s="127" t="n">
        <v>46910</v>
      </c>
      <c r="H1622" s="127" t="n">
        <v>46289</v>
      </c>
      <c r="I1622" s="4" t="n">
        <v>0</v>
      </c>
      <c r="J1622" s="4" t="n">
        <v>0</v>
      </c>
      <c r="K1622" s="4" t="n">
        <v>0</v>
      </c>
      <c r="M1622" s="2" t="str">
        <f aca="false">IF(C1622="","",IFERROR(INDEX($S$5:$S$304,MATCH(C1622,$R$5:$R$304,0))&amp;"","?"))</f>
        <v>35</v>
      </c>
      <c r="N1622" s="2" t="n">
        <f aca="false">IF(E1622="","",IF(ISNUMBER(SEARCH("SUBSOLO",E1622)),IFERROR(-VALUE(LEFT(E1622,FIND("º",SUBSTITUTE(E1622,"°","º"))-1)),-1),IF(LEFT(E1622,6)="TÉRREO",0,IFERROR(VALUE(LEFT(E1622,FIND("º",SUBSTITUTE(E1622,"°","º"))-1)),""))))</f>
        <v>0</v>
      </c>
      <c r="O1622" s="2" t="str">
        <f aca="false">IF(OR(F1622="",G1622=""),"",IF(G1622&lt;='RETRATO 2027'!$K$5,"CONCLUÍDA",IF(F1622&lt;='RETRATO 2027'!$K$5,"EM ANDAMENTO","A INICIAR")))</f>
        <v>A INICIAR</v>
      </c>
    </row>
    <row r="1623" customFormat="false" ht="15" hidden="false" customHeight="false" outlineLevel="0" collapsed="false">
      <c r="B1623" s="4" t="n">
        <v>29981513</v>
      </c>
      <c r="C1623" s="4" t="s">
        <v>2649</v>
      </c>
      <c r="D1623" s="4" t="s">
        <v>463</v>
      </c>
      <c r="E1623" s="4" t="s">
        <v>2804</v>
      </c>
      <c r="F1623" s="127" t="n">
        <v>46899</v>
      </c>
      <c r="G1623" s="127" t="n">
        <v>46911</v>
      </c>
      <c r="H1623" s="127" t="n">
        <v>46289</v>
      </c>
      <c r="I1623" s="4" t="n">
        <v>0</v>
      </c>
      <c r="J1623" s="4" t="n">
        <v>0</v>
      </c>
      <c r="K1623" s="4" t="n">
        <v>0</v>
      </c>
      <c r="M1623" s="2" t="str">
        <f aca="false">IF(C1623="","",IFERROR(INDEX($S$5:$S$304,MATCH(C1623,$R$5:$R$304,0))&amp;"","?"))</f>
        <v>37</v>
      </c>
      <c r="N1623" s="2" t="n">
        <f aca="false">IF(E1623="","",IF(ISNUMBER(SEARCH("SUBSOLO",E1623)),IFERROR(-VALUE(LEFT(E1623,FIND("º",SUBSTITUTE(E1623,"°","º"))-1)),-1),IF(LEFT(E1623,6)="TÉRREO",0,IFERROR(VALUE(LEFT(E1623,FIND("º",SUBSTITUTE(E1623,"°","º"))-1)),""))))</f>
        <v>8</v>
      </c>
      <c r="O1623" s="2" t="str">
        <f aca="false">IF(OR(F1623="",G1623=""),"",IF(G1623&lt;='RETRATO 2027'!$K$5,"CONCLUÍDA",IF(F1623&lt;='RETRATO 2027'!$K$5,"EM ANDAMENTO","A INICIAR")))</f>
        <v>A INICIAR</v>
      </c>
    </row>
    <row r="1624" customFormat="false" ht="15" hidden="false" customHeight="false" outlineLevel="0" collapsed="false">
      <c r="B1624" s="4" t="n">
        <v>29981466</v>
      </c>
      <c r="C1624" s="4" t="s">
        <v>2641</v>
      </c>
      <c r="D1624" s="4" t="s">
        <v>463</v>
      </c>
      <c r="E1624" s="4" t="s">
        <v>2805</v>
      </c>
      <c r="F1624" s="127" t="n">
        <v>46899</v>
      </c>
      <c r="G1624" s="127" t="n">
        <v>46911</v>
      </c>
      <c r="H1624" s="127" t="n">
        <v>46289</v>
      </c>
      <c r="I1624" s="4" t="n">
        <v>0</v>
      </c>
      <c r="J1624" s="4" t="n">
        <v>0</v>
      </c>
      <c r="K1624" s="4" t="n">
        <v>0</v>
      </c>
      <c r="M1624" s="2" t="str">
        <f aca="false">IF(C1624="","",IFERROR(INDEX($S$5:$S$304,MATCH(C1624,$R$5:$R$304,0))&amp;"","?"))</f>
        <v>35</v>
      </c>
      <c r="N1624" s="2" t="n">
        <f aca="false">IF(E1624="","",IF(ISNUMBER(SEARCH("SUBSOLO",E1624)),IFERROR(-VALUE(LEFT(E1624,FIND("º",SUBSTITUTE(E1624,"°","º"))-1)),-1),IF(LEFT(E1624,6)="TÉRREO",0,IFERROR(VALUE(LEFT(E1624,FIND("º",SUBSTITUTE(E1624,"°","º"))-1)),""))))</f>
        <v>9</v>
      </c>
      <c r="O1624" s="2" t="str">
        <f aca="false">IF(OR(F1624="",G1624=""),"",IF(G1624&lt;='RETRATO 2027'!$K$5,"CONCLUÍDA",IF(F1624&lt;='RETRATO 2027'!$K$5,"EM ANDAMENTO","A INICIAR")))</f>
        <v>A INICIAR</v>
      </c>
    </row>
    <row r="1625" customFormat="false" ht="15" hidden="false" customHeight="false" outlineLevel="0" collapsed="false">
      <c r="B1625" s="4" t="n">
        <v>30211209</v>
      </c>
      <c r="C1625" s="4" t="s">
        <v>194</v>
      </c>
      <c r="D1625" s="4" t="s">
        <v>463</v>
      </c>
      <c r="E1625" s="4" t="s">
        <v>2853</v>
      </c>
      <c r="F1625" s="127" t="n">
        <v>46899</v>
      </c>
      <c r="G1625" s="127" t="n">
        <v>46920</v>
      </c>
      <c r="H1625" s="127" t="n">
        <v>46289</v>
      </c>
      <c r="I1625" s="4" t="n">
        <v>0</v>
      </c>
      <c r="J1625" s="4" t="n">
        <v>0</v>
      </c>
      <c r="K1625" s="4" t="n">
        <v>0</v>
      </c>
      <c r="M1625" s="2" t="str">
        <f aca="false">IF(C1625="","",IFERROR(INDEX($S$5:$S$304,MATCH(C1625,$R$5:$R$304,0))&amp;"","?"))</f>
        <v>26</v>
      </c>
      <c r="N1625" s="2" t="n">
        <f aca="false">IF(E1625="","",IF(ISNUMBER(SEARCH("SUBSOLO",E1625)),IFERROR(-VALUE(LEFT(E1625,FIND("º",SUBSTITUTE(E1625,"°","º"))-1)),-1),IF(LEFT(E1625,6)="TÉRREO",0,IFERROR(VALUE(LEFT(E1625,FIND("º",SUBSTITUTE(E1625,"°","º"))-1)),""))))</f>
        <v>34</v>
      </c>
      <c r="O1625" s="2" t="str">
        <f aca="false">IF(OR(F1625="",G1625=""),"",IF(G1625&lt;='RETRATO 2027'!$K$5,"CONCLUÍDA",IF(F1625&lt;='RETRATO 2027'!$K$5,"EM ANDAMENTO","A INICIAR")))</f>
        <v>A INICIAR</v>
      </c>
    </row>
    <row r="1626" customFormat="false" ht="15" hidden="false" customHeight="false" outlineLevel="0" collapsed="false">
      <c r="B1626" s="4" t="n">
        <v>30205607</v>
      </c>
      <c r="C1626" s="4" t="s">
        <v>2563</v>
      </c>
      <c r="D1626" s="4" t="s">
        <v>463</v>
      </c>
      <c r="E1626" s="4" t="s">
        <v>2826</v>
      </c>
      <c r="F1626" s="127" t="n">
        <v>46902</v>
      </c>
      <c r="G1626" s="127" t="n">
        <v>46906</v>
      </c>
      <c r="H1626" s="127" t="n">
        <v>46289</v>
      </c>
      <c r="I1626" s="4" t="n">
        <v>0</v>
      </c>
      <c r="J1626" s="4" t="n">
        <v>0</v>
      </c>
      <c r="K1626" s="4" t="n">
        <v>0</v>
      </c>
      <c r="M1626" s="2" t="str">
        <f aca="false">IF(C1626="","",IFERROR(INDEX($S$5:$S$304,MATCH(C1626,$R$5:$R$304,0))&amp;"","?"))</f>
        <v>20</v>
      </c>
      <c r="N1626" s="2" t="n">
        <f aca="false">IF(E1626="","",IF(ISNUMBER(SEARCH("SUBSOLO",E1626)),IFERROR(-VALUE(LEFT(E1626,FIND("º",SUBSTITUTE(E1626,"°","º"))-1)),-1),IF(LEFT(E1626,6)="TÉRREO",0,IFERROR(VALUE(LEFT(E1626,FIND("º",SUBSTITUTE(E1626,"°","º"))-1)),""))))</f>
        <v>0</v>
      </c>
      <c r="O1626" s="2" t="str">
        <f aca="false">IF(OR(F1626="",G1626=""),"",IF(G1626&lt;='RETRATO 2027'!$K$5,"CONCLUÍDA",IF(F1626&lt;='RETRATO 2027'!$K$5,"EM ANDAMENTO","A INICIAR")))</f>
        <v>A INICIAR</v>
      </c>
    </row>
    <row r="1627" customFormat="false" ht="15" hidden="false" customHeight="false" outlineLevel="0" collapsed="false">
      <c r="B1627" s="4" t="n">
        <v>30205582</v>
      </c>
      <c r="C1627" s="4" t="s">
        <v>2578</v>
      </c>
      <c r="D1627" s="4" t="s">
        <v>463</v>
      </c>
      <c r="E1627" s="4" t="s">
        <v>2828</v>
      </c>
      <c r="F1627" s="127" t="n">
        <v>46902</v>
      </c>
      <c r="G1627" s="127" t="n">
        <v>46913</v>
      </c>
      <c r="H1627" s="127" t="n">
        <v>46289</v>
      </c>
      <c r="I1627" s="4" t="n">
        <v>0</v>
      </c>
      <c r="J1627" s="4" t="n">
        <v>0</v>
      </c>
      <c r="K1627" s="4" t="n">
        <v>0</v>
      </c>
      <c r="M1627" s="2" t="str">
        <f aca="false">IF(C1627="","",IFERROR(INDEX($S$5:$S$304,MATCH(C1627,$R$5:$R$304,0))&amp;"","?"))</f>
        <v>25</v>
      </c>
      <c r="N1627" s="2" t="n">
        <f aca="false">IF(E1627="","",IF(ISNUMBER(SEARCH("SUBSOLO",E1627)),IFERROR(-VALUE(LEFT(E1627,FIND("º",SUBSTITUTE(E1627,"°","º"))-1)),-1),IF(LEFT(E1627,6)="TÉRREO",0,IFERROR(VALUE(LEFT(E1627,FIND("º",SUBSTITUTE(E1627,"°","º"))-1)),""))))</f>
        <v>0</v>
      </c>
      <c r="O1627" s="2" t="str">
        <f aca="false">IF(OR(F1627="",G1627=""),"",IF(G1627&lt;='RETRATO 2027'!$K$5,"CONCLUÍDA",IF(F1627&lt;='RETRATO 2027'!$K$5,"EM ANDAMENTO","A INICIAR")))</f>
        <v>A INICIAR</v>
      </c>
    </row>
    <row r="1628" customFormat="false" ht="15" hidden="false" customHeight="false" outlineLevel="0" collapsed="false">
      <c r="B1628" s="4" t="n">
        <v>30205581</v>
      </c>
      <c r="C1628" s="4" t="s">
        <v>2605</v>
      </c>
      <c r="D1628" s="4" t="s">
        <v>463</v>
      </c>
      <c r="E1628" s="4" t="s">
        <v>2828</v>
      </c>
      <c r="F1628" s="127" t="n">
        <v>46902</v>
      </c>
      <c r="G1628" s="127" t="n">
        <v>46913</v>
      </c>
      <c r="H1628" s="127" t="n">
        <v>46289</v>
      </c>
      <c r="I1628" s="4" t="n">
        <v>0</v>
      </c>
      <c r="J1628" s="4" t="n">
        <v>0</v>
      </c>
      <c r="K1628" s="4" t="n">
        <v>0</v>
      </c>
      <c r="M1628" s="2" t="str">
        <f aca="false">IF(C1628="","",IFERROR(INDEX($S$5:$S$304,MATCH(C1628,$R$5:$R$304,0))&amp;"","?"))</f>
        <v>34</v>
      </c>
      <c r="N1628" s="2" t="n">
        <f aca="false">IF(E1628="","",IF(ISNUMBER(SEARCH("SUBSOLO",E1628)),IFERROR(-VALUE(LEFT(E1628,FIND("º",SUBSTITUTE(E1628,"°","º"))-1)),-1),IF(LEFT(E1628,6)="TÉRREO",0,IFERROR(VALUE(LEFT(E1628,FIND("º",SUBSTITUTE(E1628,"°","º"))-1)),""))))</f>
        <v>0</v>
      </c>
      <c r="O1628" s="2" t="str">
        <f aca="false">IF(OR(F1628="",G1628=""),"",IF(G1628&lt;='RETRATO 2027'!$K$5,"CONCLUÍDA",IF(F1628&lt;='RETRATO 2027'!$K$5,"EM ANDAMENTO","A INICIAR")))</f>
        <v>A INICIAR</v>
      </c>
    </row>
    <row r="1629" customFormat="false" ht="15" hidden="false" customHeight="false" outlineLevel="0" collapsed="false">
      <c r="B1629" s="4" t="n">
        <v>30205579</v>
      </c>
      <c r="C1629" s="4" t="s">
        <v>2607</v>
      </c>
      <c r="D1629" s="4" t="s">
        <v>463</v>
      </c>
      <c r="E1629" s="4" t="s">
        <v>2828</v>
      </c>
      <c r="F1629" s="127" t="n">
        <v>46902</v>
      </c>
      <c r="G1629" s="127" t="n">
        <v>46913</v>
      </c>
      <c r="H1629" s="127" t="n">
        <v>46289</v>
      </c>
      <c r="I1629" s="4" t="n">
        <v>0</v>
      </c>
      <c r="J1629" s="4" t="n">
        <v>0</v>
      </c>
      <c r="K1629" s="4" t="n">
        <v>0</v>
      </c>
      <c r="M1629" s="2" t="str">
        <f aca="false">IF(C1629="","",IFERROR(INDEX($S$5:$S$304,MATCH(C1629,$R$5:$R$304,0))&amp;"","?"))</f>
        <v>34</v>
      </c>
      <c r="N1629" s="2" t="n">
        <f aca="false">IF(E1629="","",IF(ISNUMBER(SEARCH("SUBSOLO",E1629)),IFERROR(-VALUE(LEFT(E1629,FIND("º",SUBSTITUTE(E1629,"°","º"))-1)),-1),IF(LEFT(E1629,6)="TÉRREO",0,IFERROR(VALUE(LEFT(E1629,FIND("º",SUBSTITUTE(E1629,"°","º"))-1)),""))))</f>
        <v>0</v>
      </c>
      <c r="O1629" s="2" t="str">
        <f aca="false">IF(OR(F1629="",G1629=""),"",IF(G1629&lt;='RETRATO 2027'!$K$5,"CONCLUÍDA",IF(F1629&lt;='RETRATO 2027'!$K$5,"EM ANDAMENTO","A INICIAR")))</f>
        <v>A INICIAR</v>
      </c>
    </row>
    <row r="1630" customFormat="false" ht="15" hidden="false" customHeight="false" outlineLevel="0" collapsed="false">
      <c r="B1630" s="4" t="n">
        <v>30205564</v>
      </c>
      <c r="C1630" s="4" t="s">
        <v>2554</v>
      </c>
      <c r="D1630" s="4" t="s">
        <v>463</v>
      </c>
      <c r="E1630" s="4" t="s">
        <v>2830</v>
      </c>
      <c r="F1630" s="127" t="n">
        <v>46902</v>
      </c>
      <c r="G1630" s="127" t="n">
        <v>46913</v>
      </c>
      <c r="H1630" s="127" t="n">
        <v>46289</v>
      </c>
      <c r="I1630" s="4" t="n">
        <v>0</v>
      </c>
      <c r="J1630" s="4" t="n">
        <v>0</v>
      </c>
      <c r="K1630" s="4" t="n">
        <v>0</v>
      </c>
      <c r="M1630" s="2" t="str">
        <f aca="false">IF(C1630="","",IFERROR(INDEX($S$5:$S$304,MATCH(C1630,$R$5:$R$304,0))&amp;"","?"))</f>
        <v>35</v>
      </c>
      <c r="N1630" s="2" t="n">
        <f aca="false">IF(E1630="","",IF(ISNUMBER(SEARCH("SUBSOLO",E1630)),IFERROR(-VALUE(LEFT(E1630,FIND("º",SUBSTITUTE(E1630,"°","º"))-1)),-1),IF(LEFT(E1630,6)="TÉRREO",0,IFERROR(VALUE(LEFT(E1630,FIND("º",SUBSTITUTE(E1630,"°","º"))-1)),""))))</f>
        <v>0</v>
      </c>
      <c r="O1630" s="2" t="str">
        <f aca="false">IF(OR(F1630="",G1630=""),"",IF(G1630&lt;='RETRATO 2027'!$K$5,"CONCLUÍDA",IF(F1630&lt;='RETRATO 2027'!$K$5,"EM ANDAMENTO","A INICIAR")))</f>
        <v>A INICIAR</v>
      </c>
    </row>
    <row r="1631" customFormat="false" ht="15" hidden="false" customHeight="false" outlineLevel="0" collapsed="false">
      <c r="B1631" s="4" t="n">
        <v>30171414</v>
      </c>
      <c r="C1631" s="4" t="s">
        <v>2563</v>
      </c>
      <c r="D1631" s="4" t="s">
        <v>463</v>
      </c>
      <c r="E1631" s="4" t="s">
        <v>2800</v>
      </c>
      <c r="F1631" s="127" t="n">
        <v>46902</v>
      </c>
      <c r="G1631" s="127" t="n">
        <v>46930</v>
      </c>
      <c r="H1631" s="127" t="n">
        <v>46289</v>
      </c>
      <c r="I1631" s="4" t="n">
        <v>0</v>
      </c>
      <c r="J1631" s="4" t="n">
        <v>0</v>
      </c>
      <c r="K1631" s="4" t="n">
        <v>0</v>
      </c>
      <c r="M1631" s="2" t="str">
        <f aca="false">IF(C1631="","",IFERROR(INDEX($S$5:$S$304,MATCH(C1631,$R$5:$R$304,0))&amp;"","?"))</f>
        <v>20</v>
      </c>
      <c r="N1631" s="2" t="n">
        <f aca="false">IF(E1631="","",IF(ISNUMBER(SEARCH("SUBSOLO",E1631)),IFERROR(-VALUE(LEFT(E1631,FIND("º",SUBSTITUTE(E1631,"°","º"))-1)),-1),IF(LEFT(E1631,6)="TÉRREO",0,IFERROR(VALUE(LEFT(E1631,FIND("º",SUBSTITUTE(E1631,"°","º"))-1)),""))))</f>
        <v>4</v>
      </c>
      <c r="O1631" s="2" t="str">
        <f aca="false">IF(OR(F1631="",G1631=""),"",IF(G1631&lt;='RETRATO 2027'!$K$5,"CONCLUÍDA",IF(F1631&lt;='RETRATO 2027'!$K$5,"EM ANDAMENTO","A INICIAR")))</f>
        <v>A INICIAR</v>
      </c>
    </row>
    <row r="1632" customFormat="false" ht="15" hidden="false" customHeight="false" outlineLevel="0" collapsed="false">
      <c r="B1632" s="4" t="n">
        <v>30171411</v>
      </c>
      <c r="C1632" s="4" t="s">
        <v>2566</v>
      </c>
      <c r="D1632" s="4" t="s">
        <v>463</v>
      </c>
      <c r="E1632" s="4" t="s">
        <v>2800</v>
      </c>
      <c r="F1632" s="127" t="n">
        <v>46902</v>
      </c>
      <c r="G1632" s="127" t="n">
        <v>46930</v>
      </c>
      <c r="H1632" s="127" t="n">
        <v>46289</v>
      </c>
      <c r="I1632" s="4" t="n">
        <v>0</v>
      </c>
      <c r="J1632" s="4" t="n">
        <v>0</v>
      </c>
      <c r="K1632" s="4" t="n">
        <v>0</v>
      </c>
      <c r="M1632" s="2" t="str">
        <f aca="false">IF(C1632="","",IFERROR(INDEX($S$5:$S$304,MATCH(C1632,$R$5:$R$304,0))&amp;"","?"))</f>
        <v>20</v>
      </c>
      <c r="N1632" s="2" t="n">
        <f aca="false">IF(E1632="","",IF(ISNUMBER(SEARCH("SUBSOLO",E1632)),IFERROR(-VALUE(LEFT(E1632,FIND("º",SUBSTITUTE(E1632,"°","º"))-1)),-1),IF(LEFT(E1632,6)="TÉRREO",0,IFERROR(VALUE(LEFT(E1632,FIND("º",SUBSTITUTE(E1632,"°","º"))-1)),""))))</f>
        <v>4</v>
      </c>
      <c r="O1632" s="2" t="str">
        <f aca="false">IF(OR(F1632="",G1632=""),"",IF(G1632&lt;='RETRATO 2027'!$K$5,"CONCLUÍDA",IF(F1632&lt;='RETRATO 2027'!$K$5,"EM ANDAMENTO","A INICIAR")))</f>
        <v>A INICIAR</v>
      </c>
    </row>
    <row r="1633" customFormat="false" ht="15" hidden="false" customHeight="false" outlineLevel="0" collapsed="false">
      <c r="B1633" s="4" t="n">
        <v>30171382</v>
      </c>
      <c r="C1633" s="4" t="s">
        <v>2508</v>
      </c>
      <c r="D1633" s="4" t="s">
        <v>463</v>
      </c>
      <c r="E1633" s="4" t="s">
        <v>2801</v>
      </c>
      <c r="F1633" s="127" t="n">
        <v>46902</v>
      </c>
      <c r="G1633" s="127" t="n">
        <v>46962</v>
      </c>
      <c r="H1633" s="127" t="n">
        <v>46289</v>
      </c>
      <c r="I1633" s="4" t="n">
        <v>0</v>
      </c>
      <c r="J1633" s="4" t="n">
        <v>0</v>
      </c>
      <c r="K1633" s="4" t="n">
        <v>0</v>
      </c>
      <c r="M1633" s="2" t="str">
        <f aca="false">IF(C1633="","",IFERROR(INDEX($S$5:$S$304,MATCH(C1633,$R$5:$R$304,0))&amp;"","?"))</f>
        <v>20</v>
      </c>
      <c r="N1633" s="2" t="n">
        <f aca="false">IF(E1633="","",IF(ISNUMBER(SEARCH("SUBSOLO",E1633)),IFERROR(-VALUE(LEFT(E1633,FIND("º",SUBSTITUTE(E1633,"°","º"))-1)),-1),IF(LEFT(E1633,6)="TÉRREO",0,IFERROR(VALUE(LEFT(E1633,FIND("º",SUBSTITUTE(E1633,"°","º"))-1)),""))))</f>
        <v>5</v>
      </c>
      <c r="O1633" s="2" t="str">
        <f aca="false">IF(OR(F1633="",G1633=""),"",IF(G1633&lt;='RETRATO 2027'!$K$5,"CONCLUÍDA",IF(F1633&lt;='RETRATO 2027'!$K$5,"EM ANDAMENTO","A INICIAR")))</f>
        <v>A INICIAR</v>
      </c>
    </row>
    <row r="1634" customFormat="false" ht="15" hidden="false" customHeight="false" outlineLevel="0" collapsed="false">
      <c r="B1634" s="4" t="n">
        <v>30171401</v>
      </c>
      <c r="C1634" s="4" t="s">
        <v>2511</v>
      </c>
      <c r="D1634" s="4" t="s">
        <v>463</v>
      </c>
      <c r="E1634" s="4" t="s">
        <v>2801</v>
      </c>
      <c r="F1634" s="127" t="n">
        <v>46902</v>
      </c>
      <c r="G1634" s="127" t="n">
        <v>46962</v>
      </c>
      <c r="H1634" s="127" t="n">
        <v>46289</v>
      </c>
      <c r="I1634" s="4" t="n">
        <v>0</v>
      </c>
      <c r="J1634" s="4" t="n">
        <v>0</v>
      </c>
      <c r="K1634" s="4" t="n">
        <v>0</v>
      </c>
      <c r="M1634" s="2" t="str">
        <f aca="false">IF(C1634="","",IFERROR(INDEX($S$5:$S$304,MATCH(C1634,$R$5:$R$304,0))&amp;"","?"))</f>
        <v>20</v>
      </c>
      <c r="N1634" s="2" t="n">
        <f aca="false">IF(E1634="","",IF(ISNUMBER(SEARCH("SUBSOLO",E1634)),IFERROR(-VALUE(LEFT(E1634,FIND("º",SUBSTITUTE(E1634,"°","º"))-1)),-1),IF(LEFT(E1634,6)="TÉRREO",0,IFERROR(VALUE(LEFT(E1634,FIND("º",SUBSTITUTE(E1634,"°","º"))-1)),""))))</f>
        <v>5</v>
      </c>
      <c r="O1634" s="2" t="str">
        <f aca="false">IF(OR(F1634="",G1634=""),"",IF(G1634&lt;='RETRATO 2027'!$K$5,"CONCLUÍDA",IF(F1634&lt;='RETRATO 2027'!$K$5,"EM ANDAMENTO","A INICIAR")))</f>
        <v>A INICIAR</v>
      </c>
    </row>
    <row r="1635" customFormat="false" ht="15" hidden="false" customHeight="false" outlineLevel="0" collapsed="false">
      <c r="B1635" s="4" t="n">
        <v>30171384</v>
      </c>
      <c r="C1635" s="4" t="s">
        <v>2525</v>
      </c>
      <c r="D1635" s="4" t="s">
        <v>463</v>
      </c>
      <c r="E1635" s="4" t="s">
        <v>2801</v>
      </c>
      <c r="F1635" s="127" t="n">
        <v>46902</v>
      </c>
      <c r="G1635" s="127" t="n">
        <v>46930</v>
      </c>
      <c r="H1635" s="127" t="n">
        <v>46289</v>
      </c>
      <c r="I1635" s="4" t="n">
        <v>0</v>
      </c>
      <c r="J1635" s="4" t="n">
        <v>0</v>
      </c>
      <c r="K1635" s="4" t="n">
        <v>0</v>
      </c>
      <c r="M1635" s="2" t="str">
        <f aca="false">IF(C1635="","",IFERROR(INDEX($S$5:$S$304,MATCH(C1635,$R$5:$R$304,0))&amp;"","?"))</f>
        <v>18</v>
      </c>
      <c r="N1635" s="2" t="n">
        <f aca="false">IF(E1635="","",IF(ISNUMBER(SEARCH("SUBSOLO",E1635)),IFERROR(-VALUE(LEFT(E1635,FIND("º",SUBSTITUTE(E1635,"°","º"))-1)),-1),IF(LEFT(E1635,6)="TÉRREO",0,IFERROR(VALUE(LEFT(E1635,FIND("º",SUBSTITUTE(E1635,"°","º"))-1)),""))))</f>
        <v>5</v>
      </c>
      <c r="O1635" s="2" t="str">
        <f aca="false">IF(OR(F1635="",G1635=""),"",IF(G1635&lt;='RETRATO 2027'!$K$5,"CONCLUÍDA",IF(F1635&lt;='RETRATO 2027'!$K$5,"EM ANDAMENTO","A INICIAR")))</f>
        <v>A INICIAR</v>
      </c>
    </row>
    <row r="1636" customFormat="false" ht="15" hidden="false" customHeight="false" outlineLevel="0" collapsed="false">
      <c r="B1636" s="4" t="n">
        <v>30214062</v>
      </c>
      <c r="C1636" s="4" t="s">
        <v>2514</v>
      </c>
      <c r="D1636" s="4" t="s">
        <v>463</v>
      </c>
      <c r="E1636" s="4" t="s">
        <v>2801</v>
      </c>
      <c r="F1636" s="127" t="n">
        <v>46902</v>
      </c>
      <c r="G1636" s="127" t="n">
        <v>46913</v>
      </c>
      <c r="H1636" s="127" t="n">
        <v>46289</v>
      </c>
      <c r="I1636" s="4" t="n">
        <v>0</v>
      </c>
      <c r="J1636" s="4" t="n">
        <v>0</v>
      </c>
      <c r="K1636" s="4" t="n">
        <v>0</v>
      </c>
      <c r="M1636" s="2" t="str">
        <f aca="false">IF(C1636="","",IFERROR(INDEX($S$5:$S$304,MATCH(C1636,$R$5:$R$304,0))&amp;"","?"))</f>
        <v>20</v>
      </c>
      <c r="N1636" s="2" t="n">
        <f aca="false">IF(E1636="","",IF(ISNUMBER(SEARCH("SUBSOLO",E1636)),IFERROR(-VALUE(LEFT(E1636,FIND("º",SUBSTITUTE(E1636,"°","º"))-1)),-1),IF(LEFT(E1636,6)="TÉRREO",0,IFERROR(VALUE(LEFT(E1636,FIND("º",SUBSTITUTE(E1636,"°","º"))-1)),""))))</f>
        <v>5</v>
      </c>
      <c r="O1636" s="2" t="str">
        <f aca="false">IF(OR(F1636="",G1636=""),"",IF(G1636&lt;='RETRATO 2027'!$K$5,"CONCLUÍDA",IF(F1636&lt;='RETRATO 2027'!$K$5,"EM ANDAMENTO","A INICIAR")))</f>
        <v>A INICIAR</v>
      </c>
    </row>
    <row r="1637" customFormat="false" ht="15" hidden="false" customHeight="false" outlineLevel="0" collapsed="false">
      <c r="B1637" s="4" t="n">
        <v>30205856</v>
      </c>
      <c r="C1637" s="4" t="s">
        <v>2539</v>
      </c>
      <c r="D1637" s="4" t="s">
        <v>463</v>
      </c>
      <c r="E1637" s="4" t="s">
        <v>2782</v>
      </c>
      <c r="F1637" s="127" t="n">
        <v>46904</v>
      </c>
      <c r="G1637" s="127" t="n">
        <v>46925</v>
      </c>
      <c r="H1637" s="127" t="n">
        <v>46289</v>
      </c>
      <c r="I1637" s="4" t="n">
        <v>0</v>
      </c>
      <c r="J1637" s="4" t="n">
        <v>0</v>
      </c>
      <c r="K1637" s="4" t="n">
        <v>0</v>
      </c>
      <c r="M1637" s="2" t="str">
        <f aca="false">IF(C1637="","",IFERROR(INDEX($S$5:$S$304,MATCH(C1637,$R$5:$R$304,0))&amp;"","?"))</f>
        <v>35</v>
      </c>
      <c r="N1637" s="2" t="n">
        <f aca="false">IF(E1637="","",IF(ISNUMBER(SEARCH("SUBSOLO",E1637)),IFERROR(-VALUE(LEFT(E1637,FIND("º",SUBSTITUTE(E1637,"°","º"))-1)),-1),IF(LEFT(E1637,6)="TÉRREO",0,IFERROR(VALUE(LEFT(E1637,FIND("º",SUBSTITUTE(E1637,"°","º"))-1)),""))))</f>
        <v>1</v>
      </c>
      <c r="O1637" s="2" t="str">
        <f aca="false">IF(OR(F1637="",G1637=""),"",IF(G1637&lt;='RETRATO 2027'!$K$5,"CONCLUÍDA",IF(F1637&lt;='RETRATO 2027'!$K$5,"EM ANDAMENTO","A INICIAR")))</f>
        <v>A INICIAR</v>
      </c>
    </row>
    <row r="1638" customFormat="false" ht="15" hidden="false" customHeight="false" outlineLevel="0" collapsed="false">
      <c r="B1638" s="4" t="n">
        <v>30171525</v>
      </c>
      <c r="C1638" s="4" t="s">
        <v>2449</v>
      </c>
      <c r="D1638" s="4" t="s">
        <v>463</v>
      </c>
      <c r="E1638" s="4" t="s">
        <v>2857</v>
      </c>
      <c r="F1638" s="127" t="n">
        <v>46904</v>
      </c>
      <c r="G1638" s="127" t="n">
        <v>46917</v>
      </c>
      <c r="H1638" s="127" t="n">
        <v>46289</v>
      </c>
      <c r="I1638" s="4" t="n">
        <v>0</v>
      </c>
      <c r="J1638" s="4" t="n">
        <v>0</v>
      </c>
      <c r="K1638" s="4" t="n">
        <v>0</v>
      </c>
      <c r="M1638" s="2" t="str">
        <f aca="false">IF(C1638="","",IFERROR(INDEX($S$5:$S$304,MATCH(C1638,$R$5:$R$304,0))&amp;"","?"))</f>
        <v>28</v>
      </c>
      <c r="N1638" s="2" t="str">
        <f aca="false"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 t="str">
        <f aca="false">IF(OR(F1638="",G1638=""),"",IF(G1638&lt;='RETRATO 2027'!$K$5,"CONCLUÍDA",IF(F1638&lt;='RETRATO 2027'!$K$5,"EM ANDAMENTO","A INICIAR")))</f>
        <v>A INICIAR</v>
      </c>
    </row>
    <row r="1639" customFormat="false" ht="15" hidden="false" customHeight="false" outlineLevel="0" collapsed="false">
      <c r="B1639" s="4" t="n">
        <v>30171528</v>
      </c>
      <c r="C1639" s="4" t="s">
        <v>2443</v>
      </c>
      <c r="D1639" s="4" t="s">
        <v>463</v>
      </c>
      <c r="E1639" s="4" t="s">
        <v>2857</v>
      </c>
      <c r="F1639" s="127" t="n">
        <v>46904</v>
      </c>
      <c r="G1639" s="127" t="n">
        <v>46934</v>
      </c>
      <c r="H1639" s="127" t="n">
        <v>46289</v>
      </c>
      <c r="I1639" s="4" t="n">
        <v>0</v>
      </c>
      <c r="J1639" s="4" t="n">
        <v>0</v>
      </c>
      <c r="K1639" s="4" t="n">
        <v>0</v>
      </c>
      <c r="M1639" s="2" t="str">
        <f aca="false">IF(C1639="","",IFERROR(INDEX($S$5:$S$304,MATCH(C1639,$R$5:$R$304,0))&amp;"","?"))</f>
        <v>20</v>
      </c>
      <c r="N1639" s="2" t="str">
        <f aca="false"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 t="str">
        <f aca="false">IF(OR(F1639="",G1639=""),"",IF(G1639&lt;='RETRATO 2027'!$K$5,"CONCLUÍDA",IF(F1639&lt;='RETRATO 2027'!$K$5,"EM ANDAMENTO","A INICIAR")))</f>
        <v>A INICIAR</v>
      </c>
    </row>
    <row r="1640" customFormat="false" ht="15" hidden="false" customHeight="false" outlineLevel="0" collapsed="false">
      <c r="B1640" s="4" t="n">
        <v>30208611</v>
      </c>
      <c r="C1640" s="4" t="s">
        <v>2661</v>
      </c>
      <c r="D1640" s="4" t="s">
        <v>463</v>
      </c>
      <c r="E1640" s="4" t="s">
        <v>2851</v>
      </c>
      <c r="F1640" s="127" t="n">
        <v>46904</v>
      </c>
      <c r="G1640" s="127" t="n">
        <v>46966</v>
      </c>
      <c r="H1640" s="127" t="n">
        <v>46289</v>
      </c>
      <c r="I1640" s="4" t="n">
        <v>0</v>
      </c>
      <c r="J1640" s="4" t="n">
        <v>0</v>
      </c>
      <c r="K1640" s="4" t="n">
        <v>0</v>
      </c>
      <c r="M1640" s="2" t="str">
        <f aca="false">IF(C1640="","",IFERROR(INDEX($S$5:$S$304,MATCH(C1640,$R$5:$R$304,0))&amp;"","?"))</f>
        <v>30</v>
      </c>
      <c r="N1640" s="2" t="n">
        <f aca="false">IF(E1640="","",IF(ISNUMBER(SEARCH("SUBSOLO",E1640)),IFERROR(-VALUE(LEFT(E1640,FIND("º",SUBSTITUTE(E1640,"°","º"))-1)),-1),IF(LEFT(E1640,6)="TÉRREO",0,IFERROR(VALUE(LEFT(E1640,FIND("º",SUBSTITUTE(E1640,"°","º"))-1)),""))))</f>
        <v>6</v>
      </c>
      <c r="O1640" s="2" t="str">
        <f aca="false">IF(OR(F1640="",G1640=""),"",IF(G1640&lt;='RETRATO 2027'!$K$5,"CONCLUÍDA",IF(F1640&lt;='RETRATO 2027'!$K$5,"EM ANDAMENTO","A INICIAR")))</f>
        <v>A INICIAR</v>
      </c>
    </row>
    <row r="1641" customFormat="false" ht="15" hidden="false" customHeight="false" outlineLevel="0" collapsed="false">
      <c r="B1641" s="4" t="n">
        <v>30210375</v>
      </c>
      <c r="C1641" s="4" t="s">
        <v>2437</v>
      </c>
      <c r="D1641" s="4" t="s">
        <v>463</v>
      </c>
      <c r="E1641" s="4" t="s">
        <v>2852</v>
      </c>
      <c r="F1641" s="127" t="n">
        <v>46904</v>
      </c>
      <c r="G1641" s="127" t="n">
        <v>46925</v>
      </c>
      <c r="H1641" s="127" t="n">
        <v>46289</v>
      </c>
      <c r="I1641" s="4" t="n">
        <v>0</v>
      </c>
      <c r="J1641" s="4" t="n">
        <v>0</v>
      </c>
      <c r="K1641" s="4" t="n">
        <v>0</v>
      </c>
      <c r="M1641" s="2" t="str">
        <f aca="false">IF(C1641="","",IFERROR(INDEX($S$5:$S$304,MATCH(C1641,$R$5:$R$304,0))&amp;"","?"))</f>
        <v>29</v>
      </c>
      <c r="N1641" s="2" t="n">
        <f aca="false">IF(E1641="","",IF(ISNUMBER(SEARCH("SUBSOLO",E1641)),IFERROR(-VALUE(LEFT(E1641,FIND("º",SUBSTITUTE(E1641,"°","º"))-1)),-1),IF(LEFT(E1641,6)="TÉRREO",0,IFERROR(VALUE(LEFT(E1641,FIND("º",SUBSTITUTE(E1641,"°","º"))-1)),""))))</f>
        <v>33</v>
      </c>
      <c r="O1641" s="2" t="str">
        <f aca="false">IF(OR(F1641="",G1641=""),"",IF(G1641&lt;='RETRATO 2027'!$K$5,"CONCLUÍDA",IF(F1641&lt;='RETRATO 2027'!$K$5,"EM ANDAMENTO","A INICIAR")))</f>
        <v>A INICIAR</v>
      </c>
    </row>
    <row r="1642" customFormat="false" ht="15" hidden="false" customHeight="false" outlineLevel="0" collapsed="false">
      <c r="B1642" s="4" t="n">
        <v>31791439</v>
      </c>
      <c r="C1642" s="4" t="s">
        <v>2664</v>
      </c>
      <c r="D1642" s="4" t="s">
        <v>463</v>
      </c>
      <c r="E1642" s="4" t="s">
        <v>2678</v>
      </c>
      <c r="F1642" s="127" t="n">
        <v>46904</v>
      </c>
      <c r="G1642" s="127" t="n">
        <v>46925</v>
      </c>
      <c r="H1642" s="127" t="n">
        <v>46289</v>
      </c>
      <c r="I1642" s="4" t="n">
        <v>0</v>
      </c>
      <c r="J1642" s="4" t="n">
        <v>0</v>
      </c>
      <c r="K1642" s="4" t="n">
        <v>0</v>
      </c>
      <c r="M1642" s="2" t="str">
        <f aca="false">IF(C1642="","",IFERROR(INDEX($S$5:$S$304,MATCH(C1642,$R$5:$R$304,0))&amp;"","?"))</f>
        <v>32</v>
      </c>
      <c r="N1642" s="2" t="str">
        <f aca="false"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 t="str">
        <f aca="false">IF(OR(F1642="",G1642=""),"",IF(G1642&lt;='RETRATO 2027'!$K$5,"CONCLUÍDA",IF(F1642&lt;='RETRATO 2027'!$K$5,"EM ANDAMENTO","A INICIAR")))</f>
        <v>A INICIAR</v>
      </c>
    </row>
    <row r="1643" customFormat="false" ht="15" hidden="false" customHeight="false" outlineLevel="0" collapsed="false">
      <c r="B1643" s="4" t="n">
        <v>30206125</v>
      </c>
      <c r="C1643" s="4" t="s">
        <v>2508</v>
      </c>
      <c r="D1643" s="4" t="s">
        <v>463</v>
      </c>
      <c r="E1643" s="4" t="s">
        <v>2846</v>
      </c>
      <c r="F1643" s="127" t="n">
        <v>46905</v>
      </c>
      <c r="G1643" s="127" t="n">
        <v>46918</v>
      </c>
      <c r="H1643" s="127" t="n">
        <v>46289</v>
      </c>
      <c r="I1643" s="4" t="n">
        <v>0</v>
      </c>
      <c r="J1643" s="4" t="n">
        <v>0</v>
      </c>
      <c r="K1643" s="4" t="n">
        <v>0</v>
      </c>
      <c r="M1643" s="2" t="str">
        <f aca="false">IF(C1643="","",IFERROR(INDEX($S$5:$S$304,MATCH(C1643,$R$5:$R$304,0))&amp;"","?"))</f>
        <v>20</v>
      </c>
      <c r="N1643" s="2" t="n">
        <f aca="false">IF(E1643="","",IF(ISNUMBER(SEARCH("SUBSOLO",E1643)),IFERROR(-VALUE(LEFT(E1643,FIND("º",SUBSTITUTE(E1643,"°","º"))-1)),-1),IF(LEFT(E1643,6)="TÉRREO",0,IFERROR(VALUE(LEFT(E1643,FIND("º",SUBSTITUTE(E1643,"°","º"))-1)),""))))</f>
        <v>6</v>
      </c>
      <c r="O1643" s="2" t="str">
        <f aca="false">IF(OR(F1643="",G1643=""),"",IF(G1643&lt;='RETRATO 2027'!$K$5,"CONCLUÍDA",IF(F1643&lt;='RETRATO 2027'!$K$5,"EM ANDAMENTO","A INICIAR")))</f>
        <v>A INICIAR</v>
      </c>
    </row>
    <row r="1644" customFormat="false" ht="15" hidden="false" customHeight="false" outlineLevel="0" collapsed="false">
      <c r="B1644" s="4" t="n">
        <v>30214065</v>
      </c>
      <c r="C1644" s="4" t="s">
        <v>2514</v>
      </c>
      <c r="D1644" s="4" t="s">
        <v>463</v>
      </c>
      <c r="E1644" s="4" t="s">
        <v>2846</v>
      </c>
      <c r="F1644" s="127" t="n">
        <v>46905</v>
      </c>
      <c r="G1644" s="127" t="n">
        <v>46918</v>
      </c>
      <c r="H1644" s="127" t="n">
        <v>46289</v>
      </c>
      <c r="I1644" s="4" t="n">
        <v>0</v>
      </c>
      <c r="J1644" s="4" t="n">
        <v>0</v>
      </c>
      <c r="K1644" s="4" t="n">
        <v>0</v>
      </c>
      <c r="M1644" s="2" t="str">
        <f aca="false">IF(C1644="","",IFERROR(INDEX($S$5:$S$304,MATCH(C1644,$R$5:$R$304,0))&amp;"","?"))</f>
        <v>20</v>
      </c>
      <c r="N1644" s="2" t="n">
        <f aca="false">IF(E1644="","",IF(ISNUMBER(SEARCH("SUBSOLO",E1644)),IFERROR(-VALUE(LEFT(E1644,FIND("º",SUBSTITUTE(E1644,"°","º"))-1)),-1),IF(LEFT(E1644,6)="TÉRREO",0,IFERROR(VALUE(LEFT(E1644,FIND("º",SUBSTITUTE(E1644,"°","º"))-1)),""))))</f>
        <v>6</v>
      </c>
      <c r="O1644" s="2" t="str">
        <f aca="false">IF(OR(F1644="",G1644=""),"",IF(G1644&lt;='RETRATO 2027'!$K$5,"CONCLUÍDA",IF(F1644&lt;='RETRATO 2027'!$K$5,"EM ANDAMENTO","A INICIAR")))</f>
        <v>A INICIAR</v>
      </c>
    </row>
    <row r="1645" customFormat="false" ht="15" hidden="false" customHeight="false" outlineLevel="0" collapsed="false">
      <c r="B1645" s="4" t="n">
        <v>30206087</v>
      </c>
      <c r="C1645" s="4" t="s">
        <v>2480</v>
      </c>
      <c r="D1645" s="4" t="s">
        <v>463</v>
      </c>
      <c r="E1645" s="4" t="s">
        <v>2847</v>
      </c>
      <c r="F1645" s="127" t="n">
        <v>46905</v>
      </c>
      <c r="G1645" s="127" t="n">
        <v>46918</v>
      </c>
      <c r="H1645" s="127" t="n">
        <v>46289</v>
      </c>
      <c r="I1645" s="4" t="n">
        <v>0</v>
      </c>
      <c r="J1645" s="4" t="n">
        <v>0</v>
      </c>
      <c r="K1645" s="4" t="n">
        <v>0</v>
      </c>
      <c r="M1645" s="2" t="str">
        <f aca="false">IF(C1645="","",IFERROR(INDEX($S$5:$S$304,MATCH(C1645,$R$5:$R$304,0))&amp;"","?"))</f>
        <v>30</v>
      </c>
      <c r="N1645" s="2" t="n">
        <f aca="false">IF(E1645="","",IF(ISNUMBER(SEARCH("SUBSOLO",E1645)),IFERROR(-VALUE(LEFT(E1645,FIND("º",SUBSTITUTE(E1645,"°","º"))-1)),-1),IF(LEFT(E1645,6)="TÉRREO",0,IFERROR(VALUE(LEFT(E1645,FIND("º",SUBSTITUTE(E1645,"°","º"))-1)),""))))</f>
        <v>6</v>
      </c>
      <c r="O1645" s="2" t="str">
        <f aca="false">IF(OR(F1645="",G1645=""),"",IF(G1645&lt;='RETRATO 2027'!$K$5,"CONCLUÍDA",IF(F1645&lt;='RETRATO 2027'!$K$5,"EM ANDAMENTO","A INICIAR")))</f>
        <v>A INICIAR</v>
      </c>
    </row>
    <row r="1646" customFormat="false" ht="15" hidden="false" customHeight="false" outlineLevel="0" collapsed="false">
      <c r="B1646" s="4" t="n">
        <v>30208616</v>
      </c>
      <c r="C1646" s="4" t="s">
        <v>2667</v>
      </c>
      <c r="D1646" s="4" t="s">
        <v>463</v>
      </c>
      <c r="E1646" s="4" t="s">
        <v>2847</v>
      </c>
      <c r="F1646" s="127" t="n">
        <v>46905</v>
      </c>
      <c r="G1646" s="127" t="n">
        <v>46918</v>
      </c>
      <c r="H1646" s="127" t="n">
        <v>46289</v>
      </c>
      <c r="I1646" s="4" t="n">
        <v>0</v>
      </c>
      <c r="J1646" s="4" t="n">
        <v>0</v>
      </c>
      <c r="K1646" s="4" t="n">
        <v>0</v>
      </c>
      <c r="M1646" s="2" t="str">
        <f aca="false">IF(C1646="","",IFERROR(INDEX($S$5:$S$304,MATCH(C1646,$R$5:$R$304,0))&amp;"","?"))</f>
        <v>23</v>
      </c>
      <c r="N1646" s="2" t="n">
        <f aca="false">IF(E1646="","",IF(ISNUMBER(SEARCH("SUBSOLO",E1646)),IFERROR(-VALUE(LEFT(E1646,FIND("º",SUBSTITUTE(E1646,"°","º"))-1)),-1),IF(LEFT(E1646,6)="TÉRREO",0,IFERROR(VALUE(LEFT(E1646,FIND("º",SUBSTITUTE(E1646,"°","º"))-1)),""))))</f>
        <v>6</v>
      </c>
      <c r="O1646" s="2" t="str">
        <f aca="false">IF(OR(F1646="",G1646=""),"",IF(G1646&lt;='RETRATO 2027'!$K$5,"CONCLUÍDA",IF(F1646&lt;='RETRATO 2027'!$K$5,"EM ANDAMENTO","A INICIAR")))</f>
        <v>A INICIAR</v>
      </c>
    </row>
    <row r="1647" customFormat="false" ht="15" hidden="false" customHeight="false" outlineLevel="0" collapsed="false">
      <c r="B1647" s="4" t="n">
        <v>30206049</v>
      </c>
      <c r="C1647" s="4" t="s">
        <v>2449</v>
      </c>
      <c r="D1647" s="4" t="s">
        <v>463</v>
      </c>
      <c r="E1647" s="4" t="s">
        <v>2848</v>
      </c>
      <c r="F1647" s="127" t="n">
        <v>46905</v>
      </c>
      <c r="G1647" s="127" t="n">
        <v>46918</v>
      </c>
      <c r="H1647" s="127" t="n">
        <v>46289</v>
      </c>
      <c r="I1647" s="4" t="n">
        <v>0</v>
      </c>
      <c r="J1647" s="4" t="n">
        <v>0</v>
      </c>
      <c r="K1647" s="4" t="n">
        <v>0</v>
      </c>
      <c r="M1647" s="2" t="str">
        <f aca="false">IF(C1647="","",IFERROR(INDEX($S$5:$S$304,MATCH(C1647,$R$5:$R$304,0))&amp;"","?"))</f>
        <v>28</v>
      </c>
      <c r="N1647" s="2" t="n">
        <f aca="false">IF(E1647="","",IF(ISNUMBER(SEARCH("SUBSOLO",E1647)),IFERROR(-VALUE(LEFT(E1647,FIND("º",SUBSTITUTE(E1647,"°","º"))-1)),-1),IF(LEFT(E1647,6)="TÉRREO",0,IFERROR(VALUE(LEFT(E1647,FIND("º",SUBSTITUTE(E1647,"°","º"))-1)),""))))</f>
        <v>6</v>
      </c>
      <c r="O1647" s="2" t="str">
        <f aca="false">IF(OR(F1647="",G1647=""),"",IF(G1647&lt;='RETRATO 2027'!$K$5,"CONCLUÍDA",IF(F1647&lt;='RETRATO 2027'!$K$5,"EM ANDAMENTO","A INICIAR")))</f>
        <v>A INICIAR</v>
      </c>
    </row>
    <row r="1648" customFormat="false" ht="15" hidden="false" customHeight="false" outlineLevel="0" collapsed="false">
      <c r="B1648" s="4" t="n">
        <v>30206011</v>
      </c>
      <c r="C1648" s="4" t="s">
        <v>171</v>
      </c>
      <c r="D1648" s="4" t="s">
        <v>463</v>
      </c>
      <c r="E1648" s="4" t="s">
        <v>2849</v>
      </c>
      <c r="F1648" s="127" t="n">
        <v>46905</v>
      </c>
      <c r="G1648" s="127" t="n">
        <v>46918</v>
      </c>
      <c r="H1648" s="127" t="n">
        <v>46289</v>
      </c>
      <c r="I1648" s="4" t="n">
        <v>0</v>
      </c>
      <c r="J1648" s="4" t="n">
        <v>0</v>
      </c>
      <c r="K1648" s="4" t="n">
        <v>0</v>
      </c>
      <c r="M1648" s="2" t="str">
        <f aca="false">IF(C1648="","",IFERROR(INDEX($S$5:$S$304,MATCH(C1648,$R$5:$R$304,0))&amp;"","?"))</f>
        <v>19</v>
      </c>
      <c r="N1648" s="2" t="n">
        <f aca="false">IF(E1648="","",IF(ISNUMBER(SEARCH("SUBSOLO",E1648)),IFERROR(-VALUE(LEFT(E1648,FIND("º",SUBSTITUTE(E1648,"°","º"))-1)),-1),IF(LEFT(E1648,6)="TÉRREO",0,IFERROR(VALUE(LEFT(E1648,FIND("º",SUBSTITUTE(E1648,"°","º"))-1)),""))))</f>
        <v>6</v>
      </c>
      <c r="O1648" s="2" t="str">
        <f aca="false">IF(OR(F1648="",G1648=""),"",IF(G1648&lt;='RETRATO 2027'!$K$5,"CONCLUÍDA",IF(F1648&lt;='RETRATO 2027'!$K$5,"EM ANDAMENTO","A INICIAR")))</f>
        <v>A INICIAR</v>
      </c>
    </row>
    <row r="1649" customFormat="false" ht="15" hidden="false" customHeight="false" outlineLevel="0" collapsed="false">
      <c r="B1649" s="4" t="n">
        <v>30205952</v>
      </c>
      <c r="C1649" s="4" t="s">
        <v>2440</v>
      </c>
      <c r="D1649" s="4" t="s">
        <v>463</v>
      </c>
      <c r="E1649" s="4" t="s">
        <v>2850</v>
      </c>
      <c r="F1649" s="127" t="n">
        <v>46905</v>
      </c>
      <c r="G1649" s="127" t="n">
        <v>46918</v>
      </c>
      <c r="H1649" s="127" t="n">
        <v>46289</v>
      </c>
      <c r="I1649" s="4" t="n">
        <v>0</v>
      </c>
      <c r="J1649" s="4" t="n">
        <v>0</v>
      </c>
      <c r="K1649" s="4" t="n">
        <v>0</v>
      </c>
      <c r="M1649" s="2" t="str">
        <f aca="false">IF(C1649="","",IFERROR(INDEX($S$5:$S$304,MATCH(C1649,$R$5:$R$304,0))&amp;"","?"))</f>
        <v>21</v>
      </c>
      <c r="N1649" s="2" t="n">
        <f aca="false">IF(E1649="","",IF(ISNUMBER(SEARCH("SUBSOLO",E1649)),IFERROR(-VALUE(LEFT(E1649,FIND("º",SUBSTITUTE(E1649,"°","º"))-1)),-1),IF(LEFT(E1649,6)="TÉRREO",0,IFERROR(VALUE(LEFT(E1649,FIND("º",SUBSTITUTE(E1649,"°","º"))-1)),""))))</f>
        <v>6</v>
      </c>
      <c r="O1649" s="2" t="str">
        <f aca="false">IF(OR(F1649="",G1649=""),"",IF(G1649&lt;='RETRATO 2027'!$K$5,"CONCLUÍDA",IF(F1649&lt;='RETRATO 2027'!$K$5,"EM ANDAMENTO","A INICIAR")))</f>
        <v>A INICIAR</v>
      </c>
    </row>
    <row r="1650" customFormat="false" ht="15" hidden="false" customHeight="false" outlineLevel="0" collapsed="false">
      <c r="B1650" s="4" t="n">
        <v>29981428</v>
      </c>
      <c r="C1650" s="4" t="s">
        <v>2637</v>
      </c>
      <c r="D1650" s="4" t="s">
        <v>463</v>
      </c>
      <c r="E1650" s="4" t="s">
        <v>2809</v>
      </c>
      <c r="F1650" s="127" t="n">
        <v>46905</v>
      </c>
      <c r="G1650" s="127" t="n">
        <v>46911</v>
      </c>
      <c r="H1650" s="127" t="n">
        <v>46289</v>
      </c>
      <c r="I1650" s="4" t="n">
        <v>0</v>
      </c>
      <c r="J1650" s="4" t="n">
        <v>0</v>
      </c>
      <c r="K1650" s="4" t="n">
        <v>0</v>
      </c>
      <c r="M1650" s="2" t="str">
        <f aca="false">IF(C1650="","",IFERROR(INDEX($S$5:$S$304,MATCH(C1650,$R$5:$R$304,0))&amp;"","?"))</f>
        <v/>
      </c>
      <c r="N1650" s="2" t="n">
        <f aca="false">IF(E1650="","",IF(ISNUMBER(SEARCH("SUBSOLO",E1650)),IFERROR(-VALUE(LEFT(E1650,FIND("º",SUBSTITUTE(E1650,"°","º"))-1)),-1),IF(LEFT(E1650,6)="TÉRREO",0,IFERROR(VALUE(LEFT(E1650,FIND("º",SUBSTITUTE(E1650,"°","º"))-1)),""))))</f>
        <v>10</v>
      </c>
      <c r="O1650" s="2" t="str">
        <f aca="false">IF(OR(F1650="",G1650=""),"",IF(G1650&lt;='RETRATO 2027'!$K$5,"CONCLUÍDA",IF(F1650&lt;='RETRATO 2027'!$K$5,"EM ANDAMENTO","A INICIAR")))</f>
        <v>A INICIAR</v>
      </c>
    </row>
    <row r="1651" customFormat="false" ht="15" hidden="false" customHeight="false" outlineLevel="0" collapsed="false">
      <c r="B1651" s="4" t="n">
        <v>29981393</v>
      </c>
      <c r="C1651" s="4" t="s">
        <v>2629</v>
      </c>
      <c r="D1651" s="4" t="s">
        <v>463</v>
      </c>
      <c r="E1651" s="4" t="s">
        <v>2810</v>
      </c>
      <c r="F1651" s="127" t="n">
        <v>46905</v>
      </c>
      <c r="G1651" s="127" t="n">
        <v>46917</v>
      </c>
      <c r="H1651" s="127" t="n">
        <v>46289</v>
      </c>
      <c r="I1651" s="4" t="n">
        <v>0</v>
      </c>
      <c r="J1651" s="4" t="n">
        <v>0</v>
      </c>
      <c r="K1651" s="4" t="n">
        <v>0</v>
      </c>
      <c r="M1651" s="2" t="str">
        <f aca="false">IF(C1651="","",IFERROR(INDEX($S$5:$S$304,MATCH(C1651,$R$5:$R$304,0))&amp;"","?"))</f>
        <v>20</v>
      </c>
      <c r="N1651" s="2" t="n">
        <f aca="false">IF(E1651="","",IF(ISNUMBER(SEARCH("SUBSOLO",E1651)),IFERROR(-VALUE(LEFT(E1651,FIND("º",SUBSTITUTE(E1651,"°","º"))-1)),-1),IF(LEFT(E1651,6)="TÉRREO",0,IFERROR(VALUE(LEFT(E1651,FIND("º",SUBSTITUTE(E1651,"°","º"))-1)),""))))</f>
        <v>11</v>
      </c>
      <c r="O1651" s="2" t="str">
        <f aca="false">IF(OR(F1651="",G1651=""),"",IF(G1651&lt;='RETRATO 2027'!$K$5,"CONCLUÍDA",IF(F1651&lt;='RETRATO 2027'!$K$5,"EM ANDAMENTO","A INICIAR")))</f>
        <v>A INICIAR</v>
      </c>
    </row>
    <row r="1652" customFormat="false" ht="15" hidden="false" customHeight="false" outlineLevel="0" collapsed="false">
      <c r="B1652" s="4" t="n">
        <v>29981353</v>
      </c>
      <c r="C1652" s="4" t="s">
        <v>2623</v>
      </c>
      <c r="D1652" s="4" t="s">
        <v>463</v>
      </c>
      <c r="E1652" s="4" t="s">
        <v>2811</v>
      </c>
      <c r="F1652" s="127" t="n">
        <v>46905</v>
      </c>
      <c r="G1652" s="127" t="n">
        <v>46917</v>
      </c>
      <c r="H1652" s="127" t="n">
        <v>46289</v>
      </c>
      <c r="I1652" s="4" t="n">
        <v>0</v>
      </c>
      <c r="J1652" s="4" t="n">
        <v>0</v>
      </c>
      <c r="K1652" s="4" t="n">
        <v>0</v>
      </c>
      <c r="M1652" s="2" t="str">
        <f aca="false">IF(C1652="","",IFERROR(INDEX($S$5:$S$304,MATCH(C1652,$R$5:$R$304,0))&amp;"","?"))</f>
        <v>35</v>
      </c>
      <c r="N1652" s="2" t="n">
        <f aca="false">IF(E1652="","",IF(ISNUMBER(SEARCH("SUBSOLO",E1652)),IFERROR(-VALUE(LEFT(E1652,FIND("º",SUBSTITUTE(E1652,"°","º"))-1)),-1),IF(LEFT(E1652,6)="TÉRREO",0,IFERROR(VALUE(LEFT(E1652,FIND("º",SUBSTITUTE(E1652,"°","º"))-1)),""))))</f>
        <v>12</v>
      </c>
      <c r="O1652" s="2" t="str">
        <f aca="false">IF(OR(F1652="",G1652=""),"",IF(G1652&lt;='RETRATO 2027'!$K$5,"CONCLUÍDA",IF(F1652&lt;='RETRATO 2027'!$K$5,"EM ANDAMENTO","A INICIAR")))</f>
        <v>A INICIAR</v>
      </c>
    </row>
    <row r="1653" customFormat="false" ht="15" hidden="false" customHeight="false" outlineLevel="0" collapsed="false">
      <c r="B1653" s="4" t="n">
        <v>33919790</v>
      </c>
      <c r="C1653" s="4" t="s">
        <v>2625</v>
      </c>
      <c r="D1653" s="4" t="s">
        <v>463</v>
      </c>
      <c r="E1653" s="4" t="s">
        <v>2811</v>
      </c>
      <c r="F1653" s="127" t="n">
        <v>46905</v>
      </c>
      <c r="G1653" s="127" t="n">
        <v>46917</v>
      </c>
      <c r="H1653" s="127" t="n">
        <v>46289</v>
      </c>
      <c r="I1653" s="4" t="n">
        <v>0</v>
      </c>
      <c r="J1653" s="4" t="n">
        <v>0</v>
      </c>
      <c r="K1653" s="4" t="n">
        <v>0</v>
      </c>
      <c r="M1653" s="2" t="str">
        <f aca="false">IF(C1653="","",IFERROR(INDEX($S$5:$S$304,MATCH(C1653,$R$5:$R$304,0))&amp;"","?"))</f>
        <v>32</v>
      </c>
      <c r="N1653" s="2" t="n">
        <f aca="false">IF(E1653="","",IF(ISNUMBER(SEARCH("SUBSOLO",E1653)),IFERROR(-VALUE(LEFT(E1653,FIND("º",SUBSTITUTE(E1653,"°","º"))-1)),-1),IF(LEFT(E1653,6)="TÉRREO",0,IFERROR(VALUE(LEFT(E1653,FIND("º",SUBSTITUTE(E1653,"°","º"))-1)),""))))</f>
        <v>12</v>
      </c>
      <c r="O1653" s="2" t="str">
        <f aca="false">IF(OR(F1653="",G1653=""),"",IF(G1653&lt;='RETRATO 2027'!$K$5,"CONCLUÍDA",IF(F1653&lt;='RETRATO 2027'!$K$5,"EM ANDAMENTO","A INICIAR")))</f>
        <v>A INICIAR</v>
      </c>
    </row>
    <row r="1654" customFormat="false" ht="15" hidden="false" customHeight="false" outlineLevel="0" collapsed="false">
      <c r="B1654" s="4" t="n">
        <v>29981315</v>
      </c>
      <c r="C1654" s="4" t="s">
        <v>2615</v>
      </c>
      <c r="D1654" s="4" t="s">
        <v>463</v>
      </c>
      <c r="E1654" s="4" t="s">
        <v>2812</v>
      </c>
      <c r="F1654" s="127" t="n">
        <v>46905</v>
      </c>
      <c r="G1654" s="127" t="n">
        <v>46917</v>
      </c>
      <c r="H1654" s="127" t="n">
        <v>46289</v>
      </c>
      <c r="I1654" s="4" t="n">
        <v>0</v>
      </c>
      <c r="J1654" s="4" t="n">
        <v>0</v>
      </c>
      <c r="K1654" s="4" t="n">
        <v>0</v>
      </c>
      <c r="M1654" s="2" t="str">
        <f aca="false">IF(C1654="","",IFERROR(INDEX($S$5:$S$304,MATCH(C1654,$R$5:$R$304,0))&amp;"","?"))</f>
        <v>37</v>
      </c>
      <c r="N1654" s="2" t="n">
        <f aca="false">IF(E1654="","",IF(ISNUMBER(SEARCH("SUBSOLO",E1654)),IFERROR(-VALUE(LEFT(E1654,FIND("º",SUBSTITUTE(E1654,"°","º"))-1)),-1),IF(LEFT(E1654,6)="TÉRREO",0,IFERROR(VALUE(LEFT(E1654,FIND("º",SUBSTITUTE(E1654,"°","º"))-1)),""))))</f>
        <v>13</v>
      </c>
      <c r="O1654" s="2" t="str">
        <f aca="false">IF(OR(F1654="",G1654=""),"",IF(G1654&lt;='RETRATO 2027'!$K$5,"CONCLUÍDA",IF(F1654&lt;='RETRATO 2027'!$K$5,"EM ANDAMENTO","A INICIAR")))</f>
        <v>A INICIAR</v>
      </c>
    </row>
    <row r="1655" customFormat="false" ht="15" hidden="false" customHeight="false" outlineLevel="0" collapsed="false">
      <c r="B1655" s="4" t="n">
        <v>29981272</v>
      </c>
      <c r="C1655" s="4" t="s">
        <v>2605</v>
      </c>
      <c r="D1655" s="4" t="s">
        <v>463</v>
      </c>
      <c r="E1655" s="4" t="s">
        <v>2813</v>
      </c>
      <c r="F1655" s="127" t="n">
        <v>46905</v>
      </c>
      <c r="G1655" s="127" t="n">
        <v>46917</v>
      </c>
      <c r="H1655" s="127" t="n">
        <v>46289</v>
      </c>
      <c r="I1655" s="4" t="n">
        <v>0</v>
      </c>
      <c r="J1655" s="4" t="n">
        <v>0</v>
      </c>
      <c r="K1655" s="4" t="n">
        <v>0</v>
      </c>
      <c r="M1655" s="2" t="str">
        <f aca="false">IF(C1655="","",IFERROR(INDEX($S$5:$S$304,MATCH(C1655,$R$5:$R$304,0))&amp;"","?"))</f>
        <v>34</v>
      </c>
      <c r="N1655" s="2" t="n">
        <f aca="false">IF(E1655="","",IF(ISNUMBER(SEARCH("SUBSOLO",E1655)),IFERROR(-VALUE(LEFT(E1655,FIND("º",SUBSTITUTE(E1655,"°","º"))-1)),-1),IF(LEFT(E1655,6)="TÉRREO",0,IFERROR(VALUE(LEFT(E1655,FIND("º",SUBSTITUTE(E1655,"°","º"))-1)),""))))</f>
        <v>14</v>
      </c>
      <c r="O1655" s="2" t="str">
        <f aca="false">IF(OR(F1655="",G1655=""),"",IF(G1655&lt;='RETRATO 2027'!$K$5,"CONCLUÍDA",IF(F1655&lt;='RETRATO 2027'!$K$5,"EM ANDAMENTO","A INICIAR")))</f>
        <v>A INICIAR</v>
      </c>
    </row>
    <row r="1656" customFormat="false" ht="15" hidden="false" customHeight="false" outlineLevel="0" collapsed="false">
      <c r="B1656" s="4" t="n">
        <v>29981277</v>
      </c>
      <c r="C1656" s="4" t="s">
        <v>2607</v>
      </c>
      <c r="D1656" s="4" t="s">
        <v>463</v>
      </c>
      <c r="E1656" s="4" t="s">
        <v>2813</v>
      </c>
      <c r="F1656" s="127" t="n">
        <v>46905</v>
      </c>
      <c r="G1656" s="127" t="n">
        <v>46917</v>
      </c>
      <c r="H1656" s="127" t="n">
        <v>46289</v>
      </c>
      <c r="I1656" s="4" t="n">
        <v>0</v>
      </c>
      <c r="J1656" s="4" t="n">
        <v>0</v>
      </c>
      <c r="K1656" s="4" t="n">
        <v>0</v>
      </c>
      <c r="M1656" s="2" t="str">
        <f aca="false">IF(C1656="","",IFERROR(INDEX($S$5:$S$304,MATCH(C1656,$R$5:$R$304,0))&amp;"","?"))</f>
        <v>34</v>
      </c>
      <c r="N1656" s="2" t="n">
        <f aca="false">IF(E1656="","",IF(ISNUMBER(SEARCH("SUBSOLO",E1656)),IFERROR(-VALUE(LEFT(E1656,FIND("º",SUBSTITUTE(E1656,"°","º"))-1)),-1),IF(LEFT(E1656,6)="TÉRREO",0,IFERROR(VALUE(LEFT(E1656,FIND("º",SUBSTITUTE(E1656,"°","º"))-1)),""))))</f>
        <v>14</v>
      </c>
      <c r="O1656" s="2" t="str">
        <f aca="false">IF(OR(F1656="",G1656=""),"",IF(G1656&lt;='RETRATO 2027'!$K$5,"CONCLUÍDA",IF(F1656&lt;='RETRATO 2027'!$K$5,"EM ANDAMENTO","A INICIAR")))</f>
        <v>A INICIAR</v>
      </c>
    </row>
    <row r="1657" customFormat="false" ht="15" hidden="false" customHeight="false" outlineLevel="0" collapsed="false">
      <c r="B1657" s="4" t="n">
        <v>29981276</v>
      </c>
      <c r="C1657" s="4" t="s">
        <v>2563</v>
      </c>
      <c r="D1657" s="4" t="s">
        <v>463</v>
      </c>
      <c r="E1657" s="4" t="s">
        <v>2813</v>
      </c>
      <c r="F1657" s="127" t="n">
        <v>46905</v>
      </c>
      <c r="G1657" s="127" t="n">
        <v>46917</v>
      </c>
      <c r="H1657" s="127" t="n">
        <v>46289</v>
      </c>
      <c r="I1657" s="4" t="n">
        <v>0</v>
      </c>
      <c r="J1657" s="4" t="n">
        <v>0</v>
      </c>
      <c r="K1657" s="4" t="n">
        <v>0</v>
      </c>
      <c r="M1657" s="2" t="str">
        <f aca="false">IF(C1657="","",IFERROR(INDEX($S$5:$S$304,MATCH(C1657,$R$5:$R$304,0))&amp;"","?"))</f>
        <v>20</v>
      </c>
      <c r="N1657" s="2" t="n">
        <f aca="false">IF(E1657="","",IF(ISNUMBER(SEARCH("SUBSOLO",E1657)),IFERROR(-VALUE(LEFT(E1657,FIND("º",SUBSTITUTE(E1657,"°","º"))-1)),-1),IF(LEFT(E1657,6)="TÉRREO",0,IFERROR(VALUE(LEFT(E1657,FIND("º",SUBSTITUTE(E1657,"°","º"))-1)),""))))</f>
        <v>14</v>
      </c>
      <c r="O1657" s="2" t="str">
        <f aca="false">IF(OR(F1657="",G1657=""),"",IF(G1657&lt;='RETRATO 2027'!$K$5,"CONCLUÍDA",IF(F1657&lt;='RETRATO 2027'!$K$5,"EM ANDAMENTO","A INICIAR")))</f>
        <v>A INICIAR</v>
      </c>
    </row>
    <row r="1658" customFormat="false" ht="15" hidden="false" customHeight="false" outlineLevel="0" collapsed="false">
      <c r="B1658" s="4" t="n">
        <v>29981275</v>
      </c>
      <c r="C1658" s="4" t="s">
        <v>2609</v>
      </c>
      <c r="D1658" s="4" t="s">
        <v>463</v>
      </c>
      <c r="E1658" s="4" t="s">
        <v>2813</v>
      </c>
      <c r="F1658" s="127" t="n">
        <v>46905</v>
      </c>
      <c r="G1658" s="127" t="n">
        <v>46917</v>
      </c>
      <c r="H1658" s="127" t="n">
        <v>46289</v>
      </c>
      <c r="I1658" s="4" t="n">
        <v>0</v>
      </c>
      <c r="J1658" s="4" t="n">
        <v>0</v>
      </c>
      <c r="K1658" s="4" t="n">
        <v>0</v>
      </c>
      <c r="M1658" s="2" t="str">
        <f aca="false">IF(C1658="","",IFERROR(INDEX($S$5:$S$304,MATCH(C1658,$R$5:$R$304,0))&amp;"","?"))</f>
        <v>23</v>
      </c>
      <c r="N1658" s="2" t="n">
        <f aca="false">IF(E1658="","",IF(ISNUMBER(SEARCH("SUBSOLO",E1658)),IFERROR(-VALUE(LEFT(E1658,FIND("º",SUBSTITUTE(E1658,"°","º"))-1)),-1),IF(LEFT(E1658,6)="TÉRREO",0,IFERROR(VALUE(LEFT(E1658,FIND("º",SUBSTITUTE(E1658,"°","º"))-1)),""))))</f>
        <v>14</v>
      </c>
      <c r="O1658" s="2" t="str">
        <f aca="false">IF(OR(F1658="",G1658=""),"",IF(G1658&lt;='RETRATO 2027'!$K$5,"CONCLUÍDA",IF(F1658&lt;='RETRATO 2027'!$K$5,"EM ANDAMENTO","A INICIAR")))</f>
        <v>A INICIAR</v>
      </c>
    </row>
    <row r="1659" customFormat="false" ht="15" hidden="false" customHeight="false" outlineLevel="0" collapsed="false">
      <c r="B1659" s="4" t="n">
        <v>29981234</v>
      </c>
      <c r="C1659" s="4" t="s">
        <v>2599</v>
      </c>
      <c r="D1659" s="4" t="s">
        <v>463</v>
      </c>
      <c r="E1659" s="4" t="s">
        <v>2814</v>
      </c>
      <c r="F1659" s="127" t="n">
        <v>46905</v>
      </c>
      <c r="G1659" s="127" t="n">
        <v>46917</v>
      </c>
      <c r="H1659" s="127" t="n">
        <v>46289</v>
      </c>
      <c r="I1659" s="4" t="n">
        <v>0</v>
      </c>
      <c r="J1659" s="4" t="n">
        <v>0</v>
      </c>
      <c r="K1659" s="4" t="n">
        <v>0</v>
      </c>
      <c r="M1659" s="2" t="str">
        <f aca="false">IF(C1659="","",IFERROR(INDEX($S$5:$S$304,MATCH(C1659,$R$5:$R$304,0))&amp;"","?"))</f>
        <v>30</v>
      </c>
      <c r="N1659" s="2" t="n">
        <f aca="false">IF(E1659="","",IF(ISNUMBER(SEARCH("SUBSOLO",E1659)),IFERROR(-VALUE(LEFT(E1659,FIND("º",SUBSTITUTE(E1659,"°","º"))-1)),-1),IF(LEFT(E1659,6)="TÉRREO",0,IFERROR(VALUE(LEFT(E1659,FIND("º",SUBSTITUTE(E1659,"°","º"))-1)),""))))</f>
        <v>15</v>
      </c>
      <c r="O1659" s="2" t="str">
        <f aca="false">IF(OR(F1659="",G1659=""),"",IF(G1659&lt;='RETRATO 2027'!$K$5,"CONCLUÍDA",IF(F1659&lt;='RETRATO 2027'!$K$5,"EM ANDAMENTO","A INICIAR")))</f>
        <v>A INICIAR</v>
      </c>
    </row>
    <row r="1660" customFormat="false" ht="15" hidden="false" customHeight="false" outlineLevel="0" collapsed="false">
      <c r="B1660" s="4" t="n">
        <v>29981196</v>
      </c>
      <c r="C1660" s="4" t="s">
        <v>2578</v>
      </c>
      <c r="D1660" s="4" t="s">
        <v>463</v>
      </c>
      <c r="E1660" s="4" t="s">
        <v>2815</v>
      </c>
      <c r="F1660" s="127" t="n">
        <v>46905</v>
      </c>
      <c r="G1660" s="127" t="n">
        <v>46917</v>
      </c>
      <c r="H1660" s="127" t="n">
        <v>46289</v>
      </c>
      <c r="I1660" s="4" t="n">
        <v>0</v>
      </c>
      <c r="J1660" s="4" t="n">
        <v>0</v>
      </c>
      <c r="K1660" s="4" t="n">
        <v>0</v>
      </c>
      <c r="M1660" s="2" t="str">
        <f aca="false">IF(C1660="","",IFERROR(INDEX($S$5:$S$304,MATCH(C1660,$R$5:$R$304,0))&amp;"","?"))</f>
        <v>25</v>
      </c>
      <c r="N1660" s="2" t="n">
        <f aca="false">IF(E1660="","",IF(ISNUMBER(SEARCH("SUBSOLO",E1660)),IFERROR(-VALUE(LEFT(E1660,FIND("º",SUBSTITUTE(E1660,"°","º"))-1)),-1),IF(LEFT(E1660,6)="TÉRREO",0,IFERROR(VALUE(LEFT(E1660,FIND("º",SUBSTITUTE(E1660,"°","º"))-1)),""))))</f>
        <v>16</v>
      </c>
      <c r="O1660" s="2" t="str">
        <f aca="false">IF(OR(F1660="",G1660=""),"",IF(G1660&lt;='RETRATO 2027'!$K$5,"CONCLUÍDA",IF(F1660&lt;='RETRATO 2027'!$K$5,"EM ANDAMENTO","A INICIAR")))</f>
        <v>A INICIAR</v>
      </c>
    </row>
    <row r="1661" customFormat="false" ht="15" hidden="false" customHeight="false" outlineLevel="0" collapsed="false">
      <c r="B1661" s="4" t="n">
        <v>29981158</v>
      </c>
      <c r="C1661" s="4" t="s">
        <v>2569</v>
      </c>
      <c r="D1661" s="4" t="s">
        <v>463</v>
      </c>
      <c r="E1661" s="4" t="s">
        <v>2818</v>
      </c>
      <c r="F1661" s="127" t="n">
        <v>46905</v>
      </c>
      <c r="G1661" s="127" t="n">
        <v>46917</v>
      </c>
      <c r="H1661" s="127" t="n">
        <v>46289</v>
      </c>
      <c r="I1661" s="4" t="n">
        <v>0</v>
      </c>
      <c r="J1661" s="4" t="n">
        <v>0</v>
      </c>
      <c r="K1661" s="4" t="n">
        <v>0</v>
      </c>
      <c r="M1661" s="2" t="str">
        <f aca="false">IF(C1661="","",IFERROR(INDEX($S$5:$S$304,MATCH(C1661,$R$5:$R$304,0))&amp;"","?"))</f>
        <v>30</v>
      </c>
      <c r="N1661" s="2" t="n">
        <f aca="false">IF(E1661="","",IF(ISNUMBER(SEARCH("SUBSOLO",E1661)),IFERROR(-VALUE(LEFT(E1661,FIND("º",SUBSTITUTE(E1661,"°","º"))-1)),-1),IF(LEFT(E1661,6)="TÉRREO",0,IFERROR(VALUE(LEFT(E1661,FIND("º",SUBSTITUTE(E1661,"°","º"))-1)),""))))</f>
        <v>17</v>
      </c>
      <c r="O1661" s="2" t="str">
        <f aca="false">IF(OR(F1661="",G1661=""),"",IF(G1661&lt;='RETRATO 2027'!$K$5,"CONCLUÍDA",IF(F1661&lt;='RETRATO 2027'!$K$5,"EM ANDAMENTO","A INICIAR")))</f>
        <v>A INICIAR</v>
      </c>
    </row>
    <row r="1662" customFormat="false" ht="15" hidden="false" customHeight="false" outlineLevel="0" collapsed="false">
      <c r="B1662" s="4" t="n">
        <v>29981120</v>
      </c>
      <c r="C1662" s="4" t="s">
        <v>2554</v>
      </c>
      <c r="D1662" s="4" t="s">
        <v>463</v>
      </c>
      <c r="E1662" s="4" t="s">
        <v>2820</v>
      </c>
      <c r="F1662" s="127" t="n">
        <v>46905</v>
      </c>
      <c r="G1662" s="127" t="n">
        <v>46917</v>
      </c>
      <c r="H1662" s="127" t="n">
        <v>46289</v>
      </c>
      <c r="I1662" s="4" t="n">
        <v>0</v>
      </c>
      <c r="J1662" s="4" t="n">
        <v>0</v>
      </c>
      <c r="K1662" s="4" t="n">
        <v>0</v>
      </c>
      <c r="M1662" s="2" t="str">
        <f aca="false">IF(C1662="","",IFERROR(INDEX($S$5:$S$304,MATCH(C1662,$R$5:$R$304,0))&amp;"","?"))</f>
        <v>35</v>
      </c>
      <c r="N1662" s="2" t="n">
        <f aca="false">IF(E1662="","",IF(ISNUMBER(SEARCH("SUBSOLO",E1662)),IFERROR(-VALUE(LEFT(E1662,FIND("º",SUBSTITUTE(E1662,"°","º"))-1)),-1),IF(LEFT(E1662,6)="TÉRREO",0,IFERROR(VALUE(LEFT(E1662,FIND("º",SUBSTITUTE(E1662,"°","º"))-1)),""))))</f>
        <v>18</v>
      </c>
      <c r="O1662" s="2" t="str">
        <f aca="false">IF(OR(F1662="",G1662=""),"",IF(G1662&lt;='RETRATO 2027'!$K$5,"CONCLUÍDA",IF(F1662&lt;='RETRATO 2027'!$K$5,"EM ANDAMENTO","A INICIAR")))</f>
        <v>A INICIAR</v>
      </c>
    </row>
    <row r="1663" customFormat="false" ht="15" hidden="false" customHeight="false" outlineLevel="0" collapsed="false">
      <c r="B1663" s="4" t="n">
        <v>29981072</v>
      </c>
      <c r="C1663" s="4" t="s">
        <v>2539</v>
      </c>
      <c r="D1663" s="4" t="s">
        <v>463</v>
      </c>
      <c r="E1663" s="4" t="s">
        <v>2823</v>
      </c>
      <c r="F1663" s="127" t="n">
        <v>46905</v>
      </c>
      <c r="G1663" s="127" t="n">
        <v>46917</v>
      </c>
      <c r="H1663" s="127" t="n">
        <v>46289</v>
      </c>
      <c r="I1663" s="4" t="n">
        <v>0</v>
      </c>
      <c r="J1663" s="4" t="n">
        <v>0</v>
      </c>
      <c r="K1663" s="4" t="n">
        <v>0</v>
      </c>
      <c r="M1663" s="2" t="str">
        <f aca="false">IF(C1663="","",IFERROR(INDEX($S$5:$S$304,MATCH(C1663,$R$5:$R$304,0))&amp;"","?"))</f>
        <v>35</v>
      </c>
      <c r="N1663" s="2" t="n">
        <f aca="false">IF(E1663="","",IF(ISNUMBER(SEARCH("SUBSOLO",E1663)),IFERROR(-VALUE(LEFT(E1663,FIND("º",SUBSTITUTE(E1663,"°","º"))-1)),-1),IF(LEFT(E1663,6)="TÉRREO",0,IFERROR(VALUE(LEFT(E1663,FIND("º",SUBSTITUTE(E1663,"°","º"))-1)),""))))</f>
        <v>20</v>
      </c>
      <c r="O1663" s="2" t="str">
        <f aca="false">IF(OR(F1663="",G1663=""),"",IF(G1663&lt;='RETRATO 2027'!$K$5,"CONCLUÍDA",IF(F1663&lt;='RETRATO 2027'!$K$5,"EM ANDAMENTO","A INICIAR")))</f>
        <v>A INICIAR</v>
      </c>
    </row>
    <row r="1664" customFormat="false" ht="15" hidden="false" customHeight="false" outlineLevel="0" collapsed="false">
      <c r="B1664" s="4" t="n">
        <v>33898105</v>
      </c>
      <c r="C1664" s="4" t="s">
        <v>2545</v>
      </c>
      <c r="D1664" s="4" t="s">
        <v>463</v>
      </c>
      <c r="E1664" s="4" t="s">
        <v>2825</v>
      </c>
      <c r="F1664" s="127" t="n">
        <v>46905</v>
      </c>
      <c r="G1664" s="127" t="n">
        <v>46917</v>
      </c>
      <c r="H1664" s="127" t="n">
        <v>46289</v>
      </c>
      <c r="I1664" s="4" t="n">
        <v>0</v>
      </c>
      <c r="J1664" s="4" t="n">
        <v>0</v>
      </c>
      <c r="K1664" s="4" t="n">
        <v>0</v>
      </c>
      <c r="M1664" s="2" t="str">
        <f aca="false">IF(C1664="","",IFERROR(INDEX($S$5:$S$304,MATCH(C1664,$R$5:$R$304,0))&amp;"","?"))</f>
        <v>25</v>
      </c>
      <c r="N1664" s="2" t="n">
        <f aca="false">IF(E1664="","",IF(ISNUMBER(SEARCH("SUBSOLO",E1664)),IFERROR(-VALUE(LEFT(E1664,FIND("º",SUBSTITUTE(E1664,"°","º"))-1)),-1),IF(LEFT(E1664,6)="TÉRREO",0,IFERROR(VALUE(LEFT(E1664,FIND("º",SUBSTITUTE(E1664,"°","º"))-1)),""))))</f>
        <v>21</v>
      </c>
      <c r="O1664" s="2" t="str">
        <f aca="false">IF(OR(F1664="",G1664=""),"",IF(G1664&lt;='RETRATO 2027'!$K$5,"CONCLUÍDA",IF(F1664&lt;='RETRATO 2027'!$K$5,"EM ANDAMENTO","A INICIAR")))</f>
        <v>A INICIAR</v>
      </c>
    </row>
    <row r="1665" customFormat="false" ht="15" hidden="false" customHeight="false" outlineLevel="0" collapsed="false">
      <c r="B1665" s="4" t="n">
        <v>30171511</v>
      </c>
      <c r="C1665" s="4" t="s">
        <v>2641</v>
      </c>
      <c r="D1665" s="4" t="s">
        <v>463</v>
      </c>
      <c r="E1665" s="4" t="s">
        <v>2817</v>
      </c>
      <c r="F1665" s="127" t="n">
        <v>46906</v>
      </c>
      <c r="G1665" s="127" t="n">
        <v>47177</v>
      </c>
      <c r="H1665" s="127" t="n">
        <v>46289</v>
      </c>
      <c r="I1665" s="4" t="n">
        <v>0</v>
      </c>
      <c r="J1665" s="4" t="n">
        <v>0</v>
      </c>
      <c r="K1665" s="4" t="n">
        <v>0</v>
      </c>
      <c r="M1665" s="2" t="str">
        <f aca="false">IF(C1665="","",IFERROR(INDEX($S$5:$S$304,MATCH(C1665,$R$5:$R$304,0))&amp;"","?"))</f>
        <v>35</v>
      </c>
      <c r="N1665" s="2" t="str">
        <f aca="false"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 t="str">
        <f aca="false">IF(OR(F1665="",G1665=""),"",IF(G1665&lt;='RETRATO 2027'!$K$5,"CONCLUÍDA",IF(F1665&lt;='RETRATO 2027'!$K$5,"EM ANDAMENTO","A INICIAR")))</f>
        <v>A INICIAR</v>
      </c>
    </row>
    <row r="1666" customFormat="false" ht="15" hidden="false" customHeight="false" outlineLevel="0" collapsed="false">
      <c r="B1666" s="4" t="n">
        <v>29980885</v>
      </c>
      <c r="C1666" s="4" t="s">
        <v>216</v>
      </c>
      <c r="D1666" s="4" t="s">
        <v>463</v>
      </c>
      <c r="E1666" s="4" t="s">
        <v>2833</v>
      </c>
      <c r="F1666" s="127" t="n">
        <v>46906</v>
      </c>
      <c r="G1666" s="127" t="n">
        <v>46918</v>
      </c>
      <c r="H1666" s="127" t="n">
        <v>46289</v>
      </c>
      <c r="I1666" s="4" t="n">
        <v>0</v>
      </c>
      <c r="J1666" s="4" t="n">
        <v>0</v>
      </c>
      <c r="K1666" s="4" t="n">
        <v>0</v>
      </c>
      <c r="M1666" s="2" t="str">
        <f aca="false">IF(C1666="","",IFERROR(INDEX($S$5:$S$304,MATCH(C1666,$R$5:$R$304,0))&amp;"","?"))</f>
        <v>33</v>
      </c>
      <c r="N1666" s="2" t="n">
        <f aca="false">IF(E1666="","",IF(ISNUMBER(SEARCH("SUBSOLO",E1666)),IFERROR(-VALUE(LEFT(E1666,FIND("º",SUBSTITUTE(E1666,"°","º"))-1)),-1),IF(LEFT(E1666,6)="TÉRREO",0,IFERROR(VALUE(LEFT(E1666,FIND("º",SUBSTITUTE(E1666,"°","º"))-1)),""))))</f>
        <v>25</v>
      </c>
      <c r="O1666" s="2" t="str">
        <f aca="false">IF(OR(F1666="",G1666=""),"",IF(G1666&lt;='RETRATO 2027'!$K$5,"CONCLUÍDA",IF(F1666&lt;='RETRATO 2027'!$K$5,"EM ANDAMENTO","A INICIAR")))</f>
        <v>A INICIAR</v>
      </c>
    </row>
    <row r="1667" customFormat="false" ht="15" hidden="false" customHeight="false" outlineLevel="0" collapsed="false">
      <c r="B1667" s="4" t="n">
        <v>29980846</v>
      </c>
      <c r="C1667" s="4" t="s">
        <v>2508</v>
      </c>
      <c r="D1667" s="4" t="s">
        <v>463</v>
      </c>
      <c r="E1667" s="4" t="s">
        <v>2834</v>
      </c>
      <c r="F1667" s="127" t="n">
        <v>46906</v>
      </c>
      <c r="G1667" s="127" t="n">
        <v>46918</v>
      </c>
      <c r="H1667" s="127" t="n">
        <v>46289</v>
      </c>
      <c r="I1667" s="4" t="n">
        <v>0</v>
      </c>
      <c r="J1667" s="4" t="n">
        <v>0</v>
      </c>
      <c r="K1667" s="4" t="n">
        <v>0</v>
      </c>
      <c r="M1667" s="2" t="str">
        <f aca="false">IF(C1667="","",IFERROR(INDEX($S$5:$S$304,MATCH(C1667,$R$5:$R$304,0))&amp;"","?"))</f>
        <v>20</v>
      </c>
      <c r="N1667" s="2" t="n">
        <f aca="false">IF(E1667="","",IF(ISNUMBER(SEARCH("SUBSOLO",E1667)),IFERROR(-VALUE(LEFT(E1667,FIND("º",SUBSTITUTE(E1667,"°","º"))-1)),-1),IF(LEFT(E1667,6)="TÉRREO",0,IFERROR(VALUE(LEFT(E1667,FIND("º",SUBSTITUTE(E1667,"°","º"))-1)),""))))</f>
        <v>26</v>
      </c>
      <c r="O1667" s="2" t="str">
        <f aca="false">IF(OR(F1667="",G1667=""),"",IF(G1667&lt;='RETRATO 2027'!$K$5,"CONCLUÍDA",IF(F1667&lt;='RETRATO 2027'!$K$5,"EM ANDAMENTO","A INICIAR")))</f>
        <v>A INICIAR</v>
      </c>
    </row>
    <row r="1668" customFormat="false" ht="15" hidden="false" customHeight="false" outlineLevel="0" collapsed="false">
      <c r="B1668" s="4" t="n">
        <v>29980851</v>
      </c>
      <c r="C1668" s="4" t="s">
        <v>2511</v>
      </c>
      <c r="D1668" s="4" t="s">
        <v>463</v>
      </c>
      <c r="E1668" s="4" t="s">
        <v>2834</v>
      </c>
      <c r="F1668" s="127" t="n">
        <v>46906</v>
      </c>
      <c r="G1668" s="127" t="n">
        <v>46918</v>
      </c>
      <c r="H1668" s="127" t="n">
        <v>46289</v>
      </c>
      <c r="I1668" s="4" t="n">
        <v>0</v>
      </c>
      <c r="J1668" s="4" t="n">
        <v>0</v>
      </c>
      <c r="K1668" s="4" t="n">
        <v>0</v>
      </c>
      <c r="M1668" s="2" t="str">
        <f aca="false">IF(C1668="","",IFERROR(INDEX($S$5:$S$304,MATCH(C1668,$R$5:$R$304,0))&amp;"","?"))</f>
        <v>20</v>
      </c>
      <c r="N1668" s="2" t="n">
        <f aca="false">IF(E1668="","",IF(ISNUMBER(SEARCH("SUBSOLO",E1668)),IFERROR(-VALUE(LEFT(E1668,FIND("º",SUBSTITUTE(E1668,"°","º"))-1)),-1),IF(LEFT(E1668,6)="TÉRREO",0,IFERROR(VALUE(LEFT(E1668,FIND("º",SUBSTITUTE(E1668,"°","º"))-1)),""))))</f>
        <v>26</v>
      </c>
      <c r="O1668" s="2" t="str">
        <f aca="false">IF(OR(F1668="",G1668=""),"",IF(G1668&lt;='RETRATO 2027'!$K$5,"CONCLUÍDA",IF(F1668&lt;='RETRATO 2027'!$K$5,"EM ANDAMENTO","A INICIAR")))</f>
        <v>A INICIAR</v>
      </c>
    </row>
    <row r="1669" customFormat="false" ht="15" hidden="false" customHeight="false" outlineLevel="0" collapsed="false">
      <c r="B1669" s="4" t="n">
        <v>30214088</v>
      </c>
      <c r="C1669" s="4" t="s">
        <v>2514</v>
      </c>
      <c r="D1669" s="4" t="s">
        <v>463</v>
      </c>
      <c r="E1669" s="4" t="s">
        <v>2834</v>
      </c>
      <c r="F1669" s="127" t="n">
        <v>46906</v>
      </c>
      <c r="G1669" s="127" t="n">
        <v>46920</v>
      </c>
      <c r="H1669" s="127" t="n">
        <v>46289</v>
      </c>
      <c r="I1669" s="4" t="n">
        <v>0</v>
      </c>
      <c r="J1669" s="4" t="n">
        <v>0</v>
      </c>
      <c r="K1669" s="4" t="n">
        <v>0</v>
      </c>
      <c r="M1669" s="2" t="str">
        <f aca="false">IF(C1669="","",IFERROR(INDEX($S$5:$S$304,MATCH(C1669,$R$5:$R$304,0))&amp;"","?"))</f>
        <v>20</v>
      </c>
      <c r="N1669" s="2" t="n">
        <f aca="false">IF(E1669="","",IF(ISNUMBER(SEARCH("SUBSOLO",E1669)),IFERROR(-VALUE(LEFT(E1669,FIND("º",SUBSTITUTE(E1669,"°","º"))-1)),-1),IF(LEFT(E1669,6)="TÉRREO",0,IFERROR(VALUE(LEFT(E1669,FIND("º",SUBSTITUTE(E1669,"°","º"))-1)),""))))</f>
        <v>26</v>
      </c>
      <c r="O1669" s="2" t="str">
        <f aca="false">IF(OR(F1669="",G1669=""),"",IF(G1669&lt;='RETRATO 2027'!$K$5,"CONCLUÍDA",IF(F1669&lt;='RETRATO 2027'!$K$5,"EM ANDAMENTO","A INICIAR")))</f>
        <v>A INICIAR</v>
      </c>
    </row>
    <row r="1670" customFormat="false" ht="15" hidden="false" customHeight="false" outlineLevel="0" collapsed="false">
      <c r="B1670" s="4" t="n">
        <v>29980793</v>
      </c>
      <c r="C1670" s="4" t="s">
        <v>2501</v>
      </c>
      <c r="D1670" s="4" t="s">
        <v>463</v>
      </c>
      <c r="E1670" s="4" t="s">
        <v>2838</v>
      </c>
      <c r="F1670" s="127" t="n">
        <v>46906</v>
      </c>
      <c r="G1670" s="127" t="n">
        <v>46918</v>
      </c>
      <c r="H1670" s="127" t="n">
        <v>46289</v>
      </c>
      <c r="I1670" s="4" t="n">
        <v>0</v>
      </c>
      <c r="J1670" s="4" t="n">
        <v>0</v>
      </c>
      <c r="K1670" s="4" t="n">
        <v>0</v>
      </c>
      <c r="M1670" s="2" t="str">
        <f aca="false">IF(C1670="","",IFERROR(INDEX($S$5:$S$304,MATCH(C1670,$R$5:$R$304,0))&amp;"","?"))</f>
        <v>30</v>
      </c>
      <c r="N1670" s="2" t="n">
        <f aca="false">IF(E1670="","",IF(ISNUMBER(SEARCH("SUBSOLO",E1670)),IFERROR(-VALUE(LEFT(E1670,FIND("º",SUBSTITUTE(E1670,"°","º"))-1)),-1),IF(LEFT(E1670,6)="TÉRREO",0,IFERROR(VALUE(LEFT(E1670,FIND("º",SUBSTITUTE(E1670,"°","º"))-1)),""))))</f>
        <v>27</v>
      </c>
      <c r="O1670" s="2" t="str">
        <f aca="false">IF(OR(F1670="",G1670=""),"",IF(G1670&lt;='RETRATO 2027'!$K$5,"CONCLUÍDA",IF(F1670&lt;='RETRATO 2027'!$K$5,"EM ANDAMENTO","A INICIAR")))</f>
        <v>A INICIAR</v>
      </c>
    </row>
    <row r="1671" customFormat="false" ht="15" hidden="false" customHeight="false" outlineLevel="0" collapsed="false">
      <c r="B1671" s="4" t="n">
        <v>29980755</v>
      </c>
      <c r="C1671" s="4" t="s">
        <v>2486</v>
      </c>
      <c r="D1671" s="4" t="s">
        <v>463</v>
      </c>
      <c r="E1671" s="4" t="s">
        <v>2840</v>
      </c>
      <c r="F1671" s="127" t="n">
        <v>46906</v>
      </c>
      <c r="G1671" s="127" t="n">
        <v>46918</v>
      </c>
      <c r="H1671" s="127" t="n">
        <v>46289</v>
      </c>
      <c r="I1671" s="4" t="n">
        <v>0</v>
      </c>
      <c r="J1671" s="4" t="n">
        <v>0</v>
      </c>
      <c r="K1671" s="4" t="n">
        <v>0</v>
      </c>
      <c r="M1671" s="2" t="str">
        <f aca="false">IF(C1671="","",IFERROR(INDEX($S$5:$S$304,MATCH(C1671,$R$5:$R$304,0))&amp;"","?"))</f>
        <v>30</v>
      </c>
      <c r="N1671" s="2" t="n">
        <f aca="false">IF(E1671="","",IF(ISNUMBER(SEARCH("SUBSOLO",E1671)),IFERROR(-VALUE(LEFT(E1671,FIND("º",SUBSTITUTE(E1671,"°","º"))-1)),-1),IF(LEFT(E1671,6)="TÉRREO",0,IFERROR(VALUE(LEFT(E1671,FIND("º",SUBSTITUTE(E1671,"°","º"))-1)),""))))</f>
        <v>28</v>
      </c>
      <c r="O1671" s="2" t="str">
        <f aca="false">IF(OR(F1671="",G1671=""),"",IF(G1671&lt;='RETRATO 2027'!$K$5,"CONCLUÍDA",IF(F1671&lt;='RETRATO 2027'!$K$5,"EM ANDAMENTO","A INICIAR")))</f>
        <v>A INICIAR</v>
      </c>
    </row>
    <row r="1672" customFormat="false" ht="15" hidden="false" customHeight="false" outlineLevel="0" collapsed="false">
      <c r="B1672" s="4" t="n">
        <v>29980734</v>
      </c>
      <c r="C1672" s="4" t="s">
        <v>2480</v>
      </c>
      <c r="D1672" s="4" t="s">
        <v>463</v>
      </c>
      <c r="E1672" s="4" t="s">
        <v>2841</v>
      </c>
      <c r="F1672" s="127" t="n">
        <v>46906</v>
      </c>
      <c r="G1672" s="127" t="n">
        <v>46918</v>
      </c>
      <c r="H1672" s="127" t="n">
        <v>46289</v>
      </c>
      <c r="I1672" s="4" t="n">
        <v>0</v>
      </c>
      <c r="J1672" s="4" t="n">
        <v>0</v>
      </c>
      <c r="K1672" s="4" t="n">
        <v>0</v>
      </c>
      <c r="M1672" s="2" t="str">
        <f aca="false">IF(C1672="","",IFERROR(INDEX($S$5:$S$304,MATCH(C1672,$R$5:$R$304,0))&amp;"","?"))</f>
        <v>30</v>
      </c>
      <c r="N1672" s="2" t="n">
        <f aca="false">IF(E1672="","",IF(ISNUMBER(SEARCH("SUBSOLO",E1672)),IFERROR(-VALUE(LEFT(E1672,FIND("º",SUBSTITUTE(E1672,"°","º"))-1)),-1),IF(LEFT(E1672,6)="TÉRREO",0,IFERROR(VALUE(LEFT(E1672,FIND("º",SUBSTITUTE(E1672,"°","º"))-1)),""))))</f>
        <v>29</v>
      </c>
      <c r="O1672" s="2" t="str">
        <f aca="false">IF(OR(F1672="",G1672=""),"",IF(G1672&lt;='RETRATO 2027'!$K$5,"CONCLUÍDA",IF(F1672&lt;='RETRATO 2027'!$K$5,"EM ANDAMENTO","A INICIAR")))</f>
        <v>A INICIAR</v>
      </c>
    </row>
    <row r="1673" customFormat="false" ht="15" hidden="false" customHeight="false" outlineLevel="0" collapsed="false">
      <c r="B1673" s="4" t="n">
        <v>29980695</v>
      </c>
      <c r="C1673" s="4" t="s">
        <v>171</v>
      </c>
      <c r="D1673" s="4" t="s">
        <v>463</v>
      </c>
      <c r="E1673" s="4" t="s">
        <v>2842</v>
      </c>
      <c r="F1673" s="127" t="n">
        <v>46906</v>
      </c>
      <c r="G1673" s="127" t="n">
        <v>46918</v>
      </c>
      <c r="H1673" s="127" t="n">
        <v>46289</v>
      </c>
      <c r="I1673" s="4" t="n">
        <v>0</v>
      </c>
      <c r="J1673" s="4" t="n">
        <v>0</v>
      </c>
      <c r="K1673" s="4" t="n">
        <v>0</v>
      </c>
      <c r="M1673" s="2" t="str">
        <f aca="false">IF(C1673="","",IFERROR(INDEX($S$5:$S$304,MATCH(C1673,$R$5:$R$304,0))&amp;"","?"))</f>
        <v>19</v>
      </c>
      <c r="N1673" s="2" t="n">
        <f aca="false">IF(E1673="","",IF(ISNUMBER(SEARCH("SUBSOLO",E1673)),IFERROR(-VALUE(LEFT(E1673,FIND("º",SUBSTITUTE(E1673,"°","º"))-1)),-1),IF(LEFT(E1673,6)="TÉRREO",0,IFERROR(VALUE(LEFT(E1673,FIND("º",SUBSTITUTE(E1673,"°","º"))-1)),""))))</f>
        <v>30</v>
      </c>
      <c r="O1673" s="2" t="str">
        <f aca="false">IF(OR(F1673="",G1673=""),"",IF(G1673&lt;='RETRATO 2027'!$K$5,"CONCLUÍDA",IF(F1673&lt;='RETRATO 2027'!$K$5,"EM ANDAMENTO","A INICIAR")))</f>
        <v>A INICIAR</v>
      </c>
    </row>
    <row r="1674" customFormat="false" ht="15" hidden="false" customHeight="false" outlineLevel="0" collapsed="false">
      <c r="B1674" s="4" t="n">
        <v>32750457</v>
      </c>
      <c r="C1674" s="4" t="s">
        <v>2470</v>
      </c>
      <c r="D1674" s="4" t="s">
        <v>463</v>
      </c>
      <c r="E1674" s="4" t="s">
        <v>2843</v>
      </c>
      <c r="F1674" s="127" t="n">
        <v>46906</v>
      </c>
      <c r="G1674" s="127" t="n">
        <v>46918</v>
      </c>
      <c r="H1674" s="127" t="n">
        <v>46289</v>
      </c>
      <c r="I1674" s="4" t="n">
        <v>0</v>
      </c>
      <c r="J1674" s="4" t="n">
        <v>0</v>
      </c>
      <c r="K1674" s="4" t="n">
        <v>0</v>
      </c>
      <c r="M1674" s="2" t="str">
        <f aca="false">IF(C1674="","",IFERROR(INDEX($S$5:$S$304,MATCH(C1674,$R$5:$R$304,0))&amp;"","?"))</f>
        <v>18</v>
      </c>
      <c r="N1674" s="2" t="n">
        <f aca="false">IF(E1674="","",IF(ISNUMBER(SEARCH("SUBSOLO",E1674)),IFERROR(-VALUE(LEFT(E1674,FIND("º",SUBSTITUTE(E1674,"°","º"))-1)),-1),IF(LEFT(E1674,6)="TÉRREO",0,IFERROR(VALUE(LEFT(E1674,FIND("º",SUBSTITUTE(E1674,"°","º"))-1)),""))))</f>
        <v>31</v>
      </c>
      <c r="O1674" s="2" t="str">
        <f aca="false">IF(OR(F1674="",G1674=""),"",IF(G1674&lt;='RETRATO 2027'!$K$5,"CONCLUÍDA",IF(F1674&lt;='RETRATO 2027'!$K$5,"EM ANDAMENTO","A INICIAR")))</f>
        <v>A INICIAR</v>
      </c>
    </row>
    <row r="1675" customFormat="false" ht="15" hidden="false" customHeight="false" outlineLevel="0" collapsed="false">
      <c r="B1675" s="4" t="n">
        <v>32750380</v>
      </c>
      <c r="C1675" s="4" t="s">
        <v>2458</v>
      </c>
      <c r="D1675" s="4" t="s">
        <v>463</v>
      </c>
      <c r="E1675" s="4" t="s">
        <v>2844</v>
      </c>
      <c r="F1675" s="127" t="n">
        <v>46906</v>
      </c>
      <c r="G1675" s="127" t="n">
        <v>46918</v>
      </c>
      <c r="H1675" s="127" t="n">
        <v>46289</v>
      </c>
      <c r="I1675" s="4" t="n">
        <v>0</v>
      </c>
      <c r="J1675" s="4" t="n">
        <v>0</v>
      </c>
      <c r="K1675" s="4" t="n">
        <v>0</v>
      </c>
      <c r="M1675" s="2" t="str">
        <f aca="false">IF(C1675="","",IFERROR(INDEX($S$5:$S$304,MATCH(C1675,$R$5:$R$304,0))&amp;"","?"))</f>
        <v>21</v>
      </c>
      <c r="N1675" s="2" t="n">
        <f aca="false">IF(E1675="","",IF(ISNUMBER(SEARCH("SUBSOLO",E1675)),IFERROR(-VALUE(LEFT(E1675,FIND("º",SUBSTITUTE(E1675,"°","º"))-1)),-1),IF(LEFT(E1675,6)="TÉRREO",0,IFERROR(VALUE(LEFT(E1675,FIND("º",SUBSTITUTE(E1675,"°","º"))-1)),""))))</f>
        <v>32</v>
      </c>
      <c r="O1675" s="2" t="str">
        <f aca="false">IF(OR(F1675="",G1675=""),"",IF(G1675&lt;='RETRATO 2027'!$K$5,"CONCLUÍDA",IF(F1675&lt;='RETRATO 2027'!$K$5,"EM ANDAMENTO","A INICIAR")))</f>
        <v>A INICIAR</v>
      </c>
    </row>
    <row r="1676" customFormat="false" ht="15" hidden="false" customHeight="false" outlineLevel="0" collapsed="false">
      <c r="B1676" s="4" t="n">
        <v>32750406</v>
      </c>
      <c r="C1676" s="4" t="s">
        <v>2461</v>
      </c>
      <c r="D1676" s="4" t="s">
        <v>463</v>
      </c>
      <c r="E1676" s="4" t="s">
        <v>2844</v>
      </c>
      <c r="F1676" s="127" t="n">
        <v>46906</v>
      </c>
      <c r="G1676" s="127" t="n">
        <v>46918</v>
      </c>
      <c r="H1676" s="127" t="n">
        <v>46289</v>
      </c>
      <c r="I1676" s="4" t="n">
        <v>0</v>
      </c>
      <c r="J1676" s="4" t="n">
        <v>0</v>
      </c>
      <c r="K1676" s="4" t="n">
        <v>0</v>
      </c>
      <c r="M1676" s="2" t="str">
        <f aca="false">IF(C1676="","",IFERROR(INDEX($S$5:$S$304,MATCH(C1676,$R$5:$R$304,0))&amp;"","?"))</f>
        <v>20</v>
      </c>
      <c r="N1676" s="2" t="n">
        <f aca="false">IF(E1676="","",IF(ISNUMBER(SEARCH("SUBSOLO",E1676)),IFERROR(-VALUE(LEFT(E1676,FIND("º",SUBSTITUTE(E1676,"°","º"))-1)),-1),IF(LEFT(E1676,6)="TÉRREO",0,IFERROR(VALUE(LEFT(E1676,FIND("º",SUBSTITUTE(E1676,"°","º"))-1)),""))))</f>
        <v>32</v>
      </c>
      <c r="O1676" s="2" t="str">
        <f aca="false">IF(OR(F1676="",G1676=""),"",IF(G1676&lt;='RETRATO 2027'!$K$5,"CONCLUÍDA",IF(F1676&lt;='RETRATO 2027'!$K$5,"EM ANDAMENTO","A INICIAR")))</f>
        <v>A INICIAR</v>
      </c>
    </row>
    <row r="1677" customFormat="false" ht="15" hidden="false" customHeight="false" outlineLevel="0" collapsed="false">
      <c r="B1677" s="4" t="n">
        <v>32750432</v>
      </c>
      <c r="C1677" s="4" t="s">
        <v>2464</v>
      </c>
      <c r="D1677" s="4" t="s">
        <v>463</v>
      </c>
      <c r="E1677" s="4" t="s">
        <v>2844</v>
      </c>
      <c r="F1677" s="127" t="n">
        <v>46906</v>
      </c>
      <c r="G1677" s="127" t="n">
        <v>46918</v>
      </c>
      <c r="H1677" s="127" t="n">
        <v>46289</v>
      </c>
      <c r="I1677" s="4" t="n">
        <v>0</v>
      </c>
      <c r="J1677" s="4" t="n">
        <v>0</v>
      </c>
      <c r="K1677" s="4" t="n">
        <v>0</v>
      </c>
      <c r="M1677" s="2" t="str">
        <f aca="false">IF(C1677="","",IFERROR(INDEX($S$5:$S$304,MATCH(C1677,$R$5:$R$304,0))&amp;"","?"))</f>
        <v>21</v>
      </c>
      <c r="N1677" s="2" t="n">
        <f aca="false">IF(E1677="","",IF(ISNUMBER(SEARCH("SUBSOLO",E1677)),IFERROR(-VALUE(LEFT(E1677,FIND("º",SUBSTITUTE(E1677,"°","º"))-1)),-1),IF(LEFT(E1677,6)="TÉRREO",0,IFERROR(VALUE(LEFT(E1677,FIND("º",SUBSTITUTE(E1677,"°","º"))-1)),""))))</f>
        <v>32</v>
      </c>
      <c r="O1677" s="2" t="str">
        <f aca="false">IF(OR(F1677="",G1677=""),"",IF(G1677&lt;='RETRATO 2027'!$K$5,"CONCLUÍDA",IF(F1677&lt;='RETRATO 2027'!$K$5,"EM ANDAMENTO","A INICIAR")))</f>
        <v>A INICIAR</v>
      </c>
    </row>
    <row r="1678" customFormat="false" ht="15" hidden="false" customHeight="false" outlineLevel="0" collapsed="false">
      <c r="B1678" s="4" t="n">
        <v>33896850</v>
      </c>
      <c r="C1678" s="4" t="s">
        <v>2467</v>
      </c>
      <c r="D1678" s="4" t="s">
        <v>463</v>
      </c>
      <c r="E1678" s="4" t="s">
        <v>2844</v>
      </c>
      <c r="F1678" s="127" t="n">
        <v>46906</v>
      </c>
      <c r="G1678" s="127" t="n">
        <v>46918</v>
      </c>
      <c r="H1678" s="127" t="n">
        <v>46289</v>
      </c>
      <c r="I1678" s="4" t="n">
        <v>0</v>
      </c>
      <c r="J1678" s="4" t="n">
        <v>0</v>
      </c>
      <c r="K1678" s="4" t="n">
        <v>0</v>
      </c>
      <c r="M1678" s="2" t="str">
        <f aca="false">IF(C1678="","",IFERROR(INDEX($S$5:$S$304,MATCH(C1678,$R$5:$R$304,0))&amp;"","?"))</f>
        <v>23</v>
      </c>
      <c r="N1678" s="2" t="n">
        <f aca="false">IF(E1678="","",IF(ISNUMBER(SEARCH("SUBSOLO",E1678)),IFERROR(-VALUE(LEFT(E1678,FIND("º",SUBSTITUTE(E1678,"°","º"))-1)),-1),IF(LEFT(E1678,6)="TÉRREO",0,IFERROR(VALUE(LEFT(E1678,FIND("º",SUBSTITUTE(E1678,"°","º"))-1)),""))))</f>
        <v>32</v>
      </c>
      <c r="O1678" s="2" t="str">
        <f aca="false">IF(OR(F1678="",G1678=""),"",IF(G1678&lt;='RETRATO 2027'!$K$5,"CONCLUÍDA",IF(F1678&lt;='RETRATO 2027'!$K$5,"EM ANDAMENTO","A INICIAR")))</f>
        <v>A INICIAR</v>
      </c>
    </row>
    <row r="1679" customFormat="false" ht="15" hidden="false" customHeight="false" outlineLevel="0" collapsed="false">
      <c r="B1679" s="4" t="n">
        <v>30205705</v>
      </c>
      <c r="C1679" s="4" t="s">
        <v>2649</v>
      </c>
      <c r="D1679" s="4" t="s">
        <v>463</v>
      </c>
      <c r="E1679" s="4" t="s">
        <v>2819</v>
      </c>
      <c r="F1679" s="127" t="n">
        <v>46909</v>
      </c>
      <c r="G1679" s="127" t="n">
        <v>46923</v>
      </c>
      <c r="H1679" s="127" t="n">
        <v>46289</v>
      </c>
      <c r="I1679" s="4" t="n">
        <v>0</v>
      </c>
      <c r="J1679" s="4" t="n">
        <v>0</v>
      </c>
      <c r="K1679" s="4" t="n">
        <v>0</v>
      </c>
      <c r="M1679" s="2" t="str">
        <f aca="false">IF(C1679="","",IFERROR(INDEX($S$5:$S$304,MATCH(C1679,$R$5:$R$304,0))&amp;"","?"))</f>
        <v>37</v>
      </c>
      <c r="N1679" s="2" t="n">
        <f aca="false">IF(E1679="","",IF(ISNUMBER(SEARCH("SUBSOLO",E1679)),IFERROR(-VALUE(LEFT(E1679,FIND("º",SUBSTITUTE(E1679,"°","º"))-1)),-1),IF(LEFT(E1679,6)="TÉRREO",0,IFERROR(VALUE(LEFT(E1679,FIND("º",SUBSTITUTE(E1679,"°","º"))-1)),""))))</f>
        <v>0</v>
      </c>
      <c r="O1679" s="2" t="str">
        <f aca="false">IF(OR(F1679="",G1679=""),"",IF(G1679&lt;='RETRATO 2027'!$K$5,"CONCLUÍDA",IF(F1679&lt;='RETRATO 2027'!$K$5,"EM ANDAMENTO","A INICIAR")))</f>
        <v>A INICIAR</v>
      </c>
    </row>
    <row r="1680" customFormat="false" ht="15" hidden="false" customHeight="false" outlineLevel="0" collapsed="false">
      <c r="B1680" s="4" t="n">
        <v>30205668</v>
      </c>
      <c r="C1680" s="4" t="s">
        <v>2629</v>
      </c>
      <c r="D1680" s="4" t="s">
        <v>463</v>
      </c>
      <c r="E1680" s="4" t="s">
        <v>2821</v>
      </c>
      <c r="F1680" s="127" t="n">
        <v>46909</v>
      </c>
      <c r="G1680" s="127" t="n">
        <v>46923</v>
      </c>
      <c r="H1680" s="127" t="n">
        <v>46289</v>
      </c>
      <c r="I1680" s="4" t="n">
        <v>0</v>
      </c>
      <c r="J1680" s="4" t="n">
        <v>0</v>
      </c>
      <c r="K1680" s="4" t="n">
        <v>0</v>
      </c>
      <c r="M1680" s="2" t="str">
        <f aca="false">IF(C1680="","",IFERROR(INDEX($S$5:$S$304,MATCH(C1680,$R$5:$R$304,0))&amp;"","?"))</f>
        <v>20</v>
      </c>
      <c r="N1680" s="2" t="n">
        <f aca="false">IF(E1680="","",IF(ISNUMBER(SEARCH("SUBSOLO",E1680)),IFERROR(-VALUE(LEFT(E1680,FIND("º",SUBSTITUTE(E1680,"°","º"))-1)),-1),IF(LEFT(E1680,6)="TÉRREO",0,IFERROR(VALUE(LEFT(E1680,FIND("º",SUBSTITUTE(E1680,"°","º"))-1)),""))))</f>
        <v>0</v>
      </c>
      <c r="O1680" s="2" t="str">
        <f aca="false">IF(OR(F1680="",G1680=""),"",IF(G1680&lt;='RETRATO 2027'!$K$5,"CONCLUÍDA",IF(F1680&lt;='RETRATO 2027'!$K$5,"EM ANDAMENTO","A INICIAR")))</f>
        <v>A INICIAR</v>
      </c>
    </row>
    <row r="1681" customFormat="false" ht="15" hidden="false" customHeight="false" outlineLevel="0" collapsed="false">
      <c r="B1681" s="4" t="n">
        <v>30205640</v>
      </c>
      <c r="C1681" s="4" t="s">
        <v>2623</v>
      </c>
      <c r="D1681" s="4" t="s">
        <v>463</v>
      </c>
      <c r="E1681" s="4" t="s">
        <v>2824</v>
      </c>
      <c r="F1681" s="127" t="n">
        <v>46909</v>
      </c>
      <c r="G1681" s="127" t="n">
        <v>46923</v>
      </c>
      <c r="H1681" s="127" t="n">
        <v>46289</v>
      </c>
      <c r="I1681" s="4" t="n">
        <v>0</v>
      </c>
      <c r="J1681" s="4" t="n">
        <v>0</v>
      </c>
      <c r="K1681" s="4" t="n">
        <v>0</v>
      </c>
      <c r="M1681" s="2" t="str">
        <f aca="false">IF(C1681="","",IFERROR(INDEX($S$5:$S$304,MATCH(C1681,$R$5:$R$304,0))&amp;"","?"))</f>
        <v>35</v>
      </c>
      <c r="N1681" s="2" t="n">
        <f aca="false">IF(E1681="","",IF(ISNUMBER(SEARCH("SUBSOLO",E1681)),IFERROR(-VALUE(LEFT(E1681,FIND("º",SUBSTITUTE(E1681,"°","º"))-1)),-1),IF(LEFT(E1681,6)="TÉRREO",0,IFERROR(VALUE(LEFT(E1681,FIND("º",SUBSTITUTE(E1681,"°","º"))-1)),""))))</f>
        <v>0</v>
      </c>
      <c r="O1681" s="2" t="str">
        <f aca="false">IF(OR(F1681="",G1681=""),"",IF(G1681&lt;='RETRATO 2027'!$K$5,"CONCLUÍDA",IF(F1681&lt;='RETRATO 2027'!$K$5,"EM ANDAMENTO","A INICIAR")))</f>
        <v>A INICIAR</v>
      </c>
    </row>
    <row r="1682" customFormat="false" ht="15" hidden="false" customHeight="false" outlineLevel="0" collapsed="false">
      <c r="B1682" s="4" t="n">
        <v>30205626</v>
      </c>
      <c r="C1682" s="4" t="s">
        <v>2615</v>
      </c>
      <c r="D1682" s="4" t="s">
        <v>463</v>
      </c>
      <c r="E1682" s="4" t="s">
        <v>2826</v>
      </c>
      <c r="F1682" s="127" t="n">
        <v>46909</v>
      </c>
      <c r="G1682" s="127" t="n">
        <v>46923</v>
      </c>
      <c r="H1682" s="127" t="n">
        <v>46289</v>
      </c>
      <c r="I1682" s="4" t="n">
        <v>0</v>
      </c>
      <c r="J1682" s="4" t="n">
        <v>0</v>
      </c>
      <c r="K1682" s="4" t="n">
        <v>0</v>
      </c>
      <c r="M1682" s="2" t="str">
        <f aca="false">IF(C1682="","",IFERROR(INDEX($S$5:$S$304,MATCH(C1682,$R$5:$R$304,0))&amp;"","?"))</f>
        <v>37</v>
      </c>
      <c r="N1682" s="2" t="n">
        <f aca="false">IF(E1682="","",IF(ISNUMBER(SEARCH("SUBSOLO",E1682)),IFERROR(-VALUE(LEFT(E1682,FIND("º",SUBSTITUTE(E1682,"°","º"))-1)),-1),IF(LEFT(E1682,6)="TÉRREO",0,IFERROR(VALUE(LEFT(E1682,FIND("º",SUBSTITUTE(E1682,"°","º"))-1)),""))))</f>
        <v>0</v>
      </c>
      <c r="O1682" s="2" t="str">
        <f aca="false">IF(OR(F1682="",G1682=""),"",IF(G1682&lt;='RETRATO 2027'!$K$5,"CONCLUÍDA",IF(F1682&lt;='RETRATO 2027'!$K$5,"EM ANDAMENTO","A INICIAR")))</f>
        <v>A INICIAR</v>
      </c>
    </row>
    <row r="1683" customFormat="false" ht="15" hidden="false" customHeight="false" outlineLevel="0" collapsed="false">
      <c r="B1683" s="4" t="n">
        <v>29981079</v>
      </c>
      <c r="C1683" s="4" t="s">
        <v>2437</v>
      </c>
      <c r="D1683" s="4" t="s">
        <v>463</v>
      </c>
      <c r="E1683" s="4" t="s">
        <v>2822</v>
      </c>
      <c r="F1683" s="127" t="n">
        <v>46909</v>
      </c>
      <c r="G1683" s="127" t="n">
        <v>46920</v>
      </c>
      <c r="H1683" s="127" t="n">
        <v>46289</v>
      </c>
      <c r="I1683" s="4" t="n">
        <v>0</v>
      </c>
      <c r="J1683" s="4" t="n">
        <v>0</v>
      </c>
      <c r="K1683" s="4" t="n">
        <v>0</v>
      </c>
      <c r="M1683" s="2" t="str">
        <f aca="false">IF(C1683="","",IFERROR(INDEX($S$5:$S$304,MATCH(C1683,$R$5:$R$304,0))&amp;"","?"))</f>
        <v>29</v>
      </c>
      <c r="N1683" s="2" t="n">
        <f aca="false">IF(E1683="","",IF(ISNUMBER(SEARCH("SUBSOLO",E1683)),IFERROR(-VALUE(LEFT(E1683,FIND("º",SUBSTITUTE(E1683,"°","º"))-1)),-1),IF(LEFT(E1683,6)="TÉRREO",0,IFERROR(VALUE(LEFT(E1683,FIND("º",SUBSTITUTE(E1683,"°","º"))-1)),""))))</f>
        <v>19</v>
      </c>
      <c r="O1683" s="2" t="str">
        <f aca="false">IF(OR(F1683="",G1683=""),"",IF(G1683&lt;='RETRATO 2027'!$K$5,"CONCLUÍDA",IF(F1683&lt;='RETRATO 2027'!$K$5,"EM ANDAMENTO","A INICIAR")))</f>
        <v>A INICIAR</v>
      </c>
    </row>
    <row r="1684" customFormat="false" ht="15" hidden="false" customHeight="false" outlineLevel="0" collapsed="false">
      <c r="B1684" s="4" t="n">
        <v>30205791</v>
      </c>
      <c r="C1684" s="4" t="s">
        <v>2554</v>
      </c>
      <c r="D1684" s="4" t="s">
        <v>463</v>
      </c>
      <c r="E1684" s="4" t="s">
        <v>2835</v>
      </c>
      <c r="F1684" s="127" t="n">
        <v>46911</v>
      </c>
      <c r="G1684" s="127" t="n">
        <v>46932</v>
      </c>
      <c r="H1684" s="127" t="n">
        <v>46289</v>
      </c>
      <c r="I1684" s="4" t="n">
        <v>0</v>
      </c>
      <c r="J1684" s="4" t="n">
        <v>0</v>
      </c>
      <c r="K1684" s="4" t="n">
        <v>0</v>
      </c>
      <c r="M1684" s="2" t="str">
        <f aca="false">IF(C1684="","",IFERROR(INDEX($S$5:$S$304,MATCH(C1684,$R$5:$R$304,0))&amp;"","?"))</f>
        <v>35</v>
      </c>
      <c r="N1684" s="2" t="n">
        <f aca="false">IF(E1684="","",IF(ISNUMBER(SEARCH("SUBSOLO",E1684)),IFERROR(-VALUE(LEFT(E1684,FIND("º",SUBSTITUTE(E1684,"°","º"))-1)),-1),IF(LEFT(E1684,6)="TÉRREO",0,IFERROR(VALUE(LEFT(E1684,FIND("º",SUBSTITUTE(E1684,"°","º"))-1)),""))))</f>
        <v>0</v>
      </c>
      <c r="O1684" s="2" t="str">
        <f aca="false">IF(OR(F1684="",G1684=""),"",IF(G1684&lt;='RETRATO 2027'!$K$5,"CONCLUÍDA",IF(F1684&lt;='RETRATO 2027'!$K$5,"EM ANDAMENTO","A INICIAR")))</f>
        <v>A INICIAR</v>
      </c>
    </row>
    <row r="1685" customFormat="false" ht="15" hidden="false" customHeight="false" outlineLevel="0" collapsed="false">
      <c r="B1685" s="4" t="n">
        <v>30205817</v>
      </c>
      <c r="C1685" s="4" t="s">
        <v>2545</v>
      </c>
      <c r="D1685" s="4" t="s">
        <v>463</v>
      </c>
      <c r="E1685" s="4" t="s">
        <v>2839</v>
      </c>
      <c r="F1685" s="127" t="n">
        <v>46911</v>
      </c>
      <c r="G1685" s="127" t="n">
        <v>46925</v>
      </c>
      <c r="H1685" s="127" t="n">
        <v>46289</v>
      </c>
      <c r="I1685" s="4" t="n">
        <v>0</v>
      </c>
      <c r="J1685" s="4" t="n">
        <v>0</v>
      </c>
      <c r="K1685" s="4" t="n">
        <v>0</v>
      </c>
      <c r="M1685" s="2" t="str">
        <f aca="false">IF(C1685="","",IFERROR(INDEX($S$5:$S$304,MATCH(C1685,$R$5:$R$304,0))&amp;"","?"))</f>
        <v>25</v>
      </c>
      <c r="N1685" s="2" t="n">
        <f aca="false">IF(E1685="","",IF(ISNUMBER(SEARCH("SUBSOLO",E1685)),IFERROR(-VALUE(LEFT(E1685,FIND("º",SUBSTITUTE(E1685,"°","º"))-1)),-1),IF(LEFT(E1685,6)="TÉRREO",0,IFERROR(VALUE(LEFT(E1685,FIND("º",SUBSTITUTE(E1685,"°","º"))-1)),""))))</f>
        <v>0</v>
      </c>
      <c r="O1685" s="2" t="str">
        <f aca="false">IF(OR(F1685="",G1685=""),"",IF(G1685&lt;='RETRATO 2027'!$K$5,"CONCLUÍDA",IF(F1685&lt;='RETRATO 2027'!$K$5,"EM ANDAMENTO","A INICIAR")))</f>
        <v>A INICIAR</v>
      </c>
    </row>
    <row r="1686" customFormat="false" ht="15" hidden="false" customHeight="false" outlineLevel="0" collapsed="false">
      <c r="B1686" s="4" t="n">
        <v>34179698</v>
      </c>
      <c r="C1686" s="4" t="s">
        <v>2670</v>
      </c>
      <c r="D1686" s="4" t="s">
        <v>463</v>
      </c>
      <c r="E1686" s="4" t="s">
        <v>2836</v>
      </c>
      <c r="F1686" s="127" t="n">
        <v>46912</v>
      </c>
      <c r="G1686" s="127" t="n">
        <v>46944</v>
      </c>
      <c r="H1686" s="127" t="n">
        <v>46289</v>
      </c>
      <c r="I1686" s="4" t="n">
        <v>0</v>
      </c>
      <c r="J1686" s="4" t="n">
        <v>0</v>
      </c>
      <c r="K1686" s="4" t="n">
        <v>0</v>
      </c>
      <c r="M1686" s="2" t="str">
        <f aca="false">IF(C1686="","",IFERROR(INDEX($S$5:$S$304,MATCH(C1686,$R$5:$R$304,0))&amp;"","?"))</f>
        <v>36</v>
      </c>
      <c r="N1686" s="2" t="n">
        <f aca="false">IF(E1686="","",IF(ISNUMBER(SEARCH("SUBSOLO",E1686)),IFERROR(-VALUE(LEFT(E1686,FIND("º",SUBSTITUTE(E1686,"°","º"))-1)),-1),IF(LEFT(E1686,6)="TÉRREO",0,IFERROR(VALUE(LEFT(E1686,FIND("º",SUBSTITUTE(E1686,"°","º"))-1)),""))))</f>
        <v>0</v>
      </c>
      <c r="O1686" s="2" t="str">
        <f aca="false">IF(OR(F1686="",G1686=""),"",IF(G1686&lt;='RETRATO 2027'!$K$5,"CONCLUÍDA",IF(F1686&lt;='RETRATO 2027'!$K$5,"EM ANDAMENTO","A INICIAR")))</f>
        <v>A INICIAR</v>
      </c>
    </row>
    <row r="1687" customFormat="false" ht="15" hidden="false" customHeight="false" outlineLevel="0" collapsed="false">
      <c r="B1687" s="4" t="n">
        <v>29981476</v>
      </c>
      <c r="C1687" s="4" t="s">
        <v>2649</v>
      </c>
      <c r="D1687" s="4" t="s">
        <v>463</v>
      </c>
      <c r="E1687" s="4" t="s">
        <v>2805</v>
      </c>
      <c r="F1687" s="127" t="n">
        <v>46912</v>
      </c>
      <c r="G1687" s="127" t="n">
        <v>46925</v>
      </c>
      <c r="H1687" s="127" t="n">
        <v>46289</v>
      </c>
      <c r="I1687" s="4" t="n">
        <v>0</v>
      </c>
      <c r="J1687" s="4" t="n">
        <v>0</v>
      </c>
      <c r="K1687" s="4" t="n">
        <v>0</v>
      </c>
      <c r="M1687" s="2" t="str">
        <f aca="false">IF(C1687="","",IFERROR(INDEX($S$5:$S$304,MATCH(C1687,$R$5:$R$304,0))&amp;"","?"))</f>
        <v>37</v>
      </c>
      <c r="N1687" s="2" t="n">
        <f aca="false">IF(E1687="","",IF(ISNUMBER(SEARCH("SUBSOLO",E1687)),IFERROR(-VALUE(LEFT(E1687,FIND("º",SUBSTITUTE(E1687,"°","º"))-1)),-1),IF(LEFT(E1687,6)="TÉRREO",0,IFERROR(VALUE(LEFT(E1687,FIND("º",SUBSTITUTE(E1687,"°","º"))-1)),""))))</f>
        <v>9</v>
      </c>
      <c r="O1687" s="2" t="str">
        <f aca="false">IF(OR(F1687="",G1687=""),"",IF(G1687&lt;='RETRATO 2027'!$K$5,"CONCLUÍDA",IF(F1687&lt;='RETRATO 2027'!$K$5,"EM ANDAMENTO","A INICIAR")))</f>
        <v>A INICIAR</v>
      </c>
    </row>
    <row r="1688" customFormat="false" ht="15" hidden="false" customHeight="false" outlineLevel="0" collapsed="false">
      <c r="B1688" s="4" t="n">
        <v>29981429</v>
      </c>
      <c r="C1688" s="4" t="s">
        <v>2641</v>
      </c>
      <c r="D1688" s="4" t="s">
        <v>463</v>
      </c>
      <c r="E1688" s="4" t="s">
        <v>2809</v>
      </c>
      <c r="F1688" s="127" t="n">
        <v>46912</v>
      </c>
      <c r="G1688" s="127" t="n">
        <v>46925</v>
      </c>
      <c r="H1688" s="127" t="n">
        <v>46289</v>
      </c>
      <c r="I1688" s="4" t="n">
        <v>0</v>
      </c>
      <c r="J1688" s="4" t="n">
        <v>0</v>
      </c>
      <c r="K1688" s="4" t="n">
        <v>0</v>
      </c>
      <c r="M1688" s="2" t="str">
        <f aca="false">IF(C1688="","",IFERROR(INDEX($S$5:$S$304,MATCH(C1688,$R$5:$R$304,0))&amp;"","?"))</f>
        <v>35</v>
      </c>
      <c r="N1688" s="2" t="n">
        <f aca="false">IF(E1688="","",IF(ISNUMBER(SEARCH("SUBSOLO",E1688)),IFERROR(-VALUE(LEFT(E1688,FIND("º",SUBSTITUTE(E1688,"°","º"))-1)),-1),IF(LEFT(E1688,6)="TÉRREO",0,IFERROR(VALUE(LEFT(E1688,FIND("º",SUBSTITUTE(E1688,"°","º"))-1)),""))))</f>
        <v>10</v>
      </c>
      <c r="O1688" s="2" t="str">
        <f aca="false">IF(OR(F1688="",G1688=""),"",IF(G1688&lt;='RETRATO 2027'!$K$5,"CONCLUÍDA",IF(F1688&lt;='RETRATO 2027'!$K$5,"EM ANDAMENTO","A INICIAR")))</f>
        <v>A INICIAR</v>
      </c>
    </row>
    <row r="1689" customFormat="false" ht="15" hidden="false" customHeight="false" outlineLevel="0" collapsed="false">
      <c r="B1689" s="4" t="n">
        <v>31791086</v>
      </c>
      <c r="C1689" s="4" t="s">
        <v>2672</v>
      </c>
      <c r="D1689" s="4" t="s">
        <v>463</v>
      </c>
      <c r="E1689" s="4" t="s">
        <v>2678</v>
      </c>
      <c r="F1689" s="127" t="n">
        <v>46912</v>
      </c>
      <c r="G1689" s="127" t="n">
        <v>46961</v>
      </c>
      <c r="H1689" s="127" t="n">
        <v>46289</v>
      </c>
      <c r="I1689" s="4" t="n">
        <v>0</v>
      </c>
      <c r="J1689" s="4" t="n">
        <v>0</v>
      </c>
      <c r="K1689" s="4" t="n">
        <v>0</v>
      </c>
      <c r="M1689" s="2" t="str">
        <f aca="false">IF(C1689="","",IFERROR(INDEX($S$5:$S$304,MATCH(C1689,$R$5:$R$304,0))&amp;"","?"))</f>
        <v>32</v>
      </c>
      <c r="N1689" s="2" t="str">
        <f aca="false"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 t="str">
        <f aca="false">IF(OR(F1689="",G1689=""),"",IF(G1689&lt;='RETRATO 2027'!$K$5,"CONCLUÍDA",IF(F1689&lt;='RETRATO 2027'!$K$5,"EM ANDAMENTO","A INICIAR")))</f>
        <v>A INICIAR</v>
      </c>
    </row>
    <row r="1690" customFormat="false" ht="15" hidden="false" customHeight="false" outlineLevel="0" collapsed="false">
      <c r="B1690" s="4" t="n">
        <v>30205723</v>
      </c>
      <c r="C1690" s="4" t="s">
        <v>2674</v>
      </c>
      <c r="D1690" s="4" t="s">
        <v>463</v>
      </c>
      <c r="E1690" s="4" t="s">
        <v>2740</v>
      </c>
      <c r="F1690" s="127" t="n">
        <v>46913</v>
      </c>
      <c r="G1690" s="127" t="n">
        <v>46927</v>
      </c>
      <c r="H1690" s="127" t="n">
        <v>46289</v>
      </c>
      <c r="I1690" s="4" t="n">
        <v>0</v>
      </c>
      <c r="J1690" s="4" t="n">
        <v>0</v>
      </c>
      <c r="K1690" s="4" t="n">
        <v>0</v>
      </c>
      <c r="M1690" s="2" t="str">
        <f aca="false">IF(C1690="","",IFERROR(INDEX($S$5:$S$304,MATCH(C1690,$R$5:$R$304,0))&amp;"","?"))</f>
        <v>35</v>
      </c>
      <c r="N1690" s="2" t="n">
        <f aca="false">IF(E1690="","",IF(ISNUMBER(SEARCH("SUBSOLO",E1690)),IFERROR(-VALUE(LEFT(E1690,FIND("º",SUBSTITUTE(E1690,"°","º"))-1)),-1),IF(LEFT(E1690,6)="TÉRREO",0,IFERROR(VALUE(LEFT(E1690,FIND("º",SUBSTITUTE(E1690,"°","º"))-1)),""))))</f>
        <v>-1</v>
      </c>
      <c r="O1690" s="2" t="str">
        <f aca="false">IF(OR(F1690="",G1690=""),"",IF(G1690&lt;='RETRATO 2027'!$K$5,"CONCLUÍDA",IF(F1690&lt;='RETRATO 2027'!$K$5,"EM ANDAMENTO","A INICIAR")))</f>
        <v>A INICIAR</v>
      </c>
    </row>
    <row r="1691" customFormat="false" ht="15" hidden="false" customHeight="false" outlineLevel="0" collapsed="false">
      <c r="B1691" s="4" t="n">
        <v>30205580</v>
      </c>
      <c r="C1691" s="4" t="s">
        <v>2563</v>
      </c>
      <c r="D1691" s="4" t="s">
        <v>463</v>
      </c>
      <c r="E1691" s="4" t="s">
        <v>2828</v>
      </c>
      <c r="F1691" s="127" t="n">
        <v>46916</v>
      </c>
      <c r="G1691" s="127" t="n">
        <v>46923</v>
      </c>
      <c r="H1691" s="127" t="n">
        <v>46289</v>
      </c>
      <c r="I1691" s="4" t="n">
        <v>0</v>
      </c>
      <c r="J1691" s="4" t="n">
        <v>0</v>
      </c>
      <c r="K1691" s="4" t="n">
        <v>0</v>
      </c>
      <c r="M1691" s="2" t="str">
        <f aca="false">IF(C1691="","",IFERROR(INDEX($S$5:$S$304,MATCH(C1691,$R$5:$R$304,0))&amp;"","?"))</f>
        <v>20</v>
      </c>
      <c r="N1691" s="2" t="n">
        <f aca="false">IF(E1691="","",IF(ISNUMBER(SEARCH("SUBSOLO",E1691)),IFERROR(-VALUE(LEFT(E1691,FIND("º",SUBSTITUTE(E1691,"°","º"))-1)),-1),IF(LEFT(E1691,6)="TÉRREO",0,IFERROR(VALUE(LEFT(E1691,FIND("º",SUBSTITUTE(E1691,"°","º"))-1)),""))))</f>
        <v>0</v>
      </c>
      <c r="O1691" s="2" t="str">
        <f aca="false">IF(OR(F1691="",G1691=""),"",IF(G1691&lt;='RETRATO 2027'!$K$5,"CONCLUÍDA",IF(F1691&lt;='RETRATO 2027'!$K$5,"EM ANDAMENTO","A INICIAR")))</f>
        <v>A INICIAR</v>
      </c>
    </row>
    <row r="1692" customFormat="false" ht="15" hidden="false" customHeight="false" outlineLevel="0" collapsed="false">
      <c r="B1692" s="4" t="n">
        <v>30205555</v>
      </c>
      <c r="C1692" s="4" t="s">
        <v>2578</v>
      </c>
      <c r="D1692" s="4" t="s">
        <v>463</v>
      </c>
      <c r="E1692" s="4" t="s">
        <v>2830</v>
      </c>
      <c r="F1692" s="127" t="n">
        <v>46916</v>
      </c>
      <c r="G1692" s="127" t="n">
        <v>46930</v>
      </c>
      <c r="H1692" s="127" t="n">
        <v>46289</v>
      </c>
      <c r="I1692" s="4" t="n">
        <v>0</v>
      </c>
      <c r="J1692" s="4" t="n">
        <v>0</v>
      </c>
      <c r="K1692" s="4" t="n">
        <v>0</v>
      </c>
      <c r="M1692" s="2" t="str">
        <f aca="false">IF(C1692="","",IFERROR(INDEX($S$5:$S$304,MATCH(C1692,$R$5:$R$304,0))&amp;"","?"))</f>
        <v>25</v>
      </c>
      <c r="N1692" s="2" t="n">
        <f aca="false">IF(E1692="","",IF(ISNUMBER(SEARCH("SUBSOLO",E1692)),IFERROR(-VALUE(LEFT(E1692,FIND("º",SUBSTITUTE(E1692,"°","º"))-1)),-1),IF(LEFT(E1692,6)="TÉRREO",0,IFERROR(VALUE(LEFT(E1692,FIND("º",SUBSTITUTE(E1692,"°","º"))-1)),""))))</f>
        <v>0</v>
      </c>
      <c r="O1692" s="2" t="str">
        <f aca="false">IF(OR(F1692="",G1692=""),"",IF(G1692&lt;='RETRATO 2027'!$K$5,"CONCLUÍDA",IF(F1692&lt;='RETRATO 2027'!$K$5,"EM ANDAMENTO","A INICIAR")))</f>
        <v>A INICIAR</v>
      </c>
    </row>
    <row r="1693" customFormat="false" ht="15" hidden="false" customHeight="false" outlineLevel="0" collapsed="false">
      <c r="B1693" s="4" t="n">
        <v>30205554</v>
      </c>
      <c r="C1693" s="4" t="s">
        <v>2605</v>
      </c>
      <c r="D1693" s="4" t="s">
        <v>463</v>
      </c>
      <c r="E1693" s="4" t="s">
        <v>2830</v>
      </c>
      <c r="F1693" s="127" t="n">
        <v>46916</v>
      </c>
      <c r="G1693" s="127" t="n">
        <v>46930</v>
      </c>
      <c r="H1693" s="127" t="n">
        <v>46289</v>
      </c>
      <c r="I1693" s="4" t="n">
        <v>0</v>
      </c>
      <c r="J1693" s="4" t="n">
        <v>0</v>
      </c>
      <c r="K1693" s="4" t="n">
        <v>0</v>
      </c>
      <c r="M1693" s="2" t="str">
        <f aca="false">IF(C1693="","",IFERROR(INDEX($S$5:$S$304,MATCH(C1693,$R$5:$R$304,0))&amp;"","?"))</f>
        <v>34</v>
      </c>
      <c r="N1693" s="2" t="n">
        <f aca="false">IF(E1693="","",IF(ISNUMBER(SEARCH("SUBSOLO",E1693)),IFERROR(-VALUE(LEFT(E1693,FIND("º",SUBSTITUTE(E1693,"°","º"))-1)),-1),IF(LEFT(E1693,6)="TÉRREO",0,IFERROR(VALUE(LEFT(E1693,FIND("º",SUBSTITUTE(E1693,"°","º"))-1)),""))))</f>
        <v>0</v>
      </c>
      <c r="O1693" s="2" t="str">
        <f aca="false">IF(OR(F1693="",G1693=""),"",IF(G1693&lt;='RETRATO 2027'!$K$5,"CONCLUÍDA",IF(F1693&lt;='RETRATO 2027'!$K$5,"EM ANDAMENTO","A INICIAR")))</f>
        <v>A INICIAR</v>
      </c>
    </row>
    <row r="1694" customFormat="false" ht="15" hidden="false" customHeight="false" outlineLevel="0" collapsed="false">
      <c r="B1694" s="4" t="n">
        <v>30205552</v>
      </c>
      <c r="C1694" s="4" t="s">
        <v>2607</v>
      </c>
      <c r="D1694" s="4" t="s">
        <v>463</v>
      </c>
      <c r="E1694" s="4" t="s">
        <v>2830</v>
      </c>
      <c r="F1694" s="127" t="n">
        <v>46916</v>
      </c>
      <c r="G1694" s="127" t="n">
        <v>46930</v>
      </c>
      <c r="H1694" s="127" t="n">
        <v>46289</v>
      </c>
      <c r="I1694" s="4" t="n">
        <v>0</v>
      </c>
      <c r="J1694" s="4" t="n">
        <v>0</v>
      </c>
      <c r="K1694" s="4" t="n">
        <v>0</v>
      </c>
      <c r="M1694" s="2" t="str">
        <f aca="false">IF(C1694="","",IFERROR(INDEX($S$5:$S$304,MATCH(C1694,$R$5:$R$304,0))&amp;"","?"))</f>
        <v>34</v>
      </c>
      <c r="N1694" s="2" t="n">
        <f aca="false">IF(E1694="","",IF(ISNUMBER(SEARCH("SUBSOLO",E1694)),IFERROR(-VALUE(LEFT(E1694,FIND("º",SUBSTITUTE(E1694,"°","º"))-1)),-1),IF(LEFT(E1694,6)="TÉRREO",0,IFERROR(VALUE(LEFT(E1694,FIND("º",SUBSTITUTE(E1694,"°","º"))-1)),""))))</f>
        <v>0</v>
      </c>
      <c r="O1694" s="2" t="str">
        <f aca="false">IF(OR(F1694="",G1694=""),"",IF(G1694&lt;='RETRATO 2027'!$K$5,"CONCLUÍDA",IF(F1694&lt;='RETRATO 2027'!$K$5,"EM ANDAMENTO","A INICIAR")))</f>
        <v>A INICIAR</v>
      </c>
    </row>
    <row r="1695" customFormat="false" ht="15" hidden="false" customHeight="false" outlineLevel="0" collapsed="false">
      <c r="B1695" s="4" t="n">
        <v>30205537</v>
      </c>
      <c r="C1695" s="4" t="s">
        <v>2554</v>
      </c>
      <c r="D1695" s="4" t="s">
        <v>463</v>
      </c>
      <c r="E1695" s="4" t="s">
        <v>2832</v>
      </c>
      <c r="F1695" s="127" t="n">
        <v>46916</v>
      </c>
      <c r="G1695" s="127" t="n">
        <v>46930</v>
      </c>
      <c r="H1695" s="127" t="n">
        <v>46289</v>
      </c>
      <c r="I1695" s="4" t="n">
        <v>0</v>
      </c>
      <c r="J1695" s="4" t="n">
        <v>0</v>
      </c>
      <c r="K1695" s="4" t="n">
        <v>0</v>
      </c>
      <c r="M1695" s="2" t="str">
        <f aca="false">IF(C1695="","",IFERROR(INDEX($S$5:$S$304,MATCH(C1695,$R$5:$R$304,0))&amp;"","?"))</f>
        <v>35</v>
      </c>
      <c r="N1695" s="2" t="n">
        <f aca="false">IF(E1695="","",IF(ISNUMBER(SEARCH("SUBSOLO",E1695)),IFERROR(-VALUE(LEFT(E1695,FIND("º",SUBSTITUTE(E1695,"°","º"))-1)),-1),IF(LEFT(E1695,6)="TÉRREO",0,IFERROR(VALUE(LEFT(E1695,FIND("º",SUBSTITUTE(E1695,"°","º"))-1)),""))))</f>
        <v>0</v>
      </c>
      <c r="O1695" s="2" t="str">
        <f aca="false">IF(OR(F1695="",G1695=""),"",IF(G1695&lt;='RETRATO 2027'!$K$5,"CONCLUÍDA",IF(F1695&lt;='RETRATO 2027'!$K$5,"EM ANDAMENTO","A INICIAR")))</f>
        <v>A INICIAR</v>
      </c>
    </row>
    <row r="1696" customFormat="false" ht="15" hidden="false" customHeight="false" outlineLevel="0" collapsed="false">
      <c r="B1696" s="4" t="n">
        <v>30171522</v>
      </c>
      <c r="C1696" s="4" t="s">
        <v>2495</v>
      </c>
      <c r="D1696" s="4" t="s">
        <v>463</v>
      </c>
      <c r="E1696" s="4" t="s">
        <v>2857</v>
      </c>
      <c r="F1696" s="127" t="n">
        <v>46918</v>
      </c>
      <c r="G1696" s="127" t="n">
        <v>46946</v>
      </c>
      <c r="H1696" s="127" t="n">
        <v>46289</v>
      </c>
      <c r="I1696" s="4" t="n">
        <v>0</v>
      </c>
      <c r="J1696" s="4" t="n">
        <v>0</v>
      </c>
      <c r="K1696" s="4" t="n">
        <v>0</v>
      </c>
      <c r="M1696" s="2" t="str">
        <f aca="false">IF(C1696="","",IFERROR(INDEX($S$5:$S$304,MATCH(C1696,$R$5:$R$304,0))&amp;"","?"))</f>
        <v>24</v>
      </c>
      <c r="N1696" s="2" t="str">
        <f aca="false"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 t="str">
        <f aca="false">IF(OR(F1696="",G1696=""),"",IF(G1696&lt;='RETRATO 2027'!$K$5,"CONCLUÍDA",IF(F1696&lt;='RETRATO 2027'!$K$5,"EM ANDAMENTO","A INICIAR")))</f>
        <v>A INICIAR</v>
      </c>
    </row>
    <row r="1697" customFormat="false" ht="15" hidden="false" customHeight="false" outlineLevel="0" collapsed="false">
      <c r="B1697" s="4" t="n">
        <v>29981391</v>
      </c>
      <c r="C1697" s="4" t="s">
        <v>2637</v>
      </c>
      <c r="D1697" s="4" t="s">
        <v>463</v>
      </c>
      <c r="E1697" s="4" t="s">
        <v>2810</v>
      </c>
      <c r="F1697" s="127" t="n">
        <v>46918</v>
      </c>
      <c r="G1697" s="127" t="n">
        <v>46925</v>
      </c>
      <c r="H1697" s="127" t="n">
        <v>46289</v>
      </c>
      <c r="I1697" s="4" t="n">
        <v>0</v>
      </c>
      <c r="J1697" s="4" t="n">
        <v>0</v>
      </c>
      <c r="K1697" s="4" t="n">
        <v>0</v>
      </c>
      <c r="M1697" s="2" t="str">
        <f aca="false">IF(C1697="","",IFERROR(INDEX($S$5:$S$304,MATCH(C1697,$R$5:$R$304,0))&amp;"","?"))</f>
        <v/>
      </c>
      <c r="N1697" s="2" t="n">
        <f aca="false">IF(E1697="","",IF(ISNUMBER(SEARCH("SUBSOLO",E1697)),IFERROR(-VALUE(LEFT(E1697,FIND("º",SUBSTITUTE(E1697,"°","º"))-1)),-1),IF(LEFT(E1697,6)="TÉRREO",0,IFERROR(VALUE(LEFT(E1697,FIND("º",SUBSTITUTE(E1697,"°","º"))-1)),""))))</f>
        <v>11</v>
      </c>
      <c r="O1697" s="2" t="str">
        <f aca="false">IF(OR(F1697="",G1697=""),"",IF(G1697&lt;='RETRATO 2027'!$K$5,"CONCLUÍDA",IF(F1697&lt;='RETRATO 2027'!$K$5,"EM ANDAMENTO","A INICIAR")))</f>
        <v>A INICIAR</v>
      </c>
    </row>
    <row r="1698" customFormat="false" ht="15" hidden="false" customHeight="false" outlineLevel="0" collapsed="false">
      <c r="B1698" s="4" t="n">
        <v>29981356</v>
      </c>
      <c r="C1698" s="4" t="s">
        <v>2629</v>
      </c>
      <c r="D1698" s="4" t="s">
        <v>463</v>
      </c>
      <c r="E1698" s="4" t="s">
        <v>2811</v>
      </c>
      <c r="F1698" s="127" t="n">
        <v>46918</v>
      </c>
      <c r="G1698" s="127" t="n">
        <v>46931</v>
      </c>
      <c r="H1698" s="127" t="n">
        <v>46289</v>
      </c>
      <c r="I1698" s="4" t="n">
        <v>0</v>
      </c>
      <c r="J1698" s="4" t="n">
        <v>0</v>
      </c>
      <c r="K1698" s="4" t="n">
        <v>0</v>
      </c>
      <c r="M1698" s="2" t="str">
        <f aca="false">IF(C1698="","",IFERROR(INDEX($S$5:$S$304,MATCH(C1698,$R$5:$R$304,0))&amp;"","?"))</f>
        <v>20</v>
      </c>
      <c r="N1698" s="2" t="n">
        <f aca="false">IF(E1698="","",IF(ISNUMBER(SEARCH("SUBSOLO",E1698)),IFERROR(-VALUE(LEFT(E1698,FIND("º",SUBSTITUTE(E1698,"°","º"))-1)),-1),IF(LEFT(E1698,6)="TÉRREO",0,IFERROR(VALUE(LEFT(E1698,FIND("º",SUBSTITUTE(E1698,"°","º"))-1)),""))))</f>
        <v>12</v>
      </c>
      <c r="O1698" s="2" t="str">
        <f aca="false">IF(OR(F1698="",G1698=""),"",IF(G1698&lt;='RETRATO 2027'!$K$5,"CONCLUÍDA",IF(F1698&lt;='RETRATO 2027'!$K$5,"EM ANDAMENTO","A INICIAR")))</f>
        <v>A INICIAR</v>
      </c>
    </row>
    <row r="1699" customFormat="false" ht="15" hidden="false" customHeight="false" outlineLevel="0" collapsed="false">
      <c r="B1699" s="4" t="n">
        <v>29981316</v>
      </c>
      <c r="C1699" s="4" t="s">
        <v>2623</v>
      </c>
      <c r="D1699" s="4" t="s">
        <v>463</v>
      </c>
      <c r="E1699" s="4" t="s">
        <v>2812</v>
      </c>
      <c r="F1699" s="127" t="n">
        <v>46918</v>
      </c>
      <c r="G1699" s="127" t="n">
        <v>46931</v>
      </c>
      <c r="H1699" s="127" t="n">
        <v>46289</v>
      </c>
      <c r="I1699" s="4" t="n">
        <v>0</v>
      </c>
      <c r="J1699" s="4" t="n">
        <v>0</v>
      </c>
      <c r="K1699" s="4" t="n">
        <v>0</v>
      </c>
      <c r="M1699" s="2" t="str">
        <f aca="false">IF(C1699="","",IFERROR(INDEX($S$5:$S$304,MATCH(C1699,$R$5:$R$304,0))&amp;"","?"))</f>
        <v>35</v>
      </c>
      <c r="N1699" s="2" t="n">
        <f aca="false">IF(E1699="","",IF(ISNUMBER(SEARCH("SUBSOLO",E1699)),IFERROR(-VALUE(LEFT(E1699,FIND("º",SUBSTITUTE(E1699,"°","º"))-1)),-1),IF(LEFT(E1699,6)="TÉRREO",0,IFERROR(VALUE(LEFT(E1699,FIND("º",SUBSTITUTE(E1699,"°","º"))-1)),""))))</f>
        <v>13</v>
      </c>
      <c r="O1699" s="2" t="str">
        <f aca="false">IF(OR(F1699="",G1699=""),"",IF(G1699&lt;='RETRATO 2027'!$K$5,"CONCLUÍDA",IF(F1699&lt;='RETRATO 2027'!$K$5,"EM ANDAMENTO","A INICIAR")))</f>
        <v>A INICIAR</v>
      </c>
    </row>
    <row r="1700" customFormat="false" ht="15" hidden="false" customHeight="false" outlineLevel="0" collapsed="false">
      <c r="B1700" s="4" t="n">
        <v>33919791</v>
      </c>
      <c r="C1700" s="4" t="s">
        <v>2625</v>
      </c>
      <c r="D1700" s="4" t="s">
        <v>463</v>
      </c>
      <c r="E1700" s="4" t="s">
        <v>2812</v>
      </c>
      <c r="F1700" s="127" t="n">
        <v>46918</v>
      </c>
      <c r="G1700" s="127" t="n">
        <v>46931</v>
      </c>
      <c r="H1700" s="127" t="n">
        <v>46289</v>
      </c>
      <c r="I1700" s="4" t="n">
        <v>0</v>
      </c>
      <c r="J1700" s="4" t="n">
        <v>0</v>
      </c>
      <c r="K1700" s="4" t="n">
        <v>0</v>
      </c>
      <c r="M1700" s="2" t="str">
        <f aca="false">IF(C1700="","",IFERROR(INDEX($S$5:$S$304,MATCH(C1700,$R$5:$R$304,0))&amp;"","?"))</f>
        <v>32</v>
      </c>
      <c r="N1700" s="2" t="n">
        <f aca="false">IF(E1700="","",IF(ISNUMBER(SEARCH("SUBSOLO",E1700)),IFERROR(-VALUE(LEFT(E1700,FIND("º",SUBSTITUTE(E1700,"°","º"))-1)),-1),IF(LEFT(E1700,6)="TÉRREO",0,IFERROR(VALUE(LEFT(E1700,FIND("º",SUBSTITUTE(E1700,"°","º"))-1)),""))))</f>
        <v>13</v>
      </c>
      <c r="O1700" s="2" t="str">
        <f aca="false">IF(OR(F1700="",G1700=""),"",IF(G1700&lt;='RETRATO 2027'!$K$5,"CONCLUÍDA",IF(F1700&lt;='RETRATO 2027'!$K$5,"EM ANDAMENTO","A INICIAR")))</f>
        <v>A INICIAR</v>
      </c>
    </row>
    <row r="1701" customFormat="false" ht="15" hidden="false" customHeight="false" outlineLevel="0" collapsed="false">
      <c r="B1701" s="4" t="n">
        <v>29981278</v>
      </c>
      <c r="C1701" s="4" t="s">
        <v>2615</v>
      </c>
      <c r="D1701" s="4" t="s">
        <v>463</v>
      </c>
      <c r="E1701" s="4" t="s">
        <v>2813</v>
      </c>
      <c r="F1701" s="127" t="n">
        <v>46918</v>
      </c>
      <c r="G1701" s="127" t="n">
        <v>46931</v>
      </c>
      <c r="H1701" s="127" t="n">
        <v>46289</v>
      </c>
      <c r="I1701" s="4" t="n">
        <v>0</v>
      </c>
      <c r="J1701" s="4" t="n">
        <v>0</v>
      </c>
      <c r="K1701" s="4" t="n">
        <v>0</v>
      </c>
      <c r="M1701" s="2" t="str">
        <f aca="false">IF(C1701="","",IFERROR(INDEX($S$5:$S$304,MATCH(C1701,$R$5:$R$304,0))&amp;"","?"))</f>
        <v>37</v>
      </c>
      <c r="N1701" s="2" t="n">
        <f aca="false">IF(E1701="","",IF(ISNUMBER(SEARCH("SUBSOLO",E1701)),IFERROR(-VALUE(LEFT(E1701,FIND("º",SUBSTITUTE(E1701,"°","º"))-1)),-1),IF(LEFT(E1701,6)="TÉRREO",0,IFERROR(VALUE(LEFT(E1701,FIND("º",SUBSTITUTE(E1701,"°","º"))-1)),""))))</f>
        <v>14</v>
      </c>
      <c r="O1701" s="2" t="str">
        <f aca="false">IF(OR(F1701="",G1701=""),"",IF(G1701&lt;='RETRATO 2027'!$K$5,"CONCLUÍDA",IF(F1701&lt;='RETRATO 2027'!$K$5,"EM ANDAMENTO","A INICIAR")))</f>
        <v>A INICIAR</v>
      </c>
    </row>
    <row r="1702" customFormat="false" ht="15" hidden="false" customHeight="false" outlineLevel="0" collapsed="false">
      <c r="B1702" s="4" t="n">
        <v>29981235</v>
      </c>
      <c r="C1702" s="4" t="s">
        <v>2605</v>
      </c>
      <c r="D1702" s="4" t="s">
        <v>463</v>
      </c>
      <c r="E1702" s="4" t="s">
        <v>2814</v>
      </c>
      <c r="F1702" s="127" t="n">
        <v>46918</v>
      </c>
      <c r="G1702" s="127" t="n">
        <v>46931</v>
      </c>
      <c r="H1702" s="127" t="n">
        <v>46289</v>
      </c>
      <c r="I1702" s="4" t="n">
        <v>0</v>
      </c>
      <c r="J1702" s="4" t="n">
        <v>0</v>
      </c>
      <c r="K1702" s="4" t="n">
        <v>0</v>
      </c>
      <c r="M1702" s="2" t="str">
        <f aca="false">IF(C1702="","",IFERROR(INDEX($S$5:$S$304,MATCH(C1702,$R$5:$R$304,0))&amp;"","?"))</f>
        <v>34</v>
      </c>
      <c r="N1702" s="2" t="n">
        <f aca="false">IF(E1702="","",IF(ISNUMBER(SEARCH("SUBSOLO",E1702)),IFERROR(-VALUE(LEFT(E1702,FIND("º",SUBSTITUTE(E1702,"°","º"))-1)),-1),IF(LEFT(E1702,6)="TÉRREO",0,IFERROR(VALUE(LEFT(E1702,FIND("º",SUBSTITUTE(E1702,"°","º"))-1)),""))))</f>
        <v>15</v>
      </c>
      <c r="O1702" s="2" t="str">
        <f aca="false">IF(OR(F1702="",G1702=""),"",IF(G1702&lt;='RETRATO 2027'!$K$5,"CONCLUÍDA",IF(F1702&lt;='RETRATO 2027'!$K$5,"EM ANDAMENTO","A INICIAR")))</f>
        <v>A INICIAR</v>
      </c>
    </row>
    <row r="1703" customFormat="false" ht="15" hidden="false" customHeight="false" outlineLevel="0" collapsed="false">
      <c r="B1703" s="4" t="n">
        <v>29981240</v>
      </c>
      <c r="C1703" s="4" t="s">
        <v>2607</v>
      </c>
      <c r="D1703" s="4" t="s">
        <v>463</v>
      </c>
      <c r="E1703" s="4" t="s">
        <v>2814</v>
      </c>
      <c r="F1703" s="127" t="n">
        <v>46918</v>
      </c>
      <c r="G1703" s="127" t="n">
        <v>46931</v>
      </c>
      <c r="H1703" s="127" t="n">
        <v>46289</v>
      </c>
      <c r="I1703" s="4" t="n">
        <v>0</v>
      </c>
      <c r="J1703" s="4" t="n">
        <v>0</v>
      </c>
      <c r="K1703" s="4" t="n">
        <v>0</v>
      </c>
      <c r="M1703" s="2" t="str">
        <f aca="false">IF(C1703="","",IFERROR(INDEX($S$5:$S$304,MATCH(C1703,$R$5:$R$304,0))&amp;"","?"))</f>
        <v>34</v>
      </c>
      <c r="N1703" s="2" t="n">
        <f aca="false">IF(E1703="","",IF(ISNUMBER(SEARCH("SUBSOLO",E1703)),IFERROR(-VALUE(LEFT(E1703,FIND("º",SUBSTITUTE(E1703,"°","º"))-1)),-1),IF(LEFT(E1703,6)="TÉRREO",0,IFERROR(VALUE(LEFT(E1703,FIND("º",SUBSTITUTE(E1703,"°","º"))-1)),""))))</f>
        <v>15</v>
      </c>
      <c r="O1703" s="2" t="str">
        <f aca="false">IF(OR(F1703="",G1703=""),"",IF(G1703&lt;='RETRATO 2027'!$K$5,"CONCLUÍDA",IF(F1703&lt;='RETRATO 2027'!$K$5,"EM ANDAMENTO","A INICIAR")))</f>
        <v>A INICIAR</v>
      </c>
    </row>
    <row r="1704" customFormat="false" ht="15" hidden="false" customHeight="false" outlineLevel="0" collapsed="false">
      <c r="B1704" s="4" t="n">
        <v>29981239</v>
      </c>
      <c r="C1704" s="4" t="s">
        <v>2563</v>
      </c>
      <c r="D1704" s="4" t="s">
        <v>463</v>
      </c>
      <c r="E1704" s="4" t="s">
        <v>2814</v>
      </c>
      <c r="F1704" s="127" t="n">
        <v>46918</v>
      </c>
      <c r="G1704" s="127" t="n">
        <v>46931</v>
      </c>
      <c r="H1704" s="127" t="n">
        <v>46289</v>
      </c>
      <c r="I1704" s="4" t="n">
        <v>0</v>
      </c>
      <c r="J1704" s="4" t="n">
        <v>0</v>
      </c>
      <c r="K1704" s="4" t="n">
        <v>0</v>
      </c>
      <c r="M1704" s="2" t="str">
        <f aca="false">IF(C1704="","",IFERROR(INDEX($S$5:$S$304,MATCH(C1704,$R$5:$R$304,0))&amp;"","?"))</f>
        <v>20</v>
      </c>
      <c r="N1704" s="2" t="n">
        <f aca="false">IF(E1704="","",IF(ISNUMBER(SEARCH("SUBSOLO",E1704)),IFERROR(-VALUE(LEFT(E1704,FIND("º",SUBSTITUTE(E1704,"°","º"))-1)),-1),IF(LEFT(E1704,6)="TÉRREO",0,IFERROR(VALUE(LEFT(E1704,FIND("º",SUBSTITUTE(E1704,"°","º"))-1)),""))))</f>
        <v>15</v>
      </c>
      <c r="O1704" s="2" t="str">
        <f aca="false">IF(OR(F1704="",G1704=""),"",IF(G1704&lt;='RETRATO 2027'!$K$5,"CONCLUÍDA",IF(F1704&lt;='RETRATO 2027'!$K$5,"EM ANDAMENTO","A INICIAR")))</f>
        <v>A INICIAR</v>
      </c>
    </row>
    <row r="1705" customFormat="false" ht="15" hidden="false" customHeight="false" outlineLevel="0" collapsed="false">
      <c r="B1705" s="4" t="n">
        <v>29981238</v>
      </c>
      <c r="C1705" s="4" t="s">
        <v>2609</v>
      </c>
      <c r="D1705" s="4" t="s">
        <v>463</v>
      </c>
      <c r="E1705" s="4" t="s">
        <v>2814</v>
      </c>
      <c r="F1705" s="127" t="n">
        <v>46918</v>
      </c>
      <c r="G1705" s="127" t="n">
        <v>46931</v>
      </c>
      <c r="H1705" s="127" t="n">
        <v>46289</v>
      </c>
      <c r="I1705" s="4" t="n">
        <v>0</v>
      </c>
      <c r="J1705" s="4" t="n">
        <v>0</v>
      </c>
      <c r="K1705" s="4" t="n">
        <v>0</v>
      </c>
      <c r="M1705" s="2" t="str">
        <f aca="false">IF(C1705="","",IFERROR(INDEX($S$5:$S$304,MATCH(C1705,$R$5:$R$304,0))&amp;"","?"))</f>
        <v>23</v>
      </c>
      <c r="N1705" s="2" t="n">
        <f aca="false">IF(E1705="","",IF(ISNUMBER(SEARCH("SUBSOLO",E1705)),IFERROR(-VALUE(LEFT(E1705,FIND("º",SUBSTITUTE(E1705,"°","º"))-1)),-1),IF(LEFT(E1705,6)="TÉRREO",0,IFERROR(VALUE(LEFT(E1705,FIND("º",SUBSTITUTE(E1705,"°","º"))-1)),""))))</f>
        <v>15</v>
      </c>
      <c r="O1705" s="2" t="str">
        <f aca="false">IF(OR(F1705="",G1705=""),"",IF(G1705&lt;='RETRATO 2027'!$K$5,"CONCLUÍDA",IF(F1705&lt;='RETRATO 2027'!$K$5,"EM ANDAMENTO","A INICIAR")))</f>
        <v>A INICIAR</v>
      </c>
    </row>
    <row r="1706" customFormat="false" ht="15" hidden="false" customHeight="false" outlineLevel="0" collapsed="false">
      <c r="B1706" s="4" t="n">
        <v>29981197</v>
      </c>
      <c r="C1706" s="4" t="s">
        <v>2599</v>
      </c>
      <c r="D1706" s="4" t="s">
        <v>463</v>
      </c>
      <c r="E1706" s="4" t="s">
        <v>2815</v>
      </c>
      <c r="F1706" s="127" t="n">
        <v>46918</v>
      </c>
      <c r="G1706" s="127" t="n">
        <v>46931</v>
      </c>
      <c r="H1706" s="127" t="n">
        <v>46289</v>
      </c>
      <c r="I1706" s="4" t="n">
        <v>0</v>
      </c>
      <c r="J1706" s="4" t="n">
        <v>0</v>
      </c>
      <c r="K1706" s="4" t="n">
        <v>0</v>
      </c>
      <c r="M1706" s="2" t="str">
        <f aca="false">IF(C1706="","",IFERROR(INDEX($S$5:$S$304,MATCH(C1706,$R$5:$R$304,0))&amp;"","?"))</f>
        <v>30</v>
      </c>
      <c r="N1706" s="2" t="n">
        <f aca="false">IF(E1706="","",IF(ISNUMBER(SEARCH("SUBSOLO",E1706)),IFERROR(-VALUE(LEFT(E1706,FIND("º",SUBSTITUTE(E1706,"°","º"))-1)),-1),IF(LEFT(E1706,6)="TÉRREO",0,IFERROR(VALUE(LEFT(E1706,FIND("º",SUBSTITUTE(E1706,"°","º"))-1)),""))))</f>
        <v>16</v>
      </c>
      <c r="O1706" s="2" t="str">
        <f aca="false">IF(OR(F1706="",G1706=""),"",IF(G1706&lt;='RETRATO 2027'!$K$5,"CONCLUÍDA",IF(F1706&lt;='RETRATO 2027'!$K$5,"EM ANDAMENTO","A INICIAR")))</f>
        <v>A INICIAR</v>
      </c>
    </row>
    <row r="1707" customFormat="false" ht="15" hidden="false" customHeight="false" outlineLevel="0" collapsed="false">
      <c r="B1707" s="4" t="n">
        <v>29981159</v>
      </c>
      <c r="C1707" s="4" t="s">
        <v>2578</v>
      </c>
      <c r="D1707" s="4" t="s">
        <v>463</v>
      </c>
      <c r="E1707" s="4" t="s">
        <v>2818</v>
      </c>
      <c r="F1707" s="127" t="n">
        <v>46918</v>
      </c>
      <c r="G1707" s="127" t="n">
        <v>46931</v>
      </c>
      <c r="H1707" s="127" t="n">
        <v>46289</v>
      </c>
      <c r="I1707" s="4" t="n">
        <v>0</v>
      </c>
      <c r="J1707" s="4" t="n">
        <v>0</v>
      </c>
      <c r="K1707" s="4" t="n">
        <v>0</v>
      </c>
      <c r="M1707" s="2" t="str">
        <f aca="false">IF(C1707="","",IFERROR(INDEX($S$5:$S$304,MATCH(C1707,$R$5:$R$304,0))&amp;"","?"))</f>
        <v>25</v>
      </c>
      <c r="N1707" s="2" t="n">
        <f aca="false">IF(E1707="","",IF(ISNUMBER(SEARCH("SUBSOLO",E1707)),IFERROR(-VALUE(LEFT(E1707,FIND("º",SUBSTITUTE(E1707,"°","º"))-1)),-1),IF(LEFT(E1707,6)="TÉRREO",0,IFERROR(VALUE(LEFT(E1707,FIND("º",SUBSTITUTE(E1707,"°","º"))-1)),""))))</f>
        <v>17</v>
      </c>
      <c r="O1707" s="2" t="str">
        <f aca="false">IF(OR(F1707="",G1707=""),"",IF(G1707&lt;='RETRATO 2027'!$K$5,"CONCLUÍDA",IF(F1707&lt;='RETRATO 2027'!$K$5,"EM ANDAMENTO","A INICIAR")))</f>
        <v>A INICIAR</v>
      </c>
    </row>
    <row r="1708" customFormat="false" ht="15" hidden="false" customHeight="false" outlineLevel="0" collapsed="false">
      <c r="B1708" s="4" t="n">
        <v>29981121</v>
      </c>
      <c r="C1708" s="4" t="s">
        <v>2569</v>
      </c>
      <c r="D1708" s="4" t="s">
        <v>463</v>
      </c>
      <c r="E1708" s="4" t="s">
        <v>2820</v>
      </c>
      <c r="F1708" s="127" t="n">
        <v>46918</v>
      </c>
      <c r="G1708" s="127" t="n">
        <v>46931</v>
      </c>
      <c r="H1708" s="127" t="n">
        <v>46289</v>
      </c>
      <c r="I1708" s="4" t="n">
        <v>0</v>
      </c>
      <c r="J1708" s="4" t="n">
        <v>0</v>
      </c>
      <c r="K1708" s="4" t="n">
        <v>0</v>
      </c>
      <c r="M1708" s="2" t="str">
        <f aca="false">IF(C1708="","",IFERROR(INDEX($S$5:$S$304,MATCH(C1708,$R$5:$R$304,0))&amp;"","?"))</f>
        <v>30</v>
      </c>
      <c r="N1708" s="2" t="n">
        <f aca="false">IF(E1708="","",IF(ISNUMBER(SEARCH("SUBSOLO",E1708)),IFERROR(-VALUE(LEFT(E1708,FIND("º",SUBSTITUTE(E1708,"°","º"))-1)),-1),IF(LEFT(E1708,6)="TÉRREO",0,IFERROR(VALUE(LEFT(E1708,FIND("º",SUBSTITUTE(E1708,"°","º"))-1)),""))))</f>
        <v>18</v>
      </c>
      <c r="O1708" s="2" t="str">
        <f aca="false">IF(OR(F1708="",G1708=""),"",IF(G1708&lt;='RETRATO 2027'!$K$5,"CONCLUÍDA",IF(F1708&lt;='RETRATO 2027'!$K$5,"EM ANDAMENTO","A INICIAR")))</f>
        <v>A INICIAR</v>
      </c>
    </row>
    <row r="1709" customFormat="false" ht="15" hidden="false" customHeight="false" outlineLevel="0" collapsed="false">
      <c r="B1709" s="4" t="n">
        <v>29981046</v>
      </c>
      <c r="C1709" s="4" t="s">
        <v>2554</v>
      </c>
      <c r="D1709" s="4" t="s">
        <v>463</v>
      </c>
      <c r="E1709" s="4" t="s">
        <v>2823</v>
      </c>
      <c r="F1709" s="127" t="n">
        <v>46918</v>
      </c>
      <c r="G1709" s="127" t="n">
        <v>46931</v>
      </c>
      <c r="H1709" s="127" t="n">
        <v>46289</v>
      </c>
      <c r="I1709" s="4" t="n">
        <v>0</v>
      </c>
      <c r="J1709" s="4" t="n">
        <v>0</v>
      </c>
      <c r="K1709" s="4" t="n">
        <v>0</v>
      </c>
      <c r="M1709" s="2" t="str">
        <f aca="false">IF(C1709="","",IFERROR(INDEX($S$5:$S$304,MATCH(C1709,$R$5:$R$304,0))&amp;"","?"))</f>
        <v>35</v>
      </c>
      <c r="N1709" s="2" t="n">
        <f aca="false">IF(E1709="","",IF(ISNUMBER(SEARCH("SUBSOLO",E1709)),IFERROR(-VALUE(LEFT(E1709,FIND("º",SUBSTITUTE(E1709,"°","º"))-1)),-1),IF(LEFT(E1709,6)="TÉRREO",0,IFERROR(VALUE(LEFT(E1709,FIND("º",SUBSTITUTE(E1709,"°","º"))-1)),""))))</f>
        <v>20</v>
      </c>
      <c r="O1709" s="2" t="str">
        <f aca="false">IF(OR(F1709="",G1709=""),"",IF(G1709&lt;='RETRATO 2027'!$K$5,"CONCLUÍDA",IF(F1709&lt;='RETRATO 2027'!$K$5,"EM ANDAMENTO","A INICIAR")))</f>
        <v>A INICIAR</v>
      </c>
    </row>
    <row r="1710" customFormat="false" ht="15" hidden="false" customHeight="false" outlineLevel="0" collapsed="false">
      <c r="B1710" s="4" t="n">
        <v>29981035</v>
      </c>
      <c r="C1710" s="4" t="s">
        <v>2539</v>
      </c>
      <c r="D1710" s="4" t="s">
        <v>463</v>
      </c>
      <c r="E1710" s="4" t="s">
        <v>2825</v>
      </c>
      <c r="F1710" s="127" t="n">
        <v>46918</v>
      </c>
      <c r="G1710" s="127" t="n">
        <v>46931</v>
      </c>
      <c r="H1710" s="127" t="n">
        <v>46289</v>
      </c>
      <c r="I1710" s="4" t="n">
        <v>0</v>
      </c>
      <c r="J1710" s="4" t="n">
        <v>0</v>
      </c>
      <c r="K1710" s="4" t="n">
        <v>0</v>
      </c>
      <c r="M1710" s="2" t="str">
        <f aca="false">IF(C1710="","",IFERROR(INDEX($S$5:$S$304,MATCH(C1710,$R$5:$R$304,0))&amp;"","?"))</f>
        <v>35</v>
      </c>
      <c r="N1710" s="2" t="n">
        <f aca="false">IF(E1710="","",IF(ISNUMBER(SEARCH("SUBSOLO",E1710)),IFERROR(-VALUE(LEFT(E1710,FIND("º",SUBSTITUTE(E1710,"°","º"))-1)),-1),IF(LEFT(E1710,6)="TÉRREO",0,IFERROR(VALUE(LEFT(E1710,FIND("º",SUBSTITUTE(E1710,"°","º"))-1)),""))))</f>
        <v>21</v>
      </c>
      <c r="O1710" s="2" t="str">
        <f aca="false">IF(OR(F1710="",G1710=""),"",IF(G1710&lt;='RETRATO 2027'!$K$5,"CONCLUÍDA",IF(F1710&lt;='RETRATO 2027'!$K$5,"EM ANDAMENTO","A INICIAR")))</f>
        <v>A INICIAR</v>
      </c>
    </row>
    <row r="1711" customFormat="false" ht="15" hidden="false" customHeight="false" outlineLevel="0" collapsed="false">
      <c r="B1711" s="4" t="n">
        <v>33898106</v>
      </c>
      <c r="C1711" s="4" t="s">
        <v>2545</v>
      </c>
      <c r="D1711" s="4" t="s">
        <v>463</v>
      </c>
      <c r="E1711" s="4" t="s">
        <v>2827</v>
      </c>
      <c r="F1711" s="127" t="n">
        <v>46918</v>
      </c>
      <c r="G1711" s="127" t="n">
        <v>46931</v>
      </c>
      <c r="H1711" s="127" t="n">
        <v>46289</v>
      </c>
      <c r="I1711" s="4" t="n">
        <v>0</v>
      </c>
      <c r="J1711" s="4" t="n">
        <v>0</v>
      </c>
      <c r="K1711" s="4" t="n">
        <v>0</v>
      </c>
      <c r="M1711" s="2" t="str">
        <f aca="false">IF(C1711="","",IFERROR(INDEX($S$5:$S$304,MATCH(C1711,$R$5:$R$304,0))&amp;"","?"))</f>
        <v>25</v>
      </c>
      <c r="N1711" s="2" t="n">
        <f aca="false">IF(E1711="","",IF(ISNUMBER(SEARCH("SUBSOLO",E1711)),IFERROR(-VALUE(LEFT(E1711,FIND("º",SUBSTITUTE(E1711,"°","º"))-1)),-1),IF(LEFT(E1711,6)="TÉRREO",0,IFERROR(VALUE(LEFT(E1711,FIND("º",SUBSTITUTE(E1711,"°","º"))-1)),""))))</f>
        <v>22</v>
      </c>
      <c r="O1711" s="2" t="str">
        <f aca="false">IF(OR(F1711="",G1711=""),"",IF(G1711&lt;='RETRATO 2027'!$K$5,"CONCLUÍDA",IF(F1711&lt;='RETRATO 2027'!$K$5,"EM ANDAMENTO","A INICIAR")))</f>
        <v>A INICIAR</v>
      </c>
    </row>
    <row r="1712" customFormat="false" ht="15" hidden="false" customHeight="false" outlineLevel="0" collapsed="false">
      <c r="B1712" s="4" t="n">
        <v>34179691</v>
      </c>
      <c r="C1712" s="4" t="s">
        <v>194</v>
      </c>
      <c r="D1712" s="4" t="s">
        <v>463</v>
      </c>
      <c r="E1712" s="4" t="s">
        <v>2836</v>
      </c>
      <c r="F1712" s="127" t="n">
        <v>46920</v>
      </c>
      <c r="G1712" s="127" t="n">
        <v>46933</v>
      </c>
      <c r="H1712" s="127" t="n">
        <v>46289</v>
      </c>
      <c r="I1712" s="4" t="n">
        <v>0</v>
      </c>
      <c r="J1712" s="4" t="n">
        <v>0</v>
      </c>
      <c r="K1712" s="4" t="n">
        <v>0</v>
      </c>
      <c r="M1712" s="2" t="str">
        <f aca="false">IF(C1712="","",IFERROR(INDEX($S$5:$S$304,MATCH(C1712,$R$5:$R$304,0))&amp;"","?"))</f>
        <v>26</v>
      </c>
      <c r="N1712" s="2" t="n">
        <f aca="false">IF(E1712="","",IF(ISNUMBER(SEARCH("SUBSOLO",E1712)),IFERROR(-VALUE(LEFT(E1712,FIND("º",SUBSTITUTE(E1712,"°","º"))-1)),-1),IF(LEFT(E1712,6)="TÉRREO",0,IFERROR(VALUE(LEFT(E1712,FIND("º",SUBSTITUTE(E1712,"°","º"))-1)),""))))</f>
        <v>0</v>
      </c>
      <c r="O1712" s="2" t="str">
        <f aca="false">IF(OR(F1712="",G1712=""),"",IF(G1712&lt;='RETRATO 2027'!$K$5,"CONCLUÍDA",IF(F1712&lt;='RETRATO 2027'!$K$5,"EM ANDAMENTO","A INICIAR")))</f>
        <v>A INICIAR</v>
      </c>
    </row>
    <row r="1713" customFormat="false" ht="15" hidden="false" customHeight="false" outlineLevel="0" collapsed="false">
      <c r="B1713" s="4" t="n">
        <v>34179696</v>
      </c>
      <c r="C1713" s="4" t="s">
        <v>228</v>
      </c>
      <c r="D1713" s="4" t="s">
        <v>463</v>
      </c>
      <c r="E1713" s="4" t="s">
        <v>2836</v>
      </c>
      <c r="F1713" s="127" t="n">
        <v>46920</v>
      </c>
      <c r="G1713" s="127" t="n">
        <v>46982</v>
      </c>
      <c r="H1713" s="127" t="n">
        <v>46289</v>
      </c>
      <c r="I1713" s="4" t="n">
        <v>0</v>
      </c>
      <c r="J1713" s="4" t="n">
        <v>0</v>
      </c>
      <c r="K1713" s="4" t="n">
        <v>0</v>
      </c>
      <c r="M1713" s="2" t="str">
        <f aca="false">IF(C1713="","",IFERROR(INDEX($S$5:$S$304,MATCH(C1713,$R$5:$R$304,0))&amp;"","?"))</f>
        <v>36</v>
      </c>
      <c r="N1713" s="2" t="n">
        <f aca="false">IF(E1713="","",IF(ISNUMBER(SEARCH("SUBSOLO",E1713)),IFERROR(-VALUE(LEFT(E1713,FIND("º",SUBSTITUTE(E1713,"°","º"))-1)),-1),IF(LEFT(E1713,6)="TÉRREO",0,IFERROR(VALUE(LEFT(E1713,FIND("º",SUBSTITUTE(E1713,"°","º"))-1)),""))))</f>
        <v>0</v>
      </c>
      <c r="O1713" s="2" t="str">
        <f aca="false">IF(OR(F1713="",G1713=""),"",IF(G1713&lt;='RETRATO 2027'!$K$5,"CONCLUÍDA",IF(F1713&lt;='RETRATO 2027'!$K$5,"EM ANDAMENTO","A INICIAR")))</f>
        <v>A INICIAR</v>
      </c>
    </row>
    <row r="1714" customFormat="false" ht="15" hidden="false" customHeight="false" outlineLevel="0" collapsed="false">
      <c r="B1714" s="4" t="n">
        <v>30205768</v>
      </c>
      <c r="C1714" s="4" t="s">
        <v>194</v>
      </c>
      <c r="D1714" s="4" t="s">
        <v>463</v>
      </c>
      <c r="E1714" s="4" t="s">
        <v>2837</v>
      </c>
      <c r="F1714" s="127" t="n">
        <v>46920</v>
      </c>
      <c r="G1714" s="127" t="n">
        <v>46933</v>
      </c>
      <c r="H1714" s="127" t="n">
        <v>46289</v>
      </c>
      <c r="I1714" s="4" t="n">
        <v>0</v>
      </c>
      <c r="J1714" s="4" t="n">
        <v>0</v>
      </c>
      <c r="K1714" s="4" t="n">
        <v>0</v>
      </c>
      <c r="M1714" s="2" t="str">
        <f aca="false">IF(C1714="","",IFERROR(INDEX($S$5:$S$304,MATCH(C1714,$R$5:$R$304,0))&amp;"","?"))</f>
        <v>26</v>
      </c>
      <c r="N1714" s="2" t="n">
        <f aca="false">IF(E1714="","",IF(ISNUMBER(SEARCH("SUBSOLO",E1714)),IFERROR(-VALUE(LEFT(E1714,FIND("º",SUBSTITUTE(E1714,"°","º"))-1)),-1),IF(LEFT(E1714,6)="TÉRREO",0,IFERROR(VALUE(LEFT(E1714,FIND("º",SUBSTITUTE(E1714,"°","º"))-1)),""))))</f>
        <v>0</v>
      </c>
      <c r="O1714" s="2" t="str">
        <f aca="false">IF(OR(F1714="",G1714=""),"",IF(G1714&lt;='RETRATO 2027'!$K$5,"CONCLUÍDA",IF(F1714&lt;='RETRATO 2027'!$K$5,"EM ANDAMENTO","A INICIAR")))</f>
        <v>A INICIAR</v>
      </c>
    </row>
    <row r="1715" customFormat="false" ht="15" hidden="false" customHeight="false" outlineLevel="0" collapsed="false">
      <c r="B1715" s="4" t="n">
        <v>30205766</v>
      </c>
      <c r="C1715" s="4" t="s">
        <v>2678</v>
      </c>
      <c r="D1715" s="4" t="s">
        <v>463</v>
      </c>
      <c r="E1715" s="4" t="s">
        <v>2837</v>
      </c>
      <c r="F1715" s="127" t="n">
        <v>46920</v>
      </c>
      <c r="G1715" s="127" t="n">
        <v>47015</v>
      </c>
      <c r="H1715" s="127" t="n">
        <v>46289</v>
      </c>
      <c r="I1715" s="4" t="n">
        <v>0</v>
      </c>
      <c r="J1715" s="4" t="n">
        <v>0</v>
      </c>
      <c r="K1715" s="4" t="n">
        <v>0</v>
      </c>
      <c r="M1715" s="2" t="str">
        <f aca="false">IF(C1715="","",IFERROR(INDEX($S$5:$S$304,MATCH(C1715,$R$5:$R$304,0))&amp;"","?"))</f>
        <v>32</v>
      </c>
      <c r="N1715" s="2" t="n">
        <f aca="false">IF(E1715="","",IF(ISNUMBER(SEARCH("SUBSOLO",E1715)),IFERROR(-VALUE(LEFT(E1715,FIND("º",SUBSTITUTE(E1715,"°","º"))-1)),-1),IF(LEFT(E1715,6)="TÉRREO",0,IFERROR(VALUE(LEFT(E1715,FIND("º",SUBSTITUTE(E1715,"°","º"))-1)),""))))</f>
        <v>0</v>
      </c>
      <c r="O1715" s="2" t="str">
        <f aca="false">IF(OR(F1715="",G1715=""),"",IF(G1715&lt;='RETRATO 2027'!$K$5,"CONCLUÍDA",IF(F1715&lt;='RETRATO 2027'!$K$5,"EM ANDAMENTO","A INICIAR")))</f>
        <v>A INICIAR</v>
      </c>
    </row>
    <row r="1716" customFormat="false" ht="15" hidden="false" customHeight="false" outlineLevel="0" collapsed="false">
      <c r="B1716" s="4" t="n">
        <v>30206127</v>
      </c>
      <c r="C1716" s="4" t="s">
        <v>216</v>
      </c>
      <c r="D1716" s="4" t="s">
        <v>463</v>
      </c>
      <c r="E1716" s="4" t="s">
        <v>2846</v>
      </c>
      <c r="F1716" s="127" t="n">
        <v>46920</v>
      </c>
      <c r="G1716" s="127" t="n">
        <v>46933</v>
      </c>
      <c r="H1716" s="127" t="n">
        <v>46289</v>
      </c>
      <c r="I1716" s="4" t="n">
        <v>0</v>
      </c>
      <c r="J1716" s="4" t="n">
        <v>0</v>
      </c>
      <c r="K1716" s="4" t="n">
        <v>0</v>
      </c>
      <c r="M1716" s="2" t="str">
        <f aca="false">IF(C1716="","",IFERROR(INDEX($S$5:$S$304,MATCH(C1716,$R$5:$R$304,0))&amp;"","?"))</f>
        <v>33</v>
      </c>
      <c r="N1716" s="2" t="n">
        <f aca="false">IF(E1716="","",IF(ISNUMBER(SEARCH("SUBSOLO",E1716)),IFERROR(-VALUE(LEFT(E1716,FIND("º",SUBSTITUTE(E1716,"°","º"))-1)),-1),IF(LEFT(E1716,6)="TÉRREO",0,IFERROR(VALUE(LEFT(E1716,FIND("º",SUBSTITUTE(E1716,"°","º"))-1)),""))))</f>
        <v>6</v>
      </c>
      <c r="O1716" s="2" t="str">
        <f aca="false">IF(OR(F1716="",G1716=""),"",IF(G1716&lt;='RETRATO 2027'!$K$5,"CONCLUÍDA",IF(F1716&lt;='RETRATO 2027'!$K$5,"EM ANDAMENTO","A INICIAR")))</f>
        <v>A INICIAR</v>
      </c>
    </row>
    <row r="1717" customFormat="false" ht="15" hidden="false" customHeight="false" outlineLevel="0" collapsed="false">
      <c r="B1717" s="4" t="n">
        <v>30206071</v>
      </c>
      <c r="C1717" s="4" t="s">
        <v>2486</v>
      </c>
      <c r="D1717" s="4" t="s">
        <v>463</v>
      </c>
      <c r="E1717" s="4" t="s">
        <v>2847</v>
      </c>
      <c r="F1717" s="127" t="n">
        <v>46920</v>
      </c>
      <c r="G1717" s="127" t="n">
        <v>46933</v>
      </c>
      <c r="H1717" s="127" t="n">
        <v>46289</v>
      </c>
      <c r="I1717" s="4" t="n">
        <v>0</v>
      </c>
      <c r="J1717" s="4" t="n">
        <v>0</v>
      </c>
      <c r="K1717" s="4" t="n">
        <v>0</v>
      </c>
      <c r="M1717" s="2" t="str">
        <f aca="false">IF(C1717="","",IFERROR(INDEX($S$5:$S$304,MATCH(C1717,$R$5:$R$304,0))&amp;"","?"))</f>
        <v>30</v>
      </c>
      <c r="N1717" s="2" t="n">
        <f aca="false">IF(E1717="","",IF(ISNUMBER(SEARCH("SUBSOLO",E1717)),IFERROR(-VALUE(LEFT(E1717,FIND("º",SUBSTITUTE(E1717,"°","º"))-1)),-1),IF(LEFT(E1717,6)="TÉRREO",0,IFERROR(VALUE(LEFT(E1717,FIND("º",SUBSTITUTE(E1717,"°","º"))-1)),""))))</f>
        <v>6</v>
      </c>
      <c r="O1717" s="2" t="str">
        <f aca="false">IF(OR(F1717="",G1717=""),"",IF(G1717&lt;='RETRATO 2027'!$K$5,"CONCLUÍDA",IF(F1717&lt;='RETRATO 2027'!$K$5,"EM ANDAMENTO","A INICIAR")))</f>
        <v>A INICIAR</v>
      </c>
    </row>
    <row r="1718" customFormat="false" ht="15" hidden="false" customHeight="false" outlineLevel="0" collapsed="false">
      <c r="B1718" s="4" t="n">
        <v>30206050</v>
      </c>
      <c r="C1718" s="4" t="s">
        <v>2480</v>
      </c>
      <c r="D1718" s="4" t="s">
        <v>463</v>
      </c>
      <c r="E1718" s="4" t="s">
        <v>2848</v>
      </c>
      <c r="F1718" s="127" t="n">
        <v>46920</v>
      </c>
      <c r="G1718" s="127" t="n">
        <v>46933</v>
      </c>
      <c r="H1718" s="127" t="n">
        <v>46289</v>
      </c>
      <c r="I1718" s="4" t="n">
        <v>0</v>
      </c>
      <c r="J1718" s="4" t="n">
        <v>0</v>
      </c>
      <c r="K1718" s="4" t="n">
        <v>0</v>
      </c>
      <c r="M1718" s="2" t="str">
        <f aca="false">IF(C1718="","",IFERROR(INDEX($S$5:$S$304,MATCH(C1718,$R$5:$R$304,0))&amp;"","?"))</f>
        <v>30</v>
      </c>
      <c r="N1718" s="2" t="n">
        <f aca="false">IF(E1718="","",IF(ISNUMBER(SEARCH("SUBSOLO",E1718)),IFERROR(-VALUE(LEFT(E1718,FIND("º",SUBSTITUTE(E1718,"°","º"))-1)),-1),IF(LEFT(E1718,6)="TÉRREO",0,IFERROR(VALUE(LEFT(E1718,FIND("º",SUBSTITUTE(E1718,"°","º"))-1)),""))))</f>
        <v>6</v>
      </c>
      <c r="O1718" s="2" t="str">
        <f aca="false">IF(OR(F1718="",G1718=""),"",IF(G1718&lt;='RETRATO 2027'!$K$5,"CONCLUÍDA",IF(F1718&lt;='RETRATO 2027'!$K$5,"EM ANDAMENTO","A INICIAR")))</f>
        <v>A INICIAR</v>
      </c>
    </row>
    <row r="1719" customFormat="false" ht="15" hidden="false" customHeight="false" outlineLevel="0" collapsed="false">
      <c r="B1719" s="4" t="n">
        <v>30206012</v>
      </c>
      <c r="C1719" s="4" t="s">
        <v>2449</v>
      </c>
      <c r="D1719" s="4" t="s">
        <v>463</v>
      </c>
      <c r="E1719" s="4" t="s">
        <v>2849</v>
      </c>
      <c r="F1719" s="127" t="n">
        <v>46920</v>
      </c>
      <c r="G1719" s="127" t="n">
        <v>46933</v>
      </c>
      <c r="H1719" s="127" t="n">
        <v>46289</v>
      </c>
      <c r="I1719" s="4" t="n">
        <v>0</v>
      </c>
      <c r="J1719" s="4" t="n">
        <v>0</v>
      </c>
      <c r="K1719" s="4" t="n">
        <v>0</v>
      </c>
      <c r="M1719" s="2" t="str">
        <f aca="false">IF(C1719="","",IFERROR(INDEX($S$5:$S$304,MATCH(C1719,$R$5:$R$304,0))&amp;"","?"))</f>
        <v>28</v>
      </c>
      <c r="N1719" s="2" t="n">
        <f aca="false">IF(E1719="","",IF(ISNUMBER(SEARCH("SUBSOLO",E1719)),IFERROR(-VALUE(LEFT(E1719,FIND("º",SUBSTITUTE(E1719,"°","º"))-1)),-1),IF(LEFT(E1719,6)="TÉRREO",0,IFERROR(VALUE(LEFT(E1719,FIND("º",SUBSTITUTE(E1719,"°","º"))-1)),""))))</f>
        <v>6</v>
      </c>
      <c r="O1719" s="2" t="str">
        <f aca="false">IF(OR(F1719="",G1719=""),"",IF(G1719&lt;='RETRATO 2027'!$K$5,"CONCLUÍDA",IF(F1719&lt;='RETRATO 2027'!$K$5,"EM ANDAMENTO","A INICIAR")))</f>
        <v>A INICIAR</v>
      </c>
    </row>
    <row r="1720" customFormat="false" ht="15" hidden="false" customHeight="false" outlineLevel="0" collapsed="false">
      <c r="B1720" s="4" t="n">
        <v>30205974</v>
      </c>
      <c r="C1720" s="4" t="s">
        <v>171</v>
      </c>
      <c r="D1720" s="4" t="s">
        <v>463</v>
      </c>
      <c r="E1720" s="4" t="s">
        <v>2850</v>
      </c>
      <c r="F1720" s="127" t="n">
        <v>46920</v>
      </c>
      <c r="G1720" s="127" t="n">
        <v>46933</v>
      </c>
      <c r="H1720" s="127" t="n">
        <v>46289</v>
      </c>
      <c r="I1720" s="4" t="n">
        <v>0</v>
      </c>
      <c r="J1720" s="4" t="n">
        <v>0</v>
      </c>
      <c r="K1720" s="4" t="n">
        <v>0</v>
      </c>
      <c r="M1720" s="2" t="str">
        <f aca="false">IF(C1720="","",IFERROR(INDEX($S$5:$S$304,MATCH(C1720,$R$5:$R$304,0))&amp;"","?"))</f>
        <v>19</v>
      </c>
      <c r="N1720" s="2" t="n">
        <f aca="false">IF(E1720="","",IF(ISNUMBER(SEARCH("SUBSOLO",E1720)),IFERROR(-VALUE(LEFT(E1720,FIND("º",SUBSTITUTE(E1720,"°","º"))-1)),-1),IF(LEFT(E1720,6)="TÉRREO",0,IFERROR(VALUE(LEFT(E1720,FIND("º",SUBSTITUTE(E1720,"°","º"))-1)),""))))</f>
        <v>6</v>
      </c>
      <c r="O1720" s="2" t="str">
        <f aca="false">IF(OR(F1720="",G1720=""),"",IF(G1720&lt;='RETRATO 2027'!$K$5,"CONCLUÍDA",IF(F1720&lt;='RETRATO 2027'!$K$5,"EM ANDAMENTO","A INICIAR")))</f>
        <v>A INICIAR</v>
      </c>
    </row>
    <row r="1721" customFormat="false" ht="15" hidden="false" customHeight="false" outlineLevel="0" collapsed="false">
      <c r="B1721" s="4" t="n">
        <v>29980848</v>
      </c>
      <c r="C1721" s="4" t="s">
        <v>216</v>
      </c>
      <c r="D1721" s="4" t="s">
        <v>463</v>
      </c>
      <c r="E1721" s="4" t="s">
        <v>2834</v>
      </c>
      <c r="F1721" s="127" t="n">
        <v>46920</v>
      </c>
      <c r="G1721" s="127" t="n">
        <v>46932</v>
      </c>
      <c r="H1721" s="127" t="n">
        <v>46289</v>
      </c>
      <c r="I1721" s="4" t="n">
        <v>0</v>
      </c>
      <c r="J1721" s="4" t="n">
        <v>0</v>
      </c>
      <c r="K1721" s="4" t="n">
        <v>0</v>
      </c>
      <c r="M1721" s="2" t="str">
        <f aca="false">IF(C1721="","",IFERROR(INDEX($S$5:$S$304,MATCH(C1721,$R$5:$R$304,0))&amp;"","?"))</f>
        <v>33</v>
      </c>
      <c r="N1721" s="2" t="n">
        <f aca="false">IF(E1721="","",IF(ISNUMBER(SEARCH("SUBSOLO",E1721)),IFERROR(-VALUE(LEFT(E1721,FIND("º",SUBSTITUTE(E1721,"°","º"))-1)),-1),IF(LEFT(E1721,6)="TÉRREO",0,IFERROR(VALUE(LEFT(E1721,FIND("º",SUBSTITUTE(E1721,"°","º"))-1)),""))))</f>
        <v>26</v>
      </c>
      <c r="O1721" s="2" t="str">
        <f aca="false">IF(OR(F1721="",G1721=""),"",IF(G1721&lt;='RETRATO 2027'!$K$5,"CONCLUÍDA",IF(F1721&lt;='RETRATO 2027'!$K$5,"EM ANDAMENTO","A INICIAR")))</f>
        <v>A INICIAR</v>
      </c>
    </row>
    <row r="1722" customFormat="false" ht="15" hidden="false" customHeight="false" outlineLevel="0" collapsed="false">
      <c r="B1722" s="4" t="n">
        <v>29980809</v>
      </c>
      <c r="C1722" s="4" t="s">
        <v>2508</v>
      </c>
      <c r="D1722" s="4" t="s">
        <v>463</v>
      </c>
      <c r="E1722" s="4" t="s">
        <v>2838</v>
      </c>
      <c r="F1722" s="127" t="n">
        <v>46920</v>
      </c>
      <c r="G1722" s="127" t="n">
        <v>46932</v>
      </c>
      <c r="H1722" s="127" t="n">
        <v>46289</v>
      </c>
      <c r="I1722" s="4" t="n">
        <v>0</v>
      </c>
      <c r="J1722" s="4" t="n">
        <v>0</v>
      </c>
      <c r="K1722" s="4" t="n">
        <v>0</v>
      </c>
      <c r="M1722" s="2" t="str">
        <f aca="false">IF(C1722="","",IFERROR(INDEX($S$5:$S$304,MATCH(C1722,$R$5:$R$304,0))&amp;"","?"))</f>
        <v>20</v>
      </c>
      <c r="N1722" s="2" t="n">
        <f aca="false">IF(E1722="","",IF(ISNUMBER(SEARCH("SUBSOLO",E1722)),IFERROR(-VALUE(LEFT(E1722,FIND("º",SUBSTITUTE(E1722,"°","º"))-1)),-1),IF(LEFT(E1722,6)="TÉRREO",0,IFERROR(VALUE(LEFT(E1722,FIND("º",SUBSTITUTE(E1722,"°","º"))-1)),""))))</f>
        <v>27</v>
      </c>
      <c r="O1722" s="2" t="str">
        <f aca="false">IF(OR(F1722="",G1722=""),"",IF(G1722&lt;='RETRATO 2027'!$K$5,"CONCLUÍDA",IF(F1722&lt;='RETRATO 2027'!$K$5,"EM ANDAMENTO","A INICIAR")))</f>
        <v>A INICIAR</v>
      </c>
    </row>
    <row r="1723" customFormat="false" ht="15" hidden="false" customHeight="false" outlineLevel="0" collapsed="false">
      <c r="B1723" s="4" t="n">
        <v>29980814</v>
      </c>
      <c r="C1723" s="4" t="s">
        <v>2511</v>
      </c>
      <c r="D1723" s="4" t="s">
        <v>463</v>
      </c>
      <c r="E1723" s="4" t="s">
        <v>2838</v>
      </c>
      <c r="F1723" s="127" t="n">
        <v>46920</v>
      </c>
      <c r="G1723" s="127" t="n">
        <v>46932</v>
      </c>
      <c r="H1723" s="127" t="n">
        <v>46289</v>
      </c>
      <c r="I1723" s="4" t="n">
        <v>0</v>
      </c>
      <c r="J1723" s="4" t="n">
        <v>0</v>
      </c>
      <c r="K1723" s="4" t="n">
        <v>0</v>
      </c>
      <c r="M1723" s="2" t="str">
        <f aca="false">IF(C1723="","",IFERROR(INDEX($S$5:$S$304,MATCH(C1723,$R$5:$R$304,0))&amp;"","?"))</f>
        <v>20</v>
      </c>
      <c r="N1723" s="2" t="n">
        <f aca="false">IF(E1723="","",IF(ISNUMBER(SEARCH("SUBSOLO",E1723)),IFERROR(-VALUE(LEFT(E1723,FIND("º",SUBSTITUTE(E1723,"°","º"))-1)),-1),IF(LEFT(E1723,6)="TÉRREO",0,IFERROR(VALUE(LEFT(E1723,FIND("º",SUBSTITUTE(E1723,"°","º"))-1)),""))))</f>
        <v>27</v>
      </c>
      <c r="O1723" s="2" t="str">
        <f aca="false">IF(OR(F1723="",G1723=""),"",IF(G1723&lt;='RETRATO 2027'!$K$5,"CONCLUÍDA",IF(F1723&lt;='RETRATO 2027'!$K$5,"EM ANDAMENTO","A INICIAR")))</f>
        <v>A INICIAR</v>
      </c>
    </row>
    <row r="1724" customFormat="false" ht="15" hidden="false" customHeight="false" outlineLevel="0" collapsed="false">
      <c r="B1724" s="4" t="n">
        <v>30214089</v>
      </c>
      <c r="C1724" s="4" t="s">
        <v>2514</v>
      </c>
      <c r="D1724" s="4" t="s">
        <v>463</v>
      </c>
      <c r="E1724" s="4" t="s">
        <v>2838</v>
      </c>
      <c r="F1724" s="127" t="n">
        <v>46920</v>
      </c>
      <c r="G1724" s="127" t="n">
        <v>46933</v>
      </c>
      <c r="H1724" s="127" t="n">
        <v>46289</v>
      </c>
      <c r="I1724" s="4" t="n">
        <v>0</v>
      </c>
      <c r="J1724" s="4" t="n">
        <v>0</v>
      </c>
      <c r="K1724" s="4" t="n">
        <v>0</v>
      </c>
      <c r="M1724" s="2" t="str">
        <f aca="false">IF(C1724="","",IFERROR(INDEX($S$5:$S$304,MATCH(C1724,$R$5:$R$304,0))&amp;"","?"))</f>
        <v>20</v>
      </c>
      <c r="N1724" s="2" t="n">
        <f aca="false">IF(E1724="","",IF(ISNUMBER(SEARCH("SUBSOLO",E1724)),IFERROR(-VALUE(LEFT(E1724,FIND("º",SUBSTITUTE(E1724,"°","º"))-1)),-1),IF(LEFT(E1724,6)="TÉRREO",0,IFERROR(VALUE(LEFT(E1724,FIND("º",SUBSTITUTE(E1724,"°","º"))-1)),""))))</f>
        <v>27</v>
      </c>
      <c r="O1724" s="2" t="str">
        <f aca="false">IF(OR(F1724="",G1724=""),"",IF(G1724&lt;='RETRATO 2027'!$K$5,"CONCLUÍDA",IF(F1724&lt;='RETRATO 2027'!$K$5,"EM ANDAMENTO","A INICIAR")))</f>
        <v>A INICIAR</v>
      </c>
    </row>
    <row r="1725" customFormat="false" ht="15" hidden="false" customHeight="false" outlineLevel="0" collapsed="false">
      <c r="B1725" s="4" t="n">
        <v>29980756</v>
      </c>
      <c r="C1725" s="4" t="s">
        <v>2501</v>
      </c>
      <c r="D1725" s="4" t="s">
        <v>463</v>
      </c>
      <c r="E1725" s="4" t="s">
        <v>2840</v>
      </c>
      <c r="F1725" s="127" t="n">
        <v>46920</v>
      </c>
      <c r="G1725" s="127" t="n">
        <v>46932</v>
      </c>
      <c r="H1725" s="127" t="n">
        <v>46289</v>
      </c>
      <c r="I1725" s="4" t="n">
        <v>0</v>
      </c>
      <c r="J1725" s="4" t="n">
        <v>0</v>
      </c>
      <c r="K1725" s="4" t="n">
        <v>0</v>
      </c>
      <c r="M1725" s="2" t="str">
        <f aca="false">IF(C1725="","",IFERROR(INDEX($S$5:$S$304,MATCH(C1725,$R$5:$R$304,0))&amp;"","?"))</f>
        <v>30</v>
      </c>
      <c r="N1725" s="2" t="n">
        <f aca="false">IF(E1725="","",IF(ISNUMBER(SEARCH("SUBSOLO",E1725)),IFERROR(-VALUE(LEFT(E1725,FIND("º",SUBSTITUTE(E1725,"°","º"))-1)),-1),IF(LEFT(E1725,6)="TÉRREO",0,IFERROR(VALUE(LEFT(E1725,FIND("º",SUBSTITUTE(E1725,"°","º"))-1)),""))))</f>
        <v>28</v>
      </c>
      <c r="O1725" s="2" t="str">
        <f aca="false">IF(OR(F1725="",G1725=""),"",IF(G1725&lt;='RETRATO 2027'!$K$5,"CONCLUÍDA",IF(F1725&lt;='RETRATO 2027'!$K$5,"EM ANDAMENTO","A INICIAR")))</f>
        <v>A INICIAR</v>
      </c>
    </row>
    <row r="1726" customFormat="false" ht="15" hidden="false" customHeight="false" outlineLevel="0" collapsed="false">
      <c r="B1726" s="4" t="n">
        <v>29980718</v>
      </c>
      <c r="C1726" s="4" t="s">
        <v>2486</v>
      </c>
      <c r="D1726" s="4" t="s">
        <v>463</v>
      </c>
      <c r="E1726" s="4" t="s">
        <v>2841</v>
      </c>
      <c r="F1726" s="127" t="n">
        <v>46920</v>
      </c>
      <c r="G1726" s="127" t="n">
        <v>46932</v>
      </c>
      <c r="H1726" s="127" t="n">
        <v>46289</v>
      </c>
      <c r="I1726" s="4" t="n">
        <v>0</v>
      </c>
      <c r="J1726" s="4" t="n">
        <v>0</v>
      </c>
      <c r="K1726" s="4" t="n">
        <v>0</v>
      </c>
      <c r="M1726" s="2" t="str">
        <f aca="false">IF(C1726="","",IFERROR(INDEX($S$5:$S$304,MATCH(C1726,$R$5:$R$304,0))&amp;"","?"))</f>
        <v>30</v>
      </c>
      <c r="N1726" s="2" t="n">
        <f aca="false">IF(E1726="","",IF(ISNUMBER(SEARCH("SUBSOLO",E1726)),IFERROR(-VALUE(LEFT(E1726,FIND("º",SUBSTITUTE(E1726,"°","º"))-1)),-1),IF(LEFT(E1726,6)="TÉRREO",0,IFERROR(VALUE(LEFT(E1726,FIND("º",SUBSTITUTE(E1726,"°","º"))-1)),""))))</f>
        <v>29</v>
      </c>
      <c r="O1726" s="2" t="str">
        <f aca="false">IF(OR(F1726="",G1726=""),"",IF(G1726&lt;='RETRATO 2027'!$K$5,"CONCLUÍDA",IF(F1726&lt;='RETRATO 2027'!$K$5,"EM ANDAMENTO","A INICIAR")))</f>
        <v>A INICIAR</v>
      </c>
    </row>
    <row r="1727" customFormat="false" ht="15" hidden="false" customHeight="false" outlineLevel="0" collapsed="false">
      <c r="B1727" s="4" t="n">
        <v>29980697</v>
      </c>
      <c r="C1727" s="4" t="s">
        <v>2480</v>
      </c>
      <c r="D1727" s="4" t="s">
        <v>463</v>
      </c>
      <c r="E1727" s="4" t="s">
        <v>2842</v>
      </c>
      <c r="F1727" s="127" t="n">
        <v>46920</v>
      </c>
      <c r="G1727" s="127" t="n">
        <v>46932</v>
      </c>
      <c r="H1727" s="127" t="n">
        <v>46289</v>
      </c>
      <c r="I1727" s="4" t="n">
        <v>0</v>
      </c>
      <c r="J1727" s="4" t="n">
        <v>0</v>
      </c>
      <c r="K1727" s="4" t="n">
        <v>0</v>
      </c>
      <c r="M1727" s="2" t="str">
        <f aca="false">IF(C1727="","",IFERROR(INDEX($S$5:$S$304,MATCH(C1727,$R$5:$R$304,0))&amp;"","?"))</f>
        <v>30</v>
      </c>
      <c r="N1727" s="2" t="n">
        <f aca="false">IF(E1727="","",IF(ISNUMBER(SEARCH("SUBSOLO",E1727)),IFERROR(-VALUE(LEFT(E1727,FIND("º",SUBSTITUTE(E1727,"°","º"))-1)),-1),IF(LEFT(E1727,6)="TÉRREO",0,IFERROR(VALUE(LEFT(E1727,FIND("º",SUBSTITUTE(E1727,"°","º"))-1)),""))))</f>
        <v>30</v>
      </c>
      <c r="O1727" s="2" t="str">
        <f aca="false">IF(OR(F1727="",G1727=""),"",IF(G1727&lt;='RETRATO 2027'!$K$5,"CONCLUÍDA",IF(F1727&lt;='RETRATO 2027'!$K$5,"EM ANDAMENTO","A INICIAR")))</f>
        <v>A INICIAR</v>
      </c>
    </row>
    <row r="1728" customFormat="false" ht="15" hidden="false" customHeight="false" outlineLevel="0" collapsed="false">
      <c r="B1728" s="4" t="n">
        <v>29980658</v>
      </c>
      <c r="C1728" s="4" t="s">
        <v>171</v>
      </c>
      <c r="D1728" s="4" t="s">
        <v>463</v>
      </c>
      <c r="E1728" s="4" t="s">
        <v>2843</v>
      </c>
      <c r="F1728" s="127" t="n">
        <v>46920</v>
      </c>
      <c r="G1728" s="127" t="n">
        <v>46932</v>
      </c>
      <c r="H1728" s="127" t="n">
        <v>46289</v>
      </c>
      <c r="I1728" s="4" t="n">
        <v>0</v>
      </c>
      <c r="J1728" s="4" t="n">
        <v>0</v>
      </c>
      <c r="K1728" s="4" t="n">
        <v>0</v>
      </c>
      <c r="M1728" s="2" t="str">
        <f aca="false">IF(C1728="","",IFERROR(INDEX($S$5:$S$304,MATCH(C1728,$R$5:$R$304,0))&amp;"","?"))</f>
        <v>19</v>
      </c>
      <c r="N1728" s="2" t="n">
        <f aca="false">IF(E1728="","",IF(ISNUMBER(SEARCH("SUBSOLO",E1728)),IFERROR(-VALUE(LEFT(E1728,FIND("º",SUBSTITUTE(E1728,"°","º"))-1)),-1),IF(LEFT(E1728,6)="TÉRREO",0,IFERROR(VALUE(LEFT(E1728,FIND("º",SUBSTITUTE(E1728,"°","º"))-1)),""))))</f>
        <v>31</v>
      </c>
      <c r="O1728" s="2" t="str">
        <f aca="false">IF(OR(F1728="",G1728=""),"",IF(G1728&lt;='RETRATO 2027'!$K$5,"CONCLUÍDA",IF(F1728&lt;='RETRATO 2027'!$K$5,"EM ANDAMENTO","A INICIAR")))</f>
        <v>A INICIAR</v>
      </c>
    </row>
    <row r="1729" customFormat="false" ht="15" hidden="false" customHeight="false" outlineLevel="0" collapsed="false">
      <c r="B1729" s="4" t="n">
        <v>32750458</v>
      </c>
      <c r="C1729" s="4" t="s">
        <v>2470</v>
      </c>
      <c r="D1729" s="4" t="s">
        <v>463</v>
      </c>
      <c r="E1729" s="4" t="s">
        <v>2844</v>
      </c>
      <c r="F1729" s="127" t="n">
        <v>46920</v>
      </c>
      <c r="G1729" s="127" t="n">
        <v>46932</v>
      </c>
      <c r="H1729" s="127" t="n">
        <v>46289</v>
      </c>
      <c r="I1729" s="4" t="n">
        <v>0</v>
      </c>
      <c r="J1729" s="4" t="n">
        <v>0</v>
      </c>
      <c r="K1729" s="4" t="n">
        <v>0</v>
      </c>
      <c r="M1729" s="2" t="str">
        <f aca="false">IF(C1729="","",IFERROR(INDEX($S$5:$S$304,MATCH(C1729,$R$5:$R$304,0))&amp;"","?"))</f>
        <v>18</v>
      </c>
      <c r="N1729" s="2" t="n">
        <f aca="false">IF(E1729="","",IF(ISNUMBER(SEARCH("SUBSOLO",E1729)),IFERROR(-VALUE(LEFT(E1729,FIND("º",SUBSTITUTE(E1729,"°","º"))-1)),-1),IF(LEFT(E1729,6)="TÉRREO",0,IFERROR(VALUE(LEFT(E1729,FIND("º",SUBSTITUTE(E1729,"°","º"))-1)),""))))</f>
        <v>32</v>
      </c>
      <c r="O1729" s="2" t="str">
        <f aca="false">IF(OR(F1729="",G1729=""),"",IF(G1729&lt;='RETRATO 2027'!$K$5,"CONCLUÍDA",IF(F1729&lt;='RETRATO 2027'!$K$5,"EM ANDAMENTO","A INICIAR")))</f>
        <v>A INICIAR</v>
      </c>
    </row>
    <row r="1730" customFormat="false" ht="15" hidden="false" customHeight="false" outlineLevel="0" collapsed="false">
      <c r="B1730" s="4" t="n">
        <v>29981080</v>
      </c>
      <c r="C1730" s="4" t="s">
        <v>2440</v>
      </c>
      <c r="D1730" s="4" t="s">
        <v>463</v>
      </c>
      <c r="E1730" s="4" t="s">
        <v>2822</v>
      </c>
      <c r="F1730" s="127" t="n">
        <v>46923</v>
      </c>
      <c r="G1730" s="127" t="n">
        <v>46933</v>
      </c>
      <c r="H1730" s="127" t="n">
        <v>46289</v>
      </c>
      <c r="I1730" s="4" t="n">
        <v>0</v>
      </c>
      <c r="J1730" s="4" t="n">
        <v>0</v>
      </c>
      <c r="K1730" s="4" t="n">
        <v>0</v>
      </c>
      <c r="M1730" s="2" t="str">
        <f aca="false">IF(C1730="","",IFERROR(INDEX($S$5:$S$304,MATCH(C1730,$R$5:$R$304,0))&amp;"","?"))</f>
        <v>21</v>
      </c>
      <c r="N1730" s="2" t="n">
        <f aca="false">IF(E1730="","",IF(ISNUMBER(SEARCH("SUBSOLO",E1730)),IFERROR(-VALUE(LEFT(E1730,FIND("º",SUBSTITUTE(E1730,"°","º"))-1)),-1),IF(LEFT(E1730,6)="TÉRREO",0,IFERROR(VALUE(LEFT(E1730,FIND("º",SUBSTITUTE(E1730,"°","º"))-1)),""))))</f>
        <v>19</v>
      </c>
      <c r="O1730" s="2" t="str">
        <f aca="false">IF(OR(F1730="",G1730=""),"",IF(G1730&lt;='RETRATO 2027'!$K$5,"CONCLUÍDA",IF(F1730&lt;='RETRATO 2027'!$K$5,"EM ANDAMENTO","A INICIAR")))</f>
        <v>A INICIAR</v>
      </c>
    </row>
    <row r="1731" customFormat="false" ht="15" hidden="false" customHeight="false" outlineLevel="0" collapsed="false">
      <c r="B1731" s="4" t="n">
        <v>29981113</v>
      </c>
      <c r="C1731" s="4" t="s">
        <v>2443</v>
      </c>
      <c r="D1731" s="4" t="s">
        <v>463</v>
      </c>
      <c r="E1731" s="4" t="s">
        <v>2822</v>
      </c>
      <c r="F1731" s="127" t="n">
        <v>46923</v>
      </c>
      <c r="G1731" s="127" t="n">
        <v>46933</v>
      </c>
      <c r="H1731" s="127" t="n">
        <v>46289</v>
      </c>
      <c r="I1731" s="4" t="n">
        <v>0</v>
      </c>
      <c r="J1731" s="4" t="n">
        <v>0</v>
      </c>
      <c r="K1731" s="4" t="n">
        <v>0</v>
      </c>
      <c r="M1731" s="2" t="str">
        <f aca="false">IF(C1731="","",IFERROR(INDEX($S$5:$S$304,MATCH(C1731,$R$5:$R$304,0))&amp;"","?"))</f>
        <v>20</v>
      </c>
      <c r="N1731" s="2" t="n">
        <f aca="false">IF(E1731="","",IF(ISNUMBER(SEARCH("SUBSOLO",E1731)),IFERROR(-VALUE(LEFT(E1731,FIND("º",SUBSTITUTE(E1731,"°","º"))-1)),-1),IF(LEFT(E1731,6)="TÉRREO",0,IFERROR(VALUE(LEFT(E1731,FIND("º",SUBSTITUTE(E1731,"°","º"))-1)),""))))</f>
        <v>19</v>
      </c>
      <c r="O1731" s="2" t="str">
        <f aca="false">IF(OR(F1731="",G1731=""),"",IF(G1731&lt;='RETRATO 2027'!$K$5,"CONCLUÍDA",IF(F1731&lt;='RETRATO 2027'!$K$5,"EM ANDAMENTO","A INICIAR")))</f>
        <v>A INICIAR</v>
      </c>
    </row>
    <row r="1732" customFormat="false" ht="15" hidden="false" customHeight="false" outlineLevel="0" collapsed="false">
      <c r="B1732" s="4" t="n">
        <v>30211207</v>
      </c>
      <c r="C1732" s="4" t="s">
        <v>171</v>
      </c>
      <c r="D1732" s="4" t="s">
        <v>463</v>
      </c>
      <c r="E1732" s="4" t="s">
        <v>2853</v>
      </c>
      <c r="F1732" s="127" t="n">
        <v>46923</v>
      </c>
      <c r="G1732" s="127" t="n">
        <v>46941</v>
      </c>
      <c r="H1732" s="127" t="n">
        <v>46289</v>
      </c>
      <c r="I1732" s="4" t="n">
        <v>0</v>
      </c>
      <c r="J1732" s="4" t="n">
        <v>0</v>
      </c>
      <c r="K1732" s="4" t="n">
        <v>0</v>
      </c>
      <c r="M1732" s="2" t="str">
        <f aca="false">IF(C1732="","",IFERROR(INDEX($S$5:$S$304,MATCH(C1732,$R$5:$R$304,0))&amp;"","?"))</f>
        <v>19</v>
      </c>
      <c r="N1732" s="2" t="n">
        <f aca="false">IF(E1732="","",IF(ISNUMBER(SEARCH("SUBSOLO",E1732)),IFERROR(-VALUE(LEFT(E1732,FIND("º",SUBSTITUTE(E1732,"°","º"))-1)),-1),IF(LEFT(E1732,6)="TÉRREO",0,IFERROR(VALUE(LEFT(E1732,FIND("º",SUBSTITUTE(E1732,"°","º"))-1)),""))))</f>
        <v>34</v>
      </c>
      <c r="O1732" s="2" t="str">
        <f aca="false">IF(OR(F1732="",G1732=""),"",IF(G1732&lt;='RETRATO 2027'!$K$5,"CONCLUÍDA",IF(F1732&lt;='RETRATO 2027'!$K$5,"EM ANDAMENTO","A INICIAR")))</f>
        <v>A INICIAR</v>
      </c>
    </row>
    <row r="1733" customFormat="false" ht="15" hidden="false" customHeight="false" outlineLevel="0" collapsed="false">
      <c r="B1733" s="4" t="n">
        <v>30205709</v>
      </c>
      <c r="C1733" s="4" t="s">
        <v>2637</v>
      </c>
      <c r="D1733" s="4" t="s">
        <v>463</v>
      </c>
      <c r="E1733" s="4" t="s">
        <v>2819</v>
      </c>
      <c r="F1733" s="127" t="n">
        <v>46924</v>
      </c>
      <c r="G1733" s="127" t="n">
        <v>46930</v>
      </c>
      <c r="H1733" s="127" t="n">
        <v>46289</v>
      </c>
      <c r="I1733" s="4" t="n">
        <v>0</v>
      </c>
      <c r="J1733" s="4" t="n">
        <v>0</v>
      </c>
      <c r="K1733" s="4" t="n">
        <v>0</v>
      </c>
      <c r="M1733" s="2" t="str">
        <f aca="false">IF(C1733="","",IFERROR(INDEX($S$5:$S$304,MATCH(C1733,$R$5:$R$304,0))&amp;"","?"))</f>
        <v/>
      </c>
      <c r="N1733" s="2" t="n">
        <f aca="false">IF(E1733="","",IF(ISNUMBER(SEARCH("SUBSOLO",E1733)),IFERROR(-VALUE(LEFT(E1733,FIND("º",SUBSTITUTE(E1733,"°","º"))-1)),-1),IF(LEFT(E1733,6)="TÉRREO",0,IFERROR(VALUE(LEFT(E1733,FIND("º",SUBSTITUTE(E1733,"°","º"))-1)),""))))</f>
        <v>0</v>
      </c>
      <c r="O1733" s="2" t="str">
        <f aca="false">IF(OR(F1733="",G1733=""),"",IF(G1733&lt;='RETRATO 2027'!$K$5,"CONCLUÍDA",IF(F1733&lt;='RETRATO 2027'!$K$5,"EM ANDAMENTO","A INICIAR")))</f>
        <v>A INICIAR</v>
      </c>
    </row>
    <row r="1734" customFormat="false" ht="15" hidden="false" customHeight="false" outlineLevel="0" collapsed="false">
      <c r="B1734" s="4" t="n">
        <v>30205678</v>
      </c>
      <c r="C1734" s="4" t="s">
        <v>2649</v>
      </c>
      <c r="D1734" s="4" t="s">
        <v>463</v>
      </c>
      <c r="E1734" s="4" t="s">
        <v>2821</v>
      </c>
      <c r="F1734" s="127" t="n">
        <v>46924</v>
      </c>
      <c r="G1734" s="127" t="n">
        <v>46937</v>
      </c>
      <c r="H1734" s="127" t="n">
        <v>46289</v>
      </c>
      <c r="I1734" s="4" t="n">
        <v>0</v>
      </c>
      <c r="J1734" s="4" t="n">
        <v>0</v>
      </c>
      <c r="K1734" s="4" t="n">
        <v>0</v>
      </c>
      <c r="M1734" s="2" t="str">
        <f aca="false">IF(C1734="","",IFERROR(INDEX($S$5:$S$304,MATCH(C1734,$R$5:$R$304,0))&amp;"","?"))</f>
        <v>37</v>
      </c>
      <c r="N1734" s="2" t="n">
        <f aca="false">IF(E1734="","",IF(ISNUMBER(SEARCH("SUBSOLO",E1734)),IFERROR(-VALUE(LEFT(E1734,FIND("º",SUBSTITUTE(E1734,"°","º"))-1)),-1),IF(LEFT(E1734,6)="TÉRREO",0,IFERROR(VALUE(LEFT(E1734,FIND("º",SUBSTITUTE(E1734,"°","º"))-1)),""))))</f>
        <v>0</v>
      </c>
      <c r="O1734" s="2" t="str">
        <f aca="false">IF(OR(F1734="",G1734=""),"",IF(G1734&lt;='RETRATO 2027'!$K$5,"CONCLUÍDA",IF(F1734&lt;='RETRATO 2027'!$K$5,"EM ANDAMENTO","A INICIAR")))</f>
        <v>A INICIAR</v>
      </c>
    </row>
    <row r="1735" customFormat="false" ht="15" hidden="false" customHeight="false" outlineLevel="0" collapsed="false">
      <c r="B1735" s="4" t="n">
        <v>30205641</v>
      </c>
      <c r="C1735" s="4" t="s">
        <v>2629</v>
      </c>
      <c r="D1735" s="4" t="s">
        <v>463</v>
      </c>
      <c r="E1735" s="4" t="s">
        <v>2824</v>
      </c>
      <c r="F1735" s="127" t="n">
        <v>46924</v>
      </c>
      <c r="G1735" s="127" t="n">
        <v>46937</v>
      </c>
      <c r="H1735" s="127" t="n">
        <v>46289</v>
      </c>
      <c r="I1735" s="4" t="n">
        <v>0</v>
      </c>
      <c r="J1735" s="4" t="n">
        <v>0</v>
      </c>
      <c r="K1735" s="4" t="n">
        <v>0</v>
      </c>
      <c r="M1735" s="2" t="str">
        <f aca="false">IF(C1735="","",IFERROR(INDEX($S$5:$S$304,MATCH(C1735,$R$5:$R$304,0))&amp;"","?"))</f>
        <v>20</v>
      </c>
      <c r="N1735" s="2" t="n">
        <f aca="false">IF(E1735="","",IF(ISNUMBER(SEARCH("SUBSOLO",E1735)),IFERROR(-VALUE(LEFT(E1735,FIND("º",SUBSTITUTE(E1735,"°","º"))-1)),-1),IF(LEFT(E1735,6)="TÉRREO",0,IFERROR(VALUE(LEFT(E1735,FIND("º",SUBSTITUTE(E1735,"°","º"))-1)),""))))</f>
        <v>0</v>
      </c>
      <c r="O1735" s="2" t="str">
        <f aca="false">IF(OR(F1735="",G1735=""),"",IF(G1735&lt;='RETRATO 2027'!$K$5,"CONCLUÍDA",IF(F1735&lt;='RETRATO 2027'!$K$5,"EM ANDAMENTO","A INICIAR")))</f>
        <v>A INICIAR</v>
      </c>
    </row>
    <row r="1736" customFormat="false" ht="15" hidden="false" customHeight="false" outlineLevel="0" collapsed="false">
      <c r="B1736" s="4" t="n">
        <v>30205613</v>
      </c>
      <c r="C1736" s="4" t="s">
        <v>2623</v>
      </c>
      <c r="D1736" s="4" t="s">
        <v>463</v>
      </c>
      <c r="E1736" s="4" t="s">
        <v>2826</v>
      </c>
      <c r="F1736" s="127" t="n">
        <v>46924</v>
      </c>
      <c r="G1736" s="127" t="n">
        <v>46937</v>
      </c>
      <c r="H1736" s="127" t="n">
        <v>46289</v>
      </c>
      <c r="I1736" s="4" t="n">
        <v>0</v>
      </c>
      <c r="J1736" s="4" t="n">
        <v>0</v>
      </c>
      <c r="K1736" s="4" t="n">
        <v>0</v>
      </c>
      <c r="M1736" s="2" t="str">
        <f aca="false">IF(C1736="","",IFERROR(INDEX($S$5:$S$304,MATCH(C1736,$R$5:$R$304,0))&amp;"","?"))</f>
        <v>35</v>
      </c>
      <c r="N1736" s="2" t="n">
        <f aca="false">IF(E1736="","",IF(ISNUMBER(SEARCH("SUBSOLO",E1736)),IFERROR(-VALUE(LEFT(E1736,FIND("º",SUBSTITUTE(E1736,"°","º"))-1)),-1),IF(LEFT(E1736,6)="TÉRREO",0,IFERROR(VALUE(LEFT(E1736,FIND("º",SUBSTITUTE(E1736,"°","º"))-1)),""))))</f>
        <v>0</v>
      </c>
      <c r="O1736" s="2" t="str">
        <f aca="false">IF(OR(F1736="",G1736=""),"",IF(G1736&lt;='RETRATO 2027'!$K$5,"CONCLUÍDA",IF(F1736&lt;='RETRATO 2027'!$K$5,"EM ANDAMENTO","A INICIAR")))</f>
        <v>A INICIAR</v>
      </c>
    </row>
    <row r="1737" customFormat="false" ht="15" hidden="false" customHeight="false" outlineLevel="0" collapsed="false">
      <c r="B1737" s="4" t="n">
        <v>30205599</v>
      </c>
      <c r="C1737" s="4" t="s">
        <v>2615</v>
      </c>
      <c r="D1737" s="4" t="s">
        <v>463</v>
      </c>
      <c r="E1737" s="4" t="s">
        <v>2828</v>
      </c>
      <c r="F1737" s="127" t="n">
        <v>46924</v>
      </c>
      <c r="G1737" s="127" t="n">
        <v>46937</v>
      </c>
      <c r="H1737" s="127" t="n">
        <v>46289</v>
      </c>
      <c r="I1737" s="4" t="n">
        <v>0</v>
      </c>
      <c r="J1737" s="4" t="n">
        <v>0</v>
      </c>
      <c r="K1737" s="4" t="n">
        <v>0</v>
      </c>
      <c r="M1737" s="2" t="str">
        <f aca="false">IF(C1737="","",IFERROR(INDEX($S$5:$S$304,MATCH(C1737,$R$5:$R$304,0))&amp;"","?"))</f>
        <v>37</v>
      </c>
      <c r="N1737" s="2" t="n">
        <f aca="false">IF(E1737="","",IF(ISNUMBER(SEARCH("SUBSOLO",E1737)),IFERROR(-VALUE(LEFT(E1737,FIND("º",SUBSTITUTE(E1737,"°","º"))-1)),-1),IF(LEFT(E1737,6)="TÉRREO",0,IFERROR(VALUE(LEFT(E1737,FIND("º",SUBSTITUTE(E1737,"°","º"))-1)),""))))</f>
        <v>0</v>
      </c>
      <c r="O1737" s="2" t="str">
        <f aca="false">IF(OR(F1737="",G1737=""),"",IF(G1737&lt;='RETRATO 2027'!$K$5,"CONCLUÍDA",IF(F1737&lt;='RETRATO 2027'!$K$5,"EM ANDAMENTO","A INICIAR")))</f>
        <v>A INICIAR</v>
      </c>
    </row>
    <row r="1738" customFormat="false" ht="15" hidden="false" customHeight="false" outlineLevel="0" collapsed="false">
      <c r="B1738" s="4" t="n">
        <v>30205848</v>
      </c>
      <c r="C1738" s="4" t="s">
        <v>2545</v>
      </c>
      <c r="D1738" s="4" t="s">
        <v>463</v>
      </c>
      <c r="E1738" s="4" t="s">
        <v>2782</v>
      </c>
      <c r="F1738" s="127" t="n">
        <v>46926</v>
      </c>
      <c r="G1738" s="127" t="n">
        <v>46939</v>
      </c>
      <c r="H1738" s="127" t="n">
        <v>46289</v>
      </c>
      <c r="I1738" s="4" t="n">
        <v>0</v>
      </c>
      <c r="J1738" s="4" t="n">
        <v>0</v>
      </c>
      <c r="K1738" s="4" t="n">
        <v>0</v>
      </c>
      <c r="M1738" s="2" t="str">
        <f aca="false">IF(C1738="","",IFERROR(INDEX($S$5:$S$304,MATCH(C1738,$R$5:$R$304,0))&amp;"","?"))</f>
        <v>25</v>
      </c>
      <c r="N1738" s="2" t="n">
        <f aca="false">IF(E1738="","",IF(ISNUMBER(SEARCH("SUBSOLO",E1738)),IFERROR(-VALUE(LEFT(E1738,FIND("º",SUBSTITUTE(E1738,"°","º"))-1)),-1),IF(LEFT(E1738,6)="TÉRREO",0,IFERROR(VALUE(LEFT(E1738,FIND("º",SUBSTITUTE(E1738,"°","º"))-1)),""))))</f>
        <v>1</v>
      </c>
      <c r="O1738" s="2" t="str">
        <f aca="false">IF(OR(F1738="",G1738=""),"",IF(G1738&lt;='RETRATO 2027'!$K$5,"CONCLUÍDA",IF(F1738&lt;='RETRATO 2027'!$K$5,"EM ANDAMENTO","A INICIAR")))</f>
        <v>A INICIAR</v>
      </c>
    </row>
    <row r="1739" customFormat="false" ht="15" hidden="false" customHeight="false" outlineLevel="0" collapsed="false">
      <c r="B1739" s="4" t="n">
        <v>29981439</v>
      </c>
      <c r="C1739" s="4" t="s">
        <v>2649</v>
      </c>
      <c r="D1739" s="4" t="s">
        <v>463</v>
      </c>
      <c r="E1739" s="4" t="s">
        <v>2809</v>
      </c>
      <c r="F1739" s="127" t="n">
        <v>46926</v>
      </c>
      <c r="G1739" s="127" t="n">
        <v>46938</v>
      </c>
      <c r="H1739" s="127" t="n">
        <v>46289</v>
      </c>
      <c r="I1739" s="4" t="n">
        <v>0</v>
      </c>
      <c r="J1739" s="4" t="n">
        <v>0</v>
      </c>
      <c r="K1739" s="4" t="n">
        <v>0</v>
      </c>
      <c r="M1739" s="2" t="str">
        <f aca="false">IF(C1739="","",IFERROR(INDEX($S$5:$S$304,MATCH(C1739,$R$5:$R$304,0))&amp;"","?"))</f>
        <v>37</v>
      </c>
      <c r="N1739" s="2" t="n">
        <f aca="false">IF(E1739="","",IF(ISNUMBER(SEARCH("SUBSOLO",E1739)),IFERROR(-VALUE(LEFT(E1739,FIND("º",SUBSTITUTE(E1739,"°","º"))-1)),-1),IF(LEFT(E1739,6)="TÉRREO",0,IFERROR(VALUE(LEFT(E1739,FIND("º",SUBSTITUTE(E1739,"°","º"))-1)),""))))</f>
        <v>10</v>
      </c>
      <c r="O1739" s="2" t="str">
        <f aca="false">IF(OR(F1739="",G1739=""),"",IF(G1739&lt;='RETRATO 2027'!$K$5,"CONCLUÍDA",IF(F1739&lt;='RETRATO 2027'!$K$5,"EM ANDAMENTO","A INICIAR")))</f>
        <v>A INICIAR</v>
      </c>
    </row>
    <row r="1740" customFormat="false" ht="15" hidden="false" customHeight="false" outlineLevel="0" collapsed="false">
      <c r="B1740" s="4" t="n">
        <v>29981392</v>
      </c>
      <c r="C1740" s="4" t="s">
        <v>2641</v>
      </c>
      <c r="D1740" s="4" t="s">
        <v>463</v>
      </c>
      <c r="E1740" s="4" t="s">
        <v>2810</v>
      </c>
      <c r="F1740" s="127" t="n">
        <v>46926</v>
      </c>
      <c r="G1740" s="127" t="n">
        <v>46938</v>
      </c>
      <c r="H1740" s="127" t="n">
        <v>46289</v>
      </c>
      <c r="I1740" s="4" t="n">
        <v>0</v>
      </c>
      <c r="J1740" s="4" t="n">
        <v>0</v>
      </c>
      <c r="K1740" s="4" t="n">
        <v>0</v>
      </c>
      <c r="M1740" s="2" t="str">
        <f aca="false">IF(C1740="","",IFERROR(INDEX($S$5:$S$304,MATCH(C1740,$R$5:$R$304,0))&amp;"","?"))</f>
        <v>35</v>
      </c>
      <c r="N1740" s="2" t="n">
        <f aca="false">IF(E1740="","",IF(ISNUMBER(SEARCH("SUBSOLO",E1740)),IFERROR(-VALUE(LEFT(E1740,FIND("º",SUBSTITUTE(E1740,"°","º"))-1)),-1),IF(LEFT(E1740,6)="TÉRREO",0,IFERROR(VALUE(LEFT(E1740,FIND("º",SUBSTITUTE(E1740,"°","º"))-1)),""))))</f>
        <v>11</v>
      </c>
      <c r="O1740" s="2" t="str">
        <f aca="false">IF(OR(F1740="",G1740=""),"",IF(G1740&lt;='RETRATO 2027'!$K$5,"CONCLUÍDA",IF(F1740&lt;='RETRATO 2027'!$K$5,"EM ANDAMENTO","A INICIAR")))</f>
        <v>A INICIAR</v>
      </c>
    </row>
    <row r="1741" customFormat="false" ht="15" hidden="false" customHeight="false" outlineLevel="0" collapsed="false">
      <c r="B1741" s="4" t="n">
        <v>30210374</v>
      </c>
      <c r="C1741" s="4" t="s">
        <v>2531</v>
      </c>
      <c r="D1741" s="4" t="s">
        <v>463</v>
      </c>
      <c r="E1741" s="4" t="s">
        <v>2852</v>
      </c>
      <c r="F1741" s="127" t="n">
        <v>46926</v>
      </c>
      <c r="G1741" s="127" t="n">
        <v>46955</v>
      </c>
      <c r="H1741" s="127" t="n">
        <v>46289</v>
      </c>
      <c r="I1741" s="4" t="n">
        <v>0</v>
      </c>
      <c r="J1741" s="4" t="n">
        <v>0</v>
      </c>
      <c r="K1741" s="4" t="n">
        <v>0</v>
      </c>
      <c r="M1741" s="2" t="str">
        <f aca="false">IF(C1741="","",IFERROR(INDEX($S$5:$S$304,MATCH(C1741,$R$5:$R$304,0))&amp;"","?"))</f>
        <v>21</v>
      </c>
      <c r="N1741" s="2" t="n">
        <f aca="false">IF(E1741="","",IF(ISNUMBER(SEARCH("SUBSOLO",E1741)),IFERROR(-VALUE(LEFT(E1741,FIND("º",SUBSTITUTE(E1741,"°","º"))-1)),-1),IF(LEFT(E1741,6)="TÉRREO",0,IFERROR(VALUE(LEFT(E1741,FIND("º",SUBSTITUTE(E1741,"°","º"))-1)),""))))</f>
        <v>33</v>
      </c>
      <c r="O1741" s="2" t="str">
        <f aca="false">IF(OR(F1741="",G1741=""),"",IF(G1741&lt;='RETRATO 2027'!$K$5,"CONCLUÍDA",IF(F1741&lt;='RETRATO 2027'!$K$5,"EM ANDAMENTO","A INICIAR")))</f>
        <v>A INICIAR</v>
      </c>
    </row>
    <row r="1742" customFormat="false" ht="15" hidden="false" customHeight="false" outlineLevel="0" collapsed="false">
      <c r="B1742" s="4" t="n">
        <v>30210376</v>
      </c>
      <c r="C1742" s="4" t="s">
        <v>2681</v>
      </c>
      <c r="D1742" s="4" t="s">
        <v>463</v>
      </c>
      <c r="E1742" s="4" t="s">
        <v>2852</v>
      </c>
      <c r="F1742" s="127" t="n">
        <v>46926</v>
      </c>
      <c r="G1742" s="127" t="n">
        <v>46946</v>
      </c>
      <c r="H1742" s="127" t="n">
        <v>46289</v>
      </c>
      <c r="I1742" s="4" t="n">
        <v>0</v>
      </c>
      <c r="J1742" s="4" t="n">
        <v>0</v>
      </c>
      <c r="K1742" s="4" t="n">
        <v>0</v>
      </c>
      <c r="M1742" s="2" t="str">
        <f aca="false">IF(C1742="","",IFERROR(INDEX($S$5:$S$304,MATCH(C1742,$R$5:$R$304,0))&amp;"","?"))</f>
        <v>21</v>
      </c>
      <c r="N1742" s="2" t="n">
        <f aca="false">IF(E1742="","",IF(ISNUMBER(SEARCH("SUBSOLO",E1742)),IFERROR(-VALUE(LEFT(E1742,FIND("º",SUBSTITUTE(E1742,"°","º"))-1)),-1),IF(LEFT(E1742,6)="TÉRREO",0,IFERROR(VALUE(LEFT(E1742,FIND("º",SUBSTITUTE(E1742,"°","º"))-1)),""))))</f>
        <v>33</v>
      </c>
      <c r="O1742" s="2" t="str">
        <f aca="false">IF(OR(F1742="",G1742=""),"",IF(G1742&lt;='RETRATO 2027'!$K$5,"CONCLUÍDA",IF(F1742&lt;='RETRATO 2027'!$K$5,"EM ANDAMENTO","A INICIAR")))</f>
        <v>A INICIAR</v>
      </c>
    </row>
    <row r="1743" customFormat="false" ht="15" hidden="false" customHeight="false" outlineLevel="0" collapsed="false">
      <c r="B1743" s="4" t="n">
        <v>31800456</v>
      </c>
      <c r="C1743" s="4" t="s">
        <v>2684</v>
      </c>
      <c r="D1743" s="4" t="s">
        <v>463</v>
      </c>
      <c r="E1743" s="4" t="s">
        <v>2678</v>
      </c>
      <c r="F1743" s="127" t="n">
        <v>46926</v>
      </c>
      <c r="G1743" s="127" t="n">
        <v>46967</v>
      </c>
      <c r="H1743" s="127" t="n">
        <v>46289</v>
      </c>
      <c r="I1743" s="4" t="n">
        <v>0</v>
      </c>
      <c r="J1743" s="4" t="n">
        <v>0</v>
      </c>
      <c r="K1743" s="4" t="n">
        <v>0</v>
      </c>
      <c r="M1743" s="2" t="str">
        <f aca="false">IF(C1743="","",IFERROR(INDEX($S$5:$S$304,MATCH(C1743,$R$5:$R$304,0))&amp;"","?"))</f>
        <v>25</v>
      </c>
      <c r="N1743" s="2" t="str">
        <f aca="false"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 t="str">
        <f aca="false">IF(OR(F1743="",G1743=""),"",IF(G1743&lt;='RETRATO 2027'!$K$5,"CONCLUÍDA",IF(F1743&lt;='RETRATO 2027'!$K$5,"EM ANDAMENTO","A INICIAR")))</f>
        <v>A INICIAR</v>
      </c>
    </row>
    <row r="1744" customFormat="false" ht="15" hidden="false" customHeight="false" outlineLevel="0" collapsed="false">
      <c r="B1744" s="4" t="n">
        <v>31800968</v>
      </c>
      <c r="C1744" s="4" t="s">
        <v>2687</v>
      </c>
      <c r="D1744" s="4" t="s">
        <v>463</v>
      </c>
      <c r="E1744" s="4" t="s">
        <v>2678</v>
      </c>
      <c r="F1744" s="127" t="n">
        <v>46926</v>
      </c>
      <c r="G1744" s="127" t="n">
        <v>46953</v>
      </c>
      <c r="H1744" s="127" t="n">
        <v>46289</v>
      </c>
      <c r="I1744" s="4" t="n">
        <v>0</v>
      </c>
      <c r="J1744" s="4" t="n">
        <v>0</v>
      </c>
      <c r="K1744" s="4" t="n">
        <v>0</v>
      </c>
      <c r="M1744" s="2" t="str">
        <f aca="false">IF(C1744="","",IFERROR(INDEX($S$5:$S$304,MATCH(C1744,$R$5:$R$304,0))&amp;"","?"))</f>
        <v>35</v>
      </c>
      <c r="N1744" s="2" t="str">
        <f aca="false"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 t="str">
        <f aca="false">IF(OR(F1744="",G1744=""),"",IF(G1744&lt;='RETRATO 2027'!$K$5,"CONCLUÍDA",IF(F1744&lt;='RETRATO 2027'!$K$5,"EM ANDAMENTO","A INICIAR")))</f>
        <v>A INICIAR</v>
      </c>
    </row>
    <row r="1745" customFormat="false" ht="15" hidden="false" customHeight="false" outlineLevel="0" collapsed="false">
      <c r="B1745" s="4" t="n">
        <v>30205724</v>
      </c>
      <c r="C1745" s="4" t="s">
        <v>2690</v>
      </c>
      <c r="D1745" s="4" t="s">
        <v>463</v>
      </c>
      <c r="E1745" s="4" t="s">
        <v>2740</v>
      </c>
      <c r="F1745" s="127" t="n">
        <v>46930</v>
      </c>
      <c r="G1745" s="127" t="n">
        <v>46934</v>
      </c>
      <c r="H1745" s="127" t="n">
        <v>46289</v>
      </c>
      <c r="I1745" s="4" t="n">
        <v>0</v>
      </c>
      <c r="J1745" s="4" t="n">
        <v>0</v>
      </c>
      <c r="K1745" s="4" t="n">
        <v>0</v>
      </c>
      <c r="M1745" s="2" t="str">
        <f aca="false">IF(C1745="","",IFERROR(INDEX($S$5:$S$304,MATCH(C1745,$R$5:$R$304,0))&amp;"","?"))</f>
        <v>37</v>
      </c>
      <c r="N1745" s="2" t="n">
        <f aca="false">IF(E1745="","",IF(ISNUMBER(SEARCH("SUBSOLO",E1745)),IFERROR(-VALUE(LEFT(E1745,FIND("º",SUBSTITUTE(E1745,"°","º"))-1)),-1),IF(LEFT(E1745,6)="TÉRREO",0,IFERROR(VALUE(LEFT(E1745,FIND("º",SUBSTITUTE(E1745,"°","º"))-1)),""))))</f>
        <v>-1</v>
      </c>
      <c r="O1745" s="2" t="str">
        <f aca="false">IF(OR(F1745="",G1745=""),"",IF(G1745&lt;='RETRATO 2027'!$K$5,"CONCLUÍDA",IF(F1745&lt;='RETRATO 2027'!$K$5,"EM ANDAMENTO","A INICIAR")))</f>
        <v>A INICIAR</v>
      </c>
    </row>
    <row r="1746" customFormat="false" ht="15" hidden="false" customHeight="false" outlineLevel="0" collapsed="false">
      <c r="B1746" s="4" t="n">
        <v>30205553</v>
      </c>
      <c r="C1746" s="4" t="s">
        <v>2563</v>
      </c>
      <c r="D1746" s="4" t="s">
        <v>463</v>
      </c>
      <c r="E1746" s="4" t="s">
        <v>2830</v>
      </c>
      <c r="F1746" s="127" t="n">
        <v>46931</v>
      </c>
      <c r="G1746" s="127" t="n">
        <v>46937</v>
      </c>
      <c r="H1746" s="127" t="n">
        <v>46289</v>
      </c>
      <c r="I1746" s="4" t="n">
        <v>0</v>
      </c>
      <c r="J1746" s="4" t="n">
        <v>0</v>
      </c>
      <c r="K1746" s="4" t="n">
        <v>0</v>
      </c>
      <c r="M1746" s="2" t="str">
        <f aca="false">IF(C1746="","",IFERROR(INDEX($S$5:$S$304,MATCH(C1746,$R$5:$R$304,0))&amp;"","?"))</f>
        <v>20</v>
      </c>
      <c r="N1746" s="2" t="n">
        <f aca="false">IF(E1746="","",IF(ISNUMBER(SEARCH("SUBSOLO",E1746)),IFERROR(-VALUE(LEFT(E1746,FIND("º",SUBSTITUTE(E1746,"°","º"))-1)),-1),IF(LEFT(E1746,6)="TÉRREO",0,IFERROR(VALUE(LEFT(E1746,FIND("º",SUBSTITUTE(E1746,"°","º"))-1)),""))))</f>
        <v>0</v>
      </c>
      <c r="O1746" s="2" t="str">
        <f aca="false">IF(OR(F1746="",G1746=""),"",IF(G1746&lt;='RETRATO 2027'!$K$5,"CONCLUÍDA",IF(F1746&lt;='RETRATO 2027'!$K$5,"EM ANDAMENTO","A INICIAR")))</f>
        <v>A INICIAR</v>
      </c>
    </row>
    <row r="1747" customFormat="false" ht="15" hidden="false" customHeight="false" outlineLevel="0" collapsed="false">
      <c r="B1747" s="4" t="n">
        <v>30205528</v>
      </c>
      <c r="C1747" s="4" t="s">
        <v>2578</v>
      </c>
      <c r="D1747" s="4" t="s">
        <v>463</v>
      </c>
      <c r="E1747" s="4" t="s">
        <v>2832</v>
      </c>
      <c r="F1747" s="127" t="n">
        <v>46931</v>
      </c>
      <c r="G1747" s="127" t="n">
        <v>46944</v>
      </c>
      <c r="H1747" s="127" t="n">
        <v>46289</v>
      </c>
      <c r="I1747" s="4" t="n">
        <v>0</v>
      </c>
      <c r="J1747" s="4" t="n">
        <v>0</v>
      </c>
      <c r="K1747" s="4" t="n">
        <v>0</v>
      </c>
      <c r="M1747" s="2" t="str">
        <f aca="false">IF(C1747="","",IFERROR(INDEX($S$5:$S$304,MATCH(C1747,$R$5:$R$304,0))&amp;"","?"))</f>
        <v>25</v>
      </c>
      <c r="N1747" s="2" t="n">
        <f aca="false">IF(E1747="","",IF(ISNUMBER(SEARCH("SUBSOLO",E1747)),IFERROR(-VALUE(LEFT(E1747,FIND("º",SUBSTITUTE(E1747,"°","º"))-1)),-1),IF(LEFT(E1747,6)="TÉRREO",0,IFERROR(VALUE(LEFT(E1747,FIND("º",SUBSTITUTE(E1747,"°","º"))-1)),""))))</f>
        <v>0</v>
      </c>
      <c r="O1747" s="2" t="str">
        <f aca="false">IF(OR(F1747="",G1747=""),"",IF(G1747&lt;='RETRATO 2027'!$K$5,"CONCLUÍDA",IF(F1747&lt;='RETRATO 2027'!$K$5,"EM ANDAMENTO","A INICIAR")))</f>
        <v>A INICIAR</v>
      </c>
    </row>
    <row r="1748" customFormat="false" ht="15" hidden="false" customHeight="false" outlineLevel="0" collapsed="false">
      <c r="B1748" s="4" t="n">
        <v>30205527</v>
      </c>
      <c r="C1748" s="4" t="s">
        <v>2605</v>
      </c>
      <c r="D1748" s="4" t="s">
        <v>463</v>
      </c>
      <c r="E1748" s="4" t="s">
        <v>2832</v>
      </c>
      <c r="F1748" s="127" t="n">
        <v>46931</v>
      </c>
      <c r="G1748" s="127" t="n">
        <v>46944</v>
      </c>
      <c r="H1748" s="127" t="n">
        <v>46289</v>
      </c>
      <c r="I1748" s="4" t="n">
        <v>0</v>
      </c>
      <c r="J1748" s="4" t="n">
        <v>0</v>
      </c>
      <c r="K1748" s="4" t="n">
        <v>0</v>
      </c>
      <c r="M1748" s="2" t="str">
        <f aca="false">IF(C1748="","",IFERROR(INDEX($S$5:$S$304,MATCH(C1748,$R$5:$R$304,0))&amp;"","?"))</f>
        <v>34</v>
      </c>
      <c r="N1748" s="2" t="n">
        <f aca="false">IF(E1748="","",IF(ISNUMBER(SEARCH("SUBSOLO",E1748)),IFERROR(-VALUE(LEFT(E1748,FIND("º",SUBSTITUTE(E1748,"°","º"))-1)),-1),IF(LEFT(E1748,6)="TÉRREO",0,IFERROR(VALUE(LEFT(E1748,FIND("º",SUBSTITUTE(E1748,"°","º"))-1)),""))))</f>
        <v>0</v>
      </c>
      <c r="O1748" s="2" t="str">
        <f aca="false">IF(OR(F1748="",G1748=""),"",IF(G1748&lt;='RETRATO 2027'!$K$5,"CONCLUÍDA",IF(F1748&lt;='RETRATO 2027'!$K$5,"EM ANDAMENTO","A INICIAR")))</f>
        <v>A INICIAR</v>
      </c>
    </row>
    <row r="1749" customFormat="false" ht="15" hidden="false" customHeight="false" outlineLevel="0" collapsed="false">
      <c r="B1749" s="4" t="n">
        <v>30205525</v>
      </c>
      <c r="C1749" s="4" t="s">
        <v>2607</v>
      </c>
      <c r="D1749" s="4" t="s">
        <v>463</v>
      </c>
      <c r="E1749" s="4" t="s">
        <v>2832</v>
      </c>
      <c r="F1749" s="127" t="n">
        <v>46931</v>
      </c>
      <c r="G1749" s="127" t="n">
        <v>46944</v>
      </c>
      <c r="H1749" s="127" t="n">
        <v>46289</v>
      </c>
      <c r="I1749" s="4" t="n">
        <v>0</v>
      </c>
      <c r="J1749" s="4" t="n">
        <v>0</v>
      </c>
      <c r="K1749" s="4" t="n">
        <v>0</v>
      </c>
      <c r="M1749" s="2" t="str">
        <f aca="false">IF(C1749="","",IFERROR(INDEX($S$5:$S$304,MATCH(C1749,$R$5:$R$304,0))&amp;"","?"))</f>
        <v>34</v>
      </c>
      <c r="N1749" s="2" t="n">
        <f aca="false">IF(E1749="","",IF(ISNUMBER(SEARCH("SUBSOLO",E1749)),IFERROR(-VALUE(LEFT(E1749,FIND("º",SUBSTITUTE(E1749,"°","º"))-1)),-1),IF(LEFT(E1749,6)="TÉRREO",0,IFERROR(VALUE(LEFT(E1749,FIND("º",SUBSTITUTE(E1749,"°","º"))-1)),""))))</f>
        <v>0</v>
      </c>
      <c r="O1749" s="2" t="str">
        <f aca="false">IF(OR(F1749="",G1749=""),"",IF(G1749&lt;='RETRATO 2027'!$K$5,"CONCLUÍDA",IF(F1749&lt;='RETRATO 2027'!$K$5,"EM ANDAMENTO","A INICIAR")))</f>
        <v>A INICIAR</v>
      </c>
    </row>
    <row r="1750" customFormat="false" ht="15" hidden="false" customHeight="false" outlineLevel="0" collapsed="false">
      <c r="B1750" s="4" t="n">
        <v>29981354</v>
      </c>
      <c r="C1750" s="4" t="s">
        <v>2637</v>
      </c>
      <c r="D1750" s="4" t="s">
        <v>463</v>
      </c>
      <c r="E1750" s="4" t="s">
        <v>2811</v>
      </c>
      <c r="F1750" s="127" t="n">
        <v>46932</v>
      </c>
      <c r="G1750" s="127" t="n">
        <v>46938</v>
      </c>
      <c r="H1750" s="127" t="n">
        <v>46289</v>
      </c>
      <c r="I1750" s="4" t="n">
        <v>0</v>
      </c>
      <c r="J1750" s="4" t="n">
        <v>0</v>
      </c>
      <c r="K1750" s="4" t="n">
        <v>0</v>
      </c>
      <c r="M1750" s="2" t="str">
        <f aca="false">IF(C1750="","",IFERROR(INDEX($S$5:$S$304,MATCH(C1750,$R$5:$R$304,0))&amp;"","?"))</f>
        <v/>
      </c>
      <c r="N1750" s="2" t="n">
        <f aca="false">IF(E1750="","",IF(ISNUMBER(SEARCH("SUBSOLO",E1750)),IFERROR(-VALUE(LEFT(E1750,FIND("º",SUBSTITUTE(E1750,"°","º"))-1)),-1),IF(LEFT(E1750,6)="TÉRREO",0,IFERROR(VALUE(LEFT(E1750,FIND("º",SUBSTITUTE(E1750,"°","º"))-1)),""))))</f>
        <v>12</v>
      </c>
      <c r="O1750" s="2" t="str">
        <f aca="false">IF(OR(F1750="",G1750=""),"",IF(G1750&lt;='RETRATO 2027'!$K$5,"CONCLUÍDA",IF(F1750&lt;='RETRATO 2027'!$K$5,"EM ANDAMENTO","A INICIAR")))</f>
        <v>A INICIAR</v>
      </c>
    </row>
    <row r="1751" customFormat="false" ht="15" hidden="false" customHeight="false" outlineLevel="0" collapsed="false">
      <c r="B1751" s="4" t="n">
        <v>29981319</v>
      </c>
      <c r="C1751" s="4" t="s">
        <v>2629</v>
      </c>
      <c r="D1751" s="4" t="s">
        <v>463</v>
      </c>
      <c r="E1751" s="4" t="s">
        <v>2812</v>
      </c>
      <c r="F1751" s="127" t="n">
        <v>46932</v>
      </c>
      <c r="G1751" s="127" t="n">
        <v>46944</v>
      </c>
      <c r="H1751" s="127" t="n">
        <v>46289</v>
      </c>
      <c r="I1751" s="4" t="n">
        <v>0</v>
      </c>
      <c r="J1751" s="4" t="n">
        <v>0</v>
      </c>
      <c r="K1751" s="4" t="n">
        <v>0</v>
      </c>
      <c r="M1751" s="2" t="str">
        <f aca="false">IF(C1751="","",IFERROR(INDEX($S$5:$S$304,MATCH(C1751,$R$5:$R$304,0))&amp;"","?"))</f>
        <v>20</v>
      </c>
      <c r="N1751" s="2" t="n">
        <f aca="false">IF(E1751="","",IF(ISNUMBER(SEARCH("SUBSOLO",E1751)),IFERROR(-VALUE(LEFT(E1751,FIND("º",SUBSTITUTE(E1751,"°","º"))-1)),-1),IF(LEFT(E1751,6)="TÉRREO",0,IFERROR(VALUE(LEFT(E1751,FIND("º",SUBSTITUTE(E1751,"°","º"))-1)),""))))</f>
        <v>13</v>
      </c>
      <c r="O1751" s="2" t="str">
        <f aca="false">IF(OR(F1751="",G1751=""),"",IF(G1751&lt;='RETRATO 2027'!$K$5,"CONCLUÍDA",IF(F1751&lt;='RETRATO 2027'!$K$5,"EM ANDAMENTO","A INICIAR")))</f>
        <v>A INICIAR</v>
      </c>
    </row>
    <row r="1752" customFormat="false" ht="15" hidden="false" customHeight="false" outlineLevel="0" collapsed="false">
      <c r="B1752" s="4" t="n">
        <v>29981279</v>
      </c>
      <c r="C1752" s="4" t="s">
        <v>2623</v>
      </c>
      <c r="D1752" s="4" t="s">
        <v>463</v>
      </c>
      <c r="E1752" s="4" t="s">
        <v>2813</v>
      </c>
      <c r="F1752" s="127" t="n">
        <v>46932</v>
      </c>
      <c r="G1752" s="127" t="n">
        <v>46944</v>
      </c>
      <c r="H1752" s="127" t="n">
        <v>46289</v>
      </c>
      <c r="I1752" s="4" t="n">
        <v>0</v>
      </c>
      <c r="J1752" s="4" t="n">
        <v>0</v>
      </c>
      <c r="K1752" s="4" t="n">
        <v>0</v>
      </c>
      <c r="M1752" s="2" t="str">
        <f aca="false">IF(C1752="","",IFERROR(INDEX($S$5:$S$304,MATCH(C1752,$R$5:$R$304,0))&amp;"","?"))</f>
        <v>35</v>
      </c>
      <c r="N1752" s="2" t="n">
        <f aca="false">IF(E1752="","",IF(ISNUMBER(SEARCH("SUBSOLO",E1752)),IFERROR(-VALUE(LEFT(E1752,FIND("º",SUBSTITUTE(E1752,"°","º"))-1)),-1),IF(LEFT(E1752,6)="TÉRREO",0,IFERROR(VALUE(LEFT(E1752,FIND("º",SUBSTITUTE(E1752,"°","º"))-1)),""))))</f>
        <v>14</v>
      </c>
      <c r="O1752" s="2" t="str">
        <f aca="false">IF(OR(F1752="",G1752=""),"",IF(G1752&lt;='RETRATO 2027'!$K$5,"CONCLUÍDA",IF(F1752&lt;='RETRATO 2027'!$K$5,"EM ANDAMENTO","A INICIAR")))</f>
        <v>A INICIAR</v>
      </c>
    </row>
    <row r="1753" customFormat="false" ht="15" hidden="false" customHeight="false" outlineLevel="0" collapsed="false">
      <c r="B1753" s="4" t="n">
        <v>33919792</v>
      </c>
      <c r="C1753" s="4" t="s">
        <v>2625</v>
      </c>
      <c r="D1753" s="4" t="s">
        <v>463</v>
      </c>
      <c r="E1753" s="4" t="s">
        <v>2813</v>
      </c>
      <c r="F1753" s="127" t="n">
        <v>46932</v>
      </c>
      <c r="G1753" s="127" t="n">
        <v>46944</v>
      </c>
      <c r="H1753" s="127" t="n">
        <v>46289</v>
      </c>
      <c r="I1753" s="4" t="n">
        <v>0</v>
      </c>
      <c r="J1753" s="4" t="n">
        <v>0</v>
      </c>
      <c r="K1753" s="4" t="n">
        <v>0</v>
      </c>
      <c r="M1753" s="2" t="str">
        <f aca="false">IF(C1753="","",IFERROR(INDEX($S$5:$S$304,MATCH(C1753,$R$5:$R$304,0))&amp;"","?"))</f>
        <v>32</v>
      </c>
      <c r="N1753" s="2" t="n">
        <f aca="false">IF(E1753="","",IF(ISNUMBER(SEARCH("SUBSOLO",E1753)),IFERROR(-VALUE(LEFT(E1753,FIND("º",SUBSTITUTE(E1753,"°","º"))-1)),-1),IF(LEFT(E1753,6)="TÉRREO",0,IFERROR(VALUE(LEFT(E1753,FIND("º",SUBSTITUTE(E1753,"°","º"))-1)),""))))</f>
        <v>14</v>
      </c>
      <c r="O1753" s="2" t="str">
        <f aca="false">IF(OR(F1753="",G1753=""),"",IF(G1753&lt;='RETRATO 2027'!$K$5,"CONCLUÍDA",IF(F1753&lt;='RETRATO 2027'!$K$5,"EM ANDAMENTO","A INICIAR")))</f>
        <v>A INICIAR</v>
      </c>
    </row>
    <row r="1754" customFormat="false" ht="15" hidden="false" customHeight="false" outlineLevel="0" collapsed="false">
      <c r="B1754" s="4" t="n">
        <v>29981241</v>
      </c>
      <c r="C1754" s="4" t="s">
        <v>2615</v>
      </c>
      <c r="D1754" s="4" t="s">
        <v>463</v>
      </c>
      <c r="E1754" s="4" t="s">
        <v>2814</v>
      </c>
      <c r="F1754" s="127" t="n">
        <v>46932</v>
      </c>
      <c r="G1754" s="127" t="n">
        <v>46944</v>
      </c>
      <c r="H1754" s="127" t="n">
        <v>46289</v>
      </c>
      <c r="I1754" s="4" t="n">
        <v>0</v>
      </c>
      <c r="J1754" s="4" t="n">
        <v>0</v>
      </c>
      <c r="K1754" s="4" t="n">
        <v>0</v>
      </c>
      <c r="M1754" s="2" t="str">
        <f aca="false">IF(C1754="","",IFERROR(INDEX($S$5:$S$304,MATCH(C1754,$R$5:$R$304,0))&amp;"","?"))</f>
        <v>37</v>
      </c>
      <c r="N1754" s="2" t="n">
        <f aca="false">IF(E1754="","",IF(ISNUMBER(SEARCH("SUBSOLO",E1754)),IFERROR(-VALUE(LEFT(E1754,FIND("º",SUBSTITUTE(E1754,"°","º"))-1)),-1),IF(LEFT(E1754,6)="TÉRREO",0,IFERROR(VALUE(LEFT(E1754,FIND("º",SUBSTITUTE(E1754,"°","º"))-1)),""))))</f>
        <v>15</v>
      </c>
      <c r="O1754" s="2" t="str">
        <f aca="false">IF(OR(F1754="",G1754=""),"",IF(G1754&lt;='RETRATO 2027'!$K$5,"CONCLUÍDA",IF(F1754&lt;='RETRATO 2027'!$K$5,"EM ANDAMENTO","A INICIAR")))</f>
        <v>A INICIAR</v>
      </c>
    </row>
    <row r="1755" customFormat="false" ht="15" hidden="false" customHeight="false" outlineLevel="0" collapsed="false">
      <c r="B1755" s="4" t="n">
        <v>29981198</v>
      </c>
      <c r="C1755" s="4" t="s">
        <v>2605</v>
      </c>
      <c r="D1755" s="4" t="s">
        <v>463</v>
      </c>
      <c r="E1755" s="4" t="s">
        <v>2815</v>
      </c>
      <c r="F1755" s="127" t="n">
        <v>46932</v>
      </c>
      <c r="G1755" s="127" t="n">
        <v>46944</v>
      </c>
      <c r="H1755" s="127" t="n">
        <v>46289</v>
      </c>
      <c r="I1755" s="4" t="n">
        <v>0</v>
      </c>
      <c r="J1755" s="4" t="n">
        <v>0</v>
      </c>
      <c r="K1755" s="4" t="n">
        <v>0</v>
      </c>
      <c r="M1755" s="2" t="str">
        <f aca="false">IF(C1755="","",IFERROR(INDEX($S$5:$S$304,MATCH(C1755,$R$5:$R$304,0))&amp;"","?"))</f>
        <v>34</v>
      </c>
      <c r="N1755" s="2" t="n">
        <f aca="false">IF(E1755="","",IF(ISNUMBER(SEARCH("SUBSOLO",E1755)),IFERROR(-VALUE(LEFT(E1755,FIND("º",SUBSTITUTE(E1755,"°","º"))-1)),-1),IF(LEFT(E1755,6)="TÉRREO",0,IFERROR(VALUE(LEFT(E1755,FIND("º",SUBSTITUTE(E1755,"°","º"))-1)),""))))</f>
        <v>16</v>
      </c>
      <c r="O1755" s="2" t="str">
        <f aca="false">IF(OR(F1755="",G1755=""),"",IF(G1755&lt;='RETRATO 2027'!$K$5,"CONCLUÍDA",IF(F1755&lt;='RETRATO 2027'!$K$5,"EM ANDAMENTO","A INICIAR")))</f>
        <v>A INICIAR</v>
      </c>
    </row>
    <row r="1756" customFormat="false" ht="15" hidden="false" customHeight="false" outlineLevel="0" collapsed="false">
      <c r="B1756" s="4" t="n">
        <v>29981203</v>
      </c>
      <c r="C1756" s="4" t="s">
        <v>2607</v>
      </c>
      <c r="D1756" s="4" t="s">
        <v>463</v>
      </c>
      <c r="E1756" s="4" t="s">
        <v>2815</v>
      </c>
      <c r="F1756" s="127" t="n">
        <v>46932</v>
      </c>
      <c r="G1756" s="127" t="n">
        <v>46944</v>
      </c>
      <c r="H1756" s="127" t="n">
        <v>46289</v>
      </c>
      <c r="I1756" s="4" t="n">
        <v>0</v>
      </c>
      <c r="J1756" s="4" t="n">
        <v>0</v>
      </c>
      <c r="K1756" s="4" t="n">
        <v>0</v>
      </c>
      <c r="M1756" s="2" t="str">
        <f aca="false">IF(C1756="","",IFERROR(INDEX($S$5:$S$304,MATCH(C1756,$R$5:$R$304,0))&amp;"","?"))</f>
        <v>34</v>
      </c>
      <c r="N1756" s="2" t="n">
        <f aca="false">IF(E1756="","",IF(ISNUMBER(SEARCH("SUBSOLO",E1756)),IFERROR(-VALUE(LEFT(E1756,FIND("º",SUBSTITUTE(E1756,"°","º"))-1)),-1),IF(LEFT(E1756,6)="TÉRREO",0,IFERROR(VALUE(LEFT(E1756,FIND("º",SUBSTITUTE(E1756,"°","º"))-1)),""))))</f>
        <v>16</v>
      </c>
      <c r="O1756" s="2" t="str">
        <f aca="false">IF(OR(F1756="",G1756=""),"",IF(G1756&lt;='RETRATO 2027'!$K$5,"CONCLUÍDA",IF(F1756&lt;='RETRATO 2027'!$K$5,"EM ANDAMENTO","A INICIAR")))</f>
        <v>A INICIAR</v>
      </c>
    </row>
    <row r="1757" customFormat="false" ht="15" hidden="false" customHeight="false" outlineLevel="0" collapsed="false">
      <c r="B1757" s="4" t="n">
        <v>29981202</v>
      </c>
      <c r="C1757" s="4" t="s">
        <v>2563</v>
      </c>
      <c r="D1757" s="4" t="s">
        <v>463</v>
      </c>
      <c r="E1757" s="4" t="s">
        <v>2815</v>
      </c>
      <c r="F1757" s="127" t="n">
        <v>46932</v>
      </c>
      <c r="G1757" s="127" t="n">
        <v>46944</v>
      </c>
      <c r="H1757" s="127" t="n">
        <v>46289</v>
      </c>
      <c r="I1757" s="4" t="n">
        <v>0</v>
      </c>
      <c r="J1757" s="4" t="n">
        <v>0</v>
      </c>
      <c r="K1757" s="4" t="n">
        <v>0</v>
      </c>
      <c r="M1757" s="2" t="str">
        <f aca="false">IF(C1757="","",IFERROR(INDEX($S$5:$S$304,MATCH(C1757,$R$5:$R$304,0))&amp;"","?"))</f>
        <v>20</v>
      </c>
      <c r="N1757" s="2" t="n">
        <f aca="false">IF(E1757="","",IF(ISNUMBER(SEARCH("SUBSOLO",E1757)),IFERROR(-VALUE(LEFT(E1757,FIND("º",SUBSTITUTE(E1757,"°","º"))-1)),-1),IF(LEFT(E1757,6)="TÉRREO",0,IFERROR(VALUE(LEFT(E1757,FIND("º",SUBSTITUTE(E1757,"°","º"))-1)),""))))</f>
        <v>16</v>
      </c>
      <c r="O1757" s="2" t="str">
        <f aca="false">IF(OR(F1757="",G1757=""),"",IF(G1757&lt;='RETRATO 2027'!$K$5,"CONCLUÍDA",IF(F1757&lt;='RETRATO 2027'!$K$5,"EM ANDAMENTO","A INICIAR")))</f>
        <v>A INICIAR</v>
      </c>
    </row>
    <row r="1758" customFormat="false" ht="15" hidden="false" customHeight="false" outlineLevel="0" collapsed="false">
      <c r="B1758" s="4" t="n">
        <v>29981201</v>
      </c>
      <c r="C1758" s="4" t="s">
        <v>2609</v>
      </c>
      <c r="D1758" s="4" t="s">
        <v>463</v>
      </c>
      <c r="E1758" s="4" t="s">
        <v>2815</v>
      </c>
      <c r="F1758" s="127" t="n">
        <v>46932</v>
      </c>
      <c r="G1758" s="127" t="n">
        <v>46944</v>
      </c>
      <c r="H1758" s="127" t="n">
        <v>46289</v>
      </c>
      <c r="I1758" s="4" t="n">
        <v>0</v>
      </c>
      <c r="J1758" s="4" t="n">
        <v>0</v>
      </c>
      <c r="K1758" s="4" t="n">
        <v>0</v>
      </c>
      <c r="M1758" s="2" t="str">
        <f aca="false">IF(C1758="","",IFERROR(INDEX($S$5:$S$304,MATCH(C1758,$R$5:$R$304,0))&amp;"","?"))</f>
        <v>23</v>
      </c>
      <c r="N1758" s="2" t="n">
        <f aca="false">IF(E1758="","",IF(ISNUMBER(SEARCH("SUBSOLO",E1758)),IFERROR(-VALUE(LEFT(E1758,FIND("º",SUBSTITUTE(E1758,"°","º"))-1)),-1),IF(LEFT(E1758,6)="TÉRREO",0,IFERROR(VALUE(LEFT(E1758,FIND("º",SUBSTITUTE(E1758,"°","º"))-1)),""))))</f>
        <v>16</v>
      </c>
      <c r="O1758" s="2" t="str">
        <f aca="false">IF(OR(F1758="",G1758=""),"",IF(G1758&lt;='RETRATO 2027'!$K$5,"CONCLUÍDA",IF(F1758&lt;='RETRATO 2027'!$K$5,"EM ANDAMENTO","A INICIAR")))</f>
        <v>A INICIAR</v>
      </c>
    </row>
    <row r="1759" customFormat="false" ht="15" hidden="false" customHeight="false" outlineLevel="0" collapsed="false">
      <c r="B1759" s="4" t="n">
        <v>29981160</v>
      </c>
      <c r="C1759" s="4" t="s">
        <v>2599</v>
      </c>
      <c r="D1759" s="4" t="s">
        <v>463</v>
      </c>
      <c r="E1759" s="4" t="s">
        <v>2818</v>
      </c>
      <c r="F1759" s="127" t="n">
        <v>46932</v>
      </c>
      <c r="G1759" s="127" t="n">
        <v>46944</v>
      </c>
      <c r="H1759" s="127" t="n">
        <v>46289</v>
      </c>
      <c r="I1759" s="4" t="n">
        <v>0</v>
      </c>
      <c r="J1759" s="4" t="n">
        <v>0</v>
      </c>
      <c r="K1759" s="4" t="n">
        <v>0</v>
      </c>
      <c r="M1759" s="2" t="str">
        <f aca="false">IF(C1759="","",IFERROR(INDEX($S$5:$S$304,MATCH(C1759,$R$5:$R$304,0))&amp;"","?"))</f>
        <v>30</v>
      </c>
      <c r="N1759" s="2" t="n">
        <f aca="false">IF(E1759="","",IF(ISNUMBER(SEARCH("SUBSOLO",E1759)),IFERROR(-VALUE(LEFT(E1759,FIND("º",SUBSTITUTE(E1759,"°","º"))-1)),-1),IF(LEFT(E1759,6)="TÉRREO",0,IFERROR(VALUE(LEFT(E1759,FIND("º",SUBSTITUTE(E1759,"°","º"))-1)),""))))</f>
        <v>17</v>
      </c>
      <c r="O1759" s="2" t="str">
        <f aca="false">IF(OR(F1759="",G1759=""),"",IF(G1759&lt;='RETRATO 2027'!$K$5,"CONCLUÍDA",IF(F1759&lt;='RETRATO 2027'!$K$5,"EM ANDAMENTO","A INICIAR")))</f>
        <v>A INICIAR</v>
      </c>
    </row>
    <row r="1760" customFormat="false" ht="15" hidden="false" customHeight="false" outlineLevel="0" collapsed="false">
      <c r="B1760" s="4" t="n">
        <v>29981122</v>
      </c>
      <c r="C1760" s="4" t="s">
        <v>2578</v>
      </c>
      <c r="D1760" s="4" t="s">
        <v>463</v>
      </c>
      <c r="E1760" s="4" t="s">
        <v>2820</v>
      </c>
      <c r="F1760" s="127" t="n">
        <v>46932</v>
      </c>
      <c r="G1760" s="127" t="n">
        <v>46944</v>
      </c>
      <c r="H1760" s="127" t="n">
        <v>46289</v>
      </c>
      <c r="I1760" s="4" t="n">
        <v>0</v>
      </c>
      <c r="J1760" s="4" t="n">
        <v>0</v>
      </c>
      <c r="K1760" s="4" t="n">
        <v>0</v>
      </c>
      <c r="M1760" s="2" t="str">
        <f aca="false">IF(C1760="","",IFERROR(INDEX($S$5:$S$304,MATCH(C1760,$R$5:$R$304,0))&amp;"","?"))</f>
        <v>25</v>
      </c>
      <c r="N1760" s="2" t="n">
        <f aca="false">IF(E1760="","",IF(ISNUMBER(SEARCH("SUBSOLO",E1760)),IFERROR(-VALUE(LEFT(E1760,FIND("º",SUBSTITUTE(E1760,"°","º"))-1)),-1),IF(LEFT(E1760,6)="TÉRREO",0,IFERROR(VALUE(LEFT(E1760,FIND("º",SUBSTITUTE(E1760,"°","º"))-1)),""))))</f>
        <v>18</v>
      </c>
      <c r="O1760" s="2" t="str">
        <f aca="false">IF(OR(F1760="",G1760=""),"",IF(G1760&lt;='RETRATO 2027'!$K$5,"CONCLUÍDA",IF(F1760&lt;='RETRATO 2027'!$K$5,"EM ANDAMENTO","A INICIAR")))</f>
        <v>A INICIAR</v>
      </c>
    </row>
    <row r="1761" customFormat="false" ht="15" hidden="false" customHeight="false" outlineLevel="0" collapsed="false">
      <c r="B1761" s="4" t="n">
        <v>29981047</v>
      </c>
      <c r="C1761" s="4" t="s">
        <v>2569</v>
      </c>
      <c r="D1761" s="4" t="s">
        <v>463</v>
      </c>
      <c r="E1761" s="4" t="s">
        <v>2823</v>
      </c>
      <c r="F1761" s="127" t="n">
        <v>46932</v>
      </c>
      <c r="G1761" s="127" t="n">
        <v>46944</v>
      </c>
      <c r="H1761" s="127" t="n">
        <v>46289</v>
      </c>
      <c r="I1761" s="4" t="n">
        <v>0</v>
      </c>
      <c r="J1761" s="4" t="n">
        <v>0</v>
      </c>
      <c r="K1761" s="4" t="n">
        <v>0</v>
      </c>
      <c r="M1761" s="2" t="str">
        <f aca="false">IF(C1761="","",IFERROR(INDEX($S$5:$S$304,MATCH(C1761,$R$5:$R$304,0))&amp;"","?"))</f>
        <v>30</v>
      </c>
      <c r="N1761" s="2" t="n">
        <f aca="false">IF(E1761="","",IF(ISNUMBER(SEARCH("SUBSOLO",E1761)),IFERROR(-VALUE(LEFT(E1761,FIND("º",SUBSTITUTE(E1761,"°","º"))-1)),-1),IF(LEFT(E1761,6)="TÉRREO",0,IFERROR(VALUE(LEFT(E1761,FIND("º",SUBSTITUTE(E1761,"°","º"))-1)),""))))</f>
        <v>20</v>
      </c>
      <c r="O1761" s="2" t="str">
        <f aca="false">IF(OR(F1761="",G1761=""),"",IF(G1761&lt;='RETRATO 2027'!$K$5,"CONCLUÍDA",IF(F1761&lt;='RETRATO 2027'!$K$5,"EM ANDAMENTO","A INICIAR")))</f>
        <v>A INICIAR</v>
      </c>
    </row>
    <row r="1762" customFormat="false" ht="15" hidden="false" customHeight="false" outlineLevel="0" collapsed="false">
      <c r="B1762" s="4" t="n">
        <v>29981009</v>
      </c>
      <c r="C1762" s="4" t="s">
        <v>2554</v>
      </c>
      <c r="D1762" s="4" t="s">
        <v>463</v>
      </c>
      <c r="E1762" s="4" t="s">
        <v>2825</v>
      </c>
      <c r="F1762" s="127" t="n">
        <v>46932</v>
      </c>
      <c r="G1762" s="127" t="n">
        <v>46944</v>
      </c>
      <c r="H1762" s="127" t="n">
        <v>46289</v>
      </c>
      <c r="I1762" s="4" t="n">
        <v>0</v>
      </c>
      <c r="J1762" s="4" t="n">
        <v>0</v>
      </c>
      <c r="K1762" s="4" t="n">
        <v>0</v>
      </c>
      <c r="M1762" s="2" t="str">
        <f aca="false">IF(C1762="","",IFERROR(INDEX($S$5:$S$304,MATCH(C1762,$R$5:$R$304,0))&amp;"","?"))</f>
        <v>35</v>
      </c>
      <c r="N1762" s="2" t="n">
        <f aca="false">IF(E1762="","",IF(ISNUMBER(SEARCH("SUBSOLO",E1762)),IFERROR(-VALUE(LEFT(E1762,FIND("º",SUBSTITUTE(E1762,"°","º"))-1)),-1),IF(LEFT(E1762,6)="TÉRREO",0,IFERROR(VALUE(LEFT(E1762,FIND("º",SUBSTITUTE(E1762,"°","º"))-1)),""))))</f>
        <v>21</v>
      </c>
      <c r="O1762" s="2" t="str">
        <f aca="false">IF(OR(F1762="",G1762=""),"",IF(G1762&lt;='RETRATO 2027'!$K$5,"CONCLUÍDA",IF(F1762&lt;='RETRATO 2027'!$K$5,"EM ANDAMENTO","A INICIAR")))</f>
        <v>A INICIAR</v>
      </c>
    </row>
    <row r="1763" customFormat="false" ht="15" hidden="false" customHeight="false" outlineLevel="0" collapsed="false">
      <c r="B1763" s="4" t="n">
        <v>29980998</v>
      </c>
      <c r="C1763" s="4" t="s">
        <v>2539</v>
      </c>
      <c r="D1763" s="4" t="s">
        <v>463</v>
      </c>
      <c r="E1763" s="4" t="s">
        <v>2827</v>
      </c>
      <c r="F1763" s="127" t="n">
        <v>46932</v>
      </c>
      <c r="G1763" s="127" t="n">
        <v>46944</v>
      </c>
      <c r="H1763" s="127" t="n">
        <v>46289</v>
      </c>
      <c r="I1763" s="4" t="n">
        <v>0</v>
      </c>
      <c r="J1763" s="4" t="n">
        <v>0</v>
      </c>
      <c r="K1763" s="4" t="n">
        <v>0</v>
      </c>
      <c r="M1763" s="2" t="str">
        <f aca="false">IF(C1763="","",IFERROR(INDEX($S$5:$S$304,MATCH(C1763,$R$5:$R$304,0))&amp;"","?"))</f>
        <v>35</v>
      </c>
      <c r="N1763" s="2" t="n">
        <f aca="false">IF(E1763="","",IF(ISNUMBER(SEARCH("SUBSOLO",E1763)),IFERROR(-VALUE(LEFT(E1763,FIND("º",SUBSTITUTE(E1763,"°","º"))-1)),-1),IF(LEFT(E1763,6)="TÉRREO",0,IFERROR(VALUE(LEFT(E1763,FIND("º",SUBSTITUTE(E1763,"°","º"))-1)),""))))</f>
        <v>22</v>
      </c>
      <c r="O1763" s="2" t="str">
        <f aca="false">IF(OR(F1763="",G1763=""),"",IF(G1763&lt;='RETRATO 2027'!$K$5,"CONCLUÍDA",IF(F1763&lt;='RETRATO 2027'!$K$5,"EM ANDAMENTO","A INICIAR")))</f>
        <v>A INICIAR</v>
      </c>
    </row>
    <row r="1764" customFormat="false" ht="15" hidden="false" customHeight="false" outlineLevel="0" collapsed="false">
      <c r="B1764" s="4" t="n">
        <v>33898107</v>
      </c>
      <c r="C1764" s="4" t="s">
        <v>2545</v>
      </c>
      <c r="D1764" s="4" t="s">
        <v>463</v>
      </c>
      <c r="E1764" s="4" t="s">
        <v>2829</v>
      </c>
      <c r="F1764" s="127" t="n">
        <v>46932</v>
      </c>
      <c r="G1764" s="127" t="n">
        <v>46944</v>
      </c>
      <c r="H1764" s="127" t="n">
        <v>46289</v>
      </c>
      <c r="I1764" s="4" t="n">
        <v>0</v>
      </c>
      <c r="J1764" s="4" t="n">
        <v>0</v>
      </c>
      <c r="K1764" s="4" t="n">
        <v>0</v>
      </c>
      <c r="M1764" s="2" t="str">
        <f aca="false">IF(C1764="","",IFERROR(INDEX($S$5:$S$304,MATCH(C1764,$R$5:$R$304,0))&amp;"","?"))</f>
        <v>25</v>
      </c>
      <c r="N1764" s="2" t="n">
        <f aca="false">IF(E1764="","",IF(ISNUMBER(SEARCH("SUBSOLO",E1764)),IFERROR(-VALUE(LEFT(E1764,FIND("º",SUBSTITUTE(E1764,"°","º"))-1)),-1),IF(LEFT(E1764,6)="TÉRREO",0,IFERROR(VALUE(LEFT(E1764,FIND("º",SUBSTITUTE(E1764,"°","º"))-1)),""))))</f>
        <v>23</v>
      </c>
      <c r="O1764" s="2" t="str">
        <f aca="false">IF(OR(F1764="",G1764=""),"",IF(G1764&lt;='RETRATO 2027'!$K$5,"CONCLUÍDA",IF(F1764&lt;='RETRATO 2027'!$K$5,"EM ANDAMENTO","A INICIAR")))</f>
        <v>A INICIAR</v>
      </c>
    </row>
    <row r="1765" customFormat="false" ht="15" hidden="false" customHeight="false" outlineLevel="0" collapsed="false">
      <c r="B1765" s="4" t="n">
        <v>30205782</v>
      </c>
      <c r="C1765" s="4" t="s">
        <v>2578</v>
      </c>
      <c r="D1765" s="4" t="s">
        <v>463</v>
      </c>
      <c r="E1765" s="4" t="s">
        <v>2835</v>
      </c>
      <c r="F1765" s="127" t="n">
        <v>46933</v>
      </c>
      <c r="G1765" s="127" t="n">
        <v>46946</v>
      </c>
      <c r="H1765" s="127" t="n">
        <v>46289</v>
      </c>
      <c r="I1765" s="4" t="n">
        <v>0</v>
      </c>
      <c r="J1765" s="4" t="n">
        <v>0</v>
      </c>
      <c r="K1765" s="4" t="n">
        <v>0</v>
      </c>
      <c r="M1765" s="2" t="str">
        <f aca="false">IF(C1765="","",IFERROR(INDEX($S$5:$S$304,MATCH(C1765,$R$5:$R$304,0))&amp;"","?"))</f>
        <v>25</v>
      </c>
      <c r="N1765" s="2" t="n">
        <f aca="false">IF(E1765="","",IF(ISNUMBER(SEARCH("SUBSOLO",E1765)),IFERROR(-VALUE(LEFT(E1765,FIND("º",SUBSTITUTE(E1765,"°","º"))-1)),-1),IF(LEFT(E1765,6)="TÉRREO",0,IFERROR(VALUE(LEFT(E1765,FIND("º",SUBSTITUTE(E1765,"°","º"))-1)),""))))</f>
        <v>0</v>
      </c>
      <c r="O1765" s="2" t="str">
        <f aca="false">IF(OR(F1765="",G1765=""),"",IF(G1765&lt;='RETRATO 2027'!$K$5,"CONCLUÍDA",IF(F1765&lt;='RETRATO 2027'!$K$5,"EM ANDAMENTO","A INICIAR")))</f>
        <v>A INICIAR</v>
      </c>
    </row>
    <row r="1766" customFormat="false" ht="15" hidden="false" customHeight="false" outlineLevel="0" collapsed="false">
      <c r="B1766" s="4" t="n">
        <v>30205781</v>
      </c>
      <c r="C1766" s="4" t="s">
        <v>2605</v>
      </c>
      <c r="D1766" s="4" t="s">
        <v>463</v>
      </c>
      <c r="E1766" s="4" t="s">
        <v>2835</v>
      </c>
      <c r="F1766" s="127" t="n">
        <v>46933</v>
      </c>
      <c r="G1766" s="127" t="n">
        <v>46946</v>
      </c>
      <c r="H1766" s="127" t="n">
        <v>46289</v>
      </c>
      <c r="I1766" s="4" t="n">
        <v>0</v>
      </c>
      <c r="J1766" s="4" t="n">
        <v>0</v>
      </c>
      <c r="K1766" s="4" t="n">
        <v>0</v>
      </c>
      <c r="M1766" s="2" t="str">
        <f aca="false">IF(C1766="","",IFERROR(INDEX($S$5:$S$304,MATCH(C1766,$R$5:$R$304,0))&amp;"","?"))</f>
        <v>34</v>
      </c>
      <c r="N1766" s="2" t="n">
        <f aca="false">IF(E1766="","",IF(ISNUMBER(SEARCH("SUBSOLO",E1766)),IFERROR(-VALUE(LEFT(E1766,FIND("º",SUBSTITUTE(E1766,"°","º"))-1)),-1),IF(LEFT(E1766,6)="TÉRREO",0,IFERROR(VALUE(LEFT(E1766,FIND("º",SUBSTITUTE(E1766,"°","º"))-1)),""))))</f>
        <v>0</v>
      </c>
      <c r="O1766" s="2" t="str">
        <f aca="false">IF(OR(F1766="",G1766=""),"",IF(G1766&lt;='RETRATO 2027'!$K$5,"CONCLUÍDA",IF(F1766&lt;='RETRATO 2027'!$K$5,"EM ANDAMENTO","A INICIAR")))</f>
        <v>A INICIAR</v>
      </c>
    </row>
    <row r="1767" customFormat="false" ht="15" hidden="false" customHeight="false" outlineLevel="0" collapsed="false">
      <c r="B1767" s="4" t="n">
        <v>30205779</v>
      </c>
      <c r="C1767" s="4" t="s">
        <v>2607</v>
      </c>
      <c r="D1767" s="4" t="s">
        <v>463</v>
      </c>
      <c r="E1767" s="4" t="s">
        <v>2835</v>
      </c>
      <c r="F1767" s="127" t="n">
        <v>46933</v>
      </c>
      <c r="G1767" s="127" t="n">
        <v>46946</v>
      </c>
      <c r="H1767" s="127" t="n">
        <v>46289</v>
      </c>
      <c r="I1767" s="4" t="n">
        <v>0</v>
      </c>
      <c r="J1767" s="4" t="n">
        <v>0</v>
      </c>
      <c r="K1767" s="4" t="n">
        <v>0</v>
      </c>
      <c r="M1767" s="2" t="str">
        <f aca="false">IF(C1767="","",IFERROR(INDEX($S$5:$S$304,MATCH(C1767,$R$5:$R$304,0))&amp;"","?"))</f>
        <v>34</v>
      </c>
      <c r="N1767" s="2" t="n">
        <f aca="false">IF(E1767="","",IF(ISNUMBER(SEARCH("SUBSOLO",E1767)),IFERROR(-VALUE(LEFT(E1767,FIND("º",SUBSTITUTE(E1767,"°","º"))-1)),-1),IF(LEFT(E1767,6)="TÉRREO",0,IFERROR(VALUE(LEFT(E1767,FIND("º",SUBSTITUTE(E1767,"°","º"))-1)),""))))</f>
        <v>0</v>
      </c>
      <c r="O1767" s="2" t="str">
        <f aca="false">IF(OR(F1767="",G1767=""),"",IF(G1767&lt;='RETRATO 2027'!$K$5,"CONCLUÍDA",IF(F1767&lt;='RETRATO 2027'!$K$5,"EM ANDAMENTO","A INICIAR")))</f>
        <v>A INICIAR</v>
      </c>
    </row>
    <row r="1768" customFormat="false" ht="15" hidden="false" customHeight="false" outlineLevel="0" collapsed="false">
      <c r="B1768" s="4" t="n">
        <v>30205818</v>
      </c>
      <c r="C1768" s="4" t="s">
        <v>2554</v>
      </c>
      <c r="D1768" s="4" t="s">
        <v>463</v>
      </c>
      <c r="E1768" s="4" t="s">
        <v>2839</v>
      </c>
      <c r="F1768" s="127" t="n">
        <v>46933</v>
      </c>
      <c r="G1768" s="127" t="n">
        <v>46946</v>
      </c>
      <c r="H1768" s="127" t="n">
        <v>46289</v>
      </c>
      <c r="I1768" s="4" t="n">
        <v>0</v>
      </c>
      <c r="J1768" s="4" t="n">
        <v>0</v>
      </c>
      <c r="K1768" s="4" t="n">
        <v>0</v>
      </c>
      <c r="M1768" s="2" t="str">
        <f aca="false">IF(C1768="","",IFERROR(INDEX($S$5:$S$304,MATCH(C1768,$R$5:$R$304,0))&amp;"","?"))</f>
        <v>35</v>
      </c>
      <c r="N1768" s="2" t="n">
        <f aca="false">IF(E1768="","",IF(ISNUMBER(SEARCH("SUBSOLO",E1768)),IFERROR(-VALUE(LEFT(E1768,FIND("º",SUBSTITUTE(E1768,"°","º"))-1)),-1),IF(LEFT(E1768,6)="TÉRREO",0,IFERROR(VALUE(LEFT(E1768,FIND("º",SUBSTITUTE(E1768,"°","º"))-1)),""))))</f>
        <v>0</v>
      </c>
      <c r="O1768" s="2" t="str">
        <f aca="false">IF(OR(F1768="",G1768=""),"",IF(G1768&lt;='RETRATO 2027'!$K$5,"CONCLUÍDA",IF(F1768&lt;='RETRATO 2027'!$K$5,"EM ANDAMENTO","A INICIAR")))</f>
        <v>A INICIAR</v>
      </c>
    </row>
    <row r="1769" customFormat="false" ht="15" hidden="false" customHeight="false" outlineLevel="0" collapsed="false">
      <c r="B1769" s="4" t="n">
        <v>29980811</v>
      </c>
      <c r="C1769" s="4" t="s">
        <v>216</v>
      </c>
      <c r="D1769" s="4" t="s">
        <v>463</v>
      </c>
      <c r="E1769" s="4" t="s">
        <v>2838</v>
      </c>
      <c r="F1769" s="127" t="n">
        <v>46933</v>
      </c>
      <c r="G1769" s="127" t="n">
        <v>46945</v>
      </c>
      <c r="H1769" s="127" t="n">
        <v>46289</v>
      </c>
      <c r="I1769" s="4" t="n">
        <v>0</v>
      </c>
      <c r="J1769" s="4" t="n">
        <v>0</v>
      </c>
      <c r="K1769" s="4" t="n">
        <v>0</v>
      </c>
      <c r="M1769" s="2" t="str">
        <f aca="false">IF(C1769="","",IFERROR(INDEX($S$5:$S$304,MATCH(C1769,$R$5:$R$304,0))&amp;"","?"))</f>
        <v>33</v>
      </c>
      <c r="N1769" s="2" t="n">
        <f aca="false">IF(E1769="","",IF(ISNUMBER(SEARCH("SUBSOLO",E1769)),IFERROR(-VALUE(LEFT(E1769,FIND("º",SUBSTITUTE(E1769,"°","º"))-1)),-1),IF(LEFT(E1769,6)="TÉRREO",0,IFERROR(VALUE(LEFT(E1769,FIND("º",SUBSTITUTE(E1769,"°","º"))-1)),""))))</f>
        <v>27</v>
      </c>
      <c r="O1769" s="2" t="str">
        <f aca="false">IF(OR(F1769="",G1769=""),"",IF(G1769&lt;='RETRATO 2027'!$K$5,"CONCLUÍDA",IF(F1769&lt;='RETRATO 2027'!$K$5,"EM ANDAMENTO","A INICIAR")))</f>
        <v>A INICIAR</v>
      </c>
    </row>
    <row r="1770" customFormat="false" ht="15" hidden="false" customHeight="false" outlineLevel="0" collapsed="false">
      <c r="B1770" s="4" t="n">
        <v>29980772</v>
      </c>
      <c r="C1770" s="4" t="s">
        <v>2508</v>
      </c>
      <c r="D1770" s="4" t="s">
        <v>463</v>
      </c>
      <c r="E1770" s="4" t="s">
        <v>2840</v>
      </c>
      <c r="F1770" s="127" t="n">
        <v>46933</v>
      </c>
      <c r="G1770" s="127" t="n">
        <v>46945</v>
      </c>
      <c r="H1770" s="127" t="n">
        <v>46289</v>
      </c>
      <c r="I1770" s="4" t="n">
        <v>0</v>
      </c>
      <c r="J1770" s="4" t="n">
        <v>0</v>
      </c>
      <c r="K1770" s="4" t="n">
        <v>0</v>
      </c>
      <c r="M1770" s="2" t="str">
        <f aca="false">IF(C1770="","",IFERROR(INDEX($S$5:$S$304,MATCH(C1770,$R$5:$R$304,0))&amp;"","?"))</f>
        <v>20</v>
      </c>
      <c r="N1770" s="2" t="n">
        <f aca="false">IF(E1770="","",IF(ISNUMBER(SEARCH("SUBSOLO",E1770)),IFERROR(-VALUE(LEFT(E1770,FIND("º",SUBSTITUTE(E1770,"°","º"))-1)),-1),IF(LEFT(E1770,6)="TÉRREO",0,IFERROR(VALUE(LEFT(E1770,FIND("º",SUBSTITUTE(E1770,"°","º"))-1)),""))))</f>
        <v>28</v>
      </c>
      <c r="O1770" s="2" t="str">
        <f aca="false">IF(OR(F1770="",G1770=""),"",IF(G1770&lt;='RETRATO 2027'!$K$5,"CONCLUÍDA",IF(F1770&lt;='RETRATO 2027'!$K$5,"EM ANDAMENTO","A INICIAR")))</f>
        <v>A INICIAR</v>
      </c>
    </row>
    <row r="1771" customFormat="false" ht="15" hidden="false" customHeight="false" outlineLevel="0" collapsed="false">
      <c r="B1771" s="4" t="n">
        <v>29980777</v>
      </c>
      <c r="C1771" s="4" t="s">
        <v>2511</v>
      </c>
      <c r="D1771" s="4" t="s">
        <v>463</v>
      </c>
      <c r="E1771" s="4" t="s">
        <v>2840</v>
      </c>
      <c r="F1771" s="127" t="n">
        <v>46933</v>
      </c>
      <c r="G1771" s="127" t="n">
        <v>46945</v>
      </c>
      <c r="H1771" s="127" t="n">
        <v>46289</v>
      </c>
      <c r="I1771" s="4" t="n">
        <v>0</v>
      </c>
      <c r="J1771" s="4" t="n">
        <v>0</v>
      </c>
      <c r="K1771" s="4" t="n">
        <v>0</v>
      </c>
      <c r="M1771" s="2" t="str">
        <f aca="false">IF(C1771="","",IFERROR(INDEX($S$5:$S$304,MATCH(C1771,$R$5:$R$304,0))&amp;"","?"))</f>
        <v>20</v>
      </c>
      <c r="N1771" s="2" t="n">
        <f aca="false">IF(E1771="","",IF(ISNUMBER(SEARCH("SUBSOLO",E1771)),IFERROR(-VALUE(LEFT(E1771,FIND("º",SUBSTITUTE(E1771,"°","º"))-1)),-1),IF(LEFT(E1771,6)="TÉRREO",0,IFERROR(VALUE(LEFT(E1771,FIND("º",SUBSTITUTE(E1771,"°","º"))-1)),""))))</f>
        <v>28</v>
      </c>
      <c r="O1771" s="2" t="str">
        <f aca="false">IF(OR(F1771="",G1771=""),"",IF(G1771&lt;='RETRATO 2027'!$K$5,"CONCLUÍDA",IF(F1771&lt;='RETRATO 2027'!$K$5,"EM ANDAMENTO","A INICIAR")))</f>
        <v>A INICIAR</v>
      </c>
    </row>
    <row r="1772" customFormat="false" ht="15" hidden="false" customHeight="false" outlineLevel="0" collapsed="false">
      <c r="B1772" s="4" t="n">
        <v>30214090</v>
      </c>
      <c r="C1772" s="4" t="s">
        <v>2514</v>
      </c>
      <c r="D1772" s="4" t="s">
        <v>463</v>
      </c>
      <c r="E1772" s="4" t="s">
        <v>2840</v>
      </c>
      <c r="F1772" s="127" t="n">
        <v>46933</v>
      </c>
      <c r="G1772" s="127" t="n">
        <v>46946</v>
      </c>
      <c r="H1772" s="127" t="n">
        <v>46289</v>
      </c>
      <c r="I1772" s="4" t="n">
        <v>0</v>
      </c>
      <c r="J1772" s="4" t="n">
        <v>0</v>
      </c>
      <c r="K1772" s="4" t="n">
        <v>0</v>
      </c>
      <c r="M1772" s="2" t="str">
        <f aca="false">IF(C1772="","",IFERROR(INDEX($S$5:$S$304,MATCH(C1772,$R$5:$R$304,0))&amp;"","?"))</f>
        <v>20</v>
      </c>
      <c r="N1772" s="2" t="n">
        <f aca="false">IF(E1772="","",IF(ISNUMBER(SEARCH("SUBSOLO",E1772)),IFERROR(-VALUE(LEFT(E1772,FIND("º",SUBSTITUTE(E1772,"°","º"))-1)),-1),IF(LEFT(E1772,6)="TÉRREO",0,IFERROR(VALUE(LEFT(E1772,FIND("º",SUBSTITUTE(E1772,"°","º"))-1)),""))))</f>
        <v>28</v>
      </c>
      <c r="O1772" s="2" t="str">
        <f aca="false">IF(OR(F1772="",G1772=""),"",IF(G1772&lt;='RETRATO 2027'!$K$5,"CONCLUÍDA",IF(F1772&lt;='RETRATO 2027'!$K$5,"EM ANDAMENTO","A INICIAR")))</f>
        <v>A INICIAR</v>
      </c>
    </row>
    <row r="1773" customFormat="false" ht="15" hidden="false" customHeight="false" outlineLevel="0" collapsed="false">
      <c r="B1773" s="4" t="n">
        <v>29980719</v>
      </c>
      <c r="C1773" s="4" t="s">
        <v>2501</v>
      </c>
      <c r="D1773" s="4" t="s">
        <v>463</v>
      </c>
      <c r="E1773" s="4" t="s">
        <v>2841</v>
      </c>
      <c r="F1773" s="127" t="n">
        <v>46933</v>
      </c>
      <c r="G1773" s="127" t="n">
        <v>46945</v>
      </c>
      <c r="H1773" s="127" t="n">
        <v>46289</v>
      </c>
      <c r="I1773" s="4" t="n">
        <v>0</v>
      </c>
      <c r="J1773" s="4" t="n">
        <v>0</v>
      </c>
      <c r="K1773" s="4" t="n">
        <v>0</v>
      </c>
      <c r="M1773" s="2" t="str">
        <f aca="false">IF(C1773="","",IFERROR(INDEX($S$5:$S$304,MATCH(C1773,$R$5:$R$304,0))&amp;"","?"))</f>
        <v>30</v>
      </c>
      <c r="N1773" s="2" t="n">
        <f aca="false">IF(E1773="","",IF(ISNUMBER(SEARCH("SUBSOLO",E1773)),IFERROR(-VALUE(LEFT(E1773,FIND("º",SUBSTITUTE(E1773,"°","º"))-1)),-1),IF(LEFT(E1773,6)="TÉRREO",0,IFERROR(VALUE(LEFT(E1773,FIND("º",SUBSTITUTE(E1773,"°","º"))-1)),""))))</f>
        <v>29</v>
      </c>
      <c r="O1773" s="2" t="str">
        <f aca="false">IF(OR(F1773="",G1773=""),"",IF(G1773&lt;='RETRATO 2027'!$K$5,"CONCLUÍDA",IF(F1773&lt;='RETRATO 2027'!$K$5,"EM ANDAMENTO","A INICIAR")))</f>
        <v>A INICIAR</v>
      </c>
    </row>
    <row r="1774" customFormat="false" ht="15" hidden="false" customHeight="false" outlineLevel="0" collapsed="false">
      <c r="B1774" s="4" t="n">
        <v>29980681</v>
      </c>
      <c r="C1774" s="4" t="s">
        <v>2486</v>
      </c>
      <c r="D1774" s="4" t="s">
        <v>463</v>
      </c>
      <c r="E1774" s="4" t="s">
        <v>2842</v>
      </c>
      <c r="F1774" s="127" t="n">
        <v>46933</v>
      </c>
      <c r="G1774" s="127" t="n">
        <v>46945</v>
      </c>
      <c r="H1774" s="127" t="n">
        <v>46289</v>
      </c>
      <c r="I1774" s="4" t="n">
        <v>0</v>
      </c>
      <c r="J1774" s="4" t="n">
        <v>0</v>
      </c>
      <c r="K1774" s="4" t="n">
        <v>0</v>
      </c>
      <c r="M1774" s="2" t="str">
        <f aca="false">IF(C1774="","",IFERROR(INDEX($S$5:$S$304,MATCH(C1774,$R$5:$R$304,0))&amp;"","?"))</f>
        <v>30</v>
      </c>
      <c r="N1774" s="2" t="n">
        <f aca="false">IF(E1774="","",IF(ISNUMBER(SEARCH("SUBSOLO",E1774)),IFERROR(-VALUE(LEFT(E1774,FIND("º",SUBSTITUTE(E1774,"°","º"))-1)),-1),IF(LEFT(E1774,6)="TÉRREO",0,IFERROR(VALUE(LEFT(E1774,FIND("º",SUBSTITUTE(E1774,"°","º"))-1)),""))))</f>
        <v>30</v>
      </c>
      <c r="O1774" s="2" t="str">
        <f aca="false">IF(OR(F1774="",G1774=""),"",IF(G1774&lt;='RETRATO 2027'!$K$5,"CONCLUÍDA",IF(F1774&lt;='RETRATO 2027'!$K$5,"EM ANDAMENTO","A INICIAR")))</f>
        <v>A INICIAR</v>
      </c>
    </row>
    <row r="1775" customFormat="false" ht="15" hidden="false" customHeight="false" outlineLevel="0" collapsed="false">
      <c r="B1775" s="4" t="n">
        <v>29980660</v>
      </c>
      <c r="C1775" s="4" t="s">
        <v>2480</v>
      </c>
      <c r="D1775" s="4" t="s">
        <v>463</v>
      </c>
      <c r="E1775" s="4" t="s">
        <v>2843</v>
      </c>
      <c r="F1775" s="127" t="n">
        <v>46933</v>
      </c>
      <c r="G1775" s="127" t="n">
        <v>46945</v>
      </c>
      <c r="H1775" s="127" t="n">
        <v>46289</v>
      </c>
      <c r="I1775" s="4" t="n">
        <v>0</v>
      </c>
      <c r="J1775" s="4" t="n">
        <v>0</v>
      </c>
      <c r="K1775" s="4" t="n">
        <v>0</v>
      </c>
      <c r="M1775" s="2" t="str">
        <f aca="false">IF(C1775="","",IFERROR(INDEX($S$5:$S$304,MATCH(C1775,$R$5:$R$304,0))&amp;"","?"))</f>
        <v>30</v>
      </c>
      <c r="N1775" s="2" t="n">
        <f aca="false">IF(E1775="","",IF(ISNUMBER(SEARCH("SUBSOLO",E1775)),IFERROR(-VALUE(LEFT(E1775,FIND("º",SUBSTITUTE(E1775,"°","º"))-1)),-1),IF(LEFT(E1775,6)="TÉRREO",0,IFERROR(VALUE(LEFT(E1775,FIND("º",SUBSTITUTE(E1775,"°","º"))-1)),""))))</f>
        <v>31</v>
      </c>
      <c r="O1775" s="2" t="str">
        <f aca="false">IF(OR(F1775="",G1775=""),"",IF(G1775&lt;='RETRATO 2027'!$K$5,"CONCLUÍDA",IF(F1775&lt;='RETRATO 2027'!$K$5,"EM ANDAMENTO","A INICIAR")))</f>
        <v>A INICIAR</v>
      </c>
    </row>
    <row r="1776" customFormat="false" ht="15" hidden="false" customHeight="false" outlineLevel="0" collapsed="false">
      <c r="B1776" s="4" t="n">
        <v>29980621</v>
      </c>
      <c r="C1776" s="4" t="s">
        <v>171</v>
      </c>
      <c r="D1776" s="4" t="s">
        <v>463</v>
      </c>
      <c r="E1776" s="4" t="s">
        <v>2844</v>
      </c>
      <c r="F1776" s="127" t="n">
        <v>46933</v>
      </c>
      <c r="G1776" s="127" t="n">
        <v>46945</v>
      </c>
      <c r="H1776" s="127" t="n">
        <v>46289</v>
      </c>
      <c r="I1776" s="4" t="n">
        <v>0</v>
      </c>
      <c r="J1776" s="4" t="n">
        <v>0</v>
      </c>
      <c r="K1776" s="4" t="n">
        <v>0</v>
      </c>
      <c r="M1776" s="2" t="str">
        <f aca="false">IF(C1776="","",IFERROR(INDEX($S$5:$S$304,MATCH(C1776,$R$5:$R$304,0))&amp;"","?"))</f>
        <v>19</v>
      </c>
      <c r="N1776" s="2" t="n">
        <f aca="false">IF(E1776="","",IF(ISNUMBER(SEARCH("SUBSOLO",E1776)),IFERROR(-VALUE(LEFT(E1776,FIND("º",SUBSTITUTE(E1776,"°","º"))-1)),-1),IF(LEFT(E1776,6)="TÉRREO",0,IFERROR(VALUE(LEFT(E1776,FIND("º",SUBSTITUTE(E1776,"°","º"))-1)),""))))</f>
        <v>32</v>
      </c>
      <c r="O1776" s="2" t="str">
        <f aca="false">IF(OR(F1776="",G1776=""),"",IF(G1776&lt;='RETRATO 2027'!$K$5,"CONCLUÍDA",IF(F1776&lt;='RETRATO 2027'!$K$5,"EM ANDAMENTO","A INICIAR")))</f>
        <v>A INICIAR</v>
      </c>
    </row>
    <row r="1777" customFormat="false" ht="15" hidden="false" customHeight="false" outlineLevel="0" collapsed="false">
      <c r="B1777" s="4" t="n">
        <v>33904058</v>
      </c>
      <c r="C1777" s="4" t="s">
        <v>2545</v>
      </c>
      <c r="D1777" s="4" t="s">
        <v>463</v>
      </c>
      <c r="E1777" s="4" t="s">
        <v>2846</v>
      </c>
      <c r="F1777" s="127" t="n">
        <v>46934</v>
      </c>
      <c r="G1777" s="127" t="n">
        <v>46947</v>
      </c>
      <c r="H1777" s="127" t="n">
        <v>46289</v>
      </c>
      <c r="I1777" s="4" t="n">
        <v>0</v>
      </c>
      <c r="J1777" s="4" t="n">
        <v>0</v>
      </c>
      <c r="K1777" s="4" t="n">
        <v>0</v>
      </c>
      <c r="M1777" s="2" t="str">
        <f aca="false">IF(C1777="","",IFERROR(INDEX($S$5:$S$304,MATCH(C1777,$R$5:$R$304,0))&amp;"","?"))</f>
        <v>25</v>
      </c>
      <c r="N1777" s="2" t="n">
        <f aca="false">IF(E1777="","",IF(ISNUMBER(SEARCH("SUBSOLO",E1777)),IFERROR(-VALUE(LEFT(E1777,FIND("º",SUBSTITUTE(E1777,"°","º"))-1)),-1),IF(LEFT(E1777,6)="TÉRREO",0,IFERROR(VALUE(LEFT(E1777,FIND("º",SUBSTITUTE(E1777,"°","º"))-1)),""))))</f>
        <v>6</v>
      </c>
      <c r="O1777" s="2" t="str">
        <f aca="false">IF(OR(F1777="",G1777=""),"",IF(G1777&lt;='RETRATO 2027'!$K$5,"CONCLUÍDA",IF(F1777&lt;='RETRATO 2027'!$K$5,"EM ANDAMENTO","A INICIAR")))</f>
        <v>A INICIAR</v>
      </c>
    </row>
    <row r="1778" customFormat="false" ht="15" hidden="false" customHeight="false" outlineLevel="0" collapsed="false">
      <c r="B1778" s="4" t="n">
        <v>30206088</v>
      </c>
      <c r="C1778" s="4" t="s">
        <v>2508</v>
      </c>
      <c r="D1778" s="4" t="s">
        <v>463</v>
      </c>
      <c r="E1778" s="4" t="s">
        <v>2847</v>
      </c>
      <c r="F1778" s="127" t="n">
        <v>46934</v>
      </c>
      <c r="G1778" s="127" t="n">
        <v>46947</v>
      </c>
      <c r="H1778" s="127" t="n">
        <v>46289</v>
      </c>
      <c r="I1778" s="4" t="n">
        <v>0</v>
      </c>
      <c r="J1778" s="4" t="n">
        <v>0</v>
      </c>
      <c r="K1778" s="4" t="n">
        <v>0</v>
      </c>
      <c r="M1778" s="2" t="str">
        <f aca="false">IF(C1778="","",IFERROR(INDEX($S$5:$S$304,MATCH(C1778,$R$5:$R$304,0))&amp;"","?"))</f>
        <v>20</v>
      </c>
      <c r="N1778" s="2" t="n">
        <f aca="false">IF(E1778="","",IF(ISNUMBER(SEARCH("SUBSOLO",E1778)),IFERROR(-VALUE(LEFT(E1778,FIND("º",SUBSTITUTE(E1778,"°","º"))-1)),-1),IF(LEFT(E1778,6)="TÉRREO",0,IFERROR(VALUE(LEFT(E1778,FIND("º",SUBSTITUTE(E1778,"°","º"))-1)),""))))</f>
        <v>6</v>
      </c>
      <c r="O1778" s="2" t="str">
        <f aca="false">IF(OR(F1778="",G1778=""),"",IF(G1778&lt;='RETRATO 2027'!$K$5,"CONCLUÍDA",IF(F1778&lt;='RETRATO 2027'!$K$5,"EM ANDAMENTO","A INICIAR")))</f>
        <v>A INICIAR</v>
      </c>
    </row>
    <row r="1779" customFormat="false" ht="15" hidden="false" customHeight="false" outlineLevel="0" collapsed="false">
      <c r="B1779" s="4" t="n">
        <v>30206034</v>
      </c>
      <c r="C1779" s="4" t="s">
        <v>2486</v>
      </c>
      <c r="D1779" s="4" t="s">
        <v>463</v>
      </c>
      <c r="E1779" s="4" t="s">
        <v>2848</v>
      </c>
      <c r="F1779" s="127" t="n">
        <v>46934</v>
      </c>
      <c r="G1779" s="127" t="n">
        <v>46947</v>
      </c>
      <c r="H1779" s="127" t="n">
        <v>46289</v>
      </c>
      <c r="I1779" s="4" t="n">
        <v>0</v>
      </c>
      <c r="J1779" s="4" t="n">
        <v>0</v>
      </c>
      <c r="K1779" s="4" t="n">
        <v>0</v>
      </c>
      <c r="M1779" s="2" t="str">
        <f aca="false">IF(C1779="","",IFERROR(INDEX($S$5:$S$304,MATCH(C1779,$R$5:$R$304,0))&amp;"","?"))</f>
        <v>30</v>
      </c>
      <c r="N1779" s="2" t="n">
        <f aca="false">IF(E1779="","",IF(ISNUMBER(SEARCH("SUBSOLO",E1779)),IFERROR(-VALUE(LEFT(E1779,FIND("º",SUBSTITUTE(E1779,"°","º"))-1)),-1),IF(LEFT(E1779,6)="TÉRREO",0,IFERROR(VALUE(LEFT(E1779,FIND("º",SUBSTITUTE(E1779,"°","º"))-1)),""))))</f>
        <v>6</v>
      </c>
      <c r="O1779" s="2" t="str">
        <f aca="false">IF(OR(F1779="",G1779=""),"",IF(G1779&lt;='RETRATO 2027'!$K$5,"CONCLUÍDA",IF(F1779&lt;='RETRATO 2027'!$K$5,"EM ANDAMENTO","A INICIAR")))</f>
        <v>A INICIAR</v>
      </c>
    </row>
    <row r="1780" customFormat="false" ht="15" hidden="false" customHeight="false" outlineLevel="0" collapsed="false">
      <c r="B1780" s="4" t="n">
        <v>30206013</v>
      </c>
      <c r="C1780" s="4" t="s">
        <v>2480</v>
      </c>
      <c r="D1780" s="4" t="s">
        <v>463</v>
      </c>
      <c r="E1780" s="4" t="s">
        <v>2849</v>
      </c>
      <c r="F1780" s="127" t="n">
        <v>46934</v>
      </c>
      <c r="G1780" s="127" t="n">
        <v>46947</v>
      </c>
      <c r="H1780" s="127" t="n">
        <v>46289</v>
      </c>
      <c r="I1780" s="4" t="n">
        <v>0</v>
      </c>
      <c r="J1780" s="4" t="n">
        <v>0</v>
      </c>
      <c r="K1780" s="4" t="n">
        <v>0</v>
      </c>
      <c r="M1780" s="2" t="str">
        <f aca="false">IF(C1780="","",IFERROR(INDEX($S$5:$S$304,MATCH(C1780,$R$5:$R$304,0))&amp;"","?"))</f>
        <v>30</v>
      </c>
      <c r="N1780" s="2" t="n">
        <f aca="false">IF(E1780="","",IF(ISNUMBER(SEARCH("SUBSOLO",E1780)),IFERROR(-VALUE(LEFT(E1780,FIND("º",SUBSTITUTE(E1780,"°","º"))-1)),-1),IF(LEFT(E1780,6)="TÉRREO",0,IFERROR(VALUE(LEFT(E1780,FIND("º",SUBSTITUTE(E1780,"°","º"))-1)),""))))</f>
        <v>6</v>
      </c>
      <c r="O1780" s="2" t="str">
        <f aca="false">IF(OR(F1780="",G1780=""),"",IF(G1780&lt;='RETRATO 2027'!$K$5,"CONCLUÍDA",IF(F1780&lt;='RETRATO 2027'!$K$5,"EM ANDAMENTO","A INICIAR")))</f>
        <v>A INICIAR</v>
      </c>
    </row>
    <row r="1781" customFormat="false" ht="15" hidden="false" customHeight="false" outlineLevel="0" collapsed="false">
      <c r="B1781" s="4" t="n">
        <v>30205975</v>
      </c>
      <c r="C1781" s="4" t="s">
        <v>2449</v>
      </c>
      <c r="D1781" s="4" t="s">
        <v>463</v>
      </c>
      <c r="E1781" s="4" t="s">
        <v>2850</v>
      </c>
      <c r="F1781" s="127" t="n">
        <v>46934</v>
      </c>
      <c r="G1781" s="127" t="n">
        <v>46947</v>
      </c>
      <c r="H1781" s="127" t="n">
        <v>46289</v>
      </c>
      <c r="I1781" s="4" t="n">
        <v>0</v>
      </c>
      <c r="J1781" s="4" t="n">
        <v>0</v>
      </c>
      <c r="K1781" s="4" t="n">
        <v>0</v>
      </c>
      <c r="M1781" s="2" t="str">
        <f aca="false">IF(C1781="","",IFERROR(INDEX($S$5:$S$304,MATCH(C1781,$R$5:$R$304,0))&amp;"","?"))</f>
        <v>28</v>
      </c>
      <c r="N1781" s="2" t="n">
        <f aca="false">IF(E1781="","",IF(ISNUMBER(SEARCH("SUBSOLO",E1781)),IFERROR(-VALUE(LEFT(E1781,FIND("º",SUBSTITUTE(E1781,"°","º"))-1)),-1),IF(LEFT(E1781,6)="TÉRREO",0,IFERROR(VALUE(LEFT(E1781,FIND("º",SUBSTITUTE(E1781,"°","º"))-1)),""))))</f>
        <v>6</v>
      </c>
      <c r="O1781" s="2" t="str">
        <f aca="false">IF(OR(F1781="",G1781=""),"",IF(G1781&lt;='RETRATO 2027'!$K$5,"CONCLUÍDA",IF(F1781&lt;='RETRATO 2027'!$K$5,"EM ANDAMENTO","A INICIAR")))</f>
        <v>A INICIAR</v>
      </c>
    </row>
    <row r="1782" customFormat="false" ht="15" hidden="false" customHeight="false" outlineLevel="0" collapsed="false">
      <c r="B1782" s="4" t="n">
        <v>29981103</v>
      </c>
      <c r="C1782" s="4" t="s">
        <v>2449</v>
      </c>
      <c r="D1782" s="4" t="s">
        <v>463</v>
      </c>
      <c r="E1782" s="4" t="s">
        <v>2822</v>
      </c>
      <c r="F1782" s="127" t="n">
        <v>46934</v>
      </c>
      <c r="G1782" s="127" t="n">
        <v>46946</v>
      </c>
      <c r="H1782" s="127" t="n">
        <v>46289</v>
      </c>
      <c r="I1782" s="4" t="n">
        <v>0</v>
      </c>
      <c r="J1782" s="4" t="n">
        <v>0</v>
      </c>
      <c r="K1782" s="4" t="n">
        <v>0</v>
      </c>
      <c r="M1782" s="2" t="str">
        <f aca="false">IF(C1782="","",IFERROR(INDEX($S$5:$S$304,MATCH(C1782,$R$5:$R$304,0))&amp;"","?"))</f>
        <v>28</v>
      </c>
      <c r="N1782" s="2" t="n">
        <f aca="false">IF(E1782="","",IF(ISNUMBER(SEARCH("SUBSOLO",E1782)),IFERROR(-VALUE(LEFT(E1782,FIND("º",SUBSTITUTE(E1782,"°","º"))-1)),-1),IF(LEFT(E1782,6)="TÉRREO",0,IFERROR(VALUE(LEFT(E1782,FIND("º",SUBSTITUTE(E1782,"°","º"))-1)),""))))</f>
        <v>19</v>
      </c>
      <c r="O1782" s="2" t="str">
        <f aca="false">IF(OR(F1782="",G1782=""),"",IF(G1782&lt;='RETRATO 2027'!$K$5,"CONCLUÍDA",IF(F1782&lt;='RETRATO 2027'!$K$5,"EM ANDAMENTO","A INICIAR")))</f>
        <v>A INICIAR</v>
      </c>
    </row>
    <row r="1783" customFormat="false" ht="15" hidden="false" customHeight="false" outlineLevel="0" collapsed="false">
      <c r="B1783" s="4" t="n">
        <v>30171526</v>
      </c>
      <c r="C1783" s="4" t="s">
        <v>2508</v>
      </c>
      <c r="D1783" s="4" t="s">
        <v>463</v>
      </c>
      <c r="E1783" s="4" t="s">
        <v>2857</v>
      </c>
      <c r="F1783" s="127" t="n">
        <v>46937</v>
      </c>
      <c r="G1783" s="127" t="n">
        <v>46966</v>
      </c>
      <c r="H1783" s="127" t="n">
        <v>46289</v>
      </c>
      <c r="I1783" s="4" t="n">
        <v>0</v>
      </c>
      <c r="J1783" s="4" t="n">
        <v>0</v>
      </c>
      <c r="K1783" s="4" t="n">
        <v>0</v>
      </c>
      <c r="M1783" s="2" t="str">
        <f aca="false">IF(C1783="","",IFERROR(INDEX($S$5:$S$304,MATCH(C1783,$R$5:$R$304,0))&amp;"","?"))</f>
        <v>20</v>
      </c>
      <c r="N1783" s="2" t="str">
        <f aca="false"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 t="str">
        <f aca="false">IF(OR(F1783="",G1783=""),"",IF(G1783&lt;='RETRATO 2027'!$K$5,"CONCLUÍDA",IF(F1783&lt;='RETRATO 2027'!$K$5,"EM ANDAMENTO","A INICIAR")))</f>
        <v>A INICIAR</v>
      </c>
    </row>
    <row r="1784" customFormat="false" ht="15" hidden="false" customHeight="false" outlineLevel="0" collapsed="false">
      <c r="B1784" s="4" t="n">
        <v>30171532</v>
      </c>
      <c r="C1784" s="4" t="s">
        <v>2511</v>
      </c>
      <c r="D1784" s="4" t="s">
        <v>463</v>
      </c>
      <c r="E1784" s="4" t="s">
        <v>2857</v>
      </c>
      <c r="F1784" s="127" t="n">
        <v>46937</v>
      </c>
      <c r="G1784" s="127" t="n">
        <v>46966</v>
      </c>
      <c r="H1784" s="127" t="n">
        <v>46289</v>
      </c>
      <c r="I1784" s="4" t="n">
        <v>0</v>
      </c>
      <c r="J1784" s="4" t="n">
        <v>0</v>
      </c>
      <c r="K1784" s="4" t="n">
        <v>0</v>
      </c>
      <c r="M1784" s="2" t="str">
        <f aca="false">IF(C1784="","",IFERROR(INDEX($S$5:$S$304,MATCH(C1784,$R$5:$R$304,0))&amp;"","?"))</f>
        <v>20</v>
      </c>
      <c r="N1784" s="2" t="str">
        <f aca="false"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 t="str">
        <f aca="false">IF(OR(F1784="",G1784=""),"",IF(G1784&lt;='RETRATO 2027'!$K$5,"CONCLUÍDA",IF(F1784&lt;='RETRATO 2027'!$K$5,"EM ANDAMENTO","A INICIAR")))</f>
        <v>A INICIAR</v>
      </c>
    </row>
    <row r="1785" customFormat="false" ht="15" hidden="false" customHeight="false" outlineLevel="0" collapsed="false">
      <c r="B1785" s="4" t="n">
        <v>30205682</v>
      </c>
      <c r="C1785" s="4" t="s">
        <v>2637</v>
      </c>
      <c r="D1785" s="4" t="s">
        <v>463</v>
      </c>
      <c r="E1785" s="4" t="s">
        <v>2821</v>
      </c>
      <c r="F1785" s="127" t="n">
        <v>46938</v>
      </c>
      <c r="G1785" s="127" t="n">
        <v>46944</v>
      </c>
      <c r="H1785" s="127" t="n">
        <v>46289</v>
      </c>
      <c r="I1785" s="4" t="n">
        <v>0</v>
      </c>
      <c r="J1785" s="4" t="n">
        <v>0</v>
      </c>
      <c r="K1785" s="4" t="n">
        <v>0</v>
      </c>
      <c r="M1785" s="2" t="str">
        <f aca="false">IF(C1785="","",IFERROR(INDEX($S$5:$S$304,MATCH(C1785,$R$5:$R$304,0))&amp;"","?"))</f>
        <v/>
      </c>
      <c r="N1785" s="2" t="n">
        <f aca="false">IF(E1785="","",IF(ISNUMBER(SEARCH("SUBSOLO",E1785)),IFERROR(-VALUE(LEFT(E1785,FIND("º",SUBSTITUTE(E1785,"°","º"))-1)),-1),IF(LEFT(E1785,6)="TÉRREO",0,IFERROR(VALUE(LEFT(E1785,FIND("º",SUBSTITUTE(E1785,"°","º"))-1)),""))))</f>
        <v>0</v>
      </c>
      <c r="O1785" s="2" t="str">
        <f aca="false">IF(OR(F1785="",G1785=""),"",IF(G1785&lt;='RETRATO 2027'!$K$5,"CONCLUÍDA",IF(F1785&lt;='RETRATO 2027'!$K$5,"EM ANDAMENTO","A INICIAR")))</f>
        <v>A INICIAR</v>
      </c>
    </row>
    <row r="1786" customFormat="false" ht="15" hidden="false" customHeight="false" outlineLevel="0" collapsed="false">
      <c r="B1786" s="4" t="n">
        <v>30205651</v>
      </c>
      <c r="C1786" s="4" t="s">
        <v>2649</v>
      </c>
      <c r="D1786" s="4" t="s">
        <v>463</v>
      </c>
      <c r="E1786" s="4" t="s">
        <v>2824</v>
      </c>
      <c r="F1786" s="127" t="n">
        <v>46938</v>
      </c>
      <c r="G1786" s="127" t="n">
        <v>46951</v>
      </c>
      <c r="H1786" s="127" t="n">
        <v>46289</v>
      </c>
      <c r="I1786" s="4" t="n">
        <v>0</v>
      </c>
      <c r="J1786" s="4" t="n">
        <v>0</v>
      </c>
      <c r="K1786" s="4" t="n">
        <v>0</v>
      </c>
      <c r="M1786" s="2" t="str">
        <f aca="false">IF(C1786="","",IFERROR(INDEX($S$5:$S$304,MATCH(C1786,$R$5:$R$304,0))&amp;"","?"))</f>
        <v>37</v>
      </c>
      <c r="N1786" s="2" t="n">
        <f aca="false">IF(E1786="","",IF(ISNUMBER(SEARCH("SUBSOLO",E1786)),IFERROR(-VALUE(LEFT(E1786,FIND("º",SUBSTITUTE(E1786,"°","º"))-1)),-1),IF(LEFT(E1786,6)="TÉRREO",0,IFERROR(VALUE(LEFT(E1786,FIND("º",SUBSTITUTE(E1786,"°","º"))-1)),""))))</f>
        <v>0</v>
      </c>
      <c r="O1786" s="2" t="str">
        <f aca="false">IF(OR(F1786="",G1786=""),"",IF(G1786&lt;='RETRATO 2027'!$K$5,"CONCLUÍDA",IF(F1786&lt;='RETRATO 2027'!$K$5,"EM ANDAMENTO","A INICIAR")))</f>
        <v>A INICIAR</v>
      </c>
    </row>
    <row r="1787" customFormat="false" ht="15" hidden="false" customHeight="false" outlineLevel="0" collapsed="false">
      <c r="B1787" s="4" t="n">
        <v>30205614</v>
      </c>
      <c r="C1787" s="4" t="s">
        <v>2629</v>
      </c>
      <c r="D1787" s="4" t="s">
        <v>463</v>
      </c>
      <c r="E1787" s="4" t="s">
        <v>2826</v>
      </c>
      <c r="F1787" s="127" t="n">
        <v>46938</v>
      </c>
      <c r="G1787" s="127" t="n">
        <v>46951</v>
      </c>
      <c r="H1787" s="127" t="n">
        <v>46289</v>
      </c>
      <c r="I1787" s="4" t="n">
        <v>0</v>
      </c>
      <c r="J1787" s="4" t="n">
        <v>0</v>
      </c>
      <c r="K1787" s="4" t="n">
        <v>0</v>
      </c>
      <c r="M1787" s="2" t="str">
        <f aca="false">IF(C1787="","",IFERROR(INDEX($S$5:$S$304,MATCH(C1787,$R$5:$R$304,0))&amp;"","?"))</f>
        <v>20</v>
      </c>
      <c r="N1787" s="2" t="n">
        <f aca="false">IF(E1787="","",IF(ISNUMBER(SEARCH("SUBSOLO",E1787)),IFERROR(-VALUE(LEFT(E1787,FIND("º",SUBSTITUTE(E1787,"°","º"))-1)),-1),IF(LEFT(E1787,6)="TÉRREO",0,IFERROR(VALUE(LEFT(E1787,FIND("º",SUBSTITUTE(E1787,"°","º"))-1)),""))))</f>
        <v>0</v>
      </c>
      <c r="O1787" s="2" t="str">
        <f aca="false">IF(OR(F1787="",G1787=""),"",IF(G1787&lt;='RETRATO 2027'!$K$5,"CONCLUÍDA",IF(F1787&lt;='RETRATO 2027'!$K$5,"EM ANDAMENTO","A INICIAR")))</f>
        <v>A INICIAR</v>
      </c>
    </row>
    <row r="1788" customFormat="false" ht="15" hidden="false" customHeight="false" outlineLevel="0" collapsed="false">
      <c r="B1788" s="4" t="n">
        <v>30205586</v>
      </c>
      <c r="C1788" s="4" t="s">
        <v>2623</v>
      </c>
      <c r="D1788" s="4" t="s">
        <v>463</v>
      </c>
      <c r="E1788" s="4" t="s">
        <v>2828</v>
      </c>
      <c r="F1788" s="127" t="n">
        <v>46938</v>
      </c>
      <c r="G1788" s="127" t="n">
        <v>46951</v>
      </c>
      <c r="H1788" s="127" t="n">
        <v>46289</v>
      </c>
      <c r="I1788" s="4" t="n">
        <v>0</v>
      </c>
      <c r="J1788" s="4" t="n">
        <v>0</v>
      </c>
      <c r="K1788" s="4" t="n">
        <v>0</v>
      </c>
      <c r="M1788" s="2" t="str">
        <f aca="false">IF(C1788="","",IFERROR(INDEX($S$5:$S$304,MATCH(C1788,$R$5:$R$304,0))&amp;"","?"))</f>
        <v>35</v>
      </c>
      <c r="N1788" s="2" t="n">
        <f aca="false">IF(E1788="","",IF(ISNUMBER(SEARCH("SUBSOLO",E1788)),IFERROR(-VALUE(LEFT(E1788,FIND("º",SUBSTITUTE(E1788,"°","º"))-1)),-1),IF(LEFT(E1788,6)="TÉRREO",0,IFERROR(VALUE(LEFT(E1788,FIND("º",SUBSTITUTE(E1788,"°","º"))-1)),""))))</f>
        <v>0</v>
      </c>
      <c r="O1788" s="2" t="str">
        <f aca="false">IF(OR(F1788="",G1788=""),"",IF(G1788&lt;='RETRATO 2027'!$K$5,"CONCLUÍDA",IF(F1788&lt;='RETRATO 2027'!$K$5,"EM ANDAMENTO","A INICIAR")))</f>
        <v>A INICIAR</v>
      </c>
    </row>
    <row r="1789" customFormat="false" ht="15" hidden="false" customHeight="false" outlineLevel="0" collapsed="false">
      <c r="B1789" s="4" t="n">
        <v>30205572</v>
      </c>
      <c r="C1789" s="4" t="s">
        <v>2615</v>
      </c>
      <c r="D1789" s="4" t="s">
        <v>463</v>
      </c>
      <c r="E1789" s="4" t="s">
        <v>2830</v>
      </c>
      <c r="F1789" s="127" t="n">
        <v>46938</v>
      </c>
      <c r="G1789" s="127" t="n">
        <v>46951</v>
      </c>
      <c r="H1789" s="127" t="n">
        <v>46289</v>
      </c>
      <c r="I1789" s="4" t="n">
        <v>0</v>
      </c>
      <c r="J1789" s="4" t="n">
        <v>0</v>
      </c>
      <c r="K1789" s="4" t="n">
        <v>0</v>
      </c>
      <c r="M1789" s="2" t="str">
        <f aca="false">IF(C1789="","",IFERROR(INDEX($S$5:$S$304,MATCH(C1789,$R$5:$R$304,0))&amp;"","?"))</f>
        <v>37</v>
      </c>
      <c r="N1789" s="2" t="n">
        <f aca="false">IF(E1789="","",IF(ISNUMBER(SEARCH("SUBSOLO",E1789)),IFERROR(-VALUE(LEFT(E1789,FIND("º",SUBSTITUTE(E1789,"°","º"))-1)),-1),IF(LEFT(E1789,6)="TÉRREO",0,IFERROR(VALUE(LEFT(E1789,FIND("º",SUBSTITUTE(E1789,"°","º"))-1)),""))))</f>
        <v>0</v>
      </c>
      <c r="O1789" s="2" t="str">
        <f aca="false">IF(OR(F1789="",G1789=""),"",IF(G1789&lt;='RETRATO 2027'!$K$5,"CONCLUÍDA",IF(F1789&lt;='RETRATO 2027'!$K$5,"EM ANDAMENTO","A INICIAR")))</f>
        <v>A INICIAR</v>
      </c>
    </row>
    <row r="1790" customFormat="false" ht="15" hidden="false" customHeight="false" outlineLevel="0" collapsed="false">
      <c r="B1790" s="4" t="n">
        <v>29981402</v>
      </c>
      <c r="C1790" s="4" t="s">
        <v>2649</v>
      </c>
      <c r="D1790" s="4" t="s">
        <v>463</v>
      </c>
      <c r="E1790" s="4" t="s">
        <v>2810</v>
      </c>
      <c r="F1790" s="127" t="n">
        <v>46939</v>
      </c>
      <c r="G1790" s="127" t="n">
        <v>46951</v>
      </c>
      <c r="H1790" s="127" t="n">
        <v>46289</v>
      </c>
      <c r="I1790" s="4" t="n">
        <v>0</v>
      </c>
      <c r="J1790" s="4" t="n">
        <v>0</v>
      </c>
      <c r="K1790" s="4" t="n">
        <v>0</v>
      </c>
      <c r="M1790" s="2" t="str">
        <f aca="false">IF(C1790="","",IFERROR(INDEX($S$5:$S$304,MATCH(C1790,$R$5:$R$304,0))&amp;"","?"))</f>
        <v>37</v>
      </c>
      <c r="N1790" s="2" t="n">
        <f aca="false">IF(E1790="","",IF(ISNUMBER(SEARCH("SUBSOLO",E1790)),IFERROR(-VALUE(LEFT(E1790,FIND("º",SUBSTITUTE(E1790,"°","º"))-1)),-1),IF(LEFT(E1790,6)="TÉRREO",0,IFERROR(VALUE(LEFT(E1790,FIND("º",SUBSTITUTE(E1790,"°","º"))-1)),""))))</f>
        <v>11</v>
      </c>
      <c r="O1790" s="2" t="str">
        <f aca="false">IF(OR(F1790="",G1790=""),"",IF(G1790&lt;='RETRATO 2027'!$K$5,"CONCLUÍDA",IF(F1790&lt;='RETRATO 2027'!$K$5,"EM ANDAMENTO","A INICIAR")))</f>
        <v>A INICIAR</v>
      </c>
    </row>
    <row r="1791" customFormat="false" ht="15" hidden="false" customHeight="false" outlineLevel="0" collapsed="false">
      <c r="B1791" s="4" t="n">
        <v>29981355</v>
      </c>
      <c r="C1791" s="4" t="s">
        <v>2641</v>
      </c>
      <c r="D1791" s="4" t="s">
        <v>463</v>
      </c>
      <c r="E1791" s="4" t="s">
        <v>2811</v>
      </c>
      <c r="F1791" s="127" t="n">
        <v>46939</v>
      </c>
      <c r="G1791" s="127" t="n">
        <v>46951</v>
      </c>
      <c r="H1791" s="127" t="n">
        <v>46289</v>
      </c>
      <c r="I1791" s="4" t="n">
        <v>0</v>
      </c>
      <c r="J1791" s="4" t="n">
        <v>0</v>
      </c>
      <c r="K1791" s="4" t="n">
        <v>0</v>
      </c>
      <c r="M1791" s="2" t="str">
        <f aca="false">IF(C1791="","",IFERROR(INDEX($S$5:$S$304,MATCH(C1791,$R$5:$R$304,0))&amp;"","?"))</f>
        <v>35</v>
      </c>
      <c r="N1791" s="2" t="n">
        <f aca="false">IF(E1791="","",IF(ISNUMBER(SEARCH("SUBSOLO",E1791)),IFERROR(-VALUE(LEFT(E1791,FIND("º",SUBSTITUTE(E1791,"°","º"))-1)),-1),IF(LEFT(E1791,6)="TÉRREO",0,IFERROR(VALUE(LEFT(E1791,FIND("º",SUBSTITUTE(E1791,"°","º"))-1)),""))))</f>
        <v>12</v>
      </c>
      <c r="O1791" s="2" t="str">
        <f aca="false">IF(OR(F1791="",G1791=""),"",IF(G1791&lt;='RETRATO 2027'!$K$5,"CONCLUÍDA",IF(F1791&lt;='RETRATO 2027'!$K$5,"EM ANDAMENTO","A INICIAR")))</f>
        <v>A INICIAR</v>
      </c>
    </row>
    <row r="1792" customFormat="false" ht="15" hidden="false" customHeight="false" outlineLevel="0" collapsed="false">
      <c r="B1792" s="4" t="n">
        <v>30205849</v>
      </c>
      <c r="C1792" s="4" t="s">
        <v>2554</v>
      </c>
      <c r="D1792" s="4" t="s">
        <v>463</v>
      </c>
      <c r="E1792" s="4" t="s">
        <v>2782</v>
      </c>
      <c r="F1792" s="127" t="n">
        <v>46940</v>
      </c>
      <c r="G1792" s="127" t="n">
        <v>46960</v>
      </c>
      <c r="H1792" s="127" t="n">
        <v>46289</v>
      </c>
      <c r="I1792" s="4" t="n">
        <v>0</v>
      </c>
      <c r="J1792" s="4" t="n">
        <v>0</v>
      </c>
      <c r="K1792" s="4" t="n">
        <v>0</v>
      </c>
      <c r="M1792" s="2" t="str">
        <f aca="false">IF(C1792="","",IFERROR(INDEX($S$5:$S$304,MATCH(C1792,$R$5:$R$304,0))&amp;"","?"))</f>
        <v>35</v>
      </c>
      <c r="N1792" s="2" t="n">
        <f aca="false">IF(E1792="","",IF(ISNUMBER(SEARCH("SUBSOLO",E1792)),IFERROR(-VALUE(LEFT(E1792,FIND("º",SUBSTITUTE(E1792,"°","º"))-1)),-1),IF(LEFT(E1792,6)="TÉRREO",0,IFERROR(VALUE(LEFT(E1792,FIND("º",SUBSTITUTE(E1792,"°","º"))-1)),""))))</f>
        <v>1</v>
      </c>
      <c r="O1792" s="2" t="str">
        <f aca="false">IF(OR(F1792="",G1792=""),"",IF(G1792&lt;='RETRATO 2027'!$K$5,"CONCLUÍDA",IF(F1792&lt;='RETRATO 2027'!$K$5,"EM ANDAMENTO","A INICIAR")))</f>
        <v>A INICIAR</v>
      </c>
    </row>
    <row r="1793" customFormat="false" ht="15" hidden="false" customHeight="false" outlineLevel="0" collapsed="false">
      <c r="B1793" s="4" t="n">
        <v>30210367</v>
      </c>
      <c r="C1793" s="4" t="s">
        <v>2693</v>
      </c>
      <c r="D1793" s="4" t="s">
        <v>463</v>
      </c>
      <c r="E1793" s="4" t="s">
        <v>186</v>
      </c>
      <c r="F1793" s="127" t="n">
        <v>46940</v>
      </c>
      <c r="G1793" s="127" t="n">
        <v>46987</v>
      </c>
      <c r="H1793" s="127" t="n">
        <v>46289</v>
      </c>
      <c r="I1793" s="4" t="n">
        <v>0</v>
      </c>
      <c r="J1793" s="4" t="n">
        <v>0</v>
      </c>
      <c r="K1793" s="4" t="n">
        <v>0</v>
      </c>
      <c r="M1793" s="2" t="str">
        <f aca="false">IF(C1793="","",IFERROR(INDEX($S$5:$S$304,MATCH(C1793,$R$5:$R$304,0))&amp;"","?"))</f>
        <v>24</v>
      </c>
      <c r="N1793" s="2" t="str">
        <f aca="false"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 t="str">
        <f aca="false">IF(OR(F1793="",G1793=""),"",IF(G1793&lt;='RETRATO 2027'!$K$5,"CONCLUÍDA",IF(F1793&lt;='RETRATO 2027'!$K$5,"EM ANDAMENTO","A INICIAR")))</f>
        <v>A INICIAR</v>
      </c>
    </row>
    <row r="1794" customFormat="false" ht="15" hidden="false" customHeight="false" outlineLevel="0" collapsed="false">
      <c r="B1794" s="4" t="n">
        <v>30205881</v>
      </c>
      <c r="C1794" s="4" t="s">
        <v>2449</v>
      </c>
      <c r="D1794" s="4" t="s">
        <v>463</v>
      </c>
      <c r="E1794" s="4" t="s">
        <v>2845</v>
      </c>
      <c r="F1794" s="127" t="n">
        <v>46941</v>
      </c>
      <c r="G1794" s="127" t="n">
        <v>46972</v>
      </c>
      <c r="H1794" s="127" t="n">
        <v>46289</v>
      </c>
      <c r="I1794" s="4" t="n">
        <v>0</v>
      </c>
      <c r="J1794" s="4" t="n">
        <v>0</v>
      </c>
      <c r="K1794" s="4" t="n">
        <v>0</v>
      </c>
      <c r="M1794" s="2" t="str">
        <f aca="false">IF(C1794="","",IFERROR(INDEX($S$5:$S$304,MATCH(C1794,$R$5:$R$304,0))&amp;"","?"))</f>
        <v>28</v>
      </c>
      <c r="N1794" s="2" t="n">
        <f aca="false">IF(E1794="","",IF(ISNUMBER(SEARCH("SUBSOLO",E1794)),IFERROR(-VALUE(LEFT(E1794,FIND("º",SUBSTITUTE(E1794,"°","º"))-1)),-1),IF(LEFT(E1794,6)="TÉRREO",0,IFERROR(VALUE(LEFT(E1794,FIND("º",SUBSTITUTE(E1794,"°","º"))-1)),""))))</f>
        <v>6</v>
      </c>
      <c r="O1794" s="2" t="str">
        <f aca="false">IF(OR(F1794="",G1794=""),"",IF(G1794&lt;='RETRATO 2027'!$K$5,"CONCLUÍDA",IF(F1794&lt;='RETRATO 2027'!$K$5,"EM ANDAMENTO","A INICIAR")))</f>
        <v>A INICIAR</v>
      </c>
    </row>
    <row r="1795" customFormat="false" ht="15" hidden="false" customHeight="false" outlineLevel="0" collapsed="false">
      <c r="B1795" s="4" t="n">
        <v>30211210</v>
      </c>
      <c r="C1795" s="4" t="s">
        <v>2449</v>
      </c>
      <c r="D1795" s="4" t="s">
        <v>463</v>
      </c>
      <c r="E1795" s="4" t="s">
        <v>2853</v>
      </c>
      <c r="F1795" s="127" t="n">
        <v>46944</v>
      </c>
      <c r="G1795" s="127" t="n">
        <v>46948</v>
      </c>
      <c r="H1795" s="127" t="n">
        <v>46289</v>
      </c>
      <c r="I1795" s="4" t="n">
        <v>0</v>
      </c>
      <c r="J1795" s="4" t="n">
        <v>0</v>
      </c>
      <c r="K1795" s="4" t="n">
        <v>0</v>
      </c>
      <c r="M1795" s="2" t="str">
        <f aca="false">IF(C1795="","",IFERROR(INDEX($S$5:$S$304,MATCH(C1795,$R$5:$R$304,0))&amp;"","?"))</f>
        <v>28</v>
      </c>
      <c r="N1795" s="2" t="n">
        <f aca="false">IF(E1795="","",IF(ISNUMBER(SEARCH("SUBSOLO",E1795)),IFERROR(-VALUE(LEFT(E1795,FIND("º",SUBSTITUTE(E1795,"°","º"))-1)),-1),IF(LEFT(E1795,6)="TÉRREO",0,IFERROR(VALUE(LEFT(E1795,FIND("º",SUBSTITUTE(E1795,"°","º"))-1)),""))))</f>
        <v>34</v>
      </c>
      <c r="O1795" s="2" t="str">
        <f aca="false">IF(OR(F1795="",G1795=""),"",IF(G1795&lt;='RETRATO 2027'!$K$5,"CONCLUÍDA",IF(F1795&lt;='RETRATO 2027'!$K$5,"EM ANDAMENTO","A INICIAR")))</f>
        <v>A INICIAR</v>
      </c>
    </row>
    <row r="1796" customFormat="false" ht="15" hidden="false" customHeight="false" outlineLevel="0" collapsed="false">
      <c r="B1796" s="4" t="n">
        <v>30205526</v>
      </c>
      <c r="C1796" s="4" t="s">
        <v>2563</v>
      </c>
      <c r="D1796" s="4" t="s">
        <v>463</v>
      </c>
      <c r="E1796" s="4" t="s">
        <v>2832</v>
      </c>
      <c r="F1796" s="127" t="n">
        <v>46945</v>
      </c>
      <c r="G1796" s="127" t="n">
        <v>46951</v>
      </c>
      <c r="H1796" s="127" t="n">
        <v>46289</v>
      </c>
      <c r="I1796" s="4" t="n">
        <v>0</v>
      </c>
      <c r="J1796" s="4" t="n">
        <v>0</v>
      </c>
      <c r="K1796" s="4" t="n">
        <v>0</v>
      </c>
      <c r="M1796" s="2" t="str">
        <f aca="false">IF(C1796="","",IFERROR(INDEX($S$5:$S$304,MATCH(C1796,$R$5:$R$304,0))&amp;"","?"))</f>
        <v>20</v>
      </c>
      <c r="N1796" s="2" t="n">
        <f aca="false">IF(E1796="","",IF(ISNUMBER(SEARCH("SUBSOLO",E1796)),IFERROR(-VALUE(LEFT(E1796,FIND("º",SUBSTITUTE(E1796,"°","º"))-1)),-1),IF(LEFT(E1796,6)="TÉRREO",0,IFERROR(VALUE(LEFT(E1796,FIND("º",SUBSTITUTE(E1796,"°","º"))-1)),""))))</f>
        <v>0</v>
      </c>
      <c r="O1796" s="2" t="str">
        <f aca="false">IF(OR(F1796="",G1796=""),"",IF(G1796&lt;='RETRATO 2027'!$K$5,"CONCLUÍDA",IF(F1796&lt;='RETRATO 2027'!$K$5,"EM ANDAMENTO","A INICIAR")))</f>
        <v>A INICIAR</v>
      </c>
    </row>
    <row r="1797" customFormat="false" ht="15" hidden="false" customHeight="false" outlineLevel="0" collapsed="false">
      <c r="B1797" s="4" t="n">
        <v>29981317</v>
      </c>
      <c r="C1797" s="4" t="s">
        <v>2637</v>
      </c>
      <c r="D1797" s="4" t="s">
        <v>463</v>
      </c>
      <c r="E1797" s="4" t="s">
        <v>2812</v>
      </c>
      <c r="F1797" s="127" t="n">
        <v>46945</v>
      </c>
      <c r="G1797" s="127" t="n">
        <v>46951</v>
      </c>
      <c r="H1797" s="127" t="n">
        <v>46289</v>
      </c>
      <c r="I1797" s="4" t="n">
        <v>0</v>
      </c>
      <c r="J1797" s="4" t="n">
        <v>0</v>
      </c>
      <c r="K1797" s="4" t="n">
        <v>0</v>
      </c>
      <c r="M1797" s="2" t="str">
        <f aca="false">IF(C1797="","",IFERROR(INDEX($S$5:$S$304,MATCH(C1797,$R$5:$R$304,0))&amp;"","?"))</f>
        <v/>
      </c>
      <c r="N1797" s="2" t="n">
        <f aca="false">IF(E1797="","",IF(ISNUMBER(SEARCH("SUBSOLO",E1797)),IFERROR(-VALUE(LEFT(E1797,FIND("º",SUBSTITUTE(E1797,"°","º"))-1)),-1),IF(LEFT(E1797,6)="TÉRREO",0,IFERROR(VALUE(LEFT(E1797,FIND("º",SUBSTITUTE(E1797,"°","º"))-1)),""))))</f>
        <v>13</v>
      </c>
      <c r="O1797" s="2" t="str">
        <f aca="false">IF(OR(F1797="",G1797=""),"",IF(G1797&lt;='RETRATO 2027'!$K$5,"CONCLUÍDA",IF(F1797&lt;='RETRATO 2027'!$K$5,"EM ANDAMENTO","A INICIAR")))</f>
        <v>A INICIAR</v>
      </c>
    </row>
    <row r="1798" customFormat="false" ht="15" hidden="false" customHeight="false" outlineLevel="0" collapsed="false">
      <c r="B1798" s="4" t="n">
        <v>29981282</v>
      </c>
      <c r="C1798" s="4" t="s">
        <v>2629</v>
      </c>
      <c r="D1798" s="4" t="s">
        <v>463</v>
      </c>
      <c r="E1798" s="4" t="s">
        <v>2813</v>
      </c>
      <c r="F1798" s="127" t="n">
        <v>46945</v>
      </c>
      <c r="G1798" s="127" t="n">
        <v>46955</v>
      </c>
      <c r="H1798" s="127" t="n">
        <v>46289</v>
      </c>
      <c r="I1798" s="4" t="n">
        <v>0</v>
      </c>
      <c r="J1798" s="4" t="n">
        <v>0</v>
      </c>
      <c r="K1798" s="4" t="n">
        <v>0</v>
      </c>
      <c r="M1798" s="2" t="str">
        <f aca="false">IF(C1798="","",IFERROR(INDEX($S$5:$S$304,MATCH(C1798,$R$5:$R$304,0))&amp;"","?"))</f>
        <v>20</v>
      </c>
      <c r="N1798" s="2" t="n">
        <f aca="false">IF(E1798="","",IF(ISNUMBER(SEARCH("SUBSOLO",E1798)),IFERROR(-VALUE(LEFT(E1798,FIND("º",SUBSTITUTE(E1798,"°","º"))-1)),-1),IF(LEFT(E1798,6)="TÉRREO",0,IFERROR(VALUE(LEFT(E1798,FIND("º",SUBSTITUTE(E1798,"°","º"))-1)),""))))</f>
        <v>14</v>
      </c>
      <c r="O1798" s="2" t="str">
        <f aca="false">IF(OR(F1798="",G1798=""),"",IF(G1798&lt;='RETRATO 2027'!$K$5,"CONCLUÍDA",IF(F1798&lt;='RETRATO 2027'!$K$5,"EM ANDAMENTO","A INICIAR")))</f>
        <v>A INICIAR</v>
      </c>
    </row>
    <row r="1799" customFormat="false" ht="15" hidden="false" customHeight="false" outlineLevel="0" collapsed="false">
      <c r="B1799" s="4" t="n">
        <v>29981242</v>
      </c>
      <c r="C1799" s="4" t="s">
        <v>2623</v>
      </c>
      <c r="D1799" s="4" t="s">
        <v>463</v>
      </c>
      <c r="E1799" s="4" t="s">
        <v>2814</v>
      </c>
      <c r="F1799" s="127" t="n">
        <v>46945</v>
      </c>
      <c r="G1799" s="127" t="n">
        <v>46955</v>
      </c>
      <c r="H1799" s="127" t="n">
        <v>46289</v>
      </c>
      <c r="I1799" s="4" t="n">
        <v>0</v>
      </c>
      <c r="J1799" s="4" t="n">
        <v>0</v>
      </c>
      <c r="K1799" s="4" t="n">
        <v>0</v>
      </c>
      <c r="M1799" s="2" t="str">
        <f aca="false">IF(C1799="","",IFERROR(INDEX($S$5:$S$304,MATCH(C1799,$R$5:$R$304,0))&amp;"","?"))</f>
        <v>35</v>
      </c>
      <c r="N1799" s="2" t="n">
        <f aca="false">IF(E1799="","",IF(ISNUMBER(SEARCH("SUBSOLO",E1799)),IFERROR(-VALUE(LEFT(E1799,FIND("º",SUBSTITUTE(E1799,"°","º"))-1)),-1),IF(LEFT(E1799,6)="TÉRREO",0,IFERROR(VALUE(LEFT(E1799,FIND("º",SUBSTITUTE(E1799,"°","º"))-1)),""))))</f>
        <v>15</v>
      </c>
      <c r="O1799" s="2" t="str">
        <f aca="false">IF(OR(F1799="",G1799=""),"",IF(G1799&lt;='RETRATO 2027'!$K$5,"CONCLUÍDA",IF(F1799&lt;='RETRATO 2027'!$K$5,"EM ANDAMENTO","A INICIAR")))</f>
        <v>A INICIAR</v>
      </c>
    </row>
    <row r="1800" customFormat="false" ht="15" hidden="false" customHeight="false" outlineLevel="0" collapsed="false">
      <c r="B1800" s="4" t="n">
        <v>33919793</v>
      </c>
      <c r="C1800" s="4" t="s">
        <v>2625</v>
      </c>
      <c r="D1800" s="4" t="s">
        <v>463</v>
      </c>
      <c r="E1800" s="4" t="s">
        <v>2814</v>
      </c>
      <c r="F1800" s="127" t="n">
        <v>46945</v>
      </c>
      <c r="G1800" s="127" t="n">
        <v>46955</v>
      </c>
      <c r="H1800" s="127" t="n">
        <v>46289</v>
      </c>
      <c r="I1800" s="4" t="n">
        <v>0</v>
      </c>
      <c r="J1800" s="4" t="n">
        <v>0</v>
      </c>
      <c r="K1800" s="4" t="n">
        <v>0</v>
      </c>
      <c r="M1800" s="2" t="str">
        <f aca="false">IF(C1800="","",IFERROR(INDEX($S$5:$S$304,MATCH(C1800,$R$5:$R$304,0))&amp;"","?"))</f>
        <v>32</v>
      </c>
      <c r="N1800" s="2" t="n">
        <f aca="false">IF(E1800="","",IF(ISNUMBER(SEARCH("SUBSOLO",E1800)),IFERROR(-VALUE(LEFT(E1800,FIND("º",SUBSTITUTE(E1800,"°","º"))-1)),-1),IF(LEFT(E1800,6)="TÉRREO",0,IFERROR(VALUE(LEFT(E1800,FIND("º",SUBSTITUTE(E1800,"°","º"))-1)),""))))</f>
        <v>15</v>
      </c>
      <c r="O1800" s="2" t="str">
        <f aca="false">IF(OR(F1800="",G1800=""),"",IF(G1800&lt;='RETRATO 2027'!$K$5,"CONCLUÍDA",IF(F1800&lt;='RETRATO 2027'!$K$5,"EM ANDAMENTO","A INICIAR")))</f>
        <v>A INICIAR</v>
      </c>
    </row>
    <row r="1801" customFormat="false" ht="15" hidden="false" customHeight="false" outlineLevel="0" collapsed="false">
      <c r="B1801" s="4" t="n">
        <v>29981204</v>
      </c>
      <c r="C1801" s="4" t="s">
        <v>2615</v>
      </c>
      <c r="D1801" s="4" t="s">
        <v>463</v>
      </c>
      <c r="E1801" s="4" t="s">
        <v>2815</v>
      </c>
      <c r="F1801" s="127" t="n">
        <v>46945</v>
      </c>
      <c r="G1801" s="127" t="n">
        <v>46955</v>
      </c>
      <c r="H1801" s="127" t="n">
        <v>46289</v>
      </c>
      <c r="I1801" s="4" t="n">
        <v>0</v>
      </c>
      <c r="J1801" s="4" t="n">
        <v>0</v>
      </c>
      <c r="K1801" s="4" t="n">
        <v>0</v>
      </c>
      <c r="M1801" s="2" t="str">
        <f aca="false">IF(C1801="","",IFERROR(INDEX($S$5:$S$304,MATCH(C1801,$R$5:$R$304,0))&amp;"","?"))</f>
        <v>37</v>
      </c>
      <c r="N1801" s="2" t="n">
        <f aca="false">IF(E1801="","",IF(ISNUMBER(SEARCH("SUBSOLO",E1801)),IFERROR(-VALUE(LEFT(E1801,FIND("º",SUBSTITUTE(E1801,"°","º"))-1)),-1),IF(LEFT(E1801,6)="TÉRREO",0,IFERROR(VALUE(LEFT(E1801,FIND("º",SUBSTITUTE(E1801,"°","º"))-1)),""))))</f>
        <v>16</v>
      </c>
      <c r="O1801" s="2" t="str">
        <f aca="false">IF(OR(F1801="",G1801=""),"",IF(G1801&lt;='RETRATO 2027'!$K$5,"CONCLUÍDA",IF(F1801&lt;='RETRATO 2027'!$K$5,"EM ANDAMENTO","A INICIAR")))</f>
        <v>A INICIAR</v>
      </c>
    </row>
    <row r="1802" customFormat="false" ht="15" hidden="false" customHeight="false" outlineLevel="0" collapsed="false">
      <c r="B1802" s="4" t="n">
        <v>29981161</v>
      </c>
      <c r="C1802" s="4" t="s">
        <v>2605</v>
      </c>
      <c r="D1802" s="4" t="s">
        <v>463</v>
      </c>
      <c r="E1802" s="4" t="s">
        <v>2818</v>
      </c>
      <c r="F1802" s="127" t="n">
        <v>46945</v>
      </c>
      <c r="G1802" s="127" t="n">
        <v>46955</v>
      </c>
      <c r="H1802" s="127" t="n">
        <v>46289</v>
      </c>
      <c r="I1802" s="4" t="n">
        <v>0</v>
      </c>
      <c r="J1802" s="4" t="n">
        <v>0</v>
      </c>
      <c r="K1802" s="4" t="n">
        <v>0</v>
      </c>
      <c r="M1802" s="2" t="str">
        <f aca="false">IF(C1802="","",IFERROR(INDEX($S$5:$S$304,MATCH(C1802,$R$5:$R$304,0))&amp;"","?"))</f>
        <v>34</v>
      </c>
      <c r="N1802" s="2" t="n">
        <f aca="false">IF(E1802="","",IF(ISNUMBER(SEARCH("SUBSOLO",E1802)),IFERROR(-VALUE(LEFT(E1802,FIND("º",SUBSTITUTE(E1802,"°","º"))-1)),-1),IF(LEFT(E1802,6)="TÉRREO",0,IFERROR(VALUE(LEFT(E1802,FIND("º",SUBSTITUTE(E1802,"°","º"))-1)),""))))</f>
        <v>17</v>
      </c>
      <c r="O1802" s="2" t="str">
        <f aca="false">IF(OR(F1802="",G1802=""),"",IF(G1802&lt;='RETRATO 2027'!$K$5,"CONCLUÍDA",IF(F1802&lt;='RETRATO 2027'!$K$5,"EM ANDAMENTO","A INICIAR")))</f>
        <v>A INICIAR</v>
      </c>
    </row>
    <row r="1803" customFormat="false" ht="15" hidden="false" customHeight="false" outlineLevel="0" collapsed="false">
      <c r="B1803" s="4" t="n">
        <v>29981166</v>
      </c>
      <c r="C1803" s="4" t="s">
        <v>2607</v>
      </c>
      <c r="D1803" s="4" t="s">
        <v>463</v>
      </c>
      <c r="E1803" s="4" t="s">
        <v>2818</v>
      </c>
      <c r="F1803" s="127" t="n">
        <v>46945</v>
      </c>
      <c r="G1803" s="127" t="n">
        <v>46955</v>
      </c>
      <c r="H1803" s="127" t="n">
        <v>46289</v>
      </c>
      <c r="I1803" s="4" t="n">
        <v>0</v>
      </c>
      <c r="J1803" s="4" t="n">
        <v>0</v>
      </c>
      <c r="K1803" s="4" t="n">
        <v>0</v>
      </c>
      <c r="M1803" s="2" t="str">
        <f aca="false">IF(C1803="","",IFERROR(INDEX($S$5:$S$304,MATCH(C1803,$R$5:$R$304,0))&amp;"","?"))</f>
        <v>34</v>
      </c>
      <c r="N1803" s="2" t="n">
        <f aca="false">IF(E1803="","",IF(ISNUMBER(SEARCH("SUBSOLO",E1803)),IFERROR(-VALUE(LEFT(E1803,FIND("º",SUBSTITUTE(E1803,"°","º"))-1)),-1),IF(LEFT(E1803,6)="TÉRREO",0,IFERROR(VALUE(LEFT(E1803,FIND("º",SUBSTITUTE(E1803,"°","º"))-1)),""))))</f>
        <v>17</v>
      </c>
      <c r="O1803" s="2" t="str">
        <f aca="false">IF(OR(F1803="",G1803=""),"",IF(G1803&lt;='RETRATO 2027'!$K$5,"CONCLUÍDA",IF(F1803&lt;='RETRATO 2027'!$K$5,"EM ANDAMENTO","A INICIAR")))</f>
        <v>A INICIAR</v>
      </c>
    </row>
    <row r="1804" customFormat="false" ht="15" hidden="false" customHeight="false" outlineLevel="0" collapsed="false">
      <c r="B1804" s="4" t="n">
        <v>29981165</v>
      </c>
      <c r="C1804" s="4" t="s">
        <v>2563</v>
      </c>
      <c r="D1804" s="4" t="s">
        <v>463</v>
      </c>
      <c r="E1804" s="4" t="s">
        <v>2818</v>
      </c>
      <c r="F1804" s="127" t="n">
        <v>46945</v>
      </c>
      <c r="G1804" s="127" t="n">
        <v>46955</v>
      </c>
      <c r="H1804" s="127" t="n">
        <v>46289</v>
      </c>
      <c r="I1804" s="4" t="n">
        <v>0</v>
      </c>
      <c r="J1804" s="4" t="n">
        <v>0</v>
      </c>
      <c r="K1804" s="4" t="n">
        <v>0</v>
      </c>
      <c r="M1804" s="2" t="str">
        <f aca="false">IF(C1804="","",IFERROR(INDEX($S$5:$S$304,MATCH(C1804,$R$5:$R$304,0))&amp;"","?"))</f>
        <v>20</v>
      </c>
      <c r="N1804" s="2" t="n">
        <f aca="false">IF(E1804="","",IF(ISNUMBER(SEARCH("SUBSOLO",E1804)),IFERROR(-VALUE(LEFT(E1804,FIND("º",SUBSTITUTE(E1804,"°","º"))-1)),-1),IF(LEFT(E1804,6)="TÉRREO",0,IFERROR(VALUE(LEFT(E1804,FIND("º",SUBSTITUTE(E1804,"°","º"))-1)),""))))</f>
        <v>17</v>
      </c>
      <c r="O1804" s="2" t="str">
        <f aca="false">IF(OR(F1804="",G1804=""),"",IF(G1804&lt;='RETRATO 2027'!$K$5,"CONCLUÍDA",IF(F1804&lt;='RETRATO 2027'!$K$5,"EM ANDAMENTO","A INICIAR")))</f>
        <v>A INICIAR</v>
      </c>
    </row>
    <row r="1805" customFormat="false" ht="15" hidden="false" customHeight="false" outlineLevel="0" collapsed="false">
      <c r="B1805" s="4" t="n">
        <v>29981164</v>
      </c>
      <c r="C1805" s="4" t="s">
        <v>2609</v>
      </c>
      <c r="D1805" s="4" t="s">
        <v>463</v>
      </c>
      <c r="E1805" s="4" t="s">
        <v>2818</v>
      </c>
      <c r="F1805" s="127" t="n">
        <v>46945</v>
      </c>
      <c r="G1805" s="127" t="n">
        <v>46955</v>
      </c>
      <c r="H1805" s="127" t="n">
        <v>46289</v>
      </c>
      <c r="I1805" s="4" t="n">
        <v>0</v>
      </c>
      <c r="J1805" s="4" t="n">
        <v>0</v>
      </c>
      <c r="K1805" s="4" t="n">
        <v>0</v>
      </c>
      <c r="M1805" s="2" t="str">
        <f aca="false">IF(C1805="","",IFERROR(INDEX($S$5:$S$304,MATCH(C1805,$R$5:$R$304,0))&amp;"","?"))</f>
        <v>23</v>
      </c>
      <c r="N1805" s="2" t="n">
        <f aca="false">IF(E1805="","",IF(ISNUMBER(SEARCH("SUBSOLO",E1805)),IFERROR(-VALUE(LEFT(E1805,FIND("º",SUBSTITUTE(E1805,"°","º"))-1)),-1),IF(LEFT(E1805,6)="TÉRREO",0,IFERROR(VALUE(LEFT(E1805,FIND("º",SUBSTITUTE(E1805,"°","º"))-1)),""))))</f>
        <v>17</v>
      </c>
      <c r="O1805" s="2" t="str">
        <f aca="false">IF(OR(F1805="",G1805=""),"",IF(G1805&lt;='RETRATO 2027'!$K$5,"CONCLUÍDA",IF(F1805&lt;='RETRATO 2027'!$K$5,"EM ANDAMENTO","A INICIAR")))</f>
        <v>A INICIAR</v>
      </c>
    </row>
    <row r="1806" customFormat="false" ht="15" hidden="false" customHeight="false" outlineLevel="0" collapsed="false">
      <c r="B1806" s="4" t="n">
        <v>29981123</v>
      </c>
      <c r="C1806" s="4" t="s">
        <v>2599</v>
      </c>
      <c r="D1806" s="4" t="s">
        <v>463</v>
      </c>
      <c r="E1806" s="4" t="s">
        <v>2820</v>
      </c>
      <c r="F1806" s="127" t="n">
        <v>46945</v>
      </c>
      <c r="G1806" s="127" t="n">
        <v>46955</v>
      </c>
      <c r="H1806" s="127" t="n">
        <v>46289</v>
      </c>
      <c r="I1806" s="4" t="n">
        <v>0</v>
      </c>
      <c r="J1806" s="4" t="n">
        <v>0</v>
      </c>
      <c r="K1806" s="4" t="n">
        <v>0</v>
      </c>
      <c r="M1806" s="2" t="str">
        <f aca="false">IF(C1806="","",IFERROR(INDEX($S$5:$S$304,MATCH(C1806,$R$5:$R$304,0))&amp;"","?"))</f>
        <v>30</v>
      </c>
      <c r="N1806" s="2" t="n">
        <f aca="false">IF(E1806="","",IF(ISNUMBER(SEARCH("SUBSOLO",E1806)),IFERROR(-VALUE(LEFT(E1806,FIND("º",SUBSTITUTE(E1806,"°","º"))-1)),-1),IF(LEFT(E1806,6)="TÉRREO",0,IFERROR(VALUE(LEFT(E1806,FIND("º",SUBSTITUTE(E1806,"°","º"))-1)),""))))</f>
        <v>18</v>
      </c>
      <c r="O1806" s="2" t="str">
        <f aca="false">IF(OR(F1806="",G1806=""),"",IF(G1806&lt;='RETRATO 2027'!$K$5,"CONCLUÍDA",IF(F1806&lt;='RETRATO 2027'!$K$5,"EM ANDAMENTO","A INICIAR")))</f>
        <v>A INICIAR</v>
      </c>
    </row>
    <row r="1807" customFormat="false" ht="15" hidden="false" customHeight="false" outlineLevel="0" collapsed="false">
      <c r="B1807" s="4" t="n">
        <v>29981048</v>
      </c>
      <c r="C1807" s="4" t="s">
        <v>2578</v>
      </c>
      <c r="D1807" s="4" t="s">
        <v>463</v>
      </c>
      <c r="E1807" s="4" t="s">
        <v>2823</v>
      </c>
      <c r="F1807" s="127" t="n">
        <v>46945</v>
      </c>
      <c r="G1807" s="127" t="n">
        <v>46955</v>
      </c>
      <c r="H1807" s="127" t="n">
        <v>46289</v>
      </c>
      <c r="I1807" s="4" t="n">
        <v>0</v>
      </c>
      <c r="J1807" s="4" t="n">
        <v>0</v>
      </c>
      <c r="K1807" s="4" t="n">
        <v>0</v>
      </c>
      <c r="M1807" s="2" t="str">
        <f aca="false">IF(C1807="","",IFERROR(INDEX($S$5:$S$304,MATCH(C1807,$R$5:$R$304,0))&amp;"","?"))</f>
        <v>25</v>
      </c>
      <c r="N1807" s="2" t="n">
        <f aca="false">IF(E1807="","",IF(ISNUMBER(SEARCH("SUBSOLO",E1807)),IFERROR(-VALUE(LEFT(E1807,FIND("º",SUBSTITUTE(E1807,"°","º"))-1)),-1),IF(LEFT(E1807,6)="TÉRREO",0,IFERROR(VALUE(LEFT(E1807,FIND("º",SUBSTITUTE(E1807,"°","º"))-1)),""))))</f>
        <v>20</v>
      </c>
      <c r="O1807" s="2" t="str">
        <f aca="false">IF(OR(F1807="",G1807=""),"",IF(G1807&lt;='RETRATO 2027'!$K$5,"CONCLUÍDA",IF(F1807&lt;='RETRATO 2027'!$K$5,"EM ANDAMENTO","A INICIAR")))</f>
        <v>A INICIAR</v>
      </c>
    </row>
    <row r="1808" customFormat="false" ht="15" hidden="false" customHeight="false" outlineLevel="0" collapsed="false">
      <c r="B1808" s="4" t="n">
        <v>29981010</v>
      </c>
      <c r="C1808" s="4" t="s">
        <v>2569</v>
      </c>
      <c r="D1808" s="4" t="s">
        <v>463</v>
      </c>
      <c r="E1808" s="4" t="s">
        <v>2825</v>
      </c>
      <c r="F1808" s="127" t="n">
        <v>46945</v>
      </c>
      <c r="G1808" s="127" t="n">
        <v>46955</v>
      </c>
      <c r="H1808" s="127" t="n">
        <v>46289</v>
      </c>
      <c r="I1808" s="4" t="n">
        <v>0</v>
      </c>
      <c r="J1808" s="4" t="n">
        <v>0</v>
      </c>
      <c r="K1808" s="4" t="n">
        <v>0</v>
      </c>
      <c r="M1808" s="2" t="str">
        <f aca="false">IF(C1808="","",IFERROR(INDEX($S$5:$S$304,MATCH(C1808,$R$5:$R$304,0))&amp;"","?"))</f>
        <v>30</v>
      </c>
      <c r="N1808" s="2" t="n">
        <f aca="false">IF(E1808="","",IF(ISNUMBER(SEARCH("SUBSOLO",E1808)),IFERROR(-VALUE(LEFT(E1808,FIND("º",SUBSTITUTE(E1808,"°","º"))-1)),-1),IF(LEFT(E1808,6)="TÉRREO",0,IFERROR(VALUE(LEFT(E1808,FIND("º",SUBSTITUTE(E1808,"°","º"))-1)),""))))</f>
        <v>21</v>
      </c>
      <c r="O1808" s="2" t="str">
        <f aca="false">IF(OR(F1808="",G1808=""),"",IF(G1808&lt;='RETRATO 2027'!$K$5,"CONCLUÍDA",IF(F1808&lt;='RETRATO 2027'!$K$5,"EM ANDAMENTO","A INICIAR")))</f>
        <v>A INICIAR</v>
      </c>
    </row>
    <row r="1809" customFormat="false" ht="15" hidden="false" customHeight="false" outlineLevel="0" collapsed="false">
      <c r="B1809" s="4" t="n">
        <v>29980972</v>
      </c>
      <c r="C1809" s="4" t="s">
        <v>2554</v>
      </c>
      <c r="D1809" s="4" t="s">
        <v>463</v>
      </c>
      <c r="E1809" s="4" t="s">
        <v>2827</v>
      </c>
      <c r="F1809" s="127" t="n">
        <v>46945</v>
      </c>
      <c r="G1809" s="127" t="n">
        <v>46955</v>
      </c>
      <c r="H1809" s="127" t="n">
        <v>46289</v>
      </c>
      <c r="I1809" s="4" t="n">
        <v>0</v>
      </c>
      <c r="J1809" s="4" t="n">
        <v>0</v>
      </c>
      <c r="K1809" s="4" t="n">
        <v>0</v>
      </c>
      <c r="M1809" s="2" t="str">
        <f aca="false">IF(C1809="","",IFERROR(INDEX($S$5:$S$304,MATCH(C1809,$R$5:$R$304,0))&amp;"","?"))</f>
        <v>35</v>
      </c>
      <c r="N1809" s="2" t="n">
        <f aca="false">IF(E1809="","",IF(ISNUMBER(SEARCH("SUBSOLO",E1809)),IFERROR(-VALUE(LEFT(E1809,FIND("º",SUBSTITUTE(E1809,"°","º"))-1)),-1),IF(LEFT(E1809,6)="TÉRREO",0,IFERROR(VALUE(LEFT(E1809,FIND("º",SUBSTITUTE(E1809,"°","º"))-1)),""))))</f>
        <v>22</v>
      </c>
      <c r="O1809" s="2" t="str">
        <f aca="false">IF(OR(F1809="",G1809=""),"",IF(G1809&lt;='RETRATO 2027'!$K$5,"CONCLUÍDA",IF(F1809&lt;='RETRATO 2027'!$K$5,"EM ANDAMENTO","A INICIAR")))</f>
        <v>A INICIAR</v>
      </c>
    </row>
    <row r="1810" customFormat="false" ht="15" hidden="false" customHeight="false" outlineLevel="0" collapsed="false">
      <c r="B1810" s="4" t="n">
        <v>29980961</v>
      </c>
      <c r="C1810" s="4" t="s">
        <v>2539</v>
      </c>
      <c r="D1810" s="4" t="s">
        <v>463</v>
      </c>
      <c r="E1810" s="4" t="s">
        <v>2829</v>
      </c>
      <c r="F1810" s="127" t="n">
        <v>46945</v>
      </c>
      <c r="G1810" s="127" t="n">
        <v>46955</v>
      </c>
      <c r="H1810" s="127" t="n">
        <v>46289</v>
      </c>
      <c r="I1810" s="4" t="n">
        <v>0</v>
      </c>
      <c r="J1810" s="4" t="n">
        <v>0</v>
      </c>
      <c r="K1810" s="4" t="n">
        <v>0</v>
      </c>
      <c r="M1810" s="2" t="str">
        <f aca="false">IF(C1810="","",IFERROR(INDEX($S$5:$S$304,MATCH(C1810,$R$5:$R$304,0))&amp;"","?"))</f>
        <v>35</v>
      </c>
      <c r="N1810" s="2" t="n">
        <f aca="false">IF(E1810="","",IF(ISNUMBER(SEARCH("SUBSOLO",E1810)),IFERROR(-VALUE(LEFT(E1810,FIND("º",SUBSTITUTE(E1810,"°","º"))-1)),-1),IF(LEFT(E1810,6)="TÉRREO",0,IFERROR(VALUE(LEFT(E1810,FIND("º",SUBSTITUTE(E1810,"°","º"))-1)),""))))</f>
        <v>23</v>
      </c>
      <c r="O1810" s="2" t="str">
        <f aca="false">IF(OR(F1810="",G1810=""),"",IF(G1810&lt;='RETRATO 2027'!$K$5,"CONCLUÍDA",IF(F1810&lt;='RETRATO 2027'!$K$5,"EM ANDAMENTO","A INICIAR")))</f>
        <v>A INICIAR</v>
      </c>
    </row>
    <row r="1811" customFormat="false" ht="15" hidden="false" customHeight="false" outlineLevel="0" collapsed="false">
      <c r="B1811" s="4" t="n">
        <v>33898108</v>
      </c>
      <c r="C1811" s="4" t="s">
        <v>2545</v>
      </c>
      <c r="D1811" s="4" t="s">
        <v>463</v>
      </c>
      <c r="E1811" s="4" t="s">
        <v>2831</v>
      </c>
      <c r="F1811" s="127" t="n">
        <v>46945</v>
      </c>
      <c r="G1811" s="127" t="n">
        <v>46955</v>
      </c>
      <c r="H1811" s="127" t="n">
        <v>46289</v>
      </c>
      <c r="I1811" s="4" t="n">
        <v>0</v>
      </c>
      <c r="J1811" s="4" t="n">
        <v>0</v>
      </c>
      <c r="K1811" s="4" t="n">
        <v>0</v>
      </c>
      <c r="M1811" s="2" t="str">
        <f aca="false">IF(C1811="","",IFERROR(INDEX($S$5:$S$304,MATCH(C1811,$R$5:$R$304,0))&amp;"","?"))</f>
        <v>25</v>
      </c>
      <c r="N1811" s="2" t="n">
        <f aca="false">IF(E1811="","",IF(ISNUMBER(SEARCH("SUBSOLO",E1811)),IFERROR(-VALUE(LEFT(E1811,FIND("º",SUBSTITUTE(E1811,"°","º"))-1)),-1),IF(LEFT(E1811,6)="TÉRREO",0,IFERROR(VALUE(LEFT(E1811,FIND("º",SUBSTITUTE(E1811,"°","º"))-1)),""))))</f>
        <v>24</v>
      </c>
      <c r="O1811" s="2" t="str">
        <f aca="false">IF(OR(F1811="",G1811=""),"",IF(G1811&lt;='RETRATO 2027'!$K$5,"CONCLUÍDA",IF(F1811&lt;='RETRATO 2027'!$K$5,"EM ANDAMENTO","A INICIAR")))</f>
        <v>A INICIAR</v>
      </c>
    </row>
    <row r="1812" customFormat="false" ht="15" hidden="false" customHeight="false" outlineLevel="0" collapsed="false">
      <c r="B1812" s="4" t="n">
        <v>30205934</v>
      </c>
      <c r="C1812" s="4" t="s">
        <v>228</v>
      </c>
      <c r="D1812" s="4" t="s">
        <v>463</v>
      </c>
      <c r="E1812" s="4" t="s">
        <v>2784</v>
      </c>
      <c r="F1812" s="127" t="n">
        <v>46946</v>
      </c>
      <c r="G1812" s="127" t="n">
        <v>46959</v>
      </c>
      <c r="H1812" s="127" t="n">
        <v>46289</v>
      </c>
      <c r="I1812" s="4" t="n">
        <v>0</v>
      </c>
      <c r="J1812" s="4" t="n">
        <v>0</v>
      </c>
      <c r="K1812" s="4" t="n">
        <v>0</v>
      </c>
      <c r="M1812" s="2" t="str">
        <f aca="false">IF(C1812="","",IFERROR(INDEX($S$5:$S$304,MATCH(C1812,$R$5:$R$304,0))&amp;"","?"))</f>
        <v>36</v>
      </c>
      <c r="N1812" s="2" t="n">
        <f aca="false">IF(E1812="","",IF(ISNUMBER(SEARCH("SUBSOLO",E1812)),IFERROR(-VALUE(LEFT(E1812,FIND("º",SUBSTITUTE(E1812,"°","º"))-1)),-1),IF(LEFT(E1812,6)="TÉRREO",0,IFERROR(VALUE(LEFT(E1812,FIND("º",SUBSTITUTE(E1812,"°","º"))-1)),""))))</f>
        <v>2</v>
      </c>
      <c r="O1812" s="2" t="str">
        <f aca="false">IF(OR(F1812="",G1812=""),"",IF(G1812&lt;='RETRATO 2027'!$K$5,"CONCLUÍDA",IF(F1812&lt;='RETRATO 2027'!$K$5,"EM ANDAMENTO","A INICIAR")))</f>
        <v>A INICIAR</v>
      </c>
    </row>
    <row r="1813" customFormat="false" ht="15" hidden="false" customHeight="false" outlineLevel="0" collapsed="false">
      <c r="B1813" s="4" t="n">
        <v>29980774</v>
      </c>
      <c r="C1813" s="4" t="s">
        <v>216</v>
      </c>
      <c r="D1813" s="4" t="s">
        <v>463</v>
      </c>
      <c r="E1813" s="4" t="s">
        <v>2840</v>
      </c>
      <c r="F1813" s="127" t="n">
        <v>46946</v>
      </c>
      <c r="G1813" s="127" t="n">
        <v>46958</v>
      </c>
      <c r="H1813" s="127" t="n">
        <v>46289</v>
      </c>
      <c r="I1813" s="4" t="n">
        <v>0</v>
      </c>
      <c r="J1813" s="4" t="n">
        <v>0</v>
      </c>
      <c r="K1813" s="4" t="n">
        <v>0</v>
      </c>
      <c r="M1813" s="2" t="str">
        <f aca="false">IF(C1813="","",IFERROR(INDEX($S$5:$S$304,MATCH(C1813,$R$5:$R$304,0))&amp;"","?"))</f>
        <v>33</v>
      </c>
      <c r="N1813" s="2" t="n">
        <f aca="false">IF(E1813="","",IF(ISNUMBER(SEARCH("SUBSOLO",E1813)),IFERROR(-VALUE(LEFT(E1813,FIND("º",SUBSTITUTE(E1813,"°","º"))-1)),-1),IF(LEFT(E1813,6)="TÉRREO",0,IFERROR(VALUE(LEFT(E1813,FIND("º",SUBSTITUTE(E1813,"°","º"))-1)),""))))</f>
        <v>28</v>
      </c>
      <c r="O1813" s="2" t="str">
        <f aca="false">IF(OR(F1813="",G1813=""),"",IF(G1813&lt;='RETRATO 2027'!$K$5,"CONCLUÍDA",IF(F1813&lt;='RETRATO 2027'!$K$5,"EM ANDAMENTO","A INICIAR")))</f>
        <v>A INICIAR</v>
      </c>
    </row>
    <row r="1814" customFormat="false" ht="15" hidden="false" customHeight="false" outlineLevel="0" collapsed="false">
      <c r="B1814" s="4" t="n">
        <v>29980735</v>
      </c>
      <c r="C1814" s="4" t="s">
        <v>2508</v>
      </c>
      <c r="D1814" s="4" t="s">
        <v>463</v>
      </c>
      <c r="E1814" s="4" t="s">
        <v>2841</v>
      </c>
      <c r="F1814" s="127" t="n">
        <v>46946</v>
      </c>
      <c r="G1814" s="127" t="n">
        <v>46958</v>
      </c>
      <c r="H1814" s="127" t="n">
        <v>46289</v>
      </c>
      <c r="I1814" s="4" t="n">
        <v>0</v>
      </c>
      <c r="J1814" s="4" t="n">
        <v>0</v>
      </c>
      <c r="K1814" s="4" t="n">
        <v>0</v>
      </c>
      <c r="M1814" s="2" t="str">
        <f aca="false">IF(C1814="","",IFERROR(INDEX($S$5:$S$304,MATCH(C1814,$R$5:$R$304,0))&amp;"","?"))</f>
        <v>20</v>
      </c>
      <c r="N1814" s="2" t="n">
        <f aca="false">IF(E1814="","",IF(ISNUMBER(SEARCH("SUBSOLO",E1814)),IFERROR(-VALUE(LEFT(E1814,FIND("º",SUBSTITUTE(E1814,"°","º"))-1)),-1),IF(LEFT(E1814,6)="TÉRREO",0,IFERROR(VALUE(LEFT(E1814,FIND("º",SUBSTITUTE(E1814,"°","º"))-1)),""))))</f>
        <v>29</v>
      </c>
      <c r="O1814" s="2" t="str">
        <f aca="false">IF(OR(F1814="",G1814=""),"",IF(G1814&lt;='RETRATO 2027'!$K$5,"CONCLUÍDA",IF(F1814&lt;='RETRATO 2027'!$K$5,"EM ANDAMENTO","A INICIAR")))</f>
        <v>A INICIAR</v>
      </c>
    </row>
    <row r="1815" customFormat="false" ht="15" hidden="false" customHeight="false" outlineLevel="0" collapsed="false">
      <c r="B1815" s="4" t="n">
        <v>29980740</v>
      </c>
      <c r="C1815" s="4" t="s">
        <v>2511</v>
      </c>
      <c r="D1815" s="4" t="s">
        <v>463</v>
      </c>
      <c r="E1815" s="4" t="s">
        <v>2841</v>
      </c>
      <c r="F1815" s="127" t="n">
        <v>46946</v>
      </c>
      <c r="G1815" s="127" t="n">
        <v>46958</v>
      </c>
      <c r="H1815" s="127" t="n">
        <v>46289</v>
      </c>
      <c r="I1815" s="4" t="n">
        <v>0</v>
      </c>
      <c r="J1815" s="4" t="n">
        <v>0</v>
      </c>
      <c r="K1815" s="4" t="n">
        <v>0</v>
      </c>
      <c r="M1815" s="2" t="str">
        <f aca="false">IF(C1815="","",IFERROR(INDEX($S$5:$S$304,MATCH(C1815,$R$5:$R$304,0))&amp;"","?"))</f>
        <v>20</v>
      </c>
      <c r="N1815" s="2" t="n">
        <f aca="false">IF(E1815="","",IF(ISNUMBER(SEARCH("SUBSOLO",E1815)),IFERROR(-VALUE(LEFT(E1815,FIND("º",SUBSTITUTE(E1815,"°","º"))-1)),-1),IF(LEFT(E1815,6)="TÉRREO",0,IFERROR(VALUE(LEFT(E1815,FIND("º",SUBSTITUTE(E1815,"°","º"))-1)),""))))</f>
        <v>29</v>
      </c>
      <c r="O1815" s="2" t="str">
        <f aca="false">IF(OR(F1815="",G1815=""),"",IF(G1815&lt;='RETRATO 2027'!$K$5,"CONCLUÍDA",IF(F1815&lt;='RETRATO 2027'!$K$5,"EM ANDAMENTO","A INICIAR")))</f>
        <v>A INICIAR</v>
      </c>
    </row>
    <row r="1816" customFormat="false" ht="15" hidden="false" customHeight="false" outlineLevel="0" collapsed="false">
      <c r="B1816" s="4" t="n">
        <v>30214091</v>
      </c>
      <c r="C1816" s="4" t="s">
        <v>2514</v>
      </c>
      <c r="D1816" s="4" t="s">
        <v>463</v>
      </c>
      <c r="E1816" s="4" t="s">
        <v>2841</v>
      </c>
      <c r="F1816" s="127" t="n">
        <v>46946</v>
      </c>
      <c r="G1816" s="127" t="n">
        <v>46959</v>
      </c>
      <c r="H1816" s="127" t="n">
        <v>46289</v>
      </c>
      <c r="I1816" s="4" t="n">
        <v>0</v>
      </c>
      <c r="J1816" s="4" t="n">
        <v>0</v>
      </c>
      <c r="K1816" s="4" t="n">
        <v>0</v>
      </c>
      <c r="M1816" s="2" t="str">
        <f aca="false">IF(C1816="","",IFERROR(INDEX($S$5:$S$304,MATCH(C1816,$R$5:$R$304,0))&amp;"","?"))</f>
        <v>20</v>
      </c>
      <c r="N1816" s="2" t="n">
        <f aca="false">IF(E1816="","",IF(ISNUMBER(SEARCH("SUBSOLO",E1816)),IFERROR(-VALUE(LEFT(E1816,FIND("º",SUBSTITUTE(E1816,"°","º"))-1)),-1),IF(LEFT(E1816,6)="TÉRREO",0,IFERROR(VALUE(LEFT(E1816,FIND("º",SUBSTITUTE(E1816,"°","º"))-1)),""))))</f>
        <v>29</v>
      </c>
      <c r="O1816" s="2" t="str">
        <f aca="false">IF(OR(F1816="",G1816=""),"",IF(G1816&lt;='RETRATO 2027'!$K$5,"CONCLUÍDA",IF(F1816&lt;='RETRATO 2027'!$K$5,"EM ANDAMENTO","A INICIAR")))</f>
        <v>A INICIAR</v>
      </c>
    </row>
    <row r="1817" customFormat="false" ht="15" hidden="false" customHeight="false" outlineLevel="0" collapsed="false">
      <c r="B1817" s="4" t="n">
        <v>29980682</v>
      </c>
      <c r="C1817" s="4" t="s">
        <v>2501</v>
      </c>
      <c r="D1817" s="4" t="s">
        <v>463</v>
      </c>
      <c r="E1817" s="4" t="s">
        <v>2842</v>
      </c>
      <c r="F1817" s="127" t="n">
        <v>46946</v>
      </c>
      <c r="G1817" s="127" t="n">
        <v>46958</v>
      </c>
      <c r="H1817" s="127" t="n">
        <v>46289</v>
      </c>
      <c r="I1817" s="4" t="n">
        <v>0</v>
      </c>
      <c r="J1817" s="4" t="n">
        <v>0</v>
      </c>
      <c r="K1817" s="4" t="n">
        <v>0</v>
      </c>
      <c r="M1817" s="2" t="str">
        <f aca="false">IF(C1817="","",IFERROR(INDEX($S$5:$S$304,MATCH(C1817,$R$5:$R$304,0))&amp;"","?"))</f>
        <v>30</v>
      </c>
      <c r="N1817" s="2" t="n">
        <f aca="false">IF(E1817="","",IF(ISNUMBER(SEARCH("SUBSOLO",E1817)),IFERROR(-VALUE(LEFT(E1817,FIND("º",SUBSTITUTE(E1817,"°","º"))-1)),-1),IF(LEFT(E1817,6)="TÉRREO",0,IFERROR(VALUE(LEFT(E1817,FIND("º",SUBSTITUTE(E1817,"°","º"))-1)),""))))</f>
        <v>30</v>
      </c>
      <c r="O1817" s="2" t="str">
        <f aca="false">IF(OR(F1817="",G1817=""),"",IF(G1817&lt;='RETRATO 2027'!$K$5,"CONCLUÍDA",IF(F1817&lt;='RETRATO 2027'!$K$5,"EM ANDAMENTO","A INICIAR")))</f>
        <v>A INICIAR</v>
      </c>
    </row>
    <row r="1818" customFormat="false" ht="15" hidden="false" customHeight="false" outlineLevel="0" collapsed="false">
      <c r="B1818" s="4" t="n">
        <v>29980644</v>
      </c>
      <c r="C1818" s="4" t="s">
        <v>2486</v>
      </c>
      <c r="D1818" s="4" t="s">
        <v>463</v>
      </c>
      <c r="E1818" s="4" t="s">
        <v>2843</v>
      </c>
      <c r="F1818" s="127" t="n">
        <v>46946</v>
      </c>
      <c r="G1818" s="127" t="n">
        <v>46958</v>
      </c>
      <c r="H1818" s="127" t="n">
        <v>46289</v>
      </c>
      <c r="I1818" s="4" t="n">
        <v>0</v>
      </c>
      <c r="J1818" s="4" t="n">
        <v>0</v>
      </c>
      <c r="K1818" s="4" t="n">
        <v>0</v>
      </c>
      <c r="M1818" s="2" t="str">
        <f aca="false">IF(C1818="","",IFERROR(INDEX($S$5:$S$304,MATCH(C1818,$R$5:$R$304,0))&amp;"","?"))</f>
        <v>30</v>
      </c>
      <c r="N1818" s="2" t="n">
        <f aca="false">IF(E1818="","",IF(ISNUMBER(SEARCH("SUBSOLO",E1818)),IFERROR(-VALUE(LEFT(E1818,FIND("º",SUBSTITUTE(E1818,"°","º"))-1)),-1),IF(LEFT(E1818,6)="TÉRREO",0,IFERROR(VALUE(LEFT(E1818,FIND("º",SUBSTITUTE(E1818,"°","º"))-1)),""))))</f>
        <v>31</v>
      </c>
      <c r="O1818" s="2" t="str">
        <f aca="false">IF(OR(F1818="",G1818=""),"",IF(G1818&lt;='RETRATO 2027'!$K$5,"CONCLUÍDA",IF(F1818&lt;='RETRATO 2027'!$K$5,"EM ANDAMENTO","A INICIAR")))</f>
        <v>A INICIAR</v>
      </c>
    </row>
    <row r="1819" customFormat="false" ht="15" hidden="false" customHeight="false" outlineLevel="0" collapsed="false">
      <c r="B1819" s="4" t="n">
        <v>29980623</v>
      </c>
      <c r="C1819" s="4" t="s">
        <v>2480</v>
      </c>
      <c r="D1819" s="4" t="s">
        <v>463</v>
      </c>
      <c r="E1819" s="4" t="s">
        <v>2844</v>
      </c>
      <c r="F1819" s="127" t="n">
        <v>46946</v>
      </c>
      <c r="G1819" s="127" t="n">
        <v>46958</v>
      </c>
      <c r="H1819" s="127" t="n">
        <v>46289</v>
      </c>
      <c r="I1819" s="4" t="n">
        <v>0</v>
      </c>
      <c r="J1819" s="4" t="n">
        <v>0</v>
      </c>
      <c r="K1819" s="4" t="n">
        <v>0</v>
      </c>
      <c r="M1819" s="2" t="str">
        <f aca="false">IF(C1819="","",IFERROR(INDEX($S$5:$S$304,MATCH(C1819,$R$5:$R$304,0))&amp;"","?"))</f>
        <v>30</v>
      </c>
      <c r="N1819" s="2" t="n">
        <f aca="false">IF(E1819="","",IF(ISNUMBER(SEARCH("SUBSOLO",E1819)),IFERROR(-VALUE(LEFT(E1819,FIND("º",SUBSTITUTE(E1819,"°","º"))-1)),-1),IF(LEFT(E1819,6)="TÉRREO",0,IFERROR(VALUE(LEFT(E1819,FIND("º",SUBSTITUTE(E1819,"°","º"))-1)),""))))</f>
        <v>32</v>
      </c>
      <c r="O1819" s="2" t="str">
        <f aca="false">IF(OR(F1819="",G1819=""),"",IF(G1819&lt;='RETRATO 2027'!$K$5,"CONCLUÍDA",IF(F1819&lt;='RETRATO 2027'!$K$5,"EM ANDAMENTO","A INICIAR")))</f>
        <v>A INICIAR</v>
      </c>
    </row>
    <row r="1820" customFormat="false" ht="15" hidden="false" customHeight="false" outlineLevel="0" collapsed="false">
      <c r="B1820" s="4" t="n">
        <v>30205780</v>
      </c>
      <c r="C1820" s="4" t="s">
        <v>2563</v>
      </c>
      <c r="D1820" s="4" t="s">
        <v>463</v>
      </c>
      <c r="E1820" s="4" t="s">
        <v>2835</v>
      </c>
      <c r="F1820" s="127" t="n">
        <v>46947</v>
      </c>
      <c r="G1820" s="127" t="n">
        <v>46953</v>
      </c>
      <c r="H1820" s="127" t="n">
        <v>46289</v>
      </c>
      <c r="I1820" s="4" t="n">
        <v>0</v>
      </c>
      <c r="J1820" s="4" t="n">
        <v>0</v>
      </c>
      <c r="K1820" s="4" t="n">
        <v>0</v>
      </c>
      <c r="M1820" s="2" t="str">
        <f aca="false">IF(C1820="","",IFERROR(INDEX($S$5:$S$304,MATCH(C1820,$R$5:$R$304,0))&amp;"","?"))</f>
        <v>20</v>
      </c>
      <c r="N1820" s="2" t="n">
        <f aca="false">IF(E1820="","",IF(ISNUMBER(SEARCH("SUBSOLO",E1820)),IFERROR(-VALUE(LEFT(E1820,FIND("º",SUBSTITUTE(E1820,"°","º"))-1)),-1),IF(LEFT(E1820,6)="TÉRREO",0,IFERROR(VALUE(LEFT(E1820,FIND("º",SUBSTITUTE(E1820,"°","º"))-1)),""))))</f>
        <v>0</v>
      </c>
      <c r="O1820" s="2" t="str">
        <f aca="false">IF(OR(F1820="",G1820=""),"",IF(G1820&lt;='RETRATO 2027'!$K$5,"CONCLUÍDA",IF(F1820&lt;='RETRATO 2027'!$K$5,"EM ANDAMENTO","A INICIAR")))</f>
        <v>A INICIAR</v>
      </c>
    </row>
    <row r="1821" customFormat="false" ht="15" hidden="false" customHeight="false" outlineLevel="0" collapsed="false">
      <c r="B1821" s="4" t="n">
        <v>30205809</v>
      </c>
      <c r="C1821" s="4" t="s">
        <v>2578</v>
      </c>
      <c r="D1821" s="4" t="s">
        <v>463</v>
      </c>
      <c r="E1821" s="4" t="s">
        <v>2839</v>
      </c>
      <c r="F1821" s="127" t="n">
        <v>46947</v>
      </c>
      <c r="G1821" s="127" t="n">
        <v>46960</v>
      </c>
      <c r="H1821" s="127" t="n">
        <v>46289</v>
      </c>
      <c r="I1821" s="4" t="n">
        <v>0</v>
      </c>
      <c r="J1821" s="4" t="n">
        <v>0</v>
      </c>
      <c r="K1821" s="4" t="n">
        <v>0</v>
      </c>
      <c r="M1821" s="2" t="str">
        <f aca="false">IF(C1821="","",IFERROR(INDEX($S$5:$S$304,MATCH(C1821,$R$5:$R$304,0))&amp;"","?"))</f>
        <v>25</v>
      </c>
      <c r="N1821" s="2" t="n">
        <f aca="false">IF(E1821="","",IF(ISNUMBER(SEARCH("SUBSOLO",E1821)),IFERROR(-VALUE(LEFT(E1821,FIND("º",SUBSTITUTE(E1821,"°","º"))-1)),-1),IF(LEFT(E1821,6)="TÉRREO",0,IFERROR(VALUE(LEFT(E1821,FIND("º",SUBSTITUTE(E1821,"°","º"))-1)),""))))</f>
        <v>0</v>
      </c>
      <c r="O1821" s="2" t="str">
        <f aca="false">IF(OR(F1821="",G1821=""),"",IF(G1821&lt;='RETRATO 2027'!$K$5,"CONCLUÍDA",IF(F1821&lt;='RETRATO 2027'!$K$5,"EM ANDAMENTO","A INICIAR")))</f>
        <v>A INICIAR</v>
      </c>
    </row>
    <row r="1822" customFormat="false" ht="15" hidden="false" customHeight="false" outlineLevel="0" collapsed="false">
      <c r="B1822" s="4" t="n">
        <v>30205808</v>
      </c>
      <c r="C1822" s="4" t="s">
        <v>2605</v>
      </c>
      <c r="D1822" s="4" t="s">
        <v>463</v>
      </c>
      <c r="E1822" s="4" t="s">
        <v>2839</v>
      </c>
      <c r="F1822" s="127" t="n">
        <v>46947</v>
      </c>
      <c r="G1822" s="127" t="n">
        <v>46960</v>
      </c>
      <c r="H1822" s="127" t="n">
        <v>46289</v>
      </c>
      <c r="I1822" s="4" t="n">
        <v>0</v>
      </c>
      <c r="J1822" s="4" t="n">
        <v>0</v>
      </c>
      <c r="K1822" s="4" t="n">
        <v>0</v>
      </c>
      <c r="M1822" s="2" t="str">
        <f aca="false">IF(C1822="","",IFERROR(INDEX($S$5:$S$304,MATCH(C1822,$R$5:$R$304,0))&amp;"","?"))</f>
        <v>34</v>
      </c>
      <c r="N1822" s="2" t="n">
        <f aca="false">IF(E1822="","",IF(ISNUMBER(SEARCH("SUBSOLO",E1822)),IFERROR(-VALUE(LEFT(E1822,FIND("º",SUBSTITUTE(E1822,"°","º"))-1)),-1),IF(LEFT(E1822,6)="TÉRREO",0,IFERROR(VALUE(LEFT(E1822,FIND("º",SUBSTITUTE(E1822,"°","º"))-1)),""))))</f>
        <v>0</v>
      </c>
      <c r="O1822" s="2" t="str">
        <f aca="false">IF(OR(F1822="",G1822=""),"",IF(G1822&lt;='RETRATO 2027'!$K$5,"CONCLUÍDA",IF(F1822&lt;='RETRATO 2027'!$K$5,"EM ANDAMENTO","A INICIAR")))</f>
        <v>A INICIAR</v>
      </c>
    </row>
    <row r="1823" customFormat="false" ht="15" hidden="false" customHeight="false" outlineLevel="0" collapsed="false">
      <c r="B1823" s="4" t="n">
        <v>30205806</v>
      </c>
      <c r="C1823" s="4" t="s">
        <v>2607</v>
      </c>
      <c r="D1823" s="4" t="s">
        <v>463</v>
      </c>
      <c r="E1823" s="4" t="s">
        <v>2839</v>
      </c>
      <c r="F1823" s="127" t="n">
        <v>46947</v>
      </c>
      <c r="G1823" s="127" t="n">
        <v>46960</v>
      </c>
      <c r="H1823" s="127" t="n">
        <v>46289</v>
      </c>
      <c r="I1823" s="4" t="n">
        <v>0</v>
      </c>
      <c r="J1823" s="4" t="n">
        <v>0</v>
      </c>
      <c r="K1823" s="4" t="n">
        <v>0</v>
      </c>
      <c r="M1823" s="2" t="str">
        <f aca="false">IF(C1823="","",IFERROR(INDEX($S$5:$S$304,MATCH(C1823,$R$5:$R$304,0))&amp;"","?"))</f>
        <v>34</v>
      </c>
      <c r="N1823" s="2" t="n">
        <f aca="false">IF(E1823="","",IF(ISNUMBER(SEARCH("SUBSOLO",E1823)),IFERROR(-VALUE(LEFT(E1823,FIND("º",SUBSTITUTE(E1823,"°","º"))-1)),-1),IF(LEFT(E1823,6)="TÉRREO",0,IFERROR(VALUE(LEFT(E1823,FIND("º",SUBSTITUTE(E1823,"°","º"))-1)),""))))</f>
        <v>0</v>
      </c>
      <c r="O1823" s="2" t="str">
        <f aca="false">IF(OR(F1823="",G1823=""),"",IF(G1823&lt;='RETRATO 2027'!$K$5,"CONCLUÍDA",IF(F1823&lt;='RETRATO 2027'!$K$5,"EM ANDAMENTO","A INICIAR")))</f>
        <v>A INICIAR</v>
      </c>
    </row>
    <row r="1824" customFormat="false" ht="15" hidden="false" customHeight="false" outlineLevel="0" collapsed="false">
      <c r="B1824" s="4" t="n">
        <v>30171523</v>
      </c>
      <c r="C1824" s="4" t="s">
        <v>2486</v>
      </c>
      <c r="D1824" s="4" t="s">
        <v>463</v>
      </c>
      <c r="E1824" s="4" t="s">
        <v>2857</v>
      </c>
      <c r="F1824" s="127" t="n">
        <v>46947</v>
      </c>
      <c r="G1824" s="127" t="n">
        <v>46960</v>
      </c>
      <c r="H1824" s="127" t="n">
        <v>46289</v>
      </c>
      <c r="I1824" s="4" t="n">
        <v>0</v>
      </c>
      <c r="J1824" s="4" t="n">
        <v>0</v>
      </c>
      <c r="K1824" s="4" t="n">
        <v>0</v>
      </c>
      <c r="M1824" s="2" t="str">
        <f aca="false">IF(C1824="","",IFERROR(INDEX($S$5:$S$304,MATCH(C1824,$R$5:$R$304,0))&amp;"","?"))</f>
        <v>30</v>
      </c>
      <c r="N1824" s="2" t="str">
        <f aca="false"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 t="str">
        <f aca="false">IF(OR(F1824="",G1824=""),"",IF(G1824&lt;='RETRATO 2027'!$K$5,"CONCLUÍDA",IF(F1824&lt;='RETRATO 2027'!$K$5,"EM ANDAMENTO","A INICIAR")))</f>
        <v>A INICIAR</v>
      </c>
    </row>
    <row r="1825" customFormat="false" ht="15" hidden="false" customHeight="false" outlineLevel="0" collapsed="false">
      <c r="B1825" s="4" t="n">
        <v>32749862</v>
      </c>
      <c r="C1825" s="4" t="s">
        <v>2455</v>
      </c>
      <c r="D1825" s="4" t="s">
        <v>463</v>
      </c>
      <c r="E1825" s="4" t="s">
        <v>2822</v>
      </c>
      <c r="F1825" s="127" t="n">
        <v>46947</v>
      </c>
      <c r="G1825" s="127" t="n">
        <v>46959</v>
      </c>
      <c r="H1825" s="127" t="n">
        <v>46289</v>
      </c>
      <c r="I1825" s="4" t="n">
        <v>0</v>
      </c>
      <c r="J1825" s="4" t="n">
        <v>0</v>
      </c>
      <c r="K1825" s="4" t="n">
        <v>0</v>
      </c>
      <c r="M1825" s="2" t="str">
        <f aca="false">IF(C1825="","",IFERROR(INDEX($S$5:$S$304,MATCH(C1825,$R$5:$R$304,0))&amp;"","?"))</f>
        <v>18</v>
      </c>
      <c r="N1825" s="2" t="n">
        <f aca="false">IF(E1825="","",IF(ISNUMBER(SEARCH("SUBSOLO",E1825)),IFERROR(-VALUE(LEFT(E1825,FIND("º",SUBSTITUTE(E1825,"°","º"))-1)),-1),IF(LEFT(E1825,6)="TÉRREO",0,IFERROR(VALUE(LEFT(E1825,FIND("º",SUBSTITUTE(E1825,"°","º"))-1)),""))))</f>
        <v>19</v>
      </c>
      <c r="O1825" s="2" t="str">
        <f aca="false">IF(OR(F1825="",G1825=""),"",IF(G1825&lt;='RETRATO 2027'!$K$5,"CONCLUÍDA",IF(F1825&lt;='RETRATO 2027'!$K$5,"EM ANDAMENTO","A INICIAR")))</f>
        <v>A INICIAR</v>
      </c>
    </row>
    <row r="1826" customFormat="false" ht="15" hidden="false" customHeight="false" outlineLevel="0" collapsed="false">
      <c r="B1826" s="4" t="n">
        <v>30214095</v>
      </c>
      <c r="C1826" s="4" t="s">
        <v>2514</v>
      </c>
      <c r="D1826" s="4" t="s">
        <v>463</v>
      </c>
      <c r="E1826" s="4" t="s">
        <v>2852</v>
      </c>
      <c r="F1826" s="127" t="n">
        <v>46947</v>
      </c>
      <c r="G1826" s="127" t="n">
        <v>46967</v>
      </c>
      <c r="H1826" s="127" t="n">
        <v>46289</v>
      </c>
      <c r="I1826" s="4" t="n">
        <v>0</v>
      </c>
      <c r="J1826" s="4" t="n">
        <v>0</v>
      </c>
      <c r="K1826" s="4" t="n">
        <v>0</v>
      </c>
      <c r="M1826" s="2" t="str">
        <f aca="false">IF(C1826="","",IFERROR(INDEX($S$5:$S$304,MATCH(C1826,$R$5:$R$304,0))&amp;"","?"))</f>
        <v>20</v>
      </c>
      <c r="N1826" s="2" t="n">
        <f aca="false">IF(E1826="","",IF(ISNUMBER(SEARCH("SUBSOLO",E1826)),IFERROR(-VALUE(LEFT(E1826,FIND("º",SUBSTITUTE(E1826,"°","º"))-1)),-1),IF(LEFT(E1826,6)="TÉRREO",0,IFERROR(VALUE(LEFT(E1826,FIND("º",SUBSTITUTE(E1826,"°","º"))-1)),""))))</f>
        <v>33</v>
      </c>
      <c r="O1826" s="2" t="str">
        <f aca="false">IF(OR(F1826="",G1826=""),"",IF(G1826&lt;='RETRATO 2027'!$K$5,"CONCLUÍDA",IF(F1826&lt;='RETRATO 2027'!$K$5,"EM ANDAMENTO","A INICIAR")))</f>
        <v>A INICIAR</v>
      </c>
    </row>
    <row r="1827" customFormat="false" ht="15" hidden="false" customHeight="false" outlineLevel="0" collapsed="false">
      <c r="B1827" s="4" t="n">
        <v>30206129</v>
      </c>
      <c r="C1827" s="4" t="s">
        <v>2539</v>
      </c>
      <c r="D1827" s="4" t="s">
        <v>463</v>
      </c>
      <c r="E1827" s="4" t="s">
        <v>2846</v>
      </c>
      <c r="F1827" s="127" t="n">
        <v>46948</v>
      </c>
      <c r="G1827" s="127" t="n">
        <v>46961</v>
      </c>
      <c r="H1827" s="127" t="n">
        <v>46289</v>
      </c>
      <c r="I1827" s="4" t="n">
        <v>0</v>
      </c>
      <c r="J1827" s="4" t="n">
        <v>0</v>
      </c>
      <c r="K1827" s="4" t="n">
        <v>0</v>
      </c>
      <c r="M1827" s="2" t="str">
        <f aca="false">IF(C1827="","",IFERROR(INDEX($S$5:$S$304,MATCH(C1827,$R$5:$R$304,0))&amp;"","?"))</f>
        <v>35</v>
      </c>
      <c r="N1827" s="2" t="n">
        <f aca="false">IF(E1827="","",IF(ISNUMBER(SEARCH("SUBSOLO",E1827)),IFERROR(-VALUE(LEFT(E1827,FIND("º",SUBSTITUTE(E1827,"°","º"))-1)),-1),IF(LEFT(E1827,6)="TÉRREO",0,IFERROR(VALUE(LEFT(E1827,FIND("º",SUBSTITUTE(E1827,"°","º"))-1)),""))))</f>
        <v>6</v>
      </c>
      <c r="O1827" s="2" t="str">
        <f aca="false">IF(OR(F1827="",G1827=""),"",IF(G1827&lt;='RETRATO 2027'!$K$5,"CONCLUÍDA",IF(F1827&lt;='RETRATO 2027'!$K$5,"EM ANDAMENTO","A INICIAR")))</f>
        <v>A INICIAR</v>
      </c>
    </row>
    <row r="1828" customFormat="false" ht="15" hidden="false" customHeight="false" outlineLevel="0" collapsed="false">
      <c r="B1828" s="4" t="n">
        <v>30206090</v>
      </c>
      <c r="C1828" s="4" t="s">
        <v>216</v>
      </c>
      <c r="D1828" s="4" t="s">
        <v>463</v>
      </c>
      <c r="E1828" s="4" t="s">
        <v>2847</v>
      </c>
      <c r="F1828" s="127" t="n">
        <v>46948</v>
      </c>
      <c r="G1828" s="127" t="n">
        <v>46961</v>
      </c>
      <c r="H1828" s="127" t="n">
        <v>46289</v>
      </c>
      <c r="I1828" s="4" t="n">
        <v>0</v>
      </c>
      <c r="J1828" s="4" t="n">
        <v>0</v>
      </c>
      <c r="K1828" s="4" t="n">
        <v>0</v>
      </c>
      <c r="M1828" s="2" t="str">
        <f aca="false">IF(C1828="","",IFERROR(INDEX($S$5:$S$304,MATCH(C1828,$R$5:$R$304,0))&amp;"","?"))</f>
        <v>33</v>
      </c>
      <c r="N1828" s="2" t="n">
        <f aca="false">IF(E1828="","",IF(ISNUMBER(SEARCH("SUBSOLO",E1828)),IFERROR(-VALUE(LEFT(E1828,FIND("º",SUBSTITUTE(E1828,"°","º"))-1)),-1),IF(LEFT(E1828,6)="TÉRREO",0,IFERROR(VALUE(LEFT(E1828,FIND("º",SUBSTITUTE(E1828,"°","º"))-1)),""))))</f>
        <v>6</v>
      </c>
      <c r="O1828" s="2" t="str">
        <f aca="false">IF(OR(F1828="",G1828=""),"",IF(G1828&lt;='RETRATO 2027'!$K$5,"CONCLUÍDA",IF(F1828&lt;='RETRATO 2027'!$K$5,"EM ANDAMENTO","A INICIAR")))</f>
        <v>A INICIAR</v>
      </c>
    </row>
    <row r="1829" customFormat="false" ht="15" hidden="false" customHeight="false" outlineLevel="0" collapsed="false">
      <c r="B1829" s="4" t="n">
        <v>30206035</v>
      </c>
      <c r="C1829" s="4" t="s">
        <v>2501</v>
      </c>
      <c r="D1829" s="4" t="s">
        <v>463</v>
      </c>
      <c r="E1829" s="4" t="s">
        <v>2848</v>
      </c>
      <c r="F1829" s="127" t="n">
        <v>46948</v>
      </c>
      <c r="G1829" s="127" t="n">
        <v>46961</v>
      </c>
      <c r="H1829" s="127" t="n">
        <v>46289</v>
      </c>
      <c r="I1829" s="4" t="n">
        <v>0</v>
      </c>
      <c r="J1829" s="4" t="n">
        <v>0</v>
      </c>
      <c r="K1829" s="4" t="n">
        <v>0</v>
      </c>
      <c r="M1829" s="2" t="str">
        <f aca="false">IF(C1829="","",IFERROR(INDEX($S$5:$S$304,MATCH(C1829,$R$5:$R$304,0))&amp;"","?"))</f>
        <v>30</v>
      </c>
      <c r="N1829" s="2" t="n">
        <f aca="false">IF(E1829="","",IF(ISNUMBER(SEARCH("SUBSOLO",E1829)),IFERROR(-VALUE(LEFT(E1829,FIND("º",SUBSTITUTE(E1829,"°","º"))-1)),-1),IF(LEFT(E1829,6)="TÉRREO",0,IFERROR(VALUE(LEFT(E1829,FIND("º",SUBSTITUTE(E1829,"°","º"))-1)),""))))</f>
        <v>6</v>
      </c>
      <c r="O1829" s="2" t="str">
        <f aca="false">IF(OR(F1829="",G1829=""),"",IF(G1829&lt;='RETRATO 2027'!$K$5,"CONCLUÍDA",IF(F1829&lt;='RETRATO 2027'!$K$5,"EM ANDAMENTO","A INICIAR")))</f>
        <v>A INICIAR</v>
      </c>
    </row>
    <row r="1830" customFormat="false" ht="15" hidden="false" customHeight="false" outlineLevel="0" collapsed="false">
      <c r="B1830" s="4" t="n">
        <v>30205997</v>
      </c>
      <c r="C1830" s="4" t="s">
        <v>2486</v>
      </c>
      <c r="D1830" s="4" t="s">
        <v>463</v>
      </c>
      <c r="E1830" s="4" t="s">
        <v>2849</v>
      </c>
      <c r="F1830" s="127" t="n">
        <v>46948</v>
      </c>
      <c r="G1830" s="127" t="n">
        <v>46961</v>
      </c>
      <c r="H1830" s="127" t="n">
        <v>46289</v>
      </c>
      <c r="I1830" s="4" t="n">
        <v>0</v>
      </c>
      <c r="J1830" s="4" t="n">
        <v>0</v>
      </c>
      <c r="K1830" s="4" t="n">
        <v>0</v>
      </c>
      <c r="M1830" s="2" t="str">
        <f aca="false">IF(C1830="","",IFERROR(INDEX($S$5:$S$304,MATCH(C1830,$R$5:$R$304,0))&amp;"","?"))</f>
        <v>30</v>
      </c>
      <c r="N1830" s="2" t="n">
        <f aca="false">IF(E1830="","",IF(ISNUMBER(SEARCH("SUBSOLO",E1830)),IFERROR(-VALUE(LEFT(E1830,FIND("º",SUBSTITUTE(E1830,"°","º"))-1)),-1),IF(LEFT(E1830,6)="TÉRREO",0,IFERROR(VALUE(LEFT(E1830,FIND("º",SUBSTITUTE(E1830,"°","º"))-1)),""))))</f>
        <v>6</v>
      </c>
      <c r="O1830" s="2" t="str">
        <f aca="false">IF(OR(F1830="",G1830=""),"",IF(G1830&lt;='RETRATO 2027'!$K$5,"CONCLUÍDA",IF(F1830&lt;='RETRATO 2027'!$K$5,"EM ANDAMENTO","A INICIAR")))</f>
        <v>A INICIAR</v>
      </c>
    </row>
    <row r="1831" customFormat="false" ht="15" hidden="false" customHeight="false" outlineLevel="0" collapsed="false">
      <c r="B1831" s="4" t="n">
        <v>30205976</v>
      </c>
      <c r="C1831" s="4" t="s">
        <v>2480</v>
      </c>
      <c r="D1831" s="4" t="s">
        <v>463</v>
      </c>
      <c r="E1831" s="4" t="s">
        <v>2850</v>
      </c>
      <c r="F1831" s="127" t="n">
        <v>46948</v>
      </c>
      <c r="G1831" s="127" t="n">
        <v>46961</v>
      </c>
      <c r="H1831" s="127" t="n">
        <v>46289</v>
      </c>
      <c r="I1831" s="4" t="n">
        <v>0</v>
      </c>
      <c r="J1831" s="4" t="n">
        <v>0</v>
      </c>
      <c r="K1831" s="4" t="n">
        <v>0</v>
      </c>
      <c r="M1831" s="2" t="str">
        <f aca="false">IF(C1831="","",IFERROR(INDEX($S$5:$S$304,MATCH(C1831,$R$5:$R$304,0))&amp;"","?"))</f>
        <v>30</v>
      </c>
      <c r="N1831" s="2" t="n">
        <f aca="false">IF(E1831="","",IF(ISNUMBER(SEARCH("SUBSOLO",E1831)),IFERROR(-VALUE(LEFT(E1831,FIND("º",SUBSTITUTE(E1831,"°","º"))-1)),-1),IF(LEFT(E1831,6)="TÉRREO",0,IFERROR(VALUE(LEFT(E1831,FIND("º",SUBSTITUTE(E1831,"°","º"))-1)),""))))</f>
        <v>6</v>
      </c>
      <c r="O1831" s="2" t="str">
        <f aca="false">IF(OR(F1831="",G1831=""),"",IF(G1831&lt;='RETRATO 2027'!$K$5,"CONCLUÍDA",IF(F1831&lt;='RETRATO 2027'!$K$5,"EM ANDAMENTO","A INICIAR")))</f>
        <v>A INICIAR</v>
      </c>
    </row>
    <row r="1832" customFormat="false" ht="15" hidden="false" customHeight="false" outlineLevel="0" collapsed="false">
      <c r="B1832" s="4" t="n">
        <v>33896917</v>
      </c>
      <c r="C1832" s="4" t="s">
        <v>2467</v>
      </c>
      <c r="D1832" s="4" t="s">
        <v>463</v>
      </c>
      <c r="E1832" s="4" t="s">
        <v>2850</v>
      </c>
      <c r="F1832" s="127" t="n">
        <v>46948</v>
      </c>
      <c r="G1832" s="127" t="n">
        <v>46961</v>
      </c>
      <c r="H1832" s="127" t="n">
        <v>46289</v>
      </c>
      <c r="I1832" s="4" t="n">
        <v>0</v>
      </c>
      <c r="J1832" s="4" t="n">
        <v>0</v>
      </c>
      <c r="K1832" s="4" t="n">
        <v>0</v>
      </c>
      <c r="M1832" s="2" t="str">
        <f aca="false">IF(C1832="","",IFERROR(INDEX($S$5:$S$304,MATCH(C1832,$R$5:$R$304,0))&amp;"","?"))</f>
        <v>23</v>
      </c>
      <c r="N1832" s="2" t="n">
        <f aca="false">IF(E1832="","",IF(ISNUMBER(SEARCH("SUBSOLO",E1832)),IFERROR(-VALUE(LEFT(E1832,FIND("º",SUBSTITUTE(E1832,"°","º"))-1)),-1),IF(LEFT(E1832,6)="TÉRREO",0,IFERROR(VALUE(LEFT(E1832,FIND("º",SUBSTITUTE(E1832,"°","º"))-1)),""))))</f>
        <v>6</v>
      </c>
      <c r="O1832" s="2" t="str">
        <f aca="false">IF(OR(F1832="",G1832=""),"",IF(G1832&lt;='RETRATO 2027'!$K$5,"CONCLUÍDA",IF(F1832&lt;='RETRATO 2027'!$K$5,"EM ANDAMENTO","A INICIAR")))</f>
        <v>A INICIAR</v>
      </c>
    </row>
    <row r="1833" customFormat="false" ht="15" hidden="false" customHeight="false" outlineLevel="0" collapsed="false">
      <c r="B1833" s="4" t="n">
        <v>30211211</v>
      </c>
      <c r="C1833" s="4" t="s">
        <v>2661</v>
      </c>
      <c r="D1833" s="4" t="s">
        <v>463</v>
      </c>
      <c r="E1833" s="4" t="s">
        <v>2853</v>
      </c>
      <c r="F1833" s="127" t="n">
        <v>46951</v>
      </c>
      <c r="G1833" s="127" t="n">
        <v>46969</v>
      </c>
      <c r="H1833" s="127" t="n">
        <v>46289</v>
      </c>
      <c r="I1833" s="4" t="n">
        <v>0</v>
      </c>
      <c r="J1833" s="4" t="n">
        <v>0</v>
      </c>
      <c r="K1833" s="4" t="n">
        <v>0</v>
      </c>
      <c r="M1833" s="2" t="str">
        <f aca="false">IF(C1833="","",IFERROR(INDEX($S$5:$S$304,MATCH(C1833,$R$5:$R$304,0))&amp;"","?"))</f>
        <v>30</v>
      </c>
      <c r="N1833" s="2" t="n">
        <f aca="false">IF(E1833="","",IF(ISNUMBER(SEARCH("SUBSOLO",E1833)),IFERROR(-VALUE(LEFT(E1833,FIND("º",SUBSTITUTE(E1833,"°","º"))-1)),-1),IF(LEFT(E1833,6)="TÉRREO",0,IFERROR(VALUE(LEFT(E1833,FIND("º",SUBSTITUTE(E1833,"°","º"))-1)),""))))</f>
        <v>34</v>
      </c>
      <c r="O1833" s="2" t="str">
        <f aca="false">IF(OR(F1833="",G1833=""),"",IF(G1833&lt;='RETRATO 2027'!$K$5,"CONCLUÍDA",IF(F1833&lt;='RETRATO 2027'!$K$5,"EM ANDAMENTO","A INICIAR")))</f>
        <v>A INICIAR</v>
      </c>
    </row>
    <row r="1834" customFormat="false" ht="15" hidden="false" customHeight="false" outlineLevel="0" collapsed="false">
      <c r="B1834" s="4" t="n">
        <v>30205655</v>
      </c>
      <c r="C1834" s="4" t="s">
        <v>2637</v>
      </c>
      <c r="D1834" s="4" t="s">
        <v>463</v>
      </c>
      <c r="E1834" s="4" t="s">
        <v>2824</v>
      </c>
      <c r="F1834" s="127" t="n">
        <v>46952</v>
      </c>
      <c r="G1834" s="127" t="n">
        <v>46958</v>
      </c>
      <c r="H1834" s="127" t="n">
        <v>46289</v>
      </c>
      <c r="I1834" s="4" t="n">
        <v>0</v>
      </c>
      <c r="J1834" s="4" t="n">
        <v>0</v>
      </c>
      <c r="K1834" s="4" t="n">
        <v>0</v>
      </c>
      <c r="M1834" s="2" t="str">
        <f aca="false">IF(C1834="","",IFERROR(INDEX($S$5:$S$304,MATCH(C1834,$R$5:$R$304,0))&amp;"","?"))</f>
        <v/>
      </c>
      <c r="N1834" s="2" t="n">
        <f aca="false">IF(E1834="","",IF(ISNUMBER(SEARCH("SUBSOLO",E1834)),IFERROR(-VALUE(LEFT(E1834,FIND("º",SUBSTITUTE(E1834,"°","º"))-1)),-1),IF(LEFT(E1834,6)="TÉRREO",0,IFERROR(VALUE(LEFT(E1834,FIND("º",SUBSTITUTE(E1834,"°","º"))-1)),""))))</f>
        <v>0</v>
      </c>
      <c r="O1834" s="2" t="str">
        <f aca="false">IF(OR(F1834="",G1834=""),"",IF(G1834&lt;='RETRATO 2027'!$K$5,"CONCLUÍDA",IF(F1834&lt;='RETRATO 2027'!$K$5,"EM ANDAMENTO","A INICIAR")))</f>
        <v>A INICIAR</v>
      </c>
    </row>
    <row r="1835" customFormat="false" ht="15" hidden="false" customHeight="false" outlineLevel="0" collapsed="false">
      <c r="B1835" s="4" t="n">
        <v>30205624</v>
      </c>
      <c r="C1835" s="4" t="s">
        <v>2649</v>
      </c>
      <c r="D1835" s="4" t="s">
        <v>463</v>
      </c>
      <c r="E1835" s="4" t="s">
        <v>2826</v>
      </c>
      <c r="F1835" s="127" t="n">
        <v>46952</v>
      </c>
      <c r="G1835" s="127" t="n">
        <v>46965</v>
      </c>
      <c r="H1835" s="127" t="n">
        <v>46289</v>
      </c>
      <c r="I1835" s="4" t="n">
        <v>0</v>
      </c>
      <c r="J1835" s="4" t="n">
        <v>0</v>
      </c>
      <c r="K1835" s="4" t="n">
        <v>0</v>
      </c>
      <c r="M1835" s="2" t="str">
        <f aca="false">IF(C1835="","",IFERROR(INDEX($S$5:$S$304,MATCH(C1835,$R$5:$R$304,0))&amp;"","?"))</f>
        <v>37</v>
      </c>
      <c r="N1835" s="2" t="n">
        <f aca="false">IF(E1835="","",IF(ISNUMBER(SEARCH("SUBSOLO",E1835)),IFERROR(-VALUE(LEFT(E1835,FIND("º",SUBSTITUTE(E1835,"°","º"))-1)),-1),IF(LEFT(E1835,6)="TÉRREO",0,IFERROR(VALUE(LEFT(E1835,FIND("º",SUBSTITUTE(E1835,"°","º"))-1)),""))))</f>
        <v>0</v>
      </c>
      <c r="O1835" s="2" t="str">
        <f aca="false">IF(OR(F1835="",G1835=""),"",IF(G1835&lt;='RETRATO 2027'!$K$5,"CONCLUÍDA",IF(F1835&lt;='RETRATO 2027'!$K$5,"EM ANDAMENTO","A INICIAR")))</f>
        <v>A INICIAR</v>
      </c>
    </row>
    <row r="1836" customFormat="false" ht="15" hidden="false" customHeight="false" outlineLevel="0" collapsed="false">
      <c r="B1836" s="4" t="n">
        <v>30205587</v>
      </c>
      <c r="C1836" s="4" t="s">
        <v>2629</v>
      </c>
      <c r="D1836" s="4" t="s">
        <v>463</v>
      </c>
      <c r="E1836" s="4" t="s">
        <v>2828</v>
      </c>
      <c r="F1836" s="127" t="n">
        <v>46952</v>
      </c>
      <c r="G1836" s="127" t="n">
        <v>46965</v>
      </c>
      <c r="H1836" s="127" t="n">
        <v>46289</v>
      </c>
      <c r="I1836" s="4" t="n">
        <v>0</v>
      </c>
      <c r="J1836" s="4" t="n">
        <v>0</v>
      </c>
      <c r="K1836" s="4" t="n">
        <v>0</v>
      </c>
      <c r="M1836" s="2" t="str">
        <f aca="false">IF(C1836="","",IFERROR(INDEX($S$5:$S$304,MATCH(C1836,$R$5:$R$304,0))&amp;"","?"))</f>
        <v>20</v>
      </c>
      <c r="N1836" s="2" t="n">
        <f aca="false">IF(E1836="","",IF(ISNUMBER(SEARCH("SUBSOLO",E1836)),IFERROR(-VALUE(LEFT(E1836,FIND("º",SUBSTITUTE(E1836,"°","º"))-1)),-1),IF(LEFT(E1836,6)="TÉRREO",0,IFERROR(VALUE(LEFT(E1836,FIND("º",SUBSTITUTE(E1836,"°","º"))-1)),""))))</f>
        <v>0</v>
      </c>
      <c r="O1836" s="2" t="str">
        <f aca="false">IF(OR(F1836="",G1836=""),"",IF(G1836&lt;='RETRATO 2027'!$K$5,"CONCLUÍDA",IF(F1836&lt;='RETRATO 2027'!$K$5,"EM ANDAMENTO","A INICIAR")))</f>
        <v>A INICIAR</v>
      </c>
    </row>
    <row r="1837" customFormat="false" ht="15" hidden="false" customHeight="false" outlineLevel="0" collapsed="false">
      <c r="B1837" s="4" t="n">
        <v>30205559</v>
      </c>
      <c r="C1837" s="4" t="s">
        <v>2623</v>
      </c>
      <c r="D1837" s="4" t="s">
        <v>463</v>
      </c>
      <c r="E1837" s="4" t="s">
        <v>2830</v>
      </c>
      <c r="F1837" s="127" t="n">
        <v>46952</v>
      </c>
      <c r="G1837" s="127" t="n">
        <v>46965</v>
      </c>
      <c r="H1837" s="127" t="n">
        <v>46289</v>
      </c>
      <c r="I1837" s="4" t="n">
        <v>0</v>
      </c>
      <c r="J1837" s="4" t="n">
        <v>0</v>
      </c>
      <c r="K1837" s="4" t="n">
        <v>0</v>
      </c>
      <c r="M1837" s="2" t="str">
        <f aca="false">IF(C1837="","",IFERROR(INDEX($S$5:$S$304,MATCH(C1837,$R$5:$R$304,0))&amp;"","?"))</f>
        <v>35</v>
      </c>
      <c r="N1837" s="2" t="n">
        <f aca="false">IF(E1837="","",IF(ISNUMBER(SEARCH("SUBSOLO",E1837)),IFERROR(-VALUE(LEFT(E1837,FIND("º",SUBSTITUTE(E1837,"°","º"))-1)),-1),IF(LEFT(E1837,6)="TÉRREO",0,IFERROR(VALUE(LEFT(E1837,FIND("º",SUBSTITUTE(E1837,"°","º"))-1)),""))))</f>
        <v>0</v>
      </c>
      <c r="O1837" s="2" t="str">
        <f aca="false">IF(OR(F1837="",G1837=""),"",IF(G1837&lt;='RETRATO 2027'!$K$5,"CONCLUÍDA",IF(F1837&lt;='RETRATO 2027'!$K$5,"EM ANDAMENTO","A INICIAR")))</f>
        <v>A INICIAR</v>
      </c>
    </row>
    <row r="1838" customFormat="false" ht="15" hidden="false" customHeight="false" outlineLevel="0" collapsed="false">
      <c r="B1838" s="4" t="n">
        <v>30205545</v>
      </c>
      <c r="C1838" s="4" t="s">
        <v>2615</v>
      </c>
      <c r="D1838" s="4" t="s">
        <v>463</v>
      </c>
      <c r="E1838" s="4" t="s">
        <v>2832</v>
      </c>
      <c r="F1838" s="127" t="n">
        <v>46952</v>
      </c>
      <c r="G1838" s="127" t="n">
        <v>46965</v>
      </c>
      <c r="H1838" s="127" t="n">
        <v>46289</v>
      </c>
      <c r="I1838" s="4" t="n">
        <v>0</v>
      </c>
      <c r="J1838" s="4" t="n">
        <v>0</v>
      </c>
      <c r="K1838" s="4" t="n">
        <v>0</v>
      </c>
      <c r="M1838" s="2" t="str">
        <f aca="false">IF(C1838="","",IFERROR(INDEX($S$5:$S$304,MATCH(C1838,$R$5:$R$304,0))&amp;"","?"))</f>
        <v>37</v>
      </c>
      <c r="N1838" s="2" t="n">
        <f aca="false">IF(E1838="","",IF(ISNUMBER(SEARCH("SUBSOLO",E1838)),IFERROR(-VALUE(LEFT(E1838,FIND("º",SUBSTITUTE(E1838,"°","º"))-1)),-1),IF(LEFT(E1838,6)="TÉRREO",0,IFERROR(VALUE(LEFT(E1838,FIND("º",SUBSTITUTE(E1838,"°","º"))-1)),""))))</f>
        <v>0</v>
      </c>
      <c r="O1838" s="2" t="str">
        <f aca="false">IF(OR(F1838="",G1838=""),"",IF(G1838&lt;='RETRATO 2027'!$K$5,"CONCLUÍDA",IF(F1838&lt;='RETRATO 2027'!$K$5,"EM ANDAMENTO","A INICIAR")))</f>
        <v>A INICIAR</v>
      </c>
    </row>
    <row r="1839" customFormat="false" ht="15" hidden="false" customHeight="false" outlineLevel="0" collapsed="false">
      <c r="B1839" s="4" t="n">
        <v>29981365</v>
      </c>
      <c r="C1839" s="4" t="s">
        <v>2649</v>
      </c>
      <c r="D1839" s="4" t="s">
        <v>463</v>
      </c>
      <c r="E1839" s="4" t="s">
        <v>2811</v>
      </c>
      <c r="F1839" s="127" t="n">
        <v>46952</v>
      </c>
      <c r="G1839" s="127" t="n">
        <v>46962</v>
      </c>
      <c r="H1839" s="127" t="n">
        <v>46289</v>
      </c>
      <c r="I1839" s="4" t="n">
        <v>0</v>
      </c>
      <c r="J1839" s="4" t="n">
        <v>0</v>
      </c>
      <c r="K1839" s="4" t="n">
        <v>0</v>
      </c>
      <c r="M1839" s="2" t="str">
        <f aca="false">IF(C1839="","",IFERROR(INDEX($S$5:$S$304,MATCH(C1839,$R$5:$R$304,0))&amp;"","?"))</f>
        <v>37</v>
      </c>
      <c r="N1839" s="2" t="n">
        <f aca="false">IF(E1839="","",IF(ISNUMBER(SEARCH("SUBSOLO",E1839)),IFERROR(-VALUE(LEFT(E1839,FIND("º",SUBSTITUTE(E1839,"°","º"))-1)),-1),IF(LEFT(E1839,6)="TÉRREO",0,IFERROR(VALUE(LEFT(E1839,FIND("º",SUBSTITUTE(E1839,"°","º"))-1)),""))))</f>
        <v>12</v>
      </c>
      <c r="O1839" s="2" t="str">
        <f aca="false">IF(OR(F1839="",G1839=""),"",IF(G1839&lt;='RETRATO 2027'!$K$5,"CONCLUÍDA",IF(F1839&lt;='RETRATO 2027'!$K$5,"EM ANDAMENTO","A INICIAR")))</f>
        <v>A INICIAR</v>
      </c>
    </row>
    <row r="1840" customFormat="false" ht="15" hidden="false" customHeight="false" outlineLevel="0" collapsed="false">
      <c r="B1840" s="4" t="n">
        <v>29981318</v>
      </c>
      <c r="C1840" s="4" t="s">
        <v>2641</v>
      </c>
      <c r="D1840" s="4" t="s">
        <v>463</v>
      </c>
      <c r="E1840" s="4" t="s">
        <v>2812</v>
      </c>
      <c r="F1840" s="127" t="n">
        <v>46952</v>
      </c>
      <c r="G1840" s="127" t="n">
        <v>46962</v>
      </c>
      <c r="H1840" s="127" t="n">
        <v>46289</v>
      </c>
      <c r="I1840" s="4" t="n">
        <v>0</v>
      </c>
      <c r="J1840" s="4" t="n">
        <v>0</v>
      </c>
      <c r="K1840" s="4" t="n">
        <v>0</v>
      </c>
      <c r="M1840" s="2" t="str">
        <f aca="false">IF(C1840="","",IFERROR(INDEX($S$5:$S$304,MATCH(C1840,$R$5:$R$304,0))&amp;"","?"))</f>
        <v>35</v>
      </c>
      <c r="N1840" s="2" t="n">
        <f aca="false">IF(E1840="","",IF(ISNUMBER(SEARCH("SUBSOLO",E1840)),IFERROR(-VALUE(LEFT(E1840,FIND("º",SUBSTITUTE(E1840,"°","º"))-1)),-1),IF(LEFT(E1840,6)="TÉRREO",0,IFERROR(VALUE(LEFT(E1840,FIND("º",SUBSTITUTE(E1840,"°","º"))-1)),""))))</f>
        <v>13</v>
      </c>
      <c r="O1840" s="2" t="str">
        <f aca="false">IF(OR(F1840="",G1840=""),"",IF(G1840&lt;='RETRATO 2027'!$K$5,"CONCLUÍDA",IF(F1840&lt;='RETRATO 2027'!$K$5,"EM ANDAMENTO","A INICIAR")))</f>
        <v>A INICIAR</v>
      </c>
    </row>
    <row r="1841" customFormat="false" ht="15" hidden="false" customHeight="false" outlineLevel="0" collapsed="false">
      <c r="B1841" s="4" t="n">
        <v>30205799</v>
      </c>
      <c r="C1841" s="4" t="s">
        <v>2615</v>
      </c>
      <c r="D1841" s="4" t="s">
        <v>463</v>
      </c>
      <c r="E1841" s="4" t="s">
        <v>2835</v>
      </c>
      <c r="F1841" s="127" t="n">
        <v>46954</v>
      </c>
      <c r="G1841" s="127" t="n">
        <v>46967</v>
      </c>
      <c r="H1841" s="127" t="n">
        <v>46289</v>
      </c>
      <c r="I1841" s="4" t="n">
        <v>0</v>
      </c>
      <c r="J1841" s="4" t="n">
        <v>0</v>
      </c>
      <c r="K1841" s="4" t="n">
        <v>0</v>
      </c>
      <c r="M1841" s="2" t="str">
        <f aca="false">IF(C1841="","",IFERROR(INDEX($S$5:$S$304,MATCH(C1841,$R$5:$R$304,0))&amp;"","?"))</f>
        <v>37</v>
      </c>
      <c r="N1841" s="2" t="n">
        <f aca="false">IF(E1841="","",IF(ISNUMBER(SEARCH("SUBSOLO",E1841)),IFERROR(-VALUE(LEFT(E1841,FIND("º",SUBSTITUTE(E1841,"°","º"))-1)),-1),IF(LEFT(E1841,6)="TÉRREO",0,IFERROR(VALUE(LEFT(E1841,FIND("º",SUBSTITUTE(E1841,"°","º"))-1)),""))))</f>
        <v>0</v>
      </c>
      <c r="O1841" s="2" t="str">
        <f aca="false">IF(OR(F1841="",G1841=""),"",IF(G1841&lt;='RETRATO 2027'!$K$5,"CONCLUÍDA",IF(F1841&lt;='RETRATO 2027'!$K$5,"EM ANDAMENTO","A INICIAR")))</f>
        <v>A INICIAR</v>
      </c>
    </row>
    <row r="1842" customFormat="false" ht="15" hidden="false" customHeight="false" outlineLevel="0" collapsed="false">
      <c r="B1842" s="4" t="n">
        <v>31791440</v>
      </c>
      <c r="C1842" s="4" t="s">
        <v>2696</v>
      </c>
      <c r="D1842" s="4" t="s">
        <v>463</v>
      </c>
      <c r="E1842" s="4" t="s">
        <v>2678</v>
      </c>
      <c r="F1842" s="127" t="n">
        <v>46954</v>
      </c>
      <c r="G1842" s="127" t="n">
        <v>46982</v>
      </c>
      <c r="H1842" s="127" t="n">
        <v>46289</v>
      </c>
      <c r="I1842" s="4" t="n">
        <v>0</v>
      </c>
      <c r="J1842" s="4" t="n">
        <v>0</v>
      </c>
      <c r="K1842" s="4" t="n">
        <v>0</v>
      </c>
      <c r="M1842" s="2" t="str">
        <f aca="false">IF(C1842="","",IFERROR(INDEX($S$5:$S$304,MATCH(C1842,$R$5:$R$304,0))&amp;"","?"))</f>
        <v>32</v>
      </c>
      <c r="N1842" s="2" t="str">
        <f aca="false"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 t="str">
        <f aca="false">IF(OR(F1842="",G1842=""),"",IF(G1842&lt;='RETRATO 2027'!$K$5,"CONCLUÍDA",IF(F1842&lt;='RETRATO 2027'!$K$5,"EM ANDAMENTO","A INICIAR")))</f>
        <v>A INICIAR</v>
      </c>
    </row>
    <row r="1843" customFormat="false" ht="15" hidden="false" customHeight="false" outlineLevel="0" collapsed="false">
      <c r="B1843" s="4" t="n">
        <v>29981280</v>
      </c>
      <c r="C1843" s="4" t="s">
        <v>2637</v>
      </c>
      <c r="D1843" s="4" t="s">
        <v>463</v>
      </c>
      <c r="E1843" s="4" t="s">
        <v>2813</v>
      </c>
      <c r="F1843" s="127" t="n">
        <v>46958</v>
      </c>
      <c r="G1843" s="127" t="n">
        <v>46962</v>
      </c>
      <c r="H1843" s="127" t="n">
        <v>46289</v>
      </c>
      <c r="I1843" s="4" t="n">
        <v>0</v>
      </c>
      <c r="J1843" s="4" t="n">
        <v>0</v>
      </c>
      <c r="K1843" s="4" t="n">
        <v>0</v>
      </c>
      <c r="M1843" s="2" t="str">
        <f aca="false">IF(C1843="","",IFERROR(INDEX($S$5:$S$304,MATCH(C1843,$R$5:$R$304,0))&amp;"","?"))</f>
        <v/>
      </c>
      <c r="N1843" s="2" t="n">
        <f aca="false">IF(E1843="","",IF(ISNUMBER(SEARCH("SUBSOLO",E1843)),IFERROR(-VALUE(LEFT(E1843,FIND("º",SUBSTITUTE(E1843,"°","º"))-1)),-1),IF(LEFT(E1843,6)="TÉRREO",0,IFERROR(VALUE(LEFT(E1843,FIND("º",SUBSTITUTE(E1843,"°","º"))-1)),""))))</f>
        <v>14</v>
      </c>
      <c r="O1843" s="2" t="str">
        <f aca="false">IF(OR(F1843="",G1843=""),"",IF(G1843&lt;='RETRATO 2027'!$K$5,"CONCLUÍDA",IF(F1843&lt;='RETRATO 2027'!$K$5,"EM ANDAMENTO","A INICIAR")))</f>
        <v>A INICIAR</v>
      </c>
    </row>
    <row r="1844" customFormat="false" ht="15" hidden="false" customHeight="false" outlineLevel="0" collapsed="false">
      <c r="B1844" s="4" t="n">
        <v>29981245</v>
      </c>
      <c r="C1844" s="4" t="s">
        <v>2629</v>
      </c>
      <c r="D1844" s="4" t="s">
        <v>463</v>
      </c>
      <c r="E1844" s="4" t="s">
        <v>2814</v>
      </c>
      <c r="F1844" s="127" t="n">
        <v>46958</v>
      </c>
      <c r="G1844" s="127" t="n">
        <v>46968</v>
      </c>
      <c r="H1844" s="127" t="n">
        <v>46289</v>
      </c>
      <c r="I1844" s="4" t="n">
        <v>0</v>
      </c>
      <c r="J1844" s="4" t="n">
        <v>0</v>
      </c>
      <c r="K1844" s="4" t="n">
        <v>0</v>
      </c>
      <c r="M1844" s="2" t="str">
        <f aca="false">IF(C1844="","",IFERROR(INDEX($S$5:$S$304,MATCH(C1844,$R$5:$R$304,0))&amp;"","?"))</f>
        <v>20</v>
      </c>
      <c r="N1844" s="2" t="n">
        <f aca="false">IF(E1844="","",IF(ISNUMBER(SEARCH("SUBSOLO",E1844)),IFERROR(-VALUE(LEFT(E1844,FIND("º",SUBSTITUTE(E1844,"°","º"))-1)),-1),IF(LEFT(E1844,6)="TÉRREO",0,IFERROR(VALUE(LEFT(E1844,FIND("º",SUBSTITUTE(E1844,"°","º"))-1)),""))))</f>
        <v>15</v>
      </c>
      <c r="O1844" s="2" t="str">
        <f aca="false">IF(OR(F1844="",G1844=""),"",IF(G1844&lt;='RETRATO 2027'!$K$5,"CONCLUÍDA",IF(F1844&lt;='RETRATO 2027'!$K$5,"EM ANDAMENTO","A INICIAR")))</f>
        <v>A INICIAR</v>
      </c>
    </row>
    <row r="1845" customFormat="false" ht="15" hidden="false" customHeight="false" outlineLevel="0" collapsed="false">
      <c r="B1845" s="4" t="n">
        <v>29981205</v>
      </c>
      <c r="C1845" s="4" t="s">
        <v>2623</v>
      </c>
      <c r="D1845" s="4" t="s">
        <v>463</v>
      </c>
      <c r="E1845" s="4" t="s">
        <v>2815</v>
      </c>
      <c r="F1845" s="127" t="n">
        <v>46958</v>
      </c>
      <c r="G1845" s="127" t="n">
        <v>46968</v>
      </c>
      <c r="H1845" s="127" t="n">
        <v>46289</v>
      </c>
      <c r="I1845" s="4" t="n">
        <v>0</v>
      </c>
      <c r="J1845" s="4" t="n">
        <v>0</v>
      </c>
      <c r="K1845" s="4" t="n">
        <v>0</v>
      </c>
      <c r="M1845" s="2" t="str">
        <f aca="false">IF(C1845="","",IFERROR(INDEX($S$5:$S$304,MATCH(C1845,$R$5:$R$304,0))&amp;"","?"))</f>
        <v>35</v>
      </c>
      <c r="N1845" s="2" t="n">
        <f aca="false">IF(E1845="","",IF(ISNUMBER(SEARCH("SUBSOLO",E1845)),IFERROR(-VALUE(LEFT(E1845,FIND("º",SUBSTITUTE(E1845,"°","º"))-1)),-1),IF(LEFT(E1845,6)="TÉRREO",0,IFERROR(VALUE(LEFT(E1845,FIND("º",SUBSTITUTE(E1845,"°","º"))-1)),""))))</f>
        <v>16</v>
      </c>
      <c r="O1845" s="2" t="str">
        <f aca="false">IF(OR(F1845="",G1845=""),"",IF(G1845&lt;='RETRATO 2027'!$K$5,"CONCLUÍDA",IF(F1845&lt;='RETRATO 2027'!$K$5,"EM ANDAMENTO","A INICIAR")))</f>
        <v>A INICIAR</v>
      </c>
    </row>
    <row r="1846" customFormat="false" ht="15" hidden="false" customHeight="false" outlineLevel="0" collapsed="false">
      <c r="B1846" s="4" t="n">
        <v>33919794</v>
      </c>
      <c r="C1846" s="4" t="s">
        <v>2625</v>
      </c>
      <c r="D1846" s="4" t="s">
        <v>463</v>
      </c>
      <c r="E1846" s="4" t="s">
        <v>2815</v>
      </c>
      <c r="F1846" s="127" t="n">
        <v>46958</v>
      </c>
      <c r="G1846" s="127" t="n">
        <v>46968</v>
      </c>
      <c r="H1846" s="127" t="n">
        <v>46289</v>
      </c>
      <c r="I1846" s="4" t="n">
        <v>0</v>
      </c>
      <c r="J1846" s="4" t="n">
        <v>0</v>
      </c>
      <c r="K1846" s="4" t="n">
        <v>0</v>
      </c>
      <c r="M1846" s="2" t="str">
        <f aca="false">IF(C1846="","",IFERROR(INDEX($S$5:$S$304,MATCH(C1846,$R$5:$R$304,0))&amp;"","?"))</f>
        <v>32</v>
      </c>
      <c r="N1846" s="2" t="n">
        <f aca="false">IF(E1846="","",IF(ISNUMBER(SEARCH("SUBSOLO",E1846)),IFERROR(-VALUE(LEFT(E1846,FIND("º",SUBSTITUTE(E1846,"°","º"))-1)),-1),IF(LEFT(E1846,6)="TÉRREO",0,IFERROR(VALUE(LEFT(E1846,FIND("º",SUBSTITUTE(E1846,"°","º"))-1)),""))))</f>
        <v>16</v>
      </c>
      <c r="O1846" s="2" t="str">
        <f aca="false">IF(OR(F1846="",G1846=""),"",IF(G1846&lt;='RETRATO 2027'!$K$5,"CONCLUÍDA",IF(F1846&lt;='RETRATO 2027'!$K$5,"EM ANDAMENTO","A INICIAR")))</f>
        <v>A INICIAR</v>
      </c>
    </row>
    <row r="1847" customFormat="false" ht="15" hidden="false" customHeight="false" outlineLevel="0" collapsed="false">
      <c r="B1847" s="4" t="n">
        <v>29981167</v>
      </c>
      <c r="C1847" s="4" t="s">
        <v>2615</v>
      </c>
      <c r="D1847" s="4" t="s">
        <v>463</v>
      </c>
      <c r="E1847" s="4" t="s">
        <v>2818</v>
      </c>
      <c r="F1847" s="127" t="n">
        <v>46958</v>
      </c>
      <c r="G1847" s="127" t="n">
        <v>46968</v>
      </c>
      <c r="H1847" s="127" t="n">
        <v>46289</v>
      </c>
      <c r="I1847" s="4" t="n">
        <v>0</v>
      </c>
      <c r="J1847" s="4" t="n">
        <v>0</v>
      </c>
      <c r="K1847" s="4" t="n">
        <v>0</v>
      </c>
      <c r="M1847" s="2" t="str">
        <f aca="false">IF(C1847="","",IFERROR(INDEX($S$5:$S$304,MATCH(C1847,$R$5:$R$304,0))&amp;"","?"))</f>
        <v>37</v>
      </c>
      <c r="N1847" s="2" t="n">
        <f aca="false">IF(E1847="","",IF(ISNUMBER(SEARCH("SUBSOLO",E1847)),IFERROR(-VALUE(LEFT(E1847,FIND("º",SUBSTITUTE(E1847,"°","º"))-1)),-1),IF(LEFT(E1847,6)="TÉRREO",0,IFERROR(VALUE(LEFT(E1847,FIND("º",SUBSTITUTE(E1847,"°","º"))-1)),""))))</f>
        <v>17</v>
      </c>
      <c r="O1847" s="2" t="str">
        <f aca="false">IF(OR(F1847="",G1847=""),"",IF(G1847&lt;='RETRATO 2027'!$K$5,"CONCLUÍDA",IF(F1847&lt;='RETRATO 2027'!$K$5,"EM ANDAMENTO","A INICIAR")))</f>
        <v>A INICIAR</v>
      </c>
    </row>
    <row r="1848" customFormat="false" ht="15" hidden="false" customHeight="false" outlineLevel="0" collapsed="false">
      <c r="B1848" s="4" t="n">
        <v>29981124</v>
      </c>
      <c r="C1848" s="4" t="s">
        <v>2605</v>
      </c>
      <c r="D1848" s="4" t="s">
        <v>463</v>
      </c>
      <c r="E1848" s="4" t="s">
        <v>2820</v>
      </c>
      <c r="F1848" s="127" t="n">
        <v>46958</v>
      </c>
      <c r="G1848" s="127" t="n">
        <v>46968</v>
      </c>
      <c r="H1848" s="127" t="n">
        <v>46289</v>
      </c>
      <c r="I1848" s="4" t="n">
        <v>0</v>
      </c>
      <c r="J1848" s="4" t="n">
        <v>0</v>
      </c>
      <c r="K1848" s="4" t="n">
        <v>0</v>
      </c>
      <c r="M1848" s="2" t="str">
        <f aca="false">IF(C1848="","",IFERROR(INDEX($S$5:$S$304,MATCH(C1848,$R$5:$R$304,0))&amp;"","?"))</f>
        <v>34</v>
      </c>
      <c r="N1848" s="2" t="n">
        <f aca="false">IF(E1848="","",IF(ISNUMBER(SEARCH("SUBSOLO",E1848)),IFERROR(-VALUE(LEFT(E1848,FIND("º",SUBSTITUTE(E1848,"°","º"))-1)),-1),IF(LEFT(E1848,6)="TÉRREO",0,IFERROR(VALUE(LEFT(E1848,FIND("º",SUBSTITUTE(E1848,"°","º"))-1)),""))))</f>
        <v>18</v>
      </c>
      <c r="O1848" s="2" t="str">
        <f aca="false">IF(OR(F1848="",G1848=""),"",IF(G1848&lt;='RETRATO 2027'!$K$5,"CONCLUÍDA",IF(F1848&lt;='RETRATO 2027'!$K$5,"EM ANDAMENTO","A INICIAR")))</f>
        <v>A INICIAR</v>
      </c>
    </row>
    <row r="1849" customFormat="false" ht="15" hidden="false" customHeight="false" outlineLevel="0" collapsed="false">
      <c r="B1849" s="4" t="n">
        <v>29981129</v>
      </c>
      <c r="C1849" s="4" t="s">
        <v>2607</v>
      </c>
      <c r="D1849" s="4" t="s">
        <v>463</v>
      </c>
      <c r="E1849" s="4" t="s">
        <v>2820</v>
      </c>
      <c r="F1849" s="127" t="n">
        <v>46958</v>
      </c>
      <c r="G1849" s="127" t="n">
        <v>46968</v>
      </c>
      <c r="H1849" s="127" t="n">
        <v>46289</v>
      </c>
      <c r="I1849" s="4" t="n">
        <v>0</v>
      </c>
      <c r="J1849" s="4" t="n">
        <v>0</v>
      </c>
      <c r="K1849" s="4" t="n">
        <v>0</v>
      </c>
      <c r="M1849" s="2" t="str">
        <f aca="false">IF(C1849="","",IFERROR(INDEX($S$5:$S$304,MATCH(C1849,$R$5:$R$304,0))&amp;"","?"))</f>
        <v>34</v>
      </c>
      <c r="N1849" s="2" t="n">
        <f aca="false">IF(E1849="","",IF(ISNUMBER(SEARCH("SUBSOLO",E1849)),IFERROR(-VALUE(LEFT(E1849,FIND("º",SUBSTITUTE(E1849,"°","º"))-1)),-1),IF(LEFT(E1849,6)="TÉRREO",0,IFERROR(VALUE(LEFT(E1849,FIND("º",SUBSTITUTE(E1849,"°","º"))-1)),""))))</f>
        <v>18</v>
      </c>
      <c r="O1849" s="2" t="str">
        <f aca="false">IF(OR(F1849="",G1849=""),"",IF(G1849&lt;='RETRATO 2027'!$K$5,"CONCLUÍDA",IF(F1849&lt;='RETRATO 2027'!$K$5,"EM ANDAMENTO","A INICIAR")))</f>
        <v>A INICIAR</v>
      </c>
    </row>
    <row r="1850" customFormat="false" ht="15" hidden="false" customHeight="false" outlineLevel="0" collapsed="false">
      <c r="B1850" s="4" t="n">
        <v>29981128</v>
      </c>
      <c r="C1850" s="4" t="s">
        <v>2563</v>
      </c>
      <c r="D1850" s="4" t="s">
        <v>463</v>
      </c>
      <c r="E1850" s="4" t="s">
        <v>2820</v>
      </c>
      <c r="F1850" s="127" t="n">
        <v>46958</v>
      </c>
      <c r="G1850" s="127" t="n">
        <v>46968</v>
      </c>
      <c r="H1850" s="127" t="n">
        <v>46289</v>
      </c>
      <c r="I1850" s="4" t="n">
        <v>0</v>
      </c>
      <c r="J1850" s="4" t="n">
        <v>0</v>
      </c>
      <c r="K1850" s="4" t="n">
        <v>0</v>
      </c>
      <c r="M1850" s="2" t="str">
        <f aca="false">IF(C1850="","",IFERROR(INDEX($S$5:$S$304,MATCH(C1850,$R$5:$R$304,0))&amp;"","?"))</f>
        <v>20</v>
      </c>
      <c r="N1850" s="2" t="n">
        <f aca="false">IF(E1850="","",IF(ISNUMBER(SEARCH("SUBSOLO",E1850)),IFERROR(-VALUE(LEFT(E1850,FIND("º",SUBSTITUTE(E1850,"°","º"))-1)),-1),IF(LEFT(E1850,6)="TÉRREO",0,IFERROR(VALUE(LEFT(E1850,FIND("º",SUBSTITUTE(E1850,"°","º"))-1)),""))))</f>
        <v>18</v>
      </c>
      <c r="O1850" s="2" t="str">
        <f aca="false">IF(OR(F1850="",G1850=""),"",IF(G1850&lt;='RETRATO 2027'!$K$5,"CONCLUÍDA",IF(F1850&lt;='RETRATO 2027'!$K$5,"EM ANDAMENTO","A INICIAR")))</f>
        <v>A INICIAR</v>
      </c>
    </row>
    <row r="1851" customFormat="false" ht="15" hidden="false" customHeight="false" outlineLevel="0" collapsed="false">
      <c r="B1851" s="4" t="n">
        <v>29981127</v>
      </c>
      <c r="C1851" s="4" t="s">
        <v>2609</v>
      </c>
      <c r="D1851" s="4" t="s">
        <v>463</v>
      </c>
      <c r="E1851" s="4" t="s">
        <v>2820</v>
      </c>
      <c r="F1851" s="127" t="n">
        <v>46958</v>
      </c>
      <c r="G1851" s="127" t="n">
        <v>46968</v>
      </c>
      <c r="H1851" s="127" t="n">
        <v>46289</v>
      </c>
      <c r="I1851" s="4" t="n">
        <v>0</v>
      </c>
      <c r="J1851" s="4" t="n">
        <v>0</v>
      </c>
      <c r="K1851" s="4" t="n">
        <v>0</v>
      </c>
      <c r="M1851" s="2" t="str">
        <f aca="false">IF(C1851="","",IFERROR(INDEX($S$5:$S$304,MATCH(C1851,$R$5:$R$304,0))&amp;"","?"))</f>
        <v>23</v>
      </c>
      <c r="N1851" s="2" t="n">
        <f aca="false">IF(E1851="","",IF(ISNUMBER(SEARCH("SUBSOLO",E1851)),IFERROR(-VALUE(LEFT(E1851,FIND("º",SUBSTITUTE(E1851,"°","º"))-1)),-1),IF(LEFT(E1851,6)="TÉRREO",0,IFERROR(VALUE(LEFT(E1851,FIND("º",SUBSTITUTE(E1851,"°","º"))-1)),""))))</f>
        <v>18</v>
      </c>
      <c r="O1851" s="2" t="str">
        <f aca="false">IF(OR(F1851="",G1851=""),"",IF(G1851&lt;='RETRATO 2027'!$K$5,"CONCLUÍDA",IF(F1851&lt;='RETRATO 2027'!$K$5,"EM ANDAMENTO","A INICIAR")))</f>
        <v>A INICIAR</v>
      </c>
    </row>
    <row r="1852" customFormat="false" ht="15" hidden="false" customHeight="false" outlineLevel="0" collapsed="false">
      <c r="B1852" s="4" t="n">
        <v>29981049</v>
      </c>
      <c r="C1852" s="4" t="s">
        <v>2599</v>
      </c>
      <c r="D1852" s="4" t="s">
        <v>463</v>
      </c>
      <c r="E1852" s="4" t="s">
        <v>2823</v>
      </c>
      <c r="F1852" s="127" t="n">
        <v>46958</v>
      </c>
      <c r="G1852" s="127" t="n">
        <v>46968</v>
      </c>
      <c r="H1852" s="127" t="n">
        <v>46289</v>
      </c>
      <c r="I1852" s="4" t="n">
        <v>0</v>
      </c>
      <c r="J1852" s="4" t="n">
        <v>0</v>
      </c>
      <c r="K1852" s="4" t="n">
        <v>0</v>
      </c>
      <c r="M1852" s="2" t="str">
        <f aca="false">IF(C1852="","",IFERROR(INDEX($S$5:$S$304,MATCH(C1852,$R$5:$R$304,0))&amp;"","?"))</f>
        <v>30</v>
      </c>
      <c r="N1852" s="2" t="n">
        <f aca="false">IF(E1852="","",IF(ISNUMBER(SEARCH("SUBSOLO",E1852)),IFERROR(-VALUE(LEFT(E1852,FIND("º",SUBSTITUTE(E1852,"°","º"))-1)),-1),IF(LEFT(E1852,6)="TÉRREO",0,IFERROR(VALUE(LEFT(E1852,FIND("º",SUBSTITUTE(E1852,"°","º"))-1)),""))))</f>
        <v>20</v>
      </c>
      <c r="O1852" s="2" t="str">
        <f aca="false">IF(OR(F1852="",G1852=""),"",IF(G1852&lt;='RETRATO 2027'!$K$5,"CONCLUÍDA",IF(F1852&lt;='RETRATO 2027'!$K$5,"EM ANDAMENTO","A INICIAR")))</f>
        <v>A INICIAR</v>
      </c>
    </row>
    <row r="1853" customFormat="false" ht="15" hidden="false" customHeight="false" outlineLevel="0" collapsed="false">
      <c r="B1853" s="4" t="n">
        <v>29981011</v>
      </c>
      <c r="C1853" s="4" t="s">
        <v>2578</v>
      </c>
      <c r="D1853" s="4" t="s">
        <v>463</v>
      </c>
      <c r="E1853" s="4" t="s">
        <v>2825</v>
      </c>
      <c r="F1853" s="127" t="n">
        <v>46958</v>
      </c>
      <c r="G1853" s="127" t="n">
        <v>46968</v>
      </c>
      <c r="H1853" s="127" t="n">
        <v>46289</v>
      </c>
      <c r="I1853" s="4" t="n">
        <v>0</v>
      </c>
      <c r="J1853" s="4" t="n">
        <v>0</v>
      </c>
      <c r="K1853" s="4" t="n">
        <v>0</v>
      </c>
      <c r="M1853" s="2" t="str">
        <f aca="false">IF(C1853="","",IFERROR(INDEX($S$5:$S$304,MATCH(C1853,$R$5:$R$304,0))&amp;"","?"))</f>
        <v>25</v>
      </c>
      <c r="N1853" s="2" t="n">
        <f aca="false">IF(E1853="","",IF(ISNUMBER(SEARCH("SUBSOLO",E1853)),IFERROR(-VALUE(LEFT(E1853,FIND("º",SUBSTITUTE(E1853,"°","º"))-1)),-1),IF(LEFT(E1853,6)="TÉRREO",0,IFERROR(VALUE(LEFT(E1853,FIND("º",SUBSTITUTE(E1853,"°","º"))-1)),""))))</f>
        <v>21</v>
      </c>
      <c r="O1853" s="2" t="str">
        <f aca="false">IF(OR(F1853="",G1853=""),"",IF(G1853&lt;='RETRATO 2027'!$K$5,"CONCLUÍDA",IF(F1853&lt;='RETRATO 2027'!$K$5,"EM ANDAMENTO","A INICIAR")))</f>
        <v>A INICIAR</v>
      </c>
    </row>
    <row r="1854" customFormat="false" ht="15" hidden="false" customHeight="false" outlineLevel="0" collapsed="false">
      <c r="B1854" s="4" t="n">
        <v>29980973</v>
      </c>
      <c r="C1854" s="4" t="s">
        <v>2569</v>
      </c>
      <c r="D1854" s="4" t="s">
        <v>463</v>
      </c>
      <c r="E1854" s="4" t="s">
        <v>2827</v>
      </c>
      <c r="F1854" s="127" t="n">
        <v>46958</v>
      </c>
      <c r="G1854" s="127" t="n">
        <v>46968</v>
      </c>
      <c r="H1854" s="127" t="n">
        <v>46289</v>
      </c>
      <c r="I1854" s="4" t="n">
        <v>0</v>
      </c>
      <c r="J1854" s="4" t="n">
        <v>0</v>
      </c>
      <c r="K1854" s="4" t="n">
        <v>0</v>
      </c>
      <c r="M1854" s="2" t="str">
        <f aca="false">IF(C1854="","",IFERROR(INDEX($S$5:$S$304,MATCH(C1854,$R$5:$R$304,0))&amp;"","?"))</f>
        <v>30</v>
      </c>
      <c r="N1854" s="2" t="n">
        <f aca="false">IF(E1854="","",IF(ISNUMBER(SEARCH("SUBSOLO",E1854)),IFERROR(-VALUE(LEFT(E1854,FIND("º",SUBSTITUTE(E1854,"°","º"))-1)),-1),IF(LEFT(E1854,6)="TÉRREO",0,IFERROR(VALUE(LEFT(E1854,FIND("º",SUBSTITUTE(E1854,"°","º"))-1)),""))))</f>
        <v>22</v>
      </c>
      <c r="O1854" s="2" t="str">
        <f aca="false">IF(OR(F1854="",G1854=""),"",IF(G1854&lt;='RETRATO 2027'!$K$5,"CONCLUÍDA",IF(F1854&lt;='RETRATO 2027'!$K$5,"EM ANDAMENTO","A INICIAR")))</f>
        <v>A INICIAR</v>
      </c>
    </row>
    <row r="1855" customFormat="false" ht="15" hidden="false" customHeight="false" outlineLevel="0" collapsed="false">
      <c r="B1855" s="4" t="n">
        <v>29980935</v>
      </c>
      <c r="C1855" s="4" t="s">
        <v>2554</v>
      </c>
      <c r="D1855" s="4" t="s">
        <v>463</v>
      </c>
      <c r="E1855" s="4" t="s">
        <v>2829</v>
      </c>
      <c r="F1855" s="127" t="n">
        <v>46958</v>
      </c>
      <c r="G1855" s="127" t="n">
        <v>46968</v>
      </c>
      <c r="H1855" s="127" t="n">
        <v>46289</v>
      </c>
      <c r="I1855" s="4" t="n">
        <v>0</v>
      </c>
      <c r="J1855" s="4" t="n">
        <v>0</v>
      </c>
      <c r="K1855" s="4" t="n">
        <v>0</v>
      </c>
      <c r="M1855" s="2" t="str">
        <f aca="false">IF(C1855="","",IFERROR(INDEX($S$5:$S$304,MATCH(C1855,$R$5:$R$304,0))&amp;"","?"))</f>
        <v>35</v>
      </c>
      <c r="N1855" s="2" t="n">
        <f aca="false">IF(E1855="","",IF(ISNUMBER(SEARCH("SUBSOLO",E1855)),IFERROR(-VALUE(LEFT(E1855,FIND("º",SUBSTITUTE(E1855,"°","º"))-1)),-1),IF(LEFT(E1855,6)="TÉRREO",0,IFERROR(VALUE(LEFT(E1855,FIND("º",SUBSTITUTE(E1855,"°","º"))-1)),""))))</f>
        <v>23</v>
      </c>
      <c r="O1855" s="2" t="str">
        <f aca="false">IF(OR(F1855="",G1855=""),"",IF(G1855&lt;='RETRATO 2027'!$K$5,"CONCLUÍDA",IF(F1855&lt;='RETRATO 2027'!$K$5,"EM ANDAMENTO","A INICIAR")))</f>
        <v>A INICIAR</v>
      </c>
    </row>
    <row r="1856" customFormat="false" ht="15" hidden="false" customHeight="false" outlineLevel="0" collapsed="false">
      <c r="B1856" s="4" t="n">
        <v>29980924</v>
      </c>
      <c r="C1856" s="4" t="s">
        <v>2539</v>
      </c>
      <c r="D1856" s="4" t="s">
        <v>463</v>
      </c>
      <c r="E1856" s="4" t="s">
        <v>2831</v>
      </c>
      <c r="F1856" s="127" t="n">
        <v>46958</v>
      </c>
      <c r="G1856" s="127" t="n">
        <v>46968</v>
      </c>
      <c r="H1856" s="127" t="n">
        <v>46289</v>
      </c>
      <c r="I1856" s="4" t="n">
        <v>0</v>
      </c>
      <c r="J1856" s="4" t="n">
        <v>0</v>
      </c>
      <c r="K1856" s="4" t="n">
        <v>0</v>
      </c>
      <c r="M1856" s="2" t="str">
        <f aca="false">IF(C1856="","",IFERROR(INDEX($S$5:$S$304,MATCH(C1856,$R$5:$R$304,0))&amp;"","?"))</f>
        <v>35</v>
      </c>
      <c r="N1856" s="2" t="n">
        <f aca="false">IF(E1856="","",IF(ISNUMBER(SEARCH("SUBSOLO",E1856)),IFERROR(-VALUE(LEFT(E1856,FIND("º",SUBSTITUTE(E1856,"°","º"))-1)),-1),IF(LEFT(E1856,6)="TÉRREO",0,IFERROR(VALUE(LEFT(E1856,FIND("º",SUBSTITUTE(E1856,"°","º"))-1)),""))))</f>
        <v>24</v>
      </c>
      <c r="O1856" s="2" t="str">
        <f aca="false">IF(OR(F1856="",G1856=""),"",IF(G1856&lt;='RETRATO 2027'!$K$5,"CONCLUÍDA",IF(F1856&lt;='RETRATO 2027'!$K$5,"EM ANDAMENTO","A INICIAR")))</f>
        <v>A INICIAR</v>
      </c>
    </row>
    <row r="1857" customFormat="false" ht="15" hidden="false" customHeight="false" outlineLevel="0" collapsed="false">
      <c r="B1857" s="4" t="n">
        <v>33898109</v>
      </c>
      <c r="C1857" s="4" t="s">
        <v>2545</v>
      </c>
      <c r="D1857" s="4" t="s">
        <v>463</v>
      </c>
      <c r="E1857" s="4" t="s">
        <v>2833</v>
      </c>
      <c r="F1857" s="127" t="n">
        <v>46958</v>
      </c>
      <c r="G1857" s="127" t="n">
        <v>46968</v>
      </c>
      <c r="H1857" s="127" t="n">
        <v>46289</v>
      </c>
      <c r="I1857" s="4" t="n">
        <v>0</v>
      </c>
      <c r="J1857" s="4" t="n">
        <v>0</v>
      </c>
      <c r="K1857" s="4" t="n">
        <v>0</v>
      </c>
      <c r="M1857" s="2" t="str">
        <f aca="false">IF(C1857="","",IFERROR(INDEX($S$5:$S$304,MATCH(C1857,$R$5:$R$304,0))&amp;"","?"))</f>
        <v>25</v>
      </c>
      <c r="N1857" s="2" t="n">
        <f aca="false">IF(E1857="","",IF(ISNUMBER(SEARCH("SUBSOLO",E1857)),IFERROR(-VALUE(LEFT(E1857,FIND("º",SUBSTITUTE(E1857,"°","º"))-1)),-1),IF(LEFT(E1857,6)="TÉRREO",0,IFERROR(VALUE(LEFT(E1857,FIND("º",SUBSTITUTE(E1857,"°","º"))-1)),""))))</f>
        <v>25</v>
      </c>
      <c r="O1857" s="2" t="str">
        <f aca="false">IF(OR(F1857="",G1857=""),"",IF(G1857&lt;='RETRATO 2027'!$K$5,"CONCLUÍDA",IF(F1857&lt;='RETRATO 2027'!$K$5,"EM ANDAMENTO","A INICIAR")))</f>
        <v>A INICIAR</v>
      </c>
    </row>
    <row r="1858" customFormat="false" ht="15" hidden="false" customHeight="false" outlineLevel="0" collapsed="false">
      <c r="B1858" s="4" t="n">
        <v>30210377</v>
      </c>
      <c r="C1858" s="4" t="s">
        <v>2699</v>
      </c>
      <c r="D1858" s="4" t="s">
        <v>463</v>
      </c>
      <c r="E1858" s="4" t="s">
        <v>2852</v>
      </c>
      <c r="F1858" s="127" t="n">
        <v>46958</v>
      </c>
      <c r="G1858" s="127" t="n">
        <v>46988</v>
      </c>
      <c r="H1858" s="127" t="n">
        <v>46289</v>
      </c>
      <c r="I1858" s="4" t="n">
        <v>0</v>
      </c>
      <c r="J1858" s="4" t="n">
        <v>0</v>
      </c>
      <c r="K1858" s="4" t="n">
        <v>0</v>
      </c>
      <c r="M1858" s="2" t="str">
        <f aca="false">IF(C1858="","",IFERROR(INDEX($S$5:$S$304,MATCH(C1858,$R$5:$R$304,0))&amp;"","?"))</f>
        <v>21</v>
      </c>
      <c r="N1858" s="2" t="n">
        <f aca="false">IF(E1858="","",IF(ISNUMBER(SEARCH("SUBSOLO",E1858)),IFERROR(-VALUE(LEFT(E1858,FIND("º",SUBSTITUTE(E1858,"°","º"))-1)),-1),IF(LEFT(E1858,6)="TÉRREO",0,IFERROR(VALUE(LEFT(E1858,FIND("º",SUBSTITUTE(E1858,"°","º"))-1)),""))))</f>
        <v>33</v>
      </c>
      <c r="O1858" s="2" t="str">
        <f aca="false">IF(OR(F1858="",G1858=""),"",IF(G1858&lt;='RETRATO 2027'!$K$5,"CONCLUÍDA",IF(F1858&lt;='RETRATO 2027'!$K$5,"EM ANDAMENTO","A INICIAR")))</f>
        <v>A INICIAR</v>
      </c>
    </row>
    <row r="1859" customFormat="false" ht="15" hidden="false" customHeight="false" outlineLevel="0" collapsed="false">
      <c r="B1859" s="4" t="n">
        <v>29980737</v>
      </c>
      <c r="C1859" s="4" t="s">
        <v>216</v>
      </c>
      <c r="D1859" s="4" t="s">
        <v>463</v>
      </c>
      <c r="E1859" s="4" t="s">
        <v>2841</v>
      </c>
      <c r="F1859" s="127" t="n">
        <v>46959</v>
      </c>
      <c r="G1859" s="127" t="n">
        <v>46969</v>
      </c>
      <c r="H1859" s="127" t="n">
        <v>46289</v>
      </c>
      <c r="I1859" s="4" t="n">
        <v>0</v>
      </c>
      <c r="J1859" s="4" t="n">
        <v>0</v>
      </c>
      <c r="K1859" s="4" t="n">
        <v>0</v>
      </c>
      <c r="M1859" s="2" t="str">
        <f aca="false">IF(C1859="","",IFERROR(INDEX($S$5:$S$304,MATCH(C1859,$R$5:$R$304,0))&amp;"","?"))</f>
        <v>33</v>
      </c>
      <c r="N1859" s="2" t="n">
        <f aca="false">IF(E1859="","",IF(ISNUMBER(SEARCH("SUBSOLO",E1859)),IFERROR(-VALUE(LEFT(E1859,FIND("º",SUBSTITUTE(E1859,"°","º"))-1)),-1),IF(LEFT(E1859,6)="TÉRREO",0,IFERROR(VALUE(LEFT(E1859,FIND("º",SUBSTITUTE(E1859,"°","º"))-1)),""))))</f>
        <v>29</v>
      </c>
      <c r="O1859" s="2" t="str">
        <f aca="false">IF(OR(F1859="",G1859=""),"",IF(G1859&lt;='RETRATO 2027'!$K$5,"CONCLUÍDA",IF(F1859&lt;='RETRATO 2027'!$K$5,"EM ANDAMENTO","A INICIAR")))</f>
        <v>A INICIAR</v>
      </c>
    </row>
    <row r="1860" customFormat="false" ht="15" hidden="false" customHeight="false" outlineLevel="0" collapsed="false">
      <c r="B1860" s="4" t="n">
        <v>29980698</v>
      </c>
      <c r="C1860" s="4" t="s">
        <v>2508</v>
      </c>
      <c r="D1860" s="4" t="s">
        <v>463</v>
      </c>
      <c r="E1860" s="4" t="s">
        <v>2842</v>
      </c>
      <c r="F1860" s="127" t="n">
        <v>46959</v>
      </c>
      <c r="G1860" s="127" t="n">
        <v>46969</v>
      </c>
      <c r="H1860" s="127" t="n">
        <v>46289</v>
      </c>
      <c r="I1860" s="4" t="n">
        <v>0</v>
      </c>
      <c r="J1860" s="4" t="n">
        <v>0</v>
      </c>
      <c r="K1860" s="4" t="n">
        <v>0</v>
      </c>
      <c r="M1860" s="2" t="str">
        <f aca="false">IF(C1860="","",IFERROR(INDEX($S$5:$S$304,MATCH(C1860,$R$5:$R$304,0))&amp;"","?"))</f>
        <v>20</v>
      </c>
      <c r="N1860" s="2" t="n">
        <f aca="false">IF(E1860="","",IF(ISNUMBER(SEARCH("SUBSOLO",E1860)),IFERROR(-VALUE(LEFT(E1860,FIND("º",SUBSTITUTE(E1860,"°","º"))-1)),-1),IF(LEFT(E1860,6)="TÉRREO",0,IFERROR(VALUE(LEFT(E1860,FIND("º",SUBSTITUTE(E1860,"°","º"))-1)),""))))</f>
        <v>30</v>
      </c>
      <c r="O1860" s="2" t="str">
        <f aca="false">IF(OR(F1860="",G1860=""),"",IF(G1860&lt;='RETRATO 2027'!$K$5,"CONCLUÍDA",IF(F1860&lt;='RETRATO 2027'!$K$5,"EM ANDAMENTO","A INICIAR")))</f>
        <v>A INICIAR</v>
      </c>
    </row>
    <row r="1861" customFormat="false" ht="15" hidden="false" customHeight="false" outlineLevel="0" collapsed="false">
      <c r="B1861" s="4" t="n">
        <v>29980703</v>
      </c>
      <c r="C1861" s="4" t="s">
        <v>2511</v>
      </c>
      <c r="D1861" s="4" t="s">
        <v>463</v>
      </c>
      <c r="E1861" s="4" t="s">
        <v>2842</v>
      </c>
      <c r="F1861" s="127" t="n">
        <v>46959</v>
      </c>
      <c r="G1861" s="127" t="n">
        <v>46969</v>
      </c>
      <c r="H1861" s="127" t="n">
        <v>46289</v>
      </c>
      <c r="I1861" s="4" t="n">
        <v>0</v>
      </c>
      <c r="J1861" s="4" t="n">
        <v>0</v>
      </c>
      <c r="K1861" s="4" t="n">
        <v>0</v>
      </c>
      <c r="M1861" s="2" t="str">
        <f aca="false">IF(C1861="","",IFERROR(INDEX($S$5:$S$304,MATCH(C1861,$R$5:$R$304,0))&amp;"","?"))</f>
        <v>20</v>
      </c>
      <c r="N1861" s="2" t="n">
        <f aca="false">IF(E1861="","",IF(ISNUMBER(SEARCH("SUBSOLO",E1861)),IFERROR(-VALUE(LEFT(E1861,FIND("º",SUBSTITUTE(E1861,"°","º"))-1)),-1),IF(LEFT(E1861,6)="TÉRREO",0,IFERROR(VALUE(LEFT(E1861,FIND("º",SUBSTITUTE(E1861,"°","º"))-1)),""))))</f>
        <v>30</v>
      </c>
      <c r="O1861" s="2" t="str">
        <f aca="false">IF(OR(F1861="",G1861=""),"",IF(G1861&lt;='RETRATO 2027'!$K$5,"CONCLUÍDA",IF(F1861&lt;='RETRATO 2027'!$K$5,"EM ANDAMENTO","A INICIAR")))</f>
        <v>A INICIAR</v>
      </c>
    </row>
    <row r="1862" customFormat="false" ht="15" hidden="false" customHeight="false" outlineLevel="0" collapsed="false">
      <c r="B1862" s="4" t="n">
        <v>30214092</v>
      </c>
      <c r="C1862" s="4" t="s">
        <v>2514</v>
      </c>
      <c r="D1862" s="4" t="s">
        <v>463</v>
      </c>
      <c r="E1862" s="4" t="s">
        <v>2842</v>
      </c>
      <c r="F1862" s="127" t="n">
        <v>46959</v>
      </c>
      <c r="G1862" s="127" t="n">
        <v>46972</v>
      </c>
      <c r="H1862" s="127" t="n">
        <v>46289</v>
      </c>
      <c r="I1862" s="4" t="n">
        <v>0</v>
      </c>
      <c r="J1862" s="4" t="n">
        <v>0</v>
      </c>
      <c r="K1862" s="4" t="n">
        <v>0</v>
      </c>
      <c r="M1862" s="2" t="str">
        <f aca="false">IF(C1862="","",IFERROR(INDEX($S$5:$S$304,MATCH(C1862,$R$5:$R$304,0))&amp;"","?"))</f>
        <v>20</v>
      </c>
      <c r="N1862" s="2" t="n">
        <f aca="false">IF(E1862="","",IF(ISNUMBER(SEARCH("SUBSOLO",E1862)),IFERROR(-VALUE(LEFT(E1862,FIND("º",SUBSTITUTE(E1862,"°","º"))-1)),-1),IF(LEFT(E1862,6)="TÉRREO",0,IFERROR(VALUE(LEFT(E1862,FIND("º",SUBSTITUTE(E1862,"°","º"))-1)),""))))</f>
        <v>30</v>
      </c>
      <c r="O1862" s="2" t="str">
        <f aca="false">IF(OR(F1862="",G1862=""),"",IF(G1862&lt;='RETRATO 2027'!$K$5,"CONCLUÍDA",IF(F1862&lt;='RETRATO 2027'!$K$5,"EM ANDAMENTO","A INICIAR")))</f>
        <v>A INICIAR</v>
      </c>
    </row>
    <row r="1863" customFormat="false" ht="15" hidden="false" customHeight="false" outlineLevel="0" collapsed="false">
      <c r="B1863" s="4" t="n">
        <v>29980645</v>
      </c>
      <c r="C1863" s="4" t="s">
        <v>2501</v>
      </c>
      <c r="D1863" s="4" t="s">
        <v>463</v>
      </c>
      <c r="E1863" s="4" t="s">
        <v>2843</v>
      </c>
      <c r="F1863" s="127" t="n">
        <v>46959</v>
      </c>
      <c r="G1863" s="127" t="n">
        <v>46969</v>
      </c>
      <c r="H1863" s="127" t="n">
        <v>46289</v>
      </c>
      <c r="I1863" s="4" t="n">
        <v>0</v>
      </c>
      <c r="J1863" s="4" t="n">
        <v>0</v>
      </c>
      <c r="K1863" s="4" t="n">
        <v>0</v>
      </c>
      <c r="M1863" s="2" t="str">
        <f aca="false">IF(C1863="","",IFERROR(INDEX($S$5:$S$304,MATCH(C1863,$R$5:$R$304,0))&amp;"","?"))</f>
        <v>30</v>
      </c>
      <c r="N1863" s="2" t="n">
        <f aca="false">IF(E1863="","",IF(ISNUMBER(SEARCH("SUBSOLO",E1863)),IFERROR(-VALUE(LEFT(E1863,FIND("º",SUBSTITUTE(E1863,"°","º"))-1)),-1),IF(LEFT(E1863,6)="TÉRREO",0,IFERROR(VALUE(LEFT(E1863,FIND("º",SUBSTITUTE(E1863,"°","º"))-1)),""))))</f>
        <v>31</v>
      </c>
      <c r="O1863" s="2" t="str">
        <f aca="false">IF(OR(F1863="",G1863=""),"",IF(G1863&lt;='RETRATO 2027'!$K$5,"CONCLUÍDA",IF(F1863&lt;='RETRATO 2027'!$K$5,"EM ANDAMENTO","A INICIAR")))</f>
        <v>A INICIAR</v>
      </c>
    </row>
    <row r="1864" customFormat="false" ht="15" hidden="false" customHeight="false" outlineLevel="0" collapsed="false">
      <c r="B1864" s="4" t="n">
        <v>29980607</v>
      </c>
      <c r="C1864" s="4" t="s">
        <v>2486</v>
      </c>
      <c r="D1864" s="4" t="s">
        <v>463</v>
      </c>
      <c r="E1864" s="4" t="s">
        <v>2844</v>
      </c>
      <c r="F1864" s="127" t="n">
        <v>46959</v>
      </c>
      <c r="G1864" s="127" t="n">
        <v>46969</v>
      </c>
      <c r="H1864" s="127" t="n">
        <v>46289</v>
      </c>
      <c r="I1864" s="4" t="n">
        <v>0</v>
      </c>
      <c r="J1864" s="4" t="n">
        <v>0</v>
      </c>
      <c r="K1864" s="4" t="n">
        <v>0</v>
      </c>
      <c r="M1864" s="2" t="str">
        <f aca="false">IF(C1864="","",IFERROR(INDEX($S$5:$S$304,MATCH(C1864,$R$5:$R$304,0))&amp;"","?"))</f>
        <v>30</v>
      </c>
      <c r="N1864" s="2" t="n">
        <f aca="false">IF(E1864="","",IF(ISNUMBER(SEARCH("SUBSOLO",E1864)),IFERROR(-VALUE(LEFT(E1864,FIND("º",SUBSTITUTE(E1864,"°","º"))-1)),-1),IF(LEFT(E1864,6)="TÉRREO",0,IFERROR(VALUE(LEFT(E1864,FIND("º",SUBSTITUTE(E1864,"°","º"))-1)),""))))</f>
        <v>32</v>
      </c>
      <c r="O1864" s="2" t="str">
        <f aca="false">IF(OR(F1864="",G1864=""),"",IF(G1864&lt;='RETRATO 2027'!$K$5,"CONCLUÍDA",IF(F1864&lt;='RETRATO 2027'!$K$5,"EM ANDAMENTO","A INICIAR")))</f>
        <v>A INICIAR</v>
      </c>
    </row>
    <row r="1865" customFormat="false" ht="15" hidden="false" customHeight="false" outlineLevel="0" collapsed="false">
      <c r="B1865" s="4" t="n">
        <v>30205938</v>
      </c>
      <c r="C1865" s="4" t="s">
        <v>2702</v>
      </c>
      <c r="D1865" s="4" t="s">
        <v>463</v>
      </c>
      <c r="E1865" s="4" t="s">
        <v>2784</v>
      </c>
      <c r="F1865" s="127" t="n">
        <v>46960</v>
      </c>
      <c r="G1865" s="127" t="n">
        <v>46973</v>
      </c>
      <c r="H1865" s="127" t="n">
        <v>46289</v>
      </c>
      <c r="I1865" s="4" t="n">
        <v>0</v>
      </c>
      <c r="J1865" s="4" t="n">
        <v>0</v>
      </c>
      <c r="K1865" s="4" t="n">
        <v>0</v>
      </c>
      <c r="M1865" s="2" t="str">
        <f aca="false">IF(C1865="","",IFERROR(INDEX($S$5:$S$304,MATCH(C1865,$R$5:$R$304,0))&amp;"","?"))</f>
        <v>25</v>
      </c>
      <c r="N1865" s="2" t="n">
        <f aca="false">IF(E1865="","",IF(ISNUMBER(SEARCH("SUBSOLO",E1865)),IFERROR(-VALUE(LEFT(E1865,FIND("º",SUBSTITUTE(E1865,"°","º"))-1)),-1),IF(LEFT(E1865,6)="TÉRREO",0,IFERROR(VALUE(LEFT(E1865,FIND("º",SUBSTITUTE(E1865,"°","º"))-1)),""))))</f>
        <v>2</v>
      </c>
      <c r="O1865" s="2" t="str">
        <f aca="false">IF(OR(F1865="",G1865=""),"",IF(G1865&lt;='RETRATO 2027'!$K$5,"CONCLUÍDA",IF(F1865&lt;='RETRATO 2027'!$K$5,"EM ANDAMENTO","A INICIAR")))</f>
        <v>A INICIAR</v>
      </c>
    </row>
    <row r="1866" customFormat="false" ht="15" hidden="false" customHeight="false" outlineLevel="0" collapsed="false">
      <c r="B1866" s="4" t="n">
        <v>30205935</v>
      </c>
      <c r="C1866" s="4" t="s">
        <v>228</v>
      </c>
      <c r="D1866" s="4" t="s">
        <v>463</v>
      </c>
      <c r="E1866" s="4" t="s">
        <v>2790</v>
      </c>
      <c r="F1866" s="127" t="n">
        <v>46960</v>
      </c>
      <c r="G1866" s="127" t="n">
        <v>46973</v>
      </c>
      <c r="H1866" s="127" t="n">
        <v>46289</v>
      </c>
      <c r="I1866" s="4" t="n">
        <v>0</v>
      </c>
      <c r="J1866" s="4" t="n">
        <v>0</v>
      </c>
      <c r="K1866" s="4" t="n">
        <v>0</v>
      </c>
      <c r="M1866" s="2" t="str">
        <f aca="false">IF(C1866="","",IFERROR(INDEX($S$5:$S$304,MATCH(C1866,$R$5:$R$304,0))&amp;"","?"))</f>
        <v>36</v>
      </c>
      <c r="N1866" s="2" t="n">
        <f aca="false">IF(E1866="","",IF(ISNUMBER(SEARCH("SUBSOLO",E1866)),IFERROR(-VALUE(LEFT(E1866,FIND("º",SUBSTITUTE(E1866,"°","º"))-1)),-1),IF(LEFT(E1866,6)="TÉRREO",0,IFERROR(VALUE(LEFT(E1866,FIND("º",SUBSTITUTE(E1866,"°","º"))-1)),""))))</f>
        <v>3</v>
      </c>
      <c r="O1866" s="2" t="str">
        <f aca="false">IF(OR(F1866="",G1866=""),"",IF(G1866&lt;='RETRATO 2027'!$K$5,"CONCLUÍDA",IF(F1866&lt;='RETRATO 2027'!$K$5,"EM ANDAMENTO","A INICIAR")))</f>
        <v>A INICIAR</v>
      </c>
    </row>
    <row r="1867" customFormat="false" ht="15" hidden="false" customHeight="false" outlineLevel="0" collapsed="false">
      <c r="B1867" s="4" t="n">
        <v>32750367</v>
      </c>
      <c r="C1867" s="4" t="s">
        <v>2458</v>
      </c>
      <c r="D1867" s="4" t="s">
        <v>463</v>
      </c>
      <c r="E1867" s="4" t="s">
        <v>2822</v>
      </c>
      <c r="F1867" s="127" t="n">
        <v>46960</v>
      </c>
      <c r="G1867" s="127" t="n">
        <v>46972</v>
      </c>
      <c r="H1867" s="127" t="n">
        <v>46289</v>
      </c>
      <c r="I1867" s="4" t="n">
        <v>0</v>
      </c>
      <c r="J1867" s="4" t="n">
        <v>0</v>
      </c>
      <c r="K1867" s="4" t="n">
        <v>0</v>
      </c>
      <c r="M1867" s="2" t="str">
        <f aca="false">IF(C1867="","",IFERROR(INDEX($S$5:$S$304,MATCH(C1867,$R$5:$R$304,0))&amp;"","?"))</f>
        <v>21</v>
      </c>
      <c r="N1867" s="2" t="n">
        <f aca="false">IF(E1867="","",IF(ISNUMBER(SEARCH("SUBSOLO",E1867)),IFERROR(-VALUE(LEFT(E1867,FIND("º",SUBSTITUTE(E1867,"°","º"))-1)),-1),IF(LEFT(E1867,6)="TÉRREO",0,IFERROR(VALUE(LEFT(E1867,FIND("º",SUBSTITUTE(E1867,"°","º"))-1)),""))))</f>
        <v>19</v>
      </c>
      <c r="O1867" s="2" t="str">
        <f aca="false">IF(OR(F1867="",G1867=""),"",IF(G1867&lt;='RETRATO 2027'!$K$5,"CONCLUÍDA",IF(F1867&lt;='RETRATO 2027'!$K$5,"EM ANDAMENTO","A INICIAR")))</f>
        <v>A INICIAR</v>
      </c>
    </row>
    <row r="1868" customFormat="false" ht="15" hidden="false" customHeight="false" outlineLevel="0" collapsed="false">
      <c r="B1868" s="4" t="n">
        <v>32750393</v>
      </c>
      <c r="C1868" s="4" t="s">
        <v>2461</v>
      </c>
      <c r="D1868" s="4" t="s">
        <v>463</v>
      </c>
      <c r="E1868" s="4" t="s">
        <v>2822</v>
      </c>
      <c r="F1868" s="127" t="n">
        <v>46960</v>
      </c>
      <c r="G1868" s="127" t="n">
        <v>46972</v>
      </c>
      <c r="H1868" s="127" t="n">
        <v>46289</v>
      </c>
      <c r="I1868" s="4" t="n">
        <v>0</v>
      </c>
      <c r="J1868" s="4" t="n">
        <v>0</v>
      </c>
      <c r="K1868" s="4" t="n">
        <v>0</v>
      </c>
      <c r="M1868" s="2" t="str">
        <f aca="false">IF(C1868="","",IFERROR(INDEX($S$5:$S$304,MATCH(C1868,$R$5:$R$304,0))&amp;"","?"))</f>
        <v>20</v>
      </c>
      <c r="N1868" s="2" t="n">
        <f aca="false">IF(E1868="","",IF(ISNUMBER(SEARCH("SUBSOLO",E1868)),IFERROR(-VALUE(LEFT(E1868,FIND("º",SUBSTITUTE(E1868,"°","º"))-1)),-1),IF(LEFT(E1868,6)="TÉRREO",0,IFERROR(VALUE(LEFT(E1868,FIND("º",SUBSTITUTE(E1868,"°","º"))-1)),""))))</f>
        <v>19</v>
      </c>
      <c r="O1868" s="2" t="str">
        <f aca="false">IF(OR(F1868="",G1868=""),"",IF(G1868&lt;='RETRATO 2027'!$K$5,"CONCLUÍDA",IF(F1868&lt;='RETRATO 2027'!$K$5,"EM ANDAMENTO","A INICIAR")))</f>
        <v>A INICIAR</v>
      </c>
    </row>
    <row r="1869" customFormat="false" ht="15" hidden="false" customHeight="false" outlineLevel="0" collapsed="false">
      <c r="B1869" s="4" t="n">
        <v>32750419</v>
      </c>
      <c r="C1869" s="4" t="s">
        <v>2464</v>
      </c>
      <c r="D1869" s="4" t="s">
        <v>463</v>
      </c>
      <c r="E1869" s="4" t="s">
        <v>2822</v>
      </c>
      <c r="F1869" s="127" t="n">
        <v>46960</v>
      </c>
      <c r="G1869" s="127" t="n">
        <v>46972</v>
      </c>
      <c r="H1869" s="127" t="n">
        <v>46289</v>
      </c>
      <c r="I1869" s="4" t="n">
        <v>0</v>
      </c>
      <c r="J1869" s="4" t="n">
        <v>0</v>
      </c>
      <c r="K1869" s="4" t="n">
        <v>0</v>
      </c>
      <c r="M1869" s="2" t="str">
        <f aca="false">IF(C1869="","",IFERROR(INDEX($S$5:$S$304,MATCH(C1869,$R$5:$R$304,0))&amp;"","?"))</f>
        <v>21</v>
      </c>
      <c r="N1869" s="2" t="n">
        <f aca="false">IF(E1869="","",IF(ISNUMBER(SEARCH("SUBSOLO",E1869)),IFERROR(-VALUE(LEFT(E1869,FIND("º",SUBSTITUTE(E1869,"°","º"))-1)),-1),IF(LEFT(E1869,6)="TÉRREO",0,IFERROR(VALUE(LEFT(E1869,FIND("º",SUBSTITUTE(E1869,"°","º"))-1)),""))))</f>
        <v>19</v>
      </c>
      <c r="O1869" s="2" t="str">
        <f aca="false">IF(OR(F1869="",G1869=""),"",IF(G1869&lt;='RETRATO 2027'!$K$5,"CONCLUÍDA",IF(F1869&lt;='RETRATO 2027'!$K$5,"EM ANDAMENTO","A INICIAR")))</f>
        <v>A INICIAR</v>
      </c>
    </row>
    <row r="1870" customFormat="false" ht="15" hidden="false" customHeight="false" outlineLevel="0" collapsed="false">
      <c r="B1870" s="4" t="n">
        <v>33896837</v>
      </c>
      <c r="C1870" s="4" t="s">
        <v>2467</v>
      </c>
      <c r="D1870" s="4" t="s">
        <v>463</v>
      </c>
      <c r="E1870" s="4" t="s">
        <v>2822</v>
      </c>
      <c r="F1870" s="127" t="n">
        <v>46960</v>
      </c>
      <c r="G1870" s="127" t="n">
        <v>46972</v>
      </c>
      <c r="H1870" s="127" t="n">
        <v>46289</v>
      </c>
      <c r="I1870" s="4" t="n">
        <v>0</v>
      </c>
      <c r="J1870" s="4" t="n">
        <v>0</v>
      </c>
      <c r="K1870" s="4" t="n">
        <v>0</v>
      </c>
      <c r="M1870" s="2" t="str">
        <f aca="false">IF(C1870="","",IFERROR(INDEX($S$5:$S$304,MATCH(C1870,$R$5:$R$304,0))&amp;"","?"))</f>
        <v>23</v>
      </c>
      <c r="N1870" s="2" t="n">
        <f aca="false">IF(E1870="","",IF(ISNUMBER(SEARCH("SUBSOLO",E1870)),IFERROR(-VALUE(LEFT(E1870,FIND("º",SUBSTITUTE(E1870,"°","º"))-1)),-1),IF(LEFT(E1870,6)="TÉRREO",0,IFERROR(VALUE(LEFT(E1870,FIND("º",SUBSTITUTE(E1870,"°","º"))-1)),""))))</f>
        <v>19</v>
      </c>
      <c r="O1870" s="2" t="str">
        <f aca="false">IF(OR(F1870="",G1870=""),"",IF(G1870&lt;='RETRATO 2027'!$K$5,"CONCLUÍDA",IF(F1870&lt;='RETRATO 2027'!$K$5,"EM ANDAMENTO","A INICIAR")))</f>
        <v>A INICIAR</v>
      </c>
    </row>
    <row r="1871" customFormat="false" ht="15" hidden="false" customHeight="false" outlineLevel="0" collapsed="false">
      <c r="B1871" s="4" t="n">
        <v>30205807</v>
      </c>
      <c r="C1871" s="4" t="s">
        <v>2563</v>
      </c>
      <c r="D1871" s="4" t="s">
        <v>463</v>
      </c>
      <c r="E1871" s="4" t="s">
        <v>2839</v>
      </c>
      <c r="F1871" s="127" t="n">
        <v>46961</v>
      </c>
      <c r="G1871" s="127" t="n">
        <v>46967</v>
      </c>
      <c r="H1871" s="127" t="n">
        <v>46289</v>
      </c>
      <c r="I1871" s="4" t="n">
        <v>0</v>
      </c>
      <c r="J1871" s="4" t="n">
        <v>0</v>
      </c>
      <c r="K1871" s="4" t="n">
        <v>0</v>
      </c>
      <c r="M1871" s="2" t="str">
        <f aca="false">IF(C1871="","",IFERROR(INDEX($S$5:$S$304,MATCH(C1871,$R$5:$R$304,0))&amp;"","?"))</f>
        <v>20</v>
      </c>
      <c r="N1871" s="2" t="n">
        <f aca="false">IF(E1871="","",IF(ISNUMBER(SEARCH("SUBSOLO",E1871)),IFERROR(-VALUE(LEFT(E1871,FIND("º",SUBSTITUTE(E1871,"°","º"))-1)),-1),IF(LEFT(E1871,6)="TÉRREO",0,IFERROR(VALUE(LEFT(E1871,FIND("º",SUBSTITUTE(E1871,"°","º"))-1)),""))))</f>
        <v>0</v>
      </c>
      <c r="O1871" s="2" t="str">
        <f aca="false">IF(OR(F1871="",G1871=""),"",IF(G1871&lt;='RETRATO 2027'!$K$5,"CONCLUÍDA",IF(F1871&lt;='RETRATO 2027'!$K$5,"EM ANDAMENTO","A INICIAR")))</f>
        <v>A INICIAR</v>
      </c>
    </row>
    <row r="1872" customFormat="false" ht="15" hidden="false" customHeight="false" outlineLevel="0" collapsed="false">
      <c r="B1872" s="4" t="n">
        <v>30205840</v>
      </c>
      <c r="C1872" s="4" t="s">
        <v>2578</v>
      </c>
      <c r="D1872" s="4" t="s">
        <v>463</v>
      </c>
      <c r="E1872" s="4" t="s">
        <v>2782</v>
      </c>
      <c r="F1872" s="127" t="n">
        <v>46961</v>
      </c>
      <c r="G1872" s="127" t="n">
        <v>46974</v>
      </c>
      <c r="H1872" s="127" t="n">
        <v>46289</v>
      </c>
      <c r="I1872" s="4" t="n">
        <v>0</v>
      </c>
      <c r="J1872" s="4" t="n">
        <v>0</v>
      </c>
      <c r="K1872" s="4" t="n">
        <v>0</v>
      </c>
      <c r="M1872" s="2" t="str">
        <f aca="false">IF(C1872="","",IFERROR(INDEX($S$5:$S$304,MATCH(C1872,$R$5:$R$304,0))&amp;"","?"))</f>
        <v>25</v>
      </c>
      <c r="N1872" s="2" t="n">
        <f aca="false">IF(E1872="","",IF(ISNUMBER(SEARCH("SUBSOLO",E1872)),IFERROR(-VALUE(LEFT(E1872,FIND("º",SUBSTITUTE(E1872,"°","º"))-1)),-1),IF(LEFT(E1872,6)="TÉRREO",0,IFERROR(VALUE(LEFT(E1872,FIND("º",SUBSTITUTE(E1872,"°","º"))-1)),""))))</f>
        <v>1</v>
      </c>
      <c r="O1872" s="2" t="str">
        <f aca="false">IF(OR(F1872="",G1872=""),"",IF(G1872&lt;='RETRATO 2027'!$K$5,"CONCLUÍDA",IF(F1872&lt;='RETRATO 2027'!$K$5,"EM ANDAMENTO","A INICIAR")))</f>
        <v>A INICIAR</v>
      </c>
    </row>
    <row r="1873" customFormat="false" ht="15" hidden="false" customHeight="false" outlineLevel="0" collapsed="false">
      <c r="B1873" s="4" t="n">
        <v>30205839</v>
      </c>
      <c r="C1873" s="4" t="s">
        <v>2605</v>
      </c>
      <c r="D1873" s="4" t="s">
        <v>463</v>
      </c>
      <c r="E1873" s="4" t="s">
        <v>2782</v>
      </c>
      <c r="F1873" s="127" t="n">
        <v>46961</v>
      </c>
      <c r="G1873" s="127" t="n">
        <v>46974</v>
      </c>
      <c r="H1873" s="127" t="n">
        <v>46289</v>
      </c>
      <c r="I1873" s="4" t="n">
        <v>0</v>
      </c>
      <c r="J1873" s="4" t="n">
        <v>0</v>
      </c>
      <c r="K1873" s="4" t="n">
        <v>0</v>
      </c>
      <c r="M1873" s="2" t="str">
        <f aca="false">IF(C1873="","",IFERROR(INDEX($S$5:$S$304,MATCH(C1873,$R$5:$R$304,0))&amp;"","?"))</f>
        <v>34</v>
      </c>
      <c r="N1873" s="2" t="n">
        <f aca="false">IF(E1873="","",IF(ISNUMBER(SEARCH("SUBSOLO",E1873)),IFERROR(-VALUE(LEFT(E1873,FIND("º",SUBSTITUTE(E1873,"°","º"))-1)),-1),IF(LEFT(E1873,6)="TÉRREO",0,IFERROR(VALUE(LEFT(E1873,FIND("º",SUBSTITUTE(E1873,"°","º"))-1)),""))))</f>
        <v>1</v>
      </c>
      <c r="O1873" s="2" t="str">
        <f aca="false">IF(OR(F1873="",G1873=""),"",IF(G1873&lt;='RETRATO 2027'!$K$5,"CONCLUÍDA",IF(F1873&lt;='RETRATO 2027'!$K$5,"EM ANDAMENTO","A INICIAR")))</f>
        <v>A INICIAR</v>
      </c>
    </row>
    <row r="1874" customFormat="false" ht="15" hidden="false" customHeight="false" outlineLevel="0" collapsed="false">
      <c r="B1874" s="4" t="n">
        <v>30205837</v>
      </c>
      <c r="C1874" s="4" t="s">
        <v>2607</v>
      </c>
      <c r="D1874" s="4" t="s">
        <v>463</v>
      </c>
      <c r="E1874" s="4" t="s">
        <v>2782</v>
      </c>
      <c r="F1874" s="127" t="n">
        <v>46961</v>
      </c>
      <c r="G1874" s="127" t="n">
        <v>46974</v>
      </c>
      <c r="H1874" s="127" t="n">
        <v>46289</v>
      </c>
      <c r="I1874" s="4" t="n">
        <v>0</v>
      </c>
      <c r="J1874" s="4" t="n">
        <v>0</v>
      </c>
      <c r="K1874" s="4" t="n">
        <v>0</v>
      </c>
      <c r="M1874" s="2" t="str">
        <f aca="false">IF(C1874="","",IFERROR(INDEX($S$5:$S$304,MATCH(C1874,$R$5:$R$304,0))&amp;"","?"))</f>
        <v>34</v>
      </c>
      <c r="N1874" s="2" t="n">
        <f aca="false">IF(E1874="","",IF(ISNUMBER(SEARCH("SUBSOLO",E1874)),IFERROR(-VALUE(LEFT(E1874,FIND("º",SUBSTITUTE(E1874,"°","º"))-1)),-1),IF(LEFT(E1874,6)="TÉRREO",0,IFERROR(VALUE(LEFT(E1874,FIND("º",SUBSTITUTE(E1874,"°","º"))-1)),""))))</f>
        <v>1</v>
      </c>
      <c r="O1874" s="2" t="str">
        <f aca="false">IF(OR(F1874="",G1874=""),"",IF(G1874&lt;='RETRATO 2027'!$K$5,"CONCLUÍDA",IF(F1874&lt;='RETRATO 2027'!$K$5,"EM ANDAMENTO","A INICIAR")))</f>
        <v>A INICIAR</v>
      </c>
    </row>
    <row r="1875" customFormat="false" ht="15" hidden="false" customHeight="false" outlineLevel="0" collapsed="false">
      <c r="B1875" s="4" t="n">
        <v>30206103</v>
      </c>
      <c r="C1875" s="4" t="s">
        <v>2554</v>
      </c>
      <c r="D1875" s="4" t="s">
        <v>463</v>
      </c>
      <c r="E1875" s="4" t="s">
        <v>2846</v>
      </c>
      <c r="F1875" s="127" t="n">
        <v>46962</v>
      </c>
      <c r="G1875" s="127" t="n">
        <v>46975</v>
      </c>
      <c r="H1875" s="127" t="n">
        <v>46289</v>
      </c>
      <c r="I1875" s="4" t="n">
        <v>0</v>
      </c>
      <c r="J1875" s="4" t="n">
        <v>0</v>
      </c>
      <c r="K1875" s="4" t="n">
        <v>0</v>
      </c>
      <c r="M1875" s="2" t="str">
        <f aca="false">IF(C1875="","",IFERROR(INDEX($S$5:$S$304,MATCH(C1875,$R$5:$R$304,0))&amp;"","?"))</f>
        <v>35</v>
      </c>
      <c r="N1875" s="2" t="n">
        <f aca="false">IF(E1875="","",IF(ISNUMBER(SEARCH("SUBSOLO",E1875)),IFERROR(-VALUE(LEFT(E1875,FIND("º",SUBSTITUTE(E1875,"°","º"))-1)),-1),IF(LEFT(E1875,6)="TÉRREO",0,IFERROR(VALUE(LEFT(E1875,FIND("º",SUBSTITUTE(E1875,"°","º"))-1)),""))))</f>
        <v>6</v>
      </c>
      <c r="O1875" s="2" t="str">
        <f aca="false">IF(OR(F1875="",G1875=""),"",IF(G1875&lt;='RETRATO 2027'!$K$5,"CONCLUÍDA",IF(F1875&lt;='RETRATO 2027'!$K$5,"EM ANDAMENTO","A INICIAR")))</f>
        <v>A INICIAR</v>
      </c>
    </row>
    <row r="1876" customFormat="false" ht="15" hidden="false" customHeight="false" outlineLevel="0" collapsed="false">
      <c r="B1876" s="4" t="n">
        <v>33904059</v>
      </c>
      <c r="C1876" s="4" t="s">
        <v>2545</v>
      </c>
      <c r="D1876" s="4" t="s">
        <v>463</v>
      </c>
      <c r="E1876" s="4" t="s">
        <v>2847</v>
      </c>
      <c r="F1876" s="127" t="n">
        <v>46962</v>
      </c>
      <c r="G1876" s="127" t="n">
        <v>46975</v>
      </c>
      <c r="H1876" s="127" t="n">
        <v>46289</v>
      </c>
      <c r="I1876" s="4" t="n">
        <v>0</v>
      </c>
      <c r="J1876" s="4" t="n">
        <v>0</v>
      </c>
      <c r="K1876" s="4" t="n">
        <v>0</v>
      </c>
      <c r="M1876" s="2" t="str">
        <f aca="false">IF(C1876="","",IFERROR(INDEX($S$5:$S$304,MATCH(C1876,$R$5:$R$304,0))&amp;"","?"))</f>
        <v>25</v>
      </c>
      <c r="N1876" s="2" t="n">
        <f aca="false">IF(E1876="","",IF(ISNUMBER(SEARCH("SUBSOLO",E1876)),IFERROR(-VALUE(LEFT(E1876,FIND("º",SUBSTITUTE(E1876,"°","º"))-1)),-1),IF(LEFT(E1876,6)="TÉRREO",0,IFERROR(VALUE(LEFT(E1876,FIND("º",SUBSTITUTE(E1876,"°","º"))-1)),""))))</f>
        <v>6</v>
      </c>
      <c r="O1876" s="2" t="str">
        <f aca="false">IF(OR(F1876="",G1876=""),"",IF(G1876&lt;='RETRATO 2027'!$K$5,"CONCLUÍDA",IF(F1876&lt;='RETRATO 2027'!$K$5,"EM ANDAMENTO","A INICIAR")))</f>
        <v>A INICIAR</v>
      </c>
    </row>
    <row r="1877" customFormat="false" ht="15" hidden="false" customHeight="false" outlineLevel="0" collapsed="false">
      <c r="B1877" s="4" t="n">
        <v>30206051</v>
      </c>
      <c r="C1877" s="4" t="s">
        <v>2508</v>
      </c>
      <c r="D1877" s="4" t="s">
        <v>463</v>
      </c>
      <c r="E1877" s="4" t="s">
        <v>2848</v>
      </c>
      <c r="F1877" s="127" t="n">
        <v>46962</v>
      </c>
      <c r="G1877" s="127" t="n">
        <v>46975</v>
      </c>
      <c r="H1877" s="127" t="n">
        <v>46289</v>
      </c>
      <c r="I1877" s="4" t="n">
        <v>0</v>
      </c>
      <c r="J1877" s="4" t="n">
        <v>0</v>
      </c>
      <c r="K1877" s="4" t="n">
        <v>0</v>
      </c>
      <c r="M1877" s="2" t="str">
        <f aca="false">IF(C1877="","",IFERROR(INDEX($S$5:$S$304,MATCH(C1877,$R$5:$R$304,0))&amp;"","?"))</f>
        <v>20</v>
      </c>
      <c r="N1877" s="2" t="n">
        <f aca="false">IF(E1877="","",IF(ISNUMBER(SEARCH("SUBSOLO",E1877)),IFERROR(-VALUE(LEFT(E1877,FIND("º",SUBSTITUTE(E1877,"°","º"))-1)),-1),IF(LEFT(E1877,6)="TÉRREO",0,IFERROR(VALUE(LEFT(E1877,FIND("º",SUBSTITUTE(E1877,"°","º"))-1)),""))))</f>
        <v>6</v>
      </c>
      <c r="O1877" s="2" t="str">
        <f aca="false">IF(OR(F1877="",G1877=""),"",IF(G1877&lt;='RETRATO 2027'!$K$5,"CONCLUÍDA",IF(F1877&lt;='RETRATO 2027'!$K$5,"EM ANDAMENTO","A INICIAR")))</f>
        <v>A INICIAR</v>
      </c>
    </row>
    <row r="1878" customFormat="false" ht="15" hidden="false" customHeight="false" outlineLevel="0" collapsed="false">
      <c r="B1878" s="4" t="n">
        <v>30214066</v>
      </c>
      <c r="C1878" s="4" t="s">
        <v>2514</v>
      </c>
      <c r="D1878" s="4" t="s">
        <v>463</v>
      </c>
      <c r="E1878" s="4" t="s">
        <v>2848</v>
      </c>
      <c r="F1878" s="127" t="n">
        <v>46962</v>
      </c>
      <c r="G1878" s="127" t="n">
        <v>46975</v>
      </c>
      <c r="H1878" s="127" t="n">
        <v>46289</v>
      </c>
      <c r="I1878" s="4" t="n">
        <v>0</v>
      </c>
      <c r="J1878" s="4" t="n">
        <v>0</v>
      </c>
      <c r="K1878" s="4" t="n">
        <v>0</v>
      </c>
      <c r="M1878" s="2" t="str">
        <f aca="false">IF(C1878="","",IFERROR(INDEX($S$5:$S$304,MATCH(C1878,$R$5:$R$304,0))&amp;"","?"))</f>
        <v>20</v>
      </c>
      <c r="N1878" s="2" t="n">
        <f aca="false">IF(E1878="","",IF(ISNUMBER(SEARCH("SUBSOLO",E1878)),IFERROR(-VALUE(LEFT(E1878,FIND("º",SUBSTITUTE(E1878,"°","º"))-1)),-1),IF(LEFT(E1878,6)="TÉRREO",0,IFERROR(VALUE(LEFT(E1878,FIND("º",SUBSTITUTE(E1878,"°","º"))-1)),""))))</f>
        <v>6</v>
      </c>
      <c r="O1878" s="2" t="str">
        <f aca="false">IF(OR(F1878="",G1878=""),"",IF(G1878&lt;='RETRATO 2027'!$K$5,"CONCLUÍDA",IF(F1878&lt;='RETRATO 2027'!$K$5,"EM ANDAMENTO","A INICIAR")))</f>
        <v>A INICIAR</v>
      </c>
    </row>
    <row r="1879" customFormat="false" ht="15" hidden="false" customHeight="false" outlineLevel="0" collapsed="false">
      <c r="B1879" s="4" t="n">
        <v>30205998</v>
      </c>
      <c r="C1879" s="4" t="s">
        <v>2501</v>
      </c>
      <c r="D1879" s="4" t="s">
        <v>463</v>
      </c>
      <c r="E1879" s="4" t="s">
        <v>2849</v>
      </c>
      <c r="F1879" s="127" t="n">
        <v>46962</v>
      </c>
      <c r="G1879" s="127" t="n">
        <v>46975</v>
      </c>
      <c r="H1879" s="127" t="n">
        <v>46289</v>
      </c>
      <c r="I1879" s="4" t="n">
        <v>0</v>
      </c>
      <c r="J1879" s="4" t="n">
        <v>0</v>
      </c>
      <c r="K1879" s="4" t="n">
        <v>0</v>
      </c>
      <c r="M1879" s="2" t="str">
        <f aca="false">IF(C1879="","",IFERROR(INDEX($S$5:$S$304,MATCH(C1879,$R$5:$R$304,0))&amp;"","?"))</f>
        <v>30</v>
      </c>
      <c r="N1879" s="2" t="n">
        <f aca="false">IF(E1879="","",IF(ISNUMBER(SEARCH("SUBSOLO",E1879)),IFERROR(-VALUE(LEFT(E1879,FIND("º",SUBSTITUTE(E1879,"°","º"))-1)),-1),IF(LEFT(E1879,6)="TÉRREO",0,IFERROR(VALUE(LEFT(E1879,FIND("º",SUBSTITUTE(E1879,"°","º"))-1)),""))))</f>
        <v>6</v>
      </c>
      <c r="O1879" s="2" t="str">
        <f aca="false">IF(OR(F1879="",G1879=""),"",IF(G1879&lt;='RETRATO 2027'!$K$5,"CONCLUÍDA",IF(F1879&lt;='RETRATO 2027'!$K$5,"EM ANDAMENTO","A INICIAR")))</f>
        <v>A INICIAR</v>
      </c>
    </row>
    <row r="1880" customFormat="false" ht="15" hidden="false" customHeight="false" outlineLevel="0" collapsed="false">
      <c r="B1880" s="4" t="n">
        <v>30205960</v>
      </c>
      <c r="C1880" s="4" t="s">
        <v>2486</v>
      </c>
      <c r="D1880" s="4" t="s">
        <v>463</v>
      </c>
      <c r="E1880" s="4" t="s">
        <v>2850</v>
      </c>
      <c r="F1880" s="127" t="n">
        <v>46962</v>
      </c>
      <c r="G1880" s="127" t="n">
        <v>46975</v>
      </c>
      <c r="H1880" s="127" t="n">
        <v>46289</v>
      </c>
      <c r="I1880" s="4" t="n">
        <v>0</v>
      </c>
      <c r="J1880" s="4" t="n">
        <v>0</v>
      </c>
      <c r="K1880" s="4" t="n">
        <v>0</v>
      </c>
      <c r="M1880" s="2" t="str">
        <f aca="false">IF(C1880="","",IFERROR(INDEX($S$5:$S$304,MATCH(C1880,$R$5:$R$304,0))&amp;"","?"))</f>
        <v>30</v>
      </c>
      <c r="N1880" s="2" t="n">
        <f aca="false">IF(E1880="","",IF(ISNUMBER(SEARCH("SUBSOLO",E1880)),IFERROR(-VALUE(LEFT(E1880,FIND("º",SUBSTITUTE(E1880,"°","º"))-1)),-1),IF(LEFT(E1880,6)="TÉRREO",0,IFERROR(VALUE(LEFT(E1880,FIND("º",SUBSTITUTE(E1880,"°","º"))-1)),""))))</f>
        <v>6</v>
      </c>
      <c r="O1880" s="2" t="str">
        <f aca="false">IF(OR(F1880="",G1880=""),"",IF(G1880&lt;='RETRATO 2027'!$K$5,"CONCLUÍDA",IF(F1880&lt;='RETRATO 2027'!$K$5,"EM ANDAMENTO","A INICIAR")))</f>
        <v>A INICIAR</v>
      </c>
    </row>
    <row r="1881" customFormat="false" ht="15" hidden="false" customHeight="false" outlineLevel="0" collapsed="false">
      <c r="B1881" s="4" t="n">
        <v>30171386</v>
      </c>
      <c r="C1881" s="4" t="s">
        <v>2563</v>
      </c>
      <c r="D1881" s="4" t="s">
        <v>463</v>
      </c>
      <c r="E1881" s="4" t="s">
        <v>2801</v>
      </c>
      <c r="F1881" s="127" t="n">
        <v>46965</v>
      </c>
      <c r="G1881" s="127" t="n">
        <v>46993</v>
      </c>
      <c r="H1881" s="127" t="n">
        <v>46289</v>
      </c>
      <c r="I1881" s="4" t="n">
        <v>0</v>
      </c>
      <c r="J1881" s="4" t="n">
        <v>0</v>
      </c>
      <c r="K1881" s="4" t="n">
        <v>0</v>
      </c>
      <c r="M1881" s="2" t="str">
        <f aca="false">IF(C1881="","",IFERROR(INDEX($S$5:$S$304,MATCH(C1881,$R$5:$R$304,0))&amp;"","?"))</f>
        <v>20</v>
      </c>
      <c r="N1881" s="2" t="n">
        <f aca="false">IF(E1881="","",IF(ISNUMBER(SEARCH("SUBSOLO",E1881)),IFERROR(-VALUE(LEFT(E1881,FIND("º",SUBSTITUTE(E1881,"°","º"))-1)),-1),IF(LEFT(E1881,6)="TÉRREO",0,IFERROR(VALUE(LEFT(E1881,FIND("º",SUBSTITUTE(E1881,"°","º"))-1)),""))))</f>
        <v>5</v>
      </c>
      <c r="O1881" s="2" t="str">
        <f aca="false">IF(OR(F1881="",G1881=""),"",IF(G1881&lt;='RETRATO 2027'!$K$5,"CONCLUÍDA",IF(F1881&lt;='RETRATO 2027'!$K$5,"EM ANDAMENTO","A INICIAR")))</f>
        <v>A INICIAR</v>
      </c>
    </row>
    <row r="1882" customFormat="false" ht="15" hidden="false" customHeight="false" outlineLevel="0" collapsed="false">
      <c r="B1882" s="4" t="n">
        <v>30171383</v>
      </c>
      <c r="C1882" s="4" t="s">
        <v>2566</v>
      </c>
      <c r="D1882" s="4" t="s">
        <v>463</v>
      </c>
      <c r="E1882" s="4" t="s">
        <v>2801</v>
      </c>
      <c r="F1882" s="127" t="n">
        <v>46965</v>
      </c>
      <c r="G1882" s="127" t="n">
        <v>46993</v>
      </c>
      <c r="H1882" s="127" t="n">
        <v>46289</v>
      </c>
      <c r="I1882" s="4" t="n">
        <v>0</v>
      </c>
      <c r="J1882" s="4" t="n">
        <v>0</v>
      </c>
      <c r="K1882" s="4" t="n">
        <v>0</v>
      </c>
      <c r="M1882" s="2" t="str">
        <f aca="false">IF(C1882="","",IFERROR(INDEX($S$5:$S$304,MATCH(C1882,$R$5:$R$304,0))&amp;"","?"))</f>
        <v>20</v>
      </c>
      <c r="N1882" s="2" t="n">
        <f aca="false">IF(E1882="","",IF(ISNUMBER(SEARCH("SUBSOLO",E1882)),IFERROR(-VALUE(LEFT(E1882,FIND("º",SUBSTITUTE(E1882,"°","º"))-1)),-1),IF(LEFT(E1882,6)="TÉRREO",0,IFERROR(VALUE(LEFT(E1882,FIND("º",SUBSTITUTE(E1882,"°","º"))-1)),""))))</f>
        <v>5</v>
      </c>
      <c r="O1882" s="2" t="str">
        <f aca="false">IF(OR(F1882="",G1882=""),"",IF(G1882&lt;='RETRATO 2027'!$K$5,"CONCLUÍDA",IF(F1882&lt;='RETRATO 2027'!$K$5,"EM ANDAMENTO","A INICIAR")))</f>
        <v>A INICIAR</v>
      </c>
    </row>
    <row r="1883" customFormat="false" ht="15" hidden="false" customHeight="false" outlineLevel="0" collapsed="false">
      <c r="B1883" s="4" t="n">
        <v>29981328</v>
      </c>
      <c r="C1883" s="4" t="s">
        <v>2649</v>
      </c>
      <c r="D1883" s="4" t="s">
        <v>463</v>
      </c>
      <c r="E1883" s="4" t="s">
        <v>2812</v>
      </c>
      <c r="F1883" s="127" t="n">
        <v>46965</v>
      </c>
      <c r="G1883" s="127" t="n">
        <v>46975</v>
      </c>
      <c r="H1883" s="127" t="n">
        <v>46289</v>
      </c>
      <c r="I1883" s="4" t="n">
        <v>0</v>
      </c>
      <c r="J1883" s="4" t="n">
        <v>0</v>
      </c>
      <c r="K1883" s="4" t="n">
        <v>0</v>
      </c>
      <c r="M1883" s="2" t="str">
        <f aca="false">IF(C1883="","",IFERROR(INDEX($S$5:$S$304,MATCH(C1883,$R$5:$R$304,0))&amp;"","?"))</f>
        <v>37</v>
      </c>
      <c r="N1883" s="2" t="n">
        <f aca="false">IF(E1883="","",IF(ISNUMBER(SEARCH("SUBSOLO",E1883)),IFERROR(-VALUE(LEFT(E1883,FIND("º",SUBSTITUTE(E1883,"°","º"))-1)),-1),IF(LEFT(E1883,6)="TÉRREO",0,IFERROR(VALUE(LEFT(E1883,FIND("º",SUBSTITUTE(E1883,"°","º"))-1)),""))))</f>
        <v>13</v>
      </c>
      <c r="O1883" s="2" t="str">
        <f aca="false">IF(OR(F1883="",G1883=""),"",IF(G1883&lt;='RETRATO 2027'!$K$5,"CONCLUÍDA",IF(F1883&lt;='RETRATO 2027'!$K$5,"EM ANDAMENTO","A INICIAR")))</f>
        <v>A INICIAR</v>
      </c>
    </row>
    <row r="1884" customFormat="false" ht="15" hidden="false" customHeight="false" outlineLevel="0" collapsed="false">
      <c r="B1884" s="4" t="n">
        <v>29981281</v>
      </c>
      <c r="C1884" s="4" t="s">
        <v>2641</v>
      </c>
      <c r="D1884" s="4" t="s">
        <v>463</v>
      </c>
      <c r="E1884" s="4" t="s">
        <v>2813</v>
      </c>
      <c r="F1884" s="127" t="n">
        <v>46965</v>
      </c>
      <c r="G1884" s="127" t="n">
        <v>46975</v>
      </c>
      <c r="H1884" s="127" t="n">
        <v>46289</v>
      </c>
      <c r="I1884" s="4" t="n">
        <v>0</v>
      </c>
      <c r="J1884" s="4" t="n">
        <v>0</v>
      </c>
      <c r="K1884" s="4" t="n">
        <v>0</v>
      </c>
      <c r="M1884" s="2" t="str">
        <f aca="false">IF(C1884="","",IFERROR(INDEX($S$5:$S$304,MATCH(C1884,$R$5:$R$304,0))&amp;"","?"))</f>
        <v>35</v>
      </c>
      <c r="N1884" s="2" t="n">
        <f aca="false">IF(E1884="","",IF(ISNUMBER(SEARCH("SUBSOLO",E1884)),IFERROR(-VALUE(LEFT(E1884,FIND("º",SUBSTITUTE(E1884,"°","º"))-1)),-1),IF(LEFT(E1884,6)="TÉRREO",0,IFERROR(VALUE(LEFT(E1884,FIND("º",SUBSTITUTE(E1884,"°","º"))-1)),""))))</f>
        <v>14</v>
      </c>
      <c r="O1884" s="2" t="str">
        <f aca="false">IF(OR(F1884="",G1884=""),"",IF(G1884&lt;='RETRATO 2027'!$K$5,"CONCLUÍDA",IF(F1884&lt;='RETRATO 2027'!$K$5,"EM ANDAMENTO","A INICIAR")))</f>
        <v>A INICIAR</v>
      </c>
    </row>
    <row r="1885" customFormat="false" ht="15" hidden="false" customHeight="false" outlineLevel="0" collapsed="false">
      <c r="B1885" s="4" t="n">
        <v>30205628</v>
      </c>
      <c r="C1885" s="4" t="s">
        <v>2637</v>
      </c>
      <c r="D1885" s="4" t="s">
        <v>463</v>
      </c>
      <c r="E1885" s="4" t="s">
        <v>2826</v>
      </c>
      <c r="F1885" s="127" t="n">
        <v>46966</v>
      </c>
      <c r="G1885" s="127" t="n">
        <v>46972</v>
      </c>
      <c r="H1885" s="127" t="n">
        <v>46289</v>
      </c>
      <c r="I1885" s="4" t="n">
        <v>0</v>
      </c>
      <c r="J1885" s="4" t="n">
        <v>0</v>
      </c>
      <c r="K1885" s="4" t="n">
        <v>0</v>
      </c>
      <c r="M1885" s="2" t="str">
        <f aca="false">IF(C1885="","",IFERROR(INDEX($S$5:$S$304,MATCH(C1885,$R$5:$R$304,0))&amp;"","?"))</f>
        <v/>
      </c>
      <c r="N1885" s="2" t="n">
        <f aca="false">IF(E1885="","",IF(ISNUMBER(SEARCH("SUBSOLO",E1885)),IFERROR(-VALUE(LEFT(E1885,FIND("º",SUBSTITUTE(E1885,"°","º"))-1)),-1),IF(LEFT(E1885,6)="TÉRREO",0,IFERROR(VALUE(LEFT(E1885,FIND("º",SUBSTITUTE(E1885,"°","º"))-1)),""))))</f>
        <v>0</v>
      </c>
      <c r="O1885" s="2" t="str">
        <f aca="false">IF(OR(F1885="",G1885=""),"",IF(G1885&lt;='RETRATO 2027'!$K$5,"CONCLUÍDA",IF(F1885&lt;='RETRATO 2027'!$K$5,"EM ANDAMENTO","A INICIAR")))</f>
        <v>A INICIAR</v>
      </c>
    </row>
    <row r="1886" customFormat="false" ht="15" hidden="false" customHeight="false" outlineLevel="0" collapsed="false">
      <c r="B1886" s="4" t="n">
        <v>30205597</v>
      </c>
      <c r="C1886" s="4" t="s">
        <v>2649</v>
      </c>
      <c r="D1886" s="4" t="s">
        <v>463</v>
      </c>
      <c r="E1886" s="4" t="s">
        <v>2828</v>
      </c>
      <c r="F1886" s="127" t="n">
        <v>46966</v>
      </c>
      <c r="G1886" s="127" t="n">
        <v>46979</v>
      </c>
      <c r="H1886" s="127" t="n">
        <v>46289</v>
      </c>
      <c r="I1886" s="4" t="n">
        <v>0</v>
      </c>
      <c r="J1886" s="4" t="n">
        <v>0</v>
      </c>
      <c r="K1886" s="4" t="n">
        <v>0</v>
      </c>
      <c r="M1886" s="2" t="str">
        <f aca="false">IF(C1886="","",IFERROR(INDEX($S$5:$S$304,MATCH(C1886,$R$5:$R$304,0))&amp;"","?"))</f>
        <v>37</v>
      </c>
      <c r="N1886" s="2" t="n">
        <f aca="false">IF(E1886="","",IF(ISNUMBER(SEARCH("SUBSOLO",E1886)),IFERROR(-VALUE(LEFT(E1886,FIND("º",SUBSTITUTE(E1886,"°","º"))-1)),-1),IF(LEFT(E1886,6)="TÉRREO",0,IFERROR(VALUE(LEFT(E1886,FIND("º",SUBSTITUTE(E1886,"°","º"))-1)),""))))</f>
        <v>0</v>
      </c>
      <c r="O1886" s="2" t="str">
        <f aca="false">IF(OR(F1886="",G1886=""),"",IF(G1886&lt;='RETRATO 2027'!$K$5,"CONCLUÍDA",IF(F1886&lt;='RETRATO 2027'!$K$5,"EM ANDAMENTO","A INICIAR")))</f>
        <v>A INICIAR</v>
      </c>
    </row>
    <row r="1887" customFormat="false" ht="15" hidden="false" customHeight="false" outlineLevel="0" collapsed="false">
      <c r="B1887" s="4" t="n">
        <v>30205560</v>
      </c>
      <c r="C1887" s="4" t="s">
        <v>2629</v>
      </c>
      <c r="D1887" s="4" t="s">
        <v>463</v>
      </c>
      <c r="E1887" s="4" t="s">
        <v>2830</v>
      </c>
      <c r="F1887" s="127" t="n">
        <v>46966</v>
      </c>
      <c r="G1887" s="127" t="n">
        <v>46979</v>
      </c>
      <c r="H1887" s="127" t="n">
        <v>46289</v>
      </c>
      <c r="I1887" s="4" t="n">
        <v>0</v>
      </c>
      <c r="J1887" s="4" t="n">
        <v>0</v>
      </c>
      <c r="K1887" s="4" t="n">
        <v>0</v>
      </c>
      <c r="M1887" s="2" t="str">
        <f aca="false">IF(C1887="","",IFERROR(INDEX($S$5:$S$304,MATCH(C1887,$R$5:$R$304,0))&amp;"","?"))</f>
        <v>20</v>
      </c>
      <c r="N1887" s="2" t="n">
        <f aca="false">IF(E1887="","",IF(ISNUMBER(SEARCH("SUBSOLO",E1887)),IFERROR(-VALUE(LEFT(E1887,FIND("º",SUBSTITUTE(E1887,"°","º"))-1)),-1),IF(LEFT(E1887,6)="TÉRREO",0,IFERROR(VALUE(LEFT(E1887,FIND("º",SUBSTITUTE(E1887,"°","º"))-1)),""))))</f>
        <v>0</v>
      </c>
      <c r="O1887" s="2" t="str">
        <f aca="false">IF(OR(F1887="",G1887=""),"",IF(G1887&lt;='RETRATO 2027'!$K$5,"CONCLUÍDA",IF(F1887&lt;='RETRATO 2027'!$K$5,"EM ANDAMENTO","A INICIAR")))</f>
        <v>A INICIAR</v>
      </c>
    </row>
    <row r="1888" customFormat="false" ht="15" hidden="false" customHeight="false" outlineLevel="0" collapsed="false">
      <c r="B1888" s="4" t="n">
        <v>30205532</v>
      </c>
      <c r="C1888" s="4" t="s">
        <v>2623</v>
      </c>
      <c r="D1888" s="4" t="s">
        <v>463</v>
      </c>
      <c r="E1888" s="4" t="s">
        <v>2832</v>
      </c>
      <c r="F1888" s="127" t="n">
        <v>46966</v>
      </c>
      <c r="G1888" s="127" t="n">
        <v>46979</v>
      </c>
      <c r="H1888" s="127" t="n">
        <v>46289</v>
      </c>
      <c r="I1888" s="4" t="n">
        <v>0</v>
      </c>
      <c r="J1888" s="4" t="n">
        <v>0</v>
      </c>
      <c r="K1888" s="4" t="n">
        <v>0</v>
      </c>
      <c r="M1888" s="2" t="str">
        <f aca="false">IF(C1888="","",IFERROR(INDEX($S$5:$S$304,MATCH(C1888,$R$5:$R$304,0))&amp;"","?"))</f>
        <v>35</v>
      </c>
      <c r="N1888" s="2" t="n">
        <f aca="false">IF(E1888="","",IF(ISNUMBER(SEARCH("SUBSOLO",E1888)),IFERROR(-VALUE(LEFT(E1888,FIND("º",SUBSTITUTE(E1888,"°","º"))-1)),-1),IF(LEFT(E1888,6)="TÉRREO",0,IFERROR(VALUE(LEFT(E1888,FIND("º",SUBSTITUTE(E1888,"°","º"))-1)),""))))</f>
        <v>0</v>
      </c>
      <c r="O1888" s="2" t="str">
        <f aca="false">IF(OR(F1888="",G1888=""),"",IF(G1888&lt;='RETRATO 2027'!$K$5,"CONCLUÍDA",IF(F1888&lt;='RETRATO 2027'!$K$5,"EM ANDAMENTO","A INICIAR")))</f>
        <v>A INICIAR</v>
      </c>
    </row>
    <row r="1889" customFormat="false" ht="15" hidden="false" customHeight="false" outlineLevel="0" collapsed="false">
      <c r="B1889" s="4" t="n">
        <v>30171527</v>
      </c>
      <c r="C1889" s="4" t="s">
        <v>216</v>
      </c>
      <c r="D1889" s="4" t="s">
        <v>463</v>
      </c>
      <c r="E1889" s="4" t="s">
        <v>2857</v>
      </c>
      <c r="F1889" s="127" t="n">
        <v>46967</v>
      </c>
      <c r="G1889" s="127" t="n">
        <v>46981</v>
      </c>
      <c r="H1889" s="127" t="n">
        <v>46289</v>
      </c>
      <c r="I1889" s="4" t="n">
        <v>0</v>
      </c>
      <c r="J1889" s="4" t="n">
        <v>0</v>
      </c>
      <c r="K1889" s="4" t="n">
        <v>0</v>
      </c>
      <c r="M1889" s="2" t="str">
        <f aca="false">IF(C1889="","",IFERROR(INDEX($S$5:$S$304,MATCH(C1889,$R$5:$R$304,0))&amp;"","?"))</f>
        <v>33</v>
      </c>
      <c r="N1889" s="2" t="str">
        <f aca="false"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 t="str">
        <f aca="false">IF(OR(F1889="",G1889=""),"",IF(G1889&lt;='RETRATO 2027'!$K$5,"CONCLUÍDA",IF(F1889&lt;='RETRATO 2027'!$K$5,"EM ANDAMENTO","A INICIAR")))</f>
        <v>A INICIAR</v>
      </c>
    </row>
    <row r="1890" customFormat="false" ht="15" hidden="false" customHeight="false" outlineLevel="0" collapsed="false">
      <c r="B1890" s="4" t="n">
        <v>30208612</v>
      </c>
      <c r="C1890" s="4" t="s">
        <v>2584</v>
      </c>
      <c r="D1890" s="4" t="s">
        <v>463</v>
      </c>
      <c r="E1890" s="4" t="s">
        <v>2851</v>
      </c>
      <c r="F1890" s="127" t="n">
        <v>46967</v>
      </c>
      <c r="G1890" s="127" t="n">
        <v>46973</v>
      </c>
      <c r="H1890" s="127" t="n">
        <v>46289</v>
      </c>
      <c r="I1890" s="4" t="n">
        <v>0</v>
      </c>
      <c r="J1890" s="4" t="n">
        <v>0</v>
      </c>
      <c r="K1890" s="4" t="n">
        <v>0</v>
      </c>
      <c r="M1890" s="2" t="str">
        <f aca="false">IF(C1890="","",IFERROR(INDEX($S$5:$S$304,MATCH(C1890,$R$5:$R$304,0))&amp;"","?"))</f>
        <v>20</v>
      </c>
      <c r="N1890" s="2" t="n">
        <f aca="false">IF(E1890="","",IF(ISNUMBER(SEARCH("SUBSOLO",E1890)),IFERROR(-VALUE(LEFT(E1890,FIND("º",SUBSTITUTE(E1890,"°","º"))-1)),-1),IF(LEFT(E1890,6)="TÉRREO",0,IFERROR(VALUE(LEFT(E1890,FIND("º",SUBSTITUTE(E1890,"°","º"))-1)),""))))</f>
        <v>6</v>
      </c>
      <c r="O1890" s="2" t="str">
        <f aca="false">IF(OR(F1890="",G1890=""),"",IF(G1890&lt;='RETRATO 2027'!$K$5,"CONCLUÍDA",IF(F1890&lt;='RETRATO 2027'!$K$5,"EM ANDAMENTO","A INICIAR")))</f>
        <v>A INICIAR</v>
      </c>
    </row>
    <row r="1891" customFormat="false" ht="15" hidden="false" customHeight="false" outlineLevel="0" collapsed="false">
      <c r="B1891" s="4" t="n">
        <v>30209538</v>
      </c>
      <c r="C1891" s="4" t="s">
        <v>2705</v>
      </c>
      <c r="D1891" s="4" t="s">
        <v>463</v>
      </c>
      <c r="E1891" s="4" t="s">
        <v>2851</v>
      </c>
      <c r="F1891" s="127" t="n">
        <v>46967</v>
      </c>
      <c r="G1891" s="127" t="n">
        <v>46997</v>
      </c>
      <c r="H1891" s="127" t="n">
        <v>46289</v>
      </c>
      <c r="I1891" s="4" t="n">
        <v>0</v>
      </c>
      <c r="J1891" s="4" t="n">
        <v>0</v>
      </c>
      <c r="K1891" s="4" t="n">
        <v>0</v>
      </c>
      <c r="M1891" s="2" t="str">
        <f aca="false">IF(C1891="","",IFERROR(INDEX($S$5:$S$304,MATCH(C1891,$R$5:$R$304,0))&amp;"","?"))</f>
        <v>23</v>
      </c>
      <c r="N1891" s="2" t="n">
        <f aca="false">IF(E1891="","",IF(ISNUMBER(SEARCH("SUBSOLO",E1891)),IFERROR(-VALUE(LEFT(E1891,FIND("º",SUBSTITUTE(E1891,"°","º"))-1)),-1),IF(LEFT(E1891,6)="TÉRREO",0,IFERROR(VALUE(LEFT(E1891,FIND("º",SUBSTITUTE(E1891,"°","º"))-1)),""))))</f>
        <v>6</v>
      </c>
      <c r="O1891" s="2" t="str">
        <f aca="false">IF(OR(F1891="",G1891=""),"",IF(G1891&lt;='RETRATO 2027'!$K$5,"CONCLUÍDA",IF(F1891&lt;='RETRATO 2027'!$K$5,"EM ANDAMENTO","A INICIAR")))</f>
        <v>A INICIAR</v>
      </c>
    </row>
    <row r="1892" customFormat="false" ht="15" hidden="false" customHeight="false" outlineLevel="0" collapsed="false">
      <c r="B1892" s="4" t="n">
        <v>30205786</v>
      </c>
      <c r="C1892" s="4" t="s">
        <v>2623</v>
      </c>
      <c r="D1892" s="4" t="s">
        <v>463</v>
      </c>
      <c r="E1892" s="4" t="s">
        <v>2835</v>
      </c>
      <c r="F1892" s="127" t="n">
        <v>46968</v>
      </c>
      <c r="G1892" s="127" t="n">
        <v>46989</v>
      </c>
      <c r="H1892" s="127" t="n">
        <v>46289</v>
      </c>
      <c r="I1892" s="4" t="n">
        <v>0</v>
      </c>
      <c r="J1892" s="4" t="n">
        <v>0</v>
      </c>
      <c r="K1892" s="4" t="n">
        <v>0</v>
      </c>
      <c r="M1892" s="2" t="str">
        <f aca="false">IF(C1892="","",IFERROR(INDEX($S$5:$S$304,MATCH(C1892,$R$5:$R$304,0))&amp;"","?"))</f>
        <v>35</v>
      </c>
      <c r="N1892" s="2" t="n">
        <f aca="false">IF(E1892="","",IF(ISNUMBER(SEARCH("SUBSOLO",E1892)),IFERROR(-VALUE(LEFT(E1892,FIND("º",SUBSTITUTE(E1892,"°","º"))-1)),-1),IF(LEFT(E1892,6)="TÉRREO",0,IFERROR(VALUE(LEFT(E1892,FIND("º",SUBSTITUTE(E1892,"°","º"))-1)),""))))</f>
        <v>0</v>
      </c>
      <c r="O1892" s="2" t="str">
        <f aca="false">IF(OR(F1892="",G1892=""),"",IF(G1892&lt;='RETRATO 2027'!$K$5,"CONCLUÍDA",IF(F1892&lt;='RETRATO 2027'!$K$5,"EM ANDAMENTO","A INICIAR")))</f>
        <v>A INICIAR</v>
      </c>
    </row>
    <row r="1893" customFormat="false" ht="15" hidden="false" customHeight="false" outlineLevel="0" collapsed="false">
      <c r="B1893" s="4" t="n">
        <v>30205826</v>
      </c>
      <c r="C1893" s="4" t="s">
        <v>2615</v>
      </c>
      <c r="D1893" s="4" t="s">
        <v>463</v>
      </c>
      <c r="E1893" s="4" t="s">
        <v>2839</v>
      </c>
      <c r="F1893" s="127" t="n">
        <v>46968</v>
      </c>
      <c r="G1893" s="127" t="n">
        <v>46982</v>
      </c>
      <c r="H1893" s="127" t="n">
        <v>46289</v>
      </c>
      <c r="I1893" s="4" t="n">
        <v>0</v>
      </c>
      <c r="J1893" s="4" t="n">
        <v>0</v>
      </c>
      <c r="K1893" s="4" t="n">
        <v>0</v>
      </c>
      <c r="M1893" s="2" t="str">
        <f aca="false">IF(C1893="","",IFERROR(INDEX($S$5:$S$304,MATCH(C1893,$R$5:$R$304,0))&amp;"","?"))</f>
        <v>37</v>
      </c>
      <c r="N1893" s="2" t="n">
        <f aca="false">IF(E1893="","",IF(ISNUMBER(SEARCH("SUBSOLO",E1893)),IFERROR(-VALUE(LEFT(E1893,FIND("º",SUBSTITUTE(E1893,"°","º"))-1)),-1),IF(LEFT(E1893,6)="TÉRREO",0,IFERROR(VALUE(LEFT(E1893,FIND("º",SUBSTITUTE(E1893,"°","º"))-1)),""))))</f>
        <v>0</v>
      </c>
      <c r="O1893" s="2" t="str">
        <f aca="false">IF(OR(F1893="",G1893=""),"",IF(G1893&lt;='RETRATO 2027'!$K$5,"CONCLUÍDA",IF(F1893&lt;='RETRATO 2027'!$K$5,"EM ANDAMENTO","A INICIAR")))</f>
        <v>A INICIAR</v>
      </c>
    </row>
    <row r="1894" customFormat="false" ht="15" hidden="false" customHeight="false" outlineLevel="0" collapsed="false">
      <c r="B1894" s="4" t="n">
        <v>30214417</v>
      </c>
      <c r="C1894" s="4" t="s">
        <v>1367</v>
      </c>
      <c r="D1894" s="4" t="s">
        <v>463</v>
      </c>
      <c r="E1894" s="4" t="s">
        <v>2852</v>
      </c>
      <c r="F1894" s="127" t="n">
        <v>46968</v>
      </c>
      <c r="G1894" s="127" t="n">
        <v>46982</v>
      </c>
      <c r="H1894" s="127" t="n">
        <v>46289</v>
      </c>
      <c r="I1894" s="4" t="n">
        <v>0</v>
      </c>
      <c r="J1894" s="4" t="n">
        <v>0</v>
      </c>
      <c r="K1894" s="4" t="n">
        <v>0</v>
      </c>
      <c r="M1894" s="2" t="str">
        <f aca="false">IF(C1894="","",IFERROR(INDEX($S$5:$S$304,MATCH(C1894,$R$5:$R$304,0))&amp;"","?"))</f>
        <v>20</v>
      </c>
      <c r="N1894" s="2" t="n">
        <f aca="false">IF(E1894="","",IF(ISNUMBER(SEARCH("SUBSOLO",E1894)),IFERROR(-VALUE(LEFT(E1894,FIND("º",SUBSTITUTE(E1894,"°","º"))-1)),-1),IF(LEFT(E1894,6)="TÉRREO",0,IFERROR(VALUE(LEFT(E1894,FIND("º",SUBSTITUTE(E1894,"°","º"))-1)),""))))</f>
        <v>33</v>
      </c>
      <c r="O1894" s="2" t="str">
        <f aca="false">IF(OR(F1894="",G1894=""),"",IF(G1894&lt;='RETRATO 2027'!$K$5,"CONCLUÍDA",IF(F1894&lt;='RETRATO 2027'!$K$5,"EM ANDAMENTO","A INICIAR")))</f>
        <v>A INICIAR</v>
      </c>
    </row>
    <row r="1895" customFormat="false" ht="15" hidden="false" customHeight="false" outlineLevel="0" collapsed="false">
      <c r="B1895" s="4" t="n">
        <v>31800969</v>
      </c>
      <c r="C1895" s="4" t="s">
        <v>2708</v>
      </c>
      <c r="D1895" s="4" t="s">
        <v>463</v>
      </c>
      <c r="E1895" s="4" t="s">
        <v>2678</v>
      </c>
      <c r="F1895" s="127" t="n">
        <v>46968</v>
      </c>
      <c r="G1895" s="127" t="n">
        <v>46996</v>
      </c>
      <c r="H1895" s="127" t="n">
        <v>46289</v>
      </c>
      <c r="I1895" s="4" t="n">
        <v>0</v>
      </c>
      <c r="J1895" s="4" t="n">
        <v>0</v>
      </c>
      <c r="K1895" s="4" t="n">
        <v>0</v>
      </c>
      <c r="M1895" s="2" t="str">
        <f aca="false">IF(C1895="","",IFERROR(INDEX($S$5:$S$304,MATCH(C1895,$R$5:$R$304,0))&amp;"","?"))</f>
        <v>35</v>
      </c>
      <c r="N1895" s="2" t="str">
        <f aca="false"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 t="str">
        <f aca="false">IF(OR(F1895="",G1895=""),"",IF(G1895&lt;='RETRATO 2027'!$K$5,"CONCLUÍDA",IF(F1895&lt;='RETRATO 2027'!$K$5,"EM ANDAMENTO","A INICIAR")))</f>
        <v>A INICIAR</v>
      </c>
    </row>
    <row r="1896" customFormat="false" ht="15" hidden="false" customHeight="false" outlineLevel="0" collapsed="false">
      <c r="B1896" s="4" t="n">
        <v>29981243</v>
      </c>
      <c r="C1896" s="4" t="s">
        <v>2637</v>
      </c>
      <c r="D1896" s="4" t="s">
        <v>463</v>
      </c>
      <c r="E1896" s="4" t="s">
        <v>2814</v>
      </c>
      <c r="F1896" s="127" t="n">
        <v>46969</v>
      </c>
      <c r="G1896" s="127" t="n">
        <v>46975</v>
      </c>
      <c r="H1896" s="127" t="n">
        <v>46289</v>
      </c>
      <c r="I1896" s="4" t="n">
        <v>0</v>
      </c>
      <c r="J1896" s="4" t="n">
        <v>0</v>
      </c>
      <c r="K1896" s="4" t="n">
        <v>0</v>
      </c>
      <c r="M1896" s="2" t="str">
        <f aca="false">IF(C1896="","",IFERROR(INDEX($S$5:$S$304,MATCH(C1896,$R$5:$R$304,0))&amp;"","?"))</f>
        <v/>
      </c>
      <c r="N1896" s="2" t="n">
        <f aca="false">IF(E1896="","",IF(ISNUMBER(SEARCH("SUBSOLO",E1896)),IFERROR(-VALUE(LEFT(E1896,FIND("º",SUBSTITUTE(E1896,"°","º"))-1)),-1),IF(LEFT(E1896,6)="TÉRREO",0,IFERROR(VALUE(LEFT(E1896,FIND("º",SUBSTITUTE(E1896,"°","º"))-1)),""))))</f>
        <v>15</v>
      </c>
      <c r="O1896" s="2" t="str">
        <f aca="false">IF(OR(F1896="",G1896=""),"",IF(G1896&lt;='RETRATO 2027'!$K$5,"CONCLUÍDA",IF(F1896&lt;='RETRATO 2027'!$K$5,"EM ANDAMENTO","A INICIAR")))</f>
        <v>A INICIAR</v>
      </c>
    </row>
    <row r="1897" customFormat="false" ht="15" hidden="false" customHeight="false" outlineLevel="0" collapsed="false">
      <c r="B1897" s="4" t="n">
        <v>29981208</v>
      </c>
      <c r="C1897" s="4" t="s">
        <v>2629</v>
      </c>
      <c r="D1897" s="4" t="s">
        <v>463</v>
      </c>
      <c r="E1897" s="4" t="s">
        <v>2815</v>
      </c>
      <c r="F1897" s="127" t="n">
        <v>46969</v>
      </c>
      <c r="G1897" s="127" t="n">
        <v>46982</v>
      </c>
      <c r="H1897" s="127" t="n">
        <v>46289</v>
      </c>
      <c r="I1897" s="4" t="n">
        <v>0</v>
      </c>
      <c r="J1897" s="4" t="n">
        <v>0</v>
      </c>
      <c r="K1897" s="4" t="n">
        <v>0</v>
      </c>
      <c r="M1897" s="2" t="str">
        <f aca="false">IF(C1897="","",IFERROR(INDEX($S$5:$S$304,MATCH(C1897,$R$5:$R$304,0))&amp;"","?"))</f>
        <v>20</v>
      </c>
      <c r="N1897" s="2" t="n">
        <f aca="false">IF(E1897="","",IF(ISNUMBER(SEARCH("SUBSOLO",E1897)),IFERROR(-VALUE(LEFT(E1897,FIND("º",SUBSTITUTE(E1897,"°","º"))-1)),-1),IF(LEFT(E1897,6)="TÉRREO",0,IFERROR(VALUE(LEFT(E1897,FIND("º",SUBSTITUTE(E1897,"°","º"))-1)),""))))</f>
        <v>16</v>
      </c>
      <c r="O1897" s="2" t="str">
        <f aca="false">IF(OR(F1897="",G1897=""),"",IF(G1897&lt;='RETRATO 2027'!$K$5,"CONCLUÍDA",IF(F1897&lt;='RETRATO 2027'!$K$5,"EM ANDAMENTO","A INICIAR")))</f>
        <v>A INICIAR</v>
      </c>
    </row>
    <row r="1898" customFormat="false" ht="15" hidden="false" customHeight="false" outlineLevel="0" collapsed="false">
      <c r="B1898" s="4" t="n">
        <v>29981168</v>
      </c>
      <c r="C1898" s="4" t="s">
        <v>2623</v>
      </c>
      <c r="D1898" s="4" t="s">
        <v>463</v>
      </c>
      <c r="E1898" s="4" t="s">
        <v>2818</v>
      </c>
      <c r="F1898" s="127" t="n">
        <v>46969</v>
      </c>
      <c r="G1898" s="127" t="n">
        <v>46982</v>
      </c>
      <c r="H1898" s="127" t="n">
        <v>46289</v>
      </c>
      <c r="I1898" s="4" t="n">
        <v>0</v>
      </c>
      <c r="J1898" s="4" t="n">
        <v>0</v>
      </c>
      <c r="K1898" s="4" t="n">
        <v>0</v>
      </c>
      <c r="M1898" s="2" t="str">
        <f aca="false">IF(C1898="","",IFERROR(INDEX($S$5:$S$304,MATCH(C1898,$R$5:$R$304,0))&amp;"","?"))</f>
        <v>35</v>
      </c>
      <c r="N1898" s="2" t="n">
        <f aca="false">IF(E1898="","",IF(ISNUMBER(SEARCH("SUBSOLO",E1898)),IFERROR(-VALUE(LEFT(E1898,FIND("º",SUBSTITUTE(E1898,"°","º"))-1)),-1),IF(LEFT(E1898,6)="TÉRREO",0,IFERROR(VALUE(LEFT(E1898,FIND("º",SUBSTITUTE(E1898,"°","º"))-1)),""))))</f>
        <v>17</v>
      </c>
      <c r="O1898" s="2" t="str">
        <f aca="false">IF(OR(F1898="",G1898=""),"",IF(G1898&lt;='RETRATO 2027'!$K$5,"CONCLUÍDA",IF(F1898&lt;='RETRATO 2027'!$K$5,"EM ANDAMENTO","A INICIAR")))</f>
        <v>A INICIAR</v>
      </c>
    </row>
    <row r="1899" customFormat="false" ht="15" hidden="false" customHeight="false" outlineLevel="0" collapsed="false">
      <c r="B1899" s="4" t="n">
        <v>33919795</v>
      </c>
      <c r="C1899" s="4" t="s">
        <v>2625</v>
      </c>
      <c r="D1899" s="4" t="s">
        <v>463</v>
      </c>
      <c r="E1899" s="4" t="s">
        <v>2818</v>
      </c>
      <c r="F1899" s="127" t="n">
        <v>46969</v>
      </c>
      <c r="G1899" s="127" t="n">
        <v>46982</v>
      </c>
      <c r="H1899" s="127" t="n">
        <v>46289</v>
      </c>
      <c r="I1899" s="4" t="n">
        <v>0</v>
      </c>
      <c r="J1899" s="4" t="n">
        <v>0</v>
      </c>
      <c r="K1899" s="4" t="n">
        <v>0</v>
      </c>
      <c r="M1899" s="2" t="str">
        <f aca="false">IF(C1899="","",IFERROR(INDEX($S$5:$S$304,MATCH(C1899,$R$5:$R$304,0))&amp;"","?"))</f>
        <v>32</v>
      </c>
      <c r="N1899" s="2" t="n">
        <f aca="false">IF(E1899="","",IF(ISNUMBER(SEARCH("SUBSOLO",E1899)),IFERROR(-VALUE(LEFT(E1899,FIND("º",SUBSTITUTE(E1899,"°","º"))-1)),-1),IF(LEFT(E1899,6)="TÉRREO",0,IFERROR(VALUE(LEFT(E1899,FIND("º",SUBSTITUTE(E1899,"°","º"))-1)),""))))</f>
        <v>17</v>
      </c>
      <c r="O1899" s="2" t="str">
        <f aca="false">IF(OR(F1899="",G1899=""),"",IF(G1899&lt;='RETRATO 2027'!$K$5,"CONCLUÍDA",IF(F1899&lt;='RETRATO 2027'!$K$5,"EM ANDAMENTO","A INICIAR")))</f>
        <v>A INICIAR</v>
      </c>
    </row>
    <row r="1900" customFormat="false" ht="15" hidden="false" customHeight="false" outlineLevel="0" collapsed="false">
      <c r="B1900" s="4" t="n">
        <v>29981130</v>
      </c>
      <c r="C1900" s="4" t="s">
        <v>2615</v>
      </c>
      <c r="D1900" s="4" t="s">
        <v>463</v>
      </c>
      <c r="E1900" s="4" t="s">
        <v>2820</v>
      </c>
      <c r="F1900" s="127" t="n">
        <v>46969</v>
      </c>
      <c r="G1900" s="127" t="n">
        <v>46982</v>
      </c>
      <c r="H1900" s="127" t="n">
        <v>46289</v>
      </c>
      <c r="I1900" s="4" t="n">
        <v>0</v>
      </c>
      <c r="J1900" s="4" t="n">
        <v>0</v>
      </c>
      <c r="K1900" s="4" t="n">
        <v>0</v>
      </c>
      <c r="M1900" s="2" t="str">
        <f aca="false">IF(C1900="","",IFERROR(INDEX($S$5:$S$304,MATCH(C1900,$R$5:$R$304,0))&amp;"","?"))</f>
        <v>37</v>
      </c>
      <c r="N1900" s="2" t="n">
        <f aca="false">IF(E1900="","",IF(ISNUMBER(SEARCH("SUBSOLO",E1900)),IFERROR(-VALUE(LEFT(E1900,FIND("º",SUBSTITUTE(E1900,"°","º"))-1)),-1),IF(LEFT(E1900,6)="TÉRREO",0,IFERROR(VALUE(LEFT(E1900,FIND("º",SUBSTITUTE(E1900,"°","º"))-1)),""))))</f>
        <v>18</v>
      </c>
      <c r="O1900" s="2" t="str">
        <f aca="false">IF(OR(F1900="",G1900=""),"",IF(G1900&lt;='RETRATO 2027'!$K$5,"CONCLUÍDA",IF(F1900&lt;='RETRATO 2027'!$K$5,"EM ANDAMENTO","A INICIAR")))</f>
        <v>A INICIAR</v>
      </c>
    </row>
    <row r="1901" customFormat="false" ht="15" hidden="false" customHeight="false" outlineLevel="0" collapsed="false">
      <c r="B1901" s="4" t="n">
        <v>29981050</v>
      </c>
      <c r="C1901" s="4" t="s">
        <v>2605</v>
      </c>
      <c r="D1901" s="4" t="s">
        <v>463</v>
      </c>
      <c r="E1901" s="4" t="s">
        <v>2823</v>
      </c>
      <c r="F1901" s="127" t="n">
        <v>46969</v>
      </c>
      <c r="G1901" s="127" t="n">
        <v>46982</v>
      </c>
      <c r="H1901" s="127" t="n">
        <v>46289</v>
      </c>
      <c r="I1901" s="4" t="n">
        <v>0</v>
      </c>
      <c r="J1901" s="4" t="n">
        <v>0</v>
      </c>
      <c r="K1901" s="4" t="n">
        <v>0</v>
      </c>
      <c r="M1901" s="2" t="str">
        <f aca="false">IF(C1901="","",IFERROR(INDEX($S$5:$S$304,MATCH(C1901,$R$5:$R$304,0))&amp;"","?"))</f>
        <v>34</v>
      </c>
      <c r="N1901" s="2" t="n">
        <f aca="false">IF(E1901="","",IF(ISNUMBER(SEARCH("SUBSOLO",E1901)),IFERROR(-VALUE(LEFT(E1901,FIND("º",SUBSTITUTE(E1901,"°","º"))-1)),-1),IF(LEFT(E1901,6)="TÉRREO",0,IFERROR(VALUE(LEFT(E1901,FIND("º",SUBSTITUTE(E1901,"°","º"))-1)),""))))</f>
        <v>20</v>
      </c>
      <c r="O1901" s="2" t="str">
        <f aca="false">IF(OR(F1901="",G1901=""),"",IF(G1901&lt;='RETRATO 2027'!$K$5,"CONCLUÍDA",IF(F1901&lt;='RETRATO 2027'!$K$5,"EM ANDAMENTO","A INICIAR")))</f>
        <v>A INICIAR</v>
      </c>
    </row>
    <row r="1902" customFormat="false" ht="15" hidden="false" customHeight="false" outlineLevel="0" collapsed="false">
      <c r="B1902" s="4" t="n">
        <v>29981055</v>
      </c>
      <c r="C1902" s="4" t="s">
        <v>2607</v>
      </c>
      <c r="D1902" s="4" t="s">
        <v>463</v>
      </c>
      <c r="E1902" s="4" t="s">
        <v>2823</v>
      </c>
      <c r="F1902" s="127" t="n">
        <v>46969</v>
      </c>
      <c r="G1902" s="127" t="n">
        <v>46982</v>
      </c>
      <c r="H1902" s="127" t="n">
        <v>46289</v>
      </c>
      <c r="I1902" s="4" t="n">
        <v>0</v>
      </c>
      <c r="J1902" s="4" t="n">
        <v>0</v>
      </c>
      <c r="K1902" s="4" t="n">
        <v>0</v>
      </c>
      <c r="M1902" s="2" t="str">
        <f aca="false">IF(C1902="","",IFERROR(INDEX($S$5:$S$304,MATCH(C1902,$R$5:$R$304,0))&amp;"","?"))</f>
        <v>34</v>
      </c>
      <c r="N1902" s="2" t="n">
        <f aca="false">IF(E1902="","",IF(ISNUMBER(SEARCH("SUBSOLO",E1902)),IFERROR(-VALUE(LEFT(E1902,FIND("º",SUBSTITUTE(E1902,"°","º"))-1)),-1),IF(LEFT(E1902,6)="TÉRREO",0,IFERROR(VALUE(LEFT(E1902,FIND("º",SUBSTITUTE(E1902,"°","º"))-1)),""))))</f>
        <v>20</v>
      </c>
      <c r="O1902" s="2" t="str">
        <f aca="false">IF(OR(F1902="",G1902=""),"",IF(G1902&lt;='RETRATO 2027'!$K$5,"CONCLUÍDA",IF(F1902&lt;='RETRATO 2027'!$K$5,"EM ANDAMENTO","A INICIAR")))</f>
        <v>A INICIAR</v>
      </c>
    </row>
    <row r="1903" customFormat="false" ht="15" hidden="false" customHeight="false" outlineLevel="0" collapsed="false">
      <c r="B1903" s="4" t="n">
        <v>29981054</v>
      </c>
      <c r="C1903" s="4" t="s">
        <v>2563</v>
      </c>
      <c r="D1903" s="4" t="s">
        <v>463</v>
      </c>
      <c r="E1903" s="4" t="s">
        <v>2823</v>
      </c>
      <c r="F1903" s="127" t="n">
        <v>46969</v>
      </c>
      <c r="G1903" s="127" t="n">
        <v>46982</v>
      </c>
      <c r="H1903" s="127" t="n">
        <v>46289</v>
      </c>
      <c r="I1903" s="4" t="n">
        <v>0</v>
      </c>
      <c r="J1903" s="4" t="n">
        <v>0</v>
      </c>
      <c r="K1903" s="4" t="n">
        <v>0</v>
      </c>
      <c r="M1903" s="2" t="str">
        <f aca="false">IF(C1903="","",IFERROR(INDEX($S$5:$S$304,MATCH(C1903,$R$5:$R$304,0))&amp;"","?"))</f>
        <v>20</v>
      </c>
      <c r="N1903" s="2" t="n">
        <f aca="false">IF(E1903="","",IF(ISNUMBER(SEARCH("SUBSOLO",E1903)),IFERROR(-VALUE(LEFT(E1903,FIND("º",SUBSTITUTE(E1903,"°","º"))-1)),-1),IF(LEFT(E1903,6)="TÉRREO",0,IFERROR(VALUE(LEFT(E1903,FIND("º",SUBSTITUTE(E1903,"°","º"))-1)),""))))</f>
        <v>20</v>
      </c>
      <c r="O1903" s="2" t="str">
        <f aca="false">IF(OR(F1903="",G1903=""),"",IF(G1903&lt;='RETRATO 2027'!$K$5,"CONCLUÍDA",IF(F1903&lt;='RETRATO 2027'!$K$5,"EM ANDAMENTO","A INICIAR")))</f>
        <v>A INICIAR</v>
      </c>
    </row>
    <row r="1904" customFormat="false" ht="15" hidden="false" customHeight="false" outlineLevel="0" collapsed="false">
      <c r="B1904" s="4" t="n">
        <v>29981053</v>
      </c>
      <c r="C1904" s="4" t="s">
        <v>2609</v>
      </c>
      <c r="D1904" s="4" t="s">
        <v>463</v>
      </c>
      <c r="E1904" s="4" t="s">
        <v>2823</v>
      </c>
      <c r="F1904" s="127" t="n">
        <v>46969</v>
      </c>
      <c r="G1904" s="127" t="n">
        <v>46982</v>
      </c>
      <c r="H1904" s="127" t="n">
        <v>46289</v>
      </c>
      <c r="I1904" s="4" t="n">
        <v>0</v>
      </c>
      <c r="J1904" s="4" t="n">
        <v>0</v>
      </c>
      <c r="K1904" s="4" t="n">
        <v>0</v>
      </c>
      <c r="M1904" s="2" t="str">
        <f aca="false">IF(C1904="","",IFERROR(INDEX($S$5:$S$304,MATCH(C1904,$R$5:$R$304,0))&amp;"","?"))</f>
        <v>23</v>
      </c>
      <c r="N1904" s="2" t="n">
        <f aca="false">IF(E1904="","",IF(ISNUMBER(SEARCH("SUBSOLO",E1904)),IFERROR(-VALUE(LEFT(E1904,FIND("º",SUBSTITUTE(E1904,"°","º"))-1)),-1),IF(LEFT(E1904,6)="TÉRREO",0,IFERROR(VALUE(LEFT(E1904,FIND("º",SUBSTITUTE(E1904,"°","º"))-1)),""))))</f>
        <v>20</v>
      </c>
      <c r="O1904" s="2" t="str">
        <f aca="false">IF(OR(F1904="",G1904=""),"",IF(G1904&lt;='RETRATO 2027'!$K$5,"CONCLUÍDA",IF(F1904&lt;='RETRATO 2027'!$K$5,"EM ANDAMENTO","A INICIAR")))</f>
        <v>A INICIAR</v>
      </c>
    </row>
    <row r="1905" customFormat="false" ht="15" hidden="false" customHeight="false" outlineLevel="0" collapsed="false">
      <c r="B1905" s="4" t="n">
        <v>29981012</v>
      </c>
      <c r="C1905" s="4" t="s">
        <v>2599</v>
      </c>
      <c r="D1905" s="4" t="s">
        <v>463</v>
      </c>
      <c r="E1905" s="4" t="s">
        <v>2825</v>
      </c>
      <c r="F1905" s="127" t="n">
        <v>46969</v>
      </c>
      <c r="G1905" s="127" t="n">
        <v>46982</v>
      </c>
      <c r="H1905" s="127" t="n">
        <v>46289</v>
      </c>
      <c r="I1905" s="4" t="n">
        <v>0</v>
      </c>
      <c r="J1905" s="4" t="n">
        <v>0</v>
      </c>
      <c r="K1905" s="4" t="n">
        <v>0</v>
      </c>
      <c r="M1905" s="2" t="str">
        <f aca="false">IF(C1905="","",IFERROR(INDEX($S$5:$S$304,MATCH(C1905,$R$5:$R$304,0))&amp;"","?"))</f>
        <v>30</v>
      </c>
      <c r="N1905" s="2" t="n">
        <f aca="false">IF(E1905="","",IF(ISNUMBER(SEARCH("SUBSOLO",E1905)),IFERROR(-VALUE(LEFT(E1905,FIND("º",SUBSTITUTE(E1905,"°","º"))-1)),-1),IF(LEFT(E1905,6)="TÉRREO",0,IFERROR(VALUE(LEFT(E1905,FIND("º",SUBSTITUTE(E1905,"°","º"))-1)),""))))</f>
        <v>21</v>
      </c>
      <c r="O1905" s="2" t="str">
        <f aca="false">IF(OR(F1905="",G1905=""),"",IF(G1905&lt;='RETRATO 2027'!$K$5,"CONCLUÍDA",IF(F1905&lt;='RETRATO 2027'!$K$5,"EM ANDAMENTO","A INICIAR")))</f>
        <v>A INICIAR</v>
      </c>
    </row>
    <row r="1906" customFormat="false" ht="15" hidden="false" customHeight="false" outlineLevel="0" collapsed="false">
      <c r="B1906" s="4" t="n">
        <v>29980974</v>
      </c>
      <c r="C1906" s="4" t="s">
        <v>2578</v>
      </c>
      <c r="D1906" s="4" t="s">
        <v>463</v>
      </c>
      <c r="E1906" s="4" t="s">
        <v>2827</v>
      </c>
      <c r="F1906" s="127" t="n">
        <v>46969</v>
      </c>
      <c r="G1906" s="127" t="n">
        <v>46982</v>
      </c>
      <c r="H1906" s="127" t="n">
        <v>46289</v>
      </c>
      <c r="I1906" s="4" t="n">
        <v>0</v>
      </c>
      <c r="J1906" s="4" t="n">
        <v>0</v>
      </c>
      <c r="K1906" s="4" t="n">
        <v>0</v>
      </c>
      <c r="M1906" s="2" t="str">
        <f aca="false">IF(C1906="","",IFERROR(INDEX($S$5:$S$304,MATCH(C1906,$R$5:$R$304,0))&amp;"","?"))</f>
        <v>25</v>
      </c>
      <c r="N1906" s="2" t="n">
        <f aca="false">IF(E1906="","",IF(ISNUMBER(SEARCH("SUBSOLO",E1906)),IFERROR(-VALUE(LEFT(E1906,FIND("º",SUBSTITUTE(E1906,"°","º"))-1)),-1),IF(LEFT(E1906,6)="TÉRREO",0,IFERROR(VALUE(LEFT(E1906,FIND("º",SUBSTITUTE(E1906,"°","º"))-1)),""))))</f>
        <v>22</v>
      </c>
      <c r="O1906" s="2" t="str">
        <f aca="false">IF(OR(F1906="",G1906=""),"",IF(G1906&lt;='RETRATO 2027'!$K$5,"CONCLUÍDA",IF(F1906&lt;='RETRATO 2027'!$K$5,"EM ANDAMENTO","A INICIAR")))</f>
        <v>A INICIAR</v>
      </c>
    </row>
    <row r="1907" customFormat="false" ht="15" hidden="false" customHeight="false" outlineLevel="0" collapsed="false">
      <c r="B1907" s="4" t="n">
        <v>29980936</v>
      </c>
      <c r="C1907" s="4" t="s">
        <v>2569</v>
      </c>
      <c r="D1907" s="4" t="s">
        <v>463</v>
      </c>
      <c r="E1907" s="4" t="s">
        <v>2829</v>
      </c>
      <c r="F1907" s="127" t="n">
        <v>46969</v>
      </c>
      <c r="G1907" s="127" t="n">
        <v>46982</v>
      </c>
      <c r="H1907" s="127" t="n">
        <v>46289</v>
      </c>
      <c r="I1907" s="4" t="n">
        <v>0</v>
      </c>
      <c r="J1907" s="4" t="n">
        <v>0</v>
      </c>
      <c r="K1907" s="4" t="n">
        <v>0</v>
      </c>
      <c r="M1907" s="2" t="str">
        <f aca="false">IF(C1907="","",IFERROR(INDEX($S$5:$S$304,MATCH(C1907,$R$5:$R$304,0))&amp;"","?"))</f>
        <v>30</v>
      </c>
      <c r="N1907" s="2" t="n">
        <f aca="false">IF(E1907="","",IF(ISNUMBER(SEARCH("SUBSOLO",E1907)),IFERROR(-VALUE(LEFT(E1907,FIND("º",SUBSTITUTE(E1907,"°","º"))-1)),-1),IF(LEFT(E1907,6)="TÉRREO",0,IFERROR(VALUE(LEFT(E1907,FIND("º",SUBSTITUTE(E1907,"°","º"))-1)),""))))</f>
        <v>23</v>
      </c>
      <c r="O1907" s="2" t="str">
        <f aca="false">IF(OR(F1907="",G1907=""),"",IF(G1907&lt;='RETRATO 2027'!$K$5,"CONCLUÍDA",IF(F1907&lt;='RETRATO 2027'!$K$5,"EM ANDAMENTO","A INICIAR")))</f>
        <v>A INICIAR</v>
      </c>
    </row>
    <row r="1908" customFormat="false" ht="15" hidden="false" customHeight="false" outlineLevel="0" collapsed="false">
      <c r="B1908" s="4" t="n">
        <v>29980898</v>
      </c>
      <c r="C1908" s="4" t="s">
        <v>2554</v>
      </c>
      <c r="D1908" s="4" t="s">
        <v>463</v>
      </c>
      <c r="E1908" s="4" t="s">
        <v>2831</v>
      </c>
      <c r="F1908" s="127" t="n">
        <v>46969</v>
      </c>
      <c r="G1908" s="127" t="n">
        <v>46982</v>
      </c>
      <c r="H1908" s="127" t="n">
        <v>46289</v>
      </c>
      <c r="I1908" s="4" t="n">
        <v>0</v>
      </c>
      <c r="J1908" s="4" t="n">
        <v>0</v>
      </c>
      <c r="K1908" s="4" t="n">
        <v>0</v>
      </c>
      <c r="M1908" s="2" t="str">
        <f aca="false">IF(C1908="","",IFERROR(INDEX($S$5:$S$304,MATCH(C1908,$R$5:$R$304,0))&amp;"","?"))</f>
        <v>35</v>
      </c>
      <c r="N1908" s="2" t="n">
        <f aca="false">IF(E1908="","",IF(ISNUMBER(SEARCH("SUBSOLO",E1908)),IFERROR(-VALUE(LEFT(E1908,FIND("º",SUBSTITUTE(E1908,"°","º"))-1)),-1),IF(LEFT(E1908,6)="TÉRREO",0,IFERROR(VALUE(LEFT(E1908,FIND("º",SUBSTITUTE(E1908,"°","º"))-1)),""))))</f>
        <v>24</v>
      </c>
      <c r="O1908" s="2" t="str">
        <f aca="false">IF(OR(F1908="",G1908=""),"",IF(G1908&lt;='RETRATO 2027'!$K$5,"CONCLUÍDA",IF(F1908&lt;='RETRATO 2027'!$K$5,"EM ANDAMENTO","A INICIAR")))</f>
        <v>A INICIAR</v>
      </c>
    </row>
    <row r="1909" customFormat="false" ht="15" hidden="false" customHeight="false" outlineLevel="0" collapsed="false">
      <c r="B1909" s="4" t="n">
        <v>29980887</v>
      </c>
      <c r="C1909" s="4" t="s">
        <v>2539</v>
      </c>
      <c r="D1909" s="4" t="s">
        <v>463</v>
      </c>
      <c r="E1909" s="4" t="s">
        <v>2833</v>
      </c>
      <c r="F1909" s="127" t="n">
        <v>46969</v>
      </c>
      <c r="G1909" s="127" t="n">
        <v>46982</v>
      </c>
      <c r="H1909" s="127" t="n">
        <v>46289</v>
      </c>
      <c r="I1909" s="4" t="n">
        <v>0</v>
      </c>
      <c r="J1909" s="4" t="n">
        <v>0</v>
      </c>
      <c r="K1909" s="4" t="n">
        <v>0</v>
      </c>
      <c r="M1909" s="2" t="str">
        <f aca="false">IF(C1909="","",IFERROR(INDEX($S$5:$S$304,MATCH(C1909,$R$5:$R$304,0))&amp;"","?"))</f>
        <v>35</v>
      </c>
      <c r="N1909" s="2" t="n">
        <f aca="false">IF(E1909="","",IF(ISNUMBER(SEARCH("SUBSOLO",E1909)),IFERROR(-VALUE(LEFT(E1909,FIND("º",SUBSTITUTE(E1909,"°","º"))-1)),-1),IF(LEFT(E1909,6)="TÉRREO",0,IFERROR(VALUE(LEFT(E1909,FIND("º",SUBSTITUTE(E1909,"°","º"))-1)),""))))</f>
        <v>25</v>
      </c>
      <c r="O1909" s="2" t="str">
        <f aca="false">IF(OR(F1909="",G1909=""),"",IF(G1909&lt;='RETRATO 2027'!$K$5,"CONCLUÍDA",IF(F1909&lt;='RETRATO 2027'!$K$5,"EM ANDAMENTO","A INICIAR")))</f>
        <v>A INICIAR</v>
      </c>
    </row>
    <row r="1910" customFormat="false" ht="15" hidden="false" customHeight="false" outlineLevel="0" collapsed="false">
      <c r="B1910" s="4" t="n">
        <v>33898110</v>
      </c>
      <c r="C1910" s="4" t="s">
        <v>2545</v>
      </c>
      <c r="D1910" s="4" t="s">
        <v>463</v>
      </c>
      <c r="E1910" s="4" t="s">
        <v>2834</v>
      </c>
      <c r="F1910" s="127" t="n">
        <v>46969</v>
      </c>
      <c r="G1910" s="127" t="n">
        <v>46982</v>
      </c>
      <c r="H1910" s="127" t="n">
        <v>46289</v>
      </c>
      <c r="I1910" s="4" t="n">
        <v>0</v>
      </c>
      <c r="J1910" s="4" t="n">
        <v>0</v>
      </c>
      <c r="K1910" s="4" t="n">
        <v>0</v>
      </c>
      <c r="M1910" s="2" t="str">
        <f aca="false">IF(C1910="","",IFERROR(INDEX($S$5:$S$304,MATCH(C1910,$R$5:$R$304,0))&amp;"","?"))</f>
        <v>25</v>
      </c>
      <c r="N1910" s="2" t="n">
        <f aca="false">IF(E1910="","",IF(ISNUMBER(SEARCH("SUBSOLO",E1910)),IFERROR(-VALUE(LEFT(E1910,FIND("º",SUBSTITUTE(E1910,"°","º"))-1)),-1),IF(LEFT(E1910,6)="TÉRREO",0,IFERROR(VALUE(LEFT(E1910,FIND("º",SUBSTITUTE(E1910,"°","º"))-1)),""))))</f>
        <v>26</v>
      </c>
      <c r="O1910" s="2" t="str">
        <f aca="false">IF(OR(F1910="",G1910=""),"",IF(G1910&lt;='RETRATO 2027'!$K$5,"CONCLUÍDA",IF(F1910&lt;='RETRATO 2027'!$K$5,"EM ANDAMENTO","A INICIAR")))</f>
        <v>A INICIAR</v>
      </c>
    </row>
    <row r="1911" customFormat="false" ht="15" hidden="false" customHeight="false" outlineLevel="0" collapsed="false">
      <c r="B1911" s="4" t="n">
        <v>29980700</v>
      </c>
      <c r="C1911" s="4" t="s">
        <v>216</v>
      </c>
      <c r="D1911" s="4" t="s">
        <v>463</v>
      </c>
      <c r="E1911" s="4" t="s">
        <v>2842</v>
      </c>
      <c r="F1911" s="127" t="n">
        <v>46972</v>
      </c>
      <c r="G1911" s="127" t="n">
        <v>46983</v>
      </c>
      <c r="H1911" s="127" t="n">
        <v>46289</v>
      </c>
      <c r="I1911" s="4" t="n">
        <v>0</v>
      </c>
      <c r="J1911" s="4" t="n">
        <v>0</v>
      </c>
      <c r="K1911" s="4" t="n">
        <v>0</v>
      </c>
      <c r="M1911" s="2" t="str">
        <f aca="false">IF(C1911="","",IFERROR(INDEX($S$5:$S$304,MATCH(C1911,$R$5:$R$304,0))&amp;"","?"))</f>
        <v>33</v>
      </c>
      <c r="N1911" s="2" t="n">
        <f aca="false">IF(E1911="","",IF(ISNUMBER(SEARCH("SUBSOLO",E1911)),IFERROR(-VALUE(LEFT(E1911,FIND("º",SUBSTITUTE(E1911,"°","º"))-1)),-1),IF(LEFT(E1911,6)="TÉRREO",0,IFERROR(VALUE(LEFT(E1911,FIND("º",SUBSTITUTE(E1911,"°","º"))-1)),""))))</f>
        <v>30</v>
      </c>
      <c r="O1911" s="2" t="str">
        <f aca="false">IF(OR(F1911="",G1911=""),"",IF(G1911&lt;='RETRATO 2027'!$K$5,"CONCLUÍDA",IF(F1911&lt;='RETRATO 2027'!$K$5,"EM ANDAMENTO","A INICIAR")))</f>
        <v>A INICIAR</v>
      </c>
    </row>
    <row r="1912" customFormat="false" ht="15" hidden="false" customHeight="false" outlineLevel="0" collapsed="false">
      <c r="B1912" s="4" t="n">
        <v>29980661</v>
      </c>
      <c r="C1912" s="4" t="s">
        <v>2508</v>
      </c>
      <c r="D1912" s="4" t="s">
        <v>463</v>
      </c>
      <c r="E1912" s="4" t="s">
        <v>2843</v>
      </c>
      <c r="F1912" s="127" t="n">
        <v>46972</v>
      </c>
      <c r="G1912" s="127" t="n">
        <v>46983</v>
      </c>
      <c r="H1912" s="127" t="n">
        <v>46289</v>
      </c>
      <c r="I1912" s="4" t="n">
        <v>0</v>
      </c>
      <c r="J1912" s="4" t="n">
        <v>0</v>
      </c>
      <c r="K1912" s="4" t="n">
        <v>0</v>
      </c>
      <c r="M1912" s="2" t="str">
        <f aca="false">IF(C1912="","",IFERROR(INDEX($S$5:$S$304,MATCH(C1912,$R$5:$R$304,0))&amp;"","?"))</f>
        <v>20</v>
      </c>
      <c r="N1912" s="2" t="n">
        <f aca="false">IF(E1912="","",IF(ISNUMBER(SEARCH("SUBSOLO",E1912)),IFERROR(-VALUE(LEFT(E1912,FIND("º",SUBSTITUTE(E1912,"°","º"))-1)),-1),IF(LEFT(E1912,6)="TÉRREO",0,IFERROR(VALUE(LEFT(E1912,FIND("º",SUBSTITUTE(E1912,"°","º"))-1)),""))))</f>
        <v>31</v>
      </c>
      <c r="O1912" s="2" t="str">
        <f aca="false">IF(OR(F1912="",G1912=""),"",IF(G1912&lt;='RETRATO 2027'!$K$5,"CONCLUÍDA",IF(F1912&lt;='RETRATO 2027'!$K$5,"EM ANDAMENTO","A INICIAR")))</f>
        <v>A INICIAR</v>
      </c>
    </row>
    <row r="1913" customFormat="false" ht="15" hidden="false" customHeight="false" outlineLevel="0" collapsed="false">
      <c r="B1913" s="4" t="n">
        <v>29980666</v>
      </c>
      <c r="C1913" s="4" t="s">
        <v>2511</v>
      </c>
      <c r="D1913" s="4" t="s">
        <v>463</v>
      </c>
      <c r="E1913" s="4" t="s">
        <v>2843</v>
      </c>
      <c r="F1913" s="127" t="n">
        <v>46972</v>
      </c>
      <c r="G1913" s="127" t="n">
        <v>46983</v>
      </c>
      <c r="H1913" s="127" t="n">
        <v>46289</v>
      </c>
      <c r="I1913" s="4" t="n">
        <v>0</v>
      </c>
      <c r="J1913" s="4" t="n">
        <v>0</v>
      </c>
      <c r="K1913" s="4" t="n">
        <v>0</v>
      </c>
      <c r="M1913" s="2" t="str">
        <f aca="false">IF(C1913="","",IFERROR(INDEX($S$5:$S$304,MATCH(C1913,$R$5:$R$304,0))&amp;"","?"))</f>
        <v>20</v>
      </c>
      <c r="N1913" s="2" t="n">
        <f aca="false">IF(E1913="","",IF(ISNUMBER(SEARCH("SUBSOLO",E1913)),IFERROR(-VALUE(LEFT(E1913,FIND("º",SUBSTITUTE(E1913,"°","º"))-1)),-1),IF(LEFT(E1913,6)="TÉRREO",0,IFERROR(VALUE(LEFT(E1913,FIND("º",SUBSTITUTE(E1913,"°","º"))-1)),""))))</f>
        <v>31</v>
      </c>
      <c r="O1913" s="2" t="str">
        <f aca="false">IF(OR(F1913="",G1913=""),"",IF(G1913&lt;='RETRATO 2027'!$K$5,"CONCLUÍDA",IF(F1913&lt;='RETRATO 2027'!$K$5,"EM ANDAMENTO","A INICIAR")))</f>
        <v>A INICIAR</v>
      </c>
    </row>
    <row r="1914" customFormat="false" ht="15" hidden="false" customHeight="false" outlineLevel="0" collapsed="false">
      <c r="B1914" s="4" t="n">
        <v>30214093</v>
      </c>
      <c r="C1914" s="4" t="s">
        <v>2514</v>
      </c>
      <c r="D1914" s="4" t="s">
        <v>463</v>
      </c>
      <c r="E1914" s="4" t="s">
        <v>2843</v>
      </c>
      <c r="F1914" s="127" t="n">
        <v>46972</v>
      </c>
      <c r="G1914" s="127" t="n">
        <v>46986</v>
      </c>
      <c r="H1914" s="127" t="n">
        <v>46289</v>
      </c>
      <c r="I1914" s="4" t="n">
        <v>0</v>
      </c>
      <c r="J1914" s="4" t="n">
        <v>0</v>
      </c>
      <c r="K1914" s="4" t="n">
        <v>0</v>
      </c>
      <c r="M1914" s="2" t="str">
        <f aca="false">IF(C1914="","",IFERROR(INDEX($S$5:$S$304,MATCH(C1914,$R$5:$R$304,0))&amp;"","?"))</f>
        <v>20</v>
      </c>
      <c r="N1914" s="2" t="n">
        <f aca="false">IF(E1914="","",IF(ISNUMBER(SEARCH("SUBSOLO",E1914)),IFERROR(-VALUE(LEFT(E1914,FIND("º",SUBSTITUTE(E1914,"°","º"))-1)),-1),IF(LEFT(E1914,6)="TÉRREO",0,IFERROR(VALUE(LEFT(E1914,FIND("º",SUBSTITUTE(E1914,"°","º"))-1)),""))))</f>
        <v>31</v>
      </c>
      <c r="O1914" s="2" t="str">
        <f aca="false">IF(OR(F1914="",G1914=""),"",IF(G1914&lt;='RETRATO 2027'!$K$5,"CONCLUÍDA",IF(F1914&lt;='RETRATO 2027'!$K$5,"EM ANDAMENTO","A INICIAR")))</f>
        <v>A INICIAR</v>
      </c>
    </row>
    <row r="1915" customFormat="false" ht="15" hidden="false" customHeight="false" outlineLevel="0" collapsed="false">
      <c r="B1915" s="4" t="n">
        <v>29980608</v>
      </c>
      <c r="C1915" s="4" t="s">
        <v>2501</v>
      </c>
      <c r="D1915" s="4" t="s">
        <v>463</v>
      </c>
      <c r="E1915" s="4" t="s">
        <v>2844</v>
      </c>
      <c r="F1915" s="127" t="n">
        <v>46972</v>
      </c>
      <c r="G1915" s="127" t="n">
        <v>46983</v>
      </c>
      <c r="H1915" s="127" t="n">
        <v>46289</v>
      </c>
      <c r="I1915" s="4" t="n">
        <v>0</v>
      </c>
      <c r="J1915" s="4" t="n">
        <v>0</v>
      </c>
      <c r="K1915" s="4" t="n">
        <v>0</v>
      </c>
      <c r="M1915" s="2" t="str">
        <f aca="false">IF(C1915="","",IFERROR(INDEX($S$5:$S$304,MATCH(C1915,$R$5:$R$304,0))&amp;"","?"))</f>
        <v>30</v>
      </c>
      <c r="N1915" s="2" t="n">
        <f aca="false">IF(E1915="","",IF(ISNUMBER(SEARCH("SUBSOLO",E1915)),IFERROR(-VALUE(LEFT(E1915,FIND("º",SUBSTITUTE(E1915,"°","º"))-1)),-1),IF(LEFT(E1915,6)="TÉRREO",0,IFERROR(VALUE(LEFT(E1915,FIND("º",SUBSTITUTE(E1915,"°","º"))-1)),""))))</f>
        <v>32</v>
      </c>
      <c r="O1915" s="2" t="str">
        <f aca="false">IF(OR(F1915="",G1915=""),"",IF(G1915&lt;='RETRATO 2027'!$K$5,"CONCLUÍDA",IF(F1915&lt;='RETRATO 2027'!$K$5,"EM ANDAMENTO","A INICIAR")))</f>
        <v>A INICIAR</v>
      </c>
    </row>
    <row r="1916" customFormat="false" ht="15" hidden="false" customHeight="false" outlineLevel="0" collapsed="false">
      <c r="B1916" s="4" t="n">
        <v>30214415</v>
      </c>
      <c r="C1916" s="4" t="s">
        <v>1367</v>
      </c>
      <c r="D1916" s="4" t="s">
        <v>463</v>
      </c>
      <c r="E1916" s="4" t="s">
        <v>2853</v>
      </c>
      <c r="F1916" s="127" t="n">
        <v>46972</v>
      </c>
      <c r="G1916" s="127" t="n">
        <v>46986</v>
      </c>
      <c r="H1916" s="127" t="n">
        <v>46289</v>
      </c>
      <c r="I1916" s="4" t="n">
        <v>0</v>
      </c>
      <c r="J1916" s="4" t="n">
        <v>0</v>
      </c>
      <c r="K1916" s="4" t="n">
        <v>0</v>
      </c>
      <c r="M1916" s="2" t="str">
        <f aca="false">IF(C1916="","",IFERROR(INDEX($S$5:$S$304,MATCH(C1916,$R$5:$R$304,0))&amp;"","?"))</f>
        <v>20</v>
      </c>
      <c r="N1916" s="2" t="n">
        <f aca="false">IF(E1916="","",IF(ISNUMBER(SEARCH("SUBSOLO",E1916)),IFERROR(-VALUE(LEFT(E1916,FIND("º",SUBSTITUTE(E1916,"°","º"))-1)),-1),IF(LEFT(E1916,6)="TÉRREO",0,IFERROR(VALUE(LEFT(E1916,FIND("º",SUBSTITUTE(E1916,"°","º"))-1)),""))))</f>
        <v>34</v>
      </c>
      <c r="O1916" s="2" t="str">
        <f aca="false">IF(OR(F1916="",G1916=""),"",IF(G1916&lt;='RETRATO 2027'!$K$5,"CONCLUÍDA",IF(F1916&lt;='RETRATO 2027'!$K$5,"EM ANDAMENTO","A INICIAR")))</f>
        <v>A INICIAR</v>
      </c>
    </row>
    <row r="1917" customFormat="false" ht="15" hidden="false" customHeight="false" outlineLevel="0" collapsed="false">
      <c r="B1917" s="4" t="n">
        <v>30205906</v>
      </c>
      <c r="C1917" s="4" t="s">
        <v>228</v>
      </c>
      <c r="D1917" s="4" t="s">
        <v>463</v>
      </c>
      <c r="E1917" s="4" t="s">
        <v>2845</v>
      </c>
      <c r="F1917" s="127" t="n">
        <v>46973</v>
      </c>
      <c r="G1917" s="127" t="n">
        <v>47004</v>
      </c>
      <c r="H1917" s="127" t="n">
        <v>46289</v>
      </c>
      <c r="I1917" s="4" t="n">
        <v>0</v>
      </c>
      <c r="J1917" s="4" t="n">
        <v>0</v>
      </c>
      <c r="K1917" s="4" t="n">
        <v>0</v>
      </c>
      <c r="M1917" s="2" t="str">
        <f aca="false">IF(C1917="","",IFERROR(INDEX($S$5:$S$304,MATCH(C1917,$R$5:$R$304,0))&amp;"","?"))</f>
        <v>36</v>
      </c>
      <c r="N1917" s="2" t="n">
        <f aca="false">IF(E1917="","",IF(ISNUMBER(SEARCH("SUBSOLO",E1917)),IFERROR(-VALUE(LEFT(E1917,FIND("º",SUBSTITUTE(E1917,"°","º"))-1)),-1),IF(LEFT(E1917,6)="TÉRREO",0,IFERROR(VALUE(LEFT(E1917,FIND("º",SUBSTITUTE(E1917,"°","º"))-1)),""))))</f>
        <v>6</v>
      </c>
      <c r="O1917" s="2" t="str">
        <f aca="false">IF(OR(F1917="",G1917=""),"",IF(G1917&lt;='RETRATO 2027'!$K$5,"CONCLUÍDA",IF(F1917&lt;='RETRATO 2027'!$K$5,"EM ANDAMENTO","A INICIAR")))</f>
        <v>A INICIAR</v>
      </c>
    </row>
    <row r="1918" customFormat="false" ht="15" hidden="false" customHeight="false" outlineLevel="0" collapsed="false">
      <c r="B1918" s="4" t="n">
        <v>30205882</v>
      </c>
      <c r="C1918" s="4" t="s">
        <v>2711</v>
      </c>
      <c r="D1918" s="4" t="s">
        <v>463</v>
      </c>
      <c r="E1918" s="4" t="s">
        <v>2845</v>
      </c>
      <c r="F1918" s="127" t="n">
        <v>46973</v>
      </c>
      <c r="G1918" s="127" t="n">
        <v>47036</v>
      </c>
      <c r="H1918" s="127" t="n">
        <v>46289</v>
      </c>
      <c r="I1918" s="4" t="n">
        <v>0</v>
      </c>
      <c r="J1918" s="4" t="n">
        <v>0</v>
      </c>
      <c r="K1918" s="4" t="n">
        <v>0</v>
      </c>
      <c r="M1918" s="2" t="str">
        <f aca="false">IF(C1918="","",IFERROR(INDEX($S$5:$S$304,MATCH(C1918,$R$5:$R$304,0))&amp;"","?"))</f>
        <v>31</v>
      </c>
      <c r="N1918" s="2" t="n">
        <f aca="false">IF(E1918="","",IF(ISNUMBER(SEARCH("SUBSOLO",E1918)),IFERROR(-VALUE(LEFT(E1918,FIND("º",SUBSTITUTE(E1918,"°","º"))-1)),-1),IF(LEFT(E1918,6)="TÉRREO",0,IFERROR(VALUE(LEFT(E1918,FIND("º",SUBSTITUTE(E1918,"°","º"))-1)),""))))</f>
        <v>6</v>
      </c>
      <c r="O1918" s="2" t="str">
        <f aca="false">IF(OR(F1918="",G1918=""),"",IF(G1918&lt;='RETRATO 2027'!$K$5,"CONCLUÍDA",IF(F1918&lt;='RETRATO 2027'!$K$5,"EM ANDAMENTO","A INICIAR")))</f>
        <v>A INICIAR</v>
      </c>
    </row>
    <row r="1919" customFormat="false" ht="15" hidden="false" customHeight="false" outlineLevel="0" collapsed="false">
      <c r="B1919" s="4" t="n">
        <v>32750445</v>
      </c>
      <c r="C1919" s="4" t="s">
        <v>2470</v>
      </c>
      <c r="D1919" s="4" t="s">
        <v>463</v>
      </c>
      <c r="E1919" s="4" t="s">
        <v>2822</v>
      </c>
      <c r="F1919" s="127" t="n">
        <v>46973</v>
      </c>
      <c r="G1919" s="127" t="n">
        <v>46986</v>
      </c>
      <c r="H1919" s="127" t="n">
        <v>46289</v>
      </c>
      <c r="I1919" s="4" t="n">
        <v>0</v>
      </c>
      <c r="J1919" s="4" t="n">
        <v>0</v>
      </c>
      <c r="K1919" s="4" t="n">
        <v>0</v>
      </c>
      <c r="M1919" s="2" t="str">
        <f aca="false">IF(C1919="","",IFERROR(INDEX($S$5:$S$304,MATCH(C1919,$R$5:$R$304,0))&amp;"","?"))</f>
        <v>18</v>
      </c>
      <c r="N1919" s="2" t="n">
        <f aca="false">IF(E1919="","",IF(ISNUMBER(SEARCH("SUBSOLO",E1919)),IFERROR(-VALUE(LEFT(E1919,FIND("º",SUBSTITUTE(E1919,"°","º"))-1)),-1),IF(LEFT(E1919,6)="TÉRREO",0,IFERROR(VALUE(LEFT(E1919,FIND("º",SUBSTITUTE(E1919,"°","º"))-1)),""))))</f>
        <v>19</v>
      </c>
      <c r="O1919" s="2" t="str">
        <f aca="false">IF(OR(F1919="",G1919=""),"",IF(G1919&lt;='RETRATO 2027'!$K$5,"CONCLUÍDA",IF(F1919&lt;='RETRATO 2027'!$K$5,"EM ANDAMENTO","A INICIAR")))</f>
        <v>A INICIAR</v>
      </c>
    </row>
    <row r="1920" customFormat="false" ht="15" hidden="false" customHeight="false" outlineLevel="0" collapsed="false">
      <c r="B1920" s="4" t="n">
        <v>30171469</v>
      </c>
      <c r="C1920" s="4" t="s">
        <v>2619</v>
      </c>
      <c r="D1920" s="4" t="s">
        <v>463</v>
      </c>
      <c r="E1920" s="4" t="s">
        <v>2784</v>
      </c>
      <c r="F1920" s="127" t="n">
        <v>46974</v>
      </c>
      <c r="G1920" s="127" t="n">
        <v>47002</v>
      </c>
      <c r="H1920" s="127" t="n">
        <v>46289</v>
      </c>
      <c r="I1920" s="4" t="n">
        <v>0</v>
      </c>
      <c r="J1920" s="4" t="n">
        <v>0</v>
      </c>
      <c r="K1920" s="4" t="n">
        <v>0</v>
      </c>
      <c r="M1920" s="2" t="str">
        <f aca="false">IF(C1920="","",IFERROR(INDEX($S$5:$S$304,MATCH(C1920,$R$5:$R$304,0))&amp;"","?"))</f>
        <v>30</v>
      </c>
      <c r="N1920" s="2" t="n">
        <f aca="false">IF(E1920="","",IF(ISNUMBER(SEARCH("SUBSOLO",E1920)),IFERROR(-VALUE(LEFT(E1920,FIND("º",SUBSTITUTE(E1920,"°","º"))-1)),-1),IF(LEFT(E1920,6)="TÉRREO",0,IFERROR(VALUE(LEFT(E1920,FIND("º",SUBSTITUTE(E1920,"°","º"))-1)),""))))</f>
        <v>2</v>
      </c>
      <c r="O1920" s="2" t="str">
        <f aca="false">IF(OR(F1920="",G1920=""),"",IF(G1920&lt;='RETRATO 2027'!$K$5,"CONCLUÍDA",IF(F1920&lt;='RETRATO 2027'!$K$5,"EM ANDAMENTO","A INICIAR")))</f>
        <v>A INICIAR</v>
      </c>
    </row>
    <row r="1921" customFormat="false" ht="15" hidden="false" customHeight="false" outlineLevel="0" collapsed="false">
      <c r="B1921" s="4" t="n">
        <v>30205939</v>
      </c>
      <c r="C1921" s="4" t="s">
        <v>2702</v>
      </c>
      <c r="D1921" s="4" t="s">
        <v>463</v>
      </c>
      <c r="E1921" s="4" t="s">
        <v>2790</v>
      </c>
      <c r="F1921" s="127" t="n">
        <v>46974</v>
      </c>
      <c r="G1921" s="127" t="n">
        <v>46988</v>
      </c>
      <c r="H1921" s="127" t="n">
        <v>46289</v>
      </c>
      <c r="I1921" s="4" t="n">
        <v>0</v>
      </c>
      <c r="J1921" s="4" t="n">
        <v>0</v>
      </c>
      <c r="K1921" s="4" t="n">
        <v>0</v>
      </c>
      <c r="M1921" s="2" t="str">
        <f aca="false">IF(C1921="","",IFERROR(INDEX($S$5:$S$304,MATCH(C1921,$R$5:$R$304,0))&amp;"","?"))</f>
        <v>25</v>
      </c>
      <c r="N1921" s="2" t="n">
        <f aca="false">IF(E1921="","",IF(ISNUMBER(SEARCH("SUBSOLO",E1921)),IFERROR(-VALUE(LEFT(E1921,FIND("º",SUBSTITUTE(E1921,"°","º"))-1)),-1),IF(LEFT(E1921,6)="TÉRREO",0,IFERROR(VALUE(LEFT(E1921,FIND("º",SUBSTITUTE(E1921,"°","º"))-1)),""))))</f>
        <v>3</v>
      </c>
      <c r="O1921" s="2" t="str">
        <f aca="false">IF(OR(F1921="",G1921=""),"",IF(G1921&lt;='RETRATO 2027'!$K$5,"CONCLUÍDA",IF(F1921&lt;='RETRATO 2027'!$K$5,"EM ANDAMENTO","A INICIAR")))</f>
        <v>A INICIAR</v>
      </c>
    </row>
    <row r="1922" customFormat="false" ht="15" hidden="false" customHeight="false" outlineLevel="0" collapsed="false">
      <c r="B1922" s="4" t="n">
        <v>30205936</v>
      </c>
      <c r="C1922" s="4" t="s">
        <v>228</v>
      </c>
      <c r="D1922" s="4" t="s">
        <v>463</v>
      </c>
      <c r="E1922" s="4" t="s">
        <v>2800</v>
      </c>
      <c r="F1922" s="127" t="n">
        <v>46974</v>
      </c>
      <c r="G1922" s="127" t="n">
        <v>46988</v>
      </c>
      <c r="H1922" s="127" t="n">
        <v>46289</v>
      </c>
      <c r="I1922" s="4" t="n">
        <v>0</v>
      </c>
      <c r="J1922" s="4" t="n">
        <v>0</v>
      </c>
      <c r="K1922" s="4" t="n">
        <v>0</v>
      </c>
      <c r="M1922" s="2" t="str">
        <f aca="false">IF(C1922="","",IFERROR(INDEX($S$5:$S$304,MATCH(C1922,$R$5:$R$304,0))&amp;"","?"))</f>
        <v>36</v>
      </c>
      <c r="N1922" s="2" t="n">
        <f aca="false">IF(E1922="","",IF(ISNUMBER(SEARCH("SUBSOLO",E1922)),IFERROR(-VALUE(LEFT(E1922,FIND("º",SUBSTITUTE(E1922,"°","º"))-1)),-1),IF(LEFT(E1922,6)="TÉRREO",0,IFERROR(VALUE(LEFT(E1922,FIND("º",SUBSTITUTE(E1922,"°","º"))-1)),""))))</f>
        <v>4</v>
      </c>
      <c r="O1922" s="2" t="str">
        <f aca="false">IF(OR(F1922="",G1922=""),"",IF(G1922&lt;='RETRATO 2027'!$K$5,"CONCLUÍDA",IF(F1922&lt;='RETRATO 2027'!$K$5,"EM ANDAMENTO","A INICIAR")))</f>
        <v>A INICIAR</v>
      </c>
    </row>
    <row r="1923" customFormat="false" ht="15" hidden="false" customHeight="false" outlineLevel="0" collapsed="false">
      <c r="B1923" s="4" t="n">
        <v>30205838</v>
      </c>
      <c r="C1923" s="4" t="s">
        <v>2563</v>
      </c>
      <c r="D1923" s="4" t="s">
        <v>463</v>
      </c>
      <c r="E1923" s="4" t="s">
        <v>2782</v>
      </c>
      <c r="F1923" s="127" t="n">
        <v>46975</v>
      </c>
      <c r="G1923" s="127" t="n">
        <v>46982</v>
      </c>
      <c r="H1923" s="127" t="n">
        <v>46289</v>
      </c>
      <c r="I1923" s="4" t="n">
        <v>0</v>
      </c>
      <c r="J1923" s="4" t="n">
        <v>0</v>
      </c>
      <c r="K1923" s="4" t="n">
        <v>0</v>
      </c>
      <c r="M1923" s="2" t="str">
        <f aca="false">IF(C1923="","",IFERROR(INDEX($S$5:$S$304,MATCH(C1923,$R$5:$R$304,0))&amp;"","?"))</f>
        <v>20</v>
      </c>
      <c r="N1923" s="2" t="n">
        <f aca="false">IF(E1923="","",IF(ISNUMBER(SEARCH("SUBSOLO",E1923)),IFERROR(-VALUE(LEFT(E1923,FIND("º",SUBSTITUTE(E1923,"°","º"))-1)),-1),IF(LEFT(E1923,6)="TÉRREO",0,IFERROR(VALUE(LEFT(E1923,FIND("º",SUBSTITUTE(E1923,"°","º"))-1)),""))))</f>
        <v>1</v>
      </c>
      <c r="O1923" s="2" t="str">
        <f aca="false">IF(OR(F1923="",G1923=""),"",IF(G1923&lt;='RETRATO 2027'!$K$5,"CONCLUÍDA",IF(F1923&lt;='RETRATO 2027'!$K$5,"EM ANDAMENTO","A INICIAR")))</f>
        <v>A INICIAR</v>
      </c>
    </row>
    <row r="1924" customFormat="false" ht="15" hidden="false" customHeight="false" outlineLevel="0" collapsed="false">
      <c r="B1924" s="4" t="n">
        <v>33919462</v>
      </c>
      <c r="C1924" s="4" t="s">
        <v>2554</v>
      </c>
      <c r="D1924" s="4" t="s">
        <v>463</v>
      </c>
      <c r="E1924" s="4" t="s">
        <v>2816</v>
      </c>
      <c r="F1924" s="127" t="n">
        <v>46975</v>
      </c>
      <c r="G1924" s="127" t="n">
        <v>47064</v>
      </c>
      <c r="H1924" s="127" t="n">
        <v>46289</v>
      </c>
      <c r="I1924" s="4" t="n">
        <v>0</v>
      </c>
      <c r="J1924" s="4" t="n">
        <v>0</v>
      </c>
      <c r="K1924" s="4" t="n">
        <v>0</v>
      </c>
      <c r="M1924" s="2" t="str">
        <f aca="false">IF(C1924="","",IFERROR(INDEX($S$5:$S$304,MATCH(C1924,$R$5:$R$304,0))&amp;"","?"))</f>
        <v>35</v>
      </c>
      <c r="N1924" s="2" t="str">
        <f aca="false"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 t="str">
        <f aca="false">IF(OR(F1924="",G1924=""),"",IF(G1924&lt;='RETRATO 2027'!$K$5,"CONCLUÍDA",IF(F1924&lt;='RETRATO 2027'!$K$5,"EM ANDAMENTO","A INICIAR")))</f>
        <v>A INICIAR</v>
      </c>
    </row>
    <row r="1925" customFormat="false" ht="15" hidden="false" customHeight="false" outlineLevel="0" collapsed="false">
      <c r="B1925" s="4" t="n">
        <v>30206111</v>
      </c>
      <c r="C1925" s="4" t="s">
        <v>2563</v>
      </c>
      <c r="D1925" s="4" t="s">
        <v>463</v>
      </c>
      <c r="E1925" s="4" t="s">
        <v>2846</v>
      </c>
      <c r="F1925" s="127" t="n">
        <v>46976</v>
      </c>
      <c r="G1925" s="127" t="n">
        <v>46990</v>
      </c>
      <c r="H1925" s="127" t="n">
        <v>46289</v>
      </c>
      <c r="I1925" s="4" t="n">
        <v>0</v>
      </c>
      <c r="J1925" s="4" t="n">
        <v>0</v>
      </c>
      <c r="K1925" s="4" t="n">
        <v>0</v>
      </c>
      <c r="M1925" s="2" t="str">
        <f aca="false">IF(C1925="","",IFERROR(INDEX($S$5:$S$304,MATCH(C1925,$R$5:$R$304,0))&amp;"","?"))</f>
        <v>20</v>
      </c>
      <c r="N1925" s="2" t="n">
        <f aca="false">IF(E1925="","",IF(ISNUMBER(SEARCH("SUBSOLO",E1925)),IFERROR(-VALUE(LEFT(E1925,FIND("º",SUBSTITUTE(E1925,"°","º"))-1)),-1),IF(LEFT(E1925,6)="TÉRREO",0,IFERROR(VALUE(LEFT(E1925,FIND("º",SUBSTITUTE(E1925,"°","º"))-1)),""))))</f>
        <v>6</v>
      </c>
      <c r="O1925" s="2" t="str">
        <f aca="false">IF(OR(F1925="",G1925=""),"",IF(G1925&lt;='RETRATO 2027'!$K$5,"CONCLUÍDA",IF(F1925&lt;='RETRATO 2027'!$K$5,"EM ANDAMENTO","A INICIAR")))</f>
        <v>A INICIAR</v>
      </c>
    </row>
    <row r="1926" customFormat="false" ht="15" hidden="false" customHeight="false" outlineLevel="0" collapsed="false">
      <c r="B1926" s="4" t="n">
        <v>30208617</v>
      </c>
      <c r="C1926" s="4" t="s">
        <v>2584</v>
      </c>
      <c r="D1926" s="4" t="s">
        <v>463</v>
      </c>
      <c r="E1926" s="4" t="s">
        <v>2846</v>
      </c>
      <c r="F1926" s="127" t="n">
        <v>46976</v>
      </c>
      <c r="G1926" s="127" t="n">
        <v>46983</v>
      </c>
      <c r="H1926" s="127" t="n">
        <v>46289</v>
      </c>
      <c r="I1926" s="4" t="n">
        <v>0</v>
      </c>
      <c r="J1926" s="4" t="n">
        <v>0</v>
      </c>
      <c r="K1926" s="4" t="n">
        <v>0</v>
      </c>
      <c r="M1926" s="2" t="str">
        <f aca="false">IF(C1926="","",IFERROR(INDEX($S$5:$S$304,MATCH(C1926,$R$5:$R$304,0))&amp;"","?"))</f>
        <v>20</v>
      </c>
      <c r="N1926" s="2" t="n">
        <f aca="false">IF(E1926="","",IF(ISNUMBER(SEARCH("SUBSOLO",E1926)),IFERROR(-VALUE(LEFT(E1926,FIND("º",SUBSTITUTE(E1926,"°","º"))-1)),-1),IF(LEFT(E1926,6)="TÉRREO",0,IFERROR(VALUE(LEFT(E1926,FIND("º",SUBSTITUTE(E1926,"°","º"))-1)),""))))</f>
        <v>6</v>
      </c>
      <c r="O1926" s="2" t="str">
        <f aca="false">IF(OR(F1926="",G1926=""),"",IF(G1926&lt;='RETRATO 2027'!$K$5,"CONCLUÍDA",IF(F1926&lt;='RETRATO 2027'!$K$5,"EM ANDAMENTO","A INICIAR")))</f>
        <v>A INICIAR</v>
      </c>
    </row>
    <row r="1927" customFormat="false" ht="15" hidden="false" customHeight="false" outlineLevel="0" collapsed="false">
      <c r="B1927" s="4" t="n">
        <v>30206092</v>
      </c>
      <c r="C1927" s="4" t="s">
        <v>2539</v>
      </c>
      <c r="D1927" s="4" t="s">
        <v>463</v>
      </c>
      <c r="E1927" s="4" t="s">
        <v>2847</v>
      </c>
      <c r="F1927" s="127" t="n">
        <v>46976</v>
      </c>
      <c r="G1927" s="127" t="n">
        <v>46990</v>
      </c>
      <c r="H1927" s="127" t="n">
        <v>46289</v>
      </c>
      <c r="I1927" s="4" t="n">
        <v>0</v>
      </c>
      <c r="J1927" s="4" t="n">
        <v>0</v>
      </c>
      <c r="K1927" s="4" t="n">
        <v>0</v>
      </c>
      <c r="M1927" s="2" t="str">
        <f aca="false">IF(C1927="","",IFERROR(INDEX($S$5:$S$304,MATCH(C1927,$R$5:$R$304,0))&amp;"","?"))</f>
        <v>35</v>
      </c>
      <c r="N1927" s="2" t="n">
        <f aca="false">IF(E1927="","",IF(ISNUMBER(SEARCH("SUBSOLO",E1927)),IFERROR(-VALUE(LEFT(E1927,FIND("º",SUBSTITUTE(E1927,"°","º"))-1)),-1),IF(LEFT(E1927,6)="TÉRREO",0,IFERROR(VALUE(LEFT(E1927,FIND("º",SUBSTITUTE(E1927,"°","º"))-1)),""))))</f>
        <v>6</v>
      </c>
      <c r="O1927" s="2" t="str">
        <f aca="false">IF(OR(F1927="",G1927=""),"",IF(G1927&lt;='RETRATO 2027'!$K$5,"CONCLUÍDA",IF(F1927&lt;='RETRATO 2027'!$K$5,"EM ANDAMENTO","A INICIAR")))</f>
        <v>A INICIAR</v>
      </c>
    </row>
    <row r="1928" customFormat="false" ht="15" hidden="false" customHeight="false" outlineLevel="0" collapsed="false">
      <c r="B1928" s="4" t="n">
        <v>30206053</v>
      </c>
      <c r="C1928" s="4" t="s">
        <v>216</v>
      </c>
      <c r="D1928" s="4" t="s">
        <v>463</v>
      </c>
      <c r="E1928" s="4" t="s">
        <v>2848</v>
      </c>
      <c r="F1928" s="127" t="n">
        <v>46976</v>
      </c>
      <c r="G1928" s="127" t="n">
        <v>46990</v>
      </c>
      <c r="H1928" s="127" t="n">
        <v>46289</v>
      </c>
      <c r="I1928" s="4" t="n">
        <v>0</v>
      </c>
      <c r="J1928" s="4" t="n">
        <v>0</v>
      </c>
      <c r="K1928" s="4" t="n">
        <v>0</v>
      </c>
      <c r="M1928" s="2" t="str">
        <f aca="false">IF(C1928="","",IFERROR(INDEX($S$5:$S$304,MATCH(C1928,$R$5:$R$304,0))&amp;"","?"))</f>
        <v>33</v>
      </c>
      <c r="N1928" s="2" t="n">
        <f aca="false">IF(E1928="","",IF(ISNUMBER(SEARCH("SUBSOLO",E1928)),IFERROR(-VALUE(LEFT(E1928,FIND("º",SUBSTITUTE(E1928,"°","º"))-1)),-1),IF(LEFT(E1928,6)="TÉRREO",0,IFERROR(VALUE(LEFT(E1928,FIND("º",SUBSTITUTE(E1928,"°","º"))-1)),""))))</f>
        <v>6</v>
      </c>
      <c r="O1928" s="2" t="str">
        <f aca="false">IF(OR(F1928="",G1928=""),"",IF(G1928&lt;='RETRATO 2027'!$K$5,"CONCLUÍDA",IF(F1928&lt;='RETRATO 2027'!$K$5,"EM ANDAMENTO","A INICIAR")))</f>
        <v>A INICIAR</v>
      </c>
    </row>
    <row r="1929" customFormat="false" ht="15" hidden="false" customHeight="false" outlineLevel="0" collapsed="false">
      <c r="B1929" s="4" t="n">
        <v>30206014</v>
      </c>
      <c r="C1929" s="4" t="s">
        <v>2508</v>
      </c>
      <c r="D1929" s="4" t="s">
        <v>463</v>
      </c>
      <c r="E1929" s="4" t="s">
        <v>2849</v>
      </c>
      <c r="F1929" s="127" t="n">
        <v>46976</v>
      </c>
      <c r="G1929" s="127" t="n">
        <v>46990</v>
      </c>
      <c r="H1929" s="127" t="n">
        <v>46289</v>
      </c>
      <c r="I1929" s="4" t="n">
        <v>0</v>
      </c>
      <c r="J1929" s="4" t="n">
        <v>0</v>
      </c>
      <c r="K1929" s="4" t="n">
        <v>0</v>
      </c>
      <c r="M1929" s="2" t="str">
        <f aca="false">IF(C1929="","",IFERROR(INDEX($S$5:$S$304,MATCH(C1929,$R$5:$R$304,0))&amp;"","?"))</f>
        <v>20</v>
      </c>
      <c r="N1929" s="2" t="n">
        <f aca="false">IF(E1929="","",IF(ISNUMBER(SEARCH("SUBSOLO",E1929)),IFERROR(-VALUE(LEFT(E1929,FIND("º",SUBSTITUTE(E1929,"°","º"))-1)),-1),IF(LEFT(E1929,6)="TÉRREO",0,IFERROR(VALUE(LEFT(E1929,FIND("º",SUBSTITUTE(E1929,"°","º"))-1)),""))))</f>
        <v>6</v>
      </c>
      <c r="O1929" s="2" t="str">
        <f aca="false">IF(OR(F1929="",G1929=""),"",IF(G1929&lt;='RETRATO 2027'!$K$5,"CONCLUÍDA",IF(F1929&lt;='RETRATO 2027'!$K$5,"EM ANDAMENTO","A INICIAR")))</f>
        <v>A INICIAR</v>
      </c>
    </row>
    <row r="1930" customFormat="false" ht="15" hidden="false" customHeight="false" outlineLevel="0" collapsed="false">
      <c r="B1930" s="4" t="n">
        <v>30214067</v>
      </c>
      <c r="C1930" s="4" t="s">
        <v>2514</v>
      </c>
      <c r="D1930" s="4" t="s">
        <v>463</v>
      </c>
      <c r="E1930" s="4" t="s">
        <v>2849</v>
      </c>
      <c r="F1930" s="127" t="n">
        <v>46976</v>
      </c>
      <c r="G1930" s="127" t="n">
        <v>46990</v>
      </c>
      <c r="H1930" s="127" t="n">
        <v>46289</v>
      </c>
      <c r="I1930" s="4" t="n">
        <v>0</v>
      </c>
      <c r="J1930" s="4" t="n">
        <v>0</v>
      </c>
      <c r="K1930" s="4" t="n">
        <v>0</v>
      </c>
      <c r="M1930" s="2" t="str">
        <f aca="false">IF(C1930="","",IFERROR(INDEX($S$5:$S$304,MATCH(C1930,$R$5:$R$304,0))&amp;"","?"))</f>
        <v>20</v>
      </c>
      <c r="N1930" s="2" t="n">
        <f aca="false">IF(E1930="","",IF(ISNUMBER(SEARCH("SUBSOLO",E1930)),IFERROR(-VALUE(LEFT(E1930,FIND("º",SUBSTITUTE(E1930,"°","º"))-1)),-1),IF(LEFT(E1930,6)="TÉRREO",0,IFERROR(VALUE(LEFT(E1930,FIND("º",SUBSTITUTE(E1930,"°","º"))-1)),""))))</f>
        <v>6</v>
      </c>
      <c r="O1930" s="2" t="str">
        <f aca="false">IF(OR(F1930="",G1930=""),"",IF(G1930&lt;='RETRATO 2027'!$K$5,"CONCLUÍDA",IF(F1930&lt;='RETRATO 2027'!$K$5,"EM ANDAMENTO","A INICIAR")))</f>
        <v>A INICIAR</v>
      </c>
    </row>
    <row r="1931" customFormat="false" ht="15" hidden="false" customHeight="false" outlineLevel="0" collapsed="false">
      <c r="B1931" s="4" t="n">
        <v>30205961</v>
      </c>
      <c r="C1931" s="4" t="s">
        <v>2501</v>
      </c>
      <c r="D1931" s="4" t="s">
        <v>463</v>
      </c>
      <c r="E1931" s="4" t="s">
        <v>2850</v>
      </c>
      <c r="F1931" s="127" t="n">
        <v>46976</v>
      </c>
      <c r="G1931" s="127" t="n">
        <v>46990</v>
      </c>
      <c r="H1931" s="127" t="n">
        <v>46289</v>
      </c>
      <c r="I1931" s="4" t="n">
        <v>0</v>
      </c>
      <c r="J1931" s="4" t="n">
        <v>0</v>
      </c>
      <c r="K1931" s="4" t="n">
        <v>0</v>
      </c>
      <c r="M1931" s="2" t="str">
        <f aca="false">IF(C1931="","",IFERROR(INDEX($S$5:$S$304,MATCH(C1931,$R$5:$R$304,0))&amp;"","?"))</f>
        <v>30</v>
      </c>
      <c r="N1931" s="2" t="n">
        <f aca="false">IF(E1931="","",IF(ISNUMBER(SEARCH("SUBSOLO",E1931)),IFERROR(-VALUE(LEFT(E1931,FIND("º",SUBSTITUTE(E1931,"°","º"))-1)),-1),IF(LEFT(E1931,6)="TÉRREO",0,IFERROR(VALUE(LEFT(E1931,FIND("º",SUBSTITUTE(E1931,"°","º"))-1)),""))))</f>
        <v>6</v>
      </c>
      <c r="O1931" s="2" t="str">
        <f aca="false">IF(OR(F1931="",G1931=""),"",IF(G1931&lt;='RETRATO 2027'!$K$5,"CONCLUÍDA",IF(F1931&lt;='RETRATO 2027'!$K$5,"EM ANDAMENTO","A INICIAR")))</f>
        <v>A INICIAR</v>
      </c>
    </row>
    <row r="1932" customFormat="false" ht="15" hidden="false" customHeight="false" outlineLevel="0" collapsed="false">
      <c r="B1932" s="4" t="n">
        <v>29981291</v>
      </c>
      <c r="C1932" s="4" t="s">
        <v>2649</v>
      </c>
      <c r="D1932" s="4" t="s">
        <v>463</v>
      </c>
      <c r="E1932" s="4" t="s">
        <v>2813</v>
      </c>
      <c r="F1932" s="127" t="n">
        <v>46976</v>
      </c>
      <c r="G1932" s="127" t="n">
        <v>46989</v>
      </c>
      <c r="H1932" s="127" t="n">
        <v>46289</v>
      </c>
      <c r="I1932" s="4" t="n">
        <v>0</v>
      </c>
      <c r="J1932" s="4" t="n">
        <v>0</v>
      </c>
      <c r="K1932" s="4" t="n">
        <v>0</v>
      </c>
      <c r="M1932" s="2" t="str">
        <f aca="false">IF(C1932="","",IFERROR(INDEX($S$5:$S$304,MATCH(C1932,$R$5:$R$304,0))&amp;"","?"))</f>
        <v>37</v>
      </c>
      <c r="N1932" s="2" t="n">
        <f aca="false">IF(E1932="","",IF(ISNUMBER(SEARCH("SUBSOLO",E1932)),IFERROR(-VALUE(LEFT(E1932,FIND("º",SUBSTITUTE(E1932,"°","º"))-1)),-1),IF(LEFT(E1932,6)="TÉRREO",0,IFERROR(VALUE(LEFT(E1932,FIND("º",SUBSTITUTE(E1932,"°","º"))-1)),""))))</f>
        <v>14</v>
      </c>
      <c r="O1932" s="2" t="str">
        <f aca="false">IF(OR(F1932="",G1932=""),"",IF(G1932&lt;='RETRATO 2027'!$K$5,"CONCLUÍDA",IF(F1932&lt;='RETRATO 2027'!$K$5,"EM ANDAMENTO","A INICIAR")))</f>
        <v>A INICIAR</v>
      </c>
    </row>
    <row r="1933" customFormat="false" ht="15" hidden="false" customHeight="false" outlineLevel="0" collapsed="false">
      <c r="B1933" s="4" t="n">
        <v>29981244</v>
      </c>
      <c r="C1933" s="4" t="s">
        <v>2641</v>
      </c>
      <c r="D1933" s="4" t="s">
        <v>463</v>
      </c>
      <c r="E1933" s="4" t="s">
        <v>2814</v>
      </c>
      <c r="F1933" s="127" t="n">
        <v>46976</v>
      </c>
      <c r="G1933" s="127" t="n">
        <v>46989</v>
      </c>
      <c r="H1933" s="127" t="n">
        <v>46289</v>
      </c>
      <c r="I1933" s="4" t="n">
        <v>0</v>
      </c>
      <c r="J1933" s="4" t="n">
        <v>0</v>
      </c>
      <c r="K1933" s="4" t="n">
        <v>0</v>
      </c>
      <c r="M1933" s="2" t="str">
        <f aca="false">IF(C1933="","",IFERROR(INDEX($S$5:$S$304,MATCH(C1933,$R$5:$R$304,0))&amp;"","?"))</f>
        <v>35</v>
      </c>
      <c r="N1933" s="2" t="n">
        <f aca="false">IF(E1933="","",IF(ISNUMBER(SEARCH("SUBSOLO",E1933)),IFERROR(-VALUE(LEFT(E1933,FIND("º",SUBSTITUTE(E1933,"°","º"))-1)),-1),IF(LEFT(E1933,6)="TÉRREO",0,IFERROR(VALUE(LEFT(E1933,FIND("º",SUBSTITUTE(E1933,"°","º"))-1)),""))))</f>
        <v>15</v>
      </c>
      <c r="O1933" s="2" t="str">
        <f aca="false">IF(OR(F1933="",G1933=""),"",IF(G1933&lt;='RETRATO 2027'!$K$5,"CONCLUÍDA",IF(F1933&lt;='RETRATO 2027'!$K$5,"EM ANDAMENTO","A INICIAR")))</f>
        <v>A INICIAR</v>
      </c>
    </row>
    <row r="1934" customFormat="false" ht="15" hidden="false" customHeight="false" outlineLevel="0" collapsed="false">
      <c r="B1934" s="4" t="n">
        <v>30205601</v>
      </c>
      <c r="C1934" s="4" t="s">
        <v>2637</v>
      </c>
      <c r="D1934" s="4" t="s">
        <v>463</v>
      </c>
      <c r="E1934" s="4" t="s">
        <v>2828</v>
      </c>
      <c r="F1934" s="127" t="n">
        <v>46981</v>
      </c>
      <c r="G1934" s="127" t="n">
        <v>46987</v>
      </c>
      <c r="H1934" s="127" t="n">
        <v>46289</v>
      </c>
      <c r="I1934" s="4" t="n">
        <v>0</v>
      </c>
      <c r="J1934" s="4" t="n">
        <v>0</v>
      </c>
      <c r="K1934" s="4" t="n">
        <v>0</v>
      </c>
      <c r="M1934" s="2" t="str">
        <f aca="false">IF(C1934="","",IFERROR(INDEX($S$5:$S$304,MATCH(C1934,$R$5:$R$304,0))&amp;"","?"))</f>
        <v/>
      </c>
      <c r="N1934" s="2" t="n">
        <f aca="false">IF(E1934="","",IF(ISNUMBER(SEARCH("SUBSOLO",E1934)),IFERROR(-VALUE(LEFT(E1934,FIND("º",SUBSTITUTE(E1934,"°","º"))-1)),-1),IF(LEFT(E1934,6)="TÉRREO",0,IFERROR(VALUE(LEFT(E1934,FIND("º",SUBSTITUTE(E1934,"°","º"))-1)),""))))</f>
        <v>0</v>
      </c>
      <c r="O1934" s="2" t="str">
        <f aca="false">IF(OR(F1934="",G1934=""),"",IF(G1934&lt;='RETRATO 2027'!$K$5,"CONCLUÍDA",IF(F1934&lt;='RETRATO 2027'!$K$5,"EM ANDAMENTO","A INICIAR")))</f>
        <v>A INICIAR</v>
      </c>
    </row>
    <row r="1935" customFormat="false" ht="15" hidden="false" customHeight="false" outlineLevel="0" collapsed="false">
      <c r="B1935" s="4" t="n">
        <v>30205570</v>
      </c>
      <c r="C1935" s="4" t="s">
        <v>2649</v>
      </c>
      <c r="D1935" s="4" t="s">
        <v>463</v>
      </c>
      <c r="E1935" s="4" t="s">
        <v>2830</v>
      </c>
      <c r="F1935" s="127" t="n">
        <v>46981</v>
      </c>
      <c r="G1935" s="127" t="n">
        <v>46994</v>
      </c>
      <c r="H1935" s="127" t="n">
        <v>46289</v>
      </c>
      <c r="I1935" s="4" t="n">
        <v>0</v>
      </c>
      <c r="J1935" s="4" t="n">
        <v>0</v>
      </c>
      <c r="K1935" s="4" t="n">
        <v>0</v>
      </c>
      <c r="M1935" s="2" t="str">
        <f aca="false">IF(C1935="","",IFERROR(INDEX($S$5:$S$304,MATCH(C1935,$R$5:$R$304,0))&amp;"","?"))</f>
        <v>37</v>
      </c>
      <c r="N1935" s="2" t="n">
        <f aca="false">IF(E1935="","",IF(ISNUMBER(SEARCH("SUBSOLO",E1935)),IFERROR(-VALUE(LEFT(E1935,FIND("º",SUBSTITUTE(E1935,"°","º"))-1)),-1),IF(LEFT(E1935,6)="TÉRREO",0,IFERROR(VALUE(LEFT(E1935,FIND("º",SUBSTITUTE(E1935,"°","º"))-1)),""))))</f>
        <v>0</v>
      </c>
      <c r="O1935" s="2" t="str">
        <f aca="false">IF(OR(F1935="",G1935=""),"",IF(G1935&lt;='RETRATO 2027'!$K$5,"CONCLUÍDA",IF(F1935&lt;='RETRATO 2027'!$K$5,"EM ANDAMENTO","A INICIAR")))</f>
        <v>A INICIAR</v>
      </c>
    </row>
    <row r="1936" customFormat="false" ht="15" hidden="false" customHeight="false" outlineLevel="0" collapsed="false">
      <c r="B1936" s="4" t="n">
        <v>30205533</v>
      </c>
      <c r="C1936" s="4" t="s">
        <v>2629</v>
      </c>
      <c r="D1936" s="4" t="s">
        <v>463</v>
      </c>
      <c r="E1936" s="4" t="s">
        <v>2832</v>
      </c>
      <c r="F1936" s="127" t="n">
        <v>46981</v>
      </c>
      <c r="G1936" s="127" t="n">
        <v>46994</v>
      </c>
      <c r="H1936" s="127" t="n">
        <v>46289</v>
      </c>
      <c r="I1936" s="4" t="n">
        <v>0</v>
      </c>
      <c r="J1936" s="4" t="n">
        <v>0</v>
      </c>
      <c r="K1936" s="4" t="n">
        <v>0</v>
      </c>
      <c r="M1936" s="2" t="str">
        <f aca="false">IF(C1936="","",IFERROR(INDEX($S$5:$S$304,MATCH(C1936,$R$5:$R$304,0))&amp;"","?"))</f>
        <v>20</v>
      </c>
      <c r="N1936" s="2" t="n">
        <f aca="false">IF(E1936="","",IF(ISNUMBER(SEARCH("SUBSOLO",E1936)),IFERROR(-VALUE(LEFT(E1936,FIND("º",SUBSTITUTE(E1936,"°","º"))-1)),-1),IF(LEFT(E1936,6)="TÉRREO",0,IFERROR(VALUE(LEFT(E1936,FIND("º",SUBSTITUTE(E1936,"°","º"))-1)),""))))</f>
        <v>0</v>
      </c>
      <c r="O1936" s="2" t="str">
        <f aca="false">IF(OR(F1936="",G1936=""),"",IF(G1936&lt;='RETRATO 2027'!$K$5,"CONCLUÍDA",IF(F1936&lt;='RETRATO 2027'!$K$5,"EM ANDAMENTO","A INICIAR")))</f>
        <v>A INICIAR</v>
      </c>
    </row>
    <row r="1937" customFormat="false" ht="15" hidden="false" customHeight="false" outlineLevel="0" collapsed="false">
      <c r="B1937" s="4" t="n">
        <v>30171535</v>
      </c>
      <c r="C1937" s="4" t="s">
        <v>2539</v>
      </c>
      <c r="D1937" s="4" t="s">
        <v>463</v>
      </c>
      <c r="E1937" s="4" t="s">
        <v>2857</v>
      </c>
      <c r="F1937" s="127" t="n">
        <v>46982</v>
      </c>
      <c r="G1937" s="127" t="n">
        <v>47024</v>
      </c>
      <c r="H1937" s="127" t="n">
        <v>46289</v>
      </c>
      <c r="I1937" s="4" t="n">
        <v>0</v>
      </c>
      <c r="J1937" s="4" t="n">
        <v>0</v>
      </c>
      <c r="K1937" s="4" t="n">
        <v>0</v>
      </c>
      <c r="M1937" s="2" t="str">
        <f aca="false">IF(C1937="","",IFERROR(INDEX($S$5:$S$304,MATCH(C1937,$R$5:$R$304,0))&amp;"","?"))</f>
        <v>35</v>
      </c>
      <c r="N1937" s="2" t="str">
        <f aca="false"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 t="str">
        <f aca="false">IF(OR(F1937="",G1937=""),"",IF(G1937&lt;='RETRATO 2027'!$K$5,"CONCLUÍDA",IF(F1937&lt;='RETRATO 2027'!$K$5,"EM ANDAMENTO","A INICIAR")))</f>
        <v>A INICIAR</v>
      </c>
    </row>
    <row r="1938" customFormat="false" ht="15" hidden="false" customHeight="false" outlineLevel="0" collapsed="false">
      <c r="B1938" s="4" t="n">
        <v>30205813</v>
      </c>
      <c r="C1938" s="4" t="s">
        <v>2623</v>
      </c>
      <c r="D1938" s="4" t="s">
        <v>463</v>
      </c>
      <c r="E1938" s="4" t="s">
        <v>2839</v>
      </c>
      <c r="F1938" s="127" t="n">
        <v>46983</v>
      </c>
      <c r="G1938" s="127" t="n">
        <v>46996</v>
      </c>
      <c r="H1938" s="127" t="n">
        <v>46289</v>
      </c>
      <c r="I1938" s="4" t="n">
        <v>0</v>
      </c>
      <c r="J1938" s="4" t="n">
        <v>0</v>
      </c>
      <c r="K1938" s="4" t="n">
        <v>0</v>
      </c>
      <c r="M1938" s="2" t="str">
        <f aca="false">IF(C1938="","",IFERROR(INDEX($S$5:$S$304,MATCH(C1938,$R$5:$R$304,0))&amp;"","?"))</f>
        <v>35</v>
      </c>
      <c r="N1938" s="2" t="n">
        <f aca="false">IF(E1938="","",IF(ISNUMBER(SEARCH("SUBSOLO",E1938)),IFERROR(-VALUE(LEFT(E1938,FIND("º",SUBSTITUTE(E1938,"°","º"))-1)),-1),IF(LEFT(E1938,6)="TÉRREO",0,IFERROR(VALUE(LEFT(E1938,FIND("º",SUBSTITUTE(E1938,"°","º"))-1)),""))))</f>
        <v>0</v>
      </c>
      <c r="O1938" s="2" t="str">
        <f aca="false">IF(OR(F1938="",G1938=""),"",IF(G1938&lt;='RETRATO 2027'!$K$5,"CONCLUÍDA",IF(F1938&lt;='RETRATO 2027'!$K$5,"EM ANDAMENTO","A INICIAR")))</f>
        <v>A INICIAR</v>
      </c>
    </row>
    <row r="1939" customFormat="false" ht="15" hidden="false" customHeight="false" outlineLevel="0" collapsed="false">
      <c r="B1939" s="4" t="n">
        <v>34179701</v>
      </c>
      <c r="C1939" s="4" t="s">
        <v>2661</v>
      </c>
      <c r="D1939" s="4" t="s">
        <v>463</v>
      </c>
      <c r="E1939" s="4" t="s">
        <v>2836</v>
      </c>
      <c r="F1939" s="127" t="n">
        <v>46983</v>
      </c>
      <c r="G1939" s="127" t="n">
        <v>47046</v>
      </c>
      <c r="H1939" s="127" t="n">
        <v>46289</v>
      </c>
      <c r="I1939" s="4" t="n">
        <v>0</v>
      </c>
      <c r="J1939" s="4" t="n">
        <v>0</v>
      </c>
      <c r="K1939" s="4" t="n">
        <v>0</v>
      </c>
      <c r="M1939" s="2" t="str">
        <f aca="false">IF(C1939="","",IFERROR(INDEX($S$5:$S$304,MATCH(C1939,$R$5:$R$304,0))&amp;"","?"))</f>
        <v>30</v>
      </c>
      <c r="N1939" s="2" t="n">
        <f aca="false">IF(E1939="","",IF(ISNUMBER(SEARCH("SUBSOLO",E1939)),IFERROR(-VALUE(LEFT(E1939,FIND("º",SUBSTITUTE(E1939,"°","º"))-1)),-1),IF(LEFT(E1939,6)="TÉRREO",0,IFERROR(VALUE(LEFT(E1939,FIND("º",SUBSTITUTE(E1939,"°","º"))-1)),""))))</f>
        <v>0</v>
      </c>
      <c r="O1939" s="2" t="str">
        <f aca="false">IF(OR(F1939="",G1939=""),"",IF(G1939&lt;='RETRATO 2027'!$K$5,"CONCLUÍDA",IF(F1939&lt;='RETRATO 2027'!$K$5,"EM ANDAMENTO","A INICIAR")))</f>
        <v>A INICIAR</v>
      </c>
    </row>
    <row r="1940" customFormat="false" ht="15" hidden="false" customHeight="false" outlineLevel="0" collapsed="false">
      <c r="B1940" s="4" t="n">
        <v>34179699</v>
      </c>
      <c r="C1940" s="4" t="s">
        <v>2584</v>
      </c>
      <c r="D1940" s="4" t="s">
        <v>463</v>
      </c>
      <c r="E1940" s="4" t="s">
        <v>2836</v>
      </c>
      <c r="F1940" s="127" t="n">
        <v>46983</v>
      </c>
      <c r="G1940" s="127" t="n">
        <v>47004</v>
      </c>
      <c r="H1940" s="127" t="n">
        <v>46289</v>
      </c>
      <c r="I1940" s="4" t="n">
        <v>0</v>
      </c>
      <c r="J1940" s="4" t="n">
        <v>0</v>
      </c>
      <c r="K1940" s="4" t="n">
        <v>0</v>
      </c>
      <c r="M1940" s="2" t="str">
        <f aca="false">IF(C1940="","",IFERROR(INDEX($S$5:$S$304,MATCH(C1940,$R$5:$R$304,0))&amp;"","?"))</f>
        <v>20</v>
      </c>
      <c r="N1940" s="2" t="n">
        <f aca="false">IF(E1940="","",IF(ISNUMBER(SEARCH("SUBSOLO",E1940)),IFERROR(-VALUE(LEFT(E1940,FIND("º",SUBSTITUTE(E1940,"°","º"))-1)),-1),IF(LEFT(E1940,6)="TÉRREO",0,IFERROR(VALUE(LEFT(E1940,FIND("º",SUBSTITUTE(E1940,"°","º"))-1)),""))))</f>
        <v>0</v>
      </c>
      <c r="O1940" s="2" t="str">
        <f aca="false">IF(OR(F1940="",G1940=""),"",IF(G1940&lt;='RETRATO 2027'!$K$5,"CONCLUÍDA",IF(F1940&lt;='RETRATO 2027'!$K$5,"EM ANDAMENTO","A INICIAR")))</f>
        <v>A INICIAR</v>
      </c>
    </row>
    <row r="1941" customFormat="false" ht="15" hidden="false" customHeight="false" outlineLevel="0" collapsed="false">
      <c r="B1941" s="4" t="n">
        <v>30205857</v>
      </c>
      <c r="C1941" s="4" t="s">
        <v>2615</v>
      </c>
      <c r="D1941" s="4" t="s">
        <v>463</v>
      </c>
      <c r="E1941" s="4" t="s">
        <v>2782</v>
      </c>
      <c r="F1941" s="127" t="n">
        <v>46983</v>
      </c>
      <c r="G1941" s="127" t="n">
        <v>46996</v>
      </c>
      <c r="H1941" s="127" t="n">
        <v>46289</v>
      </c>
      <c r="I1941" s="4" t="n">
        <v>0</v>
      </c>
      <c r="J1941" s="4" t="n">
        <v>0</v>
      </c>
      <c r="K1941" s="4" t="n">
        <v>0</v>
      </c>
      <c r="M1941" s="2" t="str">
        <f aca="false">IF(C1941="","",IFERROR(INDEX($S$5:$S$304,MATCH(C1941,$R$5:$R$304,0))&amp;"","?"))</f>
        <v>37</v>
      </c>
      <c r="N1941" s="2" t="n">
        <f aca="false">IF(E1941="","",IF(ISNUMBER(SEARCH("SUBSOLO",E1941)),IFERROR(-VALUE(LEFT(E1941,FIND("º",SUBSTITUTE(E1941,"°","º"))-1)),-1),IF(LEFT(E1941,6)="TÉRREO",0,IFERROR(VALUE(LEFT(E1941,FIND("º",SUBSTITUTE(E1941,"°","º"))-1)),""))))</f>
        <v>1</v>
      </c>
      <c r="O1941" s="2" t="str">
        <f aca="false">IF(OR(F1941="",G1941=""),"",IF(G1941&lt;='RETRATO 2027'!$K$5,"CONCLUÍDA",IF(F1941&lt;='RETRATO 2027'!$K$5,"EM ANDAMENTO","A INICIAR")))</f>
        <v>A INICIAR</v>
      </c>
    </row>
    <row r="1942" customFormat="false" ht="15" hidden="false" customHeight="false" outlineLevel="0" collapsed="false">
      <c r="B1942" s="4" t="n">
        <v>29981206</v>
      </c>
      <c r="C1942" s="4" t="s">
        <v>2637</v>
      </c>
      <c r="D1942" s="4" t="s">
        <v>463</v>
      </c>
      <c r="E1942" s="4" t="s">
        <v>2815</v>
      </c>
      <c r="F1942" s="127" t="n">
        <v>46983</v>
      </c>
      <c r="G1942" s="127" t="n">
        <v>46989</v>
      </c>
      <c r="H1942" s="127" t="n">
        <v>46289</v>
      </c>
      <c r="I1942" s="4" t="n">
        <v>0</v>
      </c>
      <c r="J1942" s="4" t="n">
        <v>0</v>
      </c>
      <c r="K1942" s="4" t="n">
        <v>0</v>
      </c>
      <c r="M1942" s="2" t="str">
        <f aca="false">IF(C1942="","",IFERROR(INDEX($S$5:$S$304,MATCH(C1942,$R$5:$R$304,0))&amp;"","?"))</f>
        <v/>
      </c>
      <c r="N1942" s="2" t="n">
        <f aca="false">IF(E1942="","",IF(ISNUMBER(SEARCH("SUBSOLO",E1942)),IFERROR(-VALUE(LEFT(E1942,FIND("º",SUBSTITUTE(E1942,"°","º"))-1)),-1),IF(LEFT(E1942,6)="TÉRREO",0,IFERROR(VALUE(LEFT(E1942,FIND("º",SUBSTITUTE(E1942,"°","º"))-1)),""))))</f>
        <v>16</v>
      </c>
      <c r="O1942" s="2" t="str">
        <f aca="false">IF(OR(F1942="",G1942=""),"",IF(G1942&lt;='RETRATO 2027'!$K$5,"CONCLUÍDA",IF(F1942&lt;='RETRATO 2027'!$K$5,"EM ANDAMENTO","A INICIAR")))</f>
        <v>A INICIAR</v>
      </c>
    </row>
    <row r="1943" customFormat="false" ht="15" hidden="false" customHeight="false" outlineLevel="0" collapsed="false">
      <c r="B1943" s="4" t="n">
        <v>29981171</v>
      </c>
      <c r="C1943" s="4" t="s">
        <v>2629</v>
      </c>
      <c r="D1943" s="4" t="s">
        <v>463</v>
      </c>
      <c r="E1943" s="4" t="s">
        <v>2818</v>
      </c>
      <c r="F1943" s="127" t="n">
        <v>46983</v>
      </c>
      <c r="G1943" s="127" t="n">
        <v>46995</v>
      </c>
      <c r="H1943" s="127" t="n">
        <v>46289</v>
      </c>
      <c r="I1943" s="4" t="n">
        <v>0</v>
      </c>
      <c r="J1943" s="4" t="n">
        <v>0</v>
      </c>
      <c r="K1943" s="4" t="n">
        <v>0</v>
      </c>
      <c r="M1943" s="2" t="str">
        <f aca="false">IF(C1943="","",IFERROR(INDEX($S$5:$S$304,MATCH(C1943,$R$5:$R$304,0))&amp;"","?"))</f>
        <v>20</v>
      </c>
      <c r="N1943" s="2" t="n">
        <f aca="false">IF(E1943="","",IF(ISNUMBER(SEARCH("SUBSOLO",E1943)),IFERROR(-VALUE(LEFT(E1943,FIND("º",SUBSTITUTE(E1943,"°","º"))-1)),-1),IF(LEFT(E1943,6)="TÉRREO",0,IFERROR(VALUE(LEFT(E1943,FIND("º",SUBSTITUTE(E1943,"°","º"))-1)),""))))</f>
        <v>17</v>
      </c>
      <c r="O1943" s="2" t="str">
        <f aca="false">IF(OR(F1943="",G1943=""),"",IF(G1943&lt;='RETRATO 2027'!$K$5,"CONCLUÍDA",IF(F1943&lt;='RETRATO 2027'!$K$5,"EM ANDAMENTO","A INICIAR")))</f>
        <v>A INICIAR</v>
      </c>
    </row>
    <row r="1944" customFormat="false" ht="15" hidden="false" customHeight="false" outlineLevel="0" collapsed="false">
      <c r="B1944" s="4" t="n">
        <v>29981131</v>
      </c>
      <c r="C1944" s="4" t="s">
        <v>2623</v>
      </c>
      <c r="D1944" s="4" t="s">
        <v>463</v>
      </c>
      <c r="E1944" s="4" t="s">
        <v>2820</v>
      </c>
      <c r="F1944" s="127" t="n">
        <v>46983</v>
      </c>
      <c r="G1944" s="127" t="n">
        <v>46995</v>
      </c>
      <c r="H1944" s="127" t="n">
        <v>46289</v>
      </c>
      <c r="I1944" s="4" t="n">
        <v>0</v>
      </c>
      <c r="J1944" s="4" t="n">
        <v>0</v>
      </c>
      <c r="K1944" s="4" t="n">
        <v>0</v>
      </c>
      <c r="M1944" s="2" t="str">
        <f aca="false">IF(C1944="","",IFERROR(INDEX($S$5:$S$304,MATCH(C1944,$R$5:$R$304,0))&amp;"","?"))</f>
        <v>35</v>
      </c>
      <c r="N1944" s="2" t="n">
        <f aca="false">IF(E1944="","",IF(ISNUMBER(SEARCH("SUBSOLO",E1944)),IFERROR(-VALUE(LEFT(E1944,FIND("º",SUBSTITUTE(E1944,"°","º"))-1)),-1),IF(LEFT(E1944,6)="TÉRREO",0,IFERROR(VALUE(LEFT(E1944,FIND("º",SUBSTITUTE(E1944,"°","º"))-1)),""))))</f>
        <v>18</v>
      </c>
      <c r="O1944" s="2" t="str">
        <f aca="false">IF(OR(F1944="",G1944=""),"",IF(G1944&lt;='RETRATO 2027'!$K$5,"CONCLUÍDA",IF(F1944&lt;='RETRATO 2027'!$K$5,"EM ANDAMENTO","A INICIAR")))</f>
        <v>A INICIAR</v>
      </c>
    </row>
    <row r="1945" customFormat="false" ht="15" hidden="false" customHeight="false" outlineLevel="0" collapsed="false">
      <c r="B1945" s="4" t="n">
        <v>33919796</v>
      </c>
      <c r="C1945" s="4" t="s">
        <v>2625</v>
      </c>
      <c r="D1945" s="4" t="s">
        <v>463</v>
      </c>
      <c r="E1945" s="4" t="s">
        <v>2820</v>
      </c>
      <c r="F1945" s="127" t="n">
        <v>46983</v>
      </c>
      <c r="G1945" s="127" t="n">
        <v>46995</v>
      </c>
      <c r="H1945" s="127" t="n">
        <v>46289</v>
      </c>
      <c r="I1945" s="4" t="n">
        <v>0</v>
      </c>
      <c r="J1945" s="4" t="n">
        <v>0</v>
      </c>
      <c r="K1945" s="4" t="n">
        <v>0</v>
      </c>
      <c r="M1945" s="2" t="str">
        <f aca="false">IF(C1945="","",IFERROR(INDEX($S$5:$S$304,MATCH(C1945,$R$5:$R$304,0))&amp;"","?"))</f>
        <v>32</v>
      </c>
      <c r="N1945" s="2" t="n">
        <f aca="false">IF(E1945="","",IF(ISNUMBER(SEARCH("SUBSOLO",E1945)),IFERROR(-VALUE(LEFT(E1945,FIND("º",SUBSTITUTE(E1945,"°","º"))-1)),-1),IF(LEFT(E1945,6)="TÉRREO",0,IFERROR(VALUE(LEFT(E1945,FIND("º",SUBSTITUTE(E1945,"°","º"))-1)),""))))</f>
        <v>18</v>
      </c>
      <c r="O1945" s="2" t="str">
        <f aca="false">IF(OR(F1945="",G1945=""),"",IF(G1945&lt;='RETRATO 2027'!$K$5,"CONCLUÍDA",IF(F1945&lt;='RETRATO 2027'!$K$5,"EM ANDAMENTO","A INICIAR")))</f>
        <v>A INICIAR</v>
      </c>
    </row>
    <row r="1946" customFormat="false" ht="15" hidden="false" customHeight="false" outlineLevel="0" collapsed="false">
      <c r="B1946" s="4" t="n">
        <v>29981056</v>
      </c>
      <c r="C1946" s="4" t="s">
        <v>2615</v>
      </c>
      <c r="D1946" s="4" t="s">
        <v>463</v>
      </c>
      <c r="E1946" s="4" t="s">
        <v>2823</v>
      </c>
      <c r="F1946" s="127" t="n">
        <v>46983</v>
      </c>
      <c r="G1946" s="127" t="n">
        <v>46995</v>
      </c>
      <c r="H1946" s="127" t="n">
        <v>46289</v>
      </c>
      <c r="I1946" s="4" t="n">
        <v>0</v>
      </c>
      <c r="J1946" s="4" t="n">
        <v>0</v>
      </c>
      <c r="K1946" s="4" t="n">
        <v>0</v>
      </c>
      <c r="M1946" s="2" t="str">
        <f aca="false">IF(C1946="","",IFERROR(INDEX($S$5:$S$304,MATCH(C1946,$R$5:$R$304,0))&amp;"","?"))</f>
        <v>37</v>
      </c>
      <c r="N1946" s="2" t="n">
        <f aca="false">IF(E1946="","",IF(ISNUMBER(SEARCH("SUBSOLO",E1946)),IFERROR(-VALUE(LEFT(E1946,FIND("º",SUBSTITUTE(E1946,"°","º"))-1)),-1),IF(LEFT(E1946,6)="TÉRREO",0,IFERROR(VALUE(LEFT(E1946,FIND("º",SUBSTITUTE(E1946,"°","º"))-1)),""))))</f>
        <v>20</v>
      </c>
      <c r="O1946" s="2" t="str">
        <f aca="false">IF(OR(F1946="",G1946=""),"",IF(G1946&lt;='RETRATO 2027'!$K$5,"CONCLUÍDA",IF(F1946&lt;='RETRATO 2027'!$K$5,"EM ANDAMENTO","A INICIAR")))</f>
        <v>A INICIAR</v>
      </c>
    </row>
    <row r="1947" customFormat="false" ht="15" hidden="false" customHeight="false" outlineLevel="0" collapsed="false">
      <c r="B1947" s="4" t="n">
        <v>29981013</v>
      </c>
      <c r="C1947" s="4" t="s">
        <v>2605</v>
      </c>
      <c r="D1947" s="4" t="s">
        <v>463</v>
      </c>
      <c r="E1947" s="4" t="s">
        <v>2825</v>
      </c>
      <c r="F1947" s="127" t="n">
        <v>46983</v>
      </c>
      <c r="G1947" s="127" t="n">
        <v>46995</v>
      </c>
      <c r="H1947" s="127" t="n">
        <v>46289</v>
      </c>
      <c r="I1947" s="4" t="n">
        <v>0</v>
      </c>
      <c r="J1947" s="4" t="n">
        <v>0</v>
      </c>
      <c r="K1947" s="4" t="n">
        <v>0</v>
      </c>
      <c r="M1947" s="2" t="str">
        <f aca="false">IF(C1947="","",IFERROR(INDEX($S$5:$S$304,MATCH(C1947,$R$5:$R$304,0))&amp;"","?"))</f>
        <v>34</v>
      </c>
      <c r="N1947" s="2" t="n">
        <f aca="false">IF(E1947="","",IF(ISNUMBER(SEARCH("SUBSOLO",E1947)),IFERROR(-VALUE(LEFT(E1947,FIND("º",SUBSTITUTE(E1947,"°","º"))-1)),-1),IF(LEFT(E1947,6)="TÉRREO",0,IFERROR(VALUE(LEFT(E1947,FIND("º",SUBSTITUTE(E1947,"°","º"))-1)),""))))</f>
        <v>21</v>
      </c>
      <c r="O1947" s="2" t="str">
        <f aca="false">IF(OR(F1947="",G1947=""),"",IF(G1947&lt;='RETRATO 2027'!$K$5,"CONCLUÍDA",IF(F1947&lt;='RETRATO 2027'!$K$5,"EM ANDAMENTO","A INICIAR")))</f>
        <v>A INICIAR</v>
      </c>
    </row>
    <row r="1948" customFormat="false" ht="15" hidden="false" customHeight="false" outlineLevel="0" collapsed="false">
      <c r="B1948" s="4" t="n">
        <v>29981018</v>
      </c>
      <c r="C1948" s="4" t="s">
        <v>2607</v>
      </c>
      <c r="D1948" s="4" t="s">
        <v>463</v>
      </c>
      <c r="E1948" s="4" t="s">
        <v>2825</v>
      </c>
      <c r="F1948" s="127" t="n">
        <v>46983</v>
      </c>
      <c r="G1948" s="127" t="n">
        <v>46995</v>
      </c>
      <c r="H1948" s="127" t="n">
        <v>46289</v>
      </c>
      <c r="I1948" s="4" t="n">
        <v>0</v>
      </c>
      <c r="J1948" s="4" t="n">
        <v>0</v>
      </c>
      <c r="K1948" s="4" t="n">
        <v>0</v>
      </c>
      <c r="M1948" s="2" t="str">
        <f aca="false">IF(C1948="","",IFERROR(INDEX($S$5:$S$304,MATCH(C1948,$R$5:$R$304,0))&amp;"","?"))</f>
        <v>34</v>
      </c>
      <c r="N1948" s="2" t="n">
        <f aca="false">IF(E1948="","",IF(ISNUMBER(SEARCH("SUBSOLO",E1948)),IFERROR(-VALUE(LEFT(E1948,FIND("º",SUBSTITUTE(E1948,"°","º"))-1)),-1),IF(LEFT(E1948,6)="TÉRREO",0,IFERROR(VALUE(LEFT(E1948,FIND("º",SUBSTITUTE(E1948,"°","º"))-1)),""))))</f>
        <v>21</v>
      </c>
      <c r="O1948" s="2" t="str">
        <f aca="false">IF(OR(F1948="",G1948=""),"",IF(G1948&lt;='RETRATO 2027'!$K$5,"CONCLUÍDA",IF(F1948&lt;='RETRATO 2027'!$K$5,"EM ANDAMENTO","A INICIAR")))</f>
        <v>A INICIAR</v>
      </c>
    </row>
    <row r="1949" customFormat="false" ht="15" hidden="false" customHeight="false" outlineLevel="0" collapsed="false">
      <c r="B1949" s="4" t="n">
        <v>29981017</v>
      </c>
      <c r="C1949" s="4" t="s">
        <v>2563</v>
      </c>
      <c r="D1949" s="4" t="s">
        <v>463</v>
      </c>
      <c r="E1949" s="4" t="s">
        <v>2825</v>
      </c>
      <c r="F1949" s="127" t="n">
        <v>46983</v>
      </c>
      <c r="G1949" s="127" t="n">
        <v>46995</v>
      </c>
      <c r="H1949" s="127" t="n">
        <v>46289</v>
      </c>
      <c r="I1949" s="4" t="n">
        <v>0</v>
      </c>
      <c r="J1949" s="4" t="n">
        <v>0</v>
      </c>
      <c r="K1949" s="4" t="n">
        <v>0</v>
      </c>
      <c r="M1949" s="2" t="str">
        <f aca="false">IF(C1949="","",IFERROR(INDEX($S$5:$S$304,MATCH(C1949,$R$5:$R$304,0))&amp;"","?"))</f>
        <v>20</v>
      </c>
      <c r="N1949" s="2" t="n">
        <f aca="false">IF(E1949="","",IF(ISNUMBER(SEARCH("SUBSOLO",E1949)),IFERROR(-VALUE(LEFT(E1949,FIND("º",SUBSTITUTE(E1949,"°","º"))-1)),-1),IF(LEFT(E1949,6)="TÉRREO",0,IFERROR(VALUE(LEFT(E1949,FIND("º",SUBSTITUTE(E1949,"°","º"))-1)),""))))</f>
        <v>21</v>
      </c>
      <c r="O1949" s="2" t="str">
        <f aca="false">IF(OR(F1949="",G1949=""),"",IF(G1949&lt;='RETRATO 2027'!$K$5,"CONCLUÍDA",IF(F1949&lt;='RETRATO 2027'!$K$5,"EM ANDAMENTO","A INICIAR")))</f>
        <v>A INICIAR</v>
      </c>
    </row>
    <row r="1950" customFormat="false" ht="15" hidden="false" customHeight="false" outlineLevel="0" collapsed="false">
      <c r="B1950" s="4" t="n">
        <v>29981016</v>
      </c>
      <c r="C1950" s="4" t="s">
        <v>2609</v>
      </c>
      <c r="D1950" s="4" t="s">
        <v>463</v>
      </c>
      <c r="E1950" s="4" t="s">
        <v>2825</v>
      </c>
      <c r="F1950" s="127" t="n">
        <v>46983</v>
      </c>
      <c r="G1950" s="127" t="n">
        <v>46995</v>
      </c>
      <c r="H1950" s="127" t="n">
        <v>46289</v>
      </c>
      <c r="I1950" s="4" t="n">
        <v>0</v>
      </c>
      <c r="J1950" s="4" t="n">
        <v>0</v>
      </c>
      <c r="K1950" s="4" t="n">
        <v>0</v>
      </c>
      <c r="M1950" s="2" t="str">
        <f aca="false">IF(C1950="","",IFERROR(INDEX($S$5:$S$304,MATCH(C1950,$R$5:$R$304,0))&amp;"","?"))</f>
        <v>23</v>
      </c>
      <c r="N1950" s="2" t="n">
        <f aca="false">IF(E1950="","",IF(ISNUMBER(SEARCH("SUBSOLO",E1950)),IFERROR(-VALUE(LEFT(E1950,FIND("º",SUBSTITUTE(E1950,"°","º"))-1)),-1),IF(LEFT(E1950,6)="TÉRREO",0,IFERROR(VALUE(LEFT(E1950,FIND("º",SUBSTITUTE(E1950,"°","º"))-1)),""))))</f>
        <v>21</v>
      </c>
      <c r="O1950" s="2" t="str">
        <f aca="false">IF(OR(F1950="",G1950=""),"",IF(G1950&lt;='RETRATO 2027'!$K$5,"CONCLUÍDA",IF(F1950&lt;='RETRATO 2027'!$K$5,"EM ANDAMENTO","A INICIAR")))</f>
        <v>A INICIAR</v>
      </c>
    </row>
    <row r="1951" customFormat="false" ht="15" hidden="false" customHeight="false" outlineLevel="0" collapsed="false">
      <c r="B1951" s="4" t="n">
        <v>29980975</v>
      </c>
      <c r="C1951" s="4" t="s">
        <v>2599</v>
      </c>
      <c r="D1951" s="4" t="s">
        <v>463</v>
      </c>
      <c r="E1951" s="4" t="s">
        <v>2827</v>
      </c>
      <c r="F1951" s="127" t="n">
        <v>46983</v>
      </c>
      <c r="G1951" s="127" t="n">
        <v>46995</v>
      </c>
      <c r="H1951" s="127" t="n">
        <v>46289</v>
      </c>
      <c r="I1951" s="4" t="n">
        <v>0</v>
      </c>
      <c r="J1951" s="4" t="n">
        <v>0</v>
      </c>
      <c r="K1951" s="4" t="n">
        <v>0</v>
      </c>
      <c r="M1951" s="2" t="str">
        <f aca="false">IF(C1951="","",IFERROR(INDEX($S$5:$S$304,MATCH(C1951,$R$5:$R$304,0))&amp;"","?"))</f>
        <v>30</v>
      </c>
      <c r="N1951" s="2" t="n">
        <f aca="false">IF(E1951="","",IF(ISNUMBER(SEARCH("SUBSOLO",E1951)),IFERROR(-VALUE(LEFT(E1951,FIND("º",SUBSTITUTE(E1951,"°","º"))-1)),-1),IF(LEFT(E1951,6)="TÉRREO",0,IFERROR(VALUE(LEFT(E1951,FIND("º",SUBSTITUTE(E1951,"°","º"))-1)),""))))</f>
        <v>22</v>
      </c>
      <c r="O1951" s="2" t="str">
        <f aca="false">IF(OR(F1951="",G1951=""),"",IF(G1951&lt;='RETRATO 2027'!$K$5,"CONCLUÍDA",IF(F1951&lt;='RETRATO 2027'!$K$5,"EM ANDAMENTO","A INICIAR")))</f>
        <v>A INICIAR</v>
      </c>
    </row>
    <row r="1952" customFormat="false" ht="15" hidden="false" customHeight="false" outlineLevel="0" collapsed="false">
      <c r="B1952" s="4" t="n">
        <v>29980937</v>
      </c>
      <c r="C1952" s="4" t="s">
        <v>2578</v>
      </c>
      <c r="D1952" s="4" t="s">
        <v>463</v>
      </c>
      <c r="E1952" s="4" t="s">
        <v>2829</v>
      </c>
      <c r="F1952" s="127" t="n">
        <v>46983</v>
      </c>
      <c r="G1952" s="127" t="n">
        <v>46995</v>
      </c>
      <c r="H1952" s="127" t="n">
        <v>46289</v>
      </c>
      <c r="I1952" s="4" t="n">
        <v>0</v>
      </c>
      <c r="J1952" s="4" t="n">
        <v>0</v>
      </c>
      <c r="K1952" s="4" t="n">
        <v>0</v>
      </c>
      <c r="M1952" s="2" t="str">
        <f aca="false">IF(C1952="","",IFERROR(INDEX($S$5:$S$304,MATCH(C1952,$R$5:$R$304,0))&amp;"","?"))</f>
        <v>25</v>
      </c>
      <c r="N1952" s="2" t="n">
        <f aca="false">IF(E1952="","",IF(ISNUMBER(SEARCH("SUBSOLO",E1952)),IFERROR(-VALUE(LEFT(E1952,FIND("º",SUBSTITUTE(E1952,"°","º"))-1)),-1),IF(LEFT(E1952,6)="TÉRREO",0,IFERROR(VALUE(LEFT(E1952,FIND("º",SUBSTITUTE(E1952,"°","º"))-1)),""))))</f>
        <v>23</v>
      </c>
      <c r="O1952" s="2" t="str">
        <f aca="false">IF(OR(F1952="",G1952=""),"",IF(G1952&lt;='RETRATO 2027'!$K$5,"CONCLUÍDA",IF(F1952&lt;='RETRATO 2027'!$K$5,"EM ANDAMENTO","A INICIAR")))</f>
        <v>A INICIAR</v>
      </c>
    </row>
    <row r="1953" customFormat="false" ht="15" hidden="false" customHeight="false" outlineLevel="0" collapsed="false">
      <c r="B1953" s="4" t="n">
        <v>29980899</v>
      </c>
      <c r="C1953" s="4" t="s">
        <v>2569</v>
      </c>
      <c r="D1953" s="4" t="s">
        <v>463</v>
      </c>
      <c r="E1953" s="4" t="s">
        <v>2831</v>
      </c>
      <c r="F1953" s="127" t="n">
        <v>46983</v>
      </c>
      <c r="G1953" s="127" t="n">
        <v>46995</v>
      </c>
      <c r="H1953" s="127" t="n">
        <v>46289</v>
      </c>
      <c r="I1953" s="4" t="n">
        <v>0</v>
      </c>
      <c r="J1953" s="4" t="n">
        <v>0</v>
      </c>
      <c r="K1953" s="4" t="n">
        <v>0</v>
      </c>
      <c r="M1953" s="2" t="str">
        <f aca="false">IF(C1953="","",IFERROR(INDEX($S$5:$S$304,MATCH(C1953,$R$5:$R$304,0))&amp;"","?"))</f>
        <v>30</v>
      </c>
      <c r="N1953" s="2" t="n">
        <f aca="false">IF(E1953="","",IF(ISNUMBER(SEARCH("SUBSOLO",E1953)),IFERROR(-VALUE(LEFT(E1953,FIND("º",SUBSTITUTE(E1953,"°","º"))-1)),-1),IF(LEFT(E1953,6)="TÉRREO",0,IFERROR(VALUE(LEFT(E1953,FIND("º",SUBSTITUTE(E1953,"°","º"))-1)),""))))</f>
        <v>24</v>
      </c>
      <c r="O1953" s="2" t="str">
        <f aca="false">IF(OR(F1953="",G1953=""),"",IF(G1953&lt;='RETRATO 2027'!$K$5,"CONCLUÍDA",IF(F1953&lt;='RETRATO 2027'!$K$5,"EM ANDAMENTO","A INICIAR")))</f>
        <v>A INICIAR</v>
      </c>
    </row>
    <row r="1954" customFormat="false" ht="15" hidden="false" customHeight="false" outlineLevel="0" collapsed="false">
      <c r="B1954" s="4" t="n">
        <v>29980861</v>
      </c>
      <c r="C1954" s="4" t="s">
        <v>2554</v>
      </c>
      <c r="D1954" s="4" t="s">
        <v>463</v>
      </c>
      <c r="E1954" s="4" t="s">
        <v>2833</v>
      </c>
      <c r="F1954" s="127" t="n">
        <v>46983</v>
      </c>
      <c r="G1954" s="127" t="n">
        <v>46995</v>
      </c>
      <c r="H1954" s="127" t="n">
        <v>46289</v>
      </c>
      <c r="I1954" s="4" t="n">
        <v>0</v>
      </c>
      <c r="J1954" s="4" t="n">
        <v>0</v>
      </c>
      <c r="K1954" s="4" t="n">
        <v>0</v>
      </c>
      <c r="M1954" s="2" t="str">
        <f aca="false">IF(C1954="","",IFERROR(INDEX($S$5:$S$304,MATCH(C1954,$R$5:$R$304,0))&amp;"","?"))</f>
        <v>35</v>
      </c>
      <c r="N1954" s="2" t="n">
        <f aca="false">IF(E1954="","",IF(ISNUMBER(SEARCH("SUBSOLO",E1954)),IFERROR(-VALUE(LEFT(E1954,FIND("º",SUBSTITUTE(E1954,"°","º"))-1)),-1),IF(LEFT(E1954,6)="TÉRREO",0,IFERROR(VALUE(LEFT(E1954,FIND("º",SUBSTITUTE(E1954,"°","º"))-1)),""))))</f>
        <v>25</v>
      </c>
      <c r="O1954" s="2" t="str">
        <f aca="false">IF(OR(F1954="",G1954=""),"",IF(G1954&lt;='RETRATO 2027'!$K$5,"CONCLUÍDA",IF(F1954&lt;='RETRATO 2027'!$K$5,"EM ANDAMENTO","A INICIAR")))</f>
        <v>A INICIAR</v>
      </c>
    </row>
    <row r="1955" customFormat="false" ht="15" hidden="false" customHeight="false" outlineLevel="0" collapsed="false">
      <c r="B1955" s="4" t="n">
        <v>29980850</v>
      </c>
      <c r="C1955" s="4" t="s">
        <v>2539</v>
      </c>
      <c r="D1955" s="4" t="s">
        <v>463</v>
      </c>
      <c r="E1955" s="4" t="s">
        <v>2834</v>
      </c>
      <c r="F1955" s="127" t="n">
        <v>46983</v>
      </c>
      <c r="G1955" s="127" t="n">
        <v>46995</v>
      </c>
      <c r="H1955" s="127" t="n">
        <v>46289</v>
      </c>
      <c r="I1955" s="4" t="n">
        <v>0</v>
      </c>
      <c r="J1955" s="4" t="n">
        <v>0</v>
      </c>
      <c r="K1955" s="4" t="n">
        <v>0</v>
      </c>
      <c r="M1955" s="2" t="str">
        <f aca="false">IF(C1955="","",IFERROR(INDEX($S$5:$S$304,MATCH(C1955,$R$5:$R$304,0))&amp;"","?"))</f>
        <v>35</v>
      </c>
      <c r="N1955" s="2" t="n">
        <f aca="false">IF(E1955="","",IF(ISNUMBER(SEARCH("SUBSOLO",E1955)),IFERROR(-VALUE(LEFT(E1955,FIND("º",SUBSTITUTE(E1955,"°","º"))-1)),-1),IF(LEFT(E1955,6)="TÉRREO",0,IFERROR(VALUE(LEFT(E1955,FIND("º",SUBSTITUTE(E1955,"°","º"))-1)),""))))</f>
        <v>26</v>
      </c>
      <c r="O1955" s="2" t="str">
        <f aca="false">IF(OR(F1955="",G1955=""),"",IF(G1955&lt;='RETRATO 2027'!$K$5,"CONCLUÍDA",IF(F1955&lt;='RETRATO 2027'!$K$5,"EM ANDAMENTO","A INICIAR")))</f>
        <v>A INICIAR</v>
      </c>
    </row>
    <row r="1956" customFormat="false" ht="15" hidden="false" customHeight="false" outlineLevel="0" collapsed="false">
      <c r="B1956" s="4" t="n">
        <v>33898111</v>
      </c>
      <c r="C1956" s="4" t="s">
        <v>2545</v>
      </c>
      <c r="D1956" s="4" t="s">
        <v>463</v>
      </c>
      <c r="E1956" s="4" t="s">
        <v>2838</v>
      </c>
      <c r="F1956" s="127" t="n">
        <v>46983</v>
      </c>
      <c r="G1956" s="127" t="n">
        <v>46995</v>
      </c>
      <c r="H1956" s="127" t="n">
        <v>46289</v>
      </c>
      <c r="I1956" s="4" t="n">
        <v>0</v>
      </c>
      <c r="J1956" s="4" t="n">
        <v>0</v>
      </c>
      <c r="K1956" s="4" t="n">
        <v>0</v>
      </c>
      <c r="M1956" s="2" t="str">
        <f aca="false">IF(C1956="","",IFERROR(INDEX($S$5:$S$304,MATCH(C1956,$R$5:$R$304,0))&amp;"","?"))</f>
        <v>25</v>
      </c>
      <c r="N1956" s="2" t="n">
        <f aca="false">IF(E1956="","",IF(ISNUMBER(SEARCH("SUBSOLO",E1956)),IFERROR(-VALUE(LEFT(E1956,FIND("º",SUBSTITUTE(E1956,"°","º"))-1)),-1),IF(LEFT(E1956,6)="TÉRREO",0,IFERROR(VALUE(LEFT(E1956,FIND("º",SUBSTITUTE(E1956,"°","º"))-1)),""))))</f>
        <v>27</v>
      </c>
      <c r="O1956" s="2" t="str">
        <f aca="false">IF(OR(F1956="",G1956=""),"",IF(G1956&lt;='RETRATO 2027'!$K$5,"CONCLUÍDA",IF(F1956&lt;='RETRATO 2027'!$K$5,"EM ANDAMENTO","A INICIAR")))</f>
        <v>A INICIAR</v>
      </c>
    </row>
    <row r="1957" customFormat="false" ht="15" hidden="false" customHeight="false" outlineLevel="0" collapsed="false">
      <c r="B1957" s="4" t="n">
        <v>31800478</v>
      </c>
      <c r="C1957" s="4" t="s">
        <v>2714</v>
      </c>
      <c r="D1957" s="4" t="s">
        <v>463</v>
      </c>
      <c r="E1957" s="4" t="s">
        <v>2678</v>
      </c>
      <c r="F1957" s="127" t="n">
        <v>46983</v>
      </c>
      <c r="G1957" s="127" t="n">
        <v>47032</v>
      </c>
      <c r="H1957" s="127" t="n">
        <v>46289</v>
      </c>
      <c r="I1957" s="4" t="n">
        <v>0</v>
      </c>
      <c r="J1957" s="4" t="n">
        <v>0</v>
      </c>
      <c r="K1957" s="4" t="n">
        <v>0</v>
      </c>
      <c r="M1957" s="2" t="str">
        <f aca="false">IF(C1957="","",IFERROR(INDEX($S$5:$S$304,MATCH(C1957,$R$5:$R$304,0))&amp;"","?"))</f>
        <v>25</v>
      </c>
      <c r="N1957" s="2" t="str">
        <f aca="false"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 t="str">
        <f aca="false">IF(OR(F1957="",G1957=""),"",IF(G1957&lt;='RETRATO 2027'!$K$5,"CONCLUÍDA",IF(F1957&lt;='RETRATO 2027'!$K$5,"EM ANDAMENTO","A INICIAR")))</f>
        <v>A INICIAR</v>
      </c>
    </row>
    <row r="1958" customFormat="false" ht="15" hidden="false" customHeight="false" outlineLevel="0" collapsed="false">
      <c r="B1958" s="4" t="n">
        <v>31801078</v>
      </c>
      <c r="C1958" s="4" t="s">
        <v>2717</v>
      </c>
      <c r="D1958" s="4" t="s">
        <v>463</v>
      </c>
      <c r="E1958" s="4" t="s">
        <v>2678</v>
      </c>
      <c r="F1958" s="127" t="n">
        <v>46983</v>
      </c>
      <c r="G1958" s="127" t="n">
        <v>47122</v>
      </c>
      <c r="H1958" s="127" t="n">
        <v>46289</v>
      </c>
      <c r="I1958" s="4" t="n">
        <v>0</v>
      </c>
      <c r="J1958" s="4" t="n">
        <v>0</v>
      </c>
      <c r="K1958" s="4" t="n">
        <v>0</v>
      </c>
      <c r="M1958" s="2" t="str">
        <f aca="false">IF(C1958="","",IFERROR(INDEX($S$5:$S$304,MATCH(C1958,$R$5:$R$304,0))&amp;"","?"))</f>
        <v>32</v>
      </c>
      <c r="N1958" s="2" t="str">
        <f aca="false"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 t="str">
        <f aca="false">IF(OR(F1958="",G1958=""),"",IF(G1958&lt;='RETRATO 2027'!$K$5,"CONCLUÍDA",IF(F1958&lt;='RETRATO 2027'!$K$5,"EM ANDAMENTO","A INICIAR")))</f>
        <v>A INICIAR</v>
      </c>
    </row>
    <row r="1959" customFormat="false" ht="15" hidden="false" customHeight="false" outlineLevel="0" collapsed="false">
      <c r="B1959" s="4" t="n">
        <v>30206113</v>
      </c>
      <c r="C1959" s="4" t="s">
        <v>2615</v>
      </c>
      <c r="D1959" s="4" t="s">
        <v>463</v>
      </c>
      <c r="E1959" s="4" t="s">
        <v>2846</v>
      </c>
      <c r="F1959" s="127" t="n">
        <v>46986</v>
      </c>
      <c r="G1959" s="127" t="n">
        <v>46997</v>
      </c>
      <c r="H1959" s="127" t="n">
        <v>46289</v>
      </c>
      <c r="I1959" s="4" t="n">
        <v>0</v>
      </c>
      <c r="J1959" s="4" t="n">
        <v>0</v>
      </c>
      <c r="K1959" s="4" t="n">
        <v>0</v>
      </c>
      <c r="M1959" s="2" t="str">
        <f aca="false">IF(C1959="","",IFERROR(INDEX($S$5:$S$304,MATCH(C1959,$R$5:$R$304,0))&amp;"","?"))</f>
        <v>37</v>
      </c>
      <c r="N1959" s="2" t="n">
        <f aca="false">IF(E1959="","",IF(ISNUMBER(SEARCH("SUBSOLO",E1959)),IFERROR(-VALUE(LEFT(E1959,FIND("º",SUBSTITUTE(E1959,"°","º"))-1)),-1),IF(LEFT(E1959,6)="TÉRREO",0,IFERROR(VALUE(LEFT(E1959,FIND("º",SUBSTITUTE(E1959,"°","º"))-1)),""))))</f>
        <v>6</v>
      </c>
      <c r="O1959" s="2" t="str">
        <f aca="false">IF(OR(F1959="",G1959=""),"",IF(G1959&lt;='RETRATO 2027'!$K$5,"CONCLUÍDA",IF(F1959&lt;='RETRATO 2027'!$K$5,"EM ANDAMENTO","A INICIAR")))</f>
        <v>A INICIAR</v>
      </c>
    </row>
    <row r="1960" customFormat="false" ht="15" hidden="false" customHeight="false" outlineLevel="0" collapsed="false">
      <c r="B1960" s="4" t="n">
        <v>29980663</v>
      </c>
      <c r="C1960" s="4" t="s">
        <v>216</v>
      </c>
      <c r="D1960" s="4" t="s">
        <v>463</v>
      </c>
      <c r="E1960" s="4" t="s">
        <v>2843</v>
      </c>
      <c r="F1960" s="127" t="n">
        <v>46986</v>
      </c>
      <c r="G1960" s="127" t="n">
        <v>46996</v>
      </c>
      <c r="H1960" s="127" t="n">
        <v>46289</v>
      </c>
      <c r="I1960" s="4" t="n">
        <v>0</v>
      </c>
      <c r="J1960" s="4" t="n">
        <v>0</v>
      </c>
      <c r="K1960" s="4" t="n">
        <v>0</v>
      </c>
      <c r="M1960" s="2" t="str">
        <f aca="false">IF(C1960="","",IFERROR(INDEX($S$5:$S$304,MATCH(C1960,$R$5:$R$304,0))&amp;"","?"))</f>
        <v>33</v>
      </c>
      <c r="N1960" s="2" t="n">
        <f aca="false">IF(E1960="","",IF(ISNUMBER(SEARCH("SUBSOLO",E1960)),IFERROR(-VALUE(LEFT(E1960,FIND("º",SUBSTITUTE(E1960,"°","º"))-1)),-1),IF(LEFT(E1960,6)="TÉRREO",0,IFERROR(VALUE(LEFT(E1960,FIND("º",SUBSTITUTE(E1960,"°","º"))-1)),""))))</f>
        <v>31</v>
      </c>
      <c r="O1960" s="2" t="str">
        <f aca="false">IF(OR(F1960="",G1960=""),"",IF(G1960&lt;='RETRATO 2027'!$K$5,"CONCLUÍDA",IF(F1960&lt;='RETRATO 2027'!$K$5,"EM ANDAMENTO","A INICIAR")))</f>
        <v>A INICIAR</v>
      </c>
    </row>
    <row r="1961" customFormat="false" ht="15" hidden="false" customHeight="false" outlineLevel="0" collapsed="false">
      <c r="B1961" s="4" t="n">
        <v>29980624</v>
      </c>
      <c r="C1961" s="4" t="s">
        <v>2508</v>
      </c>
      <c r="D1961" s="4" t="s">
        <v>463</v>
      </c>
      <c r="E1961" s="4" t="s">
        <v>2844</v>
      </c>
      <c r="F1961" s="127" t="n">
        <v>46986</v>
      </c>
      <c r="G1961" s="127" t="n">
        <v>46996</v>
      </c>
      <c r="H1961" s="127" t="n">
        <v>46289</v>
      </c>
      <c r="I1961" s="4" t="n">
        <v>0</v>
      </c>
      <c r="J1961" s="4" t="n">
        <v>0</v>
      </c>
      <c r="K1961" s="4" t="n">
        <v>0</v>
      </c>
      <c r="M1961" s="2" t="str">
        <f aca="false">IF(C1961="","",IFERROR(INDEX($S$5:$S$304,MATCH(C1961,$R$5:$R$304,0))&amp;"","?"))</f>
        <v>20</v>
      </c>
      <c r="N1961" s="2" t="n">
        <f aca="false">IF(E1961="","",IF(ISNUMBER(SEARCH("SUBSOLO",E1961)),IFERROR(-VALUE(LEFT(E1961,FIND("º",SUBSTITUTE(E1961,"°","º"))-1)),-1),IF(LEFT(E1961,6)="TÉRREO",0,IFERROR(VALUE(LEFT(E1961,FIND("º",SUBSTITUTE(E1961,"°","º"))-1)),""))))</f>
        <v>32</v>
      </c>
      <c r="O1961" s="2" t="str">
        <f aca="false">IF(OR(F1961="",G1961=""),"",IF(G1961&lt;='RETRATO 2027'!$K$5,"CONCLUÍDA",IF(F1961&lt;='RETRATO 2027'!$K$5,"EM ANDAMENTO","A INICIAR")))</f>
        <v>A INICIAR</v>
      </c>
    </row>
    <row r="1962" customFormat="false" ht="15" hidden="false" customHeight="false" outlineLevel="0" collapsed="false">
      <c r="B1962" s="4" t="n">
        <v>29980629</v>
      </c>
      <c r="C1962" s="4" t="s">
        <v>2511</v>
      </c>
      <c r="D1962" s="4" t="s">
        <v>463</v>
      </c>
      <c r="E1962" s="4" t="s">
        <v>2844</v>
      </c>
      <c r="F1962" s="127" t="n">
        <v>46986</v>
      </c>
      <c r="G1962" s="127" t="n">
        <v>46996</v>
      </c>
      <c r="H1962" s="127" t="n">
        <v>46289</v>
      </c>
      <c r="I1962" s="4" t="n">
        <v>0</v>
      </c>
      <c r="J1962" s="4" t="n">
        <v>0</v>
      </c>
      <c r="K1962" s="4" t="n">
        <v>0</v>
      </c>
      <c r="M1962" s="2" t="str">
        <f aca="false">IF(C1962="","",IFERROR(INDEX($S$5:$S$304,MATCH(C1962,$R$5:$R$304,0))&amp;"","?"))</f>
        <v>20</v>
      </c>
      <c r="N1962" s="2" t="n">
        <f aca="false">IF(E1962="","",IF(ISNUMBER(SEARCH("SUBSOLO",E1962)),IFERROR(-VALUE(LEFT(E1962,FIND("º",SUBSTITUTE(E1962,"°","º"))-1)),-1),IF(LEFT(E1962,6)="TÉRREO",0,IFERROR(VALUE(LEFT(E1962,FIND("º",SUBSTITUTE(E1962,"°","º"))-1)),""))))</f>
        <v>32</v>
      </c>
      <c r="O1962" s="2" t="str">
        <f aca="false">IF(OR(F1962="",G1962=""),"",IF(G1962&lt;='RETRATO 2027'!$K$5,"CONCLUÍDA",IF(F1962&lt;='RETRATO 2027'!$K$5,"EM ANDAMENTO","A INICIAR")))</f>
        <v>A INICIAR</v>
      </c>
    </row>
    <row r="1963" customFormat="false" ht="15" hidden="false" customHeight="false" outlineLevel="0" collapsed="false">
      <c r="B1963" s="4" t="n">
        <v>30214094</v>
      </c>
      <c r="C1963" s="4" t="s">
        <v>2514</v>
      </c>
      <c r="D1963" s="4" t="s">
        <v>463</v>
      </c>
      <c r="E1963" s="4" t="s">
        <v>2844</v>
      </c>
      <c r="F1963" s="127" t="n">
        <v>46986</v>
      </c>
      <c r="G1963" s="127" t="n">
        <v>46997</v>
      </c>
      <c r="H1963" s="127" t="n">
        <v>46289</v>
      </c>
      <c r="I1963" s="4" t="n">
        <v>0</v>
      </c>
      <c r="J1963" s="4" t="n">
        <v>0</v>
      </c>
      <c r="K1963" s="4" t="n">
        <v>0</v>
      </c>
      <c r="M1963" s="2" t="str">
        <f aca="false">IF(C1963="","",IFERROR(INDEX($S$5:$S$304,MATCH(C1963,$R$5:$R$304,0))&amp;"","?"))</f>
        <v>20</v>
      </c>
      <c r="N1963" s="2" t="n">
        <f aca="false">IF(E1963="","",IF(ISNUMBER(SEARCH("SUBSOLO",E1963)),IFERROR(-VALUE(LEFT(E1963,FIND("º",SUBSTITUTE(E1963,"°","º"))-1)),-1),IF(LEFT(E1963,6)="TÉRREO",0,IFERROR(VALUE(LEFT(E1963,FIND("º",SUBSTITUTE(E1963,"°","º"))-1)),""))))</f>
        <v>32</v>
      </c>
      <c r="O1963" s="2" t="str">
        <f aca="false">IF(OR(F1963="",G1963=""),"",IF(G1963&lt;='RETRATO 2027'!$K$5,"CONCLUÍDA",IF(F1963&lt;='RETRATO 2027'!$K$5,"EM ANDAMENTO","A INICIAR")))</f>
        <v>A INICIAR</v>
      </c>
    </row>
    <row r="1964" customFormat="false" ht="15" hidden="false" customHeight="false" outlineLevel="0" collapsed="false">
      <c r="B1964" s="4" t="n">
        <v>29981102</v>
      </c>
      <c r="C1964" s="4" t="s">
        <v>171</v>
      </c>
      <c r="D1964" s="4" t="s">
        <v>463</v>
      </c>
      <c r="E1964" s="4" t="s">
        <v>2822</v>
      </c>
      <c r="F1964" s="127" t="n">
        <v>46987</v>
      </c>
      <c r="G1964" s="127" t="n">
        <v>46997</v>
      </c>
      <c r="H1964" s="127" t="n">
        <v>46289</v>
      </c>
      <c r="I1964" s="4" t="n">
        <v>0</v>
      </c>
      <c r="J1964" s="4" t="n">
        <v>0</v>
      </c>
      <c r="K1964" s="4" t="n">
        <v>0</v>
      </c>
      <c r="M1964" s="2" t="str">
        <f aca="false">IF(C1964="","",IFERROR(INDEX($S$5:$S$304,MATCH(C1964,$R$5:$R$304,0))&amp;"","?"))</f>
        <v>19</v>
      </c>
      <c r="N1964" s="2" t="n">
        <f aca="false">IF(E1964="","",IF(ISNUMBER(SEARCH("SUBSOLO",E1964)),IFERROR(-VALUE(LEFT(E1964,FIND("º",SUBSTITUTE(E1964,"°","º"))-1)),-1),IF(LEFT(E1964,6)="TÉRREO",0,IFERROR(VALUE(LEFT(E1964,FIND("º",SUBSTITUTE(E1964,"°","º"))-1)),""))))</f>
        <v>19</v>
      </c>
      <c r="O1964" s="2" t="str">
        <f aca="false">IF(OR(F1964="",G1964=""),"",IF(G1964&lt;='RETRATO 2027'!$K$5,"CONCLUÍDA",IF(F1964&lt;='RETRATO 2027'!$K$5,"EM ANDAMENTO","A INICIAR")))</f>
        <v>A INICIAR</v>
      </c>
    </row>
    <row r="1965" customFormat="false" ht="15" hidden="false" customHeight="false" outlineLevel="0" collapsed="false">
      <c r="B1965" s="4" t="n">
        <v>30210368</v>
      </c>
      <c r="C1965" s="4" t="s">
        <v>2720</v>
      </c>
      <c r="D1965" s="4" t="s">
        <v>463</v>
      </c>
      <c r="E1965" s="4" t="s">
        <v>186</v>
      </c>
      <c r="F1965" s="127" t="n">
        <v>46988</v>
      </c>
      <c r="G1965" s="127" t="n">
        <v>47035</v>
      </c>
      <c r="H1965" s="127" t="n">
        <v>46289</v>
      </c>
      <c r="I1965" s="4" t="n">
        <v>0</v>
      </c>
      <c r="J1965" s="4" t="n">
        <v>0</v>
      </c>
      <c r="K1965" s="4" t="n">
        <v>0</v>
      </c>
      <c r="M1965" s="2" t="str">
        <f aca="false">IF(C1965="","",IFERROR(INDEX($S$5:$S$304,MATCH(C1965,$R$5:$R$304,0))&amp;"","?"))</f>
        <v>24</v>
      </c>
      <c r="N1965" s="2" t="str">
        <f aca="false"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 t="str">
        <f aca="false">IF(OR(F1965="",G1965=""),"",IF(G1965&lt;='RETRATO 2027'!$K$5,"CONCLUÍDA",IF(F1965&lt;='RETRATO 2027'!$K$5,"EM ANDAMENTO","A INICIAR")))</f>
        <v>A INICIAR</v>
      </c>
    </row>
    <row r="1966" customFormat="false" ht="15" hidden="false" customHeight="false" outlineLevel="0" collapsed="false">
      <c r="B1966" s="4" t="n">
        <v>30205940</v>
      </c>
      <c r="C1966" s="4" t="s">
        <v>2702</v>
      </c>
      <c r="D1966" s="4" t="s">
        <v>463</v>
      </c>
      <c r="E1966" s="4" t="s">
        <v>2800</v>
      </c>
      <c r="F1966" s="127" t="n">
        <v>46989</v>
      </c>
      <c r="G1966" s="127" t="n">
        <v>47002</v>
      </c>
      <c r="H1966" s="127" t="n">
        <v>46289</v>
      </c>
      <c r="I1966" s="4" t="n">
        <v>0</v>
      </c>
      <c r="J1966" s="4" t="n">
        <v>0</v>
      </c>
      <c r="K1966" s="4" t="n">
        <v>0</v>
      </c>
      <c r="M1966" s="2" t="str">
        <f aca="false">IF(C1966="","",IFERROR(INDEX($S$5:$S$304,MATCH(C1966,$R$5:$R$304,0))&amp;"","?"))</f>
        <v>25</v>
      </c>
      <c r="N1966" s="2" t="n">
        <f aca="false">IF(E1966="","",IF(ISNUMBER(SEARCH("SUBSOLO",E1966)),IFERROR(-VALUE(LEFT(E1966,FIND("º",SUBSTITUTE(E1966,"°","º"))-1)),-1),IF(LEFT(E1966,6)="TÉRREO",0,IFERROR(VALUE(LEFT(E1966,FIND("º",SUBSTITUTE(E1966,"°","º"))-1)),""))))</f>
        <v>4</v>
      </c>
      <c r="O1966" s="2" t="str">
        <f aca="false">IF(OR(F1966="",G1966=""),"",IF(G1966&lt;='RETRATO 2027'!$K$5,"CONCLUÍDA",IF(F1966&lt;='RETRATO 2027'!$K$5,"EM ANDAMENTO","A INICIAR")))</f>
        <v>A INICIAR</v>
      </c>
    </row>
    <row r="1967" customFormat="false" ht="15" hidden="false" customHeight="false" outlineLevel="0" collapsed="false">
      <c r="B1967" s="4" t="n">
        <v>30210552</v>
      </c>
      <c r="C1967" s="4" t="s">
        <v>2723</v>
      </c>
      <c r="D1967" s="4" t="s">
        <v>463</v>
      </c>
      <c r="E1967" s="4" t="s">
        <v>2852</v>
      </c>
      <c r="F1967" s="127" t="n">
        <v>46989</v>
      </c>
      <c r="G1967" s="127" t="n">
        <v>47010</v>
      </c>
      <c r="H1967" s="127" t="n">
        <v>46289</v>
      </c>
      <c r="I1967" s="4" t="n">
        <v>0</v>
      </c>
      <c r="J1967" s="4" t="n">
        <v>0</v>
      </c>
      <c r="K1967" s="4" t="n">
        <v>0</v>
      </c>
      <c r="M1967" s="2" t="str">
        <f aca="false">IF(C1967="","",IFERROR(INDEX($S$5:$S$304,MATCH(C1967,$R$5:$R$304,0))&amp;"","?"))</f>
        <v>22</v>
      </c>
      <c r="N1967" s="2" t="n">
        <f aca="false">IF(E1967="","",IF(ISNUMBER(SEARCH("SUBSOLO",E1967)),IFERROR(-VALUE(LEFT(E1967,FIND("º",SUBSTITUTE(E1967,"°","º"))-1)),-1),IF(LEFT(E1967,6)="TÉRREO",0,IFERROR(VALUE(LEFT(E1967,FIND("º",SUBSTITUTE(E1967,"°","º"))-1)),""))))</f>
        <v>33</v>
      </c>
      <c r="O1967" s="2" t="str">
        <f aca="false">IF(OR(F1967="",G1967=""),"",IF(G1967&lt;='RETRATO 2027'!$K$5,"CONCLUÍDA",IF(F1967&lt;='RETRATO 2027'!$K$5,"EM ANDAMENTO","A INICIAR")))</f>
        <v>A INICIAR</v>
      </c>
    </row>
    <row r="1968" customFormat="false" ht="15" hidden="false" customHeight="false" outlineLevel="0" collapsed="false">
      <c r="B1968" s="4" t="n">
        <v>30205787</v>
      </c>
      <c r="C1968" s="4" t="s">
        <v>2629</v>
      </c>
      <c r="D1968" s="4" t="s">
        <v>463</v>
      </c>
      <c r="E1968" s="4" t="s">
        <v>2835</v>
      </c>
      <c r="F1968" s="127" t="n">
        <v>46990</v>
      </c>
      <c r="G1968" s="127" t="n">
        <v>47004</v>
      </c>
      <c r="H1968" s="127" t="n">
        <v>46289</v>
      </c>
      <c r="I1968" s="4" t="n">
        <v>0</v>
      </c>
      <c r="J1968" s="4" t="n">
        <v>0</v>
      </c>
      <c r="K1968" s="4" t="n">
        <v>0</v>
      </c>
      <c r="M1968" s="2" t="str">
        <f aca="false">IF(C1968="","",IFERROR(INDEX($S$5:$S$304,MATCH(C1968,$R$5:$R$304,0))&amp;"","?"))</f>
        <v>20</v>
      </c>
      <c r="N1968" s="2" t="n">
        <f aca="false">IF(E1968="","",IF(ISNUMBER(SEARCH("SUBSOLO",E1968)),IFERROR(-VALUE(LEFT(E1968,FIND("º",SUBSTITUTE(E1968,"°","º"))-1)),-1),IF(LEFT(E1968,6)="TÉRREO",0,IFERROR(VALUE(LEFT(E1968,FIND("º",SUBSTITUTE(E1968,"°","º"))-1)),""))))</f>
        <v>0</v>
      </c>
      <c r="O1968" s="2" t="str">
        <f aca="false">IF(OR(F1968="",G1968=""),"",IF(G1968&lt;='RETRATO 2027'!$K$5,"CONCLUÍDA",IF(F1968&lt;='RETRATO 2027'!$K$5,"EM ANDAMENTO","A INICIAR")))</f>
        <v>A INICIAR</v>
      </c>
    </row>
    <row r="1969" customFormat="false" ht="15" hidden="false" customHeight="false" outlineLevel="0" collapsed="false">
      <c r="B1969" s="4" t="n">
        <v>29981254</v>
      </c>
      <c r="C1969" s="4" t="s">
        <v>2649</v>
      </c>
      <c r="D1969" s="4" t="s">
        <v>463</v>
      </c>
      <c r="E1969" s="4" t="s">
        <v>2814</v>
      </c>
      <c r="F1969" s="127" t="n">
        <v>46990</v>
      </c>
      <c r="G1969" s="127" t="n">
        <v>47002</v>
      </c>
      <c r="H1969" s="127" t="n">
        <v>46289</v>
      </c>
      <c r="I1969" s="4" t="n">
        <v>0</v>
      </c>
      <c r="J1969" s="4" t="n">
        <v>0</v>
      </c>
      <c r="K1969" s="4" t="n">
        <v>0</v>
      </c>
      <c r="M1969" s="2" t="str">
        <f aca="false">IF(C1969="","",IFERROR(INDEX($S$5:$S$304,MATCH(C1969,$R$5:$R$304,0))&amp;"","?"))</f>
        <v>37</v>
      </c>
      <c r="N1969" s="2" t="n">
        <f aca="false">IF(E1969="","",IF(ISNUMBER(SEARCH("SUBSOLO",E1969)),IFERROR(-VALUE(LEFT(E1969,FIND("º",SUBSTITUTE(E1969,"°","º"))-1)),-1),IF(LEFT(E1969,6)="TÉRREO",0,IFERROR(VALUE(LEFT(E1969,FIND("º",SUBSTITUTE(E1969,"°","º"))-1)),""))))</f>
        <v>15</v>
      </c>
      <c r="O1969" s="2" t="str">
        <f aca="false">IF(OR(F1969="",G1969=""),"",IF(G1969&lt;='RETRATO 2027'!$K$5,"CONCLUÍDA",IF(F1969&lt;='RETRATO 2027'!$K$5,"EM ANDAMENTO","A INICIAR")))</f>
        <v>A INICIAR</v>
      </c>
    </row>
    <row r="1970" customFormat="false" ht="15" hidden="false" customHeight="false" outlineLevel="0" collapsed="false">
      <c r="B1970" s="4" t="n">
        <v>29981207</v>
      </c>
      <c r="C1970" s="4" t="s">
        <v>2641</v>
      </c>
      <c r="D1970" s="4" t="s">
        <v>463</v>
      </c>
      <c r="E1970" s="4" t="s">
        <v>2815</v>
      </c>
      <c r="F1970" s="127" t="n">
        <v>46990</v>
      </c>
      <c r="G1970" s="127" t="n">
        <v>47002</v>
      </c>
      <c r="H1970" s="127" t="n">
        <v>46289</v>
      </c>
      <c r="I1970" s="4" t="n">
        <v>0</v>
      </c>
      <c r="J1970" s="4" t="n">
        <v>0</v>
      </c>
      <c r="K1970" s="4" t="n">
        <v>0</v>
      </c>
      <c r="M1970" s="2" t="str">
        <f aca="false">IF(C1970="","",IFERROR(INDEX($S$5:$S$304,MATCH(C1970,$R$5:$R$304,0))&amp;"","?"))</f>
        <v>35</v>
      </c>
      <c r="N1970" s="2" t="n">
        <f aca="false">IF(E1970="","",IF(ISNUMBER(SEARCH("SUBSOLO",E1970)),IFERROR(-VALUE(LEFT(E1970,FIND("º",SUBSTITUTE(E1970,"°","º"))-1)),-1),IF(LEFT(E1970,6)="TÉRREO",0,IFERROR(VALUE(LEFT(E1970,FIND("º",SUBSTITUTE(E1970,"°","º"))-1)),""))))</f>
        <v>16</v>
      </c>
      <c r="O1970" s="2" t="str">
        <f aca="false">IF(OR(F1970="",G1970=""),"",IF(G1970&lt;='RETRATO 2027'!$K$5,"CONCLUÍDA",IF(F1970&lt;='RETRATO 2027'!$K$5,"EM ANDAMENTO","A INICIAR")))</f>
        <v>A INICIAR</v>
      </c>
    </row>
    <row r="1971" customFormat="false" ht="15" hidden="false" customHeight="false" outlineLevel="0" collapsed="false">
      <c r="B1971" s="4" t="n">
        <v>30206110</v>
      </c>
      <c r="C1971" s="4" t="s">
        <v>2609</v>
      </c>
      <c r="D1971" s="4" t="s">
        <v>463</v>
      </c>
      <c r="E1971" s="4" t="s">
        <v>2846</v>
      </c>
      <c r="F1971" s="127" t="n">
        <v>46993</v>
      </c>
      <c r="G1971" s="127" t="n">
        <v>47007</v>
      </c>
      <c r="H1971" s="127" t="n">
        <v>46289</v>
      </c>
      <c r="I1971" s="4" t="n">
        <v>0</v>
      </c>
      <c r="J1971" s="4" t="n">
        <v>0</v>
      </c>
      <c r="K1971" s="4" t="n">
        <v>0</v>
      </c>
      <c r="M1971" s="2" t="str">
        <f aca="false">IF(C1971="","",IFERROR(INDEX($S$5:$S$304,MATCH(C1971,$R$5:$R$304,0))&amp;"","?"))</f>
        <v>23</v>
      </c>
      <c r="N1971" s="2" t="n">
        <f aca="false">IF(E1971="","",IF(ISNUMBER(SEARCH("SUBSOLO",E1971)),IFERROR(-VALUE(LEFT(E1971,FIND("º",SUBSTITUTE(E1971,"°","º"))-1)),-1),IF(LEFT(E1971,6)="TÉRREO",0,IFERROR(VALUE(LEFT(E1971,FIND("º",SUBSTITUTE(E1971,"°","º"))-1)),""))))</f>
        <v>6</v>
      </c>
      <c r="O1971" s="2" t="str">
        <f aca="false">IF(OR(F1971="",G1971=""),"",IF(G1971&lt;='RETRATO 2027'!$K$5,"CONCLUÍDA",IF(F1971&lt;='RETRATO 2027'!$K$5,"EM ANDAMENTO","A INICIAR")))</f>
        <v>A INICIAR</v>
      </c>
    </row>
    <row r="1972" customFormat="false" ht="15" hidden="false" customHeight="false" outlineLevel="0" collapsed="false">
      <c r="B1972" s="4" t="n">
        <v>30206066</v>
      </c>
      <c r="C1972" s="4" t="s">
        <v>2554</v>
      </c>
      <c r="D1972" s="4" t="s">
        <v>463</v>
      </c>
      <c r="E1972" s="4" t="s">
        <v>2847</v>
      </c>
      <c r="F1972" s="127" t="n">
        <v>46993</v>
      </c>
      <c r="G1972" s="127" t="n">
        <v>47007</v>
      </c>
      <c r="H1972" s="127" t="n">
        <v>46289</v>
      </c>
      <c r="I1972" s="4" t="n">
        <v>0</v>
      </c>
      <c r="J1972" s="4" t="n">
        <v>0</v>
      </c>
      <c r="K1972" s="4" t="n">
        <v>0</v>
      </c>
      <c r="M1972" s="2" t="str">
        <f aca="false">IF(C1972="","",IFERROR(INDEX($S$5:$S$304,MATCH(C1972,$R$5:$R$304,0))&amp;"","?"))</f>
        <v>35</v>
      </c>
      <c r="N1972" s="2" t="n">
        <f aca="false">IF(E1972="","",IF(ISNUMBER(SEARCH("SUBSOLO",E1972)),IFERROR(-VALUE(LEFT(E1972,FIND("º",SUBSTITUTE(E1972,"°","º"))-1)),-1),IF(LEFT(E1972,6)="TÉRREO",0,IFERROR(VALUE(LEFT(E1972,FIND("º",SUBSTITUTE(E1972,"°","º"))-1)),""))))</f>
        <v>6</v>
      </c>
      <c r="O1972" s="2" t="str">
        <f aca="false">IF(OR(F1972="",G1972=""),"",IF(G1972&lt;='RETRATO 2027'!$K$5,"CONCLUÍDA",IF(F1972&lt;='RETRATO 2027'!$K$5,"EM ANDAMENTO","A INICIAR")))</f>
        <v>A INICIAR</v>
      </c>
    </row>
    <row r="1973" customFormat="false" ht="15" hidden="false" customHeight="false" outlineLevel="0" collapsed="false">
      <c r="B1973" s="4" t="n">
        <v>33904060</v>
      </c>
      <c r="C1973" s="4" t="s">
        <v>2545</v>
      </c>
      <c r="D1973" s="4" t="s">
        <v>463</v>
      </c>
      <c r="E1973" s="4" t="s">
        <v>2848</v>
      </c>
      <c r="F1973" s="127" t="n">
        <v>46993</v>
      </c>
      <c r="G1973" s="127" t="n">
        <v>47007</v>
      </c>
      <c r="H1973" s="127" t="n">
        <v>46289</v>
      </c>
      <c r="I1973" s="4" t="n">
        <v>0</v>
      </c>
      <c r="J1973" s="4" t="n">
        <v>0</v>
      </c>
      <c r="K1973" s="4" t="n">
        <v>0</v>
      </c>
      <c r="M1973" s="2" t="str">
        <f aca="false">IF(C1973="","",IFERROR(INDEX($S$5:$S$304,MATCH(C1973,$R$5:$R$304,0))&amp;"","?"))</f>
        <v>25</v>
      </c>
      <c r="N1973" s="2" t="n">
        <f aca="false">IF(E1973="","",IF(ISNUMBER(SEARCH("SUBSOLO",E1973)),IFERROR(-VALUE(LEFT(E1973,FIND("º",SUBSTITUTE(E1973,"°","º"))-1)),-1),IF(LEFT(E1973,6)="TÉRREO",0,IFERROR(VALUE(LEFT(E1973,FIND("º",SUBSTITUTE(E1973,"°","º"))-1)),""))))</f>
        <v>6</v>
      </c>
      <c r="O1973" s="2" t="str">
        <f aca="false">IF(OR(F1973="",G1973=""),"",IF(G1973&lt;='RETRATO 2027'!$K$5,"CONCLUÍDA",IF(F1973&lt;='RETRATO 2027'!$K$5,"EM ANDAMENTO","A INICIAR")))</f>
        <v>A INICIAR</v>
      </c>
    </row>
    <row r="1974" customFormat="false" ht="15" hidden="false" customHeight="false" outlineLevel="0" collapsed="false">
      <c r="B1974" s="4" t="n">
        <v>30206016</v>
      </c>
      <c r="C1974" s="4" t="s">
        <v>216</v>
      </c>
      <c r="D1974" s="4" t="s">
        <v>463</v>
      </c>
      <c r="E1974" s="4" t="s">
        <v>2849</v>
      </c>
      <c r="F1974" s="127" t="n">
        <v>46993</v>
      </c>
      <c r="G1974" s="127" t="n">
        <v>47007</v>
      </c>
      <c r="H1974" s="127" t="n">
        <v>46289</v>
      </c>
      <c r="I1974" s="4" t="n">
        <v>0</v>
      </c>
      <c r="J1974" s="4" t="n">
        <v>0</v>
      </c>
      <c r="K1974" s="4" t="n">
        <v>0</v>
      </c>
      <c r="M1974" s="2" t="str">
        <f aca="false">IF(C1974="","",IFERROR(INDEX($S$5:$S$304,MATCH(C1974,$R$5:$R$304,0))&amp;"","?"))</f>
        <v>33</v>
      </c>
      <c r="N1974" s="2" t="n">
        <f aca="false">IF(E1974="","",IF(ISNUMBER(SEARCH("SUBSOLO",E1974)),IFERROR(-VALUE(LEFT(E1974,FIND("º",SUBSTITUTE(E1974,"°","º"))-1)),-1),IF(LEFT(E1974,6)="TÉRREO",0,IFERROR(VALUE(LEFT(E1974,FIND("º",SUBSTITUTE(E1974,"°","º"))-1)),""))))</f>
        <v>6</v>
      </c>
      <c r="O1974" s="2" t="str">
        <f aca="false">IF(OR(F1974="",G1974=""),"",IF(G1974&lt;='RETRATO 2027'!$K$5,"CONCLUÍDA",IF(F1974&lt;='RETRATO 2027'!$K$5,"EM ANDAMENTO","A INICIAR")))</f>
        <v>A INICIAR</v>
      </c>
    </row>
    <row r="1975" customFormat="false" ht="15" hidden="false" customHeight="false" outlineLevel="0" collapsed="false">
      <c r="B1975" s="4" t="n">
        <v>30205977</v>
      </c>
      <c r="C1975" s="4" t="s">
        <v>2508</v>
      </c>
      <c r="D1975" s="4" t="s">
        <v>463</v>
      </c>
      <c r="E1975" s="4" t="s">
        <v>2850</v>
      </c>
      <c r="F1975" s="127" t="n">
        <v>46993</v>
      </c>
      <c r="G1975" s="127" t="n">
        <v>47007</v>
      </c>
      <c r="H1975" s="127" t="n">
        <v>46289</v>
      </c>
      <c r="I1975" s="4" t="n">
        <v>0</v>
      </c>
      <c r="J1975" s="4" t="n">
        <v>0</v>
      </c>
      <c r="K1975" s="4" t="n">
        <v>0</v>
      </c>
      <c r="M1975" s="2" t="str">
        <f aca="false">IF(C1975="","",IFERROR(INDEX($S$5:$S$304,MATCH(C1975,$R$5:$R$304,0))&amp;"","?"))</f>
        <v>20</v>
      </c>
      <c r="N1975" s="2" t="n">
        <f aca="false">IF(E1975="","",IF(ISNUMBER(SEARCH("SUBSOLO",E1975)),IFERROR(-VALUE(LEFT(E1975,FIND("º",SUBSTITUTE(E1975,"°","º"))-1)),-1),IF(LEFT(E1975,6)="TÉRREO",0,IFERROR(VALUE(LEFT(E1975,FIND("º",SUBSTITUTE(E1975,"°","º"))-1)),""))))</f>
        <v>6</v>
      </c>
      <c r="O1975" s="2" t="str">
        <f aca="false">IF(OR(F1975="",G1975=""),"",IF(G1975&lt;='RETRATO 2027'!$K$5,"CONCLUÍDA",IF(F1975&lt;='RETRATO 2027'!$K$5,"EM ANDAMENTO","A INICIAR")))</f>
        <v>A INICIAR</v>
      </c>
    </row>
    <row r="1976" customFormat="false" ht="15" hidden="false" customHeight="false" outlineLevel="0" collapsed="false">
      <c r="B1976" s="4" t="n">
        <v>30214068</v>
      </c>
      <c r="C1976" s="4" t="s">
        <v>2514</v>
      </c>
      <c r="D1976" s="4" t="s">
        <v>463</v>
      </c>
      <c r="E1976" s="4" t="s">
        <v>2850</v>
      </c>
      <c r="F1976" s="127" t="n">
        <v>46993</v>
      </c>
      <c r="G1976" s="127" t="n">
        <v>47007</v>
      </c>
      <c r="H1976" s="127" t="n">
        <v>46289</v>
      </c>
      <c r="I1976" s="4" t="n">
        <v>0</v>
      </c>
      <c r="J1976" s="4" t="n">
        <v>0</v>
      </c>
      <c r="K1976" s="4" t="n">
        <v>0</v>
      </c>
      <c r="M1976" s="2" t="str">
        <f aca="false">IF(C1976="","",IFERROR(INDEX($S$5:$S$304,MATCH(C1976,$R$5:$R$304,0))&amp;"","?"))</f>
        <v>20</v>
      </c>
      <c r="N1976" s="2" t="n">
        <f aca="false">IF(E1976="","",IF(ISNUMBER(SEARCH("SUBSOLO",E1976)),IFERROR(-VALUE(LEFT(E1976,FIND("º",SUBSTITUTE(E1976,"°","º"))-1)),-1),IF(LEFT(E1976,6)="TÉRREO",0,IFERROR(VALUE(LEFT(E1976,FIND("º",SUBSTITUTE(E1976,"°","º"))-1)),""))))</f>
        <v>6</v>
      </c>
      <c r="O1976" s="2" t="str">
        <f aca="false">IF(OR(F1976="",G1976=""),"",IF(G1976&lt;='RETRATO 2027'!$K$5,"CONCLUÍDA",IF(F1976&lt;='RETRATO 2027'!$K$5,"EM ANDAMENTO","A INICIAR")))</f>
        <v>A INICIAR</v>
      </c>
    </row>
    <row r="1977" customFormat="false" ht="15" hidden="false" customHeight="false" outlineLevel="0" collapsed="false">
      <c r="B1977" s="4" t="n">
        <v>30205937</v>
      </c>
      <c r="C1977" s="4" t="s">
        <v>228</v>
      </c>
      <c r="D1977" s="4" t="s">
        <v>463</v>
      </c>
      <c r="E1977" s="4" t="s">
        <v>2801</v>
      </c>
      <c r="F1977" s="127" t="n">
        <v>46994</v>
      </c>
      <c r="G1977" s="127" t="n">
        <v>47008</v>
      </c>
      <c r="H1977" s="127" t="n">
        <v>46289</v>
      </c>
      <c r="I1977" s="4" t="n">
        <v>0</v>
      </c>
      <c r="J1977" s="4" t="n">
        <v>0</v>
      </c>
      <c r="K1977" s="4" t="n">
        <v>0</v>
      </c>
      <c r="M1977" s="2" t="str">
        <f aca="false">IF(C1977="","",IFERROR(INDEX($S$5:$S$304,MATCH(C1977,$R$5:$R$304,0))&amp;"","?"))</f>
        <v>36</v>
      </c>
      <c r="N1977" s="2" t="n">
        <f aca="false">IF(E1977="","",IF(ISNUMBER(SEARCH("SUBSOLO",E1977)),IFERROR(-VALUE(LEFT(E1977,FIND("º",SUBSTITUTE(E1977,"°","º"))-1)),-1),IF(LEFT(E1977,6)="TÉRREO",0,IFERROR(VALUE(LEFT(E1977,FIND("º",SUBSTITUTE(E1977,"°","º"))-1)),""))))</f>
        <v>5</v>
      </c>
      <c r="O1977" s="2" t="str">
        <f aca="false">IF(OR(F1977="",G1977=""),"",IF(G1977&lt;='RETRATO 2027'!$K$5,"CONCLUÍDA",IF(F1977&lt;='RETRATO 2027'!$K$5,"EM ANDAMENTO","A INICIAR")))</f>
        <v>A INICIAR</v>
      </c>
    </row>
    <row r="1978" customFormat="false" ht="15" hidden="false" customHeight="false" outlineLevel="0" collapsed="false">
      <c r="B1978" s="4" t="n">
        <v>30205574</v>
      </c>
      <c r="C1978" s="4" t="s">
        <v>2637</v>
      </c>
      <c r="D1978" s="4" t="s">
        <v>463</v>
      </c>
      <c r="E1978" s="4" t="s">
        <v>2830</v>
      </c>
      <c r="F1978" s="127" t="n">
        <v>46995</v>
      </c>
      <c r="G1978" s="127" t="n">
        <v>47001</v>
      </c>
      <c r="H1978" s="127" t="n">
        <v>46289</v>
      </c>
      <c r="I1978" s="4" t="n">
        <v>0</v>
      </c>
      <c r="J1978" s="4" t="n">
        <v>0</v>
      </c>
      <c r="K1978" s="4" t="n">
        <v>0</v>
      </c>
      <c r="M1978" s="2" t="str">
        <f aca="false">IF(C1978="","",IFERROR(INDEX($S$5:$S$304,MATCH(C1978,$R$5:$R$304,0))&amp;"","?"))</f>
        <v/>
      </c>
      <c r="N1978" s="2" t="n">
        <f aca="false">IF(E1978="","",IF(ISNUMBER(SEARCH("SUBSOLO",E1978)),IFERROR(-VALUE(LEFT(E1978,FIND("º",SUBSTITUTE(E1978,"°","º"))-1)),-1),IF(LEFT(E1978,6)="TÉRREO",0,IFERROR(VALUE(LEFT(E1978,FIND("º",SUBSTITUTE(E1978,"°","º"))-1)),""))))</f>
        <v>0</v>
      </c>
      <c r="O1978" s="2" t="str">
        <f aca="false">IF(OR(F1978="",G1978=""),"",IF(G1978&lt;='RETRATO 2027'!$K$5,"CONCLUÍDA",IF(F1978&lt;='RETRATO 2027'!$K$5,"EM ANDAMENTO","A INICIAR")))</f>
        <v>A INICIAR</v>
      </c>
    </row>
    <row r="1979" customFormat="false" ht="15" hidden="false" customHeight="false" outlineLevel="0" collapsed="false">
      <c r="B1979" s="4" t="n">
        <v>30205543</v>
      </c>
      <c r="C1979" s="4" t="s">
        <v>2649</v>
      </c>
      <c r="D1979" s="4" t="s">
        <v>463</v>
      </c>
      <c r="E1979" s="4" t="s">
        <v>2832</v>
      </c>
      <c r="F1979" s="127" t="n">
        <v>46995</v>
      </c>
      <c r="G1979" s="127" t="n">
        <v>47009</v>
      </c>
      <c r="H1979" s="127" t="n">
        <v>46289</v>
      </c>
      <c r="I1979" s="4" t="n">
        <v>0</v>
      </c>
      <c r="J1979" s="4" t="n">
        <v>0</v>
      </c>
      <c r="K1979" s="4" t="n">
        <v>0</v>
      </c>
      <c r="M1979" s="2" t="str">
        <f aca="false">IF(C1979="","",IFERROR(INDEX($S$5:$S$304,MATCH(C1979,$R$5:$R$304,0))&amp;"","?"))</f>
        <v>37</v>
      </c>
      <c r="N1979" s="2" t="n">
        <f aca="false">IF(E1979="","",IF(ISNUMBER(SEARCH("SUBSOLO",E1979)),IFERROR(-VALUE(LEFT(E1979,FIND("º",SUBSTITUTE(E1979,"°","º"))-1)),-1),IF(LEFT(E1979,6)="TÉRREO",0,IFERROR(VALUE(LEFT(E1979,FIND("º",SUBSTITUTE(E1979,"°","º"))-1)),""))))</f>
        <v>0</v>
      </c>
      <c r="O1979" s="2" t="str">
        <f aca="false">IF(OR(F1979="",G1979=""),"",IF(G1979&lt;='RETRATO 2027'!$K$5,"CONCLUÍDA",IF(F1979&lt;='RETRATO 2027'!$K$5,"EM ANDAMENTO","A INICIAR")))</f>
        <v>A INICIAR</v>
      </c>
    </row>
    <row r="1980" customFormat="false" ht="15" hidden="false" customHeight="false" outlineLevel="0" collapsed="false">
      <c r="B1980" s="4" t="n">
        <v>29981169</v>
      </c>
      <c r="C1980" s="4" t="s">
        <v>2637</v>
      </c>
      <c r="D1980" s="4" t="s">
        <v>463</v>
      </c>
      <c r="E1980" s="4" t="s">
        <v>2818</v>
      </c>
      <c r="F1980" s="127" t="n">
        <v>46996</v>
      </c>
      <c r="G1980" s="127" t="n">
        <v>47002</v>
      </c>
      <c r="H1980" s="127" t="n">
        <v>46289</v>
      </c>
      <c r="I1980" s="4" t="n">
        <v>0</v>
      </c>
      <c r="J1980" s="4" t="n">
        <v>0</v>
      </c>
      <c r="K1980" s="4" t="n">
        <v>0</v>
      </c>
      <c r="M1980" s="2" t="str">
        <f aca="false">IF(C1980="","",IFERROR(INDEX($S$5:$S$304,MATCH(C1980,$R$5:$R$304,0))&amp;"","?"))</f>
        <v/>
      </c>
      <c r="N1980" s="2" t="n">
        <f aca="false">IF(E1980="","",IF(ISNUMBER(SEARCH("SUBSOLO",E1980)),IFERROR(-VALUE(LEFT(E1980,FIND("º",SUBSTITUTE(E1980,"°","º"))-1)),-1),IF(LEFT(E1980,6)="TÉRREO",0,IFERROR(VALUE(LEFT(E1980,FIND("º",SUBSTITUTE(E1980,"°","º"))-1)),""))))</f>
        <v>17</v>
      </c>
      <c r="O1980" s="2" t="str">
        <f aca="false">IF(OR(F1980="",G1980=""),"",IF(G1980&lt;='RETRATO 2027'!$K$5,"CONCLUÍDA",IF(F1980&lt;='RETRATO 2027'!$K$5,"EM ANDAMENTO","A INICIAR")))</f>
        <v>A INICIAR</v>
      </c>
    </row>
    <row r="1981" customFormat="false" ht="15" hidden="false" customHeight="false" outlineLevel="0" collapsed="false">
      <c r="B1981" s="4" t="n">
        <v>29981134</v>
      </c>
      <c r="C1981" s="4" t="s">
        <v>2629</v>
      </c>
      <c r="D1981" s="4" t="s">
        <v>463</v>
      </c>
      <c r="E1981" s="4" t="s">
        <v>2820</v>
      </c>
      <c r="F1981" s="127" t="n">
        <v>46996</v>
      </c>
      <c r="G1981" s="127" t="n">
        <v>47009</v>
      </c>
      <c r="H1981" s="127" t="n">
        <v>46289</v>
      </c>
      <c r="I1981" s="4" t="n">
        <v>0</v>
      </c>
      <c r="J1981" s="4" t="n">
        <v>0</v>
      </c>
      <c r="K1981" s="4" t="n">
        <v>0</v>
      </c>
      <c r="M1981" s="2" t="str">
        <f aca="false">IF(C1981="","",IFERROR(INDEX($S$5:$S$304,MATCH(C1981,$R$5:$R$304,0))&amp;"","?"))</f>
        <v>20</v>
      </c>
      <c r="N1981" s="2" t="n">
        <f aca="false">IF(E1981="","",IF(ISNUMBER(SEARCH("SUBSOLO",E1981)),IFERROR(-VALUE(LEFT(E1981,FIND("º",SUBSTITUTE(E1981,"°","º"))-1)),-1),IF(LEFT(E1981,6)="TÉRREO",0,IFERROR(VALUE(LEFT(E1981,FIND("º",SUBSTITUTE(E1981,"°","º"))-1)),""))))</f>
        <v>18</v>
      </c>
      <c r="O1981" s="2" t="str">
        <f aca="false">IF(OR(F1981="",G1981=""),"",IF(G1981&lt;='RETRATO 2027'!$K$5,"CONCLUÍDA",IF(F1981&lt;='RETRATO 2027'!$K$5,"EM ANDAMENTO","A INICIAR")))</f>
        <v>A INICIAR</v>
      </c>
    </row>
    <row r="1982" customFormat="false" ht="15" hidden="false" customHeight="false" outlineLevel="0" collapsed="false">
      <c r="B1982" s="4" t="n">
        <v>29981057</v>
      </c>
      <c r="C1982" s="4" t="s">
        <v>2623</v>
      </c>
      <c r="D1982" s="4" t="s">
        <v>463</v>
      </c>
      <c r="E1982" s="4" t="s">
        <v>2823</v>
      </c>
      <c r="F1982" s="127" t="n">
        <v>46996</v>
      </c>
      <c r="G1982" s="127" t="n">
        <v>47009</v>
      </c>
      <c r="H1982" s="127" t="n">
        <v>46289</v>
      </c>
      <c r="I1982" s="4" t="n">
        <v>0</v>
      </c>
      <c r="J1982" s="4" t="n">
        <v>0</v>
      </c>
      <c r="K1982" s="4" t="n">
        <v>0</v>
      </c>
      <c r="M1982" s="2" t="str">
        <f aca="false">IF(C1982="","",IFERROR(INDEX($S$5:$S$304,MATCH(C1982,$R$5:$R$304,0))&amp;"","?"))</f>
        <v>35</v>
      </c>
      <c r="N1982" s="2" t="n">
        <f aca="false">IF(E1982="","",IF(ISNUMBER(SEARCH("SUBSOLO",E1982)),IFERROR(-VALUE(LEFT(E1982,FIND("º",SUBSTITUTE(E1982,"°","º"))-1)),-1),IF(LEFT(E1982,6)="TÉRREO",0,IFERROR(VALUE(LEFT(E1982,FIND("º",SUBSTITUTE(E1982,"°","º"))-1)),""))))</f>
        <v>20</v>
      </c>
      <c r="O1982" s="2" t="str">
        <f aca="false">IF(OR(F1982="",G1982=""),"",IF(G1982&lt;='RETRATO 2027'!$K$5,"CONCLUÍDA",IF(F1982&lt;='RETRATO 2027'!$K$5,"EM ANDAMENTO","A INICIAR")))</f>
        <v>A INICIAR</v>
      </c>
    </row>
    <row r="1983" customFormat="false" ht="15" hidden="false" customHeight="false" outlineLevel="0" collapsed="false">
      <c r="B1983" s="4" t="n">
        <v>33919797</v>
      </c>
      <c r="C1983" s="4" t="s">
        <v>2625</v>
      </c>
      <c r="D1983" s="4" t="s">
        <v>463</v>
      </c>
      <c r="E1983" s="4" t="s">
        <v>2823</v>
      </c>
      <c r="F1983" s="127" t="n">
        <v>46996</v>
      </c>
      <c r="G1983" s="127" t="n">
        <v>47009</v>
      </c>
      <c r="H1983" s="127" t="n">
        <v>46289</v>
      </c>
      <c r="I1983" s="4" t="n">
        <v>0</v>
      </c>
      <c r="J1983" s="4" t="n">
        <v>0</v>
      </c>
      <c r="K1983" s="4" t="n">
        <v>0</v>
      </c>
      <c r="M1983" s="2" t="str">
        <f aca="false">IF(C1983="","",IFERROR(INDEX($S$5:$S$304,MATCH(C1983,$R$5:$R$304,0))&amp;"","?"))</f>
        <v>32</v>
      </c>
      <c r="N1983" s="2" t="n">
        <f aca="false">IF(E1983="","",IF(ISNUMBER(SEARCH("SUBSOLO",E1983)),IFERROR(-VALUE(LEFT(E1983,FIND("º",SUBSTITUTE(E1983,"°","º"))-1)),-1),IF(LEFT(E1983,6)="TÉRREO",0,IFERROR(VALUE(LEFT(E1983,FIND("º",SUBSTITUTE(E1983,"°","º"))-1)),""))))</f>
        <v>20</v>
      </c>
      <c r="O1983" s="2" t="str">
        <f aca="false">IF(OR(F1983="",G1983=""),"",IF(G1983&lt;='RETRATO 2027'!$K$5,"CONCLUÍDA",IF(F1983&lt;='RETRATO 2027'!$K$5,"EM ANDAMENTO","A INICIAR")))</f>
        <v>A INICIAR</v>
      </c>
    </row>
    <row r="1984" customFormat="false" ht="15" hidden="false" customHeight="false" outlineLevel="0" collapsed="false">
      <c r="B1984" s="4" t="n">
        <v>29981019</v>
      </c>
      <c r="C1984" s="4" t="s">
        <v>2615</v>
      </c>
      <c r="D1984" s="4" t="s">
        <v>463</v>
      </c>
      <c r="E1984" s="4" t="s">
        <v>2825</v>
      </c>
      <c r="F1984" s="127" t="n">
        <v>46996</v>
      </c>
      <c r="G1984" s="127" t="n">
        <v>47009</v>
      </c>
      <c r="H1984" s="127" t="n">
        <v>46289</v>
      </c>
      <c r="I1984" s="4" t="n">
        <v>0</v>
      </c>
      <c r="J1984" s="4" t="n">
        <v>0</v>
      </c>
      <c r="K1984" s="4" t="n">
        <v>0</v>
      </c>
      <c r="M1984" s="2" t="str">
        <f aca="false">IF(C1984="","",IFERROR(INDEX($S$5:$S$304,MATCH(C1984,$R$5:$R$304,0))&amp;"","?"))</f>
        <v>37</v>
      </c>
      <c r="N1984" s="2" t="n">
        <f aca="false">IF(E1984="","",IF(ISNUMBER(SEARCH("SUBSOLO",E1984)),IFERROR(-VALUE(LEFT(E1984,FIND("º",SUBSTITUTE(E1984,"°","º"))-1)),-1),IF(LEFT(E1984,6)="TÉRREO",0,IFERROR(VALUE(LEFT(E1984,FIND("º",SUBSTITUTE(E1984,"°","º"))-1)),""))))</f>
        <v>21</v>
      </c>
      <c r="O1984" s="2" t="str">
        <f aca="false">IF(OR(F1984="",G1984=""),"",IF(G1984&lt;='RETRATO 2027'!$K$5,"CONCLUÍDA",IF(F1984&lt;='RETRATO 2027'!$K$5,"EM ANDAMENTO","A INICIAR")))</f>
        <v>A INICIAR</v>
      </c>
    </row>
    <row r="1985" customFormat="false" ht="15" hidden="false" customHeight="false" outlineLevel="0" collapsed="false">
      <c r="B1985" s="4" t="n">
        <v>29980976</v>
      </c>
      <c r="C1985" s="4" t="s">
        <v>2605</v>
      </c>
      <c r="D1985" s="4" t="s">
        <v>463</v>
      </c>
      <c r="E1985" s="4" t="s">
        <v>2827</v>
      </c>
      <c r="F1985" s="127" t="n">
        <v>46996</v>
      </c>
      <c r="G1985" s="127" t="n">
        <v>47009</v>
      </c>
      <c r="H1985" s="127" t="n">
        <v>46289</v>
      </c>
      <c r="I1985" s="4" t="n">
        <v>0</v>
      </c>
      <c r="J1985" s="4" t="n">
        <v>0</v>
      </c>
      <c r="K1985" s="4" t="n">
        <v>0</v>
      </c>
      <c r="M1985" s="2" t="str">
        <f aca="false">IF(C1985="","",IFERROR(INDEX($S$5:$S$304,MATCH(C1985,$R$5:$R$304,0))&amp;"","?"))</f>
        <v>34</v>
      </c>
      <c r="N1985" s="2" t="n">
        <f aca="false">IF(E1985="","",IF(ISNUMBER(SEARCH("SUBSOLO",E1985)),IFERROR(-VALUE(LEFT(E1985,FIND("º",SUBSTITUTE(E1985,"°","º"))-1)),-1),IF(LEFT(E1985,6)="TÉRREO",0,IFERROR(VALUE(LEFT(E1985,FIND("º",SUBSTITUTE(E1985,"°","º"))-1)),""))))</f>
        <v>22</v>
      </c>
      <c r="O1985" s="2" t="str">
        <f aca="false">IF(OR(F1985="",G1985=""),"",IF(G1985&lt;='RETRATO 2027'!$K$5,"CONCLUÍDA",IF(F1985&lt;='RETRATO 2027'!$K$5,"EM ANDAMENTO","A INICIAR")))</f>
        <v>A INICIAR</v>
      </c>
    </row>
    <row r="1986" customFormat="false" ht="15" hidden="false" customHeight="false" outlineLevel="0" collapsed="false">
      <c r="B1986" s="4" t="n">
        <v>29980981</v>
      </c>
      <c r="C1986" s="4" t="s">
        <v>2607</v>
      </c>
      <c r="D1986" s="4" t="s">
        <v>463</v>
      </c>
      <c r="E1986" s="4" t="s">
        <v>2827</v>
      </c>
      <c r="F1986" s="127" t="n">
        <v>46996</v>
      </c>
      <c r="G1986" s="127" t="n">
        <v>47009</v>
      </c>
      <c r="H1986" s="127" t="n">
        <v>46289</v>
      </c>
      <c r="I1986" s="4" t="n">
        <v>0</v>
      </c>
      <c r="J1986" s="4" t="n">
        <v>0</v>
      </c>
      <c r="K1986" s="4" t="n">
        <v>0</v>
      </c>
      <c r="M1986" s="2" t="str">
        <f aca="false">IF(C1986="","",IFERROR(INDEX($S$5:$S$304,MATCH(C1986,$R$5:$R$304,0))&amp;"","?"))</f>
        <v>34</v>
      </c>
      <c r="N1986" s="2" t="n">
        <f aca="false">IF(E1986="","",IF(ISNUMBER(SEARCH("SUBSOLO",E1986)),IFERROR(-VALUE(LEFT(E1986,FIND("º",SUBSTITUTE(E1986,"°","º"))-1)),-1),IF(LEFT(E1986,6)="TÉRREO",0,IFERROR(VALUE(LEFT(E1986,FIND("º",SUBSTITUTE(E1986,"°","º"))-1)),""))))</f>
        <v>22</v>
      </c>
      <c r="O1986" s="2" t="str">
        <f aca="false">IF(OR(F1986="",G1986=""),"",IF(G1986&lt;='RETRATO 2027'!$K$5,"CONCLUÍDA",IF(F1986&lt;='RETRATO 2027'!$K$5,"EM ANDAMENTO","A INICIAR")))</f>
        <v>A INICIAR</v>
      </c>
    </row>
    <row r="1987" customFormat="false" ht="15" hidden="false" customHeight="false" outlineLevel="0" collapsed="false">
      <c r="B1987" s="4" t="n">
        <v>29980980</v>
      </c>
      <c r="C1987" s="4" t="s">
        <v>2563</v>
      </c>
      <c r="D1987" s="4" t="s">
        <v>463</v>
      </c>
      <c r="E1987" s="4" t="s">
        <v>2827</v>
      </c>
      <c r="F1987" s="127" t="n">
        <v>46996</v>
      </c>
      <c r="G1987" s="127" t="n">
        <v>47009</v>
      </c>
      <c r="H1987" s="127" t="n">
        <v>46289</v>
      </c>
      <c r="I1987" s="4" t="n">
        <v>0</v>
      </c>
      <c r="J1987" s="4" t="n">
        <v>0</v>
      </c>
      <c r="K1987" s="4" t="n">
        <v>0</v>
      </c>
      <c r="M1987" s="2" t="str">
        <f aca="false">IF(C1987="","",IFERROR(INDEX($S$5:$S$304,MATCH(C1987,$R$5:$R$304,0))&amp;"","?"))</f>
        <v>20</v>
      </c>
      <c r="N1987" s="2" t="n">
        <f aca="false">IF(E1987="","",IF(ISNUMBER(SEARCH("SUBSOLO",E1987)),IFERROR(-VALUE(LEFT(E1987,FIND("º",SUBSTITUTE(E1987,"°","º"))-1)),-1),IF(LEFT(E1987,6)="TÉRREO",0,IFERROR(VALUE(LEFT(E1987,FIND("º",SUBSTITUTE(E1987,"°","º"))-1)),""))))</f>
        <v>22</v>
      </c>
      <c r="O1987" s="2" t="str">
        <f aca="false">IF(OR(F1987="",G1987=""),"",IF(G1987&lt;='RETRATO 2027'!$K$5,"CONCLUÍDA",IF(F1987&lt;='RETRATO 2027'!$K$5,"EM ANDAMENTO","A INICIAR")))</f>
        <v>A INICIAR</v>
      </c>
    </row>
    <row r="1988" customFormat="false" ht="15" hidden="false" customHeight="false" outlineLevel="0" collapsed="false">
      <c r="B1988" s="4" t="n">
        <v>29980979</v>
      </c>
      <c r="C1988" s="4" t="s">
        <v>2609</v>
      </c>
      <c r="D1988" s="4" t="s">
        <v>463</v>
      </c>
      <c r="E1988" s="4" t="s">
        <v>2827</v>
      </c>
      <c r="F1988" s="127" t="n">
        <v>46996</v>
      </c>
      <c r="G1988" s="127" t="n">
        <v>47009</v>
      </c>
      <c r="H1988" s="127" t="n">
        <v>46289</v>
      </c>
      <c r="I1988" s="4" t="n">
        <v>0</v>
      </c>
      <c r="J1988" s="4" t="n">
        <v>0</v>
      </c>
      <c r="K1988" s="4" t="n">
        <v>0</v>
      </c>
      <c r="M1988" s="2" t="str">
        <f aca="false">IF(C1988="","",IFERROR(INDEX($S$5:$S$304,MATCH(C1988,$R$5:$R$304,0))&amp;"","?"))</f>
        <v>23</v>
      </c>
      <c r="N1988" s="2" t="n">
        <f aca="false">IF(E1988="","",IF(ISNUMBER(SEARCH("SUBSOLO",E1988)),IFERROR(-VALUE(LEFT(E1988,FIND("º",SUBSTITUTE(E1988,"°","º"))-1)),-1),IF(LEFT(E1988,6)="TÉRREO",0,IFERROR(VALUE(LEFT(E1988,FIND("º",SUBSTITUTE(E1988,"°","º"))-1)),""))))</f>
        <v>22</v>
      </c>
      <c r="O1988" s="2" t="str">
        <f aca="false">IF(OR(F1988="",G1988=""),"",IF(G1988&lt;='RETRATO 2027'!$K$5,"CONCLUÍDA",IF(F1988&lt;='RETRATO 2027'!$K$5,"EM ANDAMENTO","A INICIAR")))</f>
        <v>A INICIAR</v>
      </c>
    </row>
    <row r="1989" customFormat="false" ht="15" hidden="false" customHeight="false" outlineLevel="0" collapsed="false">
      <c r="B1989" s="4" t="n">
        <v>29980938</v>
      </c>
      <c r="C1989" s="4" t="s">
        <v>2599</v>
      </c>
      <c r="D1989" s="4" t="s">
        <v>463</v>
      </c>
      <c r="E1989" s="4" t="s">
        <v>2829</v>
      </c>
      <c r="F1989" s="127" t="n">
        <v>46996</v>
      </c>
      <c r="G1989" s="127" t="n">
        <v>47009</v>
      </c>
      <c r="H1989" s="127" t="n">
        <v>46289</v>
      </c>
      <c r="I1989" s="4" t="n">
        <v>0</v>
      </c>
      <c r="J1989" s="4" t="n">
        <v>0</v>
      </c>
      <c r="K1989" s="4" t="n">
        <v>0</v>
      </c>
      <c r="M1989" s="2" t="str">
        <f aca="false">IF(C1989="","",IFERROR(INDEX($S$5:$S$304,MATCH(C1989,$R$5:$R$304,0))&amp;"","?"))</f>
        <v>30</v>
      </c>
      <c r="N1989" s="2" t="n">
        <f aca="false">IF(E1989="","",IF(ISNUMBER(SEARCH("SUBSOLO",E1989)),IFERROR(-VALUE(LEFT(E1989,FIND("º",SUBSTITUTE(E1989,"°","º"))-1)),-1),IF(LEFT(E1989,6)="TÉRREO",0,IFERROR(VALUE(LEFT(E1989,FIND("º",SUBSTITUTE(E1989,"°","º"))-1)),""))))</f>
        <v>23</v>
      </c>
      <c r="O1989" s="2" t="str">
        <f aca="false">IF(OR(F1989="",G1989=""),"",IF(G1989&lt;='RETRATO 2027'!$K$5,"CONCLUÍDA",IF(F1989&lt;='RETRATO 2027'!$K$5,"EM ANDAMENTO","A INICIAR")))</f>
        <v>A INICIAR</v>
      </c>
    </row>
    <row r="1990" customFormat="false" ht="15" hidden="false" customHeight="false" outlineLevel="0" collapsed="false">
      <c r="B1990" s="4" t="n">
        <v>29980900</v>
      </c>
      <c r="C1990" s="4" t="s">
        <v>2578</v>
      </c>
      <c r="D1990" s="4" t="s">
        <v>463</v>
      </c>
      <c r="E1990" s="4" t="s">
        <v>2831</v>
      </c>
      <c r="F1990" s="127" t="n">
        <v>46996</v>
      </c>
      <c r="G1990" s="127" t="n">
        <v>47009</v>
      </c>
      <c r="H1990" s="127" t="n">
        <v>46289</v>
      </c>
      <c r="I1990" s="4" t="n">
        <v>0</v>
      </c>
      <c r="J1990" s="4" t="n">
        <v>0</v>
      </c>
      <c r="K1990" s="4" t="n">
        <v>0</v>
      </c>
      <c r="M1990" s="2" t="str">
        <f aca="false">IF(C1990="","",IFERROR(INDEX($S$5:$S$304,MATCH(C1990,$R$5:$R$304,0))&amp;"","?"))</f>
        <v>25</v>
      </c>
      <c r="N1990" s="2" t="n">
        <f aca="false">IF(E1990="","",IF(ISNUMBER(SEARCH("SUBSOLO",E1990)),IFERROR(-VALUE(LEFT(E1990,FIND("º",SUBSTITUTE(E1990,"°","º"))-1)),-1),IF(LEFT(E1990,6)="TÉRREO",0,IFERROR(VALUE(LEFT(E1990,FIND("º",SUBSTITUTE(E1990,"°","º"))-1)),""))))</f>
        <v>24</v>
      </c>
      <c r="O1990" s="2" t="str">
        <f aca="false">IF(OR(F1990="",G1990=""),"",IF(G1990&lt;='RETRATO 2027'!$K$5,"CONCLUÍDA",IF(F1990&lt;='RETRATO 2027'!$K$5,"EM ANDAMENTO","A INICIAR")))</f>
        <v>A INICIAR</v>
      </c>
    </row>
    <row r="1991" customFormat="false" ht="15" hidden="false" customHeight="false" outlineLevel="0" collapsed="false">
      <c r="B1991" s="4" t="n">
        <v>29980862</v>
      </c>
      <c r="C1991" s="4" t="s">
        <v>2569</v>
      </c>
      <c r="D1991" s="4" t="s">
        <v>463</v>
      </c>
      <c r="E1991" s="4" t="s">
        <v>2833</v>
      </c>
      <c r="F1991" s="127" t="n">
        <v>46996</v>
      </c>
      <c r="G1991" s="127" t="n">
        <v>47009</v>
      </c>
      <c r="H1991" s="127" t="n">
        <v>46289</v>
      </c>
      <c r="I1991" s="4" t="n">
        <v>0</v>
      </c>
      <c r="J1991" s="4" t="n">
        <v>0</v>
      </c>
      <c r="K1991" s="4" t="n">
        <v>0</v>
      </c>
      <c r="M1991" s="2" t="str">
        <f aca="false">IF(C1991="","",IFERROR(INDEX($S$5:$S$304,MATCH(C1991,$R$5:$R$304,0))&amp;"","?"))</f>
        <v>30</v>
      </c>
      <c r="N1991" s="2" t="n">
        <f aca="false">IF(E1991="","",IF(ISNUMBER(SEARCH("SUBSOLO",E1991)),IFERROR(-VALUE(LEFT(E1991,FIND("º",SUBSTITUTE(E1991,"°","º"))-1)),-1),IF(LEFT(E1991,6)="TÉRREO",0,IFERROR(VALUE(LEFT(E1991,FIND("º",SUBSTITUTE(E1991,"°","º"))-1)),""))))</f>
        <v>25</v>
      </c>
      <c r="O1991" s="2" t="str">
        <f aca="false">IF(OR(F1991="",G1991=""),"",IF(G1991&lt;='RETRATO 2027'!$K$5,"CONCLUÍDA",IF(F1991&lt;='RETRATO 2027'!$K$5,"EM ANDAMENTO","A INICIAR")))</f>
        <v>A INICIAR</v>
      </c>
    </row>
    <row r="1992" customFormat="false" ht="15" hidden="false" customHeight="false" outlineLevel="0" collapsed="false">
      <c r="B1992" s="4" t="n">
        <v>29980824</v>
      </c>
      <c r="C1992" s="4" t="s">
        <v>2554</v>
      </c>
      <c r="D1992" s="4" t="s">
        <v>463</v>
      </c>
      <c r="E1992" s="4" t="s">
        <v>2834</v>
      </c>
      <c r="F1992" s="127" t="n">
        <v>46996</v>
      </c>
      <c r="G1992" s="127" t="n">
        <v>47009</v>
      </c>
      <c r="H1992" s="127" t="n">
        <v>46289</v>
      </c>
      <c r="I1992" s="4" t="n">
        <v>0</v>
      </c>
      <c r="J1992" s="4" t="n">
        <v>0</v>
      </c>
      <c r="K1992" s="4" t="n">
        <v>0</v>
      </c>
      <c r="M1992" s="2" t="str">
        <f aca="false">IF(C1992="","",IFERROR(INDEX($S$5:$S$304,MATCH(C1992,$R$5:$R$304,0))&amp;"","?"))</f>
        <v>35</v>
      </c>
      <c r="N1992" s="2" t="n">
        <f aca="false">IF(E1992="","",IF(ISNUMBER(SEARCH("SUBSOLO",E1992)),IFERROR(-VALUE(LEFT(E1992,FIND("º",SUBSTITUTE(E1992,"°","º"))-1)),-1),IF(LEFT(E1992,6)="TÉRREO",0,IFERROR(VALUE(LEFT(E1992,FIND("º",SUBSTITUTE(E1992,"°","º"))-1)),""))))</f>
        <v>26</v>
      </c>
      <c r="O1992" s="2" t="str">
        <f aca="false">IF(OR(F1992="",G1992=""),"",IF(G1992&lt;='RETRATO 2027'!$K$5,"CONCLUÍDA",IF(F1992&lt;='RETRATO 2027'!$K$5,"EM ANDAMENTO","A INICIAR")))</f>
        <v>A INICIAR</v>
      </c>
    </row>
    <row r="1993" customFormat="false" ht="15" hidden="false" customHeight="false" outlineLevel="0" collapsed="false">
      <c r="B1993" s="4" t="n">
        <v>29980813</v>
      </c>
      <c r="C1993" s="4" t="s">
        <v>2539</v>
      </c>
      <c r="D1993" s="4" t="s">
        <v>463</v>
      </c>
      <c r="E1993" s="4" t="s">
        <v>2838</v>
      </c>
      <c r="F1993" s="127" t="n">
        <v>46996</v>
      </c>
      <c r="G1993" s="127" t="n">
        <v>47009</v>
      </c>
      <c r="H1993" s="127" t="n">
        <v>46289</v>
      </c>
      <c r="I1993" s="4" t="n">
        <v>0</v>
      </c>
      <c r="J1993" s="4" t="n">
        <v>0</v>
      </c>
      <c r="K1993" s="4" t="n">
        <v>0</v>
      </c>
      <c r="M1993" s="2" t="str">
        <f aca="false">IF(C1993="","",IFERROR(INDEX($S$5:$S$304,MATCH(C1993,$R$5:$R$304,0))&amp;"","?"))</f>
        <v>35</v>
      </c>
      <c r="N1993" s="2" t="n">
        <f aca="false">IF(E1993="","",IF(ISNUMBER(SEARCH("SUBSOLO",E1993)),IFERROR(-VALUE(LEFT(E1993,FIND("º",SUBSTITUTE(E1993,"°","º"))-1)),-1),IF(LEFT(E1993,6)="TÉRREO",0,IFERROR(VALUE(LEFT(E1993,FIND("º",SUBSTITUTE(E1993,"°","º"))-1)),""))))</f>
        <v>27</v>
      </c>
      <c r="O1993" s="2" t="str">
        <f aca="false">IF(OR(F1993="",G1993=""),"",IF(G1993&lt;='RETRATO 2027'!$K$5,"CONCLUÍDA",IF(F1993&lt;='RETRATO 2027'!$K$5,"EM ANDAMENTO","A INICIAR")))</f>
        <v>A INICIAR</v>
      </c>
    </row>
    <row r="1994" customFormat="false" ht="15" hidden="false" customHeight="false" outlineLevel="0" collapsed="false">
      <c r="B1994" s="4" t="n">
        <v>33898112</v>
      </c>
      <c r="C1994" s="4" t="s">
        <v>2545</v>
      </c>
      <c r="D1994" s="4" t="s">
        <v>463</v>
      </c>
      <c r="E1994" s="4" t="s">
        <v>2840</v>
      </c>
      <c r="F1994" s="127" t="n">
        <v>46996</v>
      </c>
      <c r="G1994" s="127" t="n">
        <v>47009</v>
      </c>
      <c r="H1994" s="127" t="n">
        <v>46289</v>
      </c>
      <c r="I1994" s="4" t="n">
        <v>0</v>
      </c>
      <c r="J1994" s="4" t="n">
        <v>0</v>
      </c>
      <c r="K1994" s="4" t="n">
        <v>0</v>
      </c>
      <c r="M1994" s="2" t="str">
        <f aca="false">IF(C1994="","",IFERROR(INDEX($S$5:$S$304,MATCH(C1994,$R$5:$R$304,0))&amp;"","?"))</f>
        <v>25</v>
      </c>
      <c r="N1994" s="2" t="n">
        <f aca="false">IF(E1994="","",IF(ISNUMBER(SEARCH("SUBSOLO",E1994)),IFERROR(-VALUE(LEFT(E1994,FIND("º",SUBSTITUTE(E1994,"°","º"))-1)),-1),IF(LEFT(E1994,6)="TÉRREO",0,IFERROR(VALUE(LEFT(E1994,FIND("º",SUBSTITUTE(E1994,"°","º"))-1)),""))))</f>
        <v>28</v>
      </c>
      <c r="O1994" s="2" t="str">
        <f aca="false">IF(OR(F1994="",G1994=""),"",IF(G1994&lt;='RETRATO 2027'!$K$5,"CONCLUÍDA",IF(F1994&lt;='RETRATO 2027'!$K$5,"EM ANDAMENTO","A INICIAR")))</f>
        <v>A INICIAR</v>
      </c>
    </row>
    <row r="1995" customFormat="false" ht="15" hidden="false" customHeight="false" outlineLevel="0" collapsed="false">
      <c r="B1995" s="4" t="n">
        <v>30205814</v>
      </c>
      <c r="C1995" s="4" t="s">
        <v>2629</v>
      </c>
      <c r="D1995" s="4" t="s">
        <v>463</v>
      </c>
      <c r="E1995" s="4" t="s">
        <v>2839</v>
      </c>
      <c r="F1995" s="127" t="n">
        <v>46997</v>
      </c>
      <c r="G1995" s="127" t="n">
        <v>47011</v>
      </c>
      <c r="H1995" s="127" t="n">
        <v>46289</v>
      </c>
      <c r="I1995" s="4" t="n">
        <v>0</v>
      </c>
      <c r="J1995" s="4" t="n">
        <v>0</v>
      </c>
      <c r="K1995" s="4" t="n">
        <v>0</v>
      </c>
      <c r="M1995" s="2" t="str">
        <f aca="false">IF(C1995="","",IFERROR(INDEX($S$5:$S$304,MATCH(C1995,$R$5:$R$304,0))&amp;"","?"))</f>
        <v>20</v>
      </c>
      <c r="N1995" s="2" t="n">
        <f aca="false">IF(E1995="","",IF(ISNUMBER(SEARCH("SUBSOLO",E1995)),IFERROR(-VALUE(LEFT(E1995,FIND("º",SUBSTITUTE(E1995,"°","º"))-1)),-1),IF(LEFT(E1995,6)="TÉRREO",0,IFERROR(VALUE(LEFT(E1995,FIND("º",SUBSTITUTE(E1995,"°","º"))-1)),""))))</f>
        <v>0</v>
      </c>
      <c r="O1995" s="2" t="str">
        <f aca="false">IF(OR(F1995="",G1995=""),"",IF(G1995&lt;='RETRATO 2027'!$K$5,"CONCLUÍDA",IF(F1995&lt;='RETRATO 2027'!$K$5,"EM ANDAMENTO","A INICIAR")))</f>
        <v>A INICIAR</v>
      </c>
    </row>
    <row r="1996" customFormat="false" ht="15" hidden="false" customHeight="false" outlineLevel="0" collapsed="false">
      <c r="B1996" s="4" t="n">
        <v>30205844</v>
      </c>
      <c r="C1996" s="4" t="s">
        <v>2623</v>
      </c>
      <c r="D1996" s="4" t="s">
        <v>463</v>
      </c>
      <c r="E1996" s="4" t="s">
        <v>2782</v>
      </c>
      <c r="F1996" s="127" t="n">
        <v>46997</v>
      </c>
      <c r="G1996" s="127" t="n">
        <v>47018</v>
      </c>
      <c r="H1996" s="127" t="n">
        <v>46289</v>
      </c>
      <c r="I1996" s="4" t="n">
        <v>0</v>
      </c>
      <c r="J1996" s="4" t="n">
        <v>0</v>
      </c>
      <c r="K1996" s="4" t="n">
        <v>0</v>
      </c>
      <c r="M1996" s="2" t="str">
        <f aca="false">IF(C1996="","",IFERROR(INDEX($S$5:$S$304,MATCH(C1996,$R$5:$R$304,0))&amp;"","?"))</f>
        <v>35</v>
      </c>
      <c r="N1996" s="2" t="n">
        <f aca="false">IF(E1996="","",IF(ISNUMBER(SEARCH("SUBSOLO",E1996)),IFERROR(-VALUE(LEFT(E1996,FIND("º",SUBSTITUTE(E1996,"°","º"))-1)),-1),IF(LEFT(E1996,6)="TÉRREO",0,IFERROR(VALUE(LEFT(E1996,FIND("º",SUBSTITUTE(E1996,"°","º"))-1)),""))))</f>
        <v>1</v>
      </c>
      <c r="O1996" s="2" t="str">
        <f aca="false">IF(OR(F1996="",G1996=""),"",IF(G1996&lt;='RETRATO 2027'!$K$5,"CONCLUÍDA",IF(F1996&lt;='RETRATO 2027'!$K$5,"EM ANDAMENTO","A INICIAR")))</f>
        <v>A INICIAR</v>
      </c>
    </row>
    <row r="1997" customFormat="false" ht="15" hidden="false" customHeight="false" outlineLevel="0" collapsed="false">
      <c r="B1997" s="4" t="n">
        <v>29980626</v>
      </c>
      <c r="C1997" s="4" t="s">
        <v>216</v>
      </c>
      <c r="D1997" s="4" t="s">
        <v>463</v>
      </c>
      <c r="E1997" s="4" t="s">
        <v>2844</v>
      </c>
      <c r="F1997" s="127" t="n">
        <v>46997</v>
      </c>
      <c r="G1997" s="127" t="n">
        <v>47010</v>
      </c>
      <c r="H1997" s="127" t="n">
        <v>46289</v>
      </c>
      <c r="I1997" s="4" t="n">
        <v>0</v>
      </c>
      <c r="J1997" s="4" t="n">
        <v>0</v>
      </c>
      <c r="K1997" s="4" t="n">
        <v>0</v>
      </c>
      <c r="M1997" s="2" t="str">
        <f aca="false">IF(C1997="","",IFERROR(INDEX($S$5:$S$304,MATCH(C1997,$R$5:$R$304,0))&amp;"","?"))</f>
        <v>33</v>
      </c>
      <c r="N1997" s="2" t="n">
        <f aca="false">IF(E1997="","",IF(ISNUMBER(SEARCH("SUBSOLO",E1997)),IFERROR(-VALUE(LEFT(E1997,FIND("º",SUBSTITUTE(E1997,"°","º"))-1)),-1),IF(LEFT(E1997,6)="TÉRREO",0,IFERROR(VALUE(LEFT(E1997,FIND("º",SUBSTITUTE(E1997,"°","º"))-1)),""))))</f>
        <v>32</v>
      </c>
      <c r="O1997" s="2" t="str">
        <f aca="false">IF(OR(F1997="",G1997=""),"",IF(G1997&lt;='RETRATO 2027'!$K$5,"CONCLUÍDA",IF(F1997&lt;='RETRATO 2027'!$K$5,"EM ANDAMENTO","A INICIAR")))</f>
        <v>A INICIAR</v>
      </c>
    </row>
    <row r="1998" customFormat="false" ht="15" hidden="false" customHeight="false" outlineLevel="0" collapsed="false">
      <c r="B1998" s="4" t="n">
        <v>30206114</v>
      </c>
      <c r="C1998" s="4" t="s">
        <v>2623</v>
      </c>
      <c r="D1998" s="4" t="s">
        <v>463</v>
      </c>
      <c r="E1998" s="4" t="s">
        <v>2846</v>
      </c>
      <c r="F1998" s="127" t="n">
        <v>47000</v>
      </c>
      <c r="G1998" s="127" t="n">
        <v>47014</v>
      </c>
      <c r="H1998" s="127" t="n">
        <v>46289</v>
      </c>
      <c r="I1998" s="4" t="n">
        <v>0</v>
      </c>
      <c r="J1998" s="4" t="n">
        <v>0</v>
      </c>
      <c r="K1998" s="4" t="n">
        <v>0</v>
      </c>
      <c r="M1998" s="2" t="str">
        <f aca="false">IF(C1998="","",IFERROR(INDEX($S$5:$S$304,MATCH(C1998,$R$5:$R$304,0))&amp;"","?"))</f>
        <v>35</v>
      </c>
      <c r="N1998" s="2" t="n">
        <f aca="false">IF(E1998="","",IF(ISNUMBER(SEARCH("SUBSOLO",E1998)),IFERROR(-VALUE(LEFT(E1998,FIND("º",SUBSTITUTE(E1998,"°","º"))-1)),-1),IF(LEFT(E1998,6)="TÉRREO",0,IFERROR(VALUE(LEFT(E1998,FIND("º",SUBSTITUTE(E1998,"°","º"))-1)),""))))</f>
        <v>6</v>
      </c>
      <c r="O1998" s="2" t="str">
        <f aca="false">IF(OR(F1998="",G1998=""),"",IF(G1998&lt;='RETRATO 2027'!$K$5,"CONCLUÍDA",IF(F1998&lt;='RETRATO 2027'!$K$5,"EM ANDAMENTO","A INICIAR")))</f>
        <v>A INICIAR</v>
      </c>
    </row>
    <row r="1999" customFormat="false" ht="15" hidden="false" customHeight="false" outlineLevel="0" collapsed="false">
      <c r="B1999" s="4" t="n">
        <v>30208613</v>
      </c>
      <c r="C1999" s="4" t="s">
        <v>2690</v>
      </c>
      <c r="D1999" s="4" t="s">
        <v>463</v>
      </c>
      <c r="E1999" s="4" t="s">
        <v>2851</v>
      </c>
      <c r="F1999" s="127" t="n">
        <v>47000</v>
      </c>
      <c r="G1999" s="127" t="n">
        <v>47007</v>
      </c>
      <c r="H1999" s="127" t="n">
        <v>46289</v>
      </c>
      <c r="I1999" s="4" t="n">
        <v>0</v>
      </c>
      <c r="J1999" s="4" t="n">
        <v>0</v>
      </c>
      <c r="K1999" s="4" t="n">
        <v>0</v>
      </c>
      <c r="M1999" s="2" t="str">
        <f aca="false">IF(C1999="","",IFERROR(INDEX($S$5:$S$304,MATCH(C1999,$R$5:$R$304,0))&amp;"","?"))</f>
        <v>37</v>
      </c>
      <c r="N1999" s="2" t="n">
        <f aca="false">IF(E1999="","",IF(ISNUMBER(SEARCH("SUBSOLO",E1999)),IFERROR(-VALUE(LEFT(E1999,FIND("º",SUBSTITUTE(E1999,"°","º"))-1)),-1),IF(LEFT(E1999,6)="TÉRREO",0,IFERROR(VALUE(LEFT(E1999,FIND("º",SUBSTITUTE(E1999,"°","º"))-1)),""))))</f>
        <v>6</v>
      </c>
      <c r="O1999" s="2" t="str">
        <f aca="false">IF(OR(F1999="",G1999=""),"",IF(G1999&lt;='RETRATO 2027'!$K$5,"CONCLUÍDA",IF(F1999&lt;='RETRATO 2027'!$K$5,"EM ANDAMENTO","A INICIAR")))</f>
        <v>A INICIAR</v>
      </c>
    </row>
    <row r="2000" customFormat="false" ht="15" hidden="false" customHeight="false" outlineLevel="0" collapsed="false">
      <c r="B2000" s="4" t="n">
        <v>29981104</v>
      </c>
      <c r="C2000" s="4" t="s">
        <v>2480</v>
      </c>
      <c r="D2000" s="4" t="s">
        <v>463</v>
      </c>
      <c r="E2000" s="4" t="s">
        <v>2822</v>
      </c>
      <c r="F2000" s="127" t="n">
        <v>47000</v>
      </c>
      <c r="G2000" s="127" t="n">
        <v>47011</v>
      </c>
      <c r="H2000" s="127" t="n">
        <v>46289</v>
      </c>
      <c r="I2000" s="4" t="n">
        <v>0</v>
      </c>
      <c r="J2000" s="4" t="n">
        <v>0</v>
      </c>
      <c r="K2000" s="4" t="n">
        <v>0</v>
      </c>
      <c r="M2000" s="2" t="str">
        <f aca="false">IF(C2000="","",IFERROR(INDEX($S$5:$S$304,MATCH(C2000,$R$5:$R$304,0))&amp;"","?"))</f>
        <v>30</v>
      </c>
      <c r="N2000" s="2" t="n">
        <f aca="false">IF(E2000="","",IF(ISNUMBER(SEARCH("SUBSOLO",E2000)),IFERROR(-VALUE(LEFT(E2000,FIND("º",SUBSTITUTE(E2000,"°","º"))-1)),-1),IF(LEFT(E2000,6)="TÉRREO",0,IFERROR(VALUE(LEFT(E2000,FIND("º",SUBSTITUTE(E2000,"°","º"))-1)),""))))</f>
        <v>19</v>
      </c>
      <c r="O2000" s="2" t="str">
        <f aca="false">IF(OR(F2000="",G2000=""),"",IF(G2000&lt;='RETRATO 2027'!$K$5,"CONCLUÍDA",IF(F2000&lt;='RETRATO 2027'!$K$5,"EM ANDAMENTO","A INICIAR")))</f>
        <v>A INICIAR</v>
      </c>
    </row>
    <row r="2001" customFormat="false" ht="15" hidden="false" customHeight="false" outlineLevel="0" collapsed="false">
      <c r="B2001" s="4" t="n">
        <v>30171473</v>
      </c>
      <c r="C2001" s="4" t="s">
        <v>2631</v>
      </c>
      <c r="D2001" s="4" t="s">
        <v>463</v>
      </c>
      <c r="E2001" s="4" t="s">
        <v>2784</v>
      </c>
      <c r="F2001" s="127" t="n">
        <v>47004</v>
      </c>
      <c r="G2001" s="127" t="n">
        <v>47039</v>
      </c>
      <c r="H2001" s="127" t="n">
        <v>46289</v>
      </c>
      <c r="I2001" s="4" t="n">
        <v>0</v>
      </c>
      <c r="J2001" s="4" t="n">
        <v>0</v>
      </c>
      <c r="K2001" s="4" t="n">
        <v>0</v>
      </c>
      <c r="M2001" s="2" t="str">
        <f aca="false">IF(C2001="","",IFERROR(INDEX($S$5:$S$304,MATCH(C2001,$R$5:$R$304,0))&amp;"","?"))</f>
        <v>35</v>
      </c>
      <c r="N2001" s="2" t="n">
        <f aca="false">IF(E2001="","",IF(ISNUMBER(SEARCH("SUBSOLO",E2001)),IFERROR(-VALUE(LEFT(E2001,FIND("º",SUBSTITUTE(E2001,"°","º"))-1)),-1),IF(LEFT(E2001,6)="TÉRREO",0,IFERROR(VALUE(LEFT(E2001,FIND("º",SUBSTITUTE(E2001,"°","º"))-1)),""))))</f>
        <v>2</v>
      </c>
      <c r="O2001" s="2" t="str">
        <f aca="false">IF(OR(F2001="",G2001=""),"",IF(G2001&lt;='RETRATO 2027'!$K$5,"CONCLUÍDA",IF(F2001&lt;='RETRATO 2027'!$K$5,"EM ANDAMENTO","A INICIAR")))</f>
        <v>A INICIAR</v>
      </c>
    </row>
    <row r="2002" customFormat="false" ht="15" hidden="false" customHeight="false" outlineLevel="0" collapsed="false">
      <c r="B2002" s="4" t="n">
        <v>30171489</v>
      </c>
      <c r="C2002" s="4" t="s">
        <v>2633</v>
      </c>
      <c r="D2002" s="4" t="s">
        <v>463</v>
      </c>
      <c r="E2002" s="4" t="s">
        <v>2784</v>
      </c>
      <c r="F2002" s="127" t="n">
        <v>47004</v>
      </c>
      <c r="G2002" s="127" t="n">
        <v>47024</v>
      </c>
      <c r="H2002" s="127" t="n">
        <v>46289</v>
      </c>
      <c r="I2002" s="4" t="n">
        <v>0</v>
      </c>
      <c r="J2002" s="4" t="n">
        <v>0</v>
      </c>
      <c r="K2002" s="4" t="n">
        <v>0</v>
      </c>
      <c r="M2002" s="2" t="str">
        <f aca="false">IF(C2002="","",IFERROR(INDEX($S$5:$S$304,MATCH(C2002,$R$5:$R$304,0))&amp;"","?"))</f>
        <v>35</v>
      </c>
      <c r="N2002" s="2" t="n">
        <f aca="false">IF(E2002="","",IF(ISNUMBER(SEARCH("SUBSOLO",E2002)),IFERROR(-VALUE(LEFT(E2002,FIND("º",SUBSTITUTE(E2002,"°","º"))-1)),-1),IF(LEFT(E2002,6)="TÉRREO",0,IFERROR(VALUE(LEFT(E2002,FIND("º",SUBSTITUTE(E2002,"°","º"))-1)),""))))</f>
        <v>2</v>
      </c>
      <c r="O2002" s="2" t="str">
        <f aca="false">IF(OR(F2002="",G2002=""),"",IF(G2002&lt;='RETRATO 2027'!$K$5,"CONCLUÍDA",IF(F2002&lt;='RETRATO 2027'!$K$5,"EM ANDAMENTO","A INICIAR")))</f>
        <v>A INICIAR</v>
      </c>
    </row>
    <row r="2003" customFormat="false" ht="15" hidden="false" customHeight="false" outlineLevel="0" collapsed="false">
      <c r="B2003" s="4" t="n">
        <v>30171441</v>
      </c>
      <c r="C2003" s="4" t="s">
        <v>2619</v>
      </c>
      <c r="D2003" s="4" t="s">
        <v>463</v>
      </c>
      <c r="E2003" s="4" t="s">
        <v>2790</v>
      </c>
      <c r="F2003" s="127" t="n">
        <v>47004</v>
      </c>
      <c r="G2003" s="127" t="n">
        <v>47035</v>
      </c>
      <c r="H2003" s="127" t="n">
        <v>46289</v>
      </c>
      <c r="I2003" s="4" t="n">
        <v>0</v>
      </c>
      <c r="J2003" s="4" t="n">
        <v>0</v>
      </c>
      <c r="K2003" s="4" t="n">
        <v>0</v>
      </c>
      <c r="M2003" s="2" t="str">
        <f aca="false">IF(C2003="","",IFERROR(INDEX($S$5:$S$304,MATCH(C2003,$R$5:$R$304,0))&amp;"","?"))</f>
        <v>30</v>
      </c>
      <c r="N2003" s="2" t="n">
        <f aca="false">IF(E2003="","",IF(ISNUMBER(SEARCH("SUBSOLO",E2003)),IFERROR(-VALUE(LEFT(E2003,FIND("º",SUBSTITUTE(E2003,"°","º"))-1)),-1),IF(LEFT(E2003,6)="TÉRREO",0,IFERROR(VALUE(LEFT(E2003,FIND("º",SUBSTITUTE(E2003,"°","º"))-1)),""))))</f>
        <v>3</v>
      </c>
      <c r="O2003" s="2" t="str">
        <f aca="false">IF(OR(F2003="",G2003=""),"",IF(G2003&lt;='RETRATO 2027'!$K$5,"CONCLUÍDA",IF(F2003&lt;='RETRATO 2027'!$K$5,"EM ANDAMENTO","A INICIAR")))</f>
        <v>A INICIAR</v>
      </c>
    </row>
    <row r="2004" customFormat="false" ht="15" hidden="false" customHeight="false" outlineLevel="0" collapsed="false">
      <c r="B2004" s="4" t="n">
        <v>29981217</v>
      </c>
      <c r="C2004" s="4" t="s">
        <v>2649</v>
      </c>
      <c r="D2004" s="4" t="s">
        <v>463</v>
      </c>
      <c r="E2004" s="4" t="s">
        <v>2815</v>
      </c>
      <c r="F2004" s="127" t="n">
        <v>47004</v>
      </c>
      <c r="G2004" s="127" t="n">
        <v>47016</v>
      </c>
      <c r="H2004" s="127" t="n">
        <v>46289</v>
      </c>
      <c r="I2004" s="4" t="n">
        <v>0</v>
      </c>
      <c r="J2004" s="4" t="n">
        <v>0</v>
      </c>
      <c r="K2004" s="4" t="n">
        <v>0</v>
      </c>
      <c r="M2004" s="2" t="str">
        <f aca="false">IF(C2004="","",IFERROR(INDEX($S$5:$S$304,MATCH(C2004,$R$5:$R$304,0))&amp;"","?"))</f>
        <v>37</v>
      </c>
      <c r="N2004" s="2" t="n">
        <f aca="false">IF(E2004="","",IF(ISNUMBER(SEARCH("SUBSOLO",E2004)),IFERROR(-VALUE(LEFT(E2004,FIND("º",SUBSTITUTE(E2004,"°","º"))-1)),-1),IF(LEFT(E2004,6)="TÉRREO",0,IFERROR(VALUE(LEFT(E2004,FIND("º",SUBSTITUTE(E2004,"°","º"))-1)),""))))</f>
        <v>16</v>
      </c>
      <c r="O2004" s="2" t="str">
        <f aca="false">IF(OR(F2004="",G2004=""),"",IF(G2004&lt;='RETRATO 2027'!$K$5,"CONCLUÍDA",IF(F2004&lt;='RETRATO 2027'!$K$5,"EM ANDAMENTO","A INICIAR")))</f>
        <v>A INICIAR</v>
      </c>
    </row>
    <row r="2005" customFormat="false" ht="15" hidden="false" customHeight="false" outlineLevel="0" collapsed="false">
      <c r="B2005" s="4" t="n">
        <v>29981170</v>
      </c>
      <c r="C2005" s="4" t="s">
        <v>2641</v>
      </c>
      <c r="D2005" s="4" t="s">
        <v>463</v>
      </c>
      <c r="E2005" s="4" t="s">
        <v>2818</v>
      </c>
      <c r="F2005" s="127" t="n">
        <v>47004</v>
      </c>
      <c r="G2005" s="127" t="n">
        <v>47016</v>
      </c>
      <c r="H2005" s="127" t="n">
        <v>46289</v>
      </c>
      <c r="I2005" s="4" t="n">
        <v>0</v>
      </c>
      <c r="J2005" s="4" t="n">
        <v>0</v>
      </c>
      <c r="K2005" s="4" t="n">
        <v>0</v>
      </c>
      <c r="M2005" s="2" t="str">
        <f aca="false">IF(C2005="","",IFERROR(INDEX($S$5:$S$304,MATCH(C2005,$R$5:$R$304,0))&amp;"","?"))</f>
        <v>35</v>
      </c>
      <c r="N2005" s="2" t="n">
        <f aca="false">IF(E2005="","",IF(ISNUMBER(SEARCH("SUBSOLO",E2005)),IFERROR(-VALUE(LEFT(E2005,FIND("º",SUBSTITUTE(E2005,"°","º"))-1)),-1),IF(LEFT(E2005,6)="TÉRREO",0,IFERROR(VALUE(LEFT(E2005,FIND("º",SUBSTITUTE(E2005,"°","º"))-1)),""))))</f>
        <v>17</v>
      </c>
      <c r="O2005" s="2" t="str">
        <f aca="false">IF(OR(F2005="",G2005=""),"",IF(G2005&lt;='RETRATO 2027'!$K$5,"CONCLUÍDA",IF(F2005&lt;='RETRATO 2027'!$K$5,"EM ANDAMENTO","A INICIAR")))</f>
        <v>A INICIAR</v>
      </c>
    </row>
    <row r="2006" customFormat="false" ht="15" hidden="false" customHeight="false" outlineLevel="0" collapsed="false">
      <c r="B2006" s="4" t="n">
        <v>30205797</v>
      </c>
      <c r="C2006" s="4" t="s">
        <v>2649</v>
      </c>
      <c r="D2006" s="4" t="s">
        <v>463</v>
      </c>
      <c r="E2006" s="4" t="s">
        <v>2835</v>
      </c>
      <c r="F2006" s="127" t="n">
        <v>47007</v>
      </c>
      <c r="G2006" s="127" t="n">
        <v>47018</v>
      </c>
      <c r="H2006" s="127" t="n">
        <v>46289</v>
      </c>
      <c r="I2006" s="4" t="n">
        <v>0</v>
      </c>
      <c r="J2006" s="4" t="n">
        <v>0</v>
      </c>
      <c r="K2006" s="4" t="n">
        <v>0</v>
      </c>
      <c r="M2006" s="2" t="str">
        <f aca="false">IF(C2006="","",IFERROR(INDEX($S$5:$S$304,MATCH(C2006,$R$5:$R$304,0))&amp;"","?"))</f>
        <v>37</v>
      </c>
      <c r="N2006" s="2" t="n">
        <f aca="false">IF(E2006="","",IF(ISNUMBER(SEARCH("SUBSOLO",E2006)),IFERROR(-VALUE(LEFT(E2006,FIND("º",SUBSTITUTE(E2006,"°","º"))-1)),-1),IF(LEFT(E2006,6)="TÉRREO",0,IFERROR(VALUE(LEFT(E2006,FIND("º",SUBSTITUTE(E2006,"°","º"))-1)),""))))</f>
        <v>0</v>
      </c>
      <c r="O2006" s="2" t="str">
        <f aca="false">IF(OR(F2006="",G2006=""),"",IF(G2006&lt;='RETRATO 2027'!$K$5,"CONCLUÍDA",IF(F2006&lt;='RETRATO 2027'!$K$5,"EM ANDAMENTO","A INICIAR")))</f>
        <v>A INICIAR</v>
      </c>
    </row>
    <row r="2007" customFormat="false" ht="15" hidden="false" customHeight="false" outlineLevel="0" collapsed="false">
      <c r="B2007" s="4" t="n">
        <v>30205885</v>
      </c>
      <c r="C2007" s="4" t="s">
        <v>2726</v>
      </c>
      <c r="D2007" s="4" t="s">
        <v>463</v>
      </c>
      <c r="E2007" s="4" t="s">
        <v>2845</v>
      </c>
      <c r="F2007" s="127" t="n">
        <v>47007</v>
      </c>
      <c r="G2007" s="127" t="n">
        <v>47052</v>
      </c>
      <c r="H2007" s="127" t="n">
        <v>46289</v>
      </c>
      <c r="I2007" s="4" t="n">
        <v>0</v>
      </c>
      <c r="J2007" s="4" t="n">
        <v>0</v>
      </c>
      <c r="K2007" s="4" t="n">
        <v>0</v>
      </c>
      <c r="M2007" s="2" t="str">
        <f aca="false">IF(C2007="","",IFERROR(INDEX($S$5:$S$304,MATCH(C2007,$R$5:$R$304,0))&amp;"","?"))</f>
        <v>30</v>
      </c>
      <c r="N2007" s="2" t="n">
        <f aca="false">IF(E2007="","",IF(ISNUMBER(SEARCH("SUBSOLO",E2007)),IFERROR(-VALUE(LEFT(E2007,FIND("º",SUBSTITUTE(E2007,"°","º"))-1)),-1),IF(LEFT(E2007,6)="TÉRREO",0,IFERROR(VALUE(LEFT(E2007,FIND("º",SUBSTITUTE(E2007,"°","º"))-1)),""))))</f>
        <v>6</v>
      </c>
      <c r="O2007" s="2" t="str">
        <f aca="false">IF(OR(F2007="",G2007=""),"",IF(G2007&lt;='RETRATO 2027'!$K$5,"CONCLUÍDA",IF(F2007&lt;='RETRATO 2027'!$K$5,"EM ANDAMENTO","A INICIAR")))</f>
        <v>A INICIAR</v>
      </c>
    </row>
    <row r="2008" customFormat="false" ht="15" hidden="false" customHeight="false" outlineLevel="0" collapsed="false">
      <c r="B2008" s="4" t="n">
        <v>30208600</v>
      </c>
      <c r="C2008" s="4" t="s">
        <v>2511</v>
      </c>
      <c r="D2008" s="4" t="s">
        <v>463</v>
      </c>
      <c r="E2008" s="4" t="s">
        <v>2802</v>
      </c>
      <c r="F2008" s="127" t="n">
        <v>47008</v>
      </c>
      <c r="G2008" s="127" t="n">
        <v>47021</v>
      </c>
      <c r="H2008" s="127" t="n">
        <v>46289</v>
      </c>
      <c r="I2008" s="4" t="n">
        <v>0</v>
      </c>
      <c r="J2008" s="4" t="n">
        <v>0</v>
      </c>
      <c r="K2008" s="4" t="n">
        <v>0</v>
      </c>
      <c r="M2008" s="2" t="str">
        <f aca="false">IF(C2008="","",IFERROR(INDEX($S$5:$S$304,MATCH(C2008,$R$5:$R$304,0))&amp;"","?"))</f>
        <v>20</v>
      </c>
      <c r="N2008" s="2" t="n">
        <f aca="false">IF(E2008="","",IF(ISNUMBER(SEARCH("SUBSOLO",E2008)),IFERROR(-VALUE(LEFT(E2008,FIND("º",SUBSTITUTE(E2008,"°","º"))-1)),-1),IF(LEFT(E2008,6)="TÉRREO",0,IFERROR(VALUE(LEFT(E2008,FIND("º",SUBSTITUTE(E2008,"°","º"))-1)),""))))</f>
        <v>6</v>
      </c>
      <c r="O2008" s="2" t="str">
        <f aca="false">IF(OR(F2008="",G2008=""),"",IF(G2008&lt;='RETRATO 2027'!$K$5,"CONCLUÍDA",IF(F2008&lt;='RETRATO 2027'!$K$5,"EM ANDAMENTO","A INICIAR")))</f>
        <v>A INICIAR</v>
      </c>
    </row>
    <row r="2009" customFormat="false" ht="15" hidden="false" customHeight="false" outlineLevel="0" collapsed="false">
      <c r="B2009" s="4" t="n">
        <v>30206074</v>
      </c>
      <c r="C2009" s="4" t="s">
        <v>2563</v>
      </c>
      <c r="D2009" s="4" t="s">
        <v>463</v>
      </c>
      <c r="E2009" s="4" t="s">
        <v>2847</v>
      </c>
      <c r="F2009" s="127" t="n">
        <v>47008</v>
      </c>
      <c r="G2009" s="127" t="n">
        <v>47021</v>
      </c>
      <c r="H2009" s="127" t="n">
        <v>46289</v>
      </c>
      <c r="I2009" s="4" t="n">
        <v>0</v>
      </c>
      <c r="J2009" s="4" t="n">
        <v>0</v>
      </c>
      <c r="K2009" s="4" t="n">
        <v>0</v>
      </c>
      <c r="M2009" s="2" t="str">
        <f aca="false">IF(C2009="","",IFERROR(INDEX($S$5:$S$304,MATCH(C2009,$R$5:$R$304,0))&amp;"","?"))</f>
        <v>20</v>
      </c>
      <c r="N2009" s="2" t="n">
        <f aca="false">IF(E2009="","",IF(ISNUMBER(SEARCH("SUBSOLO",E2009)),IFERROR(-VALUE(LEFT(E2009,FIND("º",SUBSTITUTE(E2009,"°","º"))-1)),-1),IF(LEFT(E2009,6)="TÉRREO",0,IFERROR(VALUE(LEFT(E2009,FIND("º",SUBSTITUTE(E2009,"°","º"))-1)),""))))</f>
        <v>6</v>
      </c>
      <c r="O2009" s="2" t="str">
        <f aca="false">IF(OR(F2009="",G2009=""),"",IF(G2009&lt;='RETRATO 2027'!$K$5,"CONCLUÍDA",IF(F2009&lt;='RETRATO 2027'!$K$5,"EM ANDAMENTO","A INICIAR")))</f>
        <v>A INICIAR</v>
      </c>
    </row>
    <row r="2010" customFormat="false" ht="15" hidden="false" customHeight="false" outlineLevel="0" collapsed="false">
      <c r="B2010" s="4" t="n">
        <v>30206055</v>
      </c>
      <c r="C2010" s="4" t="s">
        <v>2539</v>
      </c>
      <c r="D2010" s="4" t="s">
        <v>463</v>
      </c>
      <c r="E2010" s="4" t="s">
        <v>2848</v>
      </c>
      <c r="F2010" s="127" t="n">
        <v>47008</v>
      </c>
      <c r="G2010" s="127" t="n">
        <v>47021</v>
      </c>
      <c r="H2010" s="127" t="n">
        <v>46289</v>
      </c>
      <c r="I2010" s="4" t="n">
        <v>0</v>
      </c>
      <c r="J2010" s="4" t="n">
        <v>0</v>
      </c>
      <c r="K2010" s="4" t="n">
        <v>0</v>
      </c>
      <c r="M2010" s="2" t="str">
        <f aca="false">IF(C2010="","",IFERROR(INDEX($S$5:$S$304,MATCH(C2010,$R$5:$R$304,0))&amp;"","?"))</f>
        <v>35</v>
      </c>
      <c r="N2010" s="2" t="n">
        <f aca="false">IF(E2010="","",IF(ISNUMBER(SEARCH("SUBSOLO",E2010)),IFERROR(-VALUE(LEFT(E2010,FIND("º",SUBSTITUTE(E2010,"°","º"))-1)),-1),IF(LEFT(E2010,6)="TÉRREO",0,IFERROR(VALUE(LEFT(E2010,FIND("º",SUBSTITUTE(E2010,"°","º"))-1)),""))))</f>
        <v>6</v>
      </c>
      <c r="O2010" s="2" t="str">
        <f aca="false">IF(OR(F2010="",G2010=""),"",IF(G2010&lt;='RETRATO 2027'!$K$5,"CONCLUÍDA",IF(F2010&lt;='RETRATO 2027'!$K$5,"EM ANDAMENTO","A INICIAR")))</f>
        <v>A INICIAR</v>
      </c>
    </row>
    <row r="2011" customFormat="false" ht="15" hidden="false" customHeight="false" outlineLevel="0" collapsed="false">
      <c r="B2011" s="4" t="n">
        <v>33904061</v>
      </c>
      <c r="C2011" s="4" t="s">
        <v>2545</v>
      </c>
      <c r="D2011" s="4" t="s">
        <v>463</v>
      </c>
      <c r="E2011" s="4" t="s">
        <v>2849</v>
      </c>
      <c r="F2011" s="127" t="n">
        <v>47008</v>
      </c>
      <c r="G2011" s="127" t="n">
        <v>47021</v>
      </c>
      <c r="H2011" s="127" t="n">
        <v>46289</v>
      </c>
      <c r="I2011" s="4" t="n">
        <v>0</v>
      </c>
      <c r="J2011" s="4" t="n">
        <v>0</v>
      </c>
      <c r="K2011" s="4" t="n">
        <v>0</v>
      </c>
      <c r="M2011" s="2" t="str">
        <f aca="false">IF(C2011="","",IFERROR(INDEX($S$5:$S$304,MATCH(C2011,$R$5:$R$304,0))&amp;"","?"))</f>
        <v>25</v>
      </c>
      <c r="N2011" s="2" t="n">
        <f aca="false">IF(E2011="","",IF(ISNUMBER(SEARCH("SUBSOLO",E2011)),IFERROR(-VALUE(LEFT(E2011,FIND("º",SUBSTITUTE(E2011,"°","º"))-1)),-1),IF(LEFT(E2011,6)="TÉRREO",0,IFERROR(VALUE(LEFT(E2011,FIND("º",SUBSTITUTE(E2011,"°","º"))-1)),""))))</f>
        <v>6</v>
      </c>
      <c r="O2011" s="2" t="str">
        <f aca="false">IF(OR(F2011="",G2011=""),"",IF(G2011&lt;='RETRATO 2027'!$K$5,"CONCLUÍDA",IF(F2011&lt;='RETRATO 2027'!$K$5,"EM ANDAMENTO","A INICIAR")))</f>
        <v>A INICIAR</v>
      </c>
    </row>
    <row r="2012" customFormat="false" ht="15" hidden="false" customHeight="false" outlineLevel="0" collapsed="false">
      <c r="B2012" s="4" t="n">
        <v>30205979</v>
      </c>
      <c r="C2012" s="4" t="s">
        <v>216</v>
      </c>
      <c r="D2012" s="4" t="s">
        <v>463</v>
      </c>
      <c r="E2012" s="4" t="s">
        <v>2850</v>
      </c>
      <c r="F2012" s="127" t="n">
        <v>47008</v>
      </c>
      <c r="G2012" s="127" t="n">
        <v>47021</v>
      </c>
      <c r="H2012" s="127" t="n">
        <v>46289</v>
      </c>
      <c r="I2012" s="4" t="n">
        <v>0</v>
      </c>
      <c r="J2012" s="4" t="n">
        <v>0</v>
      </c>
      <c r="K2012" s="4" t="n">
        <v>0</v>
      </c>
      <c r="M2012" s="2" t="str">
        <f aca="false">IF(C2012="","",IFERROR(INDEX($S$5:$S$304,MATCH(C2012,$R$5:$R$304,0))&amp;"","?"))</f>
        <v>33</v>
      </c>
      <c r="N2012" s="2" t="n">
        <f aca="false">IF(E2012="","",IF(ISNUMBER(SEARCH("SUBSOLO",E2012)),IFERROR(-VALUE(LEFT(E2012,FIND("º",SUBSTITUTE(E2012,"°","º"))-1)),-1),IF(LEFT(E2012,6)="TÉRREO",0,IFERROR(VALUE(LEFT(E2012,FIND("º",SUBSTITUTE(E2012,"°","º"))-1)),""))))</f>
        <v>6</v>
      </c>
      <c r="O2012" s="2" t="str">
        <f aca="false">IF(OR(F2012="",G2012=""),"",IF(G2012&lt;='RETRATO 2027'!$K$5,"CONCLUÍDA",IF(F2012&lt;='RETRATO 2027'!$K$5,"EM ANDAMENTO","A INICIAR")))</f>
        <v>A INICIAR</v>
      </c>
    </row>
    <row r="2013" customFormat="false" ht="15" hidden="false" customHeight="false" outlineLevel="0" collapsed="false">
      <c r="B2013" s="4" t="n">
        <v>30205941</v>
      </c>
      <c r="C2013" s="4" t="s">
        <v>2702</v>
      </c>
      <c r="D2013" s="4" t="s">
        <v>463</v>
      </c>
      <c r="E2013" s="4" t="s">
        <v>2801</v>
      </c>
      <c r="F2013" s="127" t="n">
        <v>47009</v>
      </c>
      <c r="G2013" s="127" t="n">
        <v>47022</v>
      </c>
      <c r="H2013" s="127" t="n">
        <v>46289</v>
      </c>
      <c r="I2013" s="4" t="n">
        <v>0</v>
      </c>
      <c r="J2013" s="4" t="n">
        <v>0</v>
      </c>
      <c r="K2013" s="4" t="n">
        <v>0</v>
      </c>
      <c r="M2013" s="2" t="str">
        <f aca="false">IF(C2013="","",IFERROR(INDEX($S$5:$S$304,MATCH(C2013,$R$5:$R$304,0))&amp;"","?"))</f>
        <v>25</v>
      </c>
      <c r="N2013" s="2" t="n">
        <f aca="false">IF(E2013="","",IF(ISNUMBER(SEARCH("SUBSOLO",E2013)),IFERROR(-VALUE(LEFT(E2013,FIND("º",SUBSTITUTE(E2013,"°","º"))-1)),-1),IF(LEFT(E2013,6)="TÉRREO",0,IFERROR(VALUE(LEFT(E2013,FIND("º",SUBSTITUTE(E2013,"°","º"))-1)),""))))</f>
        <v>5</v>
      </c>
      <c r="O2013" s="2" t="str">
        <f aca="false">IF(OR(F2013="",G2013=""),"",IF(G2013&lt;='RETRATO 2027'!$K$5,"CONCLUÍDA",IF(F2013&lt;='RETRATO 2027'!$K$5,"EM ANDAMENTO","A INICIAR")))</f>
        <v>A INICIAR</v>
      </c>
    </row>
    <row r="2014" customFormat="false" ht="15" hidden="false" customHeight="false" outlineLevel="0" collapsed="false">
      <c r="B2014" s="4" t="n">
        <v>30205547</v>
      </c>
      <c r="C2014" s="4" t="s">
        <v>2637</v>
      </c>
      <c r="D2014" s="4" t="s">
        <v>463</v>
      </c>
      <c r="E2014" s="4" t="s">
        <v>2832</v>
      </c>
      <c r="F2014" s="127" t="n">
        <v>47010</v>
      </c>
      <c r="G2014" s="127" t="n">
        <v>47016</v>
      </c>
      <c r="H2014" s="127" t="n">
        <v>46289</v>
      </c>
      <c r="I2014" s="4" t="n">
        <v>0</v>
      </c>
      <c r="J2014" s="4" t="n">
        <v>0</v>
      </c>
      <c r="K2014" s="4" t="n">
        <v>0</v>
      </c>
      <c r="M2014" s="2" t="str">
        <f aca="false">IF(C2014="","",IFERROR(INDEX($S$5:$S$304,MATCH(C2014,$R$5:$R$304,0))&amp;"","?"))</f>
        <v/>
      </c>
      <c r="N2014" s="2" t="n">
        <f aca="false">IF(E2014="","",IF(ISNUMBER(SEARCH("SUBSOLO",E2014)),IFERROR(-VALUE(LEFT(E2014,FIND("º",SUBSTITUTE(E2014,"°","º"))-1)),-1),IF(LEFT(E2014,6)="TÉRREO",0,IFERROR(VALUE(LEFT(E2014,FIND("º",SUBSTITUTE(E2014,"°","º"))-1)),""))))</f>
        <v>0</v>
      </c>
      <c r="O2014" s="2" t="str">
        <f aca="false">IF(OR(F2014="",G2014=""),"",IF(G2014&lt;='RETRATO 2027'!$K$5,"CONCLUÍDA",IF(F2014&lt;='RETRATO 2027'!$K$5,"EM ANDAMENTO","A INICIAR")))</f>
        <v>A INICIAR</v>
      </c>
    </row>
    <row r="2015" customFormat="false" ht="15" hidden="false" customHeight="false" outlineLevel="0" collapsed="false">
      <c r="B2015" s="4" t="n">
        <v>29981132</v>
      </c>
      <c r="C2015" s="4" t="s">
        <v>2637</v>
      </c>
      <c r="D2015" s="4" t="s">
        <v>463</v>
      </c>
      <c r="E2015" s="4" t="s">
        <v>2820</v>
      </c>
      <c r="F2015" s="127" t="n">
        <v>47010</v>
      </c>
      <c r="G2015" s="127" t="n">
        <v>47016</v>
      </c>
      <c r="H2015" s="127" t="n">
        <v>46289</v>
      </c>
      <c r="I2015" s="4" t="n">
        <v>0</v>
      </c>
      <c r="J2015" s="4" t="n">
        <v>0</v>
      </c>
      <c r="K2015" s="4" t="n">
        <v>0</v>
      </c>
      <c r="M2015" s="2" t="str">
        <f aca="false">IF(C2015="","",IFERROR(INDEX($S$5:$S$304,MATCH(C2015,$R$5:$R$304,0))&amp;"","?"))</f>
        <v/>
      </c>
      <c r="N2015" s="2" t="n">
        <f aca="false">IF(E2015="","",IF(ISNUMBER(SEARCH("SUBSOLO",E2015)),IFERROR(-VALUE(LEFT(E2015,FIND("º",SUBSTITUTE(E2015,"°","º"))-1)),-1),IF(LEFT(E2015,6)="TÉRREO",0,IFERROR(VALUE(LEFT(E2015,FIND("º",SUBSTITUTE(E2015,"°","º"))-1)),""))))</f>
        <v>18</v>
      </c>
      <c r="O2015" s="2" t="str">
        <f aca="false">IF(OR(F2015="",G2015=""),"",IF(G2015&lt;='RETRATO 2027'!$K$5,"CONCLUÍDA",IF(F2015&lt;='RETRATO 2027'!$K$5,"EM ANDAMENTO","A INICIAR")))</f>
        <v>A INICIAR</v>
      </c>
    </row>
    <row r="2016" customFormat="false" ht="15" hidden="false" customHeight="false" outlineLevel="0" collapsed="false">
      <c r="B2016" s="4" t="n">
        <v>29981060</v>
      </c>
      <c r="C2016" s="4" t="s">
        <v>2629</v>
      </c>
      <c r="D2016" s="4" t="s">
        <v>463</v>
      </c>
      <c r="E2016" s="4" t="s">
        <v>2823</v>
      </c>
      <c r="F2016" s="127" t="n">
        <v>47010</v>
      </c>
      <c r="G2016" s="127" t="n">
        <v>47022</v>
      </c>
      <c r="H2016" s="127" t="n">
        <v>46289</v>
      </c>
      <c r="I2016" s="4" t="n">
        <v>0</v>
      </c>
      <c r="J2016" s="4" t="n">
        <v>0</v>
      </c>
      <c r="K2016" s="4" t="n">
        <v>0</v>
      </c>
      <c r="M2016" s="2" t="str">
        <f aca="false">IF(C2016="","",IFERROR(INDEX($S$5:$S$304,MATCH(C2016,$R$5:$R$304,0))&amp;"","?"))</f>
        <v>20</v>
      </c>
      <c r="N2016" s="2" t="n">
        <f aca="false">IF(E2016="","",IF(ISNUMBER(SEARCH("SUBSOLO",E2016)),IFERROR(-VALUE(LEFT(E2016,FIND("º",SUBSTITUTE(E2016,"°","º"))-1)),-1),IF(LEFT(E2016,6)="TÉRREO",0,IFERROR(VALUE(LEFT(E2016,FIND("º",SUBSTITUTE(E2016,"°","º"))-1)),""))))</f>
        <v>20</v>
      </c>
      <c r="O2016" s="2" t="str">
        <f aca="false">IF(OR(F2016="",G2016=""),"",IF(G2016&lt;='RETRATO 2027'!$K$5,"CONCLUÍDA",IF(F2016&lt;='RETRATO 2027'!$K$5,"EM ANDAMENTO","A INICIAR")))</f>
        <v>A INICIAR</v>
      </c>
    </row>
    <row r="2017" customFormat="false" ht="15" hidden="false" customHeight="false" outlineLevel="0" collapsed="false">
      <c r="B2017" s="4" t="n">
        <v>29981020</v>
      </c>
      <c r="C2017" s="4" t="s">
        <v>2623</v>
      </c>
      <c r="D2017" s="4" t="s">
        <v>463</v>
      </c>
      <c r="E2017" s="4" t="s">
        <v>2825</v>
      </c>
      <c r="F2017" s="127" t="n">
        <v>47010</v>
      </c>
      <c r="G2017" s="127" t="n">
        <v>47022</v>
      </c>
      <c r="H2017" s="127" t="n">
        <v>46289</v>
      </c>
      <c r="I2017" s="4" t="n">
        <v>0</v>
      </c>
      <c r="J2017" s="4" t="n">
        <v>0</v>
      </c>
      <c r="K2017" s="4" t="n">
        <v>0</v>
      </c>
      <c r="M2017" s="2" t="str">
        <f aca="false">IF(C2017="","",IFERROR(INDEX($S$5:$S$304,MATCH(C2017,$R$5:$R$304,0))&amp;"","?"))</f>
        <v>35</v>
      </c>
      <c r="N2017" s="2" t="n">
        <f aca="false">IF(E2017="","",IF(ISNUMBER(SEARCH("SUBSOLO",E2017)),IFERROR(-VALUE(LEFT(E2017,FIND("º",SUBSTITUTE(E2017,"°","º"))-1)),-1),IF(LEFT(E2017,6)="TÉRREO",0,IFERROR(VALUE(LEFT(E2017,FIND("º",SUBSTITUTE(E2017,"°","º"))-1)),""))))</f>
        <v>21</v>
      </c>
      <c r="O2017" s="2" t="str">
        <f aca="false">IF(OR(F2017="",G2017=""),"",IF(G2017&lt;='RETRATO 2027'!$K$5,"CONCLUÍDA",IF(F2017&lt;='RETRATO 2027'!$K$5,"EM ANDAMENTO","A INICIAR")))</f>
        <v>A INICIAR</v>
      </c>
    </row>
    <row r="2018" customFormat="false" ht="15" hidden="false" customHeight="false" outlineLevel="0" collapsed="false">
      <c r="B2018" s="4" t="n">
        <v>33919798</v>
      </c>
      <c r="C2018" s="4" t="s">
        <v>2625</v>
      </c>
      <c r="D2018" s="4" t="s">
        <v>463</v>
      </c>
      <c r="E2018" s="4" t="s">
        <v>2825</v>
      </c>
      <c r="F2018" s="127" t="n">
        <v>47010</v>
      </c>
      <c r="G2018" s="127" t="n">
        <v>47022</v>
      </c>
      <c r="H2018" s="127" t="n">
        <v>46289</v>
      </c>
      <c r="I2018" s="4" t="n">
        <v>0</v>
      </c>
      <c r="J2018" s="4" t="n">
        <v>0</v>
      </c>
      <c r="K2018" s="4" t="n">
        <v>0</v>
      </c>
      <c r="M2018" s="2" t="str">
        <f aca="false">IF(C2018="","",IFERROR(INDEX($S$5:$S$304,MATCH(C2018,$R$5:$R$304,0))&amp;"","?"))</f>
        <v>32</v>
      </c>
      <c r="N2018" s="2" t="n">
        <f aca="false">IF(E2018="","",IF(ISNUMBER(SEARCH("SUBSOLO",E2018)),IFERROR(-VALUE(LEFT(E2018,FIND("º",SUBSTITUTE(E2018,"°","º"))-1)),-1),IF(LEFT(E2018,6)="TÉRREO",0,IFERROR(VALUE(LEFT(E2018,FIND("º",SUBSTITUTE(E2018,"°","º"))-1)),""))))</f>
        <v>21</v>
      </c>
      <c r="O2018" s="2" t="str">
        <f aca="false">IF(OR(F2018="",G2018=""),"",IF(G2018&lt;='RETRATO 2027'!$K$5,"CONCLUÍDA",IF(F2018&lt;='RETRATO 2027'!$K$5,"EM ANDAMENTO","A INICIAR")))</f>
        <v>A INICIAR</v>
      </c>
    </row>
    <row r="2019" customFormat="false" ht="15" hidden="false" customHeight="false" outlineLevel="0" collapsed="false">
      <c r="B2019" s="4" t="n">
        <v>29980982</v>
      </c>
      <c r="C2019" s="4" t="s">
        <v>2615</v>
      </c>
      <c r="D2019" s="4" t="s">
        <v>463</v>
      </c>
      <c r="E2019" s="4" t="s">
        <v>2827</v>
      </c>
      <c r="F2019" s="127" t="n">
        <v>47010</v>
      </c>
      <c r="G2019" s="127" t="n">
        <v>47022</v>
      </c>
      <c r="H2019" s="127" t="n">
        <v>46289</v>
      </c>
      <c r="I2019" s="4" t="n">
        <v>0</v>
      </c>
      <c r="J2019" s="4" t="n">
        <v>0</v>
      </c>
      <c r="K2019" s="4" t="n">
        <v>0</v>
      </c>
      <c r="M2019" s="2" t="str">
        <f aca="false">IF(C2019="","",IFERROR(INDEX($S$5:$S$304,MATCH(C2019,$R$5:$R$304,0))&amp;"","?"))</f>
        <v>37</v>
      </c>
      <c r="N2019" s="2" t="n">
        <f aca="false">IF(E2019="","",IF(ISNUMBER(SEARCH("SUBSOLO",E2019)),IFERROR(-VALUE(LEFT(E2019,FIND("º",SUBSTITUTE(E2019,"°","º"))-1)),-1),IF(LEFT(E2019,6)="TÉRREO",0,IFERROR(VALUE(LEFT(E2019,FIND("º",SUBSTITUTE(E2019,"°","º"))-1)),""))))</f>
        <v>22</v>
      </c>
      <c r="O2019" s="2" t="str">
        <f aca="false">IF(OR(F2019="",G2019=""),"",IF(G2019&lt;='RETRATO 2027'!$K$5,"CONCLUÍDA",IF(F2019&lt;='RETRATO 2027'!$K$5,"EM ANDAMENTO","A INICIAR")))</f>
        <v>A INICIAR</v>
      </c>
    </row>
    <row r="2020" customFormat="false" ht="15" hidden="false" customHeight="false" outlineLevel="0" collapsed="false">
      <c r="B2020" s="4" t="n">
        <v>29980939</v>
      </c>
      <c r="C2020" s="4" t="s">
        <v>2605</v>
      </c>
      <c r="D2020" s="4" t="s">
        <v>463</v>
      </c>
      <c r="E2020" s="4" t="s">
        <v>2829</v>
      </c>
      <c r="F2020" s="127" t="n">
        <v>47010</v>
      </c>
      <c r="G2020" s="127" t="n">
        <v>47022</v>
      </c>
      <c r="H2020" s="127" t="n">
        <v>46289</v>
      </c>
      <c r="I2020" s="4" t="n">
        <v>0</v>
      </c>
      <c r="J2020" s="4" t="n">
        <v>0</v>
      </c>
      <c r="K2020" s="4" t="n">
        <v>0</v>
      </c>
      <c r="M2020" s="2" t="str">
        <f aca="false">IF(C2020="","",IFERROR(INDEX($S$5:$S$304,MATCH(C2020,$R$5:$R$304,0))&amp;"","?"))</f>
        <v>34</v>
      </c>
      <c r="N2020" s="2" t="n">
        <f aca="false">IF(E2020="","",IF(ISNUMBER(SEARCH("SUBSOLO",E2020)),IFERROR(-VALUE(LEFT(E2020,FIND("º",SUBSTITUTE(E2020,"°","º"))-1)),-1),IF(LEFT(E2020,6)="TÉRREO",0,IFERROR(VALUE(LEFT(E2020,FIND("º",SUBSTITUTE(E2020,"°","º"))-1)),""))))</f>
        <v>23</v>
      </c>
      <c r="O2020" s="2" t="str">
        <f aca="false">IF(OR(F2020="",G2020=""),"",IF(G2020&lt;='RETRATO 2027'!$K$5,"CONCLUÍDA",IF(F2020&lt;='RETRATO 2027'!$K$5,"EM ANDAMENTO","A INICIAR")))</f>
        <v>A INICIAR</v>
      </c>
    </row>
    <row r="2021" customFormat="false" ht="15" hidden="false" customHeight="false" outlineLevel="0" collapsed="false">
      <c r="B2021" s="4" t="n">
        <v>29980944</v>
      </c>
      <c r="C2021" s="4" t="s">
        <v>2607</v>
      </c>
      <c r="D2021" s="4" t="s">
        <v>463</v>
      </c>
      <c r="E2021" s="4" t="s">
        <v>2829</v>
      </c>
      <c r="F2021" s="127" t="n">
        <v>47010</v>
      </c>
      <c r="G2021" s="127" t="n">
        <v>47022</v>
      </c>
      <c r="H2021" s="127" t="n">
        <v>46289</v>
      </c>
      <c r="I2021" s="4" t="n">
        <v>0</v>
      </c>
      <c r="J2021" s="4" t="n">
        <v>0</v>
      </c>
      <c r="K2021" s="4" t="n">
        <v>0</v>
      </c>
      <c r="M2021" s="2" t="str">
        <f aca="false">IF(C2021="","",IFERROR(INDEX($S$5:$S$304,MATCH(C2021,$R$5:$R$304,0))&amp;"","?"))</f>
        <v>34</v>
      </c>
      <c r="N2021" s="2" t="n">
        <f aca="false">IF(E2021="","",IF(ISNUMBER(SEARCH("SUBSOLO",E2021)),IFERROR(-VALUE(LEFT(E2021,FIND("º",SUBSTITUTE(E2021,"°","º"))-1)),-1),IF(LEFT(E2021,6)="TÉRREO",0,IFERROR(VALUE(LEFT(E2021,FIND("º",SUBSTITUTE(E2021,"°","º"))-1)),""))))</f>
        <v>23</v>
      </c>
      <c r="O2021" s="2" t="str">
        <f aca="false">IF(OR(F2021="",G2021=""),"",IF(G2021&lt;='RETRATO 2027'!$K$5,"CONCLUÍDA",IF(F2021&lt;='RETRATO 2027'!$K$5,"EM ANDAMENTO","A INICIAR")))</f>
        <v>A INICIAR</v>
      </c>
    </row>
    <row r="2022" customFormat="false" ht="15" hidden="false" customHeight="false" outlineLevel="0" collapsed="false">
      <c r="B2022" s="4" t="n">
        <v>29980943</v>
      </c>
      <c r="C2022" s="4" t="s">
        <v>2563</v>
      </c>
      <c r="D2022" s="4" t="s">
        <v>463</v>
      </c>
      <c r="E2022" s="4" t="s">
        <v>2829</v>
      </c>
      <c r="F2022" s="127" t="n">
        <v>47010</v>
      </c>
      <c r="G2022" s="127" t="n">
        <v>47022</v>
      </c>
      <c r="H2022" s="127" t="n">
        <v>46289</v>
      </c>
      <c r="I2022" s="4" t="n">
        <v>0</v>
      </c>
      <c r="J2022" s="4" t="n">
        <v>0</v>
      </c>
      <c r="K2022" s="4" t="n">
        <v>0</v>
      </c>
      <c r="M2022" s="2" t="str">
        <f aca="false">IF(C2022="","",IFERROR(INDEX($S$5:$S$304,MATCH(C2022,$R$5:$R$304,0))&amp;"","?"))</f>
        <v>20</v>
      </c>
      <c r="N2022" s="2" t="n">
        <f aca="false">IF(E2022="","",IF(ISNUMBER(SEARCH("SUBSOLO",E2022)),IFERROR(-VALUE(LEFT(E2022,FIND("º",SUBSTITUTE(E2022,"°","º"))-1)),-1),IF(LEFT(E2022,6)="TÉRREO",0,IFERROR(VALUE(LEFT(E2022,FIND("º",SUBSTITUTE(E2022,"°","º"))-1)),""))))</f>
        <v>23</v>
      </c>
      <c r="O2022" s="2" t="str">
        <f aca="false">IF(OR(F2022="",G2022=""),"",IF(G2022&lt;='RETRATO 2027'!$K$5,"CONCLUÍDA",IF(F2022&lt;='RETRATO 2027'!$K$5,"EM ANDAMENTO","A INICIAR")))</f>
        <v>A INICIAR</v>
      </c>
    </row>
    <row r="2023" customFormat="false" ht="15" hidden="false" customHeight="false" outlineLevel="0" collapsed="false">
      <c r="B2023" s="4" t="n">
        <v>29980942</v>
      </c>
      <c r="C2023" s="4" t="s">
        <v>2609</v>
      </c>
      <c r="D2023" s="4" t="s">
        <v>463</v>
      </c>
      <c r="E2023" s="4" t="s">
        <v>2829</v>
      </c>
      <c r="F2023" s="127" t="n">
        <v>47010</v>
      </c>
      <c r="G2023" s="127" t="n">
        <v>47022</v>
      </c>
      <c r="H2023" s="127" t="n">
        <v>46289</v>
      </c>
      <c r="I2023" s="4" t="n">
        <v>0</v>
      </c>
      <c r="J2023" s="4" t="n">
        <v>0</v>
      </c>
      <c r="K2023" s="4" t="n">
        <v>0</v>
      </c>
      <c r="M2023" s="2" t="str">
        <f aca="false">IF(C2023="","",IFERROR(INDEX($S$5:$S$304,MATCH(C2023,$R$5:$R$304,0))&amp;"","?"))</f>
        <v>23</v>
      </c>
      <c r="N2023" s="2" t="n">
        <f aca="false">IF(E2023="","",IF(ISNUMBER(SEARCH("SUBSOLO",E2023)),IFERROR(-VALUE(LEFT(E2023,FIND("º",SUBSTITUTE(E2023,"°","º"))-1)),-1),IF(LEFT(E2023,6)="TÉRREO",0,IFERROR(VALUE(LEFT(E2023,FIND("º",SUBSTITUTE(E2023,"°","º"))-1)),""))))</f>
        <v>23</v>
      </c>
      <c r="O2023" s="2" t="str">
        <f aca="false">IF(OR(F2023="",G2023=""),"",IF(G2023&lt;='RETRATO 2027'!$K$5,"CONCLUÍDA",IF(F2023&lt;='RETRATO 2027'!$K$5,"EM ANDAMENTO","A INICIAR")))</f>
        <v>A INICIAR</v>
      </c>
    </row>
    <row r="2024" customFormat="false" ht="15" hidden="false" customHeight="false" outlineLevel="0" collapsed="false">
      <c r="B2024" s="4" t="n">
        <v>29980901</v>
      </c>
      <c r="C2024" s="4" t="s">
        <v>2599</v>
      </c>
      <c r="D2024" s="4" t="s">
        <v>463</v>
      </c>
      <c r="E2024" s="4" t="s">
        <v>2831</v>
      </c>
      <c r="F2024" s="127" t="n">
        <v>47010</v>
      </c>
      <c r="G2024" s="127" t="n">
        <v>47022</v>
      </c>
      <c r="H2024" s="127" t="n">
        <v>46289</v>
      </c>
      <c r="I2024" s="4" t="n">
        <v>0</v>
      </c>
      <c r="J2024" s="4" t="n">
        <v>0</v>
      </c>
      <c r="K2024" s="4" t="n">
        <v>0</v>
      </c>
      <c r="M2024" s="2" t="str">
        <f aca="false">IF(C2024="","",IFERROR(INDEX($S$5:$S$304,MATCH(C2024,$R$5:$R$304,0))&amp;"","?"))</f>
        <v>30</v>
      </c>
      <c r="N2024" s="2" t="n">
        <f aca="false">IF(E2024="","",IF(ISNUMBER(SEARCH("SUBSOLO",E2024)),IFERROR(-VALUE(LEFT(E2024,FIND("º",SUBSTITUTE(E2024,"°","º"))-1)),-1),IF(LEFT(E2024,6)="TÉRREO",0,IFERROR(VALUE(LEFT(E2024,FIND("º",SUBSTITUTE(E2024,"°","º"))-1)),""))))</f>
        <v>24</v>
      </c>
      <c r="O2024" s="2" t="str">
        <f aca="false">IF(OR(F2024="",G2024=""),"",IF(G2024&lt;='RETRATO 2027'!$K$5,"CONCLUÍDA",IF(F2024&lt;='RETRATO 2027'!$K$5,"EM ANDAMENTO","A INICIAR")))</f>
        <v>A INICIAR</v>
      </c>
    </row>
    <row r="2025" customFormat="false" ht="15" hidden="false" customHeight="false" outlineLevel="0" collapsed="false">
      <c r="B2025" s="4" t="n">
        <v>29980863</v>
      </c>
      <c r="C2025" s="4" t="s">
        <v>2578</v>
      </c>
      <c r="D2025" s="4" t="s">
        <v>463</v>
      </c>
      <c r="E2025" s="4" t="s">
        <v>2833</v>
      </c>
      <c r="F2025" s="127" t="n">
        <v>47010</v>
      </c>
      <c r="G2025" s="127" t="n">
        <v>47022</v>
      </c>
      <c r="H2025" s="127" t="n">
        <v>46289</v>
      </c>
      <c r="I2025" s="4" t="n">
        <v>0</v>
      </c>
      <c r="J2025" s="4" t="n">
        <v>0</v>
      </c>
      <c r="K2025" s="4" t="n">
        <v>0</v>
      </c>
      <c r="M2025" s="2" t="str">
        <f aca="false">IF(C2025="","",IFERROR(INDEX($S$5:$S$304,MATCH(C2025,$R$5:$R$304,0))&amp;"","?"))</f>
        <v>25</v>
      </c>
      <c r="N2025" s="2" t="n">
        <f aca="false">IF(E2025="","",IF(ISNUMBER(SEARCH("SUBSOLO",E2025)),IFERROR(-VALUE(LEFT(E2025,FIND("º",SUBSTITUTE(E2025,"°","º"))-1)),-1),IF(LEFT(E2025,6)="TÉRREO",0,IFERROR(VALUE(LEFT(E2025,FIND("º",SUBSTITUTE(E2025,"°","º"))-1)),""))))</f>
        <v>25</v>
      </c>
      <c r="O2025" s="2" t="str">
        <f aca="false">IF(OR(F2025="",G2025=""),"",IF(G2025&lt;='RETRATO 2027'!$K$5,"CONCLUÍDA",IF(F2025&lt;='RETRATO 2027'!$K$5,"EM ANDAMENTO","A INICIAR")))</f>
        <v>A INICIAR</v>
      </c>
    </row>
    <row r="2026" customFormat="false" ht="15" hidden="false" customHeight="false" outlineLevel="0" collapsed="false">
      <c r="B2026" s="4" t="n">
        <v>29980825</v>
      </c>
      <c r="C2026" s="4" t="s">
        <v>2569</v>
      </c>
      <c r="D2026" s="4" t="s">
        <v>463</v>
      </c>
      <c r="E2026" s="4" t="s">
        <v>2834</v>
      </c>
      <c r="F2026" s="127" t="n">
        <v>47010</v>
      </c>
      <c r="G2026" s="127" t="n">
        <v>47022</v>
      </c>
      <c r="H2026" s="127" t="n">
        <v>46289</v>
      </c>
      <c r="I2026" s="4" t="n">
        <v>0</v>
      </c>
      <c r="J2026" s="4" t="n">
        <v>0</v>
      </c>
      <c r="K2026" s="4" t="n">
        <v>0</v>
      </c>
      <c r="M2026" s="2" t="str">
        <f aca="false">IF(C2026="","",IFERROR(INDEX($S$5:$S$304,MATCH(C2026,$R$5:$R$304,0))&amp;"","?"))</f>
        <v>30</v>
      </c>
      <c r="N2026" s="2" t="n">
        <f aca="false">IF(E2026="","",IF(ISNUMBER(SEARCH("SUBSOLO",E2026)),IFERROR(-VALUE(LEFT(E2026,FIND("º",SUBSTITUTE(E2026,"°","º"))-1)),-1),IF(LEFT(E2026,6)="TÉRREO",0,IFERROR(VALUE(LEFT(E2026,FIND("º",SUBSTITUTE(E2026,"°","º"))-1)),""))))</f>
        <v>26</v>
      </c>
      <c r="O2026" s="2" t="str">
        <f aca="false">IF(OR(F2026="",G2026=""),"",IF(G2026&lt;='RETRATO 2027'!$K$5,"CONCLUÍDA",IF(F2026&lt;='RETRATO 2027'!$K$5,"EM ANDAMENTO","A INICIAR")))</f>
        <v>A INICIAR</v>
      </c>
    </row>
    <row r="2027" customFormat="false" ht="15" hidden="false" customHeight="false" outlineLevel="0" collapsed="false">
      <c r="B2027" s="4" t="n">
        <v>29980787</v>
      </c>
      <c r="C2027" s="4" t="s">
        <v>2554</v>
      </c>
      <c r="D2027" s="4" t="s">
        <v>463</v>
      </c>
      <c r="E2027" s="4" t="s">
        <v>2838</v>
      </c>
      <c r="F2027" s="127" t="n">
        <v>47010</v>
      </c>
      <c r="G2027" s="127" t="n">
        <v>47022</v>
      </c>
      <c r="H2027" s="127" t="n">
        <v>46289</v>
      </c>
      <c r="I2027" s="4" t="n">
        <v>0</v>
      </c>
      <c r="J2027" s="4" t="n">
        <v>0</v>
      </c>
      <c r="K2027" s="4" t="n">
        <v>0</v>
      </c>
      <c r="M2027" s="2" t="str">
        <f aca="false">IF(C2027="","",IFERROR(INDEX($S$5:$S$304,MATCH(C2027,$R$5:$R$304,0))&amp;"","?"))</f>
        <v>35</v>
      </c>
      <c r="N2027" s="2" t="n">
        <f aca="false">IF(E2027="","",IF(ISNUMBER(SEARCH("SUBSOLO",E2027)),IFERROR(-VALUE(LEFT(E2027,FIND("º",SUBSTITUTE(E2027,"°","º"))-1)),-1),IF(LEFT(E2027,6)="TÉRREO",0,IFERROR(VALUE(LEFT(E2027,FIND("º",SUBSTITUTE(E2027,"°","º"))-1)),""))))</f>
        <v>27</v>
      </c>
      <c r="O2027" s="2" t="str">
        <f aca="false">IF(OR(F2027="",G2027=""),"",IF(G2027&lt;='RETRATO 2027'!$K$5,"CONCLUÍDA",IF(F2027&lt;='RETRATO 2027'!$K$5,"EM ANDAMENTO","A INICIAR")))</f>
        <v>A INICIAR</v>
      </c>
    </row>
    <row r="2028" customFormat="false" ht="15" hidden="false" customHeight="false" outlineLevel="0" collapsed="false">
      <c r="B2028" s="4" t="n">
        <v>29980776</v>
      </c>
      <c r="C2028" s="4" t="s">
        <v>2539</v>
      </c>
      <c r="D2028" s="4" t="s">
        <v>463</v>
      </c>
      <c r="E2028" s="4" t="s">
        <v>2840</v>
      </c>
      <c r="F2028" s="127" t="n">
        <v>47010</v>
      </c>
      <c r="G2028" s="127" t="n">
        <v>47022</v>
      </c>
      <c r="H2028" s="127" t="n">
        <v>46289</v>
      </c>
      <c r="I2028" s="4" t="n">
        <v>0</v>
      </c>
      <c r="J2028" s="4" t="n">
        <v>0</v>
      </c>
      <c r="K2028" s="4" t="n">
        <v>0</v>
      </c>
      <c r="M2028" s="2" t="str">
        <f aca="false">IF(C2028="","",IFERROR(INDEX($S$5:$S$304,MATCH(C2028,$R$5:$R$304,0))&amp;"","?"))</f>
        <v>35</v>
      </c>
      <c r="N2028" s="2" t="n">
        <f aca="false">IF(E2028="","",IF(ISNUMBER(SEARCH("SUBSOLO",E2028)),IFERROR(-VALUE(LEFT(E2028,FIND("º",SUBSTITUTE(E2028,"°","º"))-1)),-1),IF(LEFT(E2028,6)="TÉRREO",0,IFERROR(VALUE(LEFT(E2028,FIND("º",SUBSTITUTE(E2028,"°","º"))-1)),""))))</f>
        <v>28</v>
      </c>
      <c r="O2028" s="2" t="str">
        <f aca="false">IF(OR(F2028="",G2028=""),"",IF(G2028&lt;='RETRATO 2027'!$K$5,"CONCLUÍDA",IF(F2028&lt;='RETRATO 2027'!$K$5,"EM ANDAMENTO","A INICIAR")))</f>
        <v>A INICIAR</v>
      </c>
    </row>
    <row r="2029" customFormat="false" ht="15" hidden="false" customHeight="false" outlineLevel="0" collapsed="false">
      <c r="B2029" s="4" t="n">
        <v>33898113</v>
      </c>
      <c r="C2029" s="4" t="s">
        <v>2545</v>
      </c>
      <c r="D2029" s="4" t="s">
        <v>463</v>
      </c>
      <c r="E2029" s="4" t="s">
        <v>2841</v>
      </c>
      <c r="F2029" s="127" t="n">
        <v>47010</v>
      </c>
      <c r="G2029" s="127" t="n">
        <v>47022</v>
      </c>
      <c r="H2029" s="127" t="n">
        <v>46289</v>
      </c>
      <c r="I2029" s="4" t="n">
        <v>0</v>
      </c>
      <c r="J2029" s="4" t="n">
        <v>0</v>
      </c>
      <c r="K2029" s="4" t="n">
        <v>0</v>
      </c>
      <c r="M2029" s="2" t="str">
        <f aca="false">IF(C2029="","",IFERROR(INDEX($S$5:$S$304,MATCH(C2029,$R$5:$R$304,0))&amp;"","?"))</f>
        <v>25</v>
      </c>
      <c r="N2029" s="2" t="n">
        <f aca="false">IF(E2029="","",IF(ISNUMBER(SEARCH("SUBSOLO",E2029)),IFERROR(-VALUE(LEFT(E2029,FIND("º",SUBSTITUTE(E2029,"°","º"))-1)),-1),IF(LEFT(E2029,6)="TÉRREO",0,IFERROR(VALUE(LEFT(E2029,FIND("º",SUBSTITUTE(E2029,"°","º"))-1)),""))))</f>
        <v>29</v>
      </c>
      <c r="O2029" s="2" t="str">
        <f aca="false">IF(OR(F2029="",G2029=""),"",IF(G2029&lt;='RETRATO 2027'!$K$5,"CONCLUÍDA",IF(F2029&lt;='RETRATO 2027'!$K$5,"EM ANDAMENTO","A INICIAR")))</f>
        <v>A INICIAR</v>
      </c>
    </row>
    <row r="2030" customFormat="false" ht="15" hidden="false" customHeight="false" outlineLevel="0" collapsed="false">
      <c r="B2030" s="4" t="n">
        <v>30205824</v>
      </c>
      <c r="C2030" s="4" t="s">
        <v>2649</v>
      </c>
      <c r="D2030" s="4" t="s">
        <v>463</v>
      </c>
      <c r="E2030" s="4" t="s">
        <v>2839</v>
      </c>
      <c r="F2030" s="127" t="n">
        <v>47014</v>
      </c>
      <c r="G2030" s="127" t="n">
        <v>47025</v>
      </c>
      <c r="H2030" s="127" t="n">
        <v>46289</v>
      </c>
      <c r="I2030" s="4" t="n">
        <v>0</v>
      </c>
      <c r="J2030" s="4" t="n">
        <v>0</v>
      </c>
      <c r="K2030" s="4" t="n">
        <v>0</v>
      </c>
      <c r="M2030" s="2" t="str">
        <f aca="false">IF(C2030="","",IFERROR(INDEX($S$5:$S$304,MATCH(C2030,$R$5:$R$304,0))&amp;"","?"))</f>
        <v>37</v>
      </c>
      <c r="N2030" s="2" t="n">
        <f aca="false">IF(E2030="","",IF(ISNUMBER(SEARCH("SUBSOLO",E2030)),IFERROR(-VALUE(LEFT(E2030,FIND("º",SUBSTITUTE(E2030,"°","º"))-1)),-1),IF(LEFT(E2030,6)="TÉRREO",0,IFERROR(VALUE(LEFT(E2030,FIND("º",SUBSTITUTE(E2030,"°","º"))-1)),""))))</f>
        <v>0</v>
      </c>
      <c r="O2030" s="2" t="str">
        <f aca="false">IF(OR(F2030="",G2030=""),"",IF(G2030&lt;='RETRATO 2027'!$K$5,"CONCLUÍDA",IF(F2030&lt;='RETRATO 2027'!$K$5,"EM ANDAMENTO","A INICIAR")))</f>
        <v>A INICIAR</v>
      </c>
    </row>
    <row r="2031" customFormat="false" ht="15" hidden="false" customHeight="false" outlineLevel="0" collapsed="false">
      <c r="B2031" s="4" t="n">
        <v>29981088</v>
      </c>
      <c r="C2031" s="4" t="s">
        <v>2486</v>
      </c>
      <c r="D2031" s="4" t="s">
        <v>463</v>
      </c>
      <c r="E2031" s="4" t="s">
        <v>2822</v>
      </c>
      <c r="F2031" s="127" t="n">
        <v>47014</v>
      </c>
      <c r="G2031" s="127" t="n">
        <v>47024</v>
      </c>
      <c r="H2031" s="127" t="n">
        <v>46289</v>
      </c>
      <c r="I2031" s="4" t="n">
        <v>0</v>
      </c>
      <c r="J2031" s="4" t="n">
        <v>0</v>
      </c>
      <c r="K2031" s="4" t="n">
        <v>0</v>
      </c>
      <c r="M2031" s="2" t="str">
        <f aca="false">IF(C2031="","",IFERROR(INDEX($S$5:$S$304,MATCH(C2031,$R$5:$R$304,0))&amp;"","?"))</f>
        <v>30</v>
      </c>
      <c r="N2031" s="2" t="n">
        <f aca="false">IF(E2031="","",IF(ISNUMBER(SEARCH("SUBSOLO",E2031)),IFERROR(-VALUE(LEFT(E2031,FIND("º",SUBSTITUTE(E2031,"°","º"))-1)),-1),IF(LEFT(E2031,6)="TÉRREO",0,IFERROR(VALUE(LEFT(E2031,FIND("º",SUBSTITUTE(E2031,"°","º"))-1)),""))))</f>
        <v>19</v>
      </c>
      <c r="O2031" s="2" t="str">
        <f aca="false">IF(OR(F2031="",G2031=""),"",IF(G2031&lt;='RETRATO 2027'!$K$5,"CONCLUÍDA",IF(F2031&lt;='RETRATO 2027'!$K$5,"EM ANDAMENTO","A INICIAR")))</f>
        <v>A INICIAR</v>
      </c>
    </row>
    <row r="2032" customFormat="false" ht="15" hidden="false" customHeight="false" outlineLevel="0" collapsed="false">
      <c r="B2032" s="4" t="n">
        <v>30206117</v>
      </c>
      <c r="C2032" s="4" t="s">
        <v>2629</v>
      </c>
      <c r="D2032" s="4" t="s">
        <v>463</v>
      </c>
      <c r="E2032" s="4" t="s">
        <v>2846</v>
      </c>
      <c r="F2032" s="127" t="n">
        <v>47015</v>
      </c>
      <c r="G2032" s="127" t="n">
        <v>47018</v>
      </c>
      <c r="H2032" s="127" t="n">
        <v>46289</v>
      </c>
      <c r="I2032" s="4" t="n">
        <v>0</v>
      </c>
      <c r="J2032" s="4" t="n">
        <v>0</v>
      </c>
      <c r="K2032" s="4" t="n">
        <v>0</v>
      </c>
      <c r="M2032" s="2" t="str">
        <f aca="false">IF(C2032="","",IFERROR(INDEX($S$5:$S$304,MATCH(C2032,$R$5:$R$304,0))&amp;"","?"))</f>
        <v>20</v>
      </c>
      <c r="N2032" s="2" t="n">
        <f aca="false">IF(E2032="","",IF(ISNUMBER(SEARCH("SUBSOLO",E2032)),IFERROR(-VALUE(LEFT(E2032,FIND("º",SUBSTITUTE(E2032,"°","º"))-1)),-1),IF(LEFT(E2032,6)="TÉRREO",0,IFERROR(VALUE(LEFT(E2032,FIND("º",SUBSTITUTE(E2032,"°","º"))-1)),""))))</f>
        <v>6</v>
      </c>
      <c r="O2032" s="2" t="str">
        <f aca="false">IF(OR(F2032="",G2032=""),"",IF(G2032&lt;='RETRATO 2027'!$K$5,"CONCLUÍDA",IF(F2032&lt;='RETRATO 2027'!$K$5,"EM ANDAMENTO","A INICIAR")))</f>
        <v>A INICIAR</v>
      </c>
    </row>
    <row r="2033" customFormat="false" ht="15" hidden="false" customHeight="false" outlineLevel="0" collapsed="false">
      <c r="B2033" s="4" t="n">
        <v>29981180</v>
      </c>
      <c r="C2033" s="4" t="s">
        <v>2649</v>
      </c>
      <c r="D2033" s="4" t="s">
        <v>463</v>
      </c>
      <c r="E2033" s="4" t="s">
        <v>2818</v>
      </c>
      <c r="F2033" s="127" t="n">
        <v>47017</v>
      </c>
      <c r="G2033" s="127" t="n">
        <v>47029</v>
      </c>
      <c r="H2033" s="127" t="n">
        <v>46289</v>
      </c>
      <c r="I2033" s="4" t="n">
        <v>0</v>
      </c>
      <c r="J2033" s="4" t="n">
        <v>0</v>
      </c>
      <c r="K2033" s="4" t="n">
        <v>0</v>
      </c>
      <c r="M2033" s="2" t="str">
        <f aca="false">IF(C2033="","",IFERROR(INDEX($S$5:$S$304,MATCH(C2033,$R$5:$R$304,0))&amp;"","?"))</f>
        <v>37</v>
      </c>
      <c r="N2033" s="2" t="n">
        <f aca="false">IF(E2033="","",IF(ISNUMBER(SEARCH("SUBSOLO",E2033)),IFERROR(-VALUE(LEFT(E2033,FIND("º",SUBSTITUTE(E2033,"°","º"))-1)),-1),IF(LEFT(E2033,6)="TÉRREO",0,IFERROR(VALUE(LEFT(E2033,FIND("º",SUBSTITUTE(E2033,"°","º"))-1)),""))))</f>
        <v>17</v>
      </c>
      <c r="O2033" s="2" t="str">
        <f aca="false">IF(OR(F2033="",G2033=""),"",IF(G2033&lt;='RETRATO 2027'!$K$5,"CONCLUÍDA",IF(F2033&lt;='RETRATO 2027'!$K$5,"EM ANDAMENTO","A INICIAR")))</f>
        <v>A INICIAR</v>
      </c>
    </row>
    <row r="2034" customFormat="false" ht="15" hidden="false" customHeight="false" outlineLevel="0" collapsed="false">
      <c r="B2034" s="4" t="n">
        <v>29981133</v>
      </c>
      <c r="C2034" s="4" t="s">
        <v>2641</v>
      </c>
      <c r="D2034" s="4" t="s">
        <v>463</v>
      </c>
      <c r="E2034" s="4" t="s">
        <v>2820</v>
      </c>
      <c r="F2034" s="127" t="n">
        <v>47017</v>
      </c>
      <c r="G2034" s="127" t="n">
        <v>47029</v>
      </c>
      <c r="H2034" s="127" t="n">
        <v>46289</v>
      </c>
      <c r="I2034" s="4" t="n">
        <v>0</v>
      </c>
      <c r="J2034" s="4" t="n">
        <v>0</v>
      </c>
      <c r="K2034" s="4" t="n">
        <v>0</v>
      </c>
      <c r="M2034" s="2" t="str">
        <f aca="false">IF(C2034="","",IFERROR(INDEX($S$5:$S$304,MATCH(C2034,$R$5:$R$304,0))&amp;"","?"))</f>
        <v>35</v>
      </c>
      <c r="N2034" s="2" t="n">
        <f aca="false">IF(E2034="","",IF(ISNUMBER(SEARCH("SUBSOLO",E2034)),IFERROR(-VALUE(LEFT(E2034,FIND("º",SUBSTITUTE(E2034,"°","º"))-1)),-1),IF(LEFT(E2034,6)="TÉRREO",0,IFERROR(VALUE(LEFT(E2034,FIND("º",SUBSTITUTE(E2034,"°","º"))-1)),""))))</f>
        <v>18</v>
      </c>
      <c r="O2034" s="2" t="str">
        <f aca="false">IF(OR(F2034="",G2034=""),"",IF(G2034&lt;='RETRATO 2027'!$K$5,"CONCLUÍDA",IF(F2034&lt;='RETRATO 2027'!$K$5,"EM ANDAMENTO","A INICIAR")))</f>
        <v>A INICIAR</v>
      </c>
    </row>
    <row r="2035" customFormat="false" ht="15" hidden="false" customHeight="false" outlineLevel="0" collapsed="false">
      <c r="B2035" s="4" t="n">
        <v>30205801</v>
      </c>
      <c r="C2035" s="4" t="s">
        <v>2637</v>
      </c>
      <c r="D2035" s="4" t="s">
        <v>463</v>
      </c>
      <c r="E2035" s="4" t="s">
        <v>2835</v>
      </c>
      <c r="F2035" s="127" t="n">
        <v>47021</v>
      </c>
      <c r="G2035" s="127" t="n">
        <v>47025</v>
      </c>
      <c r="H2035" s="127" t="n">
        <v>46289</v>
      </c>
      <c r="I2035" s="4" t="n">
        <v>0</v>
      </c>
      <c r="J2035" s="4" t="n">
        <v>0</v>
      </c>
      <c r="K2035" s="4" t="n">
        <v>0</v>
      </c>
      <c r="M2035" s="2" t="str">
        <f aca="false">IF(C2035="","",IFERROR(INDEX($S$5:$S$304,MATCH(C2035,$R$5:$R$304,0))&amp;"","?"))</f>
        <v/>
      </c>
      <c r="N2035" s="2" t="n">
        <f aca="false">IF(E2035="","",IF(ISNUMBER(SEARCH("SUBSOLO",E2035)),IFERROR(-VALUE(LEFT(E2035,FIND("º",SUBSTITUTE(E2035,"°","º"))-1)),-1),IF(LEFT(E2035,6)="TÉRREO",0,IFERROR(VALUE(LEFT(E2035,FIND("º",SUBSTITUTE(E2035,"°","º"))-1)),""))))</f>
        <v>0</v>
      </c>
      <c r="O2035" s="2" t="str">
        <f aca="false">IF(OR(F2035="",G2035=""),"",IF(G2035&lt;='RETRATO 2027'!$K$5,"CONCLUÍDA",IF(F2035&lt;='RETRATO 2027'!$K$5,"EM ANDAMENTO","A INICIAR")))</f>
        <v>A INICIAR</v>
      </c>
    </row>
    <row r="2036" customFormat="false" ht="15" hidden="false" customHeight="false" outlineLevel="0" collapsed="false">
      <c r="B2036" s="4" t="n">
        <v>30205761</v>
      </c>
      <c r="C2036" s="4" t="s">
        <v>2670</v>
      </c>
      <c r="D2036" s="4" t="s">
        <v>463</v>
      </c>
      <c r="E2036" s="4" t="s">
        <v>2837</v>
      </c>
      <c r="F2036" s="127" t="n">
        <v>47021</v>
      </c>
      <c r="G2036" s="127" t="n">
        <v>47051</v>
      </c>
      <c r="H2036" s="127" t="n">
        <v>46289</v>
      </c>
      <c r="I2036" s="4" t="n">
        <v>0</v>
      </c>
      <c r="J2036" s="4" t="n">
        <v>0</v>
      </c>
      <c r="K2036" s="4" t="n">
        <v>0</v>
      </c>
      <c r="M2036" s="2" t="str">
        <f aca="false">IF(C2036="","",IFERROR(INDEX($S$5:$S$304,MATCH(C2036,$R$5:$R$304,0))&amp;"","?"))</f>
        <v>36</v>
      </c>
      <c r="N2036" s="2" t="n">
        <f aca="false">IF(E2036="","",IF(ISNUMBER(SEARCH("SUBSOLO",E2036)),IFERROR(-VALUE(LEFT(E2036,FIND("º",SUBSTITUTE(E2036,"°","º"))-1)),-1),IF(LEFT(E2036,6)="TÉRREO",0,IFERROR(VALUE(LEFT(E2036,FIND("º",SUBSTITUTE(E2036,"°","º"))-1)),""))))</f>
        <v>0</v>
      </c>
      <c r="O2036" s="2" t="str">
        <f aca="false">IF(OR(F2036="",G2036=""),"",IF(G2036&lt;='RETRATO 2027'!$K$5,"CONCLUÍDA",IF(F2036&lt;='RETRATO 2027'!$K$5,"EM ANDAMENTO","A INICIAR")))</f>
        <v>A INICIAR</v>
      </c>
    </row>
    <row r="2037" customFormat="false" ht="15" hidden="false" customHeight="false" outlineLevel="0" collapsed="false">
      <c r="B2037" s="4" t="n">
        <v>30205845</v>
      </c>
      <c r="C2037" s="4" t="s">
        <v>2629</v>
      </c>
      <c r="D2037" s="4" t="s">
        <v>463</v>
      </c>
      <c r="E2037" s="4" t="s">
        <v>2782</v>
      </c>
      <c r="F2037" s="127" t="n">
        <v>47021</v>
      </c>
      <c r="G2037" s="127" t="n">
        <v>47032</v>
      </c>
      <c r="H2037" s="127" t="n">
        <v>46289</v>
      </c>
      <c r="I2037" s="4" t="n">
        <v>0</v>
      </c>
      <c r="J2037" s="4" t="n">
        <v>0</v>
      </c>
      <c r="K2037" s="4" t="n">
        <v>0</v>
      </c>
      <c r="M2037" s="2" t="str">
        <f aca="false">IF(C2037="","",IFERROR(INDEX($S$5:$S$304,MATCH(C2037,$R$5:$R$304,0))&amp;"","?"))</f>
        <v>20</v>
      </c>
      <c r="N2037" s="2" t="n">
        <f aca="false">IF(E2037="","",IF(ISNUMBER(SEARCH("SUBSOLO",E2037)),IFERROR(-VALUE(LEFT(E2037,FIND("º",SUBSTITUTE(E2037,"°","º"))-1)),-1),IF(LEFT(E2037,6)="TÉRREO",0,IFERROR(VALUE(LEFT(E2037,FIND("º",SUBSTITUTE(E2037,"°","º"))-1)),""))))</f>
        <v>1</v>
      </c>
      <c r="O2037" s="2" t="str">
        <f aca="false">IF(OR(F2037="",G2037=""),"",IF(G2037&lt;='RETRATO 2027'!$K$5,"CONCLUÍDA",IF(F2037&lt;='RETRATO 2027'!$K$5,"EM ANDAMENTO","A INICIAR")))</f>
        <v>A INICIAR</v>
      </c>
    </row>
    <row r="2038" customFormat="false" ht="15" hidden="false" customHeight="false" outlineLevel="0" collapsed="false">
      <c r="B2038" s="4" t="n">
        <v>30206115</v>
      </c>
      <c r="C2038" s="4" t="s">
        <v>2637</v>
      </c>
      <c r="D2038" s="4" t="s">
        <v>463</v>
      </c>
      <c r="E2038" s="4" t="s">
        <v>2846</v>
      </c>
      <c r="F2038" s="127" t="n">
        <v>47021</v>
      </c>
      <c r="G2038" s="127" t="n">
        <v>47025</v>
      </c>
      <c r="H2038" s="127" t="n">
        <v>46289</v>
      </c>
      <c r="I2038" s="4" t="n">
        <v>0</v>
      </c>
      <c r="J2038" s="4" t="n">
        <v>0</v>
      </c>
      <c r="K2038" s="4" t="n">
        <v>0</v>
      </c>
      <c r="M2038" s="2" t="str">
        <f aca="false">IF(C2038="","",IFERROR(INDEX($S$5:$S$304,MATCH(C2038,$R$5:$R$304,0))&amp;"","?"))</f>
        <v/>
      </c>
      <c r="N2038" s="2" t="n">
        <f aca="false">IF(E2038="","",IF(ISNUMBER(SEARCH("SUBSOLO",E2038)),IFERROR(-VALUE(LEFT(E2038,FIND("º",SUBSTITUTE(E2038,"°","º"))-1)),-1),IF(LEFT(E2038,6)="TÉRREO",0,IFERROR(VALUE(LEFT(E2038,FIND("º",SUBSTITUTE(E2038,"°","º"))-1)),""))))</f>
        <v>6</v>
      </c>
      <c r="O2038" s="2" t="str">
        <f aca="false">IF(OR(F2038="",G2038=""),"",IF(G2038&lt;='RETRATO 2027'!$K$5,"CONCLUÍDA",IF(F2038&lt;='RETRATO 2027'!$K$5,"EM ANDAMENTO","A INICIAR")))</f>
        <v>A INICIAR</v>
      </c>
    </row>
    <row r="2039" customFormat="false" ht="15" hidden="false" customHeight="false" outlineLevel="0" collapsed="false">
      <c r="B2039" s="4" t="n">
        <v>30214063</v>
      </c>
      <c r="C2039" s="4" t="s">
        <v>2514</v>
      </c>
      <c r="D2039" s="4" t="s">
        <v>463</v>
      </c>
      <c r="E2039" s="4" t="s">
        <v>2802</v>
      </c>
      <c r="F2039" s="127" t="n">
        <v>47022</v>
      </c>
      <c r="G2039" s="127" t="n">
        <v>47035</v>
      </c>
      <c r="H2039" s="127" t="n">
        <v>46289</v>
      </c>
      <c r="I2039" s="4" t="n">
        <v>0</v>
      </c>
      <c r="J2039" s="4" t="n">
        <v>0</v>
      </c>
      <c r="K2039" s="4" t="n">
        <v>0</v>
      </c>
      <c r="M2039" s="2" t="str">
        <f aca="false">IF(C2039="","",IFERROR(INDEX($S$5:$S$304,MATCH(C2039,$R$5:$R$304,0))&amp;"","?"))</f>
        <v>20</v>
      </c>
      <c r="N2039" s="2" t="n">
        <f aca="false">IF(E2039="","",IF(ISNUMBER(SEARCH("SUBSOLO",E2039)),IFERROR(-VALUE(LEFT(E2039,FIND("º",SUBSTITUTE(E2039,"°","º"))-1)),-1),IF(LEFT(E2039,6)="TÉRREO",0,IFERROR(VALUE(LEFT(E2039,FIND("º",SUBSTITUTE(E2039,"°","º"))-1)),""))))</f>
        <v>6</v>
      </c>
      <c r="O2039" s="2" t="str">
        <f aca="false">IF(OR(F2039="",G2039=""),"",IF(G2039&lt;='RETRATO 2027'!$K$5,"CONCLUÍDA",IF(F2039&lt;='RETRATO 2027'!$K$5,"EM ANDAMENTO","A INICIAR")))</f>
        <v>A INICIAR</v>
      </c>
    </row>
    <row r="2040" customFormat="false" ht="15" hidden="false" customHeight="false" outlineLevel="0" collapsed="false">
      <c r="B2040" s="4" t="n">
        <v>30206075</v>
      </c>
      <c r="C2040" s="4" t="s">
        <v>2607</v>
      </c>
      <c r="D2040" s="4" t="s">
        <v>463</v>
      </c>
      <c r="E2040" s="4" t="s">
        <v>2847</v>
      </c>
      <c r="F2040" s="127" t="n">
        <v>47022</v>
      </c>
      <c r="G2040" s="127" t="n">
        <v>47028</v>
      </c>
      <c r="H2040" s="127" t="n">
        <v>46289</v>
      </c>
      <c r="I2040" s="4" t="n">
        <v>0</v>
      </c>
      <c r="J2040" s="4" t="n">
        <v>0</v>
      </c>
      <c r="K2040" s="4" t="n">
        <v>0</v>
      </c>
      <c r="M2040" s="2" t="str">
        <f aca="false">IF(C2040="","",IFERROR(INDEX($S$5:$S$304,MATCH(C2040,$R$5:$R$304,0))&amp;"","?"))</f>
        <v>34</v>
      </c>
      <c r="N2040" s="2" t="n">
        <f aca="false">IF(E2040="","",IF(ISNUMBER(SEARCH("SUBSOLO",E2040)),IFERROR(-VALUE(LEFT(E2040,FIND("º",SUBSTITUTE(E2040,"°","º"))-1)),-1),IF(LEFT(E2040,6)="TÉRREO",0,IFERROR(VALUE(LEFT(E2040,FIND("º",SUBSTITUTE(E2040,"°","º"))-1)),""))))</f>
        <v>6</v>
      </c>
      <c r="O2040" s="2" t="str">
        <f aca="false">IF(OR(F2040="",G2040=""),"",IF(G2040&lt;='RETRATO 2027'!$K$5,"CONCLUÍDA",IF(F2040&lt;='RETRATO 2027'!$K$5,"EM ANDAMENTO","A INICIAR")))</f>
        <v>A INICIAR</v>
      </c>
    </row>
    <row r="2041" customFormat="false" ht="15" hidden="false" customHeight="false" outlineLevel="0" collapsed="false">
      <c r="B2041" s="4" t="n">
        <v>30206073</v>
      </c>
      <c r="C2041" s="4" t="s">
        <v>2609</v>
      </c>
      <c r="D2041" s="4" t="s">
        <v>463</v>
      </c>
      <c r="E2041" s="4" t="s">
        <v>2847</v>
      </c>
      <c r="F2041" s="127" t="n">
        <v>47022</v>
      </c>
      <c r="G2041" s="127" t="n">
        <v>47035</v>
      </c>
      <c r="H2041" s="127" t="n">
        <v>46289</v>
      </c>
      <c r="I2041" s="4" t="n">
        <v>0</v>
      </c>
      <c r="J2041" s="4" t="n">
        <v>0</v>
      </c>
      <c r="K2041" s="4" t="n">
        <v>0</v>
      </c>
      <c r="M2041" s="2" t="str">
        <f aca="false">IF(C2041="","",IFERROR(INDEX($S$5:$S$304,MATCH(C2041,$R$5:$R$304,0))&amp;"","?"))</f>
        <v>23</v>
      </c>
      <c r="N2041" s="2" t="n">
        <f aca="false">IF(E2041="","",IF(ISNUMBER(SEARCH("SUBSOLO",E2041)),IFERROR(-VALUE(LEFT(E2041,FIND("º",SUBSTITUTE(E2041,"°","º"))-1)),-1),IF(LEFT(E2041,6)="TÉRREO",0,IFERROR(VALUE(LEFT(E2041,FIND("º",SUBSTITUTE(E2041,"°","º"))-1)),""))))</f>
        <v>6</v>
      </c>
      <c r="O2041" s="2" t="str">
        <f aca="false">IF(OR(F2041="",G2041=""),"",IF(G2041&lt;='RETRATO 2027'!$K$5,"CONCLUÍDA",IF(F2041&lt;='RETRATO 2027'!$K$5,"EM ANDAMENTO","A INICIAR")))</f>
        <v>A INICIAR</v>
      </c>
    </row>
    <row r="2042" customFormat="false" ht="15" hidden="false" customHeight="false" outlineLevel="0" collapsed="false">
      <c r="B2042" s="4" t="n">
        <v>30206029</v>
      </c>
      <c r="C2042" s="4" t="s">
        <v>2554</v>
      </c>
      <c r="D2042" s="4" t="s">
        <v>463</v>
      </c>
      <c r="E2042" s="4" t="s">
        <v>2848</v>
      </c>
      <c r="F2042" s="127" t="n">
        <v>47022</v>
      </c>
      <c r="G2042" s="127" t="n">
        <v>47035</v>
      </c>
      <c r="H2042" s="127" t="n">
        <v>46289</v>
      </c>
      <c r="I2042" s="4" t="n">
        <v>0</v>
      </c>
      <c r="J2042" s="4" t="n">
        <v>0</v>
      </c>
      <c r="K2042" s="4" t="n">
        <v>0</v>
      </c>
      <c r="M2042" s="2" t="str">
        <f aca="false">IF(C2042="","",IFERROR(INDEX($S$5:$S$304,MATCH(C2042,$R$5:$R$304,0))&amp;"","?"))</f>
        <v>35</v>
      </c>
      <c r="N2042" s="2" t="n">
        <f aca="false">IF(E2042="","",IF(ISNUMBER(SEARCH("SUBSOLO",E2042)),IFERROR(-VALUE(LEFT(E2042,FIND("º",SUBSTITUTE(E2042,"°","º"))-1)),-1),IF(LEFT(E2042,6)="TÉRREO",0,IFERROR(VALUE(LEFT(E2042,FIND("º",SUBSTITUTE(E2042,"°","º"))-1)),""))))</f>
        <v>6</v>
      </c>
      <c r="O2042" s="2" t="str">
        <f aca="false">IF(OR(F2042="",G2042=""),"",IF(G2042&lt;='RETRATO 2027'!$K$5,"CONCLUÍDA",IF(F2042&lt;='RETRATO 2027'!$K$5,"EM ANDAMENTO","A INICIAR")))</f>
        <v>A INICIAR</v>
      </c>
    </row>
    <row r="2043" customFormat="false" ht="15" hidden="false" customHeight="false" outlineLevel="0" collapsed="false">
      <c r="B2043" s="4" t="n">
        <v>30206037</v>
      </c>
      <c r="C2043" s="4" t="s">
        <v>2563</v>
      </c>
      <c r="D2043" s="4" t="s">
        <v>463</v>
      </c>
      <c r="E2043" s="4" t="s">
        <v>2848</v>
      </c>
      <c r="F2043" s="127" t="n">
        <v>47022</v>
      </c>
      <c r="G2043" s="127" t="n">
        <v>47035</v>
      </c>
      <c r="H2043" s="127" t="n">
        <v>46289</v>
      </c>
      <c r="I2043" s="4" t="n">
        <v>0</v>
      </c>
      <c r="J2043" s="4" t="n">
        <v>0</v>
      </c>
      <c r="K2043" s="4" t="n">
        <v>0</v>
      </c>
      <c r="M2043" s="2" t="str">
        <f aca="false">IF(C2043="","",IFERROR(INDEX($S$5:$S$304,MATCH(C2043,$R$5:$R$304,0))&amp;"","?"))</f>
        <v>20</v>
      </c>
      <c r="N2043" s="2" t="n">
        <f aca="false">IF(E2043="","",IF(ISNUMBER(SEARCH("SUBSOLO",E2043)),IFERROR(-VALUE(LEFT(E2043,FIND("º",SUBSTITUTE(E2043,"°","º"))-1)),-1),IF(LEFT(E2043,6)="TÉRREO",0,IFERROR(VALUE(LEFT(E2043,FIND("º",SUBSTITUTE(E2043,"°","º"))-1)),""))))</f>
        <v>6</v>
      </c>
      <c r="O2043" s="2" t="str">
        <f aca="false">IF(OR(F2043="",G2043=""),"",IF(G2043&lt;='RETRATO 2027'!$K$5,"CONCLUÍDA",IF(F2043&lt;='RETRATO 2027'!$K$5,"EM ANDAMENTO","A INICIAR")))</f>
        <v>A INICIAR</v>
      </c>
    </row>
    <row r="2044" customFormat="false" ht="15" hidden="false" customHeight="false" outlineLevel="0" collapsed="false">
      <c r="B2044" s="4" t="n">
        <v>30206018</v>
      </c>
      <c r="C2044" s="4" t="s">
        <v>2539</v>
      </c>
      <c r="D2044" s="4" t="s">
        <v>463</v>
      </c>
      <c r="E2044" s="4" t="s">
        <v>2849</v>
      </c>
      <c r="F2044" s="127" t="n">
        <v>47022</v>
      </c>
      <c r="G2044" s="127" t="n">
        <v>47035</v>
      </c>
      <c r="H2044" s="127" t="n">
        <v>46289</v>
      </c>
      <c r="I2044" s="4" t="n">
        <v>0</v>
      </c>
      <c r="J2044" s="4" t="n">
        <v>0</v>
      </c>
      <c r="K2044" s="4" t="n">
        <v>0</v>
      </c>
      <c r="M2044" s="2" t="str">
        <f aca="false">IF(C2044="","",IFERROR(INDEX($S$5:$S$304,MATCH(C2044,$R$5:$R$304,0))&amp;"","?"))</f>
        <v>35</v>
      </c>
      <c r="N2044" s="2" t="n">
        <f aca="false">IF(E2044="","",IF(ISNUMBER(SEARCH("SUBSOLO",E2044)),IFERROR(-VALUE(LEFT(E2044,FIND("º",SUBSTITUTE(E2044,"°","º"))-1)),-1),IF(LEFT(E2044,6)="TÉRREO",0,IFERROR(VALUE(LEFT(E2044,FIND("º",SUBSTITUTE(E2044,"°","º"))-1)),""))))</f>
        <v>6</v>
      </c>
      <c r="O2044" s="2" t="str">
        <f aca="false">IF(OR(F2044="",G2044=""),"",IF(G2044&lt;='RETRATO 2027'!$K$5,"CONCLUÍDA",IF(F2044&lt;='RETRATO 2027'!$K$5,"EM ANDAMENTO","A INICIAR")))</f>
        <v>A INICIAR</v>
      </c>
    </row>
    <row r="2045" customFormat="false" ht="15" hidden="false" customHeight="false" outlineLevel="0" collapsed="false">
      <c r="B2045" s="4" t="n">
        <v>33904062</v>
      </c>
      <c r="C2045" s="4" t="s">
        <v>2545</v>
      </c>
      <c r="D2045" s="4" t="s">
        <v>463</v>
      </c>
      <c r="E2045" s="4" t="s">
        <v>2850</v>
      </c>
      <c r="F2045" s="127" t="n">
        <v>47022</v>
      </c>
      <c r="G2045" s="127" t="n">
        <v>47035</v>
      </c>
      <c r="H2045" s="127" t="n">
        <v>46289</v>
      </c>
      <c r="I2045" s="4" t="n">
        <v>0</v>
      </c>
      <c r="J2045" s="4" t="n">
        <v>0</v>
      </c>
      <c r="K2045" s="4" t="n">
        <v>0</v>
      </c>
      <c r="M2045" s="2" t="str">
        <f aca="false">IF(C2045="","",IFERROR(INDEX($S$5:$S$304,MATCH(C2045,$R$5:$R$304,0))&amp;"","?"))</f>
        <v>25</v>
      </c>
      <c r="N2045" s="2" t="n">
        <f aca="false">IF(E2045="","",IF(ISNUMBER(SEARCH("SUBSOLO",E2045)),IFERROR(-VALUE(LEFT(E2045,FIND("º",SUBSTITUTE(E2045,"°","º"))-1)),-1),IF(LEFT(E2045,6)="TÉRREO",0,IFERROR(VALUE(LEFT(E2045,FIND("º",SUBSTITUTE(E2045,"°","º"))-1)),""))))</f>
        <v>6</v>
      </c>
      <c r="O2045" s="2" t="str">
        <f aca="false">IF(OR(F2045="",G2045=""),"",IF(G2045&lt;='RETRATO 2027'!$K$5,"CONCLUÍDA",IF(F2045&lt;='RETRATO 2027'!$K$5,"EM ANDAMENTO","A INICIAR")))</f>
        <v>A INICIAR</v>
      </c>
    </row>
    <row r="2046" customFormat="false" ht="15" hidden="false" customHeight="false" outlineLevel="0" collapsed="false">
      <c r="B2046" s="4" t="n">
        <v>29981058</v>
      </c>
      <c r="C2046" s="4" t="s">
        <v>2637</v>
      </c>
      <c r="D2046" s="4" t="s">
        <v>463</v>
      </c>
      <c r="E2046" s="4" t="s">
        <v>2823</v>
      </c>
      <c r="F2046" s="127" t="n">
        <v>47023</v>
      </c>
      <c r="G2046" s="127" t="n">
        <v>47029</v>
      </c>
      <c r="H2046" s="127" t="n">
        <v>46289</v>
      </c>
      <c r="I2046" s="4" t="n">
        <v>0</v>
      </c>
      <c r="J2046" s="4" t="n">
        <v>0</v>
      </c>
      <c r="K2046" s="4" t="n">
        <v>0</v>
      </c>
      <c r="M2046" s="2" t="str">
        <f aca="false">IF(C2046="","",IFERROR(INDEX($S$5:$S$304,MATCH(C2046,$R$5:$R$304,0))&amp;"","?"))</f>
        <v/>
      </c>
      <c r="N2046" s="2" t="n">
        <f aca="false">IF(E2046="","",IF(ISNUMBER(SEARCH("SUBSOLO",E2046)),IFERROR(-VALUE(LEFT(E2046,FIND("º",SUBSTITUTE(E2046,"°","º"))-1)),-1),IF(LEFT(E2046,6)="TÉRREO",0,IFERROR(VALUE(LEFT(E2046,FIND("º",SUBSTITUTE(E2046,"°","º"))-1)),""))))</f>
        <v>20</v>
      </c>
      <c r="O2046" s="2" t="str">
        <f aca="false">IF(OR(F2046="",G2046=""),"",IF(G2046&lt;='RETRATO 2027'!$K$5,"CONCLUÍDA",IF(F2046&lt;='RETRATO 2027'!$K$5,"EM ANDAMENTO","A INICIAR")))</f>
        <v>A INICIAR</v>
      </c>
    </row>
    <row r="2047" customFormat="false" ht="15" hidden="false" customHeight="false" outlineLevel="0" collapsed="false">
      <c r="B2047" s="4" t="n">
        <v>29981023</v>
      </c>
      <c r="C2047" s="4" t="s">
        <v>2629</v>
      </c>
      <c r="D2047" s="4" t="s">
        <v>463</v>
      </c>
      <c r="E2047" s="4" t="s">
        <v>2825</v>
      </c>
      <c r="F2047" s="127" t="n">
        <v>47023</v>
      </c>
      <c r="G2047" s="127" t="n">
        <v>47035</v>
      </c>
      <c r="H2047" s="127" t="n">
        <v>46289</v>
      </c>
      <c r="I2047" s="4" t="n">
        <v>0</v>
      </c>
      <c r="J2047" s="4" t="n">
        <v>0</v>
      </c>
      <c r="K2047" s="4" t="n">
        <v>0</v>
      </c>
      <c r="M2047" s="2" t="str">
        <f aca="false">IF(C2047="","",IFERROR(INDEX($S$5:$S$304,MATCH(C2047,$R$5:$R$304,0))&amp;"","?"))</f>
        <v>20</v>
      </c>
      <c r="N2047" s="2" t="n">
        <f aca="false">IF(E2047="","",IF(ISNUMBER(SEARCH("SUBSOLO",E2047)),IFERROR(-VALUE(LEFT(E2047,FIND("º",SUBSTITUTE(E2047,"°","º"))-1)),-1),IF(LEFT(E2047,6)="TÉRREO",0,IFERROR(VALUE(LEFT(E2047,FIND("º",SUBSTITUTE(E2047,"°","º"))-1)),""))))</f>
        <v>21</v>
      </c>
      <c r="O2047" s="2" t="str">
        <f aca="false">IF(OR(F2047="",G2047=""),"",IF(G2047&lt;='RETRATO 2027'!$K$5,"CONCLUÍDA",IF(F2047&lt;='RETRATO 2027'!$K$5,"EM ANDAMENTO","A INICIAR")))</f>
        <v>A INICIAR</v>
      </c>
    </row>
    <row r="2048" customFormat="false" ht="15" hidden="false" customHeight="false" outlineLevel="0" collapsed="false">
      <c r="B2048" s="4" t="n">
        <v>29980983</v>
      </c>
      <c r="C2048" s="4" t="s">
        <v>2623</v>
      </c>
      <c r="D2048" s="4" t="s">
        <v>463</v>
      </c>
      <c r="E2048" s="4" t="s">
        <v>2827</v>
      </c>
      <c r="F2048" s="127" t="n">
        <v>47023</v>
      </c>
      <c r="G2048" s="127" t="n">
        <v>47035</v>
      </c>
      <c r="H2048" s="127" t="n">
        <v>46289</v>
      </c>
      <c r="I2048" s="4" t="n">
        <v>0</v>
      </c>
      <c r="J2048" s="4" t="n">
        <v>0</v>
      </c>
      <c r="K2048" s="4" t="n">
        <v>0</v>
      </c>
      <c r="M2048" s="2" t="str">
        <f aca="false">IF(C2048="","",IFERROR(INDEX($S$5:$S$304,MATCH(C2048,$R$5:$R$304,0))&amp;"","?"))</f>
        <v>35</v>
      </c>
      <c r="N2048" s="2" t="n">
        <f aca="false">IF(E2048="","",IF(ISNUMBER(SEARCH("SUBSOLO",E2048)),IFERROR(-VALUE(LEFT(E2048,FIND("º",SUBSTITUTE(E2048,"°","º"))-1)),-1),IF(LEFT(E2048,6)="TÉRREO",0,IFERROR(VALUE(LEFT(E2048,FIND("º",SUBSTITUTE(E2048,"°","º"))-1)),""))))</f>
        <v>22</v>
      </c>
      <c r="O2048" s="2" t="str">
        <f aca="false">IF(OR(F2048="",G2048=""),"",IF(G2048&lt;='RETRATO 2027'!$K$5,"CONCLUÍDA",IF(F2048&lt;='RETRATO 2027'!$K$5,"EM ANDAMENTO","A INICIAR")))</f>
        <v>A INICIAR</v>
      </c>
    </row>
    <row r="2049" customFormat="false" ht="15" hidden="false" customHeight="false" outlineLevel="0" collapsed="false">
      <c r="B2049" s="4" t="n">
        <v>33919799</v>
      </c>
      <c r="C2049" s="4" t="s">
        <v>2625</v>
      </c>
      <c r="D2049" s="4" t="s">
        <v>463</v>
      </c>
      <c r="E2049" s="4" t="s">
        <v>2827</v>
      </c>
      <c r="F2049" s="127" t="n">
        <v>47023</v>
      </c>
      <c r="G2049" s="127" t="n">
        <v>47035</v>
      </c>
      <c r="H2049" s="127" t="n">
        <v>46289</v>
      </c>
      <c r="I2049" s="4" t="n">
        <v>0</v>
      </c>
      <c r="J2049" s="4" t="n">
        <v>0</v>
      </c>
      <c r="K2049" s="4" t="n">
        <v>0</v>
      </c>
      <c r="M2049" s="2" t="str">
        <f aca="false">IF(C2049="","",IFERROR(INDEX($S$5:$S$304,MATCH(C2049,$R$5:$R$304,0))&amp;"","?"))</f>
        <v>32</v>
      </c>
      <c r="N2049" s="2" t="n">
        <f aca="false">IF(E2049="","",IF(ISNUMBER(SEARCH("SUBSOLO",E2049)),IFERROR(-VALUE(LEFT(E2049,FIND("º",SUBSTITUTE(E2049,"°","º"))-1)),-1),IF(LEFT(E2049,6)="TÉRREO",0,IFERROR(VALUE(LEFT(E2049,FIND("º",SUBSTITUTE(E2049,"°","º"))-1)),""))))</f>
        <v>22</v>
      </c>
      <c r="O2049" s="2" t="str">
        <f aca="false">IF(OR(F2049="",G2049=""),"",IF(G2049&lt;='RETRATO 2027'!$K$5,"CONCLUÍDA",IF(F2049&lt;='RETRATO 2027'!$K$5,"EM ANDAMENTO","A INICIAR")))</f>
        <v>A INICIAR</v>
      </c>
    </row>
    <row r="2050" customFormat="false" ht="15" hidden="false" customHeight="false" outlineLevel="0" collapsed="false">
      <c r="B2050" s="4" t="n">
        <v>29980945</v>
      </c>
      <c r="C2050" s="4" t="s">
        <v>2615</v>
      </c>
      <c r="D2050" s="4" t="s">
        <v>463</v>
      </c>
      <c r="E2050" s="4" t="s">
        <v>2829</v>
      </c>
      <c r="F2050" s="127" t="n">
        <v>47023</v>
      </c>
      <c r="G2050" s="127" t="n">
        <v>47035</v>
      </c>
      <c r="H2050" s="127" t="n">
        <v>46289</v>
      </c>
      <c r="I2050" s="4" t="n">
        <v>0</v>
      </c>
      <c r="J2050" s="4" t="n">
        <v>0</v>
      </c>
      <c r="K2050" s="4" t="n">
        <v>0</v>
      </c>
      <c r="M2050" s="2" t="str">
        <f aca="false">IF(C2050="","",IFERROR(INDEX($S$5:$S$304,MATCH(C2050,$R$5:$R$304,0))&amp;"","?"))</f>
        <v>37</v>
      </c>
      <c r="N2050" s="2" t="n">
        <f aca="false">IF(E2050="","",IF(ISNUMBER(SEARCH("SUBSOLO",E2050)),IFERROR(-VALUE(LEFT(E2050,FIND("º",SUBSTITUTE(E2050,"°","º"))-1)),-1),IF(LEFT(E2050,6)="TÉRREO",0,IFERROR(VALUE(LEFT(E2050,FIND("º",SUBSTITUTE(E2050,"°","º"))-1)),""))))</f>
        <v>23</v>
      </c>
      <c r="O2050" s="2" t="str">
        <f aca="false">IF(OR(F2050="",G2050=""),"",IF(G2050&lt;='RETRATO 2027'!$K$5,"CONCLUÍDA",IF(F2050&lt;='RETRATO 2027'!$K$5,"EM ANDAMENTO","A INICIAR")))</f>
        <v>A INICIAR</v>
      </c>
    </row>
    <row r="2051" customFormat="false" ht="15" hidden="false" customHeight="false" outlineLevel="0" collapsed="false">
      <c r="B2051" s="4" t="n">
        <v>29980902</v>
      </c>
      <c r="C2051" s="4" t="s">
        <v>2605</v>
      </c>
      <c r="D2051" s="4" t="s">
        <v>463</v>
      </c>
      <c r="E2051" s="4" t="s">
        <v>2831</v>
      </c>
      <c r="F2051" s="127" t="n">
        <v>47023</v>
      </c>
      <c r="G2051" s="127" t="n">
        <v>47035</v>
      </c>
      <c r="H2051" s="127" t="n">
        <v>46289</v>
      </c>
      <c r="I2051" s="4" t="n">
        <v>0</v>
      </c>
      <c r="J2051" s="4" t="n">
        <v>0</v>
      </c>
      <c r="K2051" s="4" t="n">
        <v>0</v>
      </c>
      <c r="M2051" s="2" t="str">
        <f aca="false">IF(C2051="","",IFERROR(INDEX($S$5:$S$304,MATCH(C2051,$R$5:$R$304,0))&amp;"","?"))</f>
        <v>34</v>
      </c>
      <c r="N2051" s="2" t="n">
        <f aca="false">IF(E2051="","",IF(ISNUMBER(SEARCH("SUBSOLO",E2051)),IFERROR(-VALUE(LEFT(E2051,FIND("º",SUBSTITUTE(E2051,"°","º"))-1)),-1),IF(LEFT(E2051,6)="TÉRREO",0,IFERROR(VALUE(LEFT(E2051,FIND("º",SUBSTITUTE(E2051,"°","º"))-1)),""))))</f>
        <v>24</v>
      </c>
      <c r="O2051" s="2" t="str">
        <f aca="false">IF(OR(F2051="",G2051=""),"",IF(G2051&lt;='RETRATO 2027'!$K$5,"CONCLUÍDA",IF(F2051&lt;='RETRATO 2027'!$K$5,"EM ANDAMENTO","A INICIAR")))</f>
        <v>A INICIAR</v>
      </c>
    </row>
    <row r="2052" customFormat="false" ht="15" hidden="false" customHeight="false" outlineLevel="0" collapsed="false">
      <c r="B2052" s="4" t="n">
        <v>29980907</v>
      </c>
      <c r="C2052" s="4" t="s">
        <v>2607</v>
      </c>
      <c r="D2052" s="4" t="s">
        <v>463</v>
      </c>
      <c r="E2052" s="4" t="s">
        <v>2831</v>
      </c>
      <c r="F2052" s="127" t="n">
        <v>47023</v>
      </c>
      <c r="G2052" s="127" t="n">
        <v>47035</v>
      </c>
      <c r="H2052" s="127" t="n">
        <v>46289</v>
      </c>
      <c r="I2052" s="4" t="n">
        <v>0</v>
      </c>
      <c r="J2052" s="4" t="n">
        <v>0</v>
      </c>
      <c r="K2052" s="4" t="n">
        <v>0</v>
      </c>
      <c r="M2052" s="2" t="str">
        <f aca="false">IF(C2052="","",IFERROR(INDEX($S$5:$S$304,MATCH(C2052,$R$5:$R$304,0))&amp;"","?"))</f>
        <v>34</v>
      </c>
      <c r="N2052" s="2" t="n">
        <f aca="false">IF(E2052="","",IF(ISNUMBER(SEARCH("SUBSOLO",E2052)),IFERROR(-VALUE(LEFT(E2052,FIND("º",SUBSTITUTE(E2052,"°","º"))-1)),-1),IF(LEFT(E2052,6)="TÉRREO",0,IFERROR(VALUE(LEFT(E2052,FIND("º",SUBSTITUTE(E2052,"°","º"))-1)),""))))</f>
        <v>24</v>
      </c>
      <c r="O2052" s="2" t="str">
        <f aca="false">IF(OR(F2052="",G2052=""),"",IF(G2052&lt;='RETRATO 2027'!$K$5,"CONCLUÍDA",IF(F2052&lt;='RETRATO 2027'!$K$5,"EM ANDAMENTO","A INICIAR")))</f>
        <v>A INICIAR</v>
      </c>
    </row>
    <row r="2053" customFormat="false" ht="15" hidden="false" customHeight="false" outlineLevel="0" collapsed="false">
      <c r="B2053" s="4" t="n">
        <v>29980906</v>
      </c>
      <c r="C2053" s="4" t="s">
        <v>2563</v>
      </c>
      <c r="D2053" s="4" t="s">
        <v>463</v>
      </c>
      <c r="E2053" s="4" t="s">
        <v>2831</v>
      </c>
      <c r="F2053" s="127" t="n">
        <v>47023</v>
      </c>
      <c r="G2053" s="127" t="n">
        <v>47035</v>
      </c>
      <c r="H2053" s="127" t="n">
        <v>46289</v>
      </c>
      <c r="I2053" s="4" t="n">
        <v>0</v>
      </c>
      <c r="J2053" s="4" t="n">
        <v>0</v>
      </c>
      <c r="K2053" s="4" t="n">
        <v>0</v>
      </c>
      <c r="M2053" s="2" t="str">
        <f aca="false">IF(C2053="","",IFERROR(INDEX($S$5:$S$304,MATCH(C2053,$R$5:$R$304,0))&amp;"","?"))</f>
        <v>20</v>
      </c>
      <c r="N2053" s="2" t="n">
        <f aca="false">IF(E2053="","",IF(ISNUMBER(SEARCH("SUBSOLO",E2053)),IFERROR(-VALUE(LEFT(E2053,FIND("º",SUBSTITUTE(E2053,"°","º"))-1)),-1),IF(LEFT(E2053,6)="TÉRREO",0,IFERROR(VALUE(LEFT(E2053,FIND("º",SUBSTITUTE(E2053,"°","º"))-1)),""))))</f>
        <v>24</v>
      </c>
      <c r="O2053" s="2" t="str">
        <f aca="false">IF(OR(F2053="",G2053=""),"",IF(G2053&lt;='RETRATO 2027'!$K$5,"CONCLUÍDA",IF(F2053&lt;='RETRATO 2027'!$K$5,"EM ANDAMENTO","A INICIAR")))</f>
        <v>A INICIAR</v>
      </c>
    </row>
    <row r="2054" customFormat="false" ht="15" hidden="false" customHeight="false" outlineLevel="0" collapsed="false">
      <c r="B2054" s="4" t="n">
        <v>29980905</v>
      </c>
      <c r="C2054" s="4" t="s">
        <v>2609</v>
      </c>
      <c r="D2054" s="4" t="s">
        <v>463</v>
      </c>
      <c r="E2054" s="4" t="s">
        <v>2831</v>
      </c>
      <c r="F2054" s="127" t="n">
        <v>47023</v>
      </c>
      <c r="G2054" s="127" t="n">
        <v>47035</v>
      </c>
      <c r="H2054" s="127" t="n">
        <v>46289</v>
      </c>
      <c r="I2054" s="4" t="n">
        <v>0</v>
      </c>
      <c r="J2054" s="4" t="n">
        <v>0</v>
      </c>
      <c r="K2054" s="4" t="n">
        <v>0</v>
      </c>
      <c r="M2054" s="2" t="str">
        <f aca="false">IF(C2054="","",IFERROR(INDEX($S$5:$S$304,MATCH(C2054,$R$5:$R$304,0))&amp;"","?"))</f>
        <v>23</v>
      </c>
      <c r="N2054" s="2" t="n">
        <f aca="false">IF(E2054="","",IF(ISNUMBER(SEARCH("SUBSOLO",E2054)),IFERROR(-VALUE(LEFT(E2054,FIND("º",SUBSTITUTE(E2054,"°","º"))-1)),-1),IF(LEFT(E2054,6)="TÉRREO",0,IFERROR(VALUE(LEFT(E2054,FIND("º",SUBSTITUTE(E2054,"°","º"))-1)),""))))</f>
        <v>24</v>
      </c>
      <c r="O2054" s="2" t="str">
        <f aca="false">IF(OR(F2054="",G2054=""),"",IF(G2054&lt;='RETRATO 2027'!$K$5,"CONCLUÍDA",IF(F2054&lt;='RETRATO 2027'!$K$5,"EM ANDAMENTO","A INICIAR")))</f>
        <v>A INICIAR</v>
      </c>
    </row>
    <row r="2055" customFormat="false" ht="15" hidden="false" customHeight="false" outlineLevel="0" collapsed="false">
      <c r="B2055" s="4" t="n">
        <v>29980864</v>
      </c>
      <c r="C2055" s="4" t="s">
        <v>2599</v>
      </c>
      <c r="D2055" s="4" t="s">
        <v>463</v>
      </c>
      <c r="E2055" s="4" t="s">
        <v>2833</v>
      </c>
      <c r="F2055" s="127" t="n">
        <v>47023</v>
      </c>
      <c r="G2055" s="127" t="n">
        <v>47035</v>
      </c>
      <c r="H2055" s="127" t="n">
        <v>46289</v>
      </c>
      <c r="I2055" s="4" t="n">
        <v>0</v>
      </c>
      <c r="J2055" s="4" t="n">
        <v>0</v>
      </c>
      <c r="K2055" s="4" t="n">
        <v>0</v>
      </c>
      <c r="M2055" s="2" t="str">
        <f aca="false">IF(C2055="","",IFERROR(INDEX($S$5:$S$304,MATCH(C2055,$R$5:$R$304,0))&amp;"","?"))</f>
        <v>30</v>
      </c>
      <c r="N2055" s="2" t="n">
        <f aca="false">IF(E2055="","",IF(ISNUMBER(SEARCH("SUBSOLO",E2055)),IFERROR(-VALUE(LEFT(E2055,FIND("º",SUBSTITUTE(E2055,"°","º"))-1)),-1),IF(LEFT(E2055,6)="TÉRREO",0,IFERROR(VALUE(LEFT(E2055,FIND("º",SUBSTITUTE(E2055,"°","º"))-1)),""))))</f>
        <v>25</v>
      </c>
      <c r="O2055" s="2" t="str">
        <f aca="false">IF(OR(F2055="",G2055=""),"",IF(G2055&lt;='RETRATO 2027'!$K$5,"CONCLUÍDA",IF(F2055&lt;='RETRATO 2027'!$K$5,"EM ANDAMENTO","A INICIAR")))</f>
        <v>A INICIAR</v>
      </c>
    </row>
    <row r="2056" customFormat="false" ht="15" hidden="false" customHeight="false" outlineLevel="0" collapsed="false">
      <c r="B2056" s="4" t="n">
        <v>29980826</v>
      </c>
      <c r="C2056" s="4" t="s">
        <v>2578</v>
      </c>
      <c r="D2056" s="4" t="s">
        <v>463</v>
      </c>
      <c r="E2056" s="4" t="s">
        <v>2834</v>
      </c>
      <c r="F2056" s="127" t="n">
        <v>47023</v>
      </c>
      <c r="G2056" s="127" t="n">
        <v>47035</v>
      </c>
      <c r="H2056" s="127" t="n">
        <v>46289</v>
      </c>
      <c r="I2056" s="4" t="n">
        <v>0</v>
      </c>
      <c r="J2056" s="4" t="n">
        <v>0</v>
      </c>
      <c r="K2056" s="4" t="n">
        <v>0</v>
      </c>
      <c r="M2056" s="2" t="str">
        <f aca="false">IF(C2056="","",IFERROR(INDEX($S$5:$S$304,MATCH(C2056,$R$5:$R$304,0))&amp;"","?"))</f>
        <v>25</v>
      </c>
      <c r="N2056" s="2" t="n">
        <f aca="false">IF(E2056="","",IF(ISNUMBER(SEARCH("SUBSOLO",E2056)),IFERROR(-VALUE(LEFT(E2056,FIND("º",SUBSTITUTE(E2056,"°","º"))-1)),-1),IF(LEFT(E2056,6)="TÉRREO",0,IFERROR(VALUE(LEFT(E2056,FIND("º",SUBSTITUTE(E2056,"°","º"))-1)),""))))</f>
        <v>26</v>
      </c>
      <c r="O2056" s="2" t="str">
        <f aca="false">IF(OR(F2056="",G2056=""),"",IF(G2056&lt;='RETRATO 2027'!$K$5,"CONCLUÍDA",IF(F2056&lt;='RETRATO 2027'!$K$5,"EM ANDAMENTO","A INICIAR")))</f>
        <v>A INICIAR</v>
      </c>
    </row>
    <row r="2057" customFormat="false" ht="15" hidden="false" customHeight="false" outlineLevel="0" collapsed="false">
      <c r="B2057" s="4" t="n">
        <v>29980788</v>
      </c>
      <c r="C2057" s="4" t="s">
        <v>2569</v>
      </c>
      <c r="D2057" s="4" t="s">
        <v>463</v>
      </c>
      <c r="E2057" s="4" t="s">
        <v>2838</v>
      </c>
      <c r="F2057" s="127" t="n">
        <v>47023</v>
      </c>
      <c r="G2057" s="127" t="n">
        <v>47035</v>
      </c>
      <c r="H2057" s="127" t="n">
        <v>46289</v>
      </c>
      <c r="I2057" s="4" t="n">
        <v>0</v>
      </c>
      <c r="J2057" s="4" t="n">
        <v>0</v>
      </c>
      <c r="K2057" s="4" t="n">
        <v>0</v>
      </c>
      <c r="M2057" s="2" t="str">
        <f aca="false">IF(C2057="","",IFERROR(INDEX($S$5:$S$304,MATCH(C2057,$R$5:$R$304,0))&amp;"","?"))</f>
        <v>30</v>
      </c>
      <c r="N2057" s="2" t="n">
        <f aca="false">IF(E2057="","",IF(ISNUMBER(SEARCH("SUBSOLO",E2057)),IFERROR(-VALUE(LEFT(E2057,FIND("º",SUBSTITUTE(E2057,"°","º"))-1)),-1),IF(LEFT(E2057,6)="TÉRREO",0,IFERROR(VALUE(LEFT(E2057,FIND("º",SUBSTITUTE(E2057,"°","º"))-1)),""))))</f>
        <v>27</v>
      </c>
      <c r="O2057" s="2" t="str">
        <f aca="false">IF(OR(F2057="",G2057=""),"",IF(G2057&lt;='RETRATO 2027'!$K$5,"CONCLUÍDA",IF(F2057&lt;='RETRATO 2027'!$K$5,"EM ANDAMENTO","A INICIAR")))</f>
        <v>A INICIAR</v>
      </c>
    </row>
    <row r="2058" customFormat="false" ht="15" hidden="false" customHeight="false" outlineLevel="0" collapsed="false">
      <c r="B2058" s="4" t="n">
        <v>29980750</v>
      </c>
      <c r="C2058" s="4" t="s">
        <v>2554</v>
      </c>
      <c r="D2058" s="4" t="s">
        <v>463</v>
      </c>
      <c r="E2058" s="4" t="s">
        <v>2840</v>
      </c>
      <c r="F2058" s="127" t="n">
        <v>47023</v>
      </c>
      <c r="G2058" s="127" t="n">
        <v>47035</v>
      </c>
      <c r="H2058" s="127" t="n">
        <v>46289</v>
      </c>
      <c r="I2058" s="4" t="n">
        <v>0</v>
      </c>
      <c r="J2058" s="4" t="n">
        <v>0</v>
      </c>
      <c r="K2058" s="4" t="n">
        <v>0</v>
      </c>
      <c r="M2058" s="2" t="str">
        <f aca="false">IF(C2058="","",IFERROR(INDEX($S$5:$S$304,MATCH(C2058,$R$5:$R$304,0))&amp;"","?"))</f>
        <v>35</v>
      </c>
      <c r="N2058" s="2" t="n">
        <f aca="false">IF(E2058="","",IF(ISNUMBER(SEARCH("SUBSOLO",E2058)),IFERROR(-VALUE(LEFT(E2058,FIND("º",SUBSTITUTE(E2058,"°","º"))-1)),-1),IF(LEFT(E2058,6)="TÉRREO",0,IFERROR(VALUE(LEFT(E2058,FIND("º",SUBSTITUTE(E2058,"°","º"))-1)),""))))</f>
        <v>28</v>
      </c>
      <c r="O2058" s="2" t="str">
        <f aca="false">IF(OR(F2058="",G2058=""),"",IF(G2058&lt;='RETRATO 2027'!$K$5,"CONCLUÍDA",IF(F2058&lt;='RETRATO 2027'!$K$5,"EM ANDAMENTO","A INICIAR")))</f>
        <v>A INICIAR</v>
      </c>
    </row>
    <row r="2059" customFormat="false" ht="15" hidden="false" customHeight="false" outlineLevel="0" collapsed="false">
      <c r="B2059" s="4" t="n">
        <v>29980739</v>
      </c>
      <c r="C2059" s="4" t="s">
        <v>2539</v>
      </c>
      <c r="D2059" s="4" t="s">
        <v>463</v>
      </c>
      <c r="E2059" s="4" t="s">
        <v>2841</v>
      </c>
      <c r="F2059" s="127" t="n">
        <v>47023</v>
      </c>
      <c r="G2059" s="127" t="n">
        <v>47035</v>
      </c>
      <c r="H2059" s="127" t="n">
        <v>46289</v>
      </c>
      <c r="I2059" s="4" t="n">
        <v>0</v>
      </c>
      <c r="J2059" s="4" t="n">
        <v>0</v>
      </c>
      <c r="K2059" s="4" t="n">
        <v>0</v>
      </c>
      <c r="M2059" s="2" t="str">
        <f aca="false">IF(C2059="","",IFERROR(INDEX($S$5:$S$304,MATCH(C2059,$R$5:$R$304,0))&amp;"","?"))</f>
        <v>35</v>
      </c>
      <c r="N2059" s="2" t="n">
        <f aca="false">IF(E2059="","",IF(ISNUMBER(SEARCH("SUBSOLO",E2059)),IFERROR(-VALUE(LEFT(E2059,FIND("º",SUBSTITUTE(E2059,"°","º"))-1)),-1),IF(LEFT(E2059,6)="TÉRREO",0,IFERROR(VALUE(LEFT(E2059,FIND("º",SUBSTITUTE(E2059,"°","º"))-1)),""))))</f>
        <v>29</v>
      </c>
      <c r="O2059" s="2" t="str">
        <f aca="false">IF(OR(F2059="",G2059=""),"",IF(G2059&lt;='RETRATO 2027'!$K$5,"CONCLUÍDA",IF(F2059&lt;='RETRATO 2027'!$K$5,"EM ANDAMENTO","A INICIAR")))</f>
        <v>A INICIAR</v>
      </c>
    </row>
    <row r="2060" customFormat="false" ht="15" hidden="false" customHeight="false" outlineLevel="0" collapsed="false">
      <c r="B2060" s="4" t="n">
        <v>33898114</v>
      </c>
      <c r="C2060" s="4" t="s">
        <v>2545</v>
      </c>
      <c r="D2060" s="4" t="s">
        <v>463</v>
      </c>
      <c r="E2060" s="4" t="s">
        <v>2842</v>
      </c>
      <c r="F2060" s="127" t="n">
        <v>47023</v>
      </c>
      <c r="G2060" s="127" t="n">
        <v>47035</v>
      </c>
      <c r="H2060" s="127" t="n">
        <v>46289</v>
      </c>
      <c r="I2060" s="4" t="n">
        <v>0</v>
      </c>
      <c r="J2060" s="4" t="n">
        <v>0</v>
      </c>
      <c r="K2060" s="4" t="n">
        <v>0</v>
      </c>
      <c r="M2060" s="2" t="str">
        <f aca="false">IF(C2060="","",IFERROR(INDEX($S$5:$S$304,MATCH(C2060,$R$5:$R$304,0))&amp;"","?"))</f>
        <v>25</v>
      </c>
      <c r="N2060" s="2" t="n">
        <f aca="false">IF(E2060="","",IF(ISNUMBER(SEARCH("SUBSOLO",E2060)),IFERROR(-VALUE(LEFT(E2060,FIND("º",SUBSTITUTE(E2060,"°","º"))-1)),-1),IF(LEFT(E2060,6)="TÉRREO",0,IFERROR(VALUE(LEFT(E2060,FIND("º",SUBSTITUTE(E2060,"°","º"))-1)),""))))</f>
        <v>30</v>
      </c>
      <c r="O2060" s="2" t="str">
        <f aca="false">IF(OR(F2060="",G2060=""),"",IF(G2060&lt;='RETRATO 2027'!$K$5,"CONCLUÍDA",IF(F2060&lt;='RETRATO 2027'!$K$5,"EM ANDAMENTO","A INICIAR")))</f>
        <v>A INICIAR</v>
      </c>
    </row>
    <row r="2061" customFormat="false" ht="15" hidden="false" customHeight="false" outlineLevel="0" collapsed="false">
      <c r="B2061" s="4" t="n">
        <v>30171529</v>
      </c>
      <c r="C2061" s="4" t="s">
        <v>2554</v>
      </c>
      <c r="D2061" s="4" t="s">
        <v>463</v>
      </c>
      <c r="E2061" s="4" t="s">
        <v>2857</v>
      </c>
      <c r="F2061" s="127" t="n">
        <v>47025</v>
      </c>
      <c r="G2061" s="127" t="n">
        <v>47057</v>
      </c>
      <c r="H2061" s="127" t="n">
        <v>46289</v>
      </c>
      <c r="I2061" s="4" t="n">
        <v>0</v>
      </c>
      <c r="J2061" s="4" t="n">
        <v>0</v>
      </c>
      <c r="K2061" s="4" t="n">
        <v>0</v>
      </c>
      <c r="M2061" s="2" t="str">
        <f aca="false">IF(C2061="","",IFERROR(INDEX($S$5:$S$304,MATCH(C2061,$R$5:$R$304,0))&amp;"","?"))</f>
        <v>35</v>
      </c>
      <c r="N2061" s="2" t="str">
        <f aca="false"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 t="str">
        <f aca="false">IF(OR(F2061="",G2061=""),"",IF(G2061&lt;='RETRATO 2027'!$K$5,"CONCLUÍDA",IF(F2061&lt;='RETRATO 2027'!$K$5,"EM ANDAMENTO","A INICIAR")))</f>
        <v>A INICIAR</v>
      </c>
    </row>
    <row r="2062" customFormat="false" ht="15" hidden="false" customHeight="false" outlineLevel="0" collapsed="false">
      <c r="B2062" s="4" t="n">
        <v>29981089</v>
      </c>
      <c r="C2062" s="4" t="s">
        <v>2501</v>
      </c>
      <c r="D2062" s="4" t="s">
        <v>463</v>
      </c>
      <c r="E2062" s="4" t="s">
        <v>2822</v>
      </c>
      <c r="F2062" s="127" t="n">
        <v>47025</v>
      </c>
      <c r="G2062" s="127" t="n">
        <v>47037</v>
      </c>
      <c r="H2062" s="127" t="n">
        <v>46289</v>
      </c>
      <c r="I2062" s="4" t="n">
        <v>0</v>
      </c>
      <c r="J2062" s="4" t="n">
        <v>0</v>
      </c>
      <c r="K2062" s="4" t="n">
        <v>0</v>
      </c>
      <c r="M2062" s="2" t="str">
        <f aca="false">IF(C2062="","",IFERROR(INDEX($S$5:$S$304,MATCH(C2062,$R$5:$R$304,0))&amp;"","?"))</f>
        <v>30</v>
      </c>
      <c r="N2062" s="2" t="n">
        <f aca="false">IF(E2062="","",IF(ISNUMBER(SEARCH("SUBSOLO",E2062)),IFERROR(-VALUE(LEFT(E2062,FIND("º",SUBSTITUTE(E2062,"°","º"))-1)),-1),IF(LEFT(E2062,6)="TÉRREO",0,IFERROR(VALUE(LEFT(E2062,FIND("º",SUBSTITUTE(E2062,"°","º"))-1)),""))))</f>
        <v>19</v>
      </c>
      <c r="O2062" s="2" t="str">
        <f aca="false">IF(OR(F2062="",G2062=""),"",IF(G2062&lt;='RETRATO 2027'!$K$5,"CONCLUÍDA",IF(F2062&lt;='RETRATO 2027'!$K$5,"EM ANDAMENTO","A INICIAR")))</f>
        <v>A INICIAR</v>
      </c>
    </row>
    <row r="2063" customFormat="false" ht="15" hidden="false" customHeight="false" outlineLevel="0" collapsed="false">
      <c r="B2063" s="4" t="n">
        <v>30205828</v>
      </c>
      <c r="C2063" s="4" t="s">
        <v>2637</v>
      </c>
      <c r="D2063" s="4" t="s">
        <v>463</v>
      </c>
      <c r="E2063" s="4" t="s">
        <v>2839</v>
      </c>
      <c r="F2063" s="127" t="n">
        <v>47028</v>
      </c>
      <c r="G2063" s="127" t="n">
        <v>47032</v>
      </c>
      <c r="H2063" s="127" t="n">
        <v>46289</v>
      </c>
      <c r="I2063" s="4" t="n">
        <v>0</v>
      </c>
      <c r="J2063" s="4" t="n">
        <v>0</v>
      </c>
      <c r="K2063" s="4" t="n">
        <v>0</v>
      </c>
      <c r="M2063" s="2" t="str">
        <f aca="false">IF(C2063="","",IFERROR(INDEX($S$5:$S$304,MATCH(C2063,$R$5:$R$304,0))&amp;"","?"))</f>
        <v/>
      </c>
      <c r="N2063" s="2" t="n">
        <f aca="false">IF(E2063="","",IF(ISNUMBER(SEARCH("SUBSOLO",E2063)),IFERROR(-VALUE(LEFT(E2063,FIND("º",SUBSTITUTE(E2063,"°","º"))-1)),-1),IF(LEFT(E2063,6)="TÉRREO",0,IFERROR(VALUE(LEFT(E2063,FIND("º",SUBSTITUTE(E2063,"°","º"))-1)),""))))</f>
        <v>0</v>
      </c>
      <c r="O2063" s="2" t="str">
        <f aca="false">IF(OR(F2063="",G2063=""),"",IF(G2063&lt;='RETRATO 2027'!$K$5,"CONCLUÍDA",IF(F2063&lt;='RETRATO 2027'!$K$5,"EM ANDAMENTO","A INICIAR")))</f>
        <v>A INICIAR</v>
      </c>
    </row>
    <row r="2064" customFormat="false" ht="15" hidden="false" customHeight="false" outlineLevel="0" collapsed="false">
      <c r="B2064" s="4" t="n">
        <v>30205758</v>
      </c>
      <c r="C2064" s="4" t="s">
        <v>228</v>
      </c>
      <c r="D2064" s="4" t="s">
        <v>463</v>
      </c>
      <c r="E2064" s="4" t="s">
        <v>2837</v>
      </c>
      <c r="F2064" s="127" t="n">
        <v>47028</v>
      </c>
      <c r="G2064" s="127" t="n">
        <v>47093</v>
      </c>
      <c r="H2064" s="127" t="n">
        <v>46289</v>
      </c>
      <c r="I2064" s="4" t="n">
        <v>0</v>
      </c>
      <c r="J2064" s="4" t="n">
        <v>0</v>
      </c>
      <c r="K2064" s="4" t="n">
        <v>0</v>
      </c>
      <c r="M2064" s="2" t="str">
        <f aca="false">IF(C2064="","",IFERROR(INDEX($S$5:$S$304,MATCH(C2064,$R$5:$R$304,0))&amp;"","?"))</f>
        <v>36</v>
      </c>
      <c r="N2064" s="2" t="n">
        <f aca="false">IF(E2064="","",IF(ISNUMBER(SEARCH("SUBSOLO",E2064)),IFERROR(-VALUE(LEFT(E2064,FIND("º",SUBSTITUTE(E2064,"°","º"))-1)),-1),IF(LEFT(E2064,6)="TÉRREO",0,IFERROR(VALUE(LEFT(E2064,FIND("º",SUBSTITUTE(E2064,"°","º"))-1)),""))))</f>
        <v>0</v>
      </c>
      <c r="O2064" s="2" t="str">
        <f aca="false">IF(OR(F2064="",G2064=""),"",IF(G2064&lt;='RETRATO 2027'!$K$5,"CONCLUÍDA",IF(F2064&lt;='RETRATO 2027'!$K$5,"EM ANDAMENTO","A INICIAR")))</f>
        <v>A INICIAR</v>
      </c>
    </row>
    <row r="2065" customFormat="false" ht="15" hidden="false" customHeight="false" outlineLevel="0" collapsed="false">
      <c r="B2065" s="4" t="n">
        <v>30206116</v>
      </c>
      <c r="C2065" s="4" t="s">
        <v>2641</v>
      </c>
      <c r="D2065" s="4" t="s">
        <v>463</v>
      </c>
      <c r="E2065" s="4" t="s">
        <v>2846</v>
      </c>
      <c r="F2065" s="127" t="n">
        <v>47028</v>
      </c>
      <c r="G2065" s="127" t="n">
        <v>47042</v>
      </c>
      <c r="H2065" s="127" t="n">
        <v>46289</v>
      </c>
      <c r="I2065" s="4" t="n">
        <v>0</v>
      </c>
      <c r="J2065" s="4" t="n">
        <v>0</v>
      </c>
      <c r="K2065" s="4" t="n">
        <v>0</v>
      </c>
      <c r="M2065" s="2" t="str">
        <f aca="false">IF(C2065="","",IFERROR(INDEX($S$5:$S$304,MATCH(C2065,$R$5:$R$304,0))&amp;"","?"))</f>
        <v>35</v>
      </c>
      <c r="N2065" s="2" t="n">
        <f aca="false">IF(E2065="","",IF(ISNUMBER(SEARCH("SUBSOLO",E2065)),IFERROR(-VALUE(LEFT(E2065,FIND("º",SUBSTITUTE(E2065,"°","º"))-1)),-1),IF(LEFT(E2065,6)="TÉRREO",0,IFERROR(VALUE(LEFT(E2065,FIND("º",SUBSTITUTE(E2065,"°","º"))-1)),""))))</f>
        <v>6</v>
      </c>
      <c r="O2065" s="2" t="str">
        <f aca="false">IF(OR(F2065="",G2065=""),"",IF(G2065&lt;='RETRATO 2027'!$K$5,"CONCLUÍDA",IF(F2065&lt;='RETRATO 2027'!$K$5,"EM ANDAMENTO","A INICIAR")))</f>
        <v>A INICIAR</v>
      </c>
    </row>
    <row r="2066" customFormat="false" ht="15" hidden="false" customHeight="false" outlineLevel="0" collapsed="false">
      <c r="B2066" s="4" t="n">
        <v>29981143</v>
      </c>
      <c r="C2066" s="4" t="s">
        <v>2649</v>
      </c>
      <c r="D2066" s="4" t="s">
        <v>463</v>
      </c>
      <c r="E2066" s="4" t="s">
        <v>2820</v>
      </c>
      <c r="F2066" s="127" t="n">
        <v>47030</v>
      </c>
      <c r="G2066" s="127" t="n">
        <v>47043</v>
      </c>
      <c r="H2066" s="127" t="n">
        <v>46289</v>
      </c>
      <c r="I2066" s="4" t="n">
        <v>0</v>
      </c>
      <c r="J2066" s="4" t="n">
        <v>0</v>
      </c>
      <c r="K2066" s="4" t="n">
        <v>0</v>
      </c>
      <c r="M2066" s="2" t="str">
        <f aca="false">IF(C2066="","",IFERROR(INDEX($S$5:$S$304,MATCH(C2066,$R$5:$R$304,0))&amp;"","?"))</f>
        <v>37</v>
      </c>
      <c r="N2066" s="2" t="n">
        <f aca="false">IF(E2066="","",IF(ISNUMBER(SEARCH("SUBSOLO",E2066)),IFERROR(-VALUE(LEFT(E2066,FIND("º",SUBSTITUTE(E2066,"°","º"))-1)),-1),IF(LEFT(E2066,6)="TÉRREO",0,IFERROR(VALUE(LEFT(E2066,FIND("º",SUBSTITUTE(E2066,"°","º"))-1)),""))))</f>
        <v>18</v>
      </c>
      <c r="O2066" s="2" t="str">
        <f aca="false">IF(OR(F2066="",G2066=""),"",IF(G2066&lt;='RETRATO 2027'!$K$5,"CONCLUÍDA",IF(F2066&lt;='RETRATO 2027'!$K$5,"EM ANDAMENTO","A INICIAR")))</f>
        <v>A INICIAR</v>
      </c>
    </row>
    <row r="2067" customFormat="false" ht="15" hidden="false" customHeight="false" outlineLevel="0" collapsed="false">
      <c r="B2067" s="4" t="n">
        <v>29981059</v>
      </c>
      <c r="C2067" s="4" t="s">
        <v>2641</v>
      </c>
      <c r="D2067" s="4" t="s">
        <v>463</v>
      </c>
      <c r="E2067" s="4" t="s">
        <v>2823</v>
      </c>
      <c r="F2067" s="127" t="n">
        <v>47030</v>
      </c>
      <c r="G2067" s="127" t="n">
        <v>47043</v>
      </c>
      <c r="H2067" s="127" t="n">
        <v>46289</v>
      </c>
      <c r="I2067" s="4" t="n">
        <v>0</v>
      </c>
      <c r="J2067" s="4" t="n">
        <v>0</v>
      </c>
      <c r="K2067" s="4" t="n">
        <v>0</v>
      </c>
      <c r="M2067" s="2" t="str">
        <f aca="false">IF(C2067="","",IFERROR(INDEX($S$5:$S$304,MATCH(C2067,$R$5:$R$304,0))&amp;"","?"))</f>
        <v>35</v>
      </c>
      <c r="N2067" s="2" t="n">
        <f aca="false">IF(E2067="","",IF(ISNUMBER(SEARCH("SUBSOLO",E2067)),IFERROR(-VALUE(LEFT(E2067,FIND("º",SUBSTITUTE(E2067,"°","º"))-1)),-1),IF(LEFT(E2067,6)="TÉRREO",0,IFERROR(VALUE(LEFT(E2067,FIND("º",SUBSTITUTE(E2067,"°","º"))-1)),""))))</f>
        <v>20</v>
      </c>
      <c r="O2067" s="2" t="str">
        <f aca="false">IF(OR(F2067="",G2067=""),"",IF(G2067&lt;='RETRATO 2027'!$K$5,"CONCLUÍDA",IF(F2067&lt;='RETRATO 2027'!$K$5,"EM ANDAMENTO","A INICIAR")))</f>
        <v>A INICIAR</v>
      </c>
    </row>
    <row r="2068" customFormat="false" ht="15" hidden="false" customHeight="false" outlineLevel="0" collapsed="false">
      <c r="B2068" s="4" t="n">
        <v>30205855</v>
      </c>
      <c r="C2068" s="4" t="s">
        <v>2649</v>
      </c>
      <c r="D2068" s="4" t="s">
        <v>463</v>
      </c>
      <c r="E2068" s="4" t="s">
        <v>2782</v>
      </c>
      <c r="F2068" s="127" t="n">
        <v>47035</v>
      </c>
      <c r="G2068" s="127" t="n">
        <v>47049</v>
      </c>
      <c r="H2068" s="127" t="n">
        <v>46289</v>
      </c>
      <c r="I2068" s="4" t="n">
        <v>0</v>
      </c>
      <c r="J2068" s="4" t="n">
        <v>0</v>
      </c>
      <c r="K2068" s="4" t="n">
        <v>0</v>
      </c>
      <c r="M2068" s="2" t="str">
        <f aca="false">IF(C2068="","",IFERROR(INDEX($S$5:$S$304,MATCH(C2068,$R$5:$R$304,0))&amp;"","?"))</f>
        <v>37</v>
      </c>
      <c r="N2068" s="2" t="n">
        <f aca="false">IF(E2068="","",IF(ISNUMBER(SEARCH("SUBSOLO",E2068)),IFERROR(-VALUE(LEFT(E2068,FIND("º",SUBSTITUTE(E2068,"°","º"))-1)),-1),IF(LEFT(E2068,6)="TÉRREO",0,IFERROR(VALUE(LEFT(E2068,FIND("º",SUBSTITUTE(E2068,"°","º"))-1)),""))))</f>
        <v>1</v>
      </c>
      <c r="O2068" s="2" t="str">
        <f aca="false">IF(OR(F2068="",G2068=""),"",IF(G2068&lt;='RETRATO 2027'!$K$5,"CONCLUÍDA",IF(F2068&lt;='RETRATO 2027'!$K$5,"EM ANDAMENTO","A INICIAR")))</f>
        <v>A INICIAR</v>
      </c>
    </row>
    <row r="2069" customFormat="false" ht="15" hidden="false" customHeight="false" outlineLevel="0" collapsed="false">
      <c r="B2069" s="4" t="n">
        <v>31800970</v>
      </c>
      <c r="C2069" s="4" t="s">
        <v>2729</v>
      </c>
      <c r="D2069" s="4" t="s">
        <v>463</v>
      </c>
      <c r="E2069" s="4" t="s">
        <v>2678</v>
      </c>
      <c r="F2069" s="127" t="n">
        <v>47035</v>
      </c>
      <c r="G2069" s="127" t="n">
        <v>47064</v>
      </c>
      <c r="H2069" s="127" t="n">
        <v>46289</v>
      </c>
      <c r="I2069" s="4" t="n">
        <v>0</v>
      </c>
      <c r="J2069" s="4" t="n">
        <v>0</v>
      </c>
      <c r="K2069" s="4" t="n">
        <v>0</v>
      </c>
      <c r="M2069" s="2" t="str">
        <f aca="false">IF(C2069="","",IFERROR(INDEX($S$5:$S$304,MATCH(C2069,$R$5:$R$304,0))&amp;"","?"))</f>
        <v>35</v>
      </c>
      <c r="N2069" s="2" t="str">
        <f aca="false"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 t="str">
        <f aca="false">IF(OR(F2069="",G2069=""),"",IF(G2069&lt;='RETRATO 2027'!$K$5,"CONCLUÍDA",IF(F2069&lt;='RETRATO 2027'!$K$5,"EM ANDAMENTO","A INICIAR")))</f>
        <v>A INICIAR</v>
      </c>
    </row>
    <row r="2070" customFormat="false" ht="15" hidden="false" customHeight="false" outlineLevel="0" collapsed="false">
      <c r="B2070" s="4" t="n">
        <v>30171461</v>
      </c>
      <c r="C2070" s="4" t="s">
        <v>2633</v>
      </c>
      <c r="D2070" s="4" t="s">
        <v>463</v>
      </c>
      <c r="E2070" s="4" t="s">
        <v>2790</v>
      </c>
      <c r="F2070" s="127" t="n">
        <v>47036</v>
      </c>
      <c r="G2070" s="127" t="n">
        <v>47057</v>
      </c>
      <c r="H2070" s="127" t="n">
        <v>46289</v>
      </c>
      <c r="I2070" s="4" t="n">
        <v>0</v>
      </c>
      <c r="J2070" s="4" t="n">
        <v>0</v>
      </c>
      <c r="K2070" s="4" t="n">
        <v>0</v>
      </c>
      <c r="M2070" s="2" t="str">
        <f aca="false">IF(C2070="","",IFERROR(INDEX($S$5:$S$304,MATCH(C2070,$R$5:$R$304,0))&amp;"","?"))</f>
        <v>35</v>
      </c>
      <c r="N2070" s="2" t="n">
        <f aca="false">IF(E2070="","",IF(ISNUMBER(SEARCH("SUBSOLO",E2070)),IFERROR(-VALUE(LEFT(E2070,FIND("º",SUBSTITUTE(E2070,"°","º"))-1)),-1),IF(LEFT(E2070,6)="TÉRREO",0,IFERROR(VALUE(LEFT(E2070,FIND("º",SUBSTITUTE(E2070,"°","º"))-1)),""))))</f>
        <v>3</v>
      </c>
      <c r="O2070" s="2" t="str">
        <f aca="false">IF(OR(F2070="",G2070=""),"",IF(G2070&lt;='RETRATO 2027'!$K$5,"CONCLUÍDA",IF(F2070&lt;='RETRATO 2027'!$K$5,"EM ANDAMENTO","A INICIAR")))</f>
        <v>A INICIAR</v>
      </c>
    </row>
    <row r="2071" customFormat="false" ht="15" hidden="false" customHeight="false" outlineLevel="0" collapsed="false">
      <c r="B2071" s="4" t="n">
        <v>30171413</v>
      </c>
      <c r="C2071" s="4" t="s">
        <v>2619</v>
      </c>
      <c r="D2071" s="4" t="s">
        <v>463</v>
      </c>
      <c r="E2071" s="4" t="s">
        <v>2800</v>
      </c>
      <c r="F2071" s="127" t="n">
        <v>47036</v>
      </c>
      <c r="G2071" s="127" t="n">
        <v>47067</v>
      </c>
      <c r="H2071" s="127" t="n">
        <v>46289</v>
      </c>
      <c r="I2071" s="4" t="n">
        <v>0</v>
      </c>
      <c r="J2071" s="4" t="n">
        <v>0</v>
      </c>
      <c r="K2071" s="4" t="n">
        <v>0</v>
      </c>
      <c r="M2071" s="2" t="str">
        <f aca="false">IF(C2071="","",IFERROR(INDEX($S$5:$S$304,MATCH(C2071,$R$5:$R$304,0))&amp;"","?"))</f>
        <v>30</v>
      </c>
      <c r="N2071" s="2" t="n">
        <f aca="false">IF(E2071="","",IF(ISNUMBER(SEARCH("SUBSOLO",E2071)),IFERROR(-VALUE(LEFT(E2071,FIND("º",SUBSTITUTE(E2071,"°","º"))-1)),-1),IF(LEFT(E2071,6)="TÉRREO",0,IFERROR(VALUE(LEFT(E2071,FIND("º",SUBSTITUTE(E2071,"°","º"))-1)),""))))</f>
        <v>4</v>
      </c>
      <c r="O2071" s="2" t="str">
        <f aca="false">IF(OR(F2071="",G2071=""),"",IF(G2071&lt;='RETRATO 2027'!$K$5,"CONCLUÍDA",IF(F2071&lt;='RETRATO 2027'!$K$5,"EM ANDAMENTO","A INICIAR")))</f>
        <v>A INICIAR</v>
      </c>
    </row>
    <row r="2072" customFormat="false" ht="15" hidden="false" customHeight="false" outlineLevel="0" collapsed="false">
      <c r="B2072" s="4" t="n">
        <v>30208618</v>
      </c>
      <c r="C2072" s="4" t="s">
        <v>2584</v>
      </c>
      <c r="D2072" s="4" t="s">
        <v>463</v>
      </c>
      <c r="E2072" s="4" t="s">
        <v>2847</v>
      </c>
      <c r="F2072" s="127" t="n">
        <v>47036</v>
      </c>
      <c r="G2072" s="127" t="n">
        <v>47043</v>
      </c>
      <c r="H2072" s="127" t="n">
        <v>46289</v>
      </c>
      <c r="I2072" s="4" t="n">
        <v>0</v>
      </c>
      <c r="J2072" s="4" t="n">
        <v>0</v>
      </c>
      <c r="K2072" s="4" t="n">
        <v>0</v>
      </c>
      <c r="M2072" s="2" t="str">
        <f aca="false">IF(C2072="","",IFERROR(INDEX($S$5:$S$304,MATCH(C2072,$R$5:$R$304,0))&amp;"","?"))</f>
        <v>20</v>
      </c>
      <c r="N2072" s="2" t="n">
        <f aca="false">IF(E2072="","",IF(ISNUMBER(SEARCH("SUBSOLO",E2072)),IFERROR(-VALUE(LEFT(E2072,FIND("º",SUBSTITUTE(E2072,"°","º"))-1)),-1),IF(LEFT(E2072,6)="TÉRREO",0,IFERROR(VALUE(LEFT(E2072,FIND("º",SUBSTITUTE(E2072,"°","º"))-1)),""))))</f>
        <v>6</v>
      </c>
      <c r="O2072" s="2" t="str">
        <f aca="false">IF(OR(F2072="",G2072=""),"",IF(G2072&lt;='RETRATO 2027'!$K$5,"CONCLUÍDA",IF(F2072&lt;='RETRATO 2027'!$K$5,"EM ANDAMENTO","A INICIAR")))</f>
        <v>A INICIAR</v>
      </c>
    </row>
    <row r="2073" customFormat="false" ht="15" hidden="false" customHeight="false" outlineLevel="0" collapsed="false">
      <c r="B2073" s="4" t="n">
        <v>30206031</v>
      </c>
      <c r="C2073" s="4" t="s">
        <v>2578</v>
      </c>
      <c r="D2073" s="4" t="s">
        <v>463</v>
      </c>
      <c r="E2073" s="4" t="s">
        <v>2848</v>
      </c>
      <c r="F2073" s="127" t="n">
        <v>47036</v>
      </c>
      <c r="G2073" s="127" t="n">
        <v>47043</v>
      </c>
      <c r="H2073" s="127" t="n">
        <v>46289</v>
      </c>
      <c r="I2073" s="4" t="n">
        <v>0</v>
      </c>
      <c r="J2073" s="4" t="n">
        <v>0</v>
      </c>
      <c r="K2073" s="4" t="n">
        <v>0</v>
      </c>
      <c r="M2073" s="2" t="str">
        <f aca="false">IF(C2073="","",IFERROR(INDEX($S$5:$S$304,MATCH(C2073,$R$5:$R$304,0))&amp;"","?"))</f>
        <v>25</v>
      </c>
      <c r="N2073" s="2" t="n">
        <f aca="false">IF(E2073="","",IF(ISNUMBER(SEARCH("SUBSOLO",E2073)),IFERROR(-VALUE(LEFT(E2073,FIND("º",SUBSTITUTE(E2073,"°","º"))-1)),-1),IF(LEFT(E2073,6)="TÉRREO",0,IFERROR(VALUE(LEFT(E2073,FIND("º",SUBSTITUTE(E2073,"°","º"))-1)),""))))</f>
        <v>6</v>
      </c>
      <c r="O2073" s="2" t="str">
        <f aca="false">IF(OR(F2073="",G2073=""),"",IF(G2073&lt;='RETRATO 2027'!$K$5,"CONCLUÍDA",IF(F2073&lt;='RETRATO 2027'!$K$5,"EM ANDAMENTO","A INICIAR")))</f>
        <v>A INICIAR</v>
      </c>
    </row>
    <row r="2074" customFormat="false" ht="15" hidden="false" customHeight="false" outlineLevel="0" collapsed="false">
      <c r="B2074" s="4" t="n">
        <v>30206033</v>
      </c>
      <c r="C2074" s="4" t="s">
        <v>2605</v>
      </c>
      <c r="D2074" s="4" t="s">
        <v>463</v>
      </c>
      <c r="E2074" s="4" t="s">
        <v>2848</v>
      </c>
      <c r="F2074" s="127" t="n">
        <v>47036</v>
      </c>
      <c r="G2074" s="127" t="n">
        <v>47043</v>
      </c>
      <c r="H2074" s="127" t="n">
        <v>46289</v>
      </c>
      <c r="I2074" s="4" t="n">
        <v>0</v>
      </c>
      <c r="J2074" s="4" t="n">
        <v>0</v>
      </c>
      <c r="K2074" s="4" t="n">
        <v>0</v>
      </c>
      <c r="M2074" s="2" t="str">
        <f aca="false">IF(C2074="","",IFERROR(INDEX($S$5:$S$304,MATCH(C2074,$R$5:$R$304,0))&amp;"","?"))</f>
        <v>34</v>
      </c>
      <c r="N2074" s="2" t="n">
        <f aca="false">IF(E2074="","",IF(ISNUMBER(SEARCH("SUBSOLO",E2074)),IFERROR(-VALUE(LEFT(E2074,FIND("º",SUBSTITUTE(E2074,"°","º"))-1)),-1),IF(LEFT(E2074,6)="TÉRREO",0,IFERROR(VALUE(LEFT(E2074,FIND("º",SUBSTITUTE(E2074,"°","º"))-1)),""))))</f>
        <v>6</v>
      </c>
      <c r="O2074" s="2" t="str">
        <f aca="false">IF(OR(F2074="",G2074=""),"",IF(G2074&lt;='RETRATO 2027'!$K$5,"CONCLUÍDA",IF(F2074&lt;='RETRATO 2027'!$K$5,"EM ANDAMENTO","A INICIAR")))</f>
        <v>A INICIAR</v>
      </c>
    </row>
    <row r="2075" customFormat="false" ht="15" hidden="false" customHeight="false" outlineLevel="0" collapsed="false">
      <c r="B2075" s="4" t="n">
        <v>30206038</v>
      </c>
      <c r="C2075" s="4" t="s">
        <v>2607</v>
      </c>
      <c r="D2075" s="4" t="s">
        <v>463</v>
      </c>
      <c r="E2075" s="4" t="s">
        <v>2848</v>
      </c>
      <c r="F2075" s="127" t="n">
        <v>47036</v>
      </c>
      <c r="G2075" s="127" t="n">
        <v>47043</v>
      </c>
      <c r="H2075" s="127" t="n">
        <v>46289</v>
      </c>
      <c r="I2075" s="4" t="n">
        <v>0</v>
      </c>
      <c r="J2075" s="4" t="n">
        <v>0</v>
      </c>
      <c r="K2075" s="4" t="n">
        <v>0</v>
      </c>
      <c r="M2075" s="2" t="str">
        <f aca="false">IF(C2075="","",IFERROR(INDEX($S$5:$S$304,MATCH(C2075,$R$5:$R$304,0))&amp;"","?"))</f>
        <v>34</v>
      </c>
      <c r="N2075" s="2" t="n">
        <f aca="false">IF(E2075="","",IF(ISNUMBER(SEARCH("SUBSOLO",E2075)),IFERROR(-VALUE(LEFT(E2075,FIND("º",SUBSTITUTE(E2075,"°","º"))-1)),-1),IF(LEFT(E2075,6)="TÉRREO",0,IFERROR(VALUE(LEFT(E2075,FIND("º",SUBSTITUTE(E2075,"°","º"))-1)),""))))</f>
        <v>6</v>
      </c>
      <c r="O2075" s="2" t="str">
        <f aca="false">IF(OR(F2075="",G2075=""),"",IF(G2075&lt;='RETRATO 2027'!$K$5,"CONCLUÍDA",IF(F2075&lt;='RETRATO 2027'!$K$5,"EM ANDAMENTO","A INICIAR")))</f>
        <v>A INICIAR</v>
      </c>
    </row>
    <row r="2076" customFormat="false" ht="15" hidden="false" customHeight="false" outlineLevel="0" collapsed="false">
      <c r="B2076" s="4" t="n">
        <v>30206036</v>
      </c>
      <c r="C2076" s="4" t="s">
        <v>2609</v>
      </c>
      <c r="D2076" s="4" t="s">
        <v>463</v>
      </c>
      <c r="E2076" s="4" t="s">
        <v>2848</v>
      </c>
      <c r="F2076" s="127" t="n">
        <v>47036</v>
      </c>
      <c r="G2076" s="127" t="n">
        <v>47050</v>
      </c>
      <c r="H2076" s="127" t="n">
        <v>46289</v>
      </c>
      <c r="I2076" s="4" t="n">
        <v>0</v>
      </c>
      <c r="J2076" s="4" t="n">
        <v>0</v>
      </c>
      <c r="K2076" s="4" t="n">
        <v>0</v>
      </c>
      <c r="M2076" s="2" t="str">
        <f aca="false">IF(C2076="","",IFERROR(INDEX($S$5:$S$304,MATCH(C2076,$R$5:$R$304,0))&amp;"","?"))</f>
        <v>23</v>
      </c>
      <c r="N2076" s="2" t="n">
        <f aca="false">IF(E2076="","",IF(ISNUMBER(SEARCH("SUBSOLO",E2076)),IFERROR(-VALUE(LEFT(E2076,FIND("º",SUBSTITUTE(E2076,"°","º"))-1)),-1),IF(LEFT(E2076,6)="TÉRREO",0,IFERROR(VALUE(LEFT(E2076,FIND("º",SUBSTITUTE(E2076,"°","º"))-1)),""))))</f>
        <v>6</v>
      </c>
      <c r="O2076" s="2" t="str">
        <f aca="false">IF(OR(F2076="",G2076=""),"",IF(G2076&lt;='RETRATO 2027'!$K$5,"CONCLUÍDA",IF(F2076&lt;='RETRATO 2027'!$K$5,"EM ANDAMENTO","A INICIAR")))</f>
        <v>A INICIAR</v>
      </c>
    </row>
    <row r="2077" customFormat="false" ht="15" hidden="false" customHeight="false" outlineLevel="0" collapsed="false">
      <c r="B2077" s="4" t="n">
        <v>30205992</v>
      </c>
      <c r="C2077" s="4" t="s">
        <v>2554</v>
      </c>
      <c r="D2077" s="4" t="s">
        <v>463</v>
      </c>
      <c r="E2077" s="4" t="s">
        <v>2849</v>
      </c>
      <c r="F2077" s="127" t="n">
        <v>47036</v>
      </c>
      <c r="G2077" s="127" t="n">
        <v>47050</v>
      </c>
      <c r="H2077" s="127" t="n">
        <v>46289</v>
      </c>
      <c r="I2077" s="4" t="n">
        <v>0</v>
      </c>
      <c r="J2077" s="4" t="n">
        <v>0</v>
      </c>
      <c r="K2077" s="4" t="n">
        <v>0</v>
      </c>
      <c r="M2077" s="2" t="str">
        <f aca="false">IF(C2077="","",IFERROR(INDEX($S$5:$S$304,MATCH(C2077,$R$5:$R$304,0))&amp;"","?"))</f>
        <v>35</v>
      </c>
      <c r="N2077" s="2" t="n">
        <f aca="false">IF(E2077="","",IF(ISNUMBER(SEARCH("SUBSOLO",E2077)),IFERROR(-VALUE(LEFT(E2077,FIND("º",SUBSTITUTE(E2077,"°","º"))-1)),-1),IF(LEFT(E2077,6)="TÉRREO",0,IFERROR(VALUE(LEFT(E2077,FIND("º",SUBSTITUTE(E2077,"°","º"))-1)),""))))</f>
        <v>6</v>
      </c>
      <c r="O2077" s="2" t="str">
        <f aca="false">IF(OR(F2077="",G2077=""),"",IF(G2077&lt;='RETRATO 2027'!$K$5,"CONCLUÍDA",IF(F2077&lt;='RETRATO 2027'!$K$5,"EM ANDAMENTO","A INICIAR")))</f>
        <v>A INICIAR</v>
      </c>
    </row>
    <row r="2078" customFormat="false" ht="15" hidden="false" customHeight="false" outlineLevel="0" collapsed="false">
      <c r="B2078" s="4" t="n">
        <v>30205981</v>
      </c>
      <c r="C2078" s="4" t="s">
        <v>2539</v>
      </c>
      <c r="D2078" s="4" t="s">
        <v>463</v>
      </c>
      <c r="E2078" s="4" t="s">
        <v>2850</v>
      </c>
      <c r="F2078" s="127" t="n">
        <v>47036</v>
      </c>
      <c r="G2078" s="127" t="n">
        <v>47050</v>
      </c>
      <c r="H2078" s="127" t="n">
        <v>46289</v>
      </c>
      <c r="I2078" s="4" t="n">
        <v>0</v>
      </c>
      <c r="J2078" s="4" t="n">
        <v>0</v>
      </c>
      <c r="K2078" s="4" t="n">
        <v>0</v>
      </c>
      <c r="M2078" s="2" t="str">
        <f aca="false">IF(C2078="","",IFERROR(INDEX($S$5:$S$304,MATCH(C2078,$R$5:$R$304,0))&amp;"","?"))</f>
        <v>35</v>
      </c>
      <c r="N2078" s="2" t="n">
        <f aca="false">IF(E2078="","",IF(ISNUMBER(SEARCH("SUBSOLO",E2078)),IFERROR(-VALUE(LEFT(E2078,FIND("º",SUBSTITUTE(E2078,"°","º"))-1)),-1),IF(LEFT(E2078,6)="TÉRREO",0,IFERROR(VALUE(LEFT(E2078,FIND("º",SUBSTITUTE(E2078,"°","º"))-1)),""))))</f>
        <v>6</v>
      </c>
      <c r="O2078" s="2" t="str">
        <f aca="false">IF(OR(F2078="",G2078=""),"",IF(G2078&lt;='RETRATO 2027'!$K$5,"CONCLUÍDA",IF(F2078&lt;='RETRATO 2027'!$K$5,"EM ANDAMENTO","A INICIAR")))</f>
        <v>A INICIAR</v>
      </c>
    </row>
    <row r="2079" customFormat="false" ht="15" hidden="false" customHeight="false" outlineLevel="0" collapsed="false">
      <c r="B2079" s="4" t="n">
        <v>29981021</v>
      </c>
      <c r="C2079" s="4" t="s">
        <v>2637</v>
      </c>
      <c r="D2079" s="4" t="s">
        <v>463</v>
      </c>
      <c r="E2079" s="4" t="s">
        <v>2825</v>
      </c>
      <c r="F2079" s="127" t="n">
        <v>47036</v>
      </c>
      <c r="G2079" s="127" t="n">
        <v>47043</v>
      </c>
      <c r="H2079" s="127" t="n">
        <v>46289</v>
      </c>
      <c r="I2079" s="4" t="n">
        <v>0</v>
      </c>
      <c r="J2079" s="4" t="n">
        <v>0</v>
      </c>
      <c r="K2079" s="4" t="n">
        <v>0</v>
      </c>
      <c r="M2079" s="2" t="str">
        <f aca="false">IF(C2079="","",IFERROR(INDEX($S$5:$S$304,MATCH(C2079,$R$5:$R$304,0))&amp;"","?"))</f>
        <v/>
      </c>
      <c r="N2079" s="2" t="n">
        <f aca="false">IF(E2079="","",IF(ISNUMBER(SEARCH("SUBSOLO",E2079)),IFERROR(-VALUE(LEFT(E2079,FIND("º",SUBSTITUTE(E2079,"°","º"))-1)),-1),IF(LEFT(E2079,6)="TÉRREO",0,IFERROR(VALUE(LEFT(E2079,FIND("º",SUBSTITUTE(E2079,"°","º"))-1)),""))))</f>
        <v>21</v>
      </c>
      <c r="O2079" s="2" t="str">
        <f aca="false">IF(OR(F2079="",G2079=""),"",IF(G2079&lt;='RETRATO 2027'!$K$5,"CONCLUÍDA",IF(F2079&lt;='RETRATO 2027'!$K$5,"EM ANDAMENTO","A INICIAR")))</f>
        <v>A INICIAR</v>
      </c>
    </row>
    <row r="2080" customFormat="false" ht="15" hidden="false" customHeight="false" outlineLevel="0" collapsed="false">
      <c r="B2080" s="4" t="n">
        <v>29980986</v>
      </c>
      <c r="C2080" s="4" t="s">
        <v>2629</v>
      </c>
      <c r="D2080" s="4" t="s">
        <v>463</v>
      </c>
      <c r="E2080" s="4" t="s">
        <v>2827</v>
      </c>
      <c r="F2080" s="127" t="n">
        <v>47036</v>
      </c>
      <c r="G2080" s="127" t="n">
        <v>47049</v>
      </c>
      <c r="H2080" s="127" t="n">
        <v>46289</v>
      </c>
      <c r="I2080" s="4" t="n">
        <v>0</v>
      </c>
      <c r="J2080" s="4" t="n">
        <v>0</v>
      </c>
      <c r="K2080" s="4" t="n">
        <v>0</v>
      </c>
      <c r="M2080" s="2" t="str">
        <f aca="false">IF(C2080="","",IFERROR(INDEX($S$5:$S$304,MATCH(C2080,$R$5:$R$304,0))&amp;"","?"))</f>
        <v>20</v>
      </c>
      <c r="N2080" s="2" t="n">
        <f aca="false">IF(E2080="","",IF(ISNUMBER(SEARCH("SUBSOLO",E2080)),IFERROR(-VALUE(LEFT(E2080,FIND("º",SUBSTITUTE(E2080,"°","º"))-1)),-1),IF(LEFT(E2080,6)="TÉRREO",0,IFERROR(VALUE(LEFT(E2080,FIND("º",SUBSTITUTE(E2080,"°","º"))-1)),""))))</f>
        <v>22</v>
      </c>
      <c r="O2080" s="2" t="str">
        <f aca="false">IF(OR(F2080="",G2080=""),"",IF(G2080&lt;='RETRATO 2027'!$K$5,"CONCLUÍDA",IF(F2080&lt;='RETRATO 2027'!$K$5,"EM ANDAMENTO","A INICIAR")))</f>
        <v>A INICIAR</v>
      </c>
    </row>
    <row r="2081" customFormat="false" ht="15" hidden="false" customHeight="false" outlineLevel="0" collapsed="false">
      <c r="B2081" s="4" t="n">
        <v>29980946</v>
      </c>
      <c r="C2081" s="4" t="s">
        <v>2623</v>
      </c>
      <c r="D2081" s="4" t="s">
        <v>463</v>
      </c>
      <c r="E2081" s="4" t="s">
        <v>2829</v>
      </c>
      <c r="F2081" s="127" t="n">
        <v>47036</v>
      </c>
      <c r="G2081" s="127" t="n">
        <v>47049</v>
      </c>
      <c r="H2081" s="127" t="n">
        <v>46289</v>
      </c>
      <c r="I2081" s="4" t="n">
        <v>0</v>
      </c>
      <c r="J2081" s="4" t="n">
        <v>0</v>
      </c>
      <c r="K2081" s="4" t="n">
        <v>0</v>
      </c>
      <c r="M2081" s="2" t="str">
        <f aca="false">IF(C2081="","",IFERROR(INDEX($S$5:$S$304,MATCH(C2081,$R$5:$R$304,0))&amp;"","?"))</f>
        <v>35</v>
      </c>
      <c r="N2081" s="2" t="n">
        <f aca="false">IF(E2081="","",IF(ISNUMBER(SEARCH("SUBSOLO",E2081)),IFERROR(-VALUE(LEFT(E2081,FIND("º",SUBSTITUTE(E2081,"°","º"))-1)),-1),IF(LEFT(E2081,6)="TÉRREO",0,IFERROR(VALUE(LEFT(E2081,FIND("º",SUBSTITUTE(E2081,"°","º"))-1)),""))))</f>
        <v>23</v>
      </c>
      <c r="O2081" s="2" t="str">
        <f aca="false">IF(OR(F2081="",G2081=""),"",IF(G2081&lt;='RETRATO 2027'!$K$5,"CONCLUÍDA",IF(F2081&lt;='RETRATO 2027'!$K$5,"EM ANDAMENTO","A INICIAR")))</f>
        <v>A INICIAR</v>
      </c>
    </row>
    <row r="2082" customFormat="false" ht="15" hidden="false" customHeight="false" outlineLevel="0" collapsed="false">
      <c r="B2082" s="4" t="n">
        <v>33919800</v>
      </c>
      <c r="C2082" s="4" t="s">
        <v>2625</v>
      </c>
      <c r="D2082" s="4" t="s">
        <v>463</v>
      </c>
      <c r="E2082" s="4" t="s">
        <v>2829</v>
      </c>
      <c r="F2082" s="127" t="n">
        <v>47036</v>
      </c>
      <c r="G2082" s="127" t="n">
        <v>47049</v>
      </c>
      <c r="H2082" s="127" t="n">
        <v>46289</v>
      </c>
      <c r="I2082" s="4" t="n">
        <v>0</v>
      </c>
      <c r="J2082" s="4" t="n">
        <v>0</v>
      </c>
      <c r="K2082" s="4" t="n">
        <v>0</v>
      </c>
      <c r="M2082" s="2" t="str">
        <f aca="false">IF(C2082="","",IFERROR(INDEX($S$5:$S$304,MATCH(C2082,$R$5:$R$304,0))&amp;"","?"))</f>
        <v>32</v>
      </c>
      <c r="N2082" s="2" t="n">
        <f aca="false">IF(E2082="","",IF(ISNUMBER(SEARCH("SUBSOLO",E2082)),IFERROR(-VALUE(LEFT(E2082,FIND("º",SUBSTITUTE(E2082,"°","º"))-1)),-1),IF(LEFT(E2082,6)="TÉRREO",0,IFERROR(VALUE(LEFT(E2082,FIND("º",SUBSTITUTE(E2082,"°","º"))-1)),""))))</f>
        <v>23</v>
      </c>
      <c r="O2082" s="2" t="str">
        <f aca="false">IF(OR(F2082="",G2082=""),"",IF(G2082&lt;='RETRATO 2027'!$K$5,"CONCLUÍDA",IF(F2082&lt;='RETRATO 2027'!$K$5,"EM ANDAMENTO","A INICIAR")))</f>
        <v>A INICIAR</v>
      </c>
    </row>
    <row r="2083" customFormat="false" ht="15" hidden="false" customHeight="false" outlineLevel="0" collapsed="false">
      <c r="B2083" s="4" t="n">
        <v>29980908</v>
      </c>
      <c r="C2083" s="4" t="s">
        <v>2615</v>
      </c>
      <c r="D2083" s="4" t="s">
        <v>463</v>
      </c>
      <c r="E2083" s="4" t="s">
        <v>2831</v>
      </c>
      <c r="F2083" s="127" t="n">
        <v>47036</v>
      </c>
      <c r="G2083" s="127" t="n">
        <v>47049</v>
      </c>
      <c r="H2083" s="127" t="n">
        <v>46289</v>
      </c>
      <c r="I2083" s="4" t="n">
        <v>0</v>
      </c>
      <c r="J2083" s="4" t="n">
        <v>0</v>
      </c>
      <c r="K2083" s="4" t="n">
        <v>0</v>
      </c>
      <c r="M2083" s="2" t="str">
        <f aca="false">IF(C2083="","",IFERROR(INDEX($S$5:$S$304,MATCH(C2083,$R$5:$R$304,0))&amp;"","?"))</f>
        <v>37</v>
      </c>
      <c r="N2083" s="2" t="n">
        <f aca="false">IF(E2083="","",IF(ISNUMBER(SEARCH("SUBSOLO",E2083)),IFERROR(-VALUE(LEFT(E2083,FIND("º",SUBSTITUTE(E2083,"°","º"))-1)),-1),IF(LEFT(E2083,6)="TÉRREO",0,IFERROR(VALUE(LEFT(E2083,FIND("º",SUBSTITUTE(E2083,"°","º"))-1)),""))))</f>
        <v>24</v>
      </c>
      <c r="O2083" s="2" t="str">
        <f aca="false">IF(OR(F2083="",G2083=""),"",IF(G2083&lt;='RETRATO 2027'!$K$5,"CONCLUÍDA",IF(F2083&lt;='RETRATO 2027'!$K$5,"EM ANDAMENTO","A INICIAR")))</f>
        <v>A INICIAR</v>
      </c>
    </row>
    <row r="2084" customFormat="false" ht="15" hidden="false" customHeight="false" outlineLevel="0" collapsed="false">
      <c r="B2084" s="4" t="n">
        <v>29980865</v>
      </c>
      <c r="C2084" s="4" t="s">
        <v>2605</v>
      </c>
      <c r="D2084" s="4" t="s">
        <v>463</v>
      </c>
      <c r="E2084" s="4" t="s">
        <v>2833</v>
      </c>
      <c r="F2084" s="127" t="n">
        <v>47036</v>
      </c>
      <c r="G2084" s="127" t="n">
        <v>47049</v>
      </c>
      <c r="H2084" s="127" t="n">
        <v>46289</v>
      </c>
      <c r="I2084" s="4" t="n">
        <v>0</v>
      </c>
      <c r="J2084" s="4" t="n">
        <v>0</v>
      </c>
      <c r="K2084" s="4" t="n">
        <v>0</v>
      </c>
      <c r="M2084" s="2" t="str">
        <f aca="false">IF(C2084="","",IFERROR(INDEX($S$5:$S$304,MATCH(C2084,$R$5:$R$304,0))&amp;"","?"))</f>
        <v>34</v>
      </c>
      <c r="N2084" s="2" t="n">
        <f aca="false">IF(E2084="","",IF(ISNUMBER(SEARCH("SUBSOLO",E2084)),IFERROR(-VALUE(LEFT(E2084,FIND("º",SUBSTITUTE(E2084,"°","º"))-1)),-1),IF(LEFT(E2084,6)="TÉRREO",0,IFERROR(VALUE(LEFT(E2084,FIND("º",SUBSTITUTE(E2084,"°","º"))-1)),""))))</f>
        <v>25</v>
      </c>
      <c r="O2084" s="2" t="str">
        <f aca="false">IF(OR(F2084="",G2084=""),"",IF(G2084&lt;='RETRATO 2027'!$K$5,"CONCLUÍDA",IF(F2084&lt;='RETRATO 2027'!$K$5,"EM ANDAMENTO","A INICIAR")))</f>
        <v>A INICIAR</v>
      </c>
    </row>
    <row r="2085" customFormat="false" ht="15" hidden="false" customHeight="false" outlineLevel="0" collapsed="false">
      <c r="B2085" s="4" t="n">
        <v>29980870</v>
      </c>
      <c r="C2085" s="4" t="s">
        <v>2607</v>
      </c>
      <c r="D2085" s="4" t="s">
        <v>463</v>
      </c>
      <c r="E2085" s="4" t="s">
        <v>2833</v>
      </c>
      <c r="F2085" s="127" t="n">
        <v>47036</v>
      </c>
      <c r="G2085" s="127" t="n">
        <v>47049</v>
      </c>
      <c r="H2085" s="127" t="n">
        <v>46289</v>
      </c>
      <c r="I2085" s="4" t="n">
        <v>0</v>
      </c>
      <c r="J2085" s="4" t="n">
        <v>0</v>
      </c>
      <c r="K2085" s="4" t="n">
        <v>0</v>
      </c>
      <c r="M2085" s="2" t="str">
        <f aca="false">IF(C2085="","",IFERROR(INDEX($S$5:$S$304,MATCH(C2085,$R$5:$R$304,0))&amp;"","?"))</f>
        <v>34</v>
      </c>
      <c r="N2085" s="2" t="n">
        <f aca="false">IF(E2085="","",IF(ISNUMBER(SEARCH("SUBSOLO",E2085)),IFERROR(-VALUE(LEFT(E2085,FIND("º",SUBSTITUTE(E2085,"°","º"))-1)),-1),IF(LEFT(E2085,6)="TÉRREO",0,IFERROR(VALUE(LEFT(E2085,FIND("º",SUBSTITUTE(E2085,"°","º"))-1)),""))))</f>
        <v>25</v>
      </c>
      <c r="O2085" s="2" t="str">
        <f aca="false">IF(OR(F2085="",G2085=""),"",IF(G2085&lt;='RETRATO 2027'!$K$5,"CONCLUÍDA",IF(F2085&lt;='RETRATO 2027'!$K$5,"EM ANDAMENTO","A INICIAR")))</f>
        <v>A INICIAR</v>
      </c>
    </row>
    <row r="2086" customFormat="false" ht="15" hidden="false" customHeight="false" outlineLevel="0" collapsed="false">
      <c r="B2086" s="4" t="n">
        <v>29980869</v>
      </c>
      <c r="C2086" s="4" t="s">
        <v>2563</v>
      </c>
      <c r="D2086" s="4" t="s">
        <v>463</v>
      </c>
      <c r="E2086" s="4" t="s">
        <v>2833</v>
      </c>
      <c r="F2086" s="127" t="n">
        <v>47036</v>
      </c>
      <c r="G2086" s="127" t="n">
        <v>47049</v>
      </c>
      <c r="H2086" s="127" t="n">
        <v>46289</v>
      </c>
      <c r="I2086" s="4" t="n">
        <v>0</v>
      </c>
      <c r="J2086" s="4" t="n">
        <v>0</v>
      </c>
      <c r="K2086" s="4" t="n">
        <v>0</v>
      </c>
      <c r="M2086" s="2" t="str">
        <f aca="false">IF(C2086="","",IFERROR(INDEX($S$5:$S$304,MATCH(C2086,$R$5:$R$304,0))&amp;"","?"))</f>
        <v>20</v>
      </c>
      <c r="N2086" s="2" t="n">
        <f aca="false">IF(E2086="","",IF(ISNUMBER(SEARCH("SUBSOLO",E2086)),IFERROR(-VALUE(LEFT(E2086,FIND("º",SUBSTITUTE(E2086,"°","º"))-1)),-1),IF(LEFT(E2086,6)="TÉRREO",0,IFERROR(VALUE(LEFT(E2086,FIND("º",SUBSTITUTE(E2086,"°","º"))-1)),""))))</f>
        <v>25</v>
      </c>
      <c r="O2086" s="2" t="str">
        <f aca="false">IF(OR(F2086="",G2086=""),"",IF(G2086&lt;='RETRATO 2027'!$K$5,"CONCLUÍDA",IF(F2086&lt;='RETRATO 2027'!$K$5,"EM ANDAMENTO","A INICIAR")))</f>
        <v>A INICIAR</v>
      </c>
    </row>
    <row r="2087" customFormat="false" ht="15" hidden="false" customHeight="false" outlineLevel="0" collapsed="false">
      <c r="B2087" s="4" t="n">
        <v>29980868</v>
      </c>
      <c r="C2087" s="4" t="s">
        <v>2609</v>
      </c>
      <c r="D2087" s="4" t="s">
        <v>463</v>
      </c>
      <c r="E2087" s="4" t="s">
        <v>2833</v>
      </c>
      <c r="F2087" s="127" t="n">
        <v>47036</v>
      </c>
      <c r="G2087" s="127" t="n">
        <v>47049</v>
      </c>
      <c r="H2087" s="127" t="n">
        <v>46289</v>
      </c>
      <c r="I2087" s="4" t="n">
        <v>0</v>
      </c>
      <c r="J2087" s="4" t="n">
        <v>0</v>
      </c>
      <c r="K2087" s="4" t="n">
        <v>0</v>
      </c>
      <c r="M2087" s="2" t="str">
        <f aca="false">IF(C2087="","",IFERROR(INDEX($S$5:$S$304,MATCH(C2087,$R$5:$R$304,0))&amp;"","?"))</f>
        <v>23</v>
      </c>
      <c r="N2087" s="2" t="n">
        <f aca="false">IF(E2087="","",IF(ISNUMBER(SEARCH("SUBSOLO",E2087)),IFERROR(-VALUE(LEFT(E2087,FIND("º",SUBSTITUTE(E2087,"°","º"))-1)),-1),IF(LEFT(E2087,6)="TÉRREO",0,IFERROR(VALUE(LEFT(E2087,FIND("º",SUBSTITUTE(E2087,"°","º"))-1)),""))))</f>
        <v>25</v>
      </c>
      <c r="O2087" s="2" t="str">
        <f aca="false">IF(OR(F2087="",G2087=""),"",IF(G2087&lt;='RETRATO 2027'!$K$5,"CONCLUÍDA",IF(F2087&lt;='RETRATO 2027'!$K$5,"EM ANDAMENTO","A INICIAR")))</f>
        <v>A INICIAR</v>
      </c>
    </row>
    <row r="2088" customFormat="false" ht="15" hidden="false" customHeight="false" outlineLevel="0" collapsed="false">
      <c r="B2088" s="4" t="n">
        <v>29980827</v>
      </c>
      <c r="C2088" s="4" t="s">
        <v>2599</v>
      </c>
      <c r="D2088" s="4" t="s">
        <v>463</v>
      </c>
      <c r="E2088" s="4" t="s">
        <v>2834</v>
      </c>
      <c r="F2088" s="127" t="n">
        <v>47036</v>
      </c>
      <c r="G2088" s="127" t="n">
        <v>47049</v>
      </c>
      <c r="H2088" s="127" t="n">
        <v>46289</v>
      </c>
      <c r="I2088" s="4" t="n">
        <v>0</v>
      </c>
      <c r="J2088" s="4" t="n">
        <v>0</v>
      </c>
      <c r="K2088" s="4" t="n">
        <v>0</v>
      </c>
      <c r="M2088" s="2" t="str">
        <f aca="false">IF(C2088="","",IFERROR(INDEX($S$5:$S$304,MATCH(C2088,$R$5:$R$304,0))&amp;"","?"))</f>
        <v>30</v>
      </c>
      <c r="N2088" s="2" t="n">
        <f aca="false">IF(E2088="","",IF(ISNUMBER(SEARCH("SUBSOLO",E2088)),IFERROR(-VALUE(LEFT(E2088,FIND("º",SUBSTITUTE(E2088,"°","º"))-1)),-1),IF(LEFT(E2088,6)="TÉRREO",0,IFERROR(VALUE(LEFT(E2088,FIND("º",SUBSTITUTE(E2088,"°","º"))-1)),""))))</f>
        <v>26</v>
      </c>
      <c r="O2088" s="2" t="str">
        <f aca="false">IF(OR(F2088="",G2088=""),"",IF(G2088&lt;='RETRATO 2027'!$K$5,"CONCLUÍDA",IF(F2088&lt;='RETRATO 2027'!$K$5,"EM ANDAMENTO","A INICIAR")))</f>
        <v>A INICIAR</v>
      </c>
    </row>
    <row r="2089" customFormat="false" ht="15" hidden="false" customHeight="false" outlineLevel="0" collapsed="false">
      <c r="B2089" s="4" t="n">
        <v>29980789</v>
      </c>
      <c r="C2089" s="4" t="s">
        <v>2578</v>
      </c>
      <c r="D2089" s="4" t="s">
        <v>463</v>
      </c>
      <c r="E2089" s="4" t="s">
        <v>2838</v>
      </c>
      <c r="F2089" s="127" t="n">
        <v>47036</v>
      </c>
      <c r="G2089" s="127" t="n">
        <v>47049</v>
      </c>
      <c r="H2089" s="127" t="n">
        <v>46289</v>
      </c>
      <c r="I2089" s="4" t="n">
        <v>0</v>
      </c>
      <c r="J2089" s="4" t="n">
        <v>0</v>
      </c>
      <c r="K2089" s="4" t="n">
        <v>0</v>
      </c>
      <c r="M2089" s="2" t="str">
        <f aca="false">IF(C2089="","",IFERROR(INDEX($S$5:$S$304,MATCH(C2089,$R$5:$R$304,0))&amp;"","?"))</f>
        <v>25</v>
      </c>
      <c r="N2089" s="2" t="n">
        <f aca="false">IF(E2089="","",IF(ISNUMBER(SEARCH("SUBSOLO",E2089)),IFERROR(-VALUE(LEFT(E2089,FIND("º",SUBSTITUTE(E2089,"°","º"))-1)),-1),IF(LEFT(E2089,6)="TÉRREO",0,IFERROR(VALUE(LEFT(E2089,FIND("º",SUBSTITUTE(E2089,"°","º"))-1)),""))))</f>
        <v>27</v>
      </c>
      <c r="O2089" s="2" t="str">
        <f aca="false">IF(OR(F2089="",G2089=""),"",IF(G2089&lt;='RETRATO 2027'!$K$5,"CONCLUÍDA",IF(F2089&lt;='RETRATO 2027'!$K$5,"EM ANDAMENTO","A INICIAR")))</f>
        <v>A INICIAR</v>
      </c>
    </row>
    <row r="2090" customFormat="false" ht="15" hidden="false" customHeight="false" outlineLevel="0" collapsed="false">
      <c r="B2090" s="4" t="n">
        <v>29980751</v>
      </c>
      <c r="C2090" s="4" t="s">
        <v>2569</v>
      </c>
      <c r="D2090" s="4" t="s">
        <v>463</v>
      </c>
      <c r="E2090" s="4" t="s">
        <v>2840</v>
      </c>
      <c r="F2090" s="127" t="n">
        <v>47036</v>
      </c>
      <c r="G2090" s="127" t="n">
        <v>47049</v>
      </c>
      <c r="H2090" s="127" t="n">
        <v>46289</v>
      </c>
      <c r="I2090" s="4" t="n">
        <v>0</v>
      </c>
      <c r="J2090" s="4" t="n">
        <v>0</v>
      </c>
      <c r="K2090" s="4" t="n">
        <v>0</v>
      </c>
      <c r="M2090" s="2" t="str">
        <f aca="false">IF(C2090="","",IFERROR(INDEX($S$5:$S$304,MATCH(C2090,$R$5:$R$304,0))&amp;"","?"))</f>
        <v>30</v>
      </c>
      <c r="N2090" s="2" t="n">
        <f aca="false">IF(E2090="","",IF(ISNUMBER(SEARCH("SUBSOLO",E2090)),IFERROR(-VALUE(LEFT(E2090,FIND("º",SUBSTITUTE(E2090,"°","º"))-1)),-1),IF(LEFT(E2090,6)="TÉRREO",0,IFERROR(VALUE(LEFT(E2090,FIND("º",SUBSTITUTE(E2090,"°","º"))-1)),""))))</f>
        <v>28</v>
      </c>
      <c r="O2090" s="2" t="str">
        <f aca="false">IF(OR(F2090="",G2090=""),"",IF(G2090&lt;='RETRATO 2027'!$K$5,"CONCLUÍDA",IF(F2090&lt;='RETRATO 2027'!$K$5,"EM ANDAMENTO","A INICIAR")))</f>
        <v>A INICIAR</v>
      </c>
    </row>
    <row r="2091" customFormat="false" ht="15" hidden="false" customHeight="false" outlineLevel="0" collapsed="false">
      <c r="B2091" s="4" t="n">
        <v>29980713</v>
      </c>
      <c r="C2091" s="4" t="s">
        <v>2554</v>
      </c>
      <c r="D2091" s="4" t="s">
        <v>463</v>
      </c>
      <c r="E2091" s="4" t="s">
        <v>2841</v>
      </c>
      <c r="F2091" s="127" t="n">
        <v>47036</v>
      </c>
      <c r="G2091" s="127" t="n">
        <v>47049</v>
      </c>
      <c r="H2091" s="127" t="n">
        <v>46289</v>
      </c>
      <c r="I2091" s="4" t="n">
        <v>0</v>
      </c>
      <c r="J2091" s="4" t="n">
        <v>0</v>
      </c>
      <c r="K2091" s="4" t="n">
        <v>0</v>
      </c>
      <c r="M2091" s="2" t="str">
        <f aca="false">IF(C2091="","",IFERROR(INDEX($S$5:$S$304,MATCH(C2091,$R$5:$R$304,0))&amp;"","?"))</f>
        <v>35</v>
      </c>
      <c r="N2091" s="2" t="n">
        <f aca="false">IF(E2091="","",IF(ISNUMBER(SEARCH("SUBSOLO",E2091)),IFERROR(-VALUE(LEFT(E2091,FIND("º",SUBSTITUTE(E2091,"°","º"))-1)),-1),IF(LEFT(E2091,6)="TÉRREO",0,IFERROR(VALUE(LEFT(E2091,FIND("º",SUBSTITUTE(E2091,"°","º"))-1)),""))))</f>
        <v>29</v>
      </c>
      <c r="O2091" s="2" t="str">
        <f aca="false">IF(OR(F2091="",G2091=""),"",IF(G2091&lt;='RETRATO 2027'!$K$5,"CONCLUÍDA",IF(F2091&lt;='RETRATO 2027'!$K$5,"EM ANDAMENTO","A INICIAR")))</f>
        <v>A INICIAR</v>
      </c>
    </row>
    <row r="2092" customFormat="false" ht="15" hidden="false" customHeight="false" outlineLevel="0" collapsed="false">
      <c r="B2092" s="4" t="n">
        <v>29980702</v>
      </c>
      <c r="C2092" s="4" t="s">
        <v>2539</v>
      </c>
      <c r="D2092" s="4" t="s">
        <v>463</v>
      </c>
      <c r="E2092" s="4" t="s">
        <v>2842</v>
      </c>
      <c r="F2092" s="127" t="n">
        <v>47036</v>
      </c>
      <c r="G2092" s="127" t="n">
        <v>47049</v>
      </c>
      <c r="H2092" s="127" t="n">
        <v>46289</v>
      </c>
      <c r="I2092" s="4" t="n">
        <v>0</v>
      </c>
      <c r="J2092" s="4" t="n">
        <v>0</v>
      </c>
      <c r="K2092" s="4" t="n">
        <v>0</v>
      </c>
      <c r="M2092" s="2" t="str">
        <f aca="false">IF(C2092="","",IFERROR(INDEX($S$5:$S$304,MATCH(C2092,$R$5:$R$304,0))&amp;"","?"))</f>
        <v>35</v>
      </c>
      <c r="N2092" s="2" t="n">
        <f aca="false">IF(E2092="","",IF(ISNUMBER(SEARCH("SUBSOLO",E2092)),IFERROR(-VALUE(LEFT(E2092,FIND("º",SUBSTITUTE(E2092,"°","º"))-1)),-1),IF(LEFT(E2092,6)="TÉRREO",0,IFERROR(VALUE(LEFT(E2092,FIND("º",SUBSTITUTE(E2092,"°","º"))-1)),""))))</f>
        <v>30</v>
      </c>
      <c r="O2092" s="2" t="str">
        <f aca="false">IF(OR(F2092="",G2092=""),"",IF(G2092&lt;='RETRATO 2027'!$K$5,"CONCLUÍDA",IF(F2092&lt;='RETRATO 2027'!$K$5,"EM ANDAMENTO","A INICIAR")))</f>
        <v>A INICIAR</v>
      </c>
    </row>
    <row r="2093" customFormat="false" ht="15" hidden="false" customHeight="false" outlineLevel="0" collapsed="false">
      <c r="B2093" s="4" t="n">
        <v>33898115</v>
      </c>
      <c r="C2093" s="4" t="s">
        <v>2545</v>
      </c>
      <c r="D2093" s="4" t="s">
        <v>463</v>
      </c>
      <c r="E2093" s="4" t="s">
        <v>2843</v>
      </c>
      <c r="F2093" s="127" t="n">
        <v>47036</v>
      </c>
      <c r="G2093" s="127" t="n">
        <v>47049</v>
      </c>
      <c r="H2093" s="127" t="n">
        <v>46289</v>
      </c>
      <c r="I2093" s="4" t="n">
        <v>0</v>
      </c>
      <c r="J2093" s="4" t="n">
        <v>0</v>
      </c>
      <c r="K2093" s="4" t="n">
        <v>0</v>
      </c>
      <c r="M2093" s="2" t="str">
        <f aca="false">IF(C2093="","",IFERROR(INDEX($S$5:$S$304,MATCH(C2093,$R$5:$R$304,0))&amp;"","?"))</f>
        <v>25</v>
      </c>
      <c r="N2093" s="2" t="n">
        <f aca="false">IF(E2093="","",IF(ISNUMBER(SEARCH("SUBSOLO",E2093)),IFERROR(-VALUE(LEFT(E2093,FIND("º",SUBSTITUTE(E2093,"°","º"))-1)),-1),IF(LEFT(E2093,6)="TÉRREO",0,IFERROR(VALUE(LEFT(E2093,FIND("º",SUBSTITUTE(E2093,"°","º"))-1)),""))))</f>
        <v>31</v>
      </c>
      <c r="O2093" s="2" t="str">
        <f aca="false">IF(OR(F2093="",G2093=""),"",IF(G2093&lt;='RETRATO 2027'!$K$5,"CONCLUÍDA",IF(F2093&lt;='RETRATO 2027'!$K$5,"EM ANDAMENTO","A INICIAR")))</f>
        <v>A INICIAR</v>
      </c>
    </row>
    <row r="2094" customFormat="false" ht="15" hidden="false" customHeight="false" outlineLevel="0" collapsed="false">
      <c r="B2094" s="4" t="n">
        <v>29981105</v>
      </c>
      <c r="C2094" s="4" t="s">
        <v>2508</v>
      </c>
      <c r="D2094" s="4" t="s">
        <v>463</v>
      </c>
      <c r="E2094" s="4" t="s">
        <v>2822</v>
      </c>
      <c r="F2094" s="127" t="n">
        <v>47039</v>
      </c>
      <c r="G2094" s="127" t="n">
        <v>47050</v>
      </c>
      <c r="H2094" s="127" t="n">
        <v>46289</v>
      </c>
      <c r="I2094" s="4" t="n">
        <v>0</v>
      </c>
      <c r="J2094" s="4" t="n">
        <v>0</v>
      </c>
      <c r="K2094" s="4" t="n">
        <v>0</v>
      </c>
      <c r="M2094" s="2" t="str">
        <f aca="false">IF(C2094="","",IFERROR(INDEX($S$5:$S$304,MATCH(C2094,$R$5:$R$304,0))&amp;"","?"))</f>
        <v>20</v>
      </c>
      <c r="N2094" s="2" t="n">
        <f aca="false">IF(E2094="","",IF(ISNUMBER(SEARCH("SUBSOLO",E2094)),IFERROR(-VALUE(LEFT(E2094,FIND("º",SUBSTITUTE(E2094,"°","º"))-1)),-1),IF(LEFT(E2094,6)="TÉRREO",0,IFERROR(VALUE(LEFT(E2094,FIND("º",SUBSTITUTE(E2094,"°","º"))-1)),""))))</f>
        <v>19</v>
      </c>
      <c r="O2094" s="2" t="str">
        <f aca="false">IF(OR(F2094="",G2094=""),"",IF(G2094&lt;='RETRATO 2027'!$K$5,"CONCLUÍDA",IF(F2094&lt;='RETRATO 2027'!$K$5,"EM ANDAMENTO","A INICIAR")))</f>
        <v>A INICIAR</v>
      </c>
    </row>
    <row r="2095" customFormat="false" ht="15" hidden="false" customHeight="false" outlineLevel="0" collapsed="false">
      <c r="B2095" s="4" t="n">
        <v>29981110</v>
      </c>
      <c r="C2095" s="4" t="s">
        <v>2511</v>
      </c>
      <c r="D2095" s="4" t="s">
        <v>463</v>
      </c>
      <c r="E2095" s="4" t="s">
        <v>2822</v>
      </c>
      <c r="F2095" s="127" t="n">
        <v>47039</v>
      </c>
      <c r="G2095" s="127" t="n">
        <v>47051</v>
      </c>
      <c r="H2095" s="127" t="n">
        <v>46289</v>
      </c>
      <c r="I2095" s="4" t="n">
        <v>0</v>
      </c>
      <c r="J2095" s="4" t="n">
        <v>0</v>
      </c>
      <c r="K2095" s="4" t="n">
        <v>0</v>
      </c>
      <c r="M2095" s="2" t="str">
        <f aca="false">IF(C2095="","",IFERROR(INDEX($S$5:$S$304,MATCH(C2095,$R$5:$R$304,0))&amp;"","?"))</f>
        <v>20</v>
      </c>
      <c r="N2095" s="2" t="n">
        <f aca="false">IF(E2095="","",IF(ISNUMBER(SEARCH("SUBSOLO",E2095)),IFERROR(-VALUE(LEFT(E2095,FIND("º",SUBSTITUTE(E2095,"°","º"))-1)),-1),IF(LEFT(E2095,6)="TÉRREO",0,IFERROR(VALUE(LEFT(E2095,FIND("º",SUBSTITUTE(E2095,"°","º"))-1)),""))))</f>
        <v>19</v>
      </c>
      <c r="O2095" s="2" t="str">
        <f aca="false">IF(OR(F2095="",G2095=""),"",IF(G2095&lt;='RETRATO 2027'!$K$5,"CONCLUÍDA",IF(F2095&lt;='RETRATO 2027'!$K$5,"EM ANDAMENTO","A INICIAR")))</f>
        <v>A INICIAR</v>
      </c>
    </row>
    <row r="2096" customFormat="false" ht="15" hidden="false" customHeight="false" outlineLevel="0" collapsed="false">
      <c r="B2096" s="4" t="n">
        <v>30214081</v>
      </c>
      <c r="C2096" s="4" t="s">
        <v>2514</v>
      </c>
      <c r="D2096" s="4" t="s">
        <v>463</v>
      </c>
      <c r="E2096" s="4" t="s">
        <v>2822</v>
      </c>
      <c r="F2096" s="127" t="n">
        <v>47039</v>
      </c>
      <c r="G2096" s="127" t="n">
        <v>47052</v>
      </c>
      <c r="H2096" s="127" t="n">
        <v>46289</v>
      </c>
      <c r="I2096" s="4" t="n">
        <v>0</v>
      </c>
      <c r="J2096" s="4" t="n">
        <v>0</v>
      </c>
      <c r="K2096" s="4" t="n">
        <v>0</v>
      </c>
      <c r="M2096" s="2" t="str">
        <f aca="false">IF(C2096="","",IFERROR(INDEX($S$5:$S$304,MATCH(C2096,$R$5:$R$304,0))&amp;"","?"))</f>
        <v>20</v>
      </c>
      <c r="N2096" s="2" t="n">
        <f aca="false">IF(E2096="","",IF(ISNUMBER(SEARCH("SUBSOLO",E2096)),IFERROR(-VALUE(LEFT(E2096,FIND("º",SUBSTITUTE(E2096,"°","º"))-1)),-1),IF(LEFT(E2096,6)="TÉRREO",0,IFERROR(VALUE(LEFT(E2096,FIND("º",SUBSTITUTE(E2096,"°","º"))-1)),""))))</f>
        <v>19</v>
      </c>
      <c r="O2096" s="2" t="str">
        <f aca="false">IF(OR(F2096="",G2096=""),"",IF(G2096&lt;='RETRATO 2027'!$K$5,"CONCLUÍDA",IF(F2096&lt;='RETRATO 2027'!$K$5,"EM ANDAMENTO","A INICIAR")))</f>
        <v>A INICIAR</v>
      </c>
    </row>
    <row r="2097" customFormat="false" ht="15" hidden="false" customHeight="false" outlineLevel="0" collapsed="false">
      <c r="B2097" s="4" t="n">
        <v>30171475</v>
      </c>
      <c r="C2097" s="4" t="s">
        <v>2629</v>
      </c>
      <c r="D2097" s="4" t="s">
        <v>463</v>
      </c>
      <c r="E2097" s="4" t="s">
        <v>2784</v>
      </c>
      <c r="F2097" s="127" t="n">
        <v>47042</v>
      </c>
      <c r="G2097" s="127" t="n">
        <v>47053</v>
      </c>
      <c r="H2097" s="127" t="n">
        <v>46289</v>
      </c>
      <c r="I2097" s="4" t="n">
        <v>0</v>
      </c>
      <c r="J2097" s="4" t="n">
        <v>0</v>
      </c>
      <c r="K2097" s="4" t="n">
        <v>0</v>
      </c>
      <c r="M2097" s="2" t="str">
        <f aca="false">IF(C2097="","",IFERROR(INDEX($S$5:$S$304,MATCH(C2097,$R$5:$R$304,0))&amp;"","?"))</f>
        <v>20</v>
      </c>
      <c r="N2097" s="2" t="n">
        <f aca="false">IF(E2097="","",IF(ISNUMBER(SEARCH("SUBSOLO",E2097)),IFERROR(-VALUE(LEFT(E2097,FIND("º",SUBSTITUTE(E2097,"°","º"))-1)),-1),IF(LEFT(E2097,6)="TÉRREO",0,IFERROR(VALUE(LEFT(E2097,FIND("º",SUBSTITUTE(E2097,"°","º"))-1)),""))))</f>
        <v>2</v>
      </c>
      <c r="O2097" s="2" t="str">
        <f aca="false">IF(OR(F2097="",G2097=""),"",IF(G2097&lt;='RETRATO 2027'!$K$5,"CONCLUÍDA",IF(F2097&lt;='RETRATO 2027'!$K$5,"EM ANDAMENTO","A INICIAR")))</f>
        <v>A INICIAR</v>
      </c>
    </row>
    <row r="2098" customFormat="false" ht="15" hidden="false" customHeight="false" outlineLevel="0" collapsed="false">
      <c r="B2098" s="4" t="n">
        <v>30171474</v>
      </c>
      <c r="C2098" s="4" t="s">
        <v>2653</v>
      </c>
      <c r="D2098" s="4" t="s">
        <v>463</v>
      </c>
      <c r="E2098" s="4" t="s">
        <v>2784</v>
      </c>
      <c r="F2098" s="127" t="n">
        <v>47042</v>
      </c>
      <c r="G2098" s="127" t="n">
        <v>47070</v>
      </c>
      <c r="H2098" s="127" t="n">
        <v>46289</v>
      </c>
      <c r="I2098" s="4" t="n">
        <v>0</v>
      </c>
      <c r="J2098" s="4" t="n">
        <v>0</v>
      </c>
      <c r="K2098" s="4" t="n">
        <v>0</v>
      </c>
      <c r="M2098" s="2" t="str">
        <f aca="false">IF(C2098="","",IFERROR(INDEX($S$5:$S$304,MATCH(C2098,$R$5:$R$304,0))&amp;"","?"))</f>
        <v>31</v>
      </c>
      <c r="N2098" s="2" t="n">
        <f aca="false">IF(E2098="","",IF(ISNUMBER(SEARCH("SUBSOLO",E2098)),IFERROR(-VALUE(LEFT(E2098,FIND("º",SUBSTITUTE(E2098,"°","º"))-1)),-1),IF(LEFT(E2098,6)="TÉRREO",0,IFERROR(VALUE(LEFT(E2098,FIND("º",SUBSTITUTE(E2098,"°","º"))-1)),""))))</f>
        <v>2</v>
      </c>
      <c r="O2098" s="2" t="str">
        <f aca="false">IF(OR(F2098="",G2098=""),"",IF(G2098&lt;='RETRATO 2027'!$K$5,"CONCLUÍDA",IF(F2098&lt;='RETRATO 2027'!$K$5,"EM ANDAMENTO","A INICIAR")))</f>
        <v>A INICIAR</v>
      </c>
    </row>
    <row r="2099" customFormat="false" ht="15" hidden="false" customHeight="false" outlineLevel="0" collapsed="false">
      <c r="B2099" s="4" t="n">
        <v>30171486</v>
      </c>
      <c r="C2099" s="4" t="s">
        <v>2655</v>
      </c>
      <c r="D2099" s="4" t="s">
        <v>463</v>
      </c>
      <c r="E2099" s="4" t="s">
        <v>2784</v>
      </c>
      <c r="F2099" s="127" t="n">
        <v>47042</v>
      </c>
      <c r="G2099" s="127" t="n">
        <v>47053</v>
      </c>
      <c r="H2099" s="127" t="n">
        <v>46289</v>
      </c>
      <c r="I2099" s="4" t="n">
        <v>0</v>
      </c>
      <c r="J2099" s="4" t="n">
        <v>0</v>
      </c>
      <c r="K2099" s="4" t="n">
        <v>0</v>
      </c>
      <c r="M2099" s="2" t="str">
        <f aca="false">IF(C2099="","",IFERROR(INDEX($S$5:$S$304,MATCH(C2099,$R$5:$R$304,0))&amp;"","?"))</f>
        <v>34</v>
      </c>
      <c r="N2099" s="2" t="n">
        <f aca="false">IF(E2099="","",IF(ISNUMBER(SEARCH("SUBSOLO",E2099)),IFERROR(-VALUE(LEFT(E2099,FIND("º",SUBSTITUTE(E2099,"°","º"))-1)),-1),IF(LEFT(E2099,6)="TÉRREO",0,IFERROR(VALUE(LEFT(E2099,FIND("º",SUBSTITUTE(E2099,"°","º"))-1)),""))))</f>
        <v>2</v>
      </c>
      <c r="O2099" s="2" t="str">
        <f aca="false">IF(OR(F2099="",G2099=""),"",IF(G2099&lt;='RETRATO 2027'!$K$5,"CONCLUÍDA",IF(F2099&lt;='RETRATO 2027'!$K$5,"EM ANDAMENTO","A INICIAR")))</f>
        <v>A INICIAR</v>
      </c>
    </row>
    <row r="2100" customFormat="false" ht="15" hidden="false" customHeight="false" outlineLevel="0" collapsed="false">
      <c r="B2100" s="4" t="n">
        <v>30171487</v>
      </c>
      <c r="C2100" s="4" t="s">
        <v>2656</v>
      </c>
      <c r="D2100" s="4" t="s">
        <v>463</v>
      </c>
      <c r="E2100" s="4" t="s">
        <v>2784</v>
      </c>
      <c r="F2100" s="127" t="n">
        <v>47042</v>
      </c>
      <c r="G2100" s="127" t="n">
        <v>47053</v>
      </c>
      <c r="H2100" s="127" t="n">
        <v>46289</v>
      </c>
      <c r="I2100" s="4" t="n">
        <v>0</v>
      </c>
      <c r="J2100" s="4" t="n">
        <v>0</v>
      </c>
      <c r="K2100" s="4" t="n">
        <v>0</v>
      </c>
      <c r="M2100" s="2" t="str">
        <f aca="false">IF(C2100="","",IFERROR(INDEX($S$5:$S$304,MATCH(C2100,$R$5:$R$304,0))&amp;"","?"))</f>
        <v>20</v>
      </c>
      <c r="N2100" s="2" t="n">
        <f aca="false">IF(E2100="","",IF(ISNUMBER(SEARCH("SUBSOLO",E2100)),IFERROR(-VALUE(LEFT(E2100,FIND("º",SUBSTITUTE(E2100,"°","º"))-1)),-1),IF(LEFT(E2100,6)="TÉRREO",0,IFERROR(VALUE(LEFT(E2100,FIND("º",SUBSTITUTE(E2100,"°","º"))-1)),""))))</f>
        <v>2</v>
      </c>
      <c r="O2100" s="2" t="str">
        <f aca="false">IF(OR(F2100="",G2100=""),"",IF(G2100&lt;='RETRATO 2027'!$K$5,"CONCLUÍDA",IF(F2100&lt;='RETRATO 2027'!$K$5,"EM ANDAMENTO","A INICIAR")))</f>
        <v>A INICIAR</v>
      </c>
    </row>
    <row r="2101" customFormat="false" ht="15" hidden="false" customHeight="false" outlineLevel="0" collapsed="false">
      <c r="B2101" s="4" t="n">
        <v>30171490</v>
      </c>
      <c r="C2101" s="4" t="s">
        <v>2581</v>
      </c>
      <c r="D2101" s="4" t="s">
        <v>463</v>
      </c>
      <c r="E2101" s="4" t="s">
        <v>2784</v>
      </c>
      <c r="F2101" s="127" t="n">
        <v>47042</v>
      </c>
      <c r="G2101" s="127" t="n">
        <v>47053</v>
      </c>
      <c r="H2101" s="127" t="n">
        <v>46289</v>
      </c>
      <c r="I2101" s="4" t="n">
        <v>0</v>
      </c>
      <c r="J2101" s="4" t="n">
        <v>0</v>
      </c>
      <c r="K2101" s="4" t="n">
        <v>0</v>
      </c>
      <c r="M2101" s="2" t="str">
        <f aca="false">IF(C2101="","",IFERROR(INDEX($S$5:$S$304,MATCH(C2101,$R$5:$R$304,0))&amp;"","?"))</f>
        <v/>
      </c>
      <c r="N2101" s="2" t="n">
        <f aca="false">IF(E2101="","",IF(ISNUMBER(SEARCH("SUBSOLO",E2101)),IFERROR(-VALUE(LEFT(E2101,FIND("º",SUBSTITUTE(E2101,"°","º"))-1)),-1),IF(LEFT(E2101,6)="TÉRREO",0,IFERROR(VALUE(LEFT(E2101,FIND("º",SUBSTITUTE(E2101,"°","º"))-1)),""))))</f>
        <v>2</v>
      </c>
      <c r="O2101" s="2" t="str">
        <f aca="false">IF(OR(F2101="",G2101=""),"",IF(G2101&lt;='RETRATO 2027'!$K$5,"CONCLUÍDA",IF(F2101&lt;='RETRATO 2027'!$K$5,"EM ANDAMENTO","A INICIAR")))</f>
        <v>A INICIAR</v>
      </c>
    </row>
    <row r="2102" customFormat="false" ht="15" hidden="false" customHeight="false" outlineLevel="0" collapsed="false">
      <c r="B2102" s="4" t="n">
        <v>30171445</v>
      </c>
      <c r="C2102" s="4" t="s">
        <v>2631</v>
      </c>
      <c r="D2102" s="4" t="s">
        <v>463</v>
      </c>
      <c r="E2102" s="4" t="s">
        <v>2790</v>
      </c>
      <c r="F2102" s="127" t="n">
        <v>47042</v>
      </c>
      <c r="G2102" s="127" t="n">
        <v>47079</v>
      </c>
      <c r="H2102" s="127" t="n">
        <v>46289</v>
      </c>
      <c r="I2102" s="4" t="n">
        <v>0</v>
      </c>
      <c r="J2102" s="4" t="n">
        <v>0</v>
      </c>
      <c r="K2102" s="4" t="n">
        <v>0</v>
      </c>
      <c r="M2102" s="2" t="str">
        <f aca="false">IF(C2102="","",IFERROR(INDEX($S$5:$S$304,MATCH(C2102,$R$5:$R$304,0))&amp;"","?"))</f>
        <v>35</v>
      </c>
      <c r="N2102" s="2" t="n">
        <f aca="false">IF(E2102="","",IF(ISNUMBER(SEARCH("SUBSOLO",E2102)),IFERROR(-VALUE(LEFT(E2102,FIND("º",SUBSTITUTE(E2102,"°","º"))-1)),-1),IF(LEFT(E2102,6)="TÉRREO",0,IFERROR(VALUE(LEFT(E2102,FIND("º",SUBSTITUTE(E2102,"°","º"))-1)),""))))</f>
        <v>3</v>
      </c>
      <c r="O2102" s="2" t="str">
        <f aca="false">IF(OR(F2102="",G2102=""),"",IF(G2102&lt;='RETRATO 2027'!$K$5,"CONCLUÍDA",IF(F2102&lt;='RETRATO 2027'!$K$5,"EM ANDAMENTO","A INICIAR")))</f>
        <v>A INICIAR</v>
      </c>
    </row>
    <row r="2103" customFormat="false" ht="15" hidden="false" customHeight="false" outlineLevel="0" collapsed="false">
      <c r="B2103" s="4" t="n">
        <v>30206126</v>
      </c>
      <c r="C2103" s="4" t="s">
        <v>2649</v>
      </c>
      <c r="D2103" s="4" t="s">
        <v>463</v>
      </c>
      <c r="E2103" s="4" t="s">
        <v>2846</v>
      </c>
      <c r="F2103" s="127" t="n">
        <v>47043</v>
      </c>
      <c r="G2103" s="127" t="n">
        <v>47056</v>
      </c>
      <c r="H2103" s="127" t="n">
        <v>46289</v>
      </c>
      <c r="I2103" s="4" t="n">
        <v>0</v>
      </c>
      <c r="J2103" s="4" t="n">
        <v>0</v>
      </c>
      <c r="K2103" s="4" t="n">
        <v>0</v>
      </c>
      <c r="M2103" s="2" t="str">
        <f aca="false">IF(C2103="","",IFERROR(INDEX($S$5:$S$304,MATCH(C2103,$R$5:$R$304,0))&amp;"","?"))</f>
        <v>37</v>
      </c>
      <c r="N2103" s="2" t="n">
        <f aca="false">IF(E2103="","",IF(ISNUMBER(SEARCH("SUBSOLO",E2103)),IFERROR(-VALUE(LEFT(E2103,FIND("º",SUBSTITUTE(E2103,"°","º"))-1)),-1),IF(LEFT(E2103,6)="TÉRREO",0,IFERROR(VALUE(LEFT(E2103,FIND("º",SUBSTITUTE(E2103,"°","º"))-1)),""))))</f>
        <v>6</v>
      </c>
      <c r="O2103" s="2" t="str">
        <f aca="false">IF(OR(F2103="",G2103=""),"",IF(G2103&lt;='RETRATO 2027'!$K$5,"CONCLUÍDA",IF(F2103&lt;='RETRATO 2027'!$K$5,"EM ANDAMENTO","A INICIAR")))</f>
        <v>A INICIAR</v>
      </c>
    </row>
    <row r="2104" customFormat="false" ht="15" hidden="false" customHeight="false" outlineLevel="0" collapsed="false">
      <c r="B2104" s="4" t="n">
        <v>30206076</v>
      </c>
      <c r="C2104" s="4" t="s">
        <v>2615</v>
      </c>
      <c r="D2104" s="4" t="s">
        <v>463</v>
      </c>
      <c r="E2104" s="4" t="s">
        <v>2847</v>
      </c>
      <c r="F2104" s="127" t="n">
        <v>47044</v>
      </c>
      <c r="G2104" s="127" t="n">
        <v>47057</v>
      </c>
      <c r="H2104" s="127" t="n">
        <v>46289</v>
      </c>
      <c r="I2104" s="4" t="n">
        <v>0</v>
      </c>
      <c r="J2104" s="4" t="n">
        <v>0</v>
      </c>
      <c r="K2104" s="4" t="n">
        <v>0</v>
      </c>
      <c r="M2104" s="2" t="str">
        <f aca="false">IF(C2104="","",IFERROR(INDEX($S$5:$S$304,MATCH(C2104,$R$5:$R$304,0))&amp;"","?"))</f>
        <v>37</v>
      </c>
      <c r="N2104" s="2" t="n">
        <f aca="false">IF(E2104="","",IF(ISNUMBER(SEARCH("SUBSOLO",E2104)),IFERROR(-VALUE(LEFT(E2104,FIND("º",SUBSTITUTE(E2104,"°","º"))-1)),-1),IF(LEFT(E2104,6)="TÉRREO",0,IFERROR(VALUE(LEFT(E2104,FIND("º",SUBSTITUTE(E2104,"°","º"))-1)),""))))</f>
        <v>6</v>
      </c>
      <c r="O2104" s="2" t="str">
        <f aca="false">IF(OR(F2104="",G2104=""),"",IF(G2104&lt;='RETRATO 2027'!$K$5,"CONCLUÍDA",IF(F2104&lt;='RETRATO 2027'!$K$5,"EM ANDAMENTO","A INICIAR")))</f>
        <v>A INICIAR</v>
      </c>
    </row>
    <row r="2105" customFormat="false" ht="15" hidden="false" customHeight="false" outlineLevel="0" collapsed="false">
      <c r="B2105" s="4" t="n">
        <v>30208619</v>
      </c>
      <c r="C2105" s="4" t="s">
        <v>2584</v>
      </c>
      <c r="D2105" s="4" t="s">
        <v>463</v>
      </c>
      <c r="E2105" s="4" t="s">
        <v>2848</v>
      </c>
      <c r="F2105" s="127" t="n">
        <v>47044</v>
      </c>
      <c r="G2105" s="127" t="n">
        <v>47050</v>
      </c>
      <c r="H2105" s="127" t="n">
        <v>46289</v>
      </c>
      <c r="I2105" s="4" t="n">
        <v>0</v>
      </c>
      <c r="J2105" s="4" t="n">
        <v>0</v>
      </c>
      <c r="K2105" s="4" t="n">
        <v>0</v>
      </c>
      <c r="M2105" s="2" t="str">
        <f aca="false">IF(C2105="","",IFERROR(INDEX($S$5:$S$304,MATCH(C2105,$R$5:$R$304,0))&amp;"","?"))</f>
        <v>20</v>
      </c>
      <c r="N2105" s="2" t="n">
        <f aca="false">IF(E2105="","",IF(ISNUMBER(SEARCH("SUBSOLO",E2105)),IFERROR(-VALUE(LEFT(E2105,FIND("º",SUBSTITUTE(E2105,"°","º"))-1)),-1),IF(LEFT(E2105,6)="TÉRREO",0,IFERROR(VALUE(LEFT(E2105,FIND("º",SUBSTITUTE(E2105,"°","º"))-1)),""))))</f>
        <v>6</v>
      </c>
      <c r="O2105" s="2" t="str">
        <f aca="false">IF(OR(F2105="",G2105=""),"",IF(G2105&lt;='RETRATO 2027'!$K$5,"CONCLUÍDA",IF(F2105&lt;='RETRATO 2027'!$K$5,"EM ANDAMENTO","A INICIAR")))</f>
        <v>A INICIAR</v>
      </c>
    </row>
    <row r="2106" customFormat="false" ht="15" hidden="false" customHeight="false" outlineLevel="0" collapsed="false">
      <c r="B2106" s="4" t="n">
        <v>29981069</v>
      </c>
      <c r="C2106" s="4" t="s">
        <v>2649</v>
      </c>
      <c r="D2106" s="4" t="s">
        <v>463</v>
      </c>
      <c r="E2106" s="4" t="s">
        <v>2823</v>
      </c>
      <c r="F2106" s="127" t="n">
        <v>47044</v>
      </c>
      <c r="G2106" s="127" t="n">
        <v>47056</v>
      </c>
      <c r="H2106" s="127" t="n">
        <v>46289</v>
      </c>
      <c r="I2106" s="4" t="n">
        <v>0</v>
      </c>
      <c r="J2106" s="4" t="n">
        <v>0</v>
      </c>
      <c r="K2106" s="4" t="n">
        <v>0</v>
      </c>
      <c r="M2106" s="2" t="str">
        <f aca="false">IF(C2106="","",IFERROR(INDEX($S$5:$S$304,MATCH(C2106,$R$5:$R$304,0))&amp;"","?"))</f>
        <v>37</v>
      </c>
      <c r="N2106" s="2" t="n">
        <f aca="false">IF(E2106="","",IF(ISNUMBER(SEARCH("SUBSOLO",E2106)),IFERROR(-VALUE(LEFT(E2106,FIND("º",SUBSTITUTE(E2106,"°","º"))-1)),-1),IF(LEFT(E2106,6)="TÉRREO",0,IFERROR(VALUE(LEFT(E2106,FIND("º",SUBSTITUTE(E2106,"°","º"))-1)),""))))</f>
        <v>20</v>
      </c>
      <c r="O2106" s="2" t="str">
        <f aca="false">IF(OR(F2106="",G2106=""),"",IF(G2106&lt;='RETRATO 2027'!$K$5,"CONCLUÍDA",IF(F2106&lt;='RETRATO 2027'!$K$5,"EM ANDAMENTO","A INICIAR")))</f>
        <v>A INICIAR</v>
      </c>
    </row>
    <row r="2107" customFormat="false" ht="15" hidden="false" customHeight="false" outlineLevel="0" collapsed="false">
      <c r="B2107" s="4" t="n">
        <v>29981022</v>
      </c>
      <c r="C2107" s="4" t="s">
        <v>2641</v>
      </c>
      <c r="D2107" s="4" t="s">
        <v>463</v>
      </c>
      <c r="E2107" s="4" t="s">
        <v>2825</v>
      </c>
      <c r="F2107" s="127" t="n">
        <v>47044</v>
      </c>
      <c r="G2107" s="127" t="n">
        <v>47056</v>
      </c>
      <c r="H2107" s="127" t="n">
        <v>46289</v>
      </c>
      <c r="I2107" s="4" t="n">
        <v>0</v>
      </c>
      <c r="J2107" s="4" t="n">
        <v>0</v>
      </c>
      <c r="K2107" s="4" t="n">
        <v>0</v>
      </c>
      <c r="M2107" s="2" t="str">
        <f aca="false">IF(C2107="","",IFERROR(INDEX($S$5:$S$304,MATCH(C2107,$R$5:$R$304,0))&amp;"","?"))</f>
        <v>35</v>
      </c>
      <c r="N2107" s="2" t="n">
        <f aca="false">IF(E2107="","",IF(ISNUMBER(SEARCH("SUBSOLO",E2107)),IFERROR(-VALUE(LEFT(E2107,FIND("º",SUBSTITUTE(E2107,"°","º"))-1)),-1),IF(LEFT(E2107,6)="TÉRREO",0,IFERROR(VALUE(LEFT(E2107,FIND("º",SUBSTITUTE(E2107,"°","º"))-1)),""))))</f>
        <v>21</v>
      </c>
      <c r="O2107" s="2" t="str">
        <f aca="false">IF(OR(F2107="",G2107=""),"",IF(G2107&lt;='RETRATO 2027'!$K$5,"CONCLUÍDA",IF(F2107&lt;='RETRATO 2027'!$K$5,"EM ANDAMENTO","A INICIAR")))</f>
        <v>A INICIAR</v>
      </c>
    </row>
    <row r="2108" customFormat="false" ht="15" hidden="false" customHeight="false" outlineLevel="0" collapsed="false">
      <c r="B2108" s="4" t="n">
        <v>34179704</v>
      </c>
      <c r="C2108" s="4" t="s">
        <v>2690</v>
      </c>
      <c r="D2108" s="4" t="s">
        <v>463</v>
      </c>
      <c r="E2108" s="4" t="s">
        <v>2836</v>
      </c>
      <c r="F2108" s="127" t="n">
        <v>47049</v>
      </c>
      <c r="G2108" s="127" t="n">
        <v>47081</v>
      </c>
      <c r="H2108" s="127" t="n">
        <v>46289</v>
      </c>
      <c r="I2108" s="4" t="n">
        <v>0</v>
      </c>
      <c r="J2108" s="4" t="n">
        <v>0</v>
      </c>
      <c r="K2108" s="4" t="n">
        <v>0</v>
      </c>
      <c r="M2108" s="2" t="str">
        <f aca="false">IF(C2108="","",IFERROR(INDEX($S$5:$S$304,MATCH(C2108,$R$5:$R$304,0))&amp;"","?"))</f>
        <v>37</v>
      </c>
      <c r="N2108" s="2" t="n">
        <f aca="false">IF(E2108="","",IF(ISNUMBER(SEARCH("SUBSOLO",E2108)),IFERROR(-VALUE(LEFT(E2108,FIND("º",SUBSTITUTE(E2108,"°","º"))-1)),-1),IF(LEFT(E2108,6)="TÉRREO",0,IFERROR(VALUE(LEFT(E2108,FIND("º",SUBSTITUTE(E2108,"°","º"))-1)),""))))</f>
        <v>0</v>
      </c>
      <c r="O2108" s="2" t="str">
        <f aca="false">IF(OR(F2108="",G2108=""),"",IF(G2108&lt;='RETRATO 2027'!$K$5,"CONCLUÍDA",IF(F2108&lt;='RETRATO 2027'!$K$5,"EM ANDAMENTO","A INICIAR")))</f>
        <v>A INICIAR</v>
      </c>
    </row>
    <row r="2109" customFormat="false" ht="15" hidden="false" customHeight="false" outlineLevel="0" collapsed="false">
      <c r="B2109" s="4" t="n">
        <v>30205859</v>
      </c>
      <c r="C2109" s="4" t="s">
        <v>2637</v>
      </c>
      <c r="D2109" s="4" t="s">
        <v>463</v>
      </c>
      <c r="E2109" s="4" t="s">
        <v>2782</v>
      </c>
      <c r="F2109" s="127" t="n">
        <v>47050</v>
      </c>
      <c r="G2109" s="127" t="n">
        <v>47056</v>
      </c>
      <c r="H2109" s="127" t="n">
        <v>46289</v>
      </c>
      <c r="I2109" s="4" t="n">
        <v>0</v>
      </c>
      <c r="J2109" s="4" t="n">
        <v>0</v>
      </c>
      <c r="K2109" s="4" t="n">
        <v>0</v>
      </c>
      <c r="M2109" s="2" t="str">
        <f aca="false">IF(C2109="","",IFERROR(INDEX($S$5:$S$304,MATCH(C2109,$R$5:$R$304,0))&amp;"","?"))</f>
        <v/>
      </c>
      <c r="N2109" s="2" t="n">
        <f aca="false">IF(E2109="","",IF(ISNUMBER(SEARCH("SUBSOLO",E2109)),IFERROR(-VALUE(LEFT(E2109,FIND("º",SUBSTITUTE(E2109,"°","º"))-1)),-1),IF(LEFT(E2109,6)="TÉRREO",0,IFERROR(VALUE(LEFT(E2109,FIND("º",SUBSTITUTE(E2109,"°","º"))-1)),""))))</f>
        <v>1</v>
      </c>
      <c r="O2109" s="2" t="str">
        <f aca="false">IF(OR(F2109="",G2109=""),"",IF(G2109&lt;='RETRATO 2027'!$K$5,"CONCLUÍDA",IF(F2109&lt;='RETRATO 2027'!$K$5,"EM ANDAMENTO","A INICIAR")))</f>
        <v>A INICIAR</v>
      </c>
    </row>
    <row r="2110" customFormat="false" ht="15" hidden="false" customHeight="false" outlineLevel="0" collapsed="false">
      <c r="B2110" s="4" t="n">
        <v>29980984</v>
      </c>
      <c r="C2110" s="4" t="s">
        <v>2637</v>
      </c>
      <c r="D2110" s="4" t="s">
        <v>463</v>
      </c>
      <c r="E2110" s="4" t="s">
        <v>2827</v>
      </c>
      <c r="F2110" s="127" t="n">
        <v>47050</v>
      </c>
      <c r="G2110" s="127" t="n">
        <v>47056</v>
      </c>
      <c r="H2110" s="127" t="n">
        <v>46289</v>
      </c>
      <c r="I2110" s="4" t="n">
        <v>0</v>
      </c>
      <c r="J2110" s="4" t="n">
        <v>0</v>
      </c>
      <c r="K2110" s="4" t="n">
        <v>0</v>
      </c>
      <c r="M2110" s="2" t="str">
        <f aca="false">IF(C2110="","",IFERROR(INDEX($S$5:$S$304,MATCH(C2110,$R$5:$R$304,0))&amp;"","?"))</f>
        <v/>
      </c>
      <c r="N2110" s="2" t="n">
        <f aca="false">IF(E2110="","",IF(ISNUMBER(SEARCH("SUBSOLO",E2110)),IFERROR(-VALUE(LEFT(E2110,FIND("º",SUBSTITUTE(E2110,"°","º"))-1)),-1),IF(LEFT(E2110,6)="TÉRREO",0,IFERROR(VALUE(LEFT(E2110,FIND("º",SUBSTITUTE(E2110,"°","º"))-1)),""))))</f>
        <v>22</v>
      </c>
      <c r="O2110" s="2" t="str">
        <f aca="false">IF(OR(F2110="",G2110=""),"",IF(G2110&lt;='RETRATO 2027'!$K$5,"CONCLUÍDA",IF(F2110&lt;='RETRATO 2027'!$K$5,"EM ANDAMENTO","A INICIAR")))</f>
        <v>A INICIAR</v>
      </c>
    </row>
    <row r="2111" customFormat="false" ht="15" hidden="false" customHeight="false" outlineLevel="0" collapsed="false">
      <c r="B2111" s="4" t="n">
        <v>29980949</v>
      </c>
      <c r="C2111" s="4" t="s">
        <v>2629</v>
      </c>
      <c r="D2111" s="4" t="s">
        <v>463</v>
      </c>
      <c r="E2111" s="4" t="s">
        <v>2829</v>
      </c>
      <c r="F2111" s="127" t="n">
        <v>47050</v>
      </c>
      <c r="G2111" s="127" t="n">
        <v>47063</v>
      </c>
      <c r="H2111" s="127" t="n">
        <v>46289</v>
      </c>
      <c r="I2111" s="4" t="n">
        <v>0</v>
      </c>
      <c r="J2111" s="4" t="n">
        <v>0</v>
      </c>
      <c r="K2111" s="4" t="n">
        <v>0</v>
      </c>
      <c r="M2111" s="2" t="str">
        <f aca="false">IF(C2111="","",IFERROR(INDEX($S$5:$S$304,MATCH(C2111,$R$5:$R$304,0))&amp;"","?"))</f>
        <v>20</v>
      </c>
      <c r="N2111" s="2" t="n">
        <f aca="false">IF(E2111="","",IF(ISNUMBER(SEARCH("SUBSOLO",E2111)),IFERROR(-VALUE(LEFT(E2111,FIND("º",SUBSTITUTE(E2111,"°","º"))-1)),-1),IF(LEFT(E2111,6)="TÉRREO",0,IFERROR(VALUE(LEFT(E2111,FIND("º",SUBSTITUTE(E2111,"°","º"))-1)),""))))</f>
        <v>23</v>
      </c>
      <c r="O2111" s="2" t="str">
        <f aca="false">IF(OR(F2111="",G2111=""),"",IF(G2111&lt;='RETRATO 2027'!$K$5,"CONCLUÍDA",IF(F2111&lt;='RETRATO 2027'!$K$5,"EM ANDAMENTO","A INICIAR")))</f>
        <v>A INICIAR</v>
      </c>
    </row>
    <row r="2112" customFormat="false" ht="15" hidden="false" customHeight="false" outlineLevel="0" collapsed="false">
      <c r="B2112" s="4" t="n">
        <v>29980909</v>
      </c>
      <c r="C2112" s="4" t="s">
        <v>2623</v>
      </c>
      <c r="D2112" s="4" t="s">
        <v>463</v>
      </c>
      <c r="E2112" s="4" t="s">
        <v>2831</v>
      </c>
      <c r="F2112" s="127" t="n">
        <v>47050</v>
      </c>
      <c r="G2112" s="127" t="n">
        <v>47063</v>
      </c>
      <c r="H2112" s="127" t="n">
        <v>46289</v>
      </c>
      <c r="I2112" s="4" t="n">
        <v>0</v>
      </c>
      <c r="J2112" s="4" t="n">
        <v>0</v>
      </c>
      <c r="K2112" s="4" t="n">
        <v>0</v>
      </c>
      <c r="M2112" s="2" t="str">
        <f aca="false">IF(C2112="","",IFERROR(INDEX($S$5:$S$304,MATCH(C2112,$R$5:$R$304,0))&amp;"","?"))</f>
        <v>35</v>
      </c>
      <c r="N2112" s="2" t="n">
        <f aca="false">IF(E2112="","",IF(ISNUMBER(SEARCH("SUBSOLO",E2112)),IFERROR(-VALUE(LEFT(E2112,FIND("º",SUBSTITUTE(E2112,"°","º"))-1)),-1),IF(LEFT(E2112,6)="TÉRREO",0,IFERROR(VALUE(LEFT(E2112,FIND("º",SUBSTITUTE(E2112,"°","º"))-1)),""))))</f>
        <v>24</v>
      </c>
      <c r="O2112" s="2" t="str">
        <f aca="false">IF(OR(F2112="",G2112=""),"",IF(G2112&lt;='RETRATO 2027'!$K$5,"CONCLUÍDA",IF(F2112&lt;='RETRATO 2027'!$K$5,"EM ANDAMENTO","A INICIAR")))</f>
        <v>A INICIAR</v>
      </c>
    </row>
    <row r="2113" customFormat="false" ht="15" hidden="false" customHeight="false" outlineLevel="0" collapsed="false">
      <c r="B2113" s="4" t="n">
        <v>33919801</v>
      </c>
      <c r="C2113" s="4" t="s">
        <v>2625</v>
      </c>
      <c r="D2113" s="4" t="s">
        <v>463</v>
      </c>
      <c r="E2113" s="4" t="s">
        <v>2831</v>
      </c>
      <c r="F2113" s="127" t="n">
        <v>47050</v>
      </c>
      <c r="G2113" s="127" t="n">
        <v>47063</v>
      </c>
      <c r="H2113" s="127" t="n">
        <v>46289</v>
      </c>
      <c r="I2113" s="4" t="n">
        <v>0</v>
      </c>
      <c r="J2113" s="4" t="n">
        <v>0</v>
      </c>
      <c r="K2113" s="4" t="n">
        <v>0</v>
      </c>
      <c r="M2113" s="2" t="str">
        <f aca="false">IF(C2113="","",IFERROR(INDEX($S$5:$S$304,MATCH(C2113,$R$5:$R$304,0))&amp;"","?"))</f>
        <v>32</v>
      </c>
      <c r="N2113" s="2" t="n">
        <f aca="false">IF(E2113="","",IF(ISNUMBER(SEARCH("SUBSOLO",E2113)),IFERROR(-VALUE(LEFT(E2113,FIND("º",SUBSTITUTE(E2113,"°","º"))-1)),-1),IF(LEFT(E2113,6)="TÉRREO",0,IFERROR(VALUE(LEFT(E2113,FIND("º",SUBSTITUTE(E2113,"°","º"))-1)),""))))</f>
        <v>24</v>
      </c>
      <c r="O2113" s="2" t="str">
        <f aca="false">IF(OR(F2113="",G2113=""),"",IF(G2113&lt;='RETRATO 2027'!$K$5,"CONCLUÍDA",IF(F2113&lt;='RETRATO 2027'!$K$5,"EM ANDAMENTO","A INICIAR")))</f>
        <v>A INICIAR</v>
      </c>
    </row>
    <row r="2114" customFormat="false" ht="15" hidden="false" customHeight="false" outlineLevel="0" collapsed="false">
      <c r="B2114" s="4" t="n">
        <v>29980871</v>
      </c>
      <c r="C2114" s="4" t="s">
        <v>2615</v>
      </c>
      <c r="D2114" s="4" t="s">
        <v>463</v>
      </c>
      <c r="E2114" s="4" t="s">
        <v>2833</v>
      </c>
      <c r="F2114" s="127" t="n">
        <v>47050</v>
      </c>
      <c r="G2114" s="127" t="n">
        <v>47063</v>
      </c>
      <c r="H2114" s="127" t="n">
        <v>46289</v>
      </c>
      <c r="I2114" s="4" t="n">
        <v>0</v>
      </c>
      <c r="J2114" s="4" t="n">
        <v>0</v>
      </c>
      <c r="K2114" s="4" t="n">
        <v>0</v>
      </c>
      <c r="M2114" s="2" t="str">
        <f aca="false">IF(C2114="","",IFERROR(INDEX($S$5:$S$304,MATCH(C2114,$R$5:$R$304,0))&amp;"","?"))</f>
        <v>37</v>
      </c>
      <c r="N2114" s="2" t="n">
        <f aca="false">IF(E2114="","",IF(ISNUMBER(SEARCH("SUBSOLO",E2114)),IFERROR(-VALUE(LEFT(E2114,FIND("º",SUBSTITUTE(E2114,"°","º"))-1)),-1),IF(LEFT(E2114,6)="TÉRREO",0,IFERROR(VALUE(LEFT(E2114,FIND("º",SUBSTITUTE(E2114,"°","º"))-1)),""))))</f>
        <v>25</v>
      </c>
      <c r="O2114" s="2" t="str">
        <f aca="false">IF(OR(F2114="",G2114=""),"",IF(G2114&lt;='RETRATO 2027'!$K$5,"CONCLUÍDA",IF(F2114&lt;='RETRATO 2027'!$K$5,"EM ANDAMENTO","A INICIAR")))</f>
        <v>A INICIAR</v>
      </c>
    </row>
    <row r="2115" customFormat="false" ht="15" hidden="false" customHeight="false" outlineLevel="0" collapsed="false">
      <c r="B2115" s="4" t="n">
        <v>29980828</v>
      </c>
      <c r="C2115" s="4" t="s">
        <v>2605</v>
      </c>
      <c r="D2115" s="4" t="s">
        <v>463</v>
      </c>
      <c r="E2115" s="4" t="s">
        <v>2834</v>
      </c>
      <c r="F2115" s="127" t="n">
        <v>47050</v>
      </c>
      <c r="G2115" s="127" t="n">
        <v>47063</v>
      </c>
      <c r="H2115" s="127" t="n">
        <v>46289</v>
      </c>
      <c r="I2115" s="4" t="n">
        <v>0</v>
      </c>
      <c r="J2115" s="4" t="n">
        <v>0</v>
      </c>
      <c r="K2115" s="4" t="n">
        <v>0</v>
      </c>
      <c r="M2115" s="2" t="str">
        <f aca="false">IF(C2115="","",IFERROR(INDEX($S$5:$S$304,MATCH(C2115,$R$5:$R$304,0))&amp;"","?"))</f>
        <v>34</v>
      </c>
      <c r="N2115" s="2" t="n">
        <f aca="false">IF(E2115="","",IF(ISNUMBER(SEARCH("SUBSOLO",E2115)),IFERROR(-VALUE(LEFT(E2115,FIND("º",SUBSTITUTE(E2115,"°","º"))-1)),-1),IF(LEFT(E2115,6)="TÉRREO",0,IFERROR(VALUE(LEFT(E2115,FIND("º",SUBSTITUTE(E2115,"°","º"))-1)),""))))</f>
        <v>26</v>
      </c>
      <c r="O2115" s="2" t="str">
        <f aca="false">IF(OR(F2115="",G2115=""),"",IF(G2115&lt;='RETRATO 2027'!$K$5,"CONCLUÍDA",IF(F2115&lt;='RETRATO 2027'!$K$5,"EM ANDAMENTO","A INICIAR")))</f>
        <v>A INICIAR</v>
      </c>
    </row>
    <row r="2116" customFormat="false" ht="15" hidden="false" customHeight="false" outlineLevel="0" collapsed="false">
      <c r="B2116" s="4" t="n">
        <v>29980833</v>
      </c>
      <c r="C2116" s="4" t="s">
        <v>2607</v>
      </c>
      <c r="D2116" s="4" t="s">
        <v>463</v>
      </c>
      <c r="E2116" s="4" t="s">
        <v>2834</v>
      </c>
      <c r="F2116" s="127" t="n">
        <v>47050</v>
      </c>
      <c r="G2116" s="127" t="n">
        <v>47063</v>
      </c>
      <c r="H2116" s="127" t="n">
        <v>46289</v>
      </c>
      <c r="I2116" s="4" t="n">
        <v>0</v>
      </c>
      <c r="J2116" s="4" t="n">
        <v>0</v>
      </c>
      <c r="K2116" s="4" t="n">
        <v>0</v>
      </c>
      <c r="M2116" s="2" t="str">
        <f aca="false">IF(C2116="","",IFERROR(INDEX($S$5:$S$304,MATCH(C2116,$R$5:$R$304,0))&amp;"","?"))</f>
        <v>34</v>
      </c>
      <c r="N2116" s="2" t="n">
        <f aca="false">IF(E2116="","",IF(ISNUMBER(SEARCH("SUBSOLO",E2116)),IFERROR(-VALUE(LEFT(E2116,FIND("º",SUBSTITUTE(E2116,"°","º"))-1)),-1),IF(LEFT(E2116,6)="TÉRREO",0,IFERROR(VALUE(LEFT(E2116,FIND("º",SUBSTITUTE(E2116,"°","º"))-1)),""))))</f>
        <v>26</v>
      </c>
      <c r="O2116" s="2" t="str">
        <f aca="false">IF(OR(F2116="",G2116=""),"",IF(G2116&lt;='RETRATO 2027'!$K$5,"CONCLUÍDA",IF(F2116&lt;='RETRATO 2027'!$K$5,"EM ANDAMENTO","A INICIAR")))</f>
        <v>A INICIAR</v>
      </c>
    </row>
    <row r="2117" customFormat="false" ht="15" hidden="false" customHeight="false" outlineLevel="0" collapsed="false">
      <c r="B2117" s="4" t="n">
        <v>29980832</v>
      </c>
      <c r="C2117" s="4" t="s">
        <v>2563</v>
      </c>
      <c r="D2117" s="4" t="s">
        <v>463</v>
      </c>
      <c r="E2117" s="4" t="s">
        <v>2834</v>
      </c>
      <c r="F2117" s="127" t="n">
        <v>47050</v>
      </c>
      <c r="G2117" s="127" t="n">
        <v>47063</v>
      </c>
      <c r="H2117" s="127" t="n">
        <v>46289</v>
      </c>
      <c r="I2117" s="4" t="n">
        <v>0</v>
      </c>
      <c r="J2117" s="4" t="n">
        <v>0</v>
      </c>
      <c r="K2117" s="4" t="n">
        <v>0</v>
      </c>
      <c r="M2117" s="2" t="str">
        <f aca="false">IF(C2117="","",IFERROR(INDEX($S$5:$S$304,MATCH(C2117,$R$5:$R$304,0))&amp;"","?"))</f>
        <v>20</v>
      </c>
      <c r="N2117" s="2" t="n">
        <f aca="false">IF(E2117="","",IF(ISNUMBER(SEARCH("SUBSOLO",E2117)),IFERROR(-VALUE(LEFT(E2117,FIND("º",SUBSTITUTE(E2117,"°","º"))-1)),-1),IF(LEFT(E2117,6)="TÉRREO",0,IFERROR(VALUE(LEFT(E2117,FIND("º",SUBSTITUTE(E2117,"°","º"))-1)),""))))</f>
        <v>26</v>
      </c>
      <c r="O2117" s="2" t="str">
        <f aca="false">IF(OR(F2117="",G2117=""),"",IF(G2117&lt;='RETRATO 2027'!$K$5,"CONCLUÍDA",IF(F2117&lt;='RETRATO 2027'!$K$5,"EM ANDAMENTO","A INICIAR")))</f>
        <v>A INICIAR</v>
      </c>
    </row>
    <row r="2118" customFormat="false" ht="15" hidden="false" customHeight="false" outlineLevel="0" collapsed="false">
      <c r="B2118" s="4" t="n">
        <v>29980831</v>
      </c>
      <c r="C2118" s="4" t="s">
        <v>2609</v>
      </c>
      <c r="D2118" s="4" t="s">
        <v>463</v>
      </c>
      <c r="E2118" s="4" t="s">
        <v>2834</v>
      </c>
      <c r="F2118" s="127" t="n">
        <v>47050</v>
      </c>
      <c r="G2118" s="127" t="n">
        <v>47063</v>
      </c>
      <c r="H2118" s="127" t="n">
        <v>46289</v>
      </c>
      <c r="I2118" s="4" t="n">
        <v>0</v>
      </c>
      <c r="J2118" s="4" t="n">
        <v>0</v>
      </c>
      <c r="K2118" s="4" t="n">
        <v>0</v>
      </c>
      <c r="M2118" s="2" t="str">
        <f aca="false">IF(C2118="","",IFERROR(INDEX($S$5:$S$304,MATCH(C2118,$R$5:$R$304,0))&amp;"","?"))</f>
        <v>23</v>
      </c>
      <c r="N2118" s="2" t="n">
        <f aca="false">IF(E2118="","",IF(ISNUMBER(SEARCH("SUBSOLO",E2118)),IFERROR(-VALUE(LEFT(E2118,FIND("º",SUBSTITUTE(E2118,"°","º"))-1)),-1),IF(LEFT(E2118,6)="TÉRREO",0,IFERROR(VALUE(LEFT(E2118,FIND("º",SUBSTITUTE(E2118,"°","º"))-1)),""))))</f>
        <v>26</v>
      </c>
      <c r="O2118" s="2" t="str">
        <f aca="false">IF(OR(F2118="",G2118=""),"",IF(G2118&lt;='RETRATO 2027'!$K$5,"CONCLUÍDA",IF(F2118&lt;='RETRATO 2027'!$K$5,"EM ANDAMENTO","A INICIAR")))</f>
        <v>A INICIAR</v>
      </c>
    </row>
    <row r="2119" customFormat="false" ht="15" hidden="false" customHeight="false" outlineLevel="0" collapsed="false">
      <c r="B2119" s="4" t="n">
        <v>29980790</v>
      </c>
      <c r="C2119" s="4" t="s">
        <v>2599</v>
      </c>
      <c r="D2119" s="4" t="s">
        <v>463</v>
      </c>
      <c r="E2119" s="4" t="s">
        <v>2838</v>
      </c>
      <c r="F2119" s="127" t="n">
        <v>47050</v>
      </c>
      <c r="G2119" s="127" t="n">
        <v>47063</v>
      </c>
      <c r="H2119" s="127" t="n">
        <v>46289</v>
      </c>
      <c r="I2119" s="4" t="n">
        <v>0</v>
      </c>
      <c r="J2119" s="4" t="n">
        <v>0</v>
      </c>
      <c r="K2119" s="4" t="n">
        <v>0</v>
      </c>
      <c r="M2119" s="2" t="str">
        <f aca="false">IF(C2119="","",IFERROR(INDEX($S$5:$S$304,MATCH(C2119,$R$5:$R$304,0))&amp;"","?"))</f>
        <v>30</v>
      </c>
      <c r="N2119" s="2" t="n">
        <f aca="false">IF(E2119="","",IF(ISNUMBER(SEARCH("SUBSOLO",E2119)),IFERROR(-VALUE(LEFT(E2119,FIND("º",SUBSTITUTE(E2119,"°","º"))-1)),-1),IF(LEFT(E2119,6)="TÉRREO",0,IFERROR(VALUE(LEFT(E2119,FIND("º",SUBSTITUTE(E2119,"°","º"))-1)),""))))</f>
        <v>27</v>
      </c>
      <c r="O2119" s="2" t="str">
        <f aca="false">IF(OR(F2119="",G2119=""),"",IF(G2119&lt;='RETRATO 2027'!$K$5,"CONCLUÍDA",IF(F2119&lt;='RETRATO 2027'!$K$5,"EM ANDAMENTO","A INICIAR")))</f>
        <v>A INICIAR</v>
      </c>
    </row>
    <row r="2120" customFormat="false" ht="15" hidden="false" customHeight="false" outlineLevel="0" collapsed="false">
      <c r="B2120" s="4" t="n">
        <v>29980752</v>
      </c>
      <c r="C2120" s="4" t="s">
        <v>2578</v>
      </c>
      <c r="D2120" s="4" t="s">
        <v>463</v>
      </c>
      <c r="E2120" s="4" t="s">
        <v>2840</v>
      </c>
      <c r="F2120" s="127" t="n">
        <v>47050</v>
      </c>
      <c r="G2120" s="127" t="n">
        <v>47063</v>
      </c>
      <c r="H2120" s="127" t="n">
        <v>46289</v>
      </c>
      <c r="I2120" s="4" t="n">
        <v>0</v>
      </c>
      <c r="J2120" s="4" t="n">
        <v>0</v>
      </c>
      <c r="K2120" s="4" t="n">
        <v>0</v>
      </c>
      <c r="M2120" s="2" t="str">
        <f aca="false">IF(C2120="","",IFERROR(INDEX($S$5:$S$304,MATCH(C2120,$R$5:$R$304,0))&amp;"","?"))</f>
        <v>25</v>
      </c>
      <c r="N2120" s="2" t="n">
        <f aca="false">IF(E2120="","",IF(ISNUMBER(SEARCH("SUBSOLO",E2120)),IFERROR(-VALUE(LEFT(E2120,FIND("º",SUBSTITUTE(E2120,"°","º"))-1)),-1),IF(LEFT(E2120,6)="TÉRREO",0,IFERROR(VALUE(LEFT(E2120,FIND("º",SUBSTITUTE(E2120,"°","º"))-1)),""))))</f>
        <v>28</v>
      </c>
      <c r="O2120" s="2" t="str">
        <f aca="false">IF(OR(F2120="",G2120=""),"",IF(G2120&lt;='RETRATO 2027'!$K$5,"CONCLUÍDA",IF(F2120&lt;='RETRATO 2027'!$K$5,"EM ANDAMENTO","A INICIAR")))</f>
        <v>A INICIAR</v>
      </c>
    </row>
    <row r="2121" customFormat="false" ht="15" hidden="false" customHeight="false" outlineLevel="0" collapsed="false">
      <c r="B2121" s="4" t="n">
        <v>29980714</v>
      </c>
      <c r="C2121" s="4" t="s">
        <v>2569</v>
      </c>
      <c r="D2121" s="4" t="s">
        <v>463</v>
      </c>
      <c r="E2121" s="4" t="s">
        <v>2841</v>
      </c>
      <c r="F2121" s="127" t="n">
        <v>47050</v>
      </c>
      <c r="G2121" s="127" t="n">
        <v>47063</v>
      </c>
      <c r="H2121" s="127" t="n">
        <v>46289</v>
      </c>
      <c r="I2121" s="4" t="n">
        <v>0</v>
      </c>
      <c r="J2121" s="4" t="n">
        <v>0</v>
      </c>
      <c r="K2121" s="4" t="n">
        <v>0</v>
      </c>
      <c r="M2121" s="2" t="str">
        <f aca="false">IF(C2121="","",IFERROR(INDEX($S$5:$S$304,MATCH(C2121,$R$5:$R$304,0))&amp;"","?"))</f>
        <v>30</v>
      </c>
      <c r="N2121" s="2" t="n">
        <f aca="false">IF(E2121="","",IF(ISNUMBER(SEARCH("SUBSOLO",E2121)),IFERROR(-VALUE(LEFT(E2121,FIND("º",SUBSTITUTE(E2121,"°","º"))-1)),-1),IF(LEFT(E2121,6)="TÉRREO",0,IFERROR(VALUE(LEFT(E2121,FIND("º",SUBSTITUTE(E2121,"°","º"))-1)),""))))</f>
        <v>29</v>
      </c>
      <c r="O2121" s="2" t="str">
        <f aca="false">IF(OR(F2121="",G2121=""),"",IF(G2121&lt;='RETRATO 2027'!$K$5,"CONCLUÍDA",IF(F2121&lt;='RETRATO 2027'!$K$5,"EM ANDAMENTO","A INICIAR")))</f>
        <v>A INICIAR</v>
      </c>
    </row>
    <row r="2122" customFormat="false" ht="15" hidden="false" customHeight="false" outlineLevel="0" collapsed="false">
      <c r="B2122" s="4" t="n">
        <v>29980676</v>
      </c>
      <c r="C2122" s="4" t="s">
        <v>2554</v>
      </c>
      <c r="D2122" s="4" t="s">
        <v>463</v>
      </c>
      <c r="E2122" s="4" t="s">
        <v>2842</v>
      </c>
      <c r="F2122" s="127" t="n">
        <v>47050</v>
      </c>
      <c r="G2122" s="127" t="n">
        <v>47063</v>
      </c>
      <c r="H2122" s="127" t="n">
        <v>46289</v>
      </c>
      <c r="I2122" s="4" t="n">
        <v>0</v>
      </c>
      <c r="J2122" s="4" t="n">
        <v>0</v>
      </c>
      <c r="K2122" s="4" t="n">
        <v>0</v>
      </c>
      <c r="M2122" s="2" t="str">
        <f aca="false">IF(C2122="","",IFERROR(INDEX($S$5:$S$304,MATCH(C2122,$R$5:$R$304,0))&amp;"","?"))</f>
        <v>35</v>
      </c>
      <c r="N2122" s="2" t="n">
        <f aca="false">IF(E2122="","",IF(ISNUMBER(SEARCH("SUBSOLO",E2122)),IFERROR(-VALUE(LEFT(E2122,FIND("º",SUBSTITUTE(E2122,"°","º"))-1)),-1),IF(LEFT(E2122,6)="TÉRREO",0,IFERROR(VALUE(LEFT(E2122,FIND("º",SUBSTITUTE(E2122,"°","º"))-1)),""))))</f>
        <v>30</v>
      </c>
      <c r="O2122" s="2" t="str">
        <f aca="false">IF(OR(F2122="",G2122=""),"",IF(G2122&lt;='RETRATO 2027'!$K$5,"CONCLUÍDA",IF(F2122&lt;='RETRATO 2027'!$K$5,"EM ANDAMENTO","A INICIAR")))</f>
        <v>A INICIAR</v>
      </c>
    </row>
    <row r="2123" customFormat="false" ht="15" hidden="false" customHeight="false" outlineLevel="0" collapsed="false">
      <c r="B2123" s="4" t="n">
        <v>29980665</v>
      </c>
      <c r="C2123" s="4" t="s">
        <v>2539</v>
      </c>
      <c r="D2123" s="4" t="s">
        <v>463</v>
      </c>
      <c r="E2123" s="4" t="s">
        <v>2843</v>
      </c>
      <c r="F2123" s="127" t="n">
        <v>47050</v>
      </c>
      <c r="G2123" s="127" t="n">
        <v>47063</v>
      </c>
      <c r="H2123" s="127" t="n">
        <v>46289</v>
      </c>
      <c r="I2123" s="4" t="n">
        <v>0</v>
      </c>
      <c r="J2123" s="4" t="n">
        <v>0</v>
      </c>
      <c r="K2123" s="4" t="n">
        <v>0</v>
      </c>
      <c r="M2123" s="2" t="str">
        <f aca="false">IF(C2123="","",IFERROR(INDEX($S$5:$S$304,MATCH(C2123,$R$5:$R$304,0))&amp;"","?"))</f>
        <v>35</v>
      </c>
      <c r="N2123" s="2" t="n">
        <f aca="false">IF(E2123="","",IF(ISNUMBER(SEARCH("SUBSOLO",E2123)),IFERROR(-VALUE(LEFT(E2123,FIND("º",SUBSTITUTE(E2123,"°","º"))-1)),-1),IF(LEFT(E2123,6)="TÉRREO",0,IFERROR(VALUE(LEFT(E2123,FIND("º",SUBSTITUTE(E2123,"°","º"))-1)),""))))</f>
        <v>31</v>
      </c>
      <c r="O2123" s="2" t="str">
        <f aca="false">IF(OR(F2123="",G2123=""),"",IF(G2123&lt;='RETRATO 2027'!$K$5,"CONCLUÍDA",IF(F2123&lt;='RETRATO 2027'!$K$5,"EM ANDAMENTO","A INICIAR")))</f>
        <v>A INICIAR</v>
      </c>
    </row>
    <row r="2124" customFormat="false" ht="15" hidden="false" customHeight="false" outlineLevel="0" collapsed="false">
      <c r="B2124" s="4" t="n">
        <v>33898116</v>
      </c>
      <c r="C2124" s="4" t="s">
        <v>2545</v>
      </c>
      <c r="D2124" s="4" t="s">
        <v>463</v>
      </c>
      <c r="E2124" s="4" t="s">
        <v>2844</v>
      </c>
      <c r="F2124" s="127" t="n">
        <v>47050</v>
      </c>
      <c r="G2124" s="127" t="n">
        <v>47063</v>
      </c>
      <c r="H2124" s="127" t="n">
        <v>46289</v>
      </c>
      <c r="I2124" s="4" t="n">
        <v>0</v>
      </c>
      <c r="J2124" s="4" t="n">
        <v>0</v>
      </c>
      <c r="K2124" s="4" t="n">
        <v>0</v>
      </c>
      <c r="M2124" s="2" t="str">
        <f aca="false">IF(C2124="","",IFERROR(INDEX($S$5:$S$304,MATCH(C2124,$R$5:$R$304,0))&amp;"","?"))</f>
        <v>25</v>
      </c>
      <c r="N2124" s="2" t="n">
        <f aca="false">IF(E2124="","",IF(ISNUMBER(SEARCH("SUBSOLO",E2124)),IFERROR(-VALUE(LEFT(E2124,FIND("º",SUBSTITUTE(E2124,"°","º"))-1)),-1),IF(LEFT(E2124,6)="TÉRREO",0,IFERROR(VALUE(LEFT(E2124,FIND("º",SUBSTITUTE(E2124,"°","º"))-1)),""))))</f>
        <v>32</v>
      </c>
      <c r="O2124" s="2" t="str">
        <f aca="false">IF(OR(F2124="",G2124=""),"",IF(G2124&lt;='RETRATO 2027'!$K$5,"CONCLUÍDA",IF(F2124&lt;='RETRATO 2027'!$K$5,"EM ANDAMENTO","A INICIAR")))</f>
        <v>A INICIAR</v>
      </c>
    </row>
    <row r="2125" customFormat="false" ht="15" hidden="false" customHeight="false" outlineLevel="0" collapsed="false">
      <c r="B2125" s="4" t="n">
        <v>30206039</v>
      </c>
      <c r="C2125" s="4" t="s">
        <v>2615</v>
      </c>
      <c r="D2125" s="4" t="s">
        <v>463</v>
      </c>
      <c r="E2125" s="4" t="s">
        <v>2848</v>
      </c>
      <c r="F2125" s="127" t="n">
        <v>47051</v>
      </c>
      <c r="G2125" s="127" t="n">
        <v>47065</v>
      </c>
      <c r="H2125" s="127" t="n">
        <v>46289</v>
      </c>
      <c r="I2125" s="4" t="n">
        <v>0</v>
      </c>
      <c r="J2125" s="4" t="n">
        <v>0</v>
      </c>
      <c r="K2125" s="4" t="n">
        <v>0</v>
      </c>
      <c r="M2125" s="2" t="str">
        <f aca="false">IF(C2125="","",IFERROR(INDEX($S$5:$S$304,MATCH(C2125,$R$5:$R$304,0))&amp;"","?"))</f>
        <v>37</v>
      </c>
      <c r="N2125" s="2" t="n">
        <f aca="false">IF(E2125="","",IF(ISNUMBER(SEARCH("SUBSOLO",E2125)),IFERROR(-VALUE(LEFT(E2125,FIND("º",SUBSTITUTE(E2125,"°","º"))-1)),-1),IF(LEFT(E2125,6)="TÉRREO",0,IFERROR(VALUE(LEFT(E2125,FIND("º",SUBSTITUTE(E2125,"°","º"))-1)),""))))</f>
        <v>6</v>
      </c>
      <c r="O2125" s="2" t="str">
        <f aca="false">IF(OR(F2125="",G2125=""),"",IF(G2125&lt;='RETRATO 2027'!$K$5,"CONCLUÍDA",IF(F2125&lt;='RETRATO 2027'!$K$5,"EM ANDAMENTO","A INICIAR")))</f>
        <v>A INICIAR</v>
      </c>
    </row>
    <row r="2126" customFormat="false" ht="15" hidden="false" customHeight="false" outlineLevel="0" collapsed="false">
      <c r="B2126" s="4" t="n">
        <v>30205994</v>
      </c>
      <c r="C2126" s="4" t="s">
        <v>2578</v>
      </c>
      <c r="D2126" s="4" t="s">
        <v>463</v>
      </c>
      <c r="E2126" s="4" t="s">
        <v>2849</v>
      </c>
      <c r="F2126" s="127" t="n">
        <v>47051</v>
      </c>
      <c r="G2126" s="127" t="n">
        <v>47057</v>
      </c>
      <c r="H2126" s="127" t="n">
        <v>46289</v>
      </c>
      <c r="I2126" s="4" t="n">
        <v>0</v>
      </c>
      <c r="J2126" s="4" t="n">
        <v>0</v>
      </c>
      <c r="K2126" s="4" t="n">
        <v>0</v>
      </c>
      <c r="M2126" s="2" t="str">
        <f aca="false">IF(C2126="","",IFERROR(INDEX($S$5:$S$304,MATCH(C2126,$R$5:$R$304,0))&amp;"","?"))</f>
        <v>25</v>
      </c>
      <c r="N2126" s="2" t="n">
        <f aca="false">IF(E2126="","",IF(ISNUMBER(SEARCH("SUBSOLO",E2126)),IFERROR(-VALUE(LEFT(E2126,FIND("º",SUBSTITUTE(E2126,"°","º"))-1)),-1),IF(LEFT(E2126,6)="TÉRREO",0,IFERROR(VALUE(LEFT(E2126,FIND("º",SUBSTITUTE(E2126,"°","º"))-1)),""))))</f>
        <v>6</v>
      </c>
      <c r="O2126" s="2" t="str">
        <f aca="false">IF(OR(F2126="",G2126=""),"",IF(G2126&lt;='RETRATO 2027'!$K$5,"CONCLUÍDA",IF(F2126&lt;='RETRATO 2027'!$K$5,"EM ANDAMENTO","A INICIAR")))</f>
        <v>A INICIAR</v>
      </c>
    </row>
    <row r="2127" customFormat="false" ht="15" hidden="false" customHeight="false" outlineLevel="0" collapsed="false">
      <c r="B2127" s="4" t="n">
        <v>30206000</v>
      </c>
      <c r="C2127" s="4" t="s">
        <v>2563</v>
      </c>
      <c r="D2127" s="4" t="s">
        <v>463</v>
      </c>
      <c r="E2127" s="4" t="s">
        <v>2849</v>
      </c>
      <c r="F2127" s="127" t="n">
        <v>47051</v>
      </c>
      <c r="G2127" s="127" t="n">
        <v>47065</v>
      </c>
      <c r="H2127" s="127" t="n">
        <v>46289</v>
      </c>
      <c r="I2127" s="4" t="n">
        <v>0</v>
      </c>
      <c r="J2127" s="4" t="n">
        <v>0</v>
      </c>
      <c r="K2127" s="4" t="n">
        <v>0</v>
      </c>
      <c r="M2127" s="2" t="str">
        <f aca="false">IF(C2127="","",IFERROR(INDEX($S$5:$S$304,MATCH(C2127,$R$5:$R$304,0))&amp;"","?"))</f>
        <v>20</v>
      </c>
      <c r="N2127" s="2" t="n">
        <f aca="false">IF(E2127="","",IF(ISNUMBER(SEARCH("SUBSOLO",E2127)),IFERROR(-VALUE(LEFT(E2127,FIND("º",SUBSTITUTE(E2127,"°","º"))-1)),-1),IF(LEFT(E2127,6)="TÉRREO",0,IFERROR(VALUE(LEFT(E2127,FIND("º",SUBSTITUTE(E2127,"°","º"))-1)),""))))</f>
        <v>6</v>
      </c>
      <c r="O2127" s="2" t="str">
        <f aca="false">IF(OR(F2127="",G2127=""),"",IF(G2127&lt;='RETRATO 2027'!$K$5,"CONCLUÍDA",IF(F2127&lt;='RETRATO 2027'!$K$5,"EM ANDAMENTO","A INICIAR")))</f>
        <v>A INICIAR</v>
      </c>
    </row>
    <row r="2128" customFormat="false" ht="15" hidden="false" customHeight="false" outlineLevel="0" collapsed="false">
      <c r="B2128" s="4" t="n">
        <v>30205999</v>
      </c>
      <c r="C2128" s="4" t="s">
        <v>2609</v>
      </c>
      <c r="D2128" s="4" t="s">
        <v>463</v>
      </c>
      <c r="E2128" s="4" t="s">
        <v>2849</v>
      </c>
      <c r="F2128" s="127" t="n">
        <v>47051</v>
      </c>
      <c r="G2128" s="127" t="n">
        <v>47065</v>
      </c>
      <c r="H2128" s="127" t="n">
        <v>46289</v>
      </c>
      <c r="I2128" s="4" t="n">
        <v>0</v>
      </c>
      <c r="J2128" s="4" t="n">
        <v>0</v>
      </c>
      <c r="K2128" s="4" t="n">
        <v>0</v>
      </c>
      <c r="M2128" s="2" t="str">
        <f aca="false">IF(C2128="","",IFERROR(INDEX($S$5:$S$304,MATCH(C2128,$R$5:$R$304,0))&amp;"","?"))</f>
        <v>23</v>
      </c>
      <c r="N2128" s="2" t="n">
        <f aca="false">IF(E2128="","",IF(ISNUMBER(SEARCH("SUBSOLO",E2128)),IFERROR(-VALUE(LEFT(E2128,FIND("º",SUBSTITUTE(E2128,"°","º"))-1)),-1),IF(LEFT(E2128,6)="TÉRREO",0,IFERROR(VALUE(LEFT(E2128,FIND("º",SUBSTITUTE(E2128,"°","º"))-1)),""))))</f>
        <v>6</v>
      </c>
      <c r="O2128" s="2" t="str">
        <f aca="false">IF(OR(F2128="",G2128=""),"",IF(G2128&lt;='RETRATO 2027'!$K$5,"CONCLUÍDA",IF(F2128&lt;='RETRATO 2027'!$K$5,"EM ANDAMENTO","A INICIAR")))</f>
        <v>A INICIAR</v>
      </c>
    </row>
    <row r="2129" customFormat="false" ht="15" hidden="false" customHeight="false" outlineLevel="0" collapsed="false">
      <c r="B2129" s="4" t="n">
        <v>30205955</v>
      </c>
      <c r="C2129" s="4" t="s">
        <v>2554</v>
      </c>
      <c r="D2129" s="4" t="s">
        <v>463</v>
      </c>
      <c r="E2129" s="4" t="s">
        <v>2850</v>
      </c>
      <c r="F2129" s="127" t="n">
        <v>47051</v>
      </c>
      <c r="G2129" s="127" t="n">
        <v>47065</v>
      </c>
      <c r="H2129" s="127" t="n">
        <v>46289</v>
      </c>
      <c r="I2129" s="4" t="n">
        <v>0</v>
      </c>
      <c r="J2129" s="4" t="n">
        <v>0</v>
      </c>
      <c r="K2129" s="4" t="n">
        <v>0</v>
      </c>
      <c r="M2129" s="2" t="str">
        <f aca="false">IF(C2129="","",IFERROR(INDEX($S$5:$S$304,MATCH(C2129,$R$5:$R$304,0))&amp;"","?"))</f>
        <v>35</v>
      </c>
      <c r="N2129" s="2" t="n">
        <f aca="false">IF(E2129="","",IF(ISNUMBER(SEARCH("SUBSOLO",E2129)),IFERROR(-VALUE(LEFT(E2129,FIND("º",SUBSTITUTE(E2129,"°","º"))-1)),-1),IF(LEFT(E2129,6)="TÉRREO",0,IFERROR(VALUE(LEFT(E2129,FIND("º",SUBSTITUTE(E2129,"°","º"))-1)),""))))</f>
        <v>6</v>
      </c>
      <c r="O2129" s="2" t="str">
        <f aca="false">IF(OR(F2129="",G2129=""),"",IF(G2129&lt;='RETRATO 2027'!$K$5,"CONCLUÍDA",IF(F2129&lt;='RETRATO 2027'!$K$5,"EM ANDAMENTO","A INICIAR")))</f>
        <v>A INICIAR</v>
      </c>
    </row>
    <row r="2130" customFormat="false" ht="15" hidden="false" customHeight="false" outlineLevel="0" collapsed="false">
      <c r="B2130" s="4" t="n">
        <v>29981107</v>
      </c>
      <c r="C2130" s="4" t="s">
        <v>216</v>
      </c>
      <c r="D2130" s="4" t="s">
        <v>463</v>
      </c>
      <c r="E2130" s="4" t="s">
        <v>2822</v>
      </c>
      <c r="F2130" s="127" t="n">
        <v>47051</v>
      </c>
      <c r="G2130" s="127" t="n">
        <v>47060</v>
      </c>
      <c r="H2130" s="127" t="n">
        <v>46289</v>
      </c>
      <c r="I2130" s="4" t="n">
        <v>0</v>
      </c>
      <c r="J2130" s="4" t="n">
        <v>0</v>
      </c>
      <c r="K2130" s="4" t="n">
        <v>0</v>
      </c>
      <c r="M2130" s="2" t="str">
        <f aca="false">IF(C2130="","",IFERROR(INDEX($S$5:$S$304,MATCH(C2130,$R$5:$R$304,0))&amp;"","?"))</f>
        <v>33</v>
      </c>
      <c r="N2130" s="2" t="n">
        <f aca="false">IF(E2130="","",IF(ISNUMBER(SEARCH("SUBSOLO",E2130)),IFERROR(-VALUE(LEFT(E2130,FIND("º",SUBSTITUTE(E2130,"°","º"))-1)),-1),IF(LEFT(E2130,6)="TÉRREO",0,IFERROR(VALUE(LEFT(E2130,FIND("º",SUBSTITUTE(E2130,"°","º"))-1)),""))))</f>
        <v>19</v>
      </c>
      <c r="O2130" s="2" t="str">
        <f aca="false">IF(OR(F2130="",G2130=""),"",IF(G2130&lt;='RETRATO 2027'!$K$5,"CONCLUÍDA",IF(F2130&lt;='RETRATO 2027'!$K$5,"EM ANDAMENTO","A INICIAR")))</f>
        <v>A INICIAR</v>
      </c>
    </row>
    <row r="2131" customFormat="false" ht="15" hidden="false" customHeight="false" outlineLevel="0" collapsed="false">
      <c r="B2131" s="4" t="n">
        <v>30205896</v>
      </c>
      <c r="C2131" s="4" t="s">
        <v>2661</v>
      </c>
      <c r="D2131" s="4" t="s">
        <v>463</v>
      </c>
      <c r="E2131" s="4" t="s">
        <v>2845</v>
      </c>
      <c r="F2131" s="127" t="n">
        <v>47053</v>
      </c>
      <c r="G2131" s="127" t="n">
        <v>47105</v>
      </c>
      <c r="H2131" s="127" t="n">
        <v>46289</v>
      </c>
      <c r="I2131" s="4" t="n">
        <v>0</v>
      </c>
      <c r="J2131" s="4" t="n">
        <v>0</v>
      </c>
      <c r="K2131" s="4" t="n">
        <v>0</v>
      </c>
      <c r="M2131" s="2" t="str">
        <f aca="false">IF(C2131="","",IFERROR(INDEX($S$5:$S$304,MATCH(C2131,$R$5:$R$304,0))&amp;"","?"))</f>
        <v>30</v>
      </c>
      <c r="N2131" s="2" t="n">
        <f aca="false">IF(E2131="","",IF(ISNUMBER(SEARCH("SUBSOLO",E2131)),IFERROR(-VALUE(LEFT(E2131,FIND("º",SUBSTITUTE(E2131,"°","º"))-1)),-1),IF(LEFT(E2131,6)="TÉRREO",0,IFERROR(VALUE(LEFT(E2131,FIND("º",SUBSTITUTE(E2131,"°","º"))-1)),""))))</f>
        <v>6</v>
      </c>
      <c r="O2131" s="2" t="str">
        <f aca="false">IF(OR(F2131="",G2131=""),"",IF(G2131&lt;='RETRATO 2027'!$K$5,"CONCLUÍDA",IF(F2131&lt;='RETRATO 2027'!$K$5,"EM ANDAMENTO","A INICIAR")))</f>
        <v>A INICIAR</v>
      </c>
    </row>
    <row r="2132" customFormat="false" ht="15" hidden="false" customHeight="false" outlineLevel="0" collapsed="false">
      <c r="B2132" s="4" t="n">
        <v>30206132</v>
      </c>
      <c r="C2132" s="4" t="s">
        <v>2732</v>
      </c>
      <c r="D2132" s="4" t="s">
        <v>463</v>
      </c>
      <c r="E2132" s="4" t="s">
        <v>2846</v>
      </c>
      <c r="F2132" s="127" t="n">
        <v>47057</v>
      </c>
      <c r="G2132" s="127" t="n">
        <v>47071</v>
      </c>
      <c r="H2132" s="127" t="n">
        <v>46289</v>
      </c>
      <c r="I2132" s="4" t="n">
        <v>0</v>
      </c>
      <c r="J2132" s="4" t="n">
        <v>0</v>
      </c>
      <c r="K2132" s="4" t="n">
        <v>0</v>
      </c>
      <c r="M2132" s="2" t="str">
        <f aca="false">IF(C2132="","",IFERROR(INDEX($S$5:$S$304,MATCH(C2132,$R$5:$R$304,0))&amp;"","?"))</f>
        <v/>
      </c>
      <c r="N2132" s="2" t="n">
        <f aca="false">IF(E2132="","",IF(ISNUMBER(SEARCH("SUBSOLO",E2132)),IFERROR(-VALUE(LEFT(E2132,FIND("º",SUBSTITUTE(E2132,"°","º"))-1)),-1),IF(LEFT(E2132,6)="TÉRREO",0,IFERROR(VALUE(LEFT(E2132,FIND("º",SUBSTITUTE(E2132,"°","º"))-1)),""))))</f>
        <v>6</v>
      </c>
      <c r="O2132" s="2" t="str">
        <f aca="false">IF(OR(F2132="",G2132=""),"",IF(G2132&lt;='RETRATO 2027'!$K$5,"CONCLUÍDA",IF(F2132&lt;='RETRATO 2027'!$K$5,"EM ANDAMENTO","A INICIAR")))</f>
        <v>A INICIAR</v>
      </c>
    </row>
    <row r="2133" customFormat="false" ht="15" hidden="false" customHeight="false" outlineLevel="0" collapsed="false">
      <c r="B2133" s="4" t="n">
        <v>29981032</v>
      </c>
      <c r="C2133" s="4" t="s">
        <v>2649</v>
      </c>
      <c r="D2133" s="4" t="s">
        <v>463</v>
      </c>
      <c r="E2133" s="4" t="s">
        <v>2825</v>
      </c>
      <c r="F2133" s="127" t="n">
        <v>47057</v>
      </c>
      <c r="G2133" s="127" t="n">
        <v>47070</v>
      </c>
      <c r="H2133" s="127" t="n">
        <v>46289</v>
      </c>
      <c r="I2133" s="4" t="n">
        <v>0</v>
      </c>
      <c r="J2133" s="4" t="n">
        <v>0</v>
      </c>
      <c r="K2133" s="4" t="n">
        <v>0</v>
      </c>
      <c r="M2133" s="2" t="str">
        <f aca="false">IF(C2133="","",IFERROR(INDEX($S$5:$S$304,MATCH(C2133,$R$5:$R$304,0))&amp;"","?"))</f>
        <v>37</v>
      </c>
      <c r="N2133" s="2" t="n">
        <f aca="false">IF(E2133="","",IF(ISNUMBER(SEARCH("SUBSOLO",E2133)),IFERROR(-VALUE(LEFT(E2133,FIND("º",SUBSTITUTE(E2133,"°","º"))-1)),-1),IF(LEFT(E2133,6)="TÉRREO",0,IFERROR(VALUE(LEFT(E2133,FIND("º",SUBSTITUTE(E2133,"°","º"))-1)),""))))</f>
        <v>21</v>
      </c>
      <c r="O2133" s="2" t="str">
        <f aca="false">IF(OR(F2133="",G2133=""),"",IF(G2133&lt;='RETRATO 2027'!$K$5,"CONCLUÍDA",IF(F2133&lt;='RETRATO 2027'!$K$5,"EM ANDAMENTO","A INICIAR")))</f>
        <v>A INICIAR</v>
      </c>
    </row>
    <row r="2134" customFormat="false" ht="15" hidden="false" customHeight="false" outlineLevel="0" collapsed="false">
      <c r="B2134" s="4" t="n">
        <v>29980985</v>
      </c>
      <c r="C2134" s="4" t="s">
        <v>2641</v>
      </c>
      <c r="D2134" s="4" t="s">
        <v>463</v>
      </c>
      <c r="E2134" s="4" t="s">
        <v>2827</v>
      </c>
      <c r="F2134" s="127" t="n">
        <v>47057</v>
      </c>
      <c r="G2134" s="127" t="n">
        <v>47070</v>
      </c>
      <c r="H2134" s="127" t="n">
        <v>46289</v>
      </c>
      <c r="I2134" s="4" t="n">
        <v>0</v>
      </c>
      <c r="J2134" s="4" t="n">
        <v>0</v>
      </c>
      <c r="K2134" s="4" t="n">
        <v>0</v>
      </c>
      <c r="M2134" s="2" t="str">
        <f aca="false">IF(C2134="","",IFERROR(INDEX($S$5:$S$304,MATCH(C2134,$R$5:$R$304,0))&amp;"","?"))</f>
        <v>35</v>
      </c>
      <c r="N2134" s="2" t="n">
        <f aca="false">IF(E2134="","",IF(ISNUMBER(SEARCH("SUBSOLO",E2134)),IFERROR(-VALUE(LEFT(E2134,FIND("º",SUBSTITUTE(E2134,"°","º"))-1)),-1),IF(LEFT(E2134,6)="TÉRREO",0,IFERROR(VALUE(LEFT(E2134,FIND("º",SUBSTITUTE(E2134,"°","º"))-1)),""))))</f>
        <v>22</v>
      </c>
      <c r="O2134" s="2" t="str">
        <f aca="false">IF(OR(F2134="",G2134=""),"",IF(G2134&lt;='RETRATO 2027'!$K$5,"CONCLUÍDA",IF(F2134&lt;='RETRATO 2027'!$K$5,"EM ANDAMENTO","A INICIAR")))</f>
        <v>A INICIAR</v>
      </c>
    </row>
    <row r="2135" customFormat="false" ht="15" hidden="false" customHeight="false" outlineLevel="0" collapsed="false">
      <c r="B2135" s="4" t="n">
        <v>30171537</v>
      </c>
      <c r="C2135" s="4" t="s">
        <v>2581</v>
      </c>
      <c r="D2135" s="4" t="s">
        <v>463</v>
      </c>
      <c r="E2135" s="4" t="s">
        <v>2857</v>
      </c>
      <c r="F2135" s="127" t="n">
        <v>47058</v>
      </c>
      <c r="G2135" s="127" t="n">
        <v>47073</v>
      </c>
      <c r="H2135" s="127" t="n">
        <v>46289</v>
      </c>
      <c r="I2135" s="4" t="n">
        <v>0</v>
      </c>
      <c r="J2135" s="4" t="n">
        <v>0</v>
      </c>
      <c r="K2135" s="4" t="n">
        <v>0</v>
      </c>
      <c r="M2135" s="2" t="str">
        <f aca="false">IF(C2135="","",IFERROR(INDEX($S$5:$S$304,MATCH(C2135,$R$5:$R$304,0))&amp;"","?"))</f>
        <v/>
      </c>
      <c r="N2135" s="2" t="str">
        <f aca="false"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 t="str">
        <f aca="false">IF(OR(F2135="",G2135=""),"",IF(G2135&lt;='RETRATO 2027'!$K$5,"CONCLUÍDA",IF(F2135&lt;='RETRATO 2027'!$K$5,"EM ANDAMENTO","A INICIAR")))</f>
        <v>A INICIAR</v>
      </c>
    </row>
    <row r="2136" customFormat="false" ht="15" hidden="false" customHeight="false" outlineLevel="0" collapsed="false">
      <c r="B2136" s="4" t="n">
        <v>30171530</v>
      </c>
      <c r="C2136" s="4" t="s">
        <v>2584</v>
      </c>
      <c r="D2136" s="4" t="s">
        <v>463</v>
      </c>
      <c r="E2136" s="4" t="s">
        <v>2857</v>
      </c>
      <c r="F2136" s="127" t="n">
        <v>47058</v>
      </c>
      <c r="G2136" s="127" t="n">
        <v>47065</v>
      </c>
      <c r="H2136" s="127" t="n">
        <v>46289</v>
      </c>
      <c r="I2136" s="4" t="n">
        <v>0</v>
      </c>
      <c r="J2136" s="4" t="n">
        <v>0</v>
      </c>
      <c r="K2136" s="4" t="n">
        <v>0</v>
      </c>
      <c r="M2136" s="2" t="str">
        <f aca="false">IF(C2136="","",IFERROR(INDEX($S$5:$S$304,MATCH(C2136,$R$5:$R$304,0))&amp;"","?"))</f>
        <v>20</v>
      </c>
      <c r="N2136" s="2" t="str">
        <f aca="false"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 t="str">
        <f aca="false">IF(OR(F2136="",G2136=""),"",IF(G2136&lt;='RETRATO 2027'!$K$5,"CONCLUÍDA",IF(F2136&lt;='RETRATO 2027'!$K$5,"EM ANDAMENTO","A INICIAR")))</f>
        <v>A INICIAR</v>
      </c>
    </row>
    <row r="2137" customFormat="false" ht="15" hidden="false" customHeight="false" outlineLevel="0" collapsed="false">
      <c r="B2137" s="4" t="n">
        <v>30171536</v>
      </c>
      <c r="C2137" s="4" t="s">
        <v>2587</v>
      </c>
      <c r="D2137" s="4" t="s">
        <v>463</v>
      </c>
      <c r="E2137" s="4" t="s">
        <v>2857</v>
      </c>
      <c r="F2137" s="127" t="n">
        <v>47058</v>
      </c>
      <c r="G2137" s="127" t="n">
        <v>47073</v>
      </c>
      <c r="H2137" s="127" t="n">
        <v>46289</v>
      </c>
      <c r="I2137" s="4" t="n">
        <v>0</v>
      </c>
      <c r="J2137" s="4" t="n">
        <v>0</v>
      </c>
      <c r="K2137" s="4" t="n">
        <v>0</v>
      </c>
      <c r="M2137" s="2" t="str">
        <f aca="false">IF(C2137="","",IFERROR(INDEX($S$5:$S$304,MATCH(C2137,$R$5:$R$304,0))&amp;"","?"))</f>
        <v>26</v>
      </c>
      <c r="N2137" s="2" t="str">
        <f aca="false"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 t="str">
        <f aca="false">IF(OR(F2137="",G2137=""),"",IF(G2137&lt;='RETRATO 2027'!$K$5,"CONCLUÍDA",IF(F2137&lt;='RETRATO 2027'!$K$5,"EM ANDAMENTO","A INICIAR")))</f>
        <v>A INICIAR</v>
      </c>
    </row>
    <row r="2138" customFormat="false" ht="15" hidden="false" customHeight="false" outlineLevel="0" collapsed="false">
      <c r="B2138" s="4" t="n">
        <v>30171538</v>
      </c>
      <c r="C2138" s="4" t="s">
        <v>2590</v>
      </c>
      <c r="D2138" s="4" t="s">
        <v>463</v>
      </c>
      <c r="E2138" s="4" t="s">
        <v>2857</v>
      </c>
      <c r="F2138" s="127" t="n">
        <v>47058</v>
      </c>
      <c r="G2138" s="127" t="n">
        <v>47073</v>
      </c>
      <c r="H2138" s="127" t="n">
        <v>46289</v>
      </c>
      <c r="I2138" s="4" t="n">
        <v>0</v>
      </c>
      <c r="J2138" s="4" t="n">
        <v>0</v>
      </c>
      <c r="K2138" s="4" t="n">
        <v>0</v>
      </c>
      <c r="M2138" s="2" t="str">
        <f aca="false">IF(C2138="","",IFERROR(INDEX($S$5:$S$304,MATCH(C2138,$R$5:$R$304,0))&amp;"","?"))</f>
        <v>27</v>
      </c>
      <c r="N2138" s="2" t="str">
        <f aca="false"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 t="str">
        <f aca="false">IF(OR(F2138="",G2138=""),"",IF(G2138&lt;='RETRATO 2027'!$K$5,"CONCLUÍDA",IF(F2138&lt;='RETRATO 2027'!$K$5,"EM ANDAMENTO","A INICIAR")))</f>
        <v>A INICIAR</v>
      </c>
    </row>
    <row r="2139" customFormat="false" ht="15" hidden="false" customHeight="false" outlineLevel="0" collapsed="false">
      <c r="B2139" s="4" t="n">
        <v>30206077</v>
      </c>
      <c r="C2139" s="4" t="s">
        <v>2623</v>
      </c>
      <c r="D2139" s="4" t="s">
        <v>463</v>
      </c>
      <c r="E2139" s="4" t="s">
        <v>2847</v>
      </c>
      <c r="F2139" s="127" t="n">
        <v>47058</v>
      </c>
      <c r="G2139" s="127" t="n">
        <v>47073</v>
      </c>
      <c r="H2139" s="127" t="n">
        <v>46289</v>
      </c>
      <c r="I2139" s="4" t="n">
        <v>0</v>
      </c>
      <c r="J2139" s="4" t="n">
        <v>0</v>
      </c>
      <c r="K2139" s="4" t="n">
        <v>0</v>
      </c>
      <c r="M2139" s="2" t="str">
        <f aca="false">IF(C2139="","",IFERROR(INDEX($S$5:$S$304,MATCH(C2139,$R$5:$R$304,0))&amp;"","?"))</f>
        <v>35</v>
      </c>
      <c r="N2139" s="2" t="n">
        <f aca="false">IF(E2139="","",IF(ISNUMBER(SEARCH("SUBSOLO",E2139)),IFERROR(-VALUE(LEFT(E2139,FIND("º",SUBSTITUTE(E2139,"°","º"))-1)),-1),IF(LEFT(E2139,6)="TÉRREO",0,IFERROR(VALUE(LEFT(E2139,FIND("º",SUBSTITUTE(E2139,"°","º"))-1)),""))))</f>
        <v>6</v>
      </c>
      <c r="O2139" s="2" t="str">
        <f aca="false">IF(OR(F2139="",G2139=""),"",IF(G2139&lt;='RETRATO 2027'!$K$5,"CONCLUÍDA",IF(F2139&lt;='RETRATO 2027'!$K$5,"EM ANDAMENTO","A INICIAR")))</f>
        <v>A INICIAR</v>
      </c>
    </row>
    <row r="2140" customFormat="false" ht="15" hidden="false" customHeight="false" outlineLevel="0" collapsed="false">
      <c r="B2140" s="4" t="n">
        <v>30208711</v>
      </c>
      <c r="C2140" s="4" t="s">
        <v>2584</v>
      </c>
      <c r="D2140" s="4" t="s">
        <v>463</v>
      </c>
      <c r="E2140" s="4" t="s">
        <v>2849</v>
      </c>
      <c r="F2140" s="127" t="n">
        <v>47058</v>
      </c>
      <c r="G2140" s="127" t="n">
        <v>47065</v>
      </c>
      <c r="H2140" s="127" t="n">
        <v>46289</v>
      </c>
      <c r="I2140" s="4" t="n">
        <v>0</v>
      </c>
      <c r="J2140" s="4" t="n">
        <v>0</v>
      </c>
      <c r="K2140" s="4" t="n">
        <v>0</v>
      </c>
      <c r="M2140" s="2" t="str">
        <f aca="false">IF(C2140="","",IFERROR(INDEX($S$5:$S$304,MATCH(C2140,$R$5:$R$304,0))&amp;"","?"))</f>
        <v>20</v>
      </c>
      <c r="N2140" s="2" t="n">
        <f aca="false">IF(E2140="","",IF(ISNUMBER(SEARCH("SUBSOLO",E2140)),IFERROR(-VALUE(LEFT(E2140,FIND("º",SUBSTITUTE(E2140,"°","º"))-1)),-1),IF(LEFT(E2140,6)="TÉRREO",0,IFERROR(VALUE(LEFT(E2140,FIND("º",SUBSTITUTE(E2140,"°","º"))-1)),""))))</f>
        <v>6</v>
      </c>
      <c r="O2140" s="2" t="str">
        <f aca="false">IF(OR(F2140="",G2140=""),"",IF(G2140&lt;='RETRATO 2027'!$K$5,"CONCLUÍDA",IF(F2140&lt;='RETRATO 2027'!$K$5,"EM ANDAMENTO","A INICIAR")))</f>
        <v>A INICIAR</v>
      </c>
    </row>
    <row r="2141" customFormat="false" ht="15" hidden="false" customHeight="false" outlineLevel="0" collapsed="false">
      <c r="B2141" s="4" t="n">
        <v>33898100</v>
      </c>
      <c r="C2141" s="4" t="s">
        <v>2545</v>
      </c>
      <c r="D2141" s="4" t="s">
        <v>463</v>
      </c>
      <c r="E2141" s="4" t="s">
        <v>2822</v>
      </c>
      <c r="F2141" s="127" t="n">
        <v>47063</v>
      </c>
      <c r="G2141" s="127" t="n">
        <v>47074</v>
      </c>
      <c r="H2141" s="127" t="n">
        <v>46289</v>
      </c>
      <c r="I2141" s="4" t="n">
        <v>0</v>
      </c>
      <c r="J2141" s="4" t="n">
        <v>0</v>
      </c>
      <c r="K2141" s="4" t="n">
        <v>0</v>
      </c>
      <c r="M2141" s="2" t="str">
        <f aca="false">IF(C2141="","",IFERROR(INDEX($S$5:$S$304,MATCH(C2141,$R$5:$R$304,0))&amp;"","?"))</f>
        <v>25</v>
      </c>
      <c r="N2141" s="2" t="n">
        <f aca="false">IF(E2141="","",IF(ISNUMBER(SEARCH("SUBSOLO",E2141)),IFERROR(-VALUE(LEFT(E2141,FIND("º",SUBSTITUTE(E2141,"°","º"))-1)),-1),IF(LEFT(E2141,6)="TÉRREO",0,IFERROR(VALUE(LEFT(E2141,FIND("º",SUBSTITUTE(E2141,"°","º"))-1)),""))))</f>
        <v>19</v>
      </c>
      <c r="O2141" s="2" t="str">
        <f aca="false">IF(OR(F2141="",G2141=""),"",IF(G2141&lt;='RETRATO 2027'!$K$5,"CONCLUÍDA",IF(F2141&lt;='RETRATO 2027'!$K$5,"EM ANDAMENTO","A INICIAR")))</f>
        <v>A INICIAR</v>
      </c>
    </row>
    <row r="2142" customFormat="false" ht="15" hidden="false" customHeight="false" outlineLevel="0" collapsed="false">
      <c r="B2142" s="4" t="n">
        <v>29980947</v>
      </c>
      <c r="C2142" s="4" t="s">
        <v>2637</v>
      </c>
      <c r="D2142" s="4" t="s">
        <v>463</v>
      </c>
      <c r="E2142" s="4" t="s">
        <v>2829</v>
      </c>
      <c r="F2142" s="127" t="n">
        <v>47064</v>
      </c>
      <c r="G2142" s="127" t="n">
        <v>47070</v>
      </c>
      <c r="H2142" s="127" t="n">
        <v>46289</v>
      </c>
      <c r="I2142" s="4" t="n">
        <v>0</v>
      </c>
      <c r="J2142" s="4" t="n">
        <v>0</v>
      </c>
      <c r="K2142" s="4" t="n">
        <v>0</v>
      </c>
      <c r="M2142" s="2" t="str">
        <f aca="false">IF(C2142="","",IFERROR(INDEX($S$5:$S$304,MATCH(C2142,$R$5:$R$304,0))&amp;"","?"))</f>
        <v/>
      </c>
      <c r="N2142" s="2" t="n">
        <f aca="false">IF(E2142="","",IF(ISNUMBER(SEARCH("SUBSOLO",E2142)),IFERROR(-VALUE(LEFT(E2142,FIND("º",SUBSTITUTE(E2142,"°","º"))-1)),-1),IF(LEFT(E2142,6)="TÉRREO",0,IFERROR(VALUE(LEFT(E2142,FIND("º",SUBSTITUTE(E2142,"°","º"))-1)),""))))</f>
        <v>23</v>
      </c>
      <c r="O2142" s="2" t="str">
        <f aca="false">IF(OR(F2142="",G2142=""),"",IF(G2142&lt;='RETRATO 2027'!$K$5,"CONCLUÍDA",IF(F2142&lt;='RETRATO 2027'!$K$5,"EM ANDAMENTO","A INICIAR")))</f>
        <v>A INICIAR</v>
      </c>
    </row>
    <row r="2143" customFormat="false" ht="15" hidden="false" customHeight="false" outlineLevel="0" collapsed="false">
      <c r="B2143" s="4" t="n">
        <v>29980912</v>
      </c>
      <c r="C2143" s="4" t="s">
        <v>2629</v>
      </c>
      <c r="D2143" s="4" t="s">
        <v>463</v>
      </c>
      <c r="E2143" s="4" t="s">
        <v>2831</v>
      </c>
      <c r="F2143" s="127" t="n">
        <v>47064</v>
      </c>
      <c r="G2143" s="127" t="n">
        <v>47078</v>
      </c>
      <c r="H2143" s="127" t="n">
        <v>46289</v>
      </c>
      <c r="I2143" s="4" t="n">
        <v>0</v>
      </c>
      <c r="J2143" s="4" t="n">
        <v>0</v>
      </c>
      <c r="K2143" s="4" t="n">
        <v>0</v>
      </c>
      <c r="M2143" s="2" t="str">
        <f aca="false">IF(C2143="","",IFERROR(INDEX($S$5:$S$304,MATCH(C2143,$R$5:$R$304,0))&amp;"","?"))</f>
        <v>20</v>
      </c>
      <c r="N2143" s="2" t="n">
        <f aca="false">IF(E2143="","",IF(ISNUMBER(SEARCH("SUBSOLO",E2143)),IFERROR(-VALUE(LEFT(E2143,FIND("º",SUBSTITUTE(E2143,"°","º"))-1)),-1),IF(LEFT(E2143,6)="TÉRREO",0,IFERROR(VALUE(LEFT(E2143,FIND("º",SUBSTITUTE(E2143,"°","º"))-1)),""))))</f>
        <v>24</v>
      </c>
      <c r="O2143" s="2" t="str">
        <f aca="false">IF(OR(F2143="",G2143=""),"",IF(G2143&lt;='RETRATO 2027'!$K$5,"CONCLUÍDA",IF(F2143&lt;='RETRATO 2027'!$K$5,"EM ANDAMENTO","A INICIAR")))</f>
        <v>A INICIAR</v>
      </c>
    </row>
    <row r="2144" customFormat="false" ht="15" hidden="false" customHeight="false" outlineLevel="0" collapsed="false">
      <c r="B2144" s="4" t="n">
        <v>29980872</v>
      </c>
      <c r="C2144" s="4" t="s">
        <v>2623</v>
      </c>
      <c r="D2144" s="4" t="s">
        <v>463</v>
      </c>
      <c r="E2144" s="4" t="s">
        <v>2833</v>
      </c>
      <c r="F2144" s="127" t="n">
        <v>47064</v>
      </c>
      <c r="G2144" s="127" t="n">
        <v>47078</v>
      </c>
      <c r="H2144" s="127" t="n">
        <v>46289</v>
      </c>
      <c r="I2144" s="4" t="n">
        <v>0</v>
      </c>
      <c r="J2144" s="4" t="n">
        <v>0</v>
      </c>
      <c r="K2144" s="4" t="n">
        <v>0</v>
      </c>
      <c r="M2144" s="2" t="str">
        <f aca="false">IF(C2144="","",IFERROR(INDEX($S$5:$S$304,MATCH(C2144,$R$5:$R$304,0))&amp;"","?"))</f>
        <v>35</v>
      </c>
      <c r="N2144" s="2" t="n">
        <f aca="false">IF(E2144="","",IF(ISNUMBER(SEARCH("SUBSOLO",E2144)),IFERROR(-VALUE(LEFT(E2144,FIND("º",SUBSTITUTE(E2144,"°","º"))-1)),-1),IF(LEFT(E2144,6)="TÉRREO",0,IFERROR(VALUE(LEFT(E2144,FIND("º",SUBSTITUTE(E2144,"°","º"))-1)),""))))</f>
        <v>25</v>
      </c>
      <c r="O2144" s="2" t="str">
        <f aca="false">IF(OR(F2144="",G2144=""),"",IF(G2144&lt;='RETRATO 2027'!$K$5,"CONCLUÍDA",IF(F2144&lt;='RETRATO 2027'!$K$5,"EM ANDAMENTO","A INICIAR")))</f>
        <v>A INICIAR</v>
      </c>
    </row>
    <row r="2145" customFormat="false" ht="15" hidden="false" customHeight="false" outlineLevel="0" collapsed="false">
      <c r="B2145" s="4" t="n">
        <v>33919802</v>
      </c>
      <c r="C2145" s="4" t="s">
        <v>2625</v>
      </c>
      <c r="D2145" s="4" t="s">
        <v>463</v>
      </c>
      <c r="E2145" s="4" t="s">
        <v>2833</v>
      </c>
      <c r="F2145" s="127" t="n">
        <v>47064</v>
      </c>
      <c r="G2145" s="127" t="n">
        <v>47078</v>
      </c>
      <c r="H2145" s="127" t="n">
        <v>46289</v>
      </c>
      <c r="I2145" s="4" t="n">
        <v>0</v>
      </c>
      <c r="J2145" s="4" t="n">
        <v>0</v>
      </c>
      <c r="K2145" s="4" t="n">
        <v>0</v>
      </c>
      <c r="M2145" s="2" t="str">
        <f aca="false">IF(C2145="","",IFERROR(INDEX($S$5:$S$304,MATCH(C2145,$R$5:$R$304,0))&amp;"","?"))</f>
        <v>32</v>
      </c>
      <c r="N2145" s="2" t="n">
        <f aca="false">IF(E2145="","",IF(ISNUMBER(SEARCH("SUBSOLO",E2145)),IFERROR(-VALUE(LEFT(E2145,FIND("º",SUBSTITUTE(E2145,"°","º"))-1)),-1),IF(LEFT(E2145,6)="TÉRREO",0,IFERROR(VALUE(LEFT(E2145,FIND("º",SUBSTITUTE(E2145,"°","º"))-1)),""))))</f>
        <v>25</v>
      </c>
      <c r="O2145" s="2" t="str">
        <f aca="false">IF(OR(F2145="",G2145=""),"",IF(G2145&lt;='RETRATO 2027'!$K$5,"CONCLUÍDA",IF(F2145&lt;='RETRATO 2027'!$K$5,"EM ANDAMENTO","A INICIAR")))</f>
        <v>A INICIAR</v>
      </c>
    </row>
    <row r="2146" customFormat="false" ht="15" hidden="false" customHeight="false" outlineLevel="0" collapsed="false">
      <c r="B2146" s="4" t="n">
        <v>29980834</v>
      </c>
      <c r="C2146" s="4" t="s">
        <v>2615</v>
      </c>
      <c r="D2146" s="4" t="s">
        <v>463</v>
      </c>
      <c r="E2146" s="4" t="s">
        <v>2834</v>
      </c>
      <c r="F2146" s="127" t="n">
        <v>47064</v>
      </c>
      <c r="G2146" s="127" t="n">
        <v>47078</v>
      </c>
      <c r="H2146" s="127" t="n">
        <v>46289</v>
      </c>
      <c r="I2146" s="4" t="n">
        <v>0</v>
      </c>
      <c r="J2146" s="4" t="n">
        <v>0</v>
      </c>
      <c r="K2146" s="4" t="n">
        <v>0</v>
      </c>
      <c r="M2146" s="2" t="str">
        <f aca="false">IF(C2146="","",IFERROR(INDEX($S$5:$S$304,MATCH(C2146,$R$5:$R$304,0))&amp;"","?"))</f>
        <v>37</v>
      </c>
      <c r="N2146" s="2" t="n">
        <f aca="false">IF(E2146="","",IF(ISNUMBER(SEARCH("SUBSOLO",E2146)),IFERROR(-VALUE(LEFT(E2146,FIND("º",SUBSTITUTE(E2146,"°","º"))-1)),-1),IF(LEFT(E2146,6)="TÉRREO",0,IFERROR(VALUE(LEFT(E2146,FIND("º",SUBSTITUTE(E2146,"°","º"))-1)),""))))</f>
        <v>26</v>
      </c>
      <c r="O2146" s="2" t="str">
        <f aca="false">IF(OR(F2146="",G2146=""),"",IF(G2146&lt;='RETRATO 2027'!$K$5,"CONCLUÍDA",IF(F2146&lt;='RETRATO 2027'!$K$5,"EM ANDAMENTO","A INICIAR")))</f>
        <v>A INICIAR</v>
      </c>
    </row>
    <row r="2147" customFormat="false" ht="15" hidden="false" customHeight="false" outlineLevel="0" collapsed="false">
      <c r="B2147" s="4" t="n">
        <v>29980791</v>
      </c>
      <c r="C2147" s="4" t="s">
        <v>2605</v>
      </c>
      <c r="D2147" s="4" t="s">
        <v>463</v>
      </c>
      <c r="E2147" s="4" t="s">
        <v>2838</v>
      </c>
      <c r="F2147" s="127" t="n">
        <v>47064</v>
      </c>
      <c r="G2147" s="127" t="n">
        <v>47078</v>
      </c>
      <c r="H2147" s="127" t="n">
        <v>46289</v>
      </c>
      <c r="I2147" s="4" t="n">
        <v>0</v>
      </c>
      <c r="J2147" s="4" t="n">
        <v>0</v>
      </c>
      <c r="K2147" s="4" t="n">
        <v>0</v>
      </c>
      <c r="M2147" s="2" t="str">
        <f aca="false">IF(C2147="","",IFERROR(INDEX($S$5:$S$304,MATCH(C2147,$R$5:$R$304,0))&amp;"","?"))</f>
        <v>34</v>
      </c>
      <c r="N2147" s="2" t="n">
        <f aca="false">IF(E2147="","",IF(ISNUMBER(SEARCH("SUBSOLO",E2147)),IFERROR(-VALUE(LEFT(E2147,FIND("º",SUBSTITUTE(E2147,"°","º"))-1)),-1),IF(LEFT(E2147,6)="TÉRREO",0,IFERROR(VALUE(LEFT(E2147,FIND("º",SUBSTITUTE(E2147,"°","º"))-1)),""))))</f>
        <v>27</v>
      </c>
      <c r="O2147" s="2" t="str">
        <f aca="false">IF(OR(F2147="",G2147=""),"",IF(G2147&lt;='RETRATO 2027'!$K$5,"CONCLUÍDA",IF(F2147&lt;='RETRATO 2027'!$K$5,"EM ANDAMENTO","A INICIAR")))</f>
        <v>A INICIAR</v>
      </c>
    </row>
    <row r="2148" customFormat="false" ht="15" hidden="false" customHeight="false" outlineLevel="0" collapsed="false">
      <c r="B2148" s="4" t="n">
        <v>29980796</v>
      </c>
      <c r="C2148" s="4" t="s">
        <v>2607</v>
      </c>
      <c r="D2148" s="4" t="s">
        <v>463</v>
      </c>
      <c r="E2148" s="4" t="s">
        <v>2838</v>
      </c>
      <c r="F2148" s="127" t="n">
        <v>47064</v>
      </c>
      <c r="G2148" s="127" t="n">
        <v>47078</v>
      </c>
      <c r="H2148" s="127" t="n">
        <v>46289</v>
      </c>
      <c r="I2148" s="4" t="n">
        <v>0</v>
      </c>
      <c r="J2148" s="4" t="n">
        <v>0</v>
      </c>
      <c r="K2148" s="4" t="n">
        <v>0</v>
      </c>
      <c r="M2148" s="2" t="str">
        <f aca="false">IF(C2148="","",IFERROR(INDEX($S$5:$S$304,MATCH(C2148,$R$5:$R$304,0))&amp;"","?"))</f>
        <v>34</v>
      </c>
      <c r="N2148" s="2" t="n">
        <f aca="false">IF(E2148="","",IF(ISNUMBER(SEARCH("SUBSOLO",E2148)),IFERROR(-VALUE(LEFT(E2148,FIND("º",SUBSTITUTE(E2148,"°","º"))-1)),-1),IF(LEFT(E2148,6)="TÉRREO",0,IFERROR(VALUE(LEFT(E2148,FIND("º",SUBSTITUTE(E2148,"°","º"))-1)),""))))</f>
        <v>27</v>
      </c>
      <c r="O2148" s="2" t="str">
        <f aca="false">IF(OR(F2148="",G2148=""),"",IF(G2148&lt;='RETRATO 2027'!$K$5,"CONCLUÍDA",IF(F2148&lt;='RETRATO 2027'!$K$5,"EM ANDAMENTO","A INICIAR")))</f>
        <v>A INICIAR</v>
      </c>
    </row>
    <row r="2149" customFormat="false" ht="15" hidden="false" customHeight="false" outlineLevel="0" collapsed="false">
      <c r="B2149" s="4" t="n">
        <v>29980795</v>
      </c>
      <c r="C2149" s="4" t="s">
        <v>2563</v>
      </c>
      <c r="D2149" s="4" t="s">
        <v>463</v>
      </c>
      <c r="E2149" s="4" t="s">
        <v>2838</v>
      </c>
      <c r="F2149" s="127" t="n">
        <v>47064</v>
      </c>
      <c r="G2149" s="127" t="n">
        <v>47078</v>
      </c>
      <c r="H2149" s="127" t="n">
        <v>46289</v>
      </c>
      <c r="I2149" s="4" t="n">
        <v>0</v>
      </c>
      <c r="J2149" s="4" t="n">
        <v>0</v>
      </c>
      <c r="K2149" s="4" t="n">
        <v>0</v>
      </c>
      <c r="M2149" s="2" t="str">
        <f aca="false">IF(C2149="","",IFERROR(INDEX($S$5:$S$304,MATCH(C2149,$R$5:$R$304,0))&amp;"","?"))</f>
        <v>20</v>
      </c>
      <c r="N2149" s="2" t="n">
        <f aca="false">IF(E2149="","",IF(ISNUMBER(SEARCH("SUBSOLO",E2149)),IFERROR(-VALUE(LEFT(E2149,FIND("º",SUBSTITUTE(E2149,"°","º"))-1)),-1),IF(LEFT(E2149,6)="TÉRREO",0,IFERROR(VALUE(LEFT(E2149,FIND("º",SUBSTITUTE(E2149,"°","º"))-1)),""))))</f>
        <v>27</v>
      </c>
      <c r="O2149" s="2" t="str">
        <f aca="false">IF(OR(F2149="",G2149=""),"",IF(G2149&lt;='RETRATO 2027'!$K$5,"CONCLUÍDA",IF(F2149&lt;='RETRATO 2027'!$K$5,"EM ANDAMENTO","A INICIAR")))</f>
        <v>A INICIAR</v>
      </c>
    </row>
    <row r="2150" customFormat="false" ht="15" hidden="false" customHeight="false" outlineLevel="0" collapsed="false">
      <c r="B2150" s="4" t="n">
        <v>29980794</v>
      </c>
      <c r="C2150" s="4" t="s">
        <v>2609</v>
      </c>
      <c r="D2150" s="4" t="s">
        <v>463</v>
      </c>
      <c r="E2150" s="4" t="s">
        <v>2838</v>
      </c>
      <c r="F2150" s="127" t="n">
        <v>47064</v>
      </c>
      <c r="G2150" s="127" t="n">
        <v>47078</v>
      </c>
      <c r="H2150" s="127" t="n">
        <v>46289</v>
      </c>
      <c r="I2150" s="4" t="n">
        <v>0</v>
      </c>
      <c r="J2150" s="4" t="n">
        <v>0</v>
      </c>
      <c r="K2150" s="4" t="n">
        <v>0</v>
      </c>
      <c r="M2150" s="2" t="str">
        <f aca="false">IF(C2150="","",IFERROR(INDEX($S$5:$S$304,MATCH(C2150,$R$5:$R$304,0))&amp;"","?"))</f>
        <v>23</v>
      </c>
      <c r="N2150" s="2" t="n">
        <f aca="false">IF(E2150="","",IF(ISNUMBER(SEARCH("SUBSOLO",E2150)),IFERROR(-VALUE(LEFT(E2150,FIND("º",SUBSTITUTE(E2150,"°","º"))-1)),-1),IF(LEFT(E2150,6)="TÉRREO",0,IFERROR(VALUE(LEFT(E2150,FIND("º",SUBSTITUTE(E2150,"°","º"))-1)),""))))</f>
        <v>27</v>
      </c>
      <c r="O2150" s="2" t="str">
        <f aca="false">IF(OR(F2150="",G2150=""),"",IF(G2150&lt;='RETRATO 2027'!$K$5,"CONCLUÍDA",IF(F2150&lt;='RETRATO 2027'!$K$5,"EM ANDAMENTO","A INICIAR")))</f>
        <v>A INICIAR</v>
      </c>
    </row>
    <row r="2151" customFormat="false" ht="15" hidden="false" customHeight="false" outlineLevel="0" collapsed="false">
      <c r="B2151" s="4" t="n">
        <v>29980753</v>
      </c>
      <c r="C2151" s="4" t="s">
        <v>2599</v>
      </c>
      <c r="D2151" s="4" t="s">
        <v>463</v>
      </c>
      <c r="E2151" s="4" t="s">
        <v>2840</v>
      </c>
      <c r="F2151" s="127" t="n">
        <v>47064</v>
      </c>
      <c r="G2151" s="127" t="n">
        <v>47078</v>
      </c>
      <c r="H2151" s="127" t="n">
        <v>46289</v>
      </c>
      <c r="I2151" s="4" t="n">
        <v>0</v>
      </c>
      <c r="J2151" s="4" t="n">
        <v>0</v>
      </c>
      <c r="K2151" s="4" t="n">
        <v>0</v>
      </c>
      <c r="M2151" s="2" t="str">
        <f aca="false">IF(C2151="","",IFERROR(INDEX($S$5:$S$304,MATCH(C2151,$R$5:$R$304,0))&amp;"","?"))</f>
        <v>30</v>
      </c>
      <c r="N2151" s="2" t="n">
        <f aca="false">IF(E2151="","",IF(ISNUMBER(SEARCH("SUBSOLO",E2151)),IFERROR(-VALUE(LEFT(E2151,FIND("º",SUBSTITUTE(E2151,"°","º"))-1)),-1),IF(LEFT(E2151,6)="TÉRREO",0,IFERROR(VALUE(LEFT(E2151,FIND("º",SUBSTITUTE(E2151,"°","º"))-1)),""))))</f>
        <v>28</v>
      </c>
      <c r="O2151" s="2" t="str">
        <f aca="false">IF(OR(F2151="",G2151=""),"",IF(G2151&lt;='RETRATO 2027'!$K$5,"CONCLUÍDA",IF(F2151&lt;='RETRATO 2027'!$K$5,"EM ANDAMENTO","A INICIAR")))</f>
        <v>A INICIAR</v>
      </c>
    </row>
    <row r="2152" customFormat="false" ht="15" hidden="false" customHeight="false" outlineLevel="0" collapsed="false">
      <c r="B2152" s="4" t="n">
        <v>29980715</v>
      </c>
      <c r="C2152" s="4" t="s">
        <v>2578</v>
      </c>
      <c r="D2152" s="4" t="s">
        <v>463</v>
      </c>
      <c r="E2152" s="4" t="s">
        <v>2841</v>
      </c>
      <c r="F2152" s="127" t="n">
        <v>47064</v>
      </c>
      <c r="G2152" s="127" t="n">
        <v>47078</v>
      </c>
      <c r="H2152" s="127" t="n">
        <v>46289</v>
      </c>
      <c r="I2152" s="4" t="n">
        <v>0</v>
      </c>
      <c r="J2152" s="4" t="n">
        <v>0</v>
      </c>
      <c r="K2152" s="4" t="n">
        <v>0</v>
      </c>
      <c r="M2152" s="2" t="str">
        <f aca="false">IF(C2152="","",IFERROR(INDEX($S$5:$S$304,MATCH(C2152,$R$5:$R$304,0))&amp;"","?"))</f>
        <v>25</v>
      </c>
      <c r="N2152" s="2" t="n">
        <f aca="false">IF(E2152="","",IF(ISNUMBER(SEARCH("SUBSOLO",E2152)),IFERROR(-VALUE(LEFT(E2152,FIND("º",SUBSTITUTE(E2152,"°","º"))-1)),-1),IF(LEFT(E2152,6)="TÉRREO",0,IFERROR(VALUE(LEFT(E2152,FIND("º",SUBSTITUTE(E2152,"°","º"))-1)),""))))</f>
        <v>29</v>
      </c>
      <c r="O2152" s="2" t="str">
        <f aca="false">IF(OR(F2152="",G2152=""),"",IF(G2152&lt;='RETRATO 2027'!$K$5,"CONCLUÍDA",IF(F2152&lt;='RETRATO 2027'!$K$5,"EM ANDAMENTO","A INICIAR")))</f>
        <v>A INICIAR</v>
      </c>
    </row>
    <row r="2153" customFormat="false" ht="15" hidden="false" customHeight="false" outlineLevel="0" collapsed="false">
      <c r="B2153" s="4" t="n">
        <v>29980677</v>
      </c>
      <c r="C2153" s="4" t="s">
        <v>2569</v>
      </c>
      <c r="D2153" s="4" t="s">
        <v>463</v>
      </c>
      <c r="E2153" s="4" t="s">
        <v>2842</v>
      </c>
      <c r="F2153" s="127" t="n">
        <v>47064</v>
      </c>
      <c r="G2153" s="127" t="n">
        <v>47078</v>
      </c>
      <c r="H2153" s="127" t="n">
        <v>46289</v>
      </c>
      <c r="I2153" s="4" t="n">
        <v>0</v>
      </c>
      <c r="J2153" s="4" t="n">
        <v>0</v>
      </c>
      <c r="K2153" s="4" t="n">
        <v>0</v>
      </c>
      <c r="M2153" s="2" t="str">
        <f aca="false">IF(C2153="","",IFERROR(INDEX($S$5:$S$304,MATCH(C2153,$R$5:$R$304,0))&amp;"","?"))</f>
        <v>30</v>
      </c>
      <c r="N2153" s="2" t="n">
        <f aca="false">IF(E2153="","",IF(ISNUMBER(SEARCH("SUBSOLO",E2153)),IFERROR(-VALUE(LEFT(E2153,FIND("º",SUBSTITUTE(E2153,"°","º"))-1)),-1),IF(LEFT(E2153,6)="TÉRREO",0,IFERROR(VALUE(LEFT(E2153,FIND("º",SUBSTITUTE(E2153,"°","º"))-1)),""))))</f>
        <v>30</v>
      </c>
      <c r="O2153" s="2" t="str">
        <f aca="false">IF(OR(F2153="",G2153=""),"",IF(G2153&lt;='RETRATO 2027'!$K$5,"CONCLUÍDA",IF(F2153&lt;='RETRATO 2027'!$K$5,"EM ANDAMENTO","A INICIAR")))</f>
        <v>A INICIAR</v>
      </c>
    </row>
    <row r="2154" customFormat="false" ht="15" hidden="false" customHeight="false" outlineLevel="0" collapsed="false">
      <c r="B2154" s="4" t="n">
        <v>29980639</v>
      </c>
      <c r="C2154" s="4" t="s">
        <v>2554</v>
      </c>
      <c r="D2154" s="4" t="s">
        <v>463</v>
      </c>
      <c r="E2154" s="4" t="s">
        <v>2843</v>
      </c>
      <c r="F2154" s="127" t="n">
        <v>47064</v>
      </c>
      <c r="G2154" s="127" t="n">
        <v>47078</v>
      </c>
      <c r="H2154" s="127" t="n">
        <v>46289</v>
      </c>
      <c r="I2154" s="4" t="n">
        <v>0</v>
      </c>
      <c r="J2154" s="4" t="n">
        <v>0</v>
      </c>
      <c r="K2154" s="4" t="n">
        <v>0</v>
      </c>
      <c r="M2154" s="2" t="str">
        <f aca="false">IF(C2154="","",IFERROR(INDEX($S$5:$S$304,MATCH(C2154,$R$5:$R$304,0))&amp;"","?"))</f>
        <v>35</v>
      </c>
      <c r="N2154" s="2" t="n">
        <f aca="false">IF(E2154="","",IF(ISNUMBER(SEARCH("SUBSOLO",E2154)),IFERROR(-VALUE(LEFT(E2154,FIND("º",SUBSTITUTE(E2154,"°","º"))-1)),-1),IF(LEFT(E2154,6)="TÉRREO",0,IFERROR(VALUE(LEFT(E2154,FIND("º",SUBSTITUTE(E2154,"°","º"))-1)),""))))</f>
        <v>31</v>
      </c>
      <c r="O2154" s="2" t="str">
        <f aca="false">IF(OR(F2154="",G2154=""),"",IF(G2154&lt;='RETRATO 2027'!$K$5,"CONCLUÍDA",IF(F2154&lt;='RETRATO 2027'!$K$5,"EM ANDAMENTO","A INICIAR")))</f>
        <v>A INICIAR</v>
      </c>
    </row>
    <row r="2155" customFormat="false" ht="15" hidden="false" customHeight="false" outlineLevel="0" collapsed="false">
      <c r="B2155" s="4" t="n">
        <v>29980628</v>
      </c>
      <c r="C2155" s="4" t="s">
        <v>2539</v>
      </c>
      <c r="D2155" s="4" t="s">
        <v>463</v>
      </c>
      <c r="E2155" s="4" t="s">
        <v>2844</v>
      </c>
      <c r="F2155" s="127" t="n">
        <v>47064</v>
      </c>
      <c r="G2155" s="127" t="n">
        <v>47078</v>
      </c>
      <c r="H2155" s="127" t="n">
        <v>46289</v>
      </c>
      <c r="I2155" s="4" t="n">
        <v>0</v>
      </c>
      <c r="J2155" s="4" t="n">
        <v>0</v>
      </c>
      <c r="K2155" s="4" t="n">
        <v>0</v>
      </c>
      <c r="M2155" s="2" t="str">
        <f aca="false">IF(C2155="","",IFERROR(INDEX($S$5:$S$304,MATCH(C2155,$R$5:$R$304,0))&amp;"","?"))</f>
        <v>35</v>
      </c>
      <c r="N2155" s="2" t="n">
        <f aca="false">IF(E2155="","",IF(ISNUMBER(SEARCH("SUBSOLO",E2155)),IFERROR(-VALUE(LEFT(E2155,FIND("º",SUBSTITUTE(E2155,"°","º"))-1)),-1),IF(LEFT(E2155,6)="TÉRREO",0,IFERROR(VALUE(LEFT(E2155,FIND("º",SUBSTITUTE(E2155,"°","º"))-1)),""))))</f>
        <v>32</v>
      </c>
      <c r="O2155" s="2" t="str">
        <f aca="false">IF(OR(F2155="",G2155=""),"",IF(G2155&lt;='RETRATO 2027'!$K$5,"CONCLUÍDA",IF(F2155&lt;='RETRATO 2027'!$K$5,"EM ANDAMENTO","A INICIAR")))</f>
        <v>A INICIAR</v>
      </c>
    </row>
    <row r="2156" customFormat="false" ht="15" hidden="false" customHeight="false" outlineLevel="0" collapsed="false">
      <c r="B2156" s="4" t="n">
        <v>30171658</v>
      </c>
      <c r="C2156" s="4" t="s">
        <v>2581</v>
      </c>
      <c r="D2156" s="4" t="s">
        <v>463</v>
      </c>
      <c r="E2156" s="4" t="s">
        <v>2816</v>
      </c>
      <c r="F2156" s="127" t="n">
        <v>47065</v>
      </c>
      <c r="G2156" s="127" t="n">
        <v>47094</v>
      </c>
      <c r="H2156" s="127" t="n">
        <v>46289</v>
      </c>
      <c r="I2156" s="4" t="n">
        <v>0</v>
      </c>
      <c r="J2156" s="4" t="n">
        <v>0</v>
      </c>
      <c r="K2156" s="4" t="n">
        <v>0</v>
      </c>
      <c r="M2156" s="2" t="str">
        <f aca="false">IF(C2156="","",IFERROR(INDEX($S$5:$S$304,MATCH(C2156,$R$5:$R$304,0))&amp;"","?"))</f>
        <v/>
      </c>
      <c r="N2156" s="2" t="str">
        <f aca="false"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 t="str">
        <f aca="false">IF(OR(F2156="",G2156=""),"",IF(G2156&lt;='RETRATO 2027'!$K$5,"CONCLUÍDA",IF(F2156&lt;='RETRATO 2027'!$K$5,"EM ANDAMENTO","A INICIAR")))</f>
        <v>A INICIAR</v>
      </c>
    </row>
    <row r="2157" customFormat="false" ht="15" hidden="false" customHeight="false" outlineLevel="0" collapsed="false">
      <c r="B2157" s="4" t="n">
        <v>30171655</v>
      </c>
      <c r="C2157" s="4" t="s">
        <v>2584</v>
      </c>
      <c r="D2157" s="4" t="s">
        <v>463</v>
      </c>
      <c r="E2157" s="4" t="s">
        <v>2816</v>
      </c>
      <c r="F2157" s="127" t="n">
        <v>47065</v>
      </c>
      <c r="G2157" s="127" t="n">
        <v>47094</v>
      </c>
      <c r="H2157" s="127" t="n">
        <v>46289</v>
      </c>
      <c r="I2157" s="4" t="n">
        <v>0</v>
      </c>
      <c r="J2157" s="4" t="n">
        <v>0</v>
      </c>
      <c r="K2157" s="4" t="n">
        <v>0</v>
      </c>
      <c r="M2157" s="2" t="str">
        <f aca="false">IF(C2157="","",IFERROR(INDEX($S$5:$S$304,MATCH(C2157,$R$5:$R$304,0))&amp;"","?"))</f>
        <v>20</v>
      </c>
      <c r="N2157" s="2" t="str">
        <f aca="false"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 t="str">
        <f aca="false">IF(OR(F2157="",G2157=""),"",IF(G2157&lt;='RETRATO 2027'!$K$5,"CONCLUÍDA",IF(F2157&lt;='RETRATO 2027'!$K$5,"EM ANDAMENTO","A INICIAR")))</f>
        <v>A INICIAR</v>
      </c>
    </row>
    <row r="2158" customFormat="false" ht="15" hidden="false" customHeight="false" outlineLevel="0" collapsed="false">
      <c r="B2158" s="4" t="n">
        <v>30205996</v>
      </c>
      <c r="C2158" s="4" t="s">
        <v>2605</v>
      </c>
      <c r="D2158" s="4" t="s">
        <v>463</v>
      </c>
      <c r="E2158" s="4" t="s">
        <v>2849</v>
      </c>
      <c r="F2158" s="127" t="n">
        <v>47066</v>
      </c>
      <c r="G2158" s="127" t="n">
        <v>47073</v>
      </c>
      <c r="H2158" s="127" t="n">
        <v>46289</v>
      </c>
      <c r="I2158" s="4" t="n">
        <v>0</v>
      </c>
      <c r="J2158" s="4" t="n">
        <v>0</v>
      </c>
      <c r="K2158" s="4" t="n">
        <v>0</v>
      </c>
      <c r="M2158" s="2" t="str">
        <f aca="false">IF(C2158="","",IFERROR(INDEX($S$5:$S$304,MATCH(C2158,$R$5:$R$304,0))&amp;"","?"))</f>
        <v>34</v>
      </c>
      <c r="N2158" s="2" t="n">
        <f aca="false">IF(E2158="","",IF(ISNUMBER(SEARCH("SUBSOLO",E2158)),IFERROR(-VALUE(LEFT(E2158,FIND("º",SUBSTITUTE(E2158,"°","º"))-1)),-1),IF(LEFT(E2158,6)="TÉRREO",0,IFERROR(VALUE(LEFT(E2158,FIND("º",SUBSTITUTE(E2158,"°","º"))-1)),""))))</f>
        <v>6</v>
      </c>
      <c r="O2158" s="2" t="str">
        <f aca="false">IF(OR(F2158="",G2158=""),"",IF(G2158&lt;='RETRATO 2027'!$K$5,"CONCLUÍDA",IF(F2158&lt;='RETRATO 2027'!$K$5,"EM ANDAMENTO","A INICIAR")))</f>
        <v>A INICIAR</v>
      </c>
    </row>
    <row r="2159" customFormat="false" ht="15" hidden="false" customHeight="false" outlineLevel="0" collapsed="false">
      <c r="B2159" s="4" t="n">
        <v>30206001</v>
      </c>
      <c r="C2159" s="4" t="s">
        <v>2607</v>
      </c>
      <c r="D2159" s="4" t="s">
        <v>463</v>
      </c>
      <c r="E2159" s="4" t="s">
        <v>2849</v>
      </c>
      <c r="F2159" s="127" t="n">
        <v>47066</v>
      </c>
      <c r="G2159" s="127" t="n">
        <v>47073</v>
      </c>
      <c r="H2159" s="127" t="n">
        <v>46289</v>
      </c>
      <c r="I2159" s="4" t="n">
        <v>0</v>
      </c>
      <c r="J2159" s="4" t="n">
        <v>0</v>
      </c>
      <c r="K2159" s="4" t="n">
        <v>0</v>
      </c>
      <c r="M2159" s="2" t="str">
        <f aca="false">IF(C2159="","",IFERROR(INDEX($S$5:$S$304,MATCH(C2159,$R$5:$R$304,0))&amp;"","?"))</f>
        <v>34</v>
      </c>
      <c r="N2159" s="2" t="n">
        <f aca="false">IF(E2159="","",IF(ISNUMBER(SEARCH("SUBSOLO",E2159)),IFERROR(-VALUE(LEFT(E2159,FIND("º",SUBSTITUTE(E2159,"°","º"))-1)),-1),IF(LEFT(E2159,6)="TÉRREO",0,IFERROR(VALUE(LEFT(E2159,FIND("º",SUBSTITUTE(E2159,"°","º"))-1)),""))))</f>
        <v>6</v>
      </c>
      <c r="O2159" s="2" t="str">
        <f aca="false">IF(OR(F2159="",G2159=""),"",IF(G2159&lt;='RETRATO 2027'!$K$5,"CONCLUÍDA",IF(F2159&lt;='RETRATO 2027'!$K$5,"EM ANDAMENTO","A INICIAR")))</f>
        <v>A INICIAR</v>
      </c>
    </row>
    <row r="2160" customFormat="false" ht="15" hidden="false" customHeight="false" outlineLevel="0" collapsed="false">
      <c r="B2160" s="4" t="n">
        <v>30205957</v>
      </c>
      <c r="C2160" s="4" t="s">
        <v>2578</v>
      </c>
      <c r="D2160" s="4" t="s">
        <v>463</v>
      </c>
      <c r="E2160" s="4" t="s">
        <v>2850</v>
      </c>
      <c r="F2160" s="127" t="n">
        <v>47066</v>
      </c>
      <c r="G2160" s="127" t="n">
        <v>47073</v>
      </c>
      <c r="H2160" s="127" t="n">
        <v>46289</v>
      </c>
      <c r="I2160" s="4" t="n">
        <v>0</v>
      </c>
      <c r="J2160" s="4" t="n">
        <v>0</v>
      </c>
      <c r="K2160" s="4" t="n">
        <v>0</v>
      </c>
      <c r="M2160" s="2" t="str">
        <f aca="false">IF(C2160="","",IFERROR(INDEX($S$5:$S$304,MATCH(C2160,$R$5:$R$304,0))&amp;"","?"))</f>
        <v>25</v>
      </c>
      <c r="N2160" s="2" t="n">
        <f aca="false">IF(E2160="","",IF(ISNUMBER(SEARCH("SUBSOLO",E2160)),IFERROR(-VALUE(LEFT(E2160,FIND("º",SUBSTITUTE(E2160,"°","º"))-1)),-1),IF(LEFT(E2160,6)="TÉRREO",0,IFERROR(VALUE(LEFT(E2160,FIND("º",SUBSTITUTE(E2160,"°","º"))-1)),""))))</f>
        <v>6</v>
      </c>
      <c r="O2160" s="2" t="str">
        <f aca="false">IF(OR(F2160="",G2160=""),"",IF(G2160&lt;='RETRATO 2027'!$K$5,"CONCLUÍDA",IF(F2160&lt;='RETRATO 2027'!$K$5,"EM ANDAMENTO","A INICIAR")))</f>
        <v>A INICIAR</v>
      </c>
    </row>
    <row r="2161" customFormat="false" ht="15" hidden="false" customHeight="false" outlineLevel="0" collapsed="false">
      <c r="B2161" s="4" t="n">
        <v>30205963</v>
      </c>
      <c r="C2161" s="4" t="s">
        <v>2563</v>
      </c>
      <c r="D2161" s="4" t="s">
        <v>463</v>
      </c>
      <c r="E2161" s="4" t="s">
        <v>2850</v>
      </c>
      <c r="F2161" s="127" t="n">
        <v>47066</v>
      </c>
      <c r="G2161" s="127" t="n">
        <v>47081</v>
      </c>
      <c r="H2161" s="127" t="n">
        <v>46289</v>
      </c>
      <c r="I2161" s="4" t="n">
        <v>0</v>
      </c>
      <c r="J2161" s="4" t="n">
        <v>0</v>
      </c>
      <c r="K2161" s="4" t="n">
        <v>0</v>
      </c>
      <c r="M2161" s="2" t="str">
        <f aca="false">IF(C2161="","",IFERROR(INDEX($S$5:$S$304,MATCH(C2161,$R$5:$R$304,0))&amp;"","?"))</f>
        <v>20</v>
      </c>
      <c r="N2161" s="2" t="n">
        <f aca="false">IF(E2161="","",IF(ISNUMBER(SEARCH("SUBSOLO",E2161)),IFERROR(-VALUE(LEFT(E2161,FIND("º",SUBSTITUTE(E2161,"°","º"))-1)),-1),IF(LEFT(E2161,6)="TÉRREO",0,IFERROR(VALUE(LEFT(E2161,FIND("º",SUBSTITUTE(E2161,"°","º"))-1)),""))))</f>
        <v>6</v>
      </c>
      <c r="O2161" s="2" t="str">
        <f aca="false">IF(OR(F2161="",G2161=""),"",IF(G2161&lt;='RETRATO 2027'!$K$5,"CONCLUÍDA",IF(F2161&lt;='RETRATO 2027'!$K$5,"EM ANDAMENTO","A INICIAR")))</f>
        <v>A INICIAR</v>
      </c>
    </row>
    <row r="2162" customFormat="false" ht="15" hidden="false" customHeight="false" outlineLevel="0" collapsed="false">
      <c r="B2162" s="4" t="n">
        <v>30205962</v>
      </c>
      <c r="C2162" s="4" t="s">
        <v>2609</v>
      </c>
      <c r="D2162" s="4" t="s">
        <v>463</v>
      </c>
      <c r="E2162" s="4" t="s">
        <v>2850</v>
      </c>
      <c r="F2162" s="127" t="n">
        <v>47066</v>
      </c>
      <c r="G2162" s="127" t="n">
        <v>47081</v>
      </c>
      <c r="H2162" s="127" t="n">
        <v>46289</v>
      </c>
      <c r="I2162" s="4" t="n">
        <v>0</v>
      </c>
      <c r="J2162" s="4" t="n">
        <v>0</v>
      </c>
      <c r="K2162" s="4" t="n">
        <v>0</v>
      </c>
      <c r="M2162" s="2" t="str">
        <f aca="false">IF(C2162="","",IFERROR(INDEX($S$5:$S$304,MATCH(C2162,$R$5:$R$304,0))&amp;"","?"))</f>
        <v>23</v>
      </c>
      <c r="N2162" s="2" t="n">
        <f aca="false">IF(E2162="","",IF(ISNUMBER(SEARCH("SUBSOLO",E2162)),IFERROR(-VALUE(LEFT(E2162,FIND("º",SUBSTITUTE(E2162,"°","º"))-1)),-1),IF(LEFT(E2162,6)="TÉRREO",0,IFERROR(VALUE(LEFT(E2162,FIND("º",SUBSTITUTE(E2162,"°","º"))-1)),""))))</f>
        <v>6</v>
      </c>
      <c r="O2162" s="2" t="str">
        <f aca="false">IF(OR(F2162="",G2162=""),"",IF(G2162&lt;='RETRATO 2027'!$K$5,"CONCLUÍDA",IF(F2162&lt;='RETRATO 2027'!$K$5,"EM ANDAMENTO","A INICIAR")))</f>
        <v>A INICIAR</v>
      </c>
    </row>
    <row r="2163" customFormat="false" ht="15" hidden="false" customHeight="false" outlineLevel="0" collapsed="false">
      <c r="B2163" s="4" t="n">
        <v>30171433</v>
      </c>
      <c r="C2163" s="4" t="s">
        <v>2633</v>
      </c>
      <c r="D2163" s="4" t="s">
        <v>463</v>
      </c>
      <c r="E2163" s="4" t="s">
        <v>2800</v>
      </c>
      <c r="F2163" s="127" t="n">
        <v>47070</v>
      </c>
      <c r="G2163" s="127" t="n">
        <v>47092</v>
      </c>
      <c r="H2163" s="127" t="n">
        <v>46289</v>
      </c>
      <c r="I2163" s="4" t="n">
        <v>0</v>
      </c>
      <c r="J2163" s="4" t="n">
        <v>0</v>
      </c>
      <c r="K2163" s="4" t="n">
        <v>0</v>
      </c>
      <c r="M2163" s="2" t="str">
        <f aca="false">IF(C2163="","",IFERROR(INDEX($S$5:$S$304,MATCH(C2163,$R$5:$R$304,0))&amp;"","?"))</f>
        <v>35</v>
      </c>
      <c r="N2163" s="2" t="n">
        <f aca="false">IF(E2163="","",IF(ISNUMBER(SEARCH("SUBSOLO",E2163)),IFERROR(-VALUE(LEFT(E2163,FIND("º",SUBSTITUTE(E2163,"°","º"))-1)),-1),IF(LEFT(E2163,6)="TÉRREO",0,IFERROR(VALUE(LEFT(E2163,FIND("º",SUBSTITUTE(E2163,"°","º"))-1)),""))))</f>
        <v>4</v>
      </c>
      <c r="O2163" s="2" t="str">
        <f aca="false">IF(OR(F2163="",G2163=""),"",IF(G2163&lt;='RETRATO 2027'!$K$5,"CONCLUÍDA",IF(F2163&lt;='RETRATO 2027'!$K$5,"EM ANDAMENTO","A INICIAR")))</f>
        <v>A INICIAR</v>
      </c>
    </row>
    <row r="2164" customFormat="false" ht="15" hidden="false" customHeight="false" outlineLevel="0" collapsed="false">
      <c r="B2164" s="4" t="n">
        <v>30171385</v>
      </c>
      <c r="C2164" s="4" t="s">
        <v>2619</v>
      </c>
      <c r="D2164" s="4" t="s">
        <v>463</v>
      </c>
      <c r="E2164" s="4" t="s">
        <v>2801</v>
      </c>
      <c r="F2164" s="127" t="n">
        <v>47070</v>
      </c>
      <c r="G2164" s="127" t="n">
        <v>47102</v>
      </c>
      <c r="H2164" s="127" t="n">
        <v>46289</v>
      </c>
      <c r="I2164" s="4" t="n">
        <v>0</v>
      </c>
      <c r="J2164" s="4" t="n">
        <v>0</v>
      </c>
      <c r="K2164" s="4" t="n">
        <v>0</v>
      </c>
      <c r="M2164" s="2" t="str">
        <f aca="false">IF(C2164="","",IFERROR(INDEX($S$5:$S$304,MATCH(C2164,$R$5:$R$304,0))&amp;"","?"))</f>
        <v>30</v>
      </c>
      <c r="N2164" s="2" t="n">
        <f aca="false">IF(E2164="","",IF(ISNUMBER(SEARCH("SUBSOLO",E2164)),IFERROR(-VALUE(LEFT(E2164,FIND("º",SUBSTITUTE(E2164,"°","º"))-1)),-1),IF(LEFT(E2164,6)="TÉRREO",0,IFERROR(VALUE(LEFT(E2164,FIND("º",SUBSTITUTE(E2164,"°","º"))-1)),""))))</f>
        <v>5</v>
      </c>
      <c r="O2164" s="2" t="str">
        <f aca="false">IF(OR(F2164="",G2164=""),"",IF(G2164&lt;='RETRATO 2027'!$K$5,"CONCLUÍDA",IF(F2164&lt;='RETRATO 2027'!$K$5,"EM ANDAMENTO","A INICIAR")))</f>
        <v>A INICIAR</v>
      </c>
    </row>
    <row r="2165" customFormat="false" ht="15" hidden="false" customHeight="false" outlineLevel="0" collapsed="false">
      <c r="B2165" s="4" t="n">
        <v>30171479</v>
      </c>
      <c r="C2165" s="4" t="s">
        <v>2674</v>
      </c>
      <c r="D2165" s="4" t="s">
        <v>463</v>
      </c>
      <c r="E2165" s="4" t="s">
        <v>2784</v>
      </c>
      <c r="F2165" s="127" t="n">
        <v>47071</v>
      </c>
      <c r="G2165" s="127" t="n">
        <v>47086</v>
      </c>
      <c r="H2165" s="127" t="n">
        <v>46289</v>
      </c>
      <c r="I2165" s="4" t="n">
        <v>0</v>
      </c>
      <c r="J2165" s="4" t="n">
        <v>0</v>
      </c>
      <c r="K2165" s="4" t="n">
        <v>0</v>
      </c>
      <c r="M2165" s="2" t="str">
        <f aca="false">IF(C2165="","",IFERROR(INDEX($S$5:$S$304,MATCH(C2165,$R$5:$R$304,0))&amp;"","?"))</f>
        <v>35</v>
      </c>
      <c r="N2165" s="2" t="n">
        <f aca="false">IF(E2165="","",IF(ISNUMBER(SEARCH("SUBSOLO",E2165)),IFERROR(-VALUE(LEFT(E2165,FIND("º",SUBSTITUTE(E2165,"°","º"))-1)),-1),IF(LEFT(E2165,6)="TÉRREO",0,IFERROR(VALUE(LEFT(E2165,FIND("º",SUBSTITUTE(E2165,"°","º"))-1)),""))))</f>
        <v>2</v>
      </c>
      <c r="O2165" s="2" t="str">
        <f aca="false">IF(OR(F2165="",G2165=""),"",IF(G2165&lt;='RETRATO 2027'!$K$5,"CONCLUÍDA",IF(F2165&lt;='RETRATO 2027'!$K$5,"EM ANDAMENTO","A INICIAR")))</f>
        <v>A INICIAR</v>
      </c>
    </row>
    <row r="2166" customFormat="false" ht="15" hidden="false" customHeight="false" outlineLevel="0" collapsed="false">
      <c r="B2166" s="4" t="n">
        <v>29980995</v>
      </c>
      <c r="C2166" s="4" t="s">
        <v>2649</v>
      </c>
      <c r="D2166" s="4" t="s">
        <v>463</v>
      </c>
      <c r="E2166" s="4" t="s">
        <v>2827</v>
      </c>
      <c r="F2166" s="127" t="n">
        <v>47071</v>
      </c>
      <c r="G2166" s="127" t="n">
        <v>47085</v>
      </c>
      <c r="H2166" s="127" t="n">
        <v>46289</v>
      </c>
      <c r="I2166" s="4" t="n">
        <v>0</v>
      </c>
      <c r="J2166" s="4" t="n">
        <v>0</v>
      </c>
      <c r="K2166" s="4" t="n">
        <v>0</v>
      </c>
      <c r="M2166" s="2" t="str">
        <f aca="false">IF(C2166="","",IFERROR(INDEX($S$5:$S$304,MATCH(C2166,$R$5:$R$304,0))&amp;"","?"))</f>
        <v>37</v>
      </c>
      <c r="N2166" s="2" t="n">
        <f aca="false">IF(E2166="","",IF(ISNUMBER(SEARCH("SUBSOLO",E2166)),IFERROR(-VALUE(LEFT(E2166,FIND("º",SUBSTITUTE(E2166,"°","º"))-1)),-1),IF(LEFT(E2166,6)="TÉRREO",0,IFERROR(VALUE(LEFT(E2166,FIND("º",SUBSTITUTE(E2166,"°","º"))-1)),""))))</f>
        <v>22</v>
      </c>
      <c r="O2166" s="2" t="str">
        <f aca="false">IF(OR(F2166="",G2166=""),"",IF(G2166&lt;='RETRATO 2027'!$K$5,"CONCLUÍDA",IF(F2166&lt;='RETRATO 2027'!$K$5,"EM ANDAMENTO","A INICIAR")))</f>
        <v>A INICIAR</v>
      </c>
    </row>
    <row r="2167" customFormat="false" ht="15" hidden="false" customHeight="false" outlineLevel="0" collapsed="false">
      <c r="B2167" s="4" t="n">
        <v>29980948</v>
      </c>
      <c r="C2167" s="4" t="s">
        <v>2641</v>
      </c>
      <c r="D2167" s="4" t="s">
        <v>463</v>
      </c>
      <c r="E2167" s="4" t="s">
        <v>2829</v>
      </c>
      <c r="F2167" s="127" t="n">
        <v>47071</v>
      </c>
      <c r="G2167" s="127" t="n">
        <v>47085</v>
      </c>
      <c r="H2167" s="127" t="n">
        <v>46289</v>
      </c>
      <c r="I2167" s="4" t="n">
        <v>0</v>
      </c>
      <c r="J2167" s="4" t="n">
        <v>0</v>
      </c>
      <c r="K2167" s="4" t="n">
        <v>0</v>
      </c>
      <c r="M2167" s="2" t="str">
        <f aca="false">IF(C2167="","",IFERROR(INDEX($S$5:$S$304,MATCH(C2167,$R$5:$R$304,0))&amp;"","?"))</f>
        <v>35</v>
      </c>
      <c r="N2167" s="2" t="n">
        <f aca="false">IF(E2167="","",IF(ISNUMBER(SEARCH("SUBSOLO",E2167)),IFERROR(-VALUE(LEFT(E2167,FIND("º",SUBSTITUTE(E2167,"°","º"))-1)),-1),IF(LEFT(E2167,6)="TÉRREO",0,IFERROR(VALUE(LEFT(E2167,FIND("º",SUBSTITUTE(E2167,"°","º"))-1)),""))))</f>
        <v>23</v>
      </c>
      <c r="O2167" s="2" t="str">
        <f aca="false">IF(OR(F2167="",G2167=""),"",IF(G2167&lt;='RETRATO 2027'!$K$5,"CONCLUÍDA",IF(F2167&lt;='RETRATO 2027'!$K$5,"EM ANDAMENTO","A INICIAR")))</f>
        <v>A INICIAR</v>
      </c>
    </row>
    <row r="2168" customFormat="false" ht="15" hidden="false" customHeight="false" outlineLevel="0" collapsed="false">
      <c r="B2168" s="4" t="n">
        <v>33807018</v>
      </c>
      <c r="C2168" s="4" t="s">
        <v>2735</v>
      </c>
      <c r="D2168" s="4" t="s">
        <v>463</v>
      </c>
      <c r="E2168" s="4" t="s">
        <v>2757</v>
      </c>
      <c r="F2168" s="127" t="n">
        <v>47074</v>
      </c>
      <c r="G2168" s="127" t="n">
        <v>47210</v>
      </c>
      <c r="H2168" s="127" t="n">
        <v>46289</v>
      </c>
      <c r="I2168" s="4" t="n">
        <v>0</v>
      </c>
      <c r="J2168" s="4" t="n">
        <v>0</v>
      </c>
      <c r="K2168" s="4" t="n">
        <v>0</v>
      </c>
      <c r="M2168" s="2" t="str">
        <f aca="false">IF(C2168="","",IFERROR(INDEX($S$5:$S$304,MATCH(C2168,$R$5:$R$304,0))&amp;"","?"))</f>
        <v/>
      </c>
      <c r="N2168" s="2" t="n">
        <f aca="false">IF(E2168="","",IF(ISNUMBER(SEARCH("SUBSOLO",E2168)),IFERROR(-VALUE(LEFT(E2168,FIND("º",SUBSTITUTE(E2168,"°","º"))-1)),-1),IF(LEFT(E2168,6)="TÉRREO",0,IFERROR(VALUE(LEFT(E2168,FIND("º",SUBSTITUTE(E2168,"°","º"))-1)),""))))</f>
        <v>0</v>
      </c>
      <c r="O2168" s="2" t="str">
        <f aca="false">IF(OR(F2168="",G2168=""),"",IF(G2168&lt;='RETRATO 2027'!$K$5,"CONCLUÍDA",IF(F2168&lt;='RETRATO 2027'!$K$5,"EM ANDAMENTO","A INICIAR")))</f>
        <v>A INICIAR</v>
      </c>
    </row>
    <row r="2169" customFormat="false" ht="15" hidden="false" customHeight="false" outlineLevel="0" collapsed="false">
      <c r="B2169" s="4" t="n">
        <v>30171539</v>
      </c>
      <c r="C2169" s="4" t="s">
        <v>2623</v>
      </c>
      <c r="D2169" s="4" t="s">
        <v>463</v>
      </c>
      <c r="E2169" s="4" t="s">
        <v>2857</v>
      </c>
      <c r="F2169" s="127" t="n">
        <v>47074</v>
      </c>
      <c r="G2169" s="127" t="n">
        <v>47107</v>
      </c>
      <c r="H2169" s="127" t="n">
        <v>46289</v>
      </c>
      <c r="I2169" s="4" t="n">
        <v>0</v>
      </c>
      <c r="J2169" s="4" t="n">
        <v>0</v>
      </c>
      <c r="K2169" s="4" t="n">
        <v>0</v>
      </c>
      <c r="M2169" s="2" t="str">
        <f aca="false">IF(C2169="","",IFERROR(INDEX($S$5:$S$304,MATCH(C2169,$R$5:$R$304,0))&amp;"","?"))</f>
        <v>35</v>
      </c>
      <c r="N2169" s="2" t="str">
        <f aca="false"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 t="str">
        <f aca="false">IF(OR(F2169="",G2169=""),"",IF(G2169&lt;='RETRATO 2027'!$K$5,"CONCLUÍDA",IF(F2169&lt;='RETRATO 2027'!$K$5,"EM ANDAMENTO","A INICIAR")))</f>
        <v>A INICIAR</v>
      </c>
    </row>
    <row r="2170" customFormat="false" ht="15" hidden="false" customHeight="false" outlineLevel="0" collapsed="false">
      <c r="B2170" s="4" t="n">
        <v>30206080</v>
      </c>
      <c r="C2170" s="4" t="s">
        <v>2629</v>
      </c>
      <c r="D2170" s="4" t="s">
        <v>463</v>
      </c>
      <c r="E2170" s="4" t="s">
        <v>2847</v>
      </c>
      <c r="F2170" s="127" t="n">
        <v>47074</v>
      </c>
      <c r="G2170" s="127" t="n">
        <v>47080</v>
      </c>
      <c r="H2170" s="127" t="n">
        <v>46289</v>
      </c>
      <c r="I2170" s="4" t="n">
        <v>0</v>
      </c>
      <c r="J2170" s="4" t="n">
        <v>0</v>
      </c>
      <c r="K2170" s="4" t="n">
        <v>0</v>
      </c>
      <c r="M2170" s="2" t="str">
        <f aca="false">IF(C2170="","",IFERROR(INDEX($S$5:$S$304,MATCH(C2170,$R$5:$R$304,0))&amp;"","?"))</f>
        <v>20</v>
      </c>
      <c r="N2170" s="2" t="n">
        <f aca="false">IF(E2170="","",IF(ISNUMBER(SEARCH("SUBSOLO",E2170)),IFERROR(-VALUE(LEFT(E2170,FIND("º",SUBSTITUTE(E2170,"°","º"))-1)),-1),IF(LEFT(E2170,6)="TÉRREO",0,IFERROR(VALUE(LEFT(E2170,FIND("º",SUBSTITUTE(E2170,"°","º"))-1)),""))))</f>
        <v>6</v>
      </c>
      <c r="O2170" s="2" t="str">
        <f aca="false">IF(OR(F2170="",G2170=""),"",IF(G2170&lt;='RETRATO 2027'!$K$5,"CONCLUÍDA",IF(F2170&lt;='RETRATO 2027'!$K$5,"EM ANDAMENTO","A INICIAR")))</f>
        <v>A INICIAR</v>
      </c>
    </row>
    <row r="2171" customFormat="false" ht="15" hidden="false" customHeight="false" outlineLevel="0" collapsed="false">
      <c r="B2171" s="4" t="n">
        <v>30206040</v>
      </c>
      <c r="C2171" s="4" t="s">
        <v>2623</v>
      </c>
      <c r="D2171" s="4" t="s">
        <v>463</v>
      </c>
      <c r="E2171" s="4" t="s">
        <v>2848</v>
      </c>
      <c r="F2171" s="127" t="n">
        <v>47074</v>
      </c>
      <c r="G2171" s="127" t="n">
        <v>47088</v>
      </c>
      <c r="H2171" s="127" t="n">
        <v>46289</v>
      </c>
      <c r="I2171" s="4" t="n">
        <v>0</v>
      </c>
      <c r="J2171" s="4" t="n">
        <v>0</v>
      </c>
      <c r="K2171" s="4" t="n">
        <v>0</v>
      </c>
      <c r="M2171" s="2" t="str">
        <f aca="false">IF(C2171="","",IFERROR(INDEX($S$5:$S$304,MATCH(C2171,$R$5:$R$304,0))&amp;"","?"))</f>
        <v>35</v>
      </c>
      <c r="N2171" s="2" t="n">
        <f aca="false">IF(E2171="","",IF(ISNUMBER(SEARCH("SUBSOLO",E2171)),IFERROR(-VALUE(LEFT(E2171,FIND("º",SUBSTITUTE(E2171,"°","º"))-1)),-1),IF(LEFT(E2171,6)="TÉRREO",0,IFERROR(VALUE(LEFT(E2171,FIND("º",SUBSTITUTE(E2171,"°","º"))-1)),""))))</f>
        <v>6</v>
      </c>
      <c r="O2171" s="2" t="str">
        <f aca="false">IF(OR(F2171="",G2171=""),"",IF(G2171&lt;='RETRATO 2027'!$K$5,"CONCLUÍDA",IF(F2171&lt;='RETRATO 2027'!$K$5,"EM ANDAMENTO","A INICIAR")))</f>
        <v>A INICIAR</v>
      </c>
    </row>
    <row r="2172" customFormat="false" ht="15" hidden="false" customHeight="false" outlineLevel="0" collapsed="false">
      <c r="B2172" s="4" t="n">
        <v>30206002</v>
      </c>
      <c r="C2172" s="4" t="s">
        <v>2615</v>
      </c>
      <c r="D2172" s="4" t="s">
        <v>463</v>
      </c>
      <c r="E2172" s="4" t="s">
        <v>2849</v>
      </c>
      <c r="F2172" s="127" t="n">
        <v>47074</v>
      </c>
      <c r="G2172" s="127" t="n">
        <v>47088</v>
      </c>
      <c r="H2172" s="127" t="n">
        <v>46289</v>
      </c>
      <c r="I2172" s="4" t="n">
        <v>0</v>
      </c>
      <c r="J2172" s="4" t="n">
        <v>0</v>
      </c>
      <c r="K2172" s="4" t="n">
        <v>0</v>
      </c>
      <c r="M2172" s="2" t="str">
        <f aca="false">IF(C2172="","",IFERROR(INDEX($S$5:$S$304,MATCH(C2172,$R$5:$R$304,0))&amp;"","?"))</f>
        <v>37</v>
      </c>
      <c r="N2172" s="2" t="n">
        <f aca="false">IF(E2172="","",IF(ISNUMBER(SEARCH("SUBSOLO",E2172)),IFERROR(-VALUE(LEFT(E2172,FIND("º",SUBSTITUTE(E2172,"°","º"))-1)),-1),IF(LEFT(E2172,6)="TÉRREO",0,IFERROR(VALUE(LEFT(E2172,FIND("º",SUBSTITUTE(E2172,"°","º"))-1)),""))))</f>
        <v>6</v>
      </c>
      <c r="O2172" s="2" t="str">
        <f aca="false">IF(OR(F2172="",G2172=""),"",IF(G2172&lt;='RETRATO 2027'!$K$5,"CONCLUÍDA",IF(F2172&lt;='RETRATO 2027'!$K$5,"EM ANDAMENTO","A INICIAR")))</f>
        <v>A INICIAR</v>
      </c>
    </row>
    <row r="2173" customFormat="false" ht="15" hidden="false" customHeight="false" outlineLevel="0" collapsed="false">
      <c r="B2173" s="4" t="n">
        <v>30209042</v>
      </c>
      <c r="C2173" s="4" t="s">
        <v>2584</v>
      </c>
      <c r="D2173" s="4" t="s">
        <v>463</v>
      </c>
      <c r="E2173" s="4" t="s">
        <v>2850</v>
      </c>
      <c r="F2173" s="127" t="n">
        <v>47074</v>
      </c>
      <c r="G2173" s="127" t="n">
        <v>47081</v>
      </c>
      <c r="H2173" s="127" t="n">
        <v>46289</v>
      </c>
      <c r="I2173" s="4" t="n">
        <v>0</v>
      </c>
      <c r="J2173" s="4" t="n">
        <v>0</v>
      </c>
      <c r="K2173" s="4" t="n">
        <v>0</v>
      </c>
      <c r="M2173" s="2" t="str">
        <f aca="false">IF(C2173="","",IFERROR(INDEX($S$5:$S$304,MATCH(C2173,$R$5:$R$304,0))&amp;"","?"))</f>
        <v>20</v>
      </c>
      <c r="N2173" s="2" t="n">
        <f aca="false">IF(E2173="","",IF(ISNUMBER(SEARCH("SUBSOLO",E2173)),IFERROR(-VALUE(LEFT(E2173,FIND("º",SUBSTITUTE(E2173,"°","º"))-1)),-1),IF(LEFT(E2173,6)="TÉRREO",0,IFERROR(VALUE(LEFT(E2173,FIND("º",SUBSTITUTE(E2173,"°","º"))-1)),""))))</f>
        <v>6</v>
      </c>
      <c r="O2173" s="2" t="str">
        <f aca="false">IF(OR(F2173="",G2173=""),"",IF(G2173&lt;='RETRATO 2027'!$K$5,"CONCLUÍDA",IF(F2173&lt;='RETRATO 2027'!$K$5,"EM ANDAMENTO","A INICIAR")))</f>
        <v>A INICIAR</v>
      </c>
    </row>
    <row r="2174" customFormat="false" ht="15" hidden="false" customHeight="false" outlineLevel="0" collapsed="false">
      <c r="B2174" s="4" t="n">
        <v>29981109</v>
      </c>
      <c r="C2174" s="4" t="s">
        <v>2539</v>
      </c>
      <c r="D2174" s="4" t="s">
        <v>463</v>
      </c>
      <c r="E2174" s="4" t="s">
        <v>2822</v>
      </c>
      <c r="F2174" s="127" t="n">
        <v>47078</v>
      </c>
      <c r="G2174" s="127" t="n">
        <v>47088</v>
      </c>
      <c r="H2174" s="127" t="n">
        <v>46289</v>
      </c>
      <c r="I2174" s="4" t="n">
        <v>0</v>
      </c>
      <c r="J2174" s="4" t="n">
        <v>0</v>
      </c>
      <c r="K2174" s="4" t="n">
        <v>0</v>
      </c>
      <c r="M2174" s="2" t="str">
        <f aca="false">IF(C2174="","",IFERROR(INDEX($S$5:$S$304,MATCH(C2174,$R$5:$R$304,0))&amp;"","?"))</f>
        <v>35</v>
      </c>
      <c r="N2174" s="2" t="n">
        <f aca="false">IF(E2174="","",IF(ISNUMBER(SEARCH("SUBSOLO",E2174)),IFERROR(-VALUE(LEFT(E2174,FIND("º",SUBSTITUTE(E2174,"°","º"))-1)),-1),IF(LEFT(E2174,6)="TÉRREO",0,IFERROR(VALUE(LEFT(E2174,FIND("º",SUBSTITUTE(E2174,"°","º"))-1)),""))))</f>
        <v>19</v>
      </c>
      <c r="O2174" s="2" t="str">
        <f aca="false">IF(OR(F2174="",G2174=""),"",IF(G2174&lt;='RETRATO 2027'!$K$5,"CONCLUÍDA",IF(F2174&lt;='RETRATO 2027'!$K$5,"EM ANDAMENTO","A INICIAR")))</f>
        <v>A INICIAR</v>
      </c>
    </row>
    <row r="2175" customFormat="false" ht="15" hidden="false" customHeight="false" outlineLevel="0" collapsed="false">
      <c r="B2175" s="4" t="n">
        <v>29980910</v>
      </c>
      <c r="C2175" s="4" t="s">
        <v>2637</v>
      </c>
      <c r="D2175" s="4" t="s">
        <v>463</v>
      </c>
      <c r="E2175" s="4" t="s">
        <v>2831</v>
      </c>
      <c r="F2175" s="127" t="n">
        <v>47079</v>
      </c>
      <c r="G2175" s="127" t="n">
        <v>47085</v>
      </c>
      <c r="H2175" s="127" t="n">
        <v>46289</v>
      </c>
      <c r="I2175" s="4" t="n">
        <v>0</v>
      </c>
      <c r="J2175" s="4" t="n">
        <v>0</v>
      </c>
      <c r="K2175" s="4" t="n">
        <v>0</v>
      </c>
      <c r="M2175" s="2" t="str">
        <f aca="false">IF(C2175="","",IFERROR(INDEX($S$5:$S$304,MATCH(C2175,$R$5:$R$304,0))&amp;"","?"))</f>
        <v/>
      </c>
      <c r="N2175" s="2" t="n">
        <f aca="false">IF(E2175="","",IF(ISNUMBER(SEARCH("SUBSOLO",E2175)),IFERROR(-VALUE(LEFT(E2175,FIND("º",SUBSTITUTE(E2175,"°","º"))-1)),-1),IF(LEFT(E2175,6)="TÉRREO",0,IFERROR(VALUE(LEFT(E2175,FIND("º",SUBSTITUTE(E2175,"°","º"))-1)),""))))</f>
        <v>24</v>
      </c>
      <c r="O2175" s="2" t="str">
        <f aca="false">IF(OR(F2175="",G2175=""),"",IF(G2175&lt;='RETRATO 2027'!$K$5,"CONCLUÍDA",IF(F2175&lt;='RETRATO 2027'!$K$5,"EM ANDAMENTO","A INICIAR")))</f>
        <v>A INICIAR</v>
      </c>
    </row>
    <row r="2176" customFormat="false" ht="15" hidden="false" customHeight="false" outlineLevel="0" collapsed="false">
      <c r="B2176" s="4" t="n">
        <v>29980875</v>
      </c>
      <c r="C2176" s="4" t="s">
        <v>2629</v>
      </c>
      <c r="D2176" s="4" t="s">
        <v>463</v>
      </c>
      <c r="E2176" s="4" t="s">
        <v>2833</v>
      </c>
      <c r="F2176" s="127" t="n">
        <v>47079</v>
      </c>
      <c r="G2176" s="127" t="n">
        <v>47091</v>
      </c>
      <c r="H2176" s="127" t="n">
        <v>46289</v>
      </c>
      <c r="I2176" s="4" t="n">
        <v>0</v>
      </c>
      <c r="J2176" s="4" t="n">
        <v>0</v>
      </c>
      <c r="K2176" s="4" t="n">
        <v>0</v>
      </c>
      <c r="M2176" s="2" t="str">
        <f aca="false">IF(C2176="","",IFERROR(INDEX($S$5:$S$304,MATCH(C2176,$R$5:$R$304,0))&amp;"","?"))</f>
        <v>20</v>
      </c>
      <c r="N2176" s="2" t="n">
        <f aca="false">IF(E2176="","",IF(ISNUMBER(SEARCH("SUBSOLO",E2176)),IFERROR(-VALUE(LEFT(E2176,FIND("º",SUBSTITUTE(E2176,"°","º"))-1)),-1),IF(LEFT(E2176,6)="TÉRREO",0,IFERROR(VALUE(LEFT(E2176,FIND("º",SUBSTITUTE(E2176,"°","º"))-1)),""))))</f>
        <v>25</v>
      </c>
      <c r="O2176" s="2" t="str">
        <f aca="false">IF(OR(F2176="",G2176=""),"",IF(G2176&lt;='RETRATO 2027'!$K$5,"CONCLUÍDA",IF(F2176&lt;='RETRATO 2027'!$K$5,"EM ANDAMENTO","A INICIAR")))</f>
        <v>A INICIAR</v>
      </c>
    </row>
    <row r="2177" customFormat="false" ht="15" hidden="false" customHeight="false" outlineLevel="0" collapsed="false">
      <c r="B2177" s="4" t="n">
        <v>29980835</v>
      </c>
      <c r="C2177" s="4" t="s">
        <v>2623</v>
      </c>
      <c r="D2177" s="4" t="s">
        <v>463</v>
      </c>
      <c r="E2177" s="4" t="s">
        <v>2834</v>
      </c>
      <c r="F2177" s="127" t="n">
        <v>47079</v>
      </c>
      <c r="G2177" s="127" t="n">
        <v>47091</v>
      </c>
      <c r="H2177" s="127" t="n">
        <v>46289</v>
      </c>
      <c r="I2177" s="4" t="n">
        <v>0</v>
      </c>
      <c r="J2177" s="4" t="n">
        <v>0</v>
      </c>
      <c r="K2177" s="4" t="n">
        <v>0</v>
      </c>
      <c r="M2177" s="2" t="str">
        <f aca="false">IF(C2177="","",IFERROR(INDEX($S$5:$S$304,MATCH(C2177,$R$5:$R$304,0))&amp;"","?"))</f>
        <v>35</v>
      </c>
      <c r="N2177" s="2" t="n">
        <f aca="false">IF(E2177="","",IF(ISNUMBER(SEARCH("SUBSOLO",E2177)),IFERROR(-VALUE(LEFT(E2177,FIND("º",SUBSTITUTE(E2177,"°","º"))-1)),-1),IF(LEFT(E2177,6)="TÉRREO",0,IFERROR(VALUE(LEFT(E2177,FIND("º",SUBSTITUTE(E2177,"°","º"))-1)),""))))</f>
        <v>26</v>
      </c>
      <c r="O2177" s="2" t="str">
        <f aca="false">IF(OR(F2177="",G2177=""),"",IF(G2177&lt;='RETRATO 2027'!$K$5,"CONCLUÍDA",IF(F2177&lt;='RETRATO 2027'!$K$5,"EM ANDAMENTO","A INICIAR")))</f>
        <v>A INICIAR</v>
      </c>
    </row>
    <row r="2178" customFormat="false" ht="15" hidden="false" customHeight="false" outlineLevel="0" collapsed="false">
      <c r="B2178" s="4" t="n">
        <v>33919803</v>
      </c>
      <c r="C2178" s="4" t="s">
        <v>2625</v>
      </c>
      <c r="D2178" s="4" t="s">
        <v>463</v>
      </c>
      <c r="E2178" s="4" t="s">
        <v>2834</v>
      </c>
      <c r="F2178" s="127" t="n">
        <v>47079</v>
      </c>
      <c r="G2178" s="127" t="n">
        <v>47091</v>
      </c>
      <c r="H2178" s="127" t="n">
        <v>46289</v>
      </c>
      <c r="I2178" s="4" t="n">
        <v>0</v>
      </c>
      <c r="J2178" s="4" t="n">
        <v>0</v>
      </c>
      <c r="K2178" s="4" t="n">
        <v>0</v>
      </c>
      <c r="M2178" s="2" t="str">
        <f aca="false">IF(C2178="","",IFERROR(INDEX($S$5:$S$304,MATCH(C2178,$R$5:$R$304,0))&amp;"","?"))</f>
        <v>32</v>
      </c>
      <c r="N2178" s="2" t="n">
        <f aca="false">IF(E2178="","",IF(ISNUMBER(SEARCH("SUBSOLO",E2178)),IFERROR(-VALUE(LEFT(E2178,FIND("º",SUBSTITUTE(E2178,"°","º"))-1)),-1),IF(LEFT(E2178,6)="TÉRREO",0,IFERROR(VALUE(LEFT(E2178,FIND("º",SUBSTITUTE(E2178,"°","º"))-1)),""))))</f>
        <v>26</v>
      </c>
      <c r="O2178" s="2" t="str">
        <f aca="false">IF(OR(F2178="",G2178=""),"",IF(G2178&lt;='RETRATO 2027'!$K$5,"CONCLUÍDA",IF(F2178&lt;='RETRATO 2027'!$K$5,"EM ANDAMENTO","A INICIAR")))</f>
        <v>A INICIAR</v>
      </c>
    </row>
    <row r="2179" customFormat="false" ht="15" hidden="false" customHeight="false" outlineLevel="0" collapsed="false">
      <c r="B2179" s="4" t="n">
        <v>29980797</v>
      </c>
      <c r="C2179" s="4" t="s">
        <v>2615</v>
      </c>
      <c r="D2179" s="4" t="s">
        <v>463</v>
      </c>
      <c r="E2179" s="4" t="s">
        <v>2838</v>
      </c>
      <c r="F2179" s="127" t="n">
        <v>47079</v>
      </c>
      <c r="G2179" s="127" t="n">
        <v>47091</v>
      </c>
      <c r="H2179" s="127" t="n">
        <v>46289</v>
      </c>
      <c r="I2179" s="4" t="n">
        <v>0</v>
      </c>
      <c r="J2179" s="4" t="n">
        <v>0</v>
      </c>
      <c r="K2179" s="4" t="n">
        <v>0</v>
      </c>
      <c r="M2179" s="2" t="str">
        <f aca="false">IF(C2179="","",IFERROR(INDEX($S$5:$S$304,MATCH(C2179,$R$5:$R$304,0))&amp;"","?"))</f>
        <v>37</v>
      </c>
      <c r="N2179" s="2" t="n">
        <f aca="false">IF(E2179="","",IF(ISNUMBER(SEARCH("SUBSOLO",E2179)),IFERROR(-VALUE(LEFT(E2179,FIND("º",SUBSTITUTE(E2179,"°","º"))-1)),-1),IF(LEFT(E2179,6)="TÉRREO",0,IFERROR(VALUE(LEFT(E2179,FIND("º",SUBSTITUTE(E2179,"°","º"))-1)),""))))</f>
        <v>27</v>
      </c>
      <c r="O2179" s="2" t="str">
        <f aca="false">IF(OR(F2179="",G2179=""),"",IF(G2179&lt;='RETRATO 2027'!$K$5,"CONCLUÍDA",IF(F2179&lt;='RETRATO 2027'!$K$5,"EM ANDAMENTO","A INICIAR")))</f>
        <v>A INICIAR</v>
      </c>
    </row>
    <row r="2180" customFormat="false" ht="15" hidden="false" customHeight="false" outlineLevel="0" collapsed="false">
      <c r="B2180" s="4" t="n">
        <v>29980754</v>
      </c>
      <c r="C2180" s="4" t="s">
        <v>2605</v>
      </c>
      <c r="D2180" s="4" t="s">
        <v>463</v>
      </c>
      <c r="E2180" s="4" t="s">
        <v>2840</v>
      </c>
      <c r="F2180" s="127" t="n">
        <v>47079</v>
      </c>
      <c r="G2180" s="127" t="n">
        <v>47091</v>
      </c>
      <c r="H2180" s="127" t="n">
        <v>46289</v>
      </c>
      <c r="I2180" s="4" t="n">
        <v>0</v>
      </c>
      <c r="J2180" s="4" t="n">
        <v>0</v>
      </c>
      <c r="K2180" s="4" t="n">
        <v>0</v>
      </c>
      <c r="M2180" s="2" t="str">
        <f aca="false">IF(C2180="","",IFERROR(INDEX($S$5:$S$304,MATCH(C2180,$R$5:$R$304,0))&amp;"","?"))</f>
        <v>34</v>
      </c>
      <c r="N2180" s="2" t="n">
        <f aca="false">IF(E2180="","",IF(ISNUMBER(SEARCH("SUBSOLO",E2180)),IFERROR(-VALUE(LEFT(E2180,FIND("º",SUBSTITUTE(E2180,"°","º"))-1)),-1),IF(LEFT(E2180,6)="TÉRREO",0,IFERROR(VALUE(LEFT(E2180,FIND("º",SUBSTITUTE(E2180,"°","º"))-1)),""))))</f>
        <v>28</v>
      </c>
      <c r="O2180" s="2" t="str">
        <f aca="false">IF(OR(F2180="",G2180=""),"",IF(G2180&lt;='RETRATO 2027'!$K$5,"CONCLUÍDA",IF(F2180&lt;='RETRATO 2027'!$K$5,"EM ANDAMENTO","A INICIAR")))</f>
        <v>A INICIAR</v>
      </c>
    </row>
    <row r="2181" customFormat="false" ht="15" hidden="false" customHeight="false" outlineLevel="0" collapsed="false">
      <c r="B2181" s="4" t="n">
        <v>29980759</v>
      </c>
      <c r="C2181" s="4" t="s">
        <v>2607</v>
      </c>
      <c r="D2181" s="4" t="s">
        <v>463</v>
      </c>
      <c r="E2181" s="4" t="s">
        <v>2840</v>
      </c>
      <c r="F2181" s="127" t="n">
        <v>47079</v>
      </c>
      <c r="G2181" s="127" t="n">
        <v>47091</v>
      </c>
      <c r="H2181" s="127" t="n">
        <v>46289</v>
      </c>
      <c r="I2181" s="4" t="n">
        <v>0</v>
      </c>
      <c r="J2181" s="4" t="n">
        <v>0</v>
      </c>
      <c r="K2181" s="4" t="n">
        <v>0</v>
      </c>
      <c r="M2181" s="2" t="str">
        <f aca="false">IF(C2181="","",IFERROR(INDEX($S$5:$S$304,MATCH(C2181,$R$5:$R$304,0))&amp;"","?"))</f>
        <v>34</v>
      </c>
      <c r="N2181" s="2" t="n">
        <f aca="false">IF(E2181="","",IF(ISNUMBER(SEARCH("SUBSOLO",E2181)),IFERROR(-VALUE(LEFT(E2181,FIND("º",SUBSTITUTE(E2181,"°","º"))-1)),-1),IF(LEFT(E2181,6)="TÉRREO",0,IFERROR(VALUE(LEFT(E2181,FIND("º",SUBSTITUTE(E2181,"°","º"))-1)),""))))</f>
        <v>28</v>
      </c>
      <c r="O2181" s="2" t="str">
        <f aca="false">IF(OR(F2181="",G2181=""),"",IF(G2181&lt;='RETRATO 2027'!$K$5,"CONCLUÍDA",IF(F2181&lt;='RETRATO 2027'!$K$5,"EM ANDAMENTO","A INICIAR")))</f>
        <v>A INICIAR</v>
      </c>
    </row>
    <row r="2182" customFormat="false" ht="15" hidden="false" customHeight="false" outlineLevel="0" collapsed="false">
      <c r="B2182" s="4" t="n">
        <v>29980758</v>
      </c>
      <c r="C2182" s="4" t="s">
        <v>2563</v>
      </c>
      <c r="D2182" s="4" t="s">
        <v>463</v>
      </c>
      <c r="E2182" s="4" t="s">
        <v>2840</v>
      </c>
      <c r="F2182" s="127" t="n">
        <v>47079</v>
      </c>
      <c r="G2182" s="127" t="n">
        <v>47091</v>
      </c>
      <c r="H2182" s="127" t="n">
        <v>46289</v>
      </c>
      <c r="I2182" s="4" t="n">
        <v>0</v>
      </c>
      <c r="J2182" s="4" t="n">
        <v>0</v>
      </c>
      <c r="K2182" s="4" t="n">
        <v>0</v>
      </c>
      <c r="M2182" s="2" t="str">
        <f aca="false">IF(C2182="","",IFERROR(INDEX($S$5:$S$304,MATCH(C2182,$R$5:$R$304,0))&amp;"","?"))</f>
        <v>20</v>
      </c>
      <c r="N2182" s="2" t="n">
        <f aca="false">IF(E2182="","",IF(ISNUMBER(SEARCH("SUBSOLO",E2182)),IFERROR(-VALUE(LEFT(E2182,FIND("º",SUBSTITUTE(E2182,"°","º"))-1)),-1),IF(LEFT(E2182,6)="TÉRREO",0,IFERROR(VALUE(LEFT(E2182,FIND("º",SUBSTITUTE(E2182,"°","º"))-1)),""))))</f>
        <v>28</v>
      </c>
      <c r="O2182" s="2" t="str">
        <f aca="false">IF(OR(F2182="",G2182=""),"",IF(G2182&lt;='RETRATO 2027'!$K$5,"CONCLUÍDA",IF(F2182&lt;='RETRATO 2027'!$K$5,"EM ANDAMENTO","A INICIAR")))</f>
        <v>A INICIAR</v>
      </c>
    </row>
    <row r="2183" customFormat="false" ht="15" hidden="false" customHeight="false" outlineLevel="0" collapsed="false">
      <c r="B2183" s="4" t="n">
        <v>29980757</v>
      </c>
      <c r="C2183" s="4" t="s">
        <v>2609</v>
      </c>
      <c r="D2183" s="4" t="s">
        <v>463</v>
      </c>
      <c r="E2183" s="4" t="s">
        <v>2840</v>
      </c>
      <c r="F2183" s="127" t="n">
        <v>47079</v>
      </c>
      <c r="G2183" s="127" t="n">
        <v>47091</v>
      </c>
      <c r="H2183" s="127" t="n">
        <v>46289</v>
      </c>
      <c r="I2183" s="4" t="n">
        <v>0</v>
      </c>
      <c r="J2183" s="4" t="n">
        <v>0</v>
      </c>
      <c r="K2183" s="4" t="n">
        <v>0</v>
      </c>
      <c r="M2183" s="2" t="str">
        <f aca="false">IF(C2183="","",IFERROR(INDEX($S$5:$S$304,MATCH(C2183,$R$5:$R$304,0))&amp;"","?"))</f>
        <v>23</v>
      </c>
      <c r="N2183" s="2" t="n">
        <f aca="false">IF(E2183="","",IF(ISNUMBER(SEARCH("SUBSOLO",E2183)),IFERROR(-VALUE(LEFT(E2183,FIND("º",SUBSTITUTE(E2183,"°","º"))-1)),-1),IF(LEFT(E2183,6)="TÉRREO",0,IFERROR(VALUE(LEFT(E2183,FIND("º",SUBSTITUTE(E2183,"°","º"))-1)),""))))</f>
        <v>28</v>
      </c>
      <c r="O2183" s="2" t="str">
        <f aca="false">IF(OR(F2183="",G2183=""),"",IF(G2183&lt;='RETRATO 2027'!$K$5,"CONCLUÍDA",IF(F2183&lt;='RETRATO 2027'!$K$5,"EM ANDAMENTO","A INICIAR")))</f>
        <v>A INICIAR</v>
      </c>
    </row>
    <row r="2184" customFormat="false" ht="15" hidden="false" customHeight="false" outlineLevel="0" collapsed="false">
      <c r="B2184" s="4" t="n">
        <v>29980716</v>
      </c>
      <c r="C2184" s="4" t="s">
        <v>2599</v>
      </c>
      <c r="D2184" s="4" t="s">
        <v>463</v>
      </c>
      <c r="E2184" s="4" t="s">
        <v>2841</v>
      </c>
      <c r="F2184" s="127" t="n">
        <v>47079</v>
      </c>
      <c r="G2184" s="127" t="n">
        <v>47091</v>
      </c>
      <c r="H2184" s="127" t="n">
        <v>46289</v>
      </c>
      <c r="I2184" s="4" t="n">
        <v>0</v>
      </c>
      <c r="J2184" s="4" t="n">
        <v>0</v>
      </c>
      <c r="K2184" s="4" t="n">
        <v>0</v>
      </c>
      <c r="M2184" s="2" t="str">
        <f aca="false">IF(C2184="","",IFERROR(INDEX($S$5:$S$304,MATCH(C2184,$R$5:$R$304,0))&amp;"","?"))</f>
        <v>30</v>
      </c>
      <c r="N2184" s="2" t="n">
        <f aca="false">IF(E2184="","",IF(ISNUMBER(SEARCH("SUBSOLO",E2184)),IFERROR(-VALUE(LEFT(E2184,FIND("º",SUBSTITUTE(E2184,"°","º"))-1)),-1),IF(LEFT(E2184,6)="TÉRREO",0,IFERROR(VALUE(LEFT(E2184,FIND("º",SUBSTITUTE(E2184,"°","º"))-1)),""))))</f>
        <v>29</v>
      </c>
      <c r="O2184" s="2" t="str">
        <f aca="false">IF(OR(F2184="",G2184=""),"",IF(G2184&lt;='RETRATO 2027'!$K$5,"CONCLUÍDA",IF(F2184&lt;='RETRATO 2027'!$K$5,"EM ANDAMENTO","A INICIAR")))</f>
        <v>A INICIAR</v>
      </c>
    </row>
    <row r="2185" customFormat="false" ht="15" hidden="false" customHeight="false" outlineLevel="0" collapsed="false">
      <c r="B2185" s="4" t="n">
        <v>29980678</v>
      </c>
      <c r="C2185" s="4" t="s">
        <v>2578</v>
      </c>
      <c r="D2185" s="4" t="s">
        <v>463</v>
      </c>
      <c r="E2185" s="4" t="s">
        <v>2842</v>
      </c>
      <c r="F2185" s="127" t="n">
        <v>47079</v>
      </c>
      <c r="G2185" s="127" t="n">
        <v>47091</v>
      </c>
      <c r="H2185" s="127" t="n">
        <v>46289</v>
      </c>
      <c r="I2185" s="4" t="n">
        <v>0</v>
      </c>
      <c r="J2185" s="4" t="n">
        <v>0</v>
      </c>
      <c r="K2185" s="4" t="n">
        <v>0</v>
      </c>
      <c r="M2185" s="2" t="str">
        <f aca="false">IF(C2185="","",IFERROR(INDEX($S$5:$S$304,MATCH(C2185,$R$5:$R$304,0))&amp;"","?"))</f>
        <v>25</v>
      </c>
      <c r="N2185" s="2" t="n">
        <f aca="false">IF(E2185="","",IF(ISNUMBER(SEARCH("SUBSOLO",E2185)),IFERROR(-VALUE(LEFT(E2185,FIND("º",SUBSTITUTE(E2185,"°","º"))-1)),-1),IF(LEFT(E2185,6)="TÉRREO",0,IFERROR(VALUE(LEFT(E2185,FIND("º",SUBSTITUTE(E2185,"°","º"))-1)),""))))</f>
        <v>30</v>
      </c>
      <c r="O2185" s="2" t="str">
        <f aca="false">IF(OR(F2185="",G2185=""),"",IF(G2185&lt;='RETRATO 2027'!$K$5,"CONCLUÍDA",IF(F2185&lt;='RETRATO 2027'!$K$5,"EM ANDAMENTO","A INICIAR")))</f>
        <v>A INICIAR</v>
      </c>
    </row>
    <row r="2186" customFormat="false" ht="15" hidden="false" customHeight="false" outlineLevel="0" collapsed="false">
      <c r="B2186" s="4" t="n">
        <v>29980640</v>
      </c>
      <c r="C2186" s="4" t="s">
        <v>2569</v>
      </c>
      <c r="D2186" s="4" t="s">
        <v>463</v>
      </c>
      <c r="E2186" s="4" t="s">
        <v>2843</v>
      </c>
      <c r="F2186" s="127" t="n">
        <v>47079</v>
      </c>
      <c r="G2186" s="127" t="n">
        <v>47091</v>
      </c>
      <c r="H2186" s="127" t="n">
        <v>46289</v>
      </c>
      <c r="I2186" s="4" t="n">
        <v>0</v>
      </c>
      <c r="J2186" s="4" t="n">
        <v>0</v>
      </c>
      <c r="K2186" s="4" t="n">
        <v>0</v>
      </c>
      <c r="M2186" s="2" t="str">
        <f aca="false">IF(C2186="","",IFERROR(INDEX($S$5:$S$304,MATCH(C2186,$R$5:$R$304,0))&amp;"","?"))</f>
        <v>30</v>
      </c>
      <c r="N2186" s="2" t="n">
        <f aca="false">IF(E2186="","",IF(ISNUMBER(SEARCH("SUBSOLO",E2186)),IFERROR(-VALUE(LEFT(E2186,FIND("º",SUBSTITUTE(E2186,"°","º"))-1)),-1),IF(LEFT(E2186,6)="TÉRREO",0,IFERROR(VALUE(LEFT(E2186,FIND("º",SUBSTITUTE(E2186,"°","º"))-1)),""))))</f>
        <v>31</v>
      </c>
      <c r="O2186" s="2" t="str">
        <f aca="false">IF(OR(F2186="",G2186=""),"",IF(G2186&lt;='RETRATO 2027'!$K$5,"CONCLUÍDA",IF(F2186&lt;='RETRATO 2027'!$K$5,"EM ANDAMENTO","A INICIAR")))</f>
        <v>A INICIAR</v>
      </c>
    </row>
    <row r="2187" customFormat="false" ht="15" hidden="false" customHeight="false" outlineLevel="0" collapsed="false">
      <c r="B2187" s="4" t="n">
        <v>29980602</v>
      </c>
      <c r="C2187" s="4" t="s">
        <v>2554</v>
      </c>
      <c r="D2187" s="4" t="s">
        <v>463</v>
      </c>
      <c r="E2187" s="4" t="s">
        <v>2844</v>
      </c>
      <c r="F2187" s="127" t="n">
        <v>47079</v>
      </c>
      <c r="G2187" s="127" t="n">
        <v>47091</v>
      </c>
      <c r="H2187" s="127" t="n">
        <v>46289</v>
      </c>
      <c r="I2187" s="4" t="n">
        <v>0</v>
      </c>
      <c r="J2187" s="4" t="n">
        <v>0</v>
      </c>
      <c r="K2187" s="4" t="n">
        <v>0</v>
      </c>
      <c r="M2187" s="2" t="str">
        <f aca="false">IF(C2187="","",IFERROR(INDEX($S$5:$S$304,MATCH(C2187,$R$5:$R$304,0))&amp;"","?"))</f>
        <v>35</v>
      </c>
      <c r="N2187" s="2" t="n">
        <f aca="false">IF(E2187="","",IF(ISNUMBER(SEARCH("SUBSOLO",E2187)),IFERROR(-VALUE(LEFT(E2187,FIND("º",SUBSTITUTE(E2187,"°","º"))-1)),-1),IF(LEFT(E2187,6)="TÉRREO",0,IFERROR(VALUE(LEFT(E2187,FIND("º",SUBSTITUTE(E2187,"°","º"))-1)),""))))</f>
        <v>32</v>
      </c>
      <c r="O2187" s="2" t="str">
        <f aca="false">IF(OR(F2187="",G2187=""),"",IF(G2187&lt;='RETRATO 2027'!$K$5,"CONCLUÍDA",IF(F2187&lt;='RETRATO 2027'!$K$5,"EM ANDAMENTO","A INICIAR")))</f>
        <v>A INICIAR</v>
      </c>
    </row>
    <row r="2188" customFormat="false" ht="15" hidden="false" customHeight="false" outlineLevel="0" collapsed="false">
      <c r="B2188" s="4" t="n">
        <v>30171447</v>
      </c>
      <c r="C2188" s="4" t="s">
        <v>2629</v>
      </c>
      <c r="D2188" s="4" t="s">
        <v>463</v>
      </c>
      <c r="E2188" s="4" t="s">
        <v>2790</v>
      </c>
      <c r="F2188" s="127" t="n">
        <v>47080</v>
      </c>
      <c r="G2188" s="127" t="n">
        <v>47093</v>
      </c>
      <c r="H2188" s="127" t="n">
        <v>46289</v>
      </c>
      <c r="I2188" s="4" t="n">
        <v>0</v>
      </c>
      <c r="J2188" s="4" t="n">
        <v>0</v>
      </c>
      <c r="K2188" s="4" t="n">
        <v>0</v>
      </c>
      <c r="M2188" s="2" t="str">
        <f aca="false">IF(C2188="","",IFERROR(INDEX($S$5:$S$304,MATCH(C2188,$R$5:$R$304,0))&amp;"","?"))</f>
        <v>20</v>
      </c>
      <c r="N2188" s="2" t="n">
        <f aca="false">IF(E2188="","",IF(ISNUMBER(SEARCH("SUBSOLO",E2188)),IFERROR(-VALUE(LEFT(E2188,FIND("º",SUBSTITUTE(E2188,"°","º"))-1)),-1),IF(LEFT(E2188,6)="TÉRREO",0,IFERROR(VALUE(LEFT(E2188,FIND("º",SUBSTITUTE(E2188,"°","º"))-1)),""))))</f>
        <v>3</v>
      </c>
      <c r="O2188" s="2" t="str">
        <f aca="false">IF(OR(F2188="",G2188=""),"",IF(G2188&lt;='RETRATO 2027'!$K$5,"CONCLUÍDA",IF(F2188&lt;='RETRATO 2027'!$K$5,"EM ANDAMENTO","A INICIAR")))</f>
        <v>A INICIAR</v>
      </c>
    </row>
    <row r="2189" customFormat="false" ht="15" hidden="false" customHeight="false" outlineLevel="0" collapsed="false">
      <c r="B2189" s="4" t="n">
        <v>30171446</v>
      </c>
      <c r="C2189" s="4" t="s">
        <v>2653</v>
      </c>
      <c r="D2189" s="4" t="s">
        <v>463</v>
      </c>
      <c r="E2189" s="4" t="s">
        <v>2790</v>
      </c>
      <c r="F2189" s="127" t="n">
        <v>47080</v>
      </c>
      <c r="G2189" s="127" t="n">
        <v>47108</v>
      </c>
      <c r="H2189" s="127" t="n">
        <v>46289</v>
      </c>
      <c r="I2189" s="4" t="n">
        <v>0</v>
      </c>
      <c r="J2189" s="4" t="n">
        <v>0</v>
      </c>
      <c r="K2189" s="4" t="n">
        <v>0</v>
      </c>
      <c r="M2189" s="2" t="str">
        <f aca="false">IF(C2189="","",IFERROR(INDEX($S$5:$S$304,MATCH(C2189,$R$5:$R$304,0))&amp;"","?"))</f>
        <v>31</v>
      </c>
      <c r="N2189" s="2" t="n">
        <f aca="false">IF(E2189="","",IF(ISNUMBER(SEARCH("SUBSOLO",E2189)),IFERROR(-VALUE(LEFT(E2189,FIND("º",SUBSTITUTE(E2189,"°","º"))-1)),-1),IF(LEFT(E2189,6)="TÉRREO",0,IFERROR(VALUE(LEFT(E2189,FIND("º",SUBSTITUTE(E2189,"°","º"))-1)),""))))</f>
        <v>3</v>
      </c>
      <c r="O2189" s="2" t="str">
        <f aca="false">IF(OR(F2189="",G2189=""),"",IF(G2189&lt;='RETRATO 2027'!$K$5,"CONCLUÍDA",IF(F2189&lt;='RETRATO 2027'!$K$5,"EM ANDAMENTO","A INICIAR")))</f>
        <v>A INICIAR</v>
      </c>
    </row>
    <row r="2190" customFormat="false" ht="15" hidden="false" customHeight="false" outlineLevel="0" collapsed="false">
      <c r="B2190" s="4" t="n">
        <v>30171458</v>
      </c>
      <c r="C2190" s="4" t="s">
        <v>2655</v>
      </c>
      <c r="D2190" s="4" t="s">
        <v>463</v>
      </c>
      <c r="E2190" s="4" t="s">
        <v>2790</v>
      </c>
      <c r="F2190" s="127" t="n">
        <v>47080</v>
      </c>
      <c r="G2190" s="127" t="n">
        <v>47093</v>
      </c>
      <c r="H2190" s="127" t="n">
        <v>46289</v>
      </c>
      <c r="I2190" s="4" t="n">
        <v>0</v>
      </c>
      <c r="J2190" s="4" t="n">
        <v>0</v>
      </c>
      <c r="K2190" s="4" t="n">
        <v>0</v>
      </c>
      <c r="M2190" s="2" t="str">
        <f aca="false">IF(C2190="","",IFERROR(INDEX($S$5:$S$304,MATCH(C2190,$R$5:$R$304,0))&amp;"","?"))</f>
        <v>34</v>
      </c>
      <c r="N2190" s="2" t="n">
        <f aca="false">IF(E2190="","",IF(ISNUMBER(SEARCH("SUBSOLO",E2190)),IFERROR(-VALUE(LEFT(E2190,FIND("º",SUBSTITUTE(E2190,"°","º"))-1)),-1),IF(LEFT(E2190,6)="TÉRREO",0,IFERROR(VALUE(LEFT(E2190,FIND("º",SUBSTITUTE(E2190,"°","º"))-1)),""))))</f>
        <v>3</v>
      </c>
      <c r="O2190" s="2" t="str">
        <f aca="false">IF(OR(F2190="",G2190=""),"",IF(G2190&lt;='RETRATO 2027'!$K$5,"CONCLUÍDA",IF(F2190&lt;='RETRATO 2027'!$K$5,"EM ANDAMENTO","A INICIAR")))</f>
        <v>A INICIAR</v>
      </c>
    </row>
    <row r="2191" customFormat="false" ht="15" hidden="false" customHeight="false" outlineLevel="0" collapsed="false">
      <c r="B2191" s="4" t="n">
        <v>30171459</v>
      </c>
      <c r="C2191" s="4" t="s">
        <v>2656</v>
      </c>
      <c r="D2191" s="4" t="s">
        <v>463</v>
      </c>
      <c r="E2191" s="4" t="s">
        <v>2790</v>
      </c>
      <c r="F2191" s="127" t="n">
        <v>47080</v>
      </c>
      <c r="G2191" s="127" t="n">
        <v>47093</v>
      </c>
      <c r="H2191" s="127" t="n">
        <v>46289</v>
      </c>
      <c r="I2191" s="4" t="n">
        <v>0</v>
      </c>
      <c r="J2191" s="4" t="n">
        <v>0</v>
      </c>
      <c r="K2191" s="4" t="n">
        <v>0</v>
      </c>
      <c r="M2191" s="2" t="str">
        <f aca="false">IF(C2191="","",IFERROR(INDEX($S$5:$S$304,MATCH(C2191,$R$5:$R$304,0))&amp;"","?"))</f>
        <v>20</v>
      </c>
      <c r="N2191" s="2" t="n">
        <f aca="false">IF(E2191="","",IF(ISNUMBER(SEARCH("SUBSOLO",E2191)),IFERROR(-VALUE(LEFT(E2191,FIND("º",SUBSTITUTE(E2191,"°","º"))-1)),-1),IF(LEFT(E2191,6)="TÉRREO",0,IFERROR(VALUE(LEFT(E2191,FIND("º",SUBSTITUTE(E2191,"°","º"))-1)),""))))</f>
        <v>3</v>
      </c>
      <c r="O2191" s="2" t="str">
        <f aca="false">IF(OR(F2191="",G2191=""),"",IF(G2191&lt;='RETRATO 2027'!$K$5,"CONCLUÍDA",IF(F2191&lt;='RETRATO 2027'!$K$5,"EM ANDAMENTO","A INICIAR")))</f>
        <v>A INICIAR</v>
      </c>
    </row>
    <row r="2192" customFormat="false" ht="15" hidden="false" customHeight="false" outlineLevel="0" collapsed="false">
      <c r="B2192" s="4" t="n">
        <v>30171462</v>
      </c>
      <c r="C2192" s="4" t="s">
        <v>2581</v>
      </c>
      <c r="D2192" s="4" t="s">
        <v>463</v>
      </c>
      <c r="E2192" s="4" t="s">
        <v>2790</v>
      </c>
      <c r="F2192" s="127" t="n">
        <v>47080</v>
      </c>
      <c r="G2192" s="127" t="n">
        <v>47093</v>
      </c>
      <c r="H2192" s="127" t="n">
        <v>46289</v>
      </c>
      <c r="I2192" s="4" t="n">
        <v>0</v>
      </c>
      <c r="J2192" s="4" t="n">
        <v>0</v>
      </c>
      <c r="K2192" s="4" t="n">
        <v>0</v>
      </c>
      <c r="M2192" s="2" t="str">
        <f aca="false">IF(C2192="","",IFERROR(INDEX($S$5:$S$304,MATCH(C2192,$R$5:$R$304,0))&amp;"","?"))</f>
        <v/>
      </c>
      <c r="N2192" s="2" t="n">
        <f aca="false">IF(E2192="","",IF(ISNUMBER(SEARCH("SUBSOLO",E2192)),IFERROR(-VALUE(LEFT(E2192,FIND("º",SUBSTITUTE(E2192,"°","º"))-1)),-1),IF(LEFT(E2192,6)="TÉRREO",0,IFERROR(VALUE(LEFT(E2192,FIND("º",SUBSTITUTE(E2192,"°","º"))-1)),""))))</f>
        <v>3</v>
      </c>
      <c r="O2192" s="2" t="str">
        <f aca="false">IF(OR(F2192="",G2192=""),"",IF(G2192&lt;='RETRATO 2027'!$K$5,"CONCLUÍDA",IF(F2192&lt;='RETRATO 2027'!$K$5,"EM ANDAMENTO","A INICIAR")))</f>
        <v>A INICIAR</v>
      </c>
    </row>
    <row r="2193" customFormat="false" ht="15" hidden="false" customHeight="false" outlineLevel="0" collapsed="false">
      <c r="B2193" s="4" t="n">
        <v>30171417</v>
      </c>
      <c r="C2193" s="4" t="s">
        <v>2631</v>
      </c>
      <c r="D2193" s="4" t="s">
        <v>463</v>
      </c>
      <c r="E2193" s="4" t="s">
        <v>2800</v>
      </c>
      <c r="F2193" s="127" t="n">
        <v>47080</v>
      </c>
      <c r="G2193" s="127" t="n">
        <v>47108</v>
      </c>
      <c r="H2193" s="127" t="n">
        <v>46289</v>
      </c>
      <c r="I2193" s="4" t="n">
        <v>0</v>
      </c>
      <c r="J2193" s="4" t="n">
        <v>0</v>
      </c>
      <c r="K2193" s="4" t="n">
        <v>0</v>
      </c>
      <c r="M2193" s="2" t="str">
        <f aca="false">IF(C2193="","",IFERROR(INDEX($S$5:$S$304,MATCH(C2193,$R$5:$R$304,0))&amp;"","?"))</f>
        <v>35</v>
      </c>
      <c r="N2193" s="2" t="n">
        <f aca="false">IF(E2193="","",IF(ISNUMBER(SEARCH("SUBSOLO",E2193)),IFERROR(-VALUE(LEFT(E2193,FIND("º",SUBSTITUTE(E2193,"°","º"))-1)),-1),IF(LEFT(E2193,6)="TÉRREO",0,IFERROR(VALUE(LEFT(E2193,FIND("º",SUBSTITUTE(E2193,"°","º"))-1)),""))))</f>
        <v>4</v>
      </c>
      <c r="O2193" s="2" t="str">
        <f aca="false">IF(OR(F2193="",G2193=""),"",IF(G2193&lt;='RETRATO 2027'!$K$5,"CONCLUÍDA",IF(F2193&lt;='RETRATO 2027'!$K$5,"EM ANDAMENTO","A INICIAR")))</f>
        <v>A INICIAR</v>
      </c>
    </row>
    <row r="2194" customFormat="false" ht="15" hidden="false" customHeight="false" outlineLevel="0" collapsed="false">
      <c r="B2194" s="4" t="n">
        <v>30206078</v>
      </c>
      <c r="C2194" s="4" t="s">
        <v>2637</v>
      </c>
      <c r="D2194" s="4" t="s">
        <v>463</v>
      </c>
      <c r="E2194" s="4" t="s">
        <v>2847</v>
      </c>
      <c r="F2194" s="127" t="n">
        <v>47081</v>
      </c>
      <c r="G2194" s="127" t="n">
        <v>47087</v>
      </c>
      <c r="H2194" s="127" t="n">
        <v>46289</v>
      </c>
      <c r="I2194" s="4" t="n">
        <v>0</v>
      </c>
      <c r="J2194" s="4" t="n">
        <v>0</v>
      </c>
      <c r="K2194" s="4" t="n">
        <v>0</v>
      </c>
      <c r="M2194" s="2" t="str">
        <f aca="false">IF(C2194="","",IFERROR(INDEX($S$5:$S$304,MATCH(C2194,$R$5:$R$304,0))&amp;"","?"))</f>
        <v/>
      </c>
      <c r="N2194" s="2" t="n">
        <f aca="false">IF(E2194="","",IF(ISNUMBER(SEARCH("SUBSOLO",E2194)),IFERROR(-VALUE(LEFT(E2194,FIND("º",SUBSTITUTE(E2194,"°","º"))-1)),-1),IF(LEFT(E2194,6)="TÉRREO",0,IFERROR(VALUE(LEFT(E2194,FIND("º",SUBSTITUTE(E2194,"°","º"))-1)),""))))</f>
        <v>6</v>
      </c>
      <c r="O2194" s="2" t="str">
        <f aca="false">IF(OR(F2194="",G2194=""),"",IF(G2194&lt;='RETRATO 2027'!$K$5,"CONCLUÍDA",IF(F2194&lt;='RETRATO 2027'!$K$5,"EM ANDAMENTO","A INICIAR")))</f>
        <v>A INICIAR</v>
      </c>
    </row>
    <row r="2195" customFormat="false" ht="15" hidden="false" customHeight="false" outlineLevel="0" collapsed="false">
      <c r="B2195" s="4" t="n">
        <v>30205959</v>
      </c>
      <c r="C2195" s="4" t="s">
        <v>2605</v>
      </c>
      <c r="D2195" s="4" t="s">
        <v>463</v>
      </c>
      <c r="E2195" s="4" t="s">
        <v>2850</v>
      </c>
      <c r="F2195" s="127" t="n">
        <v>47084</v>
      </c>
      <c r="G2195" s="127" t="n">
        <v>47088</v>
      </c>
      <c r="H2195" s="127" t="n">
        <v>46289</v>
      </c>
      <c r="I2195" s="4" t="n">
        <v>0</v>
      </c>
      <c r="J2195" s="4" t="n">
        <v>0</v>
      </c>
      <c r="K2195" s="4" t="n">
        <v>0</v>
      </c>
      <c r="M2195" s="2" t="str">
        <f aca="false">IF(C2195="","",IFERROR(INDEX($S$5:$S$304,MATCH(C2195,$R$5:$R$304,0))&amp;"","?"))</f>
        <v>34</v>
      </c>
      <c r="N2195" s="2" t="n">
        <f aca="false">IF(E2195="","",IF(ISNUMBER(SEARCH("SUBSOLO",E2195)),IFERROR(-VALUE(LEFT(E2195,FIND("º",SUBSTITUTE(E2195,"°","º"))-1)),-1),IF(LEFT(E2195,6)="TÉRREO",0,IFERROR(VALUE(LEFT(E2195,FIND("º",SUBSTITUTE(E2195,"°","º"))-1)),""))))</f>
        <v>6</v>
      </c>
      <c r="O2195" s="2" t="str">
        <f aca="false">IF(OR(F2195="",G2195=""),"",IF(G2195&lt;='RETRATO 2027'!$K$5,"CONCLUÍDA",IF(F2195&lt;='RETRATO 2027'!$K$5,"EM ANDAMENTO","A INICIAR")))</f>
        <v>A INICIAR</v>
      </c>
    </row>
    <row r="2196" customFormat="false" ht="15" hidden="false" customHeight="false" outlineLevel="0" collapsed="false">
      <c r="B2196" s="4" t="n">
        <v>30205964</v>
      </c>
      <c r="C2196" s="4" t="s">
        <v>2607</v>
      </c>
      <c r="D2196" s="4" t="s">
        <v>463</v>
      </c>
      <c r="E2196" s="4" t="s">
        <v>2850</v>
      </c>
      <c r="F2196" s="127" t="n">
        <v>47084</v>
      </c>
      <c r="G2196" s="127" t="n">
        <v>47088</v>
      </c>
      <c r="H2196" s="127" t="n">
        <v>46289</v>
      </c>
      <c r="I2196" s="4" t="n">
        <v>0</v>
      </c>
      <c r="J2196" s="4" t="n">
        <v>0</v>
      </c>
      <c r="K2196" s="4" t="n">
        <v>0</v>
      </c>
      <c r="M2196" s="2" t="str">
        <f aca="false">IF(C2196="","",IFERROR(INDEX($S$5:$S$304,MATCH(C2196,$R$5:$R$304,0))&amp;"","?"))</f>
        <v>34</v>
      </c>
      <c r="N2196" s="2" t="n">
        <f aca="false">IF(E2196="","",IF(ISNUMBER(SEARCH("SUBSOLO",E2196)),IFERROR(-VALUE(LEFT(E2196,FIND("º",SUBSTITUTE(E2196,"°","º"))-1)),-1),IF(LEFT(E2196,6)="TÉRREO",0,IFERROR(VALUE(LEFT(E2196,FIND("º",SUBSTITUTE(E2196,"°","º"))-1)),""))))</f>
        <v>6</v>
      </c>
      <c r="O2196" s="2" t="str">
        <f aca="false">IF(OR(F2196="",G2196=""),"",IF(G2196&lt;='RETRATO 2027'!$K$5,"CONCLUÍDA",IF(F2196&lt;='RETRATO 2027'!$K$5,"EM ANDAMENTO","A INICIAR")))</f>
        <v>A INICIAR</v>
      </c>
    </row>
    <row r="2197" customFormat="false" ht="15" hidden="false" customHeight="false" outlineLevel="0" collapsed="false">
      <c r="B2197" s="4" t="n">
        <v>29980958</v>
      </c>
      <c r="C2197" s="4" t="s">
        <v>2649</v>
      </c>
      <c r="D2197" s="4" t="s">
        <v>463</v>
      </c>
      <c r="E2197" s="4" t="s">
        <v>2829</v>
      </c>
      <c r="F2197" s="127" t="n">
        <v>47086</v>
      </c>
      <c r="G2197" s="127" t="n">
        <v>47099</v>
      </c>
      <c r="H2197" s="127" t="n">
        <v>46289</v>
      </c>
      <c r="I2197" s="4" t="n">
        <v>0</v>
      </c>
      <c r="J2197" s="4" t="n">
        <v>0</v>
      </c>
      <c r="K2197" s="4" t="n">
        <v>0</v>
      </c>
      <c r="M2197" s="2" t="str">
        <f aca="false">IF(C2197="","",IFERROR(INDEX($S$5:$S$304,MATCH(C2197,$R$5:$R$304,0))&amp;"","?"))</f>
        <v>37</v>
      </c>
      <c r="N2197" s="2" t="n">
        <f aca="false">IF(E2197="","",IF(ISNUMBER(SEARCH("SUBSOLO",E2197)),IFERROR(-VALUE(LEFT(E2197,FIND("º",SUBSTITUTE(E2197,"°","º"))-1)),-1),IF(LEFT(E2197,6)="TÉRREO",0,IFERROR(VALUE(LEFT(E2197,FIND("º",SUBSTITUTE(E2197,"°","º"))-1)),""))))</f>
        <v>23</v>
      </c>
      <c r="O2197" s="2" t="str">
        <f aca="false">IF(OR(F2197="",G2197=""),"",IF(G2197&lt;='RETRATO 2027'!$K$5,"CONCLUÍDA",IF(F2197&lt;='RETRATO 2027'!$K$5,"EM ANDAMENTO","A INICIAR")))</f>
        <v>A INICIAR</v>
      </c>
    </row>
    <row r="2198" customFormat="false" ht="15" hidden="false" customHeight="false" outlineLevel="0" collapsed="false">
      <c r="B2198" s="4" t="n">
        <v>29980911</v>
      </c>
      <c r="C2198" s="4" t="s">
        <v>2641</v>
      </c>
      <c r="D2198" s="4" t="s">
        <v>463</v>
      </c>
      <c r="E2198" s="4" t="s">
        <v>2831</v>
      </c>
      <c r="F2198" s="127" t="n">
        <v>47086</v>
      </c>
      <c r="G2198" s="127" t="n">
        <v>47099</v>
      </c>
      <c r="H2198" s="127" t="n">
        <v>46289</v>
      </c>
      <c r="I2198" s="4" t="n">
        <v>0</v>
      </c>
      <c r="J2198" s="4" t="n">
        <v>0</v>
      </c>
      <c r="K2198" s="4" t="n">
        <v>0</v>
      </c>
      <c r="M2198" s="2" t="str">
        <f aca="false">IF(C2198="","",IFERROR(INDEX($S$5:$S$304,MATCH(C2198,$R$5:$R$304,0))&amp;"","?"))</f>
        <v>35</v>
      </c>
      <c r="N2198" s="2" t="n">
        <f aca="false">IF(E2198="","",IF(ISNUMBER(SEARCH("SUBSOLO",E2198)),IFERROR(-VALUE(LEFT(E2198,FIND("º",SUBSTITUTE(E2198,"°","º"))-1)),-1),IF(LEFT(E2198,6)="TÉRREO",0,IFERROR(VALUE(LEFT(E2198,FIND("º",SUBSTITUTE(E2198,"°","º"))-1)),""))))</f>
        <v>24</v>
      </c>
      <c r="O2198" s="2" t="str">
        <f aca="false">IF(OR(F2198="",G2198=""),"",IF(G2198&lt;='RETRATO 2027'!$K$5,"CONCLUÍDA",IF(F2198&lt;='RETRATO 2027'!$K$5,"EM ANDAMENTO","A INICIAR")))</f>
        <v>A INICIAR</v>
      </c>
    </row>
    <row r="2199" customFormat="false" ht="15" hidden="false" customHeight="false" outlineLevel="0" collapsed="false">
      <c r="B2199" s="4" t="n">
        <v>30171480</v>
      </c>
      <c r="C2199" s="4" t="s">
        <v>2690</v>
      </c>
      <c r="D2199" s="4" t="s">
        <v>463</v>
      </c>
      <c r="E2199" s="4" t="s">
        <v>2784</v>
      </c>
      <c r="F2199" s="127" t="n">
        <v>47087</v>
      </c>
      <c r="G2199" s="127" t="n">
        <v>47108</v>
      </c>
      <c r="H2199" s="127" t="n">
        <v>46289</v>
      </c>
      <c r="I2199" s="4" t="n">
        <v>0</v>
      </c>
      <c r="J2199" s="4" t="n">
        <v>0</v>
      </c>
      <c r="K2199" s="4" t="n">
        <v>0</v>
      </c>
      <c r="M2199" s="2" t="str">
        <f aca="false">IF(C2199="","",IFERROR(INDEX($S$5:$S$304,MATCH(C2199,$R$5:$R$304,0))&amp;"","?"))</f>
        <v>37</v>
      </c>
      <c r="N2199" s="2" t="n">
        <f aca="false">IF(E2199="","",IF(ISNUMBER(SEARCH("SUBSOLO",E2199)),IFERROR(-VALUE(LEFT(E2199,FIND("º",SUBSTITUTE(E2199,"°","º"))-1)),-1),IF(LEFT(E2199,6)="TÉRREO",0,IFERROR(VALUE(LEFT(E2199,FIND("º",SUBSTITUTE(E2199,"°","º"))-1)),""))))</f>
        <v>2</v>
      </c>
      <c r="O2199" s="2" t="str">
        <f aca="false">IF(OR(F2199="",G2199=""),"",IF(G2199&lt;='RETRATO 2027'!$K$5,"CONCLUÍDA",IF(F2199&lt;='RETRATO 2027'!$K$5,"EM ANDAMENTO","A INICIAR")))</f>
        <v>A INICIAR</v>
      </c>
    </row>
    <row r="2200" customFormat="false" ht="15" hidden="false" customHeight="false" outlineLevel="0" collapsed="false">
      <c r="B2200" s="4" t="n">
        <v>30206079</v>
      </c>
      <c r="C2200" s="4" t="s">
        <v>2641</v>
      </c>
      <c r="D2200" s="4" t="s">
        <v>463</v>
      </c>
      <c r="E2200" s="4" t="s">
        <v>2847</v>
      </c>
      <c r="F2200" s="127" t="n">
        <v>47088</v>
      </c>
      <c r="G2200" s="127" t="n">
        <v>47102</v>
      </c>
      <c r="H2200" s="127" t="n">
        <v>46289</v>
      </c>
      <c r="I2200" s="4" t="n">
        <v>0</v>
      </c>
      <c r="J2200" s="4" t="n">
        <v>0</v>
      </c>
      <c r="K2200" s="4" t="n">
        <v>0</v>
      </c>
      <c r="M2200" s="2" t="str">
        <f aca="false">IF(C2200="","",IFERROR(INDEX($S$5:$S$304,MATCH(C2200,$R$5:$R$304,0))&amp;"","?"))</f>
        <v>35</v>
      </c>
      <c r="N2200" s="2" t="n">
        <f aca="false">IF(E2200="","",IF(ISNUMBER(SEARCH("SUBSOLO",E2200)),IFERROR(-VALUE(LEFT(E2200,FIND("º",SUBSTITUTE(E2200,"°","º"))-1)),-1),IF(LEFT(E2200,6)="TÉRREO",0,IFERROR(VALUE(LEFT(E2200,FIND("º",SUBSTITUTE(E2200,"°","º"))-1)),""))))</f>
        <v>6</v>
      </c>
      <c r="O2200" s="2" t="str">
        <f aca="false">IF(OR(F2200="",G2200=""),"",IF(G2200&lt;='RETRATO 2027'!$K$5,"CONCLUÍDA",IF(F2200&lt;='RETRATO 2027'!$K$5,"EM ANDAMENTO","A INICIAR")))</f>
        <v>A INICIAR</v>
      </c>
    </row>
    <row r="2201" customFormat="false" ht="15" hidden="false" customHeight="false" outlineLevel="0" collapsed="false">
      <c r="B2201" s="4" t="n">
        <v>30206043</v>
      </c>
      <c r="C2201" s="4" t="s">
        <v>2629</v>
      </c>
      <c r="D2201" s="4" t="s">
        <v>463</v>
      </c>
      <c r="E2201" s="4" t="s">
        <v>2848</v>
      </c>
      <c r="F2201" s="127" t="n">
        <v>47091</v>
      </c>
      <c r="G2201" s="127" t="n">
        <v>47094</v>
      </c>
      <c r="H2201" s="127" t="n">
        <v>46289</v>
      </c>
      <c r="I2201" s="4" t="n">
        <v>0</v>
      </c>
      <c r="J2201" s="4" t="n">
        <v>0</v>
      </c>
      <c r="K2201" s="4" t="n">
        <v>0</v>
      </c>
      <c r="M2201" s="2" t="str">
        <f aca="false">IF(C2201="","",IFERROR(INDEX($S$5:$S$304,MATCH(C2201,$R$5:$R$304,0))&amp;"","?"))</f>
        <v>20</v>
      </c>
      <c r="N2201" s="2" t="n">
        <f aca="false">IF(E2201="","",IF(ISNUMBER(SEARCH("SUBSOLO",E2201)),IFERROR(-VALUE(LEFT(E2201,FIND("º",SUBSTITUTE(E2201,"°","º"))-1)),-1),IF(LEFT(E2201,6)="TÉRREO",0,IFERROR(VALUE(LEFT(E2201,FIND("º",SUBSTITUTE(E2201,"°","º"))-1)),""))))</f>
        <v>6</v>
      </c>
      <c r="O2201" s="2" t="str">
        <f aca="false">IF(OR(F2201="",G2201=""),"",IF(G2201&lt;='RETRATO 2027'!$K$5,"CONCLUÍDA",IF(F2201&lt;='RETRATO 2027'!$K$5,"EM ANDAMENTO","A INICIAR")))</f>
        <v>A INICIAR</v>
      </c>
    </row>
    <row r="2202" customFormat="false" ht="15" hidden="false" customHeight="false" outlineLevel="0" collapsed="false">
      <c r="B2202" s="4" t="n">
        <v>30206003</v>
      </c>
      <c r="C2202" s="4" t="s">
        <v>2623</v>
      </c>
      <c r="D2202" s="4" t="s">
        <v>463</v>
      </c>
      <c r="E2202" s="4" t="s">
        <v>2849</v>
      </c>
      <c r="F2202" s="127" t="n">
        <v>47091</v>
      </c>
      <c r="G2202" s="127" t="n">
        <v>47105</v>
      </c>
      <c r="H2202" s="127" t="n">
        <v>46289</v>
      </c>
      <c r="I2202" s="4" t="n">
        <v>0</v>
      </c>
      <c r="J2202" s="4" t="n">
        <v>0</v>
      </c>
      <c r="K2202" s="4" t="n">
        <v>0</v>
      </c>
      <c r="M2202" s="2" t="str">
        <f aca="false">IF(C2202="","",IFERROR(INDEX($S$5:$S$304,MATCH(C2202,$R$5:$R$304,0))&amp;"","?"))</f>
        <v>35</v>
      </c>
      <c r="N2202" s="2" t="n">
        <f aca="false">IF(E2202="","",IF(ISNUMBER(SEARCH("SUBSOLO",E2202)),IFERROR(-VALUE(LEFT(E2202,FIND("º",SUBSTITUTE(E2202,"°","º"))-1)),-1),IF(LEFT(E2202,6)="TÉRREO",0,IFERROR(VALUE(LEFT(E2202,FIND("º",SUBSTITUTE(E2202,"°","º"))-1)),""))))</f>
        <v>6</v>
      </c>
      <c r="O2202" s="2" t="str">
        <f aca="false">IF(OR(F2202="",G2202=""),"",IF(G2202&lt;='RETRATO 2027'!$K$5,"CONCLUÍDA",IF(F2202&lt;='RETRATO 2027'!$K$5,"EM ANDAMENTO","A INICIAR")))</f>
        <v>A INICIAR</v>
      </c>
    </row>
    <row r="2203" customFormat="false" ht="15" hidden="false" customHeight="false" outlineLevel="0" collapsed="false">
      <c r="B2203" s="4" t="n">
        <v>30205965</v>
      </c>
      <c r="C2203" s="4" t="s">
        <v>2615</v>
      </c>
      <c r="D2203" s="4" t="s">
        <v>463</v>
      </c>
      <c r="E2203" s="4" t="s">
        <v>2850</v>
      </c>
      <c r="F2203" s="127" t="n">
        <v>47091</v>
      </c>
      <c r="G2203" s="127" t="n">
        <v>47105</v>
      </c>
      <c r="H2203" s="127" t="n">
        <v>46289</v>
      </c>
      <c r="I2203" s="4" t="n">
        <v>0</v>
      </c>
      <c r="J2203" s="4" t="n">
        <v>0</v>
      </c>
      <c r="K2203" s="4" t="n">
        <v>0</v>
      </c>
      <c r="M2203" s="2" t="str">
        <f aca="false">IF(C2203="","",IFERROR(INDEX($S$5:$S$304,MATCH(C2203,$R$5:$R$304,0))&amp;"","?"))</f>
        <v>37</v>
      </c>
      <c r="N2203" s="2" t="n">
        <f aca="false">IF(E2203="","",IF(ISNUMBER(SEARCH("SUBSOLO",E2203)),IFERROR(-VALUE(LEFT(E2203,FIND("º",SUBSTITUTE(E2203,"°","º"))-1)),-1),IF(LEFT(E2203,6)="TÉRREO",0,IFERROR(VALUE(LEFT(E2203,FIND("º",SUBSTITUTE(E2203,"°","º"))-1)),""))))</f>
        <v>6</v>
      </c>
      <c r="O2203" s="2" t="str">
        <f aca="false">IF(OR(F2203="",G2203=""),"",IF(G2203&lt;='RETRATO 2027'!$K$5,"CONCLUÍDA",IF(F2203&lt;='RETRATO 2027'!$K$5,"EM ANDAMENTO","A INICIAR")))</f>
        <v>A INICIAR</v>
      </c>
    </row>
    <row r="2204" customFormat="false" ht="15" hidden="false" customHeight="false" outlineLevel="0" collapsed="false">
      <c r="B2204" s="4" t="n">
        <v>29981083</v>
      </c>
      <c r="C2204" s="4" t="s">
        <v>2554</v>
      </c>
      <c r="D2204" s="4" t="s">
        <v>463</v>
      </c>
      <c r="E2204" s="4" t="s">
        <v>2822</v>
      </c>
      <c r="F2204" s="127" t="n">
        <v>47091</v>
      </c>
      <c r="G2204" s="127" t="n">
        <v>47102</v>
      </c>
      <c r="H2204" s="127" t="n">
        <v>46289</v>
      </c>
      <c r="I2204" s="4" t="n">
        <v>0</v>
      </c>
      <c r="J2204" s="4" t="n">
        <v>0</v>
      </c>
      <c r="K2204" s="4" t="n">
        <v>0</v>
      </c>
      <c r="M2204" s="2" t="str">
        <f aca="false">IF(C2204="","",IFERROR(INDEX($S$5:$S$304,MATCH(C2204,$R$5:$R$304,0))&amp;"","?"))</f>
        <v>35</v>
      </c>
      <c r="N2204" s="2" t="n">
        <f aca="false">IF(E2204="","",IF(ISNUMBER(SEARCH("SUBSOLO",E2204)),IFERROR(-VALUE(LEFT(E2204,FIND("º",SUBSTITUTE(E2204,"°","º"))-1)),-1),IF(LEFT(E2204,6)="TÉRREO",0,IFERROR(VALUE(LEFT(E2204,FIND("º",SUBSTITUTE(E2204,"°","º"))-1)),""))))</f>
        <v>19</v>
      </c>
      <c r="O2204" s="2" t="str">
        <f aca="false">IF(OR(F2204="",G2204=""),"",IF(G2204&lt;='RETRATO 2027'!$K$5,"CONCLUÍDA",IF(F2204&lt;='RETRATO 2027'!$K$5,"EM ANDAMENTO","A INICIAR")))</f>
        <v>A INICIAR</v>
      </c>
    </row>
    <row r="2205" customFormat="false" ht="15" hidden="false" customHeight="false" outlineLevel="0" collapsed="false">
      <c r="B2205" s="4" t="n">
        <v>29980873</v>
      </c>
      <c r="C2205" s="4" t="s">
        <v>2637</v>
      </c>
      <c r="D2205" s="4" t="s">
        <v>463</v>
      </c>
      <c r="E2205" s="4" t="s">
        <v>2833</v>
      </c>
      <c r="F2205" s="127" t="n">
        <v>47092</v>
      </c>
      <c r="G2205" s="127" t="n">
        <v>47099</v>
      </c>
      <c r="H2205" s="127" t="n">
        <v>46289</v>
      </c>
      <c r="I2205" s="4" t="n">
        <v>0</v>
      </c>
      <c r="J2205" s="4" t="n">
        <v>0</v>
      </c>
      <c r="K2205" s="4" t="n">
        <v>0</v>
      </c>
      <c r="M2205" s="2" t="str">
        <f aca="false">IF(C2205="","",IFERROR(INDEX($S$5:$S$304,MATCH(C2205,$R$5:$R$304,0))&amp;"","?"))</f>
        <v/>
      </c>
      <c r="N2205" s="2" t="n">
        <f aca="false">IF(E2205="","",IF(ISNUMBER(SEARCH("SUBSOLO",E2205)),IFERROR(-VALUE(LEFT(E2205,FIND("º",SUBSTITUTE(E2205,"°","º"))-1)),-1),IF(LEFT(E2205,6)="TÉRREO",0,IFERROR(VALUE(LEFT(E2205,FIND("º",SUBSTITUTE(E2205,"°","º"))-1)),""))))</f>
        <v>25</v>
      </c>
      <c r="O2205" s="2" t="str">
        <f aca="false">IF(OR(F2205="",G2205=""),"",IF(G2205&lt;='RETRATO 2027'!$K$5,"CONCLUÍDA",IF(F2205&lt;='RETRATO 2027'!$K$5,"EM ANDAMENTO","A INICIAR")))</f>
        <v>A INICIAR</v>
      </c>
    </row>
    <row r="2206" customFormat="false" ht="15" hidden="false" customHeight="false" outlineLevel="0" collapsed="false">
      <c r="B2206" s="4" t="n">
        <v>29980838</v>
      </c>
      <c r="C2206" s="4" t="s">
        <v>2629</v>
      </c>
      <c r="D2206" s="4" t="s">
        <v>463</v>
      </c>
      <c r="E2206" s="4" t="s">
        <v>2834</v>
      </c>
      <c r="F2206" s="127" t="n">
        <v>47092</v>
      </c>
      <c r="G2206" s="127" t="n">
        <v>47105</v>
      </c>
      <c r="H2206" s="127" t="n">
        <v>46289</v>
      </c>
      <c r="I2206" s="4" t="n">
        <v>0</v>
      </c>
      <c r="J2206" s="4" t="n">
        <v>0</v>
      </c>
      <c r="K2206" s="4" t="n">
        <v>0</v>
      </c>
      <c r="M2206" s="2" t="str">
        <f aca="false">IF(C2206="","",IFERROR(INDEX($S$5:$S$304,MATCH(C2206,$R$5:$R$304,0))&amp;"","?"))</f>
        <v>20</v>
      </c>
      <c r="N2206" s="2" t="n">
        <f aca="false">IF(E2206="","",IF(ISNUMBER(SEARCH("SUBSOLO",E2206)),IFERROR(-VALUE(LEFT(E2206,FIND("º",SUBSTITUTE(E2206,"°","º"))-1)),-1),IF(LEFT(E2206,6)="TÉRREO",0,IFERROR(VALUE(LEFT(E2206,FIND("º",SUBSTITUTE(E2206,"°","º"))-1)),""))))</f>
        <v>26</v>
      </c>
      <c r="O2206" s="2" t="str">
        <f aca="false">IF(OR(F2206="",G2206=""),"",IF(G2206&lt;='RETRATO 2027'!$K$5,"CONCLUÍDA",IF(F2206&lt;='RETRATO 2027'!$K$5,"EM ANDAMENTO","A INICIAR")))</f>
        <v>A INICIAR</v>
      </c>
    </row>
    <row r="2207" customFormat="false" ht="15" hidden="false" customHeight="false" outlineLevel="0" collapsed="false">
      <c r="B2207" s="4" t="n">
        <v>29980798</v>
      </c>
      <c r="C2207" s="4" t="s">
        <v>2623</v>
      </c>
      <c r="D2207" s="4" t="s">
        <v>463</v>
      </c>
      <c r="E2207" s="4" t="s">
        <v>2838</v>
      </c>
      <c r="F2207" s="127" t="n">
        <v>47092</v>
      </c>
      <c r="G2207" s="127" t="n">
        <v>47105</v>
      </c>
      <c r="H2207" s="127" t="n">
        <v>46289</v>
      </c>
      <c r="I2207" s="4" t="n">
        <v>0</v>
      </c>
      <c r="J2207" s="4" t="n">
        <v>0</v>
      </c>
      <c r="K2207" s="4" t="n">
        <v>0</v>
      </c>
      <c r="M2207" s="2" t="str">
        <f aca="false">IF(C2207="","",IFERROR(INDEX($S$5:$S$304,MATCH(C2207,$R$5:$R$304,0))&amp;"","?"))</f>
        <v>35</v>
      </c>
      <c r="N2207" s="2" t="n">
        <f aca="false">IF(E2207="","",IF(ISNUMBER(SEARCH("SUBSOLO",E2207)),IFERROR(-VALUE(LEFT(E2207,FIND("º",SUBSTITUTE(E2207,"°","º"))-1)),-1),IF(LEFT(E2207,6)="TÉRREO",0,IFERROR(VALUE(LEFT(E2207,FIND("º",SUBSTITUTE(E2207,"°","º"))-1)),""))))</f>
        <v>27</v>
      </c>
      <c r="O2207" s="2" t="str">
        <f aca="false">IF(OR(F2207="",G2207=""),"",IF(G2207&lt;='RETRATO 2027'!$K$5,"CONCLUÍDA",IF(F2207&lt;='RETRATO 2027'!$K$5,"EM ANDAMENTO","A INICIAR")))</f>
        <v>A INICIAR</v>
      </c>
    </row>
    <row r="2208" customFormat="false" ht="15" hidden="false" customHeight="false" outlineLevel="0" collapsed="false">
      <c r="B2208" s="4" t="n">
        <v>33919804</v>
      </c>
      <c r="C2208" s="4" t="s">
        <v>2625</v>
      </c>
      <c r="D2208" s="4" t="s">
        <v>463</v>
      </c>
      <c r="E2208" s="4" t="s">
        <v>2838</v>
      </c>
      <c r="F2208" s="127" t="n">
        <v>47092</v>
      </c>
      <c r="G2208" s="127" t="n">
        <v>47105</v>
      </c>
      <c r="H2208" s="127" t="n">
        <v>46289</v>
      </c>
      <c r="I2208" s="4" t="n">
        <v>0</v>
      </c>
      <c r="J2208" s="4" t="n">
        <v>0</v>
      </c>
      <c r="K2208" s="4" t="n">
        <v>0</v>
      </c>
      <c r="M2208" s="2" t="str">
        <f aca="false">IF(C2208="","",IFERROR(INDEX($S$5:$S$304,MATCH(C2208,$R$5:$R$304,0))&amp;"","?"))</f>
        <v>32</v>
      </c>
      <c r="N2208" s="2" t="n">
        <f aca="false">IF(E2208="","",IF(ISNUMBER(SEARCH("SUBSOLO",E2208)),IFERROR(-VALUE(LEFT(E2208,FIND("º",SUBSTITUTE(E2208,"°","º"))-1)),-1),IF(LEFT(E2208,6)="TÉRREO",0,IFERROR(VALUE(LEFT(E2208,FIND("º",SUBSTITUTE(E2208,"°","º"))-1)),""))))</f>
        <v>27</v>
      </c>
      <c r="O2208" s="2" t="str">
        <f aca="false">IF(OR(F2208="",G2208=""),"",IF(G2208&lt;='RETRATO 2027'!$K$5,"CONCLUÍDA",IF(F2208&lt;='RETRATO 2027'!$K$5,"EM ANDAMENTO","A INICIAR")))</f>
        <v>A INICIAR</v>
      </c>
    </row>
    <row r="2209" customFormat="false" ht="15" hidden="false" customHeight="false" outlineLevel="0" collapsed="false">
      <c r="B2209" s="4" t="n">
        <v>29980760</v>
      </c>
      <c r="C2209" s="4" t="s">
        <v>2615</v>
      </c>
      <c r="D2209" s="4" t="s">
        <v>463</v>
      </c>
      <c r="E2209" s="4" t="s">
        <v>2840</v>
      </c>
      <c r="F2209" s="127" t="n">
        <v>47092</v>
      </c>
      <c r="G2209" s="127" t="n">
        <v>47105</v>
      </c>
      <c r="H2209" s="127" t="n">
        <v>46289</v>
      </c>
      <c r="I2209" s="4" t="n">
        <v>0</v>
      </c>
      <c r="J2209" s="4" t="n">
        <v>0</v>
      </c>
      <c r="K2209" s="4" t="n">
        <v>0</v>
      </c>
      <c r="M2209" s="2" t="str">
        <f aca="false">IF(C2209="","",IFERROR(INDEX($S$5:$S$304,MATCH(C2209,$R$5:$R$304,0))&amp;"","?"))</f>
        <v>37</v>
      </c>
      <c r="N2209" s="2" t="n">
        <f aca="false">IF(E2209="","",IF(ISNUMBER(SEARCH("SUBSOLO",E2209)),IFERROR(-VALUE(LEFT(E2209,FIND("º",SUBSTITUTE(E2209,"°","º"))-1)),-1),IF(LEFT(E2209,6)="TÉRREO",0,IFERROR(VALUE(LEFT(E2209,FIND("º",SUBSTITUTE(E2209,"°","º"))-1)),""))))</f>
        <v>28</v>
      </c>
      <c r="O2209" s="2" t="str">
        <f aca="false">IF(OR(F2209="",G2209=""),"",IF(G2209&lt;='RETRATO 2027'!$K$5,"CONCLUÍDA",IF(F2209&lt;='RETRATO 2027'!$K$5,"EM ANDAMENTO","A INICIAR")))</f>
        <v>A INICIAR</v>
      </c>
    </row>
    <row r="2210" customFormat="false" ht="15" hidden="false" customHeight="false" outlineLevel="0" collapsed="false">
      <c r="B2210" s="4" t="n">
        <v>29980717</v>
      </c>
      <c r="C2210" s="4" t="s">
        <v>2605</v>
      </c>
      <c r="D2210" s="4" t="s">
        <v>463</v>
      </c>
      <c r="E2210" s="4" t="s">
        <v>2841</v>
      </c>
      <c r="F2210" s="127" t="n">
        <v>47092</v>
      </c>
      <c r="G2210" s="127" t="n">
        <v>47105</v>
      </c>
      <c r="H2210" s="127" t="n">
        <v>46289</v>
      </c>
      <c r="I2210" s="4" t="n">
        <v>0</v>
      </c>
      <c r="J2210" s="4" t="n">
        <v>0</v>
      </c>
      <c r="K2210" s="4" t="n">
        <v>0</v>
      </c>
      <c r="M2210" s="2" t="str">
        <f aca="false">IF(C2210="","",IFERROR(INDEX($S$5:$S$304,MATCH(C2210,$R$5:$R$304,0))&amp;"","?"))</f>
        <v>34</v>
      </c>
      <c r="N2210" s="2" t="n">
        <f aca="false">IF(E2210="","",IF(ISNUMBER(SEARCH("SUBSOLO",E2210)),IFERROR(-VALUE(LEFT(E2210,FIND("º",SUBSTITUTE(E2210,"°","º"))-1)),-1),IF(LEFT(E2210,6)="TÉRREO",0,IFERROR(VALUE(LEFT(E2210,FIND("º",SUBSTITUTE(E2210,"°","º"))-1)),""))))</f>
        <v>29</v>
      </c>
      <c r="O2210" s="2" t="str">
        <f aca="false">IF(OR(F2210="",G2210=""),"",IF(G2210&lt;='RETRATO 2027'!$K$5,"CONCLUÍDA",IF(F2210&lt;='RETRATO 2027'!$K$5,"EM ANDAMENTO","A INICIAR")))</f>
        <v>A INICIAR</v>
      </c>
    </row>
    <row r="2211" customFormat="false" ht="15" hidden="false" customHeight="false" outlineLevel="0" collapsed="false">
      <c r="B2211" s="4" t="n">
        <v>29980722</v>
      </c>
      <c r="C2211" s="4" t="s">
        <v>2607</v>
      </c>
      <c r="D2211" s="4" t="s">
        <v>463</v>
      </c>
      <c r="E2211" s="4" t="s">
        <v>2841</v>
      </c>
      <c r="F2211" s="127" t="n">
        <v>47092</v>
      </c>
      <c r="G2211" s="127" t="n">
        <v>47105</v>
      </c>
      <c r="H2211" s="127" t="n">
        <v>46289</v>
      </c>
      <c r="I2211" s="4" t="n">
        <v>0</v>
      </c>
      <c r="J2211" s="4" t="n">
        <v>0</v>
      </c>
      <c r="K2211" s="4" t="n">
        <v>0</v>
      </c>
      <c r="M2211" s="2" t="str">
        <f aca="false">IF(C2211="","",IFERROR(INDEX($S$5:$S$304,MATCH(C2211,$R$5:$R$304,0))&amp;"","?"))</f>
        <v>34</v>
      </c>
      <c r="N2211" s="2" t="n">
        <f aca="false">IF(E2211="","",IF(ISNUMBER(SEARCH("SUBSOLO",E2211)),IFERROR(-VALUE(LEFT(E2211,FIND("º",SUBSTITUTE(E2211,"°","º"))-1)),-1),IF(LEFT(E2211,6)="TÉRREO",0,IFERROR(VALUE(LEFT(E2211,FIND("º",SUBSTITUTE(E2211,"°","º"))-1)),""))))</f>
        <v>29</v>
      </c>
      <c r="O2211" s="2" t="str">
        <f aca="false">IF(OR(F2211="",G2211=""),"",IF(G2211&lt;='RETRATO 2027'!$K$5,"CONCLUÍDA",IF(F2211&lt;='RETRATO 2027'!$K$5,"EM ANDAMENTO","A INICIAR")))</f>
        <v>A INICIAR</v>
      </c>
    </row>
    <row r="2212" customFormat="false" ht="15" hidden="false" customHeight="false" outlineLevel="0" collapsed="false">
      <c r="B2212" s="4" t="n">
        <v>29980721</v>
      </c>
      <c r="C2212" s="4" t="s">
        <v>2563</v>
      </c>
      <c r="D2212" s="4" t="s">
        <v>463</v>
      </c>
      <c r="E2212" s="4" t="s">
        <v>2841</v>
      </c>
      <c r="F2212" s="127" t="n">
        <v>47092</v>
      </c>
      <c r="G2212" s="127" t="n">
        <v>47105</v>
      </c>
      <c r="H2212" s="127" t="n">
        <v>46289</v>
      </c>
      <c r="I2212" s="4" t="n">
        <v>0</v>
      </c>
      <c r="J2212" s="4" t="n">
        <v>0</v>
      </c>
      <c r="K2212" s="4" t="n">
        <v>0</v>
      </c>
      <c r="M2212" s="2" t="str">
        <f aca="false">IF(C2212="","",IFERROR(INDEX($S$5:$S$304,MATCH(C2212,$R$5:$R$304,0))&amp;"","?"))</f>
        <v>20</v>
      </c>
      <c r="N2212" s="2" t="n">
        <f aca="false">IF(E2212="","",IF(ISNUMBER(SEARCH("SUBSOLO",E2212)),IFERROR(-VALUE(LEFT(E2212,FIND("º",SUBSTITUTE(E2212,"°","º"))-1)),-1),IF(LEFT(E2212,6)="TÉRREO",0,IFERROR(VALUE(LEFT(E2212,FIND("º",SUBSTITUTE(E2212,"°","º"))-1)),""))))</f>
        <v>29</v>
      </c>
      <c r="O2212" s="2" t="str">
        <f aca="false">IF(OR(F2212="",G2212=""),"",IF(G2212&lt;='RETRATO 2027'!$K$5,"CONCLUÍDA",IF(F2212&lt;='RETRATO 2027'!$K$5,"EM ANDAMENTO","A INICIAR")))</f>
        <v>A INICIAR</v>
      </c>
    </row>
    <row r="2213" customFormat="false" ht="15" hidden="false" customHeight="false" outlineLevel="0" collapsed="false">
      <c r="B2213" s="4" t="n">
        <v>29980720</v>
      </c>
      <c r="C2213" s="4" t="s">
        <v>2609</v>
      </c>
      <c r="D2213" s="4" t="s">
        <v>463</v>
      </c>
      <c r="E2213" s="4" t="s">
        <v>2841</v>
      </c>
      <c r="F2213" s="127" t="n">
        <v>47092</v>
      </c>
      <c r="G2213" s="127" t="n">
        <v>47105</v>
      </c>
      <c r="H2213" s="127" t="n">
        <v>46289</v>
      </c>
      <c r="I2213" s="4" t="n">
        <v>0</v>
      </c>
      <c r="J2213" s="4" t="n">
        <v>0</v>
      </c>
      <c r="K2213" s="4" t="n">
        <v>0</v>
      </c>
      <c r="M2213" s="2" t="str">
        <f aca="false">IF(C2213="","",IFERROR(INDEX($S$5:$S$304,MATCH(C2213,$R$5:$R$304,0))&amp;"","?"))</f>
        <v>23</v>
      </c>
      <c r="N2213" s="2" t="n">
        <f aca="false">IF(E2213="","",IF(ISNUMBER(SEARCH("SUBSOLO",E2213)),IFERROR(-VALUE(LEFT(E2213,FIND("º",SUBSTITUTE(E2213,"°","º"))-1)),-1),IF(LEFT(E2213,6)="TÉRREO",0,IFERROR(VALUE(LEFT(E2213,FIND("º",SUBSTITUTE(E2213,"°","º"))-1)),""))))</f>
        <v>29</v>
      </c>
      <c r="O2213" s="2" t="str">
        <f aca="false">IF(OR(F2213="",G2213=""),"",IF(G2213&lt;='RETRATO 2027'!$K$5,"CONCLUÍDA",IF(F2213&lt;='RETRATO 2027'!$K$5,"EM ANDAMENTO","A INICIAR")))</f>
        <v>A INICIAR</v>
      </c>
    </row>
    <row r="2214" customFormat="false" ht="15" hidden="false" customHeight="false" outlineLevel="0" collapsed="false">
      <c r="B2214" s="4" t="n">
        <v>29980679</v>
      </c>
      <c r="C2214" s="4" t="s">
        <v>2599</v>
      </c>
      <c r="D2214" s="4" t="s">
        <v>463</v>
      </c>
      <c r="E2214" s="4" t="s">
        <v>2842</v>
      </c>
      <c r="F2214" s="127" t="n">
        <v>47092</v>
      </c>
      <c r="G2214" s="127" t="n">
        <v>47105</v>
      </c>
      <c r="H2214" s="127" t="n">
        <v>46289</v>
      </c>
      <c r="I2214" s="4" t="n">
        <v>0</v>
      </c>
      <c r="J2214" s="4" t="n">
        <v>0</v>
      </c>
      <c r="K2214" s="4" t="n">
        <v>0</v>
      </c>
      <c r="M2214" s="2" t="str">
        <f aca="false">IF(C2214="","",IFERROR(INDEX($S$5:$S$304,MATCH(C2214,$R$5:$R$304,0))&amp;"","?"))</f>
        <v>30</v>
      </c>
      <c r="N2214" s="2" t="n">
        <f aca="false">IF(E2214="","",IF(ISNUMBER(SEARCH("SUBSOLO",E2214)),IFERROR(-VALUE(LEFT(E2214,FIND("º",SUBSTITUTE(E2214,"°","º"))-1)),-1),IF(LEFT(E2214,6)="TÉRREO",0,IFERROR(VALUE(LEFT(E2214,FIND("º",SUBSTITUTE(E2214,"°","º"))-1)),""))))</f>
        <v>30</v>
      </c>
      <c r="O2214" s="2" t="str">
        <f aca="false">IF(OR(F2214="",G2214=""),"",IF(G2214&lt;='RETRATO 2027'!$K$5,"CONCLUÍDA",IF(F2214&lt;='RETRATO 2027'!$K$5,"EM ANDAMENTO","A INICIAR")))</f>
        <v>A INICIAR</v>
      </c>
    </row>
    <row r="2215" customFormat="false" ht="15" hidden="false" customHeight="false" outlineLevel="0" collapsed="false">
      <c r="B2215" s="4" t="n">
        <v>29980641</v>
      </c>
      <c r="C2215" s="4" t="s">
        <v>2578</v>
      </c>
      <c r="D2215" s="4" t="s">
        <v>463</v>
      </c>
      <c r="E2215" s="4" t="s">
        <v>2843</v>
      </c>
      <c r="F2215" s="127" t="n">
        <v>47092</v>
      </c>
      <c r="G2215" s="127" t="n">
        <v>47105</v>
      </c>
      <c r="H2215" s="127" t="n">
        <v>46289</v>
      </c>
      <c r="I2215" s="4" t="n">
        <v>0</v>
      </c>
      <c r="J2215" s="4" t="n">
        <v>0</v>
      </c>
      <c r="K2215" s="4" t="n">
        <v>0</v>
      </c>
      <c r="M2215" s="2" t="str">
        <f aca="false">IF(C2215="","",IFERROR(INDEX($S$5:$S$304,MATCH(C2215,$R$5:$R$304,0))&amp;"","?"))</f>
        <v>25</v>
      </c>
      <c r="N2215" s="2" t="n">
        <f aca="false">IF(E2215="","",IF(ISNUMBER(SEARCH("SUBSOLO",E2215)),IFERROR(-VALUE(LEFT(E2215,FIND("º",SUBSTITUTE(E2215,"°","º"))-1)),-1),IF(LEFT(E2215,6)="TÉRREO",0,IFERROR(VALUE(LEFT(E2215,FIND("º",SUBSTITUTE(E2215,"°","º"))-1)),""))))</f>
        <v>31</v>
      </c>
      <c r="O2215" s="2" t="str">
        <f aca="false">IF(OR(F2215="",G2215=""),"",IF(G2215&lt;='RETRATO 2027'!$K$5,"CONCLUÍDA",IF(F2215&lt;='RETRATO 2027'!$K$5,"EM ANDAMENTO","A INICIAR")))</f>
        <v>A INICIAR</v>
      </c>
    </row>
    <row r="2216" customFormat="false" ht="15" hidden="false" customHeight="false" outlineLevel="0" collapsed="false">
      <c r="B2216" s="4" t="n">
        <v>29980603</v>
      </c>
      <c r="C2216" s="4" t="s">
        <v>2569</v>
      </c>
      <c r="D2216" s="4" t="s">
        <v>463</v>
      </c>
      <c r="E2216" s="4" t="s">
        <v>2844</v>
      </c>
      <c r="F2216" s="127" t="n">
        <v>47092</v>
      </c>
      <c r="G2216" s="127" t="n">
        <v>47105</v>
      </c>
      <c r="H2216" s="127" t="n">
        <v>46289</v>
      </c>
      <c r="I2216" s="4" t="n">
        <v>0</v>
      </c>
      <c r="J2216" s="4" t="n">
        <v>0</v>
      </c>
      <c r="K2216" s="4" t="n">
        <v>0</v>
      </c>
      <c r="M2216" s="2" t="str">
        <f aca="false">IF(C2216="","",IFERROR(INDEX($S$5:$S$304,MATCH(C2216,$R$5:$R$304,0))&amp;"","?"))</f>
        <v>30</v>
      </c>
      <c r="N2216" s="2" t="n">
        <f aca="false">IF(E2216="","",IF(ISNUMBER(SEARCH("SUBSOLO",E2216)),IFERROR(-VALUE(LEFT(E2216,FIND("º",SUBSTITUTE(E2216,"°","º"))-1)),-1),IF(LEFT(E2216,6)="TÉRREO",0,IFERROR(VALUE(LEFT(E2216,FIND("º",SUBSTITUTE(E2216,"°","º"))-1)),""))))</f>
        <v>32</v>
      </c>
      <c r="O2216" s="2" t="str">
        <f aca="false">IF(OR(F2216="",G2216=""),"",IF(G2216&lt;='RETRATO 2027'!$K$5,"CONCLUÍDA",IF(F2216&lt;='RETRATO 2027'!$K$5,"EM ANDAMENTO","A INICIAR")))</f>
        <v>A INICIAR</v>
      </c>
    </row>
    <row r="2217" customFormat="false" ht="15" hidden="false" customHeight="false" outlineLevel="0" collapsed="false">
      <c r="B2217" s="4" t="n">
        <v>30205765</v>
      </c>
      <c r="C2217" s="4" t="s">
        <v>2661</v>
      </c>
      <c r="D2217" s="4" t="s">
        <v>463</v>
      </c>
      <c r="E2217" s="4" t="s">
        <v>2837</v>
      </c>
      <c r="F2217" s="127" t="n">
        <v>47094</v>
      </c>
      <c r="G2217" s="127" t="n">
        <v>47164</v>
      </c>
      <c r="H2217" s="127" t="n">
        <v>46289</v>
      </c>
      <c r="I2217" s="4" t="n">
        <v>0</v>
      </c>
      <c r="J2217" s="4" t="n">
        <v>0</v>
      </c>
      <c r="K2217" s="4" t="n">
        <v>0</v>
      </c>
      <c r="M2217" s="2" t="str">
        <f aca="false">IF(C2217="","",IFERROR(INDEX($S$5:$S$304,MATCH(C2217,$R$5:$R$304,0))&amp;"","?"))</f>
        <v>30</v>
      </c>
      <c r="N2217" s="2" t="n">
        <f aca="false">IF(E2217="","",IF(ISNUMBER(SEARCH("SUBSOLO",E2217)),IFERROR(-VALUE(LEFT(E2217,FIND("º",SUBSTITUTE(E2217,"°","º"))-1)),-1),IF(LEFT(E2217,6)="TÉRREO",0,IFERROR(VALUE(LEFT(E2217,FIND("º",SUBSTITUTE(E2217,"°","º"))-1)),""))))</f>
        <v>0</v>
      </c>
      <c r="O2217" s="2" t="str">
        <f aca="false">IF(OR(F2217="",G2217=""),"",IF(G2217&lt;='RETRATO 2027'!$K$5,"CONCLUÍDA",IF(F2217&lt;='RETRATO 2027'!$K$5,"EM ANDAMENTO","A INICIAR")))</f>
        <v>A INICIAR</v>
      </c>
    </row>
    <row r="2218" customFormat="false" ht="15" hidden="false" customHeight="false" outlineLevel="0" collapsed="false">
      <c r="B2218" s="4" t="n">
        <v>30205764</v>
      </c>
      <c r="C2218" s="4" t="s">
        <v>2584</v>
      </c>
      <c r="D2218" s="4" t="s">
        <v>463</v>
      </c>
      <c r="E2218" s="4" t="s">
        <v>2837</v>
      </c>
      <c r="F2218" s="127" t="n">
        <v>47094</v>
      </c>
      <c r="G2218" s="127" t="n">
        <v>47108</v>
      </c>
      <c r="H2218" s="127" t="n">
        <v>46289</v>
      </c>
      <c r="I2218" s="4" t="n">
        <v>0</v>
      </c>
      <c r="J2218" s="4" t="n">
        <v>0</v>
      </c>
      <c r="K2218" s="4" t="n">
        <v>0</v>
      </c>
      <c r="M2218" s="2" t="str">
        <f aca="false">IF(C2218="","",IFERROR(INDEX($S$5:$S$304,MATCH(C2218,$R$5:$R$304,0))&amp;"","?"))</f>
        <v>20</v>
      </c>
      <c r="N2218" s="2" t="n">
        <f aca="false">IF(E2218="","",IF(ISNUMBER(SEARCH("SUBSOLO",E2218)),IFERROR(-VALUE(LEFT(E2218,FIND("º",SUBSTITUTE(E2218,"°","º"))-1)),-1),IF(LEFT(E2218,6)="TÉRREO",0,IFERROR(VALUE(LEFT(E2218,FIND("º",SUBSTITUTE(E2218,"°","º"))-1)),""))))</f>
        <v>0</v>
      </c>
      <c r="O2218" s="2" t="str">
        <f aca="false">IF(OR(F2218="",G2218=""),"",IF(G2218&lt;='RETRATO 2027'!$K$5,"CONCLUÍDA",IF(F2218&lt;='RETRATO 2027'!$K$5,"EM ANDAMENTO","A INICIAR")))</f>
        <v>A INICIAR</v>
      </c>
    </row>
    <row r="2219" customFormat="false" ht="15" hidden="false" customHeight="false" outlineLevel="0" collapsed="false">
      <c r="B2219" s="4" t="n">
        <v>30206041</v>
      </c>
      <c r="C2219" s="4" t="s">
        <v>2637</v>
      </c>
      <c r="D2219" s="4" t="s">
        <v>463</v>
      </c>
      <c r="E2219" s="4" t="s">
        <v>2848</v>
      </c>
      <c r="F2219" s="127" t="n">
        <v>47098</v>
      </c>
      <c r="G2219" s="127" t="n">
        <v>47102</v>
      </c>
      <c r="H2219" s="127" t="n">
        <v>46289</v>
      </c>
      <c r="I2219" s="4" t="n">
        <v>0</v>
      </c>
      <c r="J2219" s="4" t="n">
        <v>0</v>
      </c>
      <c r="K2219" s="4" t="n">
        <v>0</v>
      </c>
      <c r="M2219" s="2" t="str">
        <f aca="false">IF(C2219="","",IFERROR(INDEX($S$5:$S$304,MATCH(C2219,$R$5:$R$304,0))&amp;"","?"))</f>
        <v/>
      </c>
      <c r="N2219" s="2" t="n">
        <f aca="false">IF(E2219="","",IF(ISNUMBER(SEARCH("SUBSOLO",E2219)),IFERROR(-VALUE(LEFT(E2219,FIND("º",SUBSTITUTE(E2219,"°","º"))-1)),-1),IF(LEFT(E2219,6)="TÉRREO",0,IFERROR(VALUE(LEFT(E2219,FIND("º",SUBSTITUTE(E2219,"°","º"))-1)),""))))</f>
        <v>6</v>
      </c>
      <c r="O2219" s="2" t="str">
        <f aca="false">IF(OR(F2219="",G2219=""),"",IF(G2219&lt;='RETRATO 2027'!$K$5,"CONCLUÍDA",IF(F2219&lt;='RETRATO 2027'!$K$5,"EM ANDAMENTO","A INICIAR")))</f>
        <v>A INICIAR</v>
      </c>
    </row>
    <row r="2220" customFormat="false" ht="15" hidden="false" customHeight="false" outlineLevel="0" collapsed="false">
      <c r="B2220" s="4" t="n">
        <v>30171659</v>
      </c>
      <c r="C2220" s="4" t="s">
        <v>2623</v>
      </c>
      <c r="D2220" s="4" t="s">
        <v>463</v>
      </c>
      <c r="E2220" s="4" t="s">
        <v>2816</v>
      </c>
      <c r="F2220" s="127" t="n">
        <v>47098</v>
      </c>
      <c r="G2220" s="127" t="n">
        <v>47133</v>
      </c>
      <c r="H2220" s="127" t="n">
        <v>46289</v>
      </c>
      <c r="I2220" s="4" t="n">
        <v>0</v>
      </c>
      <c r="J2220" s="4" t="n">
        <v>0</v>
      </c>
      <c r="K2220" s="4" t="n">
        <v>0</v>
      </c>
      <c r="M2220" s="2" t="str">
        <f aca="false">IF(C2220="","",IFERROR(INDEX($S$5:$S$304,MATCH(C2220,$R$5:$R$304,0))&amp;"","?"))</f>
        <v>35</v>
      </c>
      <c r="N2220" s="2" t="str">
        <f aca="false"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 t="str">
        <f aca="false">IF(OR(F2220="",G2220=""),"",IF(G2220&lt;='RETRATO 2027'!$K$5,"CONCLUÍDA",IF(F2220&lt;='RETRATO 2027'!$K$5,"EM ANDAMENTO","A INICIAR")))</f>
        <v>A INICIAR</v>
      </c>
    </row>
    <row r="2221" customFormat="false" ht="15" hidden="false" customHeight="false" outlineLevel="0" collapsed="false">
      <c r="B2221" s="4" t="n">
        <v>29980921</v>
      </c>
      <c r="C2221" s="4" t="s">
        <v>2649</v>
      </c>
      <c r="D2221" s="4" t="s">
        <v>463</v>
      </c>
      <c r="E2221" s="4" t="s">
        <v>2831</v>
      </c>
      <c r="F2221" s="127" t="n">
        <v>47100</v>
      </c>
      <c r="G2221" s="127" t="n">
        <v>47120</v>
      </c>
      <c r="H2221" s="127" t="n">
        <v>46289</v>
      </c>
      <c r="I2221" s="4" t="n">
        <v>0</v>
      </c>
      <c r="J2221" s="4" t="n">
        <v>0</v>
      </c>
      <c r="K2221" s="4" t="n">
        <v>0</v>
      </c>
      <c r="M2221" s="2" t="str">
        <f aca="false">IF(C2221="","",IFERROR(INDEX($S$5:$S$304,MATCH(C2221,$R$5:$R$304,0))&amp;"","?"))</f>
        <v>37</v>
      </c>
      <c r="N2221" s="2" t="n">
        <f aca="false">IF(E2221="","",IF(ISNUMBER(SEARCH("SUBSOLO",E2221)),IFERROR(-VALUE(LEFT(E2221,FIND("º",SUBSTITUTE(E2221,"°","º"))-1)),-1),IF(LEFT(E2221,6)="TÉRREO",0,IFERROR(VALUE(LEFT(E2221,FIND("º",SUBSTITUTE(E2221,"°","º"))-1)),""))))</f>
        <v>24</v>
      </c>
      <c r="O2221" s="2" t="str">
        <f aca="false">IF(OR(F2221="",G2221=""),"",IF(G2221&lt;='RETRATO 2027'!$K$5,"CONCLUÍDA",IF(F2221&lt;='RETRATO 2027'!$K$5,"EM ANDAMENTO","A INICIAR")))</f>
        <v>A INICIAR</v>
      </c>
    </row>
    <row r="2222" customFormat="false" ht="15" hidden="false" customHeight="false" outlineLevel="0" collapsed="false">
      <c r="B2222" s="4" t="n">
        <v>29980874</v>
      </c>
      <c r="C2222" s="4" t="s">
        <v>2641</v>
      </c>
      <c r="D2222" s="4" t="s">
        <v>463</v>
      </c>
      <c r="E2222" s="4" t="s">
        <v>2833</v>
      </c>
      <c r="F2222" s="127" t="n">
        <v>47100</v>
      </c>
      <c r="G2222" s="127" t="n">
        <v>47120</v>
      </c>
      <c r="H2222" s="127" t="n">
        <v>46289</v>
      </c>
      <c r="I2222" s="4" t="n">
        <v>0</v>
      </c>
      <c r="J2222" s="4" t="n">
        <v>0</v>
      </c>
      <c r="K2222" s="4" t="n">
        <v>0</v>
      </c>
      <c r="M2222" s="2" t="str">
        <f aca="false">IF(C2222="","",IFERROR(INDEX($S$5:$S$304,MATCH(C2222,$R$5:$R$304,0))&amp;"","?"))</f>
        <v>35</v>
      </c>
      <c r="N2222" s="2" t="n">
        <f aca="false">IF(E2222="","",IF(ISNUMBER(SEARCH("SUBSOLO",E2222)),IFERROR(-VALUE(LEFT(E2222,FIND("º",SUBSTITUTE(E2222,"°","º"))-1)),-1),IF(LEFT(E2222,6)="TÉRREO",0,IFERROR(VALUE(LEFT(E2222,FIND("º",SUBSTITUTE(E2222,"°","º"))-1)),""))))</f>
        <v>25</v>
      </c>
      <c r="O2222" s="2" t="str">
        <f aca="false">IF(OR(F2222="",G2222=""),"",IF(G2222&lt;='RETRATO 2027'!$K$5,"CONCLUÍDA",IF(F2222&lt;='RETRATO 2027'!$K$5,"EM ANDAMENTO","A INICIAR")))</f>
        <v>A INICIAR</v>
      </c>
    </row>
    <row r="2223" customFormat="false" ht="15" hidden="false" customHeight="false" outlineLevel="0" collapsed="false">
      <c r="B2223" s="4" t="n">
        <v>30171405</v>
      </c>
      <c r="C2223" s="4" t="s">
        <v>2633</v>
      </c>
      <c r="D2223" s="4" t="s">
        <v>463</v>
      </c>
      <c r="E2223" s="4" t="s">
        <v>2801</v>
      </c>
      <c r="F2223" s="127" t="n">
        <v>47105</v>
      </c>
      <c r="G2223" s="127" t="n">
        <v>47133</v>
      </c>
      <c r="H2223" s="127" t="n">
        <v>46289</v>
      </c>
      <c r="I2223" s="4" t="n">
        <v>0</v>
      </c>
      <c r="J2223" s="4" t="n">
        <v>0</v>
      </c>
      <c r="K2223" s="4" t="n">
        <v>0</v>
      </c>
      <c r="M2223" s="2" t="str">
        <f aca="false">IF(C2223="","",IFERROR(INDEX($S$5:$S$304,MATCH(C2223,$R$5:$R$304,0))&amp;"","?"))</f>
        <v>35</v>
      </c>
      <c r="N2223" s="2" t="n">
        <f aca="false">IF(E2223="","",IF(ISNUMBER(SEARCH("SUBSOLO",E2223)),IFERROR(-VALUE(LEFT(E2223,FIND("º",SUBSTITUTE(E2223,"°","º"))-1)),-1),IF(LEFT(E2223,6)="TÉRREO",0,IFERROR(VALUE(LEFT(E2223,FIND("º",SUBSTITUTE(E2223,"°","º"))-1)),""))))</f>
        <v>5</v>
      </c>
      <c r="O2223" s="2" t="str">
        <f aca="false">IF(OR(F2223="",G2223=""),"",IF(G2223&lt;='RETRATO 2027'!$K$5,"CONCLUÍDA",IF(F2223&lt;='RETRATO 2027'!$K$5,"EM ANDAMENTO","A INICIAR")))</f>
        <v>A INICIAR</v>
      </c>
    </row>
    <row r="2224" customFormat="false" ht="15" hidden="false" customHeight="false" outlineLevel="0" collapsed="false">
      <c r="B2224" s="4" t="n">
        <v>30206089</v>
      </c>
      <c r="C2224" s="4" t="s">
        <v>2649</v>
      </c>
      <c r="D2224" s="4" t="s">
        <v>463</v>
      </c>
      <c r="E2224" s="4" t="s">
        <v>2847</v>
      </c>
      <c r="F2224" s="127" t="n">
        <v>47105</v>
      </c>
      <c r="G2224" s="127" t="n">
        <v>47126</v>
      </c>
      <c r="H2224" s="127" t="n">
        <v>46289</v>
      </c>
      <c r="I2224" s="4" t="n">
        <v>0</v>
      </c>
      <c r="J2224" s="4" t="n">
        <v>0</v>
      </c>
      <c r="K2224" s="4" t="n">
        <v>0</v>
      </c>
      <c r="M2224" s="2" t="str">
        <f aca="false">IF(C2224="","",IFERROR(INDEX($S$5:$S$304,MATCH(C2224,$R$5:$R$304,0))&amp;"","?"))</f>
        <v>37</v>
      </c>
      <c r="N2224" s="2" t="n">
        <f aca="false">IF(E2224="","",IF(ISNUMBER(SEARCH("SUBSOLO",E2224)),IFERROR(-VALUE(LEFT(E2224,FIND("º",SUBSTITUTE(E2224,"°","º"))-1)),-1),IF(LEFT(E2224,6)="TÉRREO",0,IFERROR(VALUE(LEFT(E2224,FIND("º",SUBSTITUTE(E2224,"°","º"))-1)),""))))</f>
        <v>6</v>
      </c>
      <c r="O2224" s="2" t="str">
        <f aca="false">IF(OR(F2224="",G2224=""),"",IF(G2224&lt;='RETRATO 2027'!$K$5,"CONCLUÍDA",IF(F2224&lt;='RETRATO 2027'!$K$5,"EM ANDAMENTO","A INICIAR")))</f>
        <v>A INICIAR</v>
      </c>
    </row>
    <row r="2225" customFormat="false" ht="15" hidden="false" customHeight="false" outlineLevel="0" collapsed="false">
      <c r="B2225" s="4" t="n">
        <v>30206042</v>
      </c>
      <c r="C2225" s="4" t="s">
        <v>2641</v>
      </c>
      <c r="D2225" s="4" t="s">
        <v>463</v>
      </c>
      <c r="E2225" s="4" t="s">
        <v>2848</v>
      </c>
      <c r="F2225" s="127" t="n">
        <v>47105</v>
      </c>
      <c r="G2225" s="127" t="n">
        <v>47126</v>
      </c>
      <c r="H2225" s="127" t="n">
        <v>46289</v>
      </c>
      <c r="I2225" s="4" t="n">
        <v>0</v>
      </c>
      <c r="J2225" s="4" t="n">
        <v>0</v>
      </c>
      <c r="K2225" s="4" t="n">
        <v>0</v>
      </c>
      <c r="M2225" s="2" t="str">
        <f aca="false">IF(C2225="","",IFERROR(INDEX($S$5:$S$304,MATCH(C2225,$R$5:$R$304,0))&amp;"","?"))</f>
        <v>35</v>
      </c>
      <c r="N2225" s="2" t="n">
        <f aca="false">IF(E2225="","",IF(ISNUMBER(SEARCH("SUBSOLO",E2225)),IFERROR(-VALUE(LEFT(E2225,FIND("º",SUBSTITUTE(E2225,"°","º"))-1)),-1),IF(LEFT(E2225,6)="TÉRREO",0,IFERROR(VALUE(LEFT(E2225,FIND("º",SUBSTITUTE(E2225,"°","º"))-1)),""))))</f>
        <v>6</v>
      </c>
      <c r="O2225" s="2" t="str">
        <f aca="false">IF(OR(F2225="",G2225=""),"",IF(G2225&lt;='RETRATO 2027'!$K$5,"CONCLUÍDA",IF(F2225&lt;='RETRATO 2027'!$K$5,"EM ANDAMENTO","A INICIAR")))</f>
        <v>A INICIAR</v>
      </c>
    </row>
    <row r="2226" customFormat="false" ht="15" hidden="false" customHeight="false" outlineLevel="0" collapsed="false">
      <c r="B2226" s="4" t="n">
        <v>29981559</v>
      </c>
      <c r="C2226" s="4" t="s">
        <v>2732</v>
      </c>
      <c r="D2226" s="4" t="s">
        <v>463</v>
      </c>
      <c r="E2226" s="4" t="s">
        <v>2803</v>
      </c>
      <c r="F2226" s="127" t="n">
        <v>47105</v>
      </c>
      <c r="G2226" s="127" t="n">
        <v>47123</v>
      </c>
      <c r="H2226" s="127" t="n">
        <v>46289</v>
      </c>
      <c r="I2226" s="4" t="n">
        <v>0</v>
      </c>
      <c r="J2226" s="4" t="n">
        <v>0</v>
      </c>
      <c r="K2226" s="4" t="n">
        <v>0</v>
      </c>
      <c r="M2226" s="2" t="str">
        <f aca="false">IF(C2226="","",IFERROR(INDEX($S$5:$S$304,MATCH(C2226,$R$5:$R$304,0))&amp;"","?"))</f>
        <v/>
      </c>
      <c r="N2226" s="2" t="n">
        <f aca="false">IF(E2226="","",IF(ISNUMBER(SEARCH("SUBSOLO",E2226)),IFERROR(-VALUE(LEFT(E2226,FIND("º",SUBSTITUTE(E2226,"°","º"))-1)),-1),IF(LEFT(E2226,6)="TÉRREO",0,IFERROR(VALUE(LEFT(E2226,FIND("º",SUBSTITUTE(E2226,"°","º"))-1)),""))))</f>
        <v>7</v>
      </c>
      <c r="O2226" s="2" t="str">
        <f aca="false">IF(OR(F2226="",G2226=""),"",IF(G2226&lt;='RETRATO 2027'!$K$5,"CONCLUÍDA",IF(F2226&lt;='RETRATO 2027'!$K$5,"EM ANDAMENTO","A INICIAR")))</f>
        <v>A INICIAR</v>
      </c>
    </row>
    <row r="2227" customFormat="false" ht="15" hidden="false" customHeight="false" outlineLevel="0" collapsed="false">
      <c r="B2227" s="4" t="n">
        <v>29981084</v>
      </c>
      <c r="C2227" s="4" t="s">
        <v>2569</v>
      </c>
      <c r="D2227" s="4" t="s">
        <v>463</v>
      </c>
      <c r="E2227" s="4" t="s">
        <v>2822</v>
      </c>
      <c r="F2227" s="127" t="n">
        <v>47105</v>
      </c>
      <c r="G2227" s="127" t="n">
        <v>47121</v>
      </c>
      <c r="H2227" s="127" t="n">
        <v>46289</v>
      </c>
      <c r="I2227" s="4" t="n">
        <v>0</v>
      </c>
      <c r="J2227" s="4" t="n">
        <v>0</v>
      </c>
      <c r="K2227" s="4" t="n">
        <v>0</v>
      </c>
      <c r="M2227" s="2" t="str">
        <f aca="false">IF(C2227="","",IFERROR(INDEX($S$5:$S$304,MATCH(C2227,$R$5:$R$304,0))&amp;"","?"))</f>
        <v>30</v>
      </c>
      <c r="N2227" s="2" t="n">
        <f aca="false">IF(E2227="","",IF(ISNUMBER(SEARCH("SUBSOLO",E2227)),IFERROR(-VALUE(LEFT(E2227,FIND("º",SUBSTITUTE(E2227,"°","º"))-1)),-1),IF(LEFT(E2227,6)="TÉRREO",0,IFERROR(VALUE(LEFT(E2227,FIND("º",SUBSTITUTE(E2227,"°","º"))-1)),""))))</f>
        <v>19</v>
      </c>
      <c r="O2227" s="2" t="str">
        <f aca="false">IF(OR(F2227="",G2227=""),"",IF(G2227&lt;='RETRATO 2027'!$K$5,"CONCLUÍDA",IF(F2227&lt;='RETRATO 2027'!$K$5,"EM ANDAMENTO","A INICIAR")))</f>
        <v>A INICIAR</v>
      </c>
    </row>
    <row r="2228" customFormat="false" ht="15" hidden="false" customHeight="false" outlineLevel="0" collapsed="false">
      <c r="B2228" s="4" t="n">
        <v>30205897</v>
      </c>
      <c r="C2228" s="4" t="s">
        <v>2702</v>
      </c>
      <c r="D2228" s="4" t="s">
        <v>463</v>
      </c>
      <c r="E2228" s="4" t="s">
        <v>2845</v>
      </c>
      <c r="F2228" s="127" t="n">
        <v>47106</v>
      </c>
      <c r="G2228" s="127" t="n">
        <v>47143</v>
      </c>
      <c r="H2228" s="127" t="n">
        <v>46289</v>
      </c>
      <c r="I2228" s="4" t="n">
        <v>0</v>
      </c>
      <c r="J2228" s="4" t="n">
        <v>0</v>
      </c>
      <c r="K2228" s="4" t="n">
        <v>0</v>
      </c>
      <c r="M2228" s="2" t="str">
        <f aca="false">IF(C2228="","",IFERROR(INDEX($S$5:$S$304,MATCH(C2228,$R$5:$R$304,0))&amp;"","?"))</f>
        <v>25</v>
      </c>
      <c r="N2228" s="2" t="n">
        <f aca="false">IF(E2228="","",IF(ISNUMBER(SEARCH("SUBSOLO",E2228)),IFERROR(-VALUE(LEFT(E2228,FIND("º",SUBSTITUTE(E2228,"°","º"))-1)),-1),IF(LEFT(E2228,6)="TÉRREO",0,IFERROR(VALUE(LEFT(E2228,FIND("º",SUBSTITUTE(E2228,"°","º"))-1)),""))))</f>
        <v>6</v>
      </c>
      <c r="O2228" s="2" t="str">
        <f aca="false">IF(OR(F2228="",G2228=""),"",IF(G2228&lt;='RETRATO 2027'!$K$5,"CONCLUÍDA",IF(F2228&lt;='RETRATO 2027'!$K$5,"EM ANDAMENTO","A INICIAR")))</f>
        <v>A INICIAR</v>
      </c>
    </row>
    <row r="2229" customFormat="false" ht="15" hidden="false" customHeight="false" outlineLevel="0" collapsed="false">
      <c r="B2229" s="4" t="n">
        <v>30208614</v>
      </c>
      <c r="C2229" s="4" t="s">
        <v>2584</v>
      </c>
      <c r="D2229" s="4" t="s">
        <v>463</v>
      </c>
      <c r="E2229" s="4" t="s">
        <v>2845</v>
      </c>
      <c r="F2229" s="127" t="n">
        <v>47106</v>
      </c>
      <c r="G2229" s="127" t="n">
        <v>47120</v>
      </c>
      <c r="H2229" s="127" t="n">
        <v>46289</v>
      </c>
      <c r="I2229" s="4" t="n">
        <v>0</v>
      </c>
      <c r="J2229" s="4" t="n">
        <v>0</v>
      </c>
      <c r="K2229" s="4" t="n">
        <v>0</v>
      </c>
      <c r="M2229" s="2" t="str">
        <f aca="false">IF(C2229="","",IFERROR(INDEX($S$5:$S$304,MATCH(C2229,$R$5:$R$304,0))&amp;"","?"))</f>
        <v>20</v>
      </c>
      <c r="N2229" s="2" t="n">
        <f aca="false">IF(E2229="","",IF(ISNUMBER(SEARCH("SUBSOLO",E2229)),IFERROR(-VALUE(LEFT(E2229,FIND("º",SUBSTITUTE(E2229,"°","º"))-1)),-1),IF(LEFT(E2229,6)="TÉRREO",0,IFERROR(VALUE(LEFT(E2229,FIND("º",SUBSTITUTE(E2229,"°","º"))-1)),""))))</f>
        <v>6</v>
      </c>
      <c r="O2229" s="2" t="str">
        <f aca="false">IF(OR(F2229="",G2229=""),"",IF(G2229&lt;='RETRATO 2027'!$K$5,"CONCLUÍDA",IF(F2229&lt;='RETRATO 2027'!$K$5,"EM ANDAMENTO","A INICIAR")))</f>
        <v>A INICIAR</v>
      </c>
    </row>
    <row r="2230" customFormat="false" ht="15" hidden="false" customHeight="false" outlineLevel="0" collapsed="false">
      <c r="B2230" s="4" t="n">
        <v>30206006</v>
      </c>
      <c r="C2230" s="4" t="s">
        <v>2629</v>
      </c>
      <c r="D2230" s="4" t="s">
        <v>463</v>
      </c>
      <c r="E2230" s="4" t="s">
        <v>2849</v>
      </c>
      <c r="F2230" s="127" t="n">
        <v>47106</v>
      </c>
      <c r="G2230" s="127" t="n">
        <v>47109</v>
      </c>
      <c r="H2230" s="127" t="n">
        <v>46289</v>
      </c>
      <c r="I2230" s="4" t="n">
        <v>0</v>
      </c>
      <c r="J2230" s="4" t="n">
        <v>0</v>
      </c>
      <c r="K2230" s="4" t="n">
        <v>0</v>
      </c>
      <c r="M2230" s="2" t="str">
        <f aca="false">IF(C2230="","",IFERROR(INDEX($S$5:$S$304,MATCH(C2230,$R$5:$R$304,0))&amp;"","?"))</f>
        <v>20</v>
      </c>
      <c r="N2230" s="2" t="n">
        <f aca="false">IF(E2230="","",IF(ISNUMBER(SEARCH("SUBSOLO",E2230)),IFERROR(-VALUE(LEFT(E2230,FIND("º",SUBSTITUTE(E2230,"°","º"))-1)),-1),IF(LEFT(E2230,6)="TÉRREO",0,IFERROR(VALUE(LEFT(E2230,FIND("º",SUBSTITUTE(E2230,"°","º"))-1)),""))))</f>
        <v>6</v>
      </c>
      <c r="O2230" s="2" t="str">
        <f aca="false">IF(OR(F2230="",G2230=""),"",IF(G2230&lt;='RETRATO 2027'!$K$5,"CONCLUÍDA",IF(F2230&lt;='RETRATO 2027'!$K$5,"EM ANDAMENTO","A INICIAR")))</f>
        <v>A INICIAR</v>
      </c>
    </row>
    <row r="2231" customFormat="false" ht="15" hidden="false" customHeight="false" outlineLevel="0" collapsed="false">
      <c r="B2231" s="4" t="n">
        <v>30205966</v>
      </c>
      <c r="C2231" s="4" t="s">
        <v>2623</v>
      </c>
      <c r="D2231" s="4" t="s">
        <v>463</v>
      </c>
      <c r="E2231" s="4" t="s">
        <v>2850</v>
      </c>
      <c r="F2231" s="127" t="n">
        <v>47106</v>
      </c>
      <c r="G2231" s="127" t="n">
        <v>47127</v>
      </c>
      <c r="H2231" s="127" t="n">
        <v>46289</v>
      </c>
      <c r="I2231" s="4" t="n">
        <v>0</v>
      </c>
      <c r="J2231" s="4" t="n">
        <v>0</v>
      </c>
      <c r="K2231" s="4" t="n">
        <v>0</v>
      </c>
      <c r="M2231" s="2" t="str">
        <f aca="false">IF(C2231="","",IFERROR(INDEX($S$5:$S$304,MATCH(C2231,$R$5:$R$304,0))&amp;"","?"))</f>
        <v>35</v>
      </c>
      <c r="N2231" s="2" t="n">
        <f aca="false">IF(E2231="","",IF(ISNUMBER(SEARCH("SUBSOLO",E2231)),IFERROR(-VALUE(LEFT(E2231,FIND("º",SUBSTITUTE(E2231,"°","º"))-1)),-1),IF(LEFT(E2231,6)="TÉRREO",0,IFERROR(VALUE(LEFT(E2231,FIND("º",SUBSTITUTE(E2231,"°","º"))-1)),""))))</f>
        <v>6</v>
      </c>
      <c r="O2231" s="2" t="str">
        <f aca="false">IF(OR(F2231="",G2231=""),"",IF(G2231&lt;='RETRATO 2027'!$K$5,"CONCLUÍDA",IF(F2231&lt;='RETRATO 2027'!$K$5,"EM ANDAMENTO","A INICIAR")))</f>
        <v>A INICIAR</v>
      </c>
    </row>
    <row r="2232" customFormat="false" ht="15" hidden="false" customHeight="false" outlineLevel="0" collapsed="false">
      <c r="B2232" s="4" t="n">
        <v>29980836</v>
      </c>
      <c r="C2232" s="4" t="s">
        <v>2637</v>
      </c>
      <c r="D2232" s="4" t="s">
        <v>463</v>
      </c>
      <c r="E2232" s="4" t="s">
        <v>2834</v>
      </c>
      <c r="F2232" s="127" t="n">
        <v>47106</v>
      </c>
      <c r="G2232" s="127" t="n">
        <v>47120</v>
      </c>
      <c r="H2232" s="127" t="n">
        <v>46289</v>
      </c>
      <c r="I2232" s="4" t="n">
        <v>0</v>
      </c>
      <c r="J2232" s="4" t="n">
        <v>0</v>
      </c>
      <c r="K2232" s="4" t="n">
        <v>0</v>
      </c>
      <c r="M2232" s="2" t="str">
        <f aca="false">IF(C2232="","",IFERROR(INDEX($S$5:$S$304,MATCH(C2232,$R$5:$R$304,0))&amp;"","?"))</f>
        <v/>
      </c>
      <c r="N2232" s="2" t="n">
        <f aca="false">IF(E2232="","",IF(ISNUMBER(SEARCH("SUBSOLO",E2232)),IFERROR(-VALUE(LEFT(E2232,FIND("º",SUBSTITUTE(E2232,"°","º"))-1)),-1),IF(LEFT(E2232,6)="TÉRREO",0,IFERROR(VALUE(LEFT(E2232,FIND("º",SUBSTITUTE(E2232,"°","º"))-1)),""))))</f>
        <v>26</v>
      </c>
      <c r="O2232" s="2" t="str">
        <f aca="false">IF(OR(F2232="",G2232=""),"",IF(G2232&lt;='RETRATO 2027'!$K$5,"CONCLUÍDA",IF(F2232&lt;='RETRATO 2027'!$K$5,"EM ANDAMENTO","A INICIAR")))</f>
        <v>A INICIAR</v>
      </c>
    </row>
    <row r="2233" customFormat="false" ht="15" hidden="false" customHeight="false" outlineLevel="0" collapsed="false">
      <c r="B2233" s="4" t="n">
        <v>29980801</v>
      </c>
      <c r="C2233" s="4" t="s">
        <v>2629</v>
      </c>
      <c r="D2233" s="4" t="s">
        <v>463</v>
      </c>
      <c r="E2233" s="4" t="s">
        <v>2838</v>
      </c>
      <c r="F2233" s="127" t="n">
        <v>47106</v>
      </c>
      <c r="G2233" s="127" t="n">
        <v>47126</v>
      </c>
      <c r="H2233" s="127" t="n">
        <v>46289</v>
      </c>
      <c r="I2233" s="4" t="n">
        <v>0</v>
      </c>
      <c r="J2233" s="4" t="n">
        <v>0</v>
      </c>
      <c r="K2233" s="4" t="n">
        <v>0</v>
      </c>
      <c r="M2233" s="2" t="str">
        <f aca="false">IF(C2233="","",IFERROR(INDEX($S$5:$S$304,MATCH(C2233,$R$5:$R$304,0))&amp;"","?"))</f>
        <v>20</v>
      </c>
      <c r="N2233" s="2" t="n">
        <f aca="false">IF(E2233="","",IF(ISNUMBER(SEARCH("SUBSOLO",E2233)),IFERROR(-VALUE(LEFT(E2233,FIND("º",SUBSTITUTE(E2233,"°","º"))-1)),-1),IF(LEFT(E2233,6)="TÉRREO",0,IFERROR(VALUE(LEFT(E2233,FIND("º",SUBSTITUTE(E2233,"°","º"))-1)),""))))</f>
        <v>27</v>
      </c>
      <c r="O2233" s="2" t="str">
        <f aca="false">IF(OR(F2233="",G2233=""),"",IF(G2233&lt;='RETRATO 2027'!$K$5,"CONCLUÍDA",IF(F2233&lt;='RETRATO 2027'!$K$5,"EM ANDAMENTO","A INICIAR")))</f>
        <v>A INICIAR</v>
      </c>
    </row>
    <row r="2234" customFormat="false" ht="15" hidden="false" customHeight="false" outlineLevel="0" collapsed="false">
      <c r="B2234" s="4" t="n">
        <v>29980761</v>
      </c>
      <c r="C2234" s="4" t="s">
        <v>2623</v>
      </c>
      <c r="D2234" s="4" t="s">
        <v>463</v>
      </c>
      <c r="E2234" s="4" t="s">
        <v>2840</v>
      </c>
      <c r="F2234" s="127" t="n">
        <v>47106</v>
      </c>
      <c r="G2234" s="127" t="n">
        <v>47126</v>
      </c>
      <c r="H2234" s="127" t="n">
        <v>46289</v>
      </c>
      <c r="I2234" s="4" t="n">
        <v>0</v>
      </c>
      <c r="J2234" s="4" t="n">
        <v>0</v>
      </c>
      <c r="K2234" s="4" t="n">
        <v>0</v>
      </c>
      <c r="M2234" s="2" t="str">
        <f aca="false">IF(C2234="","",IFERROR(INDEX($S$5:$S$304,MATCH(C2234,$R$5:$R$304,0))&amp;"","?"))</f>
        <v>35</v>
      </c>
      <c r="N2234" s="2" t="n">
        <f aca="false">IF(E2234="","",IF(ISNUMBER(SEARCH("SUBSOLO",E2234)),IFERROR(-VALUE(LEFT(E2234,FIND("º",SUBSTITUTE(E2234,"°","º"))-1)),-1),IF(LEFT(E2234,6)="TÉRREO",0,IFERROR(VALUE(LEFT(E2234,FIND("º",SUBSTITUTE(E2234,"°","º"))-1)),""))))</f>
        <v>28</v>
      </c>
      <c r="O2234" s="2" t="str">
        <f aca="false">IF(OR(F2234="",G2234=""),"",IF(G2234&lt;='RETRATO 2027'!$K$5,"CONCLUÍDA",IF(F2234&lt;='RETRATO 2027'!$K$5,"EM ANDAMENTO","A INICIAR")))</f>
        <v>A INICIAR</v>
      </c>
    </row>
    <row r="2235" customFormat="false" ht="15" hidden="false" customHeight="false" outlineLevel="0" collapsed="false">
      <c r="B2235" s="4" t="n">
        <v>33919805</v>
      </c>
      <c r="C2235" s="4" t="s">
        <v>2625</v>
      </c>
      <c r="D2235" s="4" t="s">
        <v>463</v>
      </c>
      <c r="E2235" s="4" t="s">
        <v>2840</v>
      </c>
      <c r="F2235" s="127" t="n">
        <v>47106</v>
      </c>
      <c r="G2235" s="127" t="n">
        <v>47126</v>
      </c>
      <c r="H2235" s="127" t="n">
        <v>46289</v>
      </c>
      <c r="I2235" s="4" t="n">
        <v>0</v>
      </c>
      <c r="J2235" s="4" t="n">
        <v>0</v>
      </c>
      <c r="K2235" s="4" t="n">
        <v>0</v>
      </c>
      <c r="M2235" s="2" t="str">
        <f aca="false">IF(C2235="","",IFERROR(INDEX($S$5:$S$304,MATCH(C2235,$R$5:$R$304,0))&amp;"","?"))</f>
        <v>32</v>
      </c>
      <c r="N2235" s="2" t="n">
        <f aca="false">IF(E2235="","",IF(ISNUMBER(SEARCH("SUBSOLO",E2235)),IFERROR(-VALUE(LEFT(E2235,FIND("º",SUBSTITUTE(E2235,"°","º"))-1)),-1),IF(LEFT(E2235,6)="TÉRREO",0,IFERROR(VALUE(LEFT(E2235,FIND("º",SUBSTITUTE(E2235,"°","º"))-1)),""))))</f>
        <v>28</v>
      </c>
      <c r="O2235" s="2" t="str">
        <f aca="false">IF(OR(F2235="",G2235=""),"",IF(G2235&lt;='RETRATO 2027'!$K$5,"CONCLUÍDA",IF(F2235&lt;='RETRATO 2027'!$K$5,"EM ANDAMENTO","A INICIAR")))</f>
        <v>A INICIAR</v>
      </c>
    </row>
    <row r="2236" customFormat="false" ht="15" hidden="false" customHeight="false" outlineLevel="0" collapsed="false">
      <c r="B2236" s="4" t="n">
        <v>29980723</v>
      </c>
      <c r="C2236" s="4" t="s">
        <v>2615</v>
      </c>
      <c r="D2236" s="4" t="s">
        <v>463</v>
      </c>
      <c r="E2236" s="4" t="s">
        <v>2841</v>
      </c>
      <c r="F2236" s="127" t="n">
        <v>47106</v>
      </c>
      <c r="G2236" s="127" t="n">
        <v>47126</v>
      </c>
      <c r="H2236" s="127" t="n">
        <v>46289</v>
      </c>
      <c r="I2236" s="4" t="n">
        <v>0</v>
      </c>
      <c r="J2236" s="4" t="n">
        <v>0</v>
      </c>
      <c r="K2236" s="4" t="n">
        <v>0</v>
      </c>
      <c r="M2236" s="2" t="str">
        <f aca="false">IF(C2236="","",IFERROR(INDEX($S$5:$S$304,MATCH(C2236,$R$5:$R$304,0))&amp;"","?"))</f>
        <v>37</v>
      </c>
      <c r="N2236" s="2" t="n">
        <f aca="false">IF(E2236="","",IF(ISNUMBER(SEARCH("SUBSOLO",E2236)),IFERROR(-VALUE(LEFT(E2236,FIND("º",SUBSTITUTE(E2236,"°","º"))-1)),-1),IF(LEFT(E2236,6)="TÉRREO",0,IFERROR(VALUE(LEFT(E2236,FIND("º",SUBSTITUTE(E2236,"°","º"))-1)),""))))</f>
        <v>29</v>
      </c>
      <c r="O2236" s="2" t="str">
        <f aca="false">IF(OR(F2236="",G2236=""),"",IF(G2236&lt;='RETRATO 2027'!$K$5,"CONCLUÍDA",IF(F2236&lt;='RETRATO 2027'!$K$5,"EM ANDAMENTO","A INICIAR")))</f>
        <v>A INICIAR</v>
      </c>
    </row>
    <row r="2237" customFormat="false" ht="15" hidden="false" customHeight="false" outlineLevel="0" collapsed="false">
      <c r="B2237" s="4" t="n">
        <v>29980680</v>
      </c>
      <c r="C2237" s="4" t="s">
        <v>2605</v>
      </c>
      <c r="D2237" s="4" t="s">
        <v>463</v>
      </c>
      <c r="E2237" s="4" t="s">
        <v>2842</v>
      </c>
      <c r="F2237" s="127" t="n">
        <v>47106</v>
      </c>
      <c r="G2237" s="127" t="n">
        <v>47126</v>
      </c>
      <c r="H2237" s="127" t="n">
        <v>46289</v>
      </c>
      <c r="I2237" s="4" t="n">
        <v>0</v>
      </c>
      <c r="J2237" s="4" t="n">
        <v>0</v>
      </c>
      <c r="K2237" s="4" t="n">
        <v>0</v>
      </c>
      <c r="M2237" s="2" t="str">
        <f aca="false">IF(C2237="","",IFERROR(INDEX($S$5:$S$304,MATCH(C2237,$R$5:$R$304,0))&amp;"","?"))</f>
        <v>34</v>
      </c>
      <c r="N2237" s="2" t="n">
        <f aca="false">IF(E2237="","",IF(ISNUMBER(SEARCH("SUBSOLO",E2237)),IFERROR(-VALUE(LEFT(E2237,FIND("º",SUBSTITUTE(E2237,"°","º"))-1)),-1),IF(LEFT(E2237,6)="TÉRREO",0,IFERROR(VALUE(LEFT(E2237,FIND("º",SUBSTITUTE(E2237,"°","º"))-1)),""))))</f>
        <v>30</v>
      </c>
      <c r="O2237" s="2" t="str">
        <f aca="false">IF(OR(F2237="",G2237=""),"",IF(G2237&lt;='RETRATO 2027'!$K$5,"CONCLUÍDA",IF(F2237&lt;='RETRATO 2027'!$K$5,"EM ANDAMENTO","A INICIAR")))</f>
        <v>A INICIAR</v>
      </c>
    </row>
    <row r="2238" customFormat="false" ht="15" hidden="false" customHeight="false" outlineLevel="0" collapsed="false">
      <c r="B2238" s="4" t="n">
        <v>29980685</v>
      </c>
      <c r="C2238" s="4" t="s">
        <v>2607</v>
      </c>
      <c r="D2238" s="4" t="s">
        <v>463</v>
      </c>
      <c r="E2238" s="4" t="s">
        <v>2842</v>
      </c>
      <c r="F2238" s="127" t="n">
        <v>47106</v>
      </c>
      <c r="G2238" s="127" t="n">
        <v>47126</v>
      </c>
      <c r="H2238" s="127" t="n">
        <v>46289</v>
      </c>
      <c r="I2238" s="4" t="n">
        <v>0</v>
      </c>
      <c r="J2238" s="4" t="n">
        <v>0</v>
      </c>
      <c r="K2238" s="4" t="n">
        <v>0</v>
      </c>
      <c r="M2238" s="2" t="str">
        <f aca="false">IF(C2238="","",IFERROR(INDEX($S$5:$S$304,MATCH(C2238,$R$5:$R$304,0))&amp;"","?"))</f>
        <v>34</v>
      </c>
      <c r="N2238" s="2" t="n">
        <f aca="false">IF(E2238="","",IF(ISNUMBER(SEARCH("SUBSOLO",E2238)),IFERROR(-VALUE(LEFT(E2238,FIND("º",SUBSTITUTE(E2238,"°","º"))-1)),-1),IF(LEFT(E2238,6)="TÉRREO",0,IFERROR(VALUE(LEFT(E2238,FIND("º",SUBSTITUTE(E2238,"°","º"))-1)),""))))</f>
        <v>30</v>
      </c>
      <c r="O2238" s="2" t="str">
        <f aca="false">IF(OR(F2238="",G2238=""),"",IF(G2238&lt;='RETRATO 2027'!$K$5,"CONCLUÍDA",IF(F2238&lt;='RETRATO 2027'!$K$5,"EM ANDAMENTO","A INICIAR")))</f>
        <v>A INICIAR</v>
      </c>
    </row>
    <row r="2239" customFormat="false" ht="15" hidden="false" customHeight="false" outlineLevel="0" collapsed="false">
      <c r="B2239" s="4" t="n">
        <v>29980684</v>
      </c>
      <c r="C2239" s="4" t="s">
        <v>2563</v>
      </c>
      <c r="D2239" s="4" t="s">
        <v>463</v>
      </c>
      <c r="E2239" s="4" t="s">
        <v>2842</v>
      </c>
      <c r="F2239" s="127" t="n">
        <v>47106</v>
      </c>
      <c r="G2239" s="127" t="n">
        <v>47126</v>
      </c>
      <c r="H2239" s="127" t="n">
        <v>46289</v>
      </c>
      <c r="I2239" s="4" t="n">
        <v>0</v>
      </c>
      <c r="J2239" s="4" t="n">
        <v>0</v>
      </c>
      <c r="K2239" s="4" t="n">
        <v>0</v>
      </c>
      <c r="M2239" s="2" t="str">
        <f aca="false">IF(C2239="","",IFERROR(INDEX($S$5:$S$304,MATCH(C2239,$R$5:$R$304,0))&amp;"","?"))</f>
        <v>20</v>
      </c>
      <c r="N2239" s="2" t="n">
        <f aca="false">IF(E2239="","",IF(ISNUMBER(SEARCH("SUBSOLO",E2239)),IFERROR(-VALUE(LEFT(E2239,FIND("º",SUBSTITUTE(E2239,"°","º"))-1)),-1),IF(LEFT(E2239,6)="TÉRREO",0,IFERROR(VALUE(LEFT(E2239,FIND("º",SUBSTITUTE(E2239,"°","º"))-1)),""))))</f>
        <v>30</v>
      </c>
      <c r="O2239" s="2" t="str">
        <f aca="false">IF(OR(F2239="",G2239=""),"",IF(G2239&lt;='RETRATO 2027'!$K$5,"CONCLUÍDA",IF(F2239&lt;='RETRATO 2027'!$K$5,"EM ANDAMENTO","A INICIAR")))</f>
        <v>A INICIAR</v>
      </c>
    </row>
    <row r="2240" customFormat="false" ht="15" hidden="false" customHeight="false" outlineLevel="0" collapsed="false">
      <c r="B2240" s="4" t="n">
        <v>29980683</v>
      </c>
      <c r="C2240" s="4" t="s">
        <v>2609</v>
      </c>
      <c r="D2240" s="4" t="s">
        <v>463</v>
      </c>
      <c r="E2240" s="4" t="s">
        <v>2842</v>
      </c>
      <c r="F2240" s="127" t="n">
        <v>47106</v>
      </c>
      <c r="G2240" s="127" t="n">
        <v>47126</v>
      </c>
      <c r="H2240" s="127" t="n">
        <v>46289</v>
      </c>
      <c r="I2240" s="4" t="n">
        <v>0</v>
      </c>
      <c r="J2240" s="4" t="n">
        <v>0</v>
      </c>
      <c r="K2240" s="4" t="n">
        <v>0</v>
      </c>
      <c r="M2240" s="2" t="str">
        <f aca="false">IF(C2240="","",IFERROR(INDEX($S$5:$S$304,MATCH(C2240,$R$5:$R$304,0))&amp;"","?"))</f>
        <v>23</v>
      </c>
      <c r="N2240" s="2" t="n">
        <f aca="false">IF(E2240="","",IF(ISNUMBER(SEARCH("SUBSOLO",E2240)),IFERROR(-VALUE(LEFT(E2240,FIND("º",SUBSTITUTE(E2240,"°","º"))-1)),-1),IF(LEFT(E2240,6)="TÉRREO",0,IFERROR(VALUE(LEFT(E2240,FIND("º",SUBSTITUTE(E2240,"°","º"))-1)),""))))</f>
        <v>30</v>
      </c>
      <c r="O2240" s="2" t="str">
        <f aca="false">IF(OR(F2240="",G2240=""),"",IF(G2240&lt;='RETRATO 2027'!$K$5,"CONCLUÍDA",IF(F2240&lt;='RETRATO 2027'!$K$5,"EM ANDAMENTO","A INICIAR")))</f>
        <v>A INICIAR</v>
      </c>
    </row>
    <row r="2241" customFormat="false" ht="15" hidden="false" customHeight="false" outlineLevel="0" collapsed="false">
      <c r="B2241" s="4" t="n">
        <v>29980642</v>
      </c>
      <c r="C2241" s="4" t="s">
        <v>2599</v>
      </c>
      <c r="D2241" s="4" t="s">
        <v>463</v>
      </c>
      <c r="E2241" s="4" t="s">
        <v>2843</v>
      </c>
      <c r="F2241" s="127" t="n">
        <v>47106</v>
      </c>
      <c r="G2241" s="127" t="n">
        <v>47126</v>
      </c>
      <c r="H2241" s="127" t="n">
        <v>46289</v>
      </c>
      <c r="I2241" s="4" t="n">
        <v>0</v>
      </c>
      <c r="J2241" s="4" t="n">
        <v>0</v>
      </c>
      <c r="K2241" s="4" t="n">
        <v>0</v>
      </c>
      <c r="M2241" s="2" t="str">
        <f aca="false">IF(C2241="","",IFERROR(INDEX($S$5:$S$304,MATCH(C2241,$R$5:$R$304,0))&amp;"","?"))</f>
        <v>30</v>
      </c>
      <c r="N2241" s="2" t="n">
        <f aca="false">IF(E2241="","",IF(ISNUMBER(SEARCH("SUBSOLO",E2241)),IFERROR(-VALUE(LEFT(E2241,FIND("º",SUBSTITUTE(E2241,"°","º"))-1)),-1),IF(LEFT(E2241,6)="TÉRREO",0,IFERROR(VALUE(LEFT(E2241,FIND("º",SUBSTITUTE(E2241,"°","º"))-1)),""))))</f>
        <v>31</v>
      </c>
      <c r="O2241" s="2" t="str">
        <f aca="false">IF(OR(F2241="",G2241=""),"",IF(G2241&lt;='RETRATO 2027'!$K$5,"CONCLUÍDA",IF(F2241&lt;='RETRATO 2027'!$K$5,"EM ANDAMENTO","A INICIAR")))</f>
        <v>A INICIAR</v>
      </c>
    </row>
    <row r="2242" customFormat="false" ht="15" hidden="false" customHeight="false" outlineLevel="0" collapsed="false">
      <c r="B2242" s="4" t="n">
        <v>29980604</v>
      </c>
      <c r="C2242" s="4" t="s">
        <v>2578</v>
      </c>
      <c r="D2242" s="4" t="s">
        <v>463</v>
      </c>
      <c r="E2242" s="4" t="s">
        <v>2844</v>
      </c>
      <c r="F2242" s="127" t="n">
        <v>47106</v>
      </c>
      <c r="G2242" s="127" t="n">
        <v>47126</v>
      </c>
      <c r="H2242" s="127" t="n">
        <v>46289</v>
      </c>
      <c r="I2242" s="4" t="n">
        <v>0</v>
      </c>
      <c r="J2242" s="4" t="n">
        <v>0</v>
      </c>
      <c r="K2242" s="4" t="n">
        <v>0</v>
      </c>
      <c r="M2242" s="2" t="str">
        <f aca="false">IF(C2242="","",IFERROR(INDEX($S$5:$S$304,MATCH(C2242,$R$5:$R$304,0))&amp;"","?"))</f>
        <v>25</v>
      </c>
      <c r="N2242" s="2" t="n">
        <f aca="false">IF(E2242="","",IF(ISNUMBER(SEARCH("SUBSOLO",E2242)),IFERROR(-VALUE(LEFT(E2242,FIND("º",SUBSTITUTE(E2242,"°","º"))-1)),-1),IF(LEFT(E2242,6)="TÉRREO",0,IFERROR(VALUE(LEFT(E2242,FIND("º",SUBSTITUTE(E2242,"°","º"))-1)),""))))</f>
        <v>32</v>
      </c>
      <c r="O2242" s="2" t="str">
        <f aca="false">IF(OR(F2242="",G2242=""),"",IF(G2242&lt;='RETRATO 2027'!$K$5,"CONCLUÍDA",IF(F2242&lt;='RETRATO 2027'!$K$5,"EM ANDAMENTO","A INICIAR")))</f>
        <v>A INICIAR</v>
      </c>
    </row>
    <row r="2243" customFormat="false" ht="15" hidden="false" customHeight="false" outlineLevel="0" collapsed="false">
      <c r="B2243" s="4" t="n">
        <v>30171533</v>
      </c>
      <c r="C2243" s="4" t="s">
        <v>2629</v>
      </c>
      <c r="D2243" s="4" t="s">
        <v>463</v>
      </c>
      <c r="E2243" s="4" t="s">
        <v>2857</v>
      </c>
      <c r="F2243" s="127" t="n">
        <v>47108</v>
      </c>
      <c r="G2243" s="127" t="n">
        <v>47129</v>
      </c>
      <c r="H2243" s="127" t="n">
        <v>46289</v>
      </c>
      <c r="I2243" s="4" t="n">
        <v>0</v>
      </c>
      <c r="J2243" s="4" t="n">
        <v>0</v>
      </c>
      <c r="K2243" s="4" t="n">
        <v>0</v>
      </c>
      <c r="M2243" s="2" t="str">
        <f aca="false">IF(C2243="","",IFERROR(INDEX($S$5:$S$304,MATCH(C2243,$R$5:$R$304,0))&amp;"","?"))</f>
        <v>20</v>
      </c>
      <c r="N2243" s="2" t="str">
        <f aca="false"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 t="str">
        <f aca="false">IF(OR(F2243="",G2243=""),"",IF(G2243&lt;='RETRATO 2027'!$K$5,"CONCLUÍDA",IF(F2243&lt;='RETRATO 2027'!$K$5,"EM ANDAMENTO","A INICIAR")))</f>
        <v>A INICIAR</v>
      </c>
    </row>
    <row r="2244" customFormat="false" ht="15" hidden="false" customHeight="false" outlineLevel="0" collapsed="false">
      <c r="B2244" s="4" t="n">
        <v>29981522</v>
      </c>
      <c r="C2244" s="4" t="s">
        <v>2732</v>
      </c>
      <c r="D2244" s="4" t="s">
        <v>463</v>
      </c>
      <c r="E2244" s="4" t="s">
        <v>2804</v>
      </c>
      <c r="F2244" s="127" t="n">
        <v>47108</v>
      </c>
      <c r="G2244" s="127" t="n">
        <v>47128</v>
      </c>
      <c r="H2244" s="127" t="n">
        <v>46289</v>
      </c>
      <c r="I2244" s="4" t="n">
        <v>0</v>
      </c>
      <c r="J2244" s="4" t="n">
        <v>0</v>
      </c>
      <c r="K2244" s="4" t="n">
        <v>0</v>
      </c>
      <c r="M2244" s="2" t="str">
        <f aca="false">IF(C2244="","",IFERROR(INDEX($S$5:$S$304,MATCH(C2244,$R$5:$R$304,0))&amp;"","?"))</f>
        <v/>
      </c>
      <c r="N2244" s="2" t="n">
        <f aca="false">IF(E2244="","",IF(ISNUMBER(SEARCH("SUBSOLO",E2244)),IFERROR(-VALUE(LEFT(E2244,FIND("º",SUBSTITUTE(E2244,"°","º"))-1)),-1),IF(LEFT(E2244,6)="TÉRREO",0,IFERROR(VALUE(LEFT(E2244,FIND("º",SUBSTITUTE(E2244,"°","º"))-1)),""))))</f>
        <v>8</v>
      </c>
      <c r="O2244" s="2" t="str">
        <f aca="false">IF(OR(F2244="",G2244=""),"",IF(G2244&lt;='RETRATO 2027'!$K$5,"CONCLUÍDA",IF(F2244&lt;='RETRATO 2027'!$K$5,"EM ANDAMENTO","A INICIAR")))</f>
        <v>A INICIAR</v>
      </c>
    </row>
    <row r="2245" customFormat="false" ht="15" hidden="false" customHeight="false" outlineLevel="0" collapsed="false">
      <c r="B2245" s="4" t="n">
        <v>30171451</v>
      </c>
      <c r="C2245" s="4" t="s">
        <v>2674</v>
      </c>
      <c r="D2245" s="4" t="s">
        <v>463</v>
      </c>
      <c r="E2245" s="4" t="s">
        <v>2790</v>
      </c>
      <c r="F2245" s="127" t="n">
        <v>47109</v>
      </c>
      <c r="G2245" s="127" t="n">
        <v>47130</v>
      </c>
      <c r="H2245" s="127" t="n">
        <v>46289</v>
      </c>
      <c r="I2245" s="4" t="n">
        <v>0</v>
      </c>
      <c r="J2245" s="4" t="n">
        <v>0</v>
      </c>
      <c r="K2245" s="4" t="n">
        <v>0</v>
      </c>
      <c r="M2245" s="2" t="str">
        <f aca="false">IF(C2245="","",IFERROR(INDEX($S$5:$S$304,MATCH(C2245,$R$5:$R$304,0))&amp;"","?"))</f>
        <v>35</v>
      </c>
      <c r="N2245" s="2" t="n">
        <f aca="false">IF(E2245="","",IF(ISNUMBER(SEARCH("SUBSOLO",E2245)),IFERROR(-VALUE(LEFT(E2245,FIND("º",SUBSTITUTE(E2245,"°","º"))-1)),-1),IF(LEFT(E2245,6)="TÉRREO",0,IFERROR(VALUE(LEFT(E2245,FIND("º",SUBSTITUTE(E2245,"°","º"))-1)),""))))</f>
        <v>3</v>
      </c>
      <c r="O2245" s="2" t="str">
        <f aca="false">IF(OR(F2245="",G2245=""),"",IF(G2245&lt;='RETRATO 2027'!$K$5,"CONCLUÍDA",IF(F2245&lt;='RETRATO 2027'!$K$5,"EM ANDAMENTO","A INICIAR")))</f>
        <v>A INICIAR</v>
      </c>
    </row>
    <row r="2246" customFormat="false" ht="15" hidden="false" customHeight="false" outlineLevel="0" collapsed="false">
      <c r="B2246" s="4" t="n">
        <v>30171419</v>
      </c>
      <c r="C2246" s="4" t="s">
        <v>2629</v>
      </c>
      <c r="D2246" s="4" t="s">
        <v>463</v>
      </c>
      <c r="E2246" s="4" t="s">
        <v>2800</v>
      </c>
      <c r="F2246" s="127" t="n">
        <v>47109</v>
      </c>
      <c r="G2246" s="127" t="n">
        <v>47130</v>
      </c>
      <c r="H2246" s="127" t="n">
        <v>46289</v>
      </c>
      <c r="I2246" s="4" t="n">
        <v>0</v>
      </c>
      <c r="J2246" s="4" t="n">
        <v>0</v>
      </c>
      <c r="K2246" s="4" t="n">
        <v>0</v>
      </c>
      <c r="M2246" s="2" t="str">
        <f aca="false">IF(C2246="","",IFERROR(INDEX($S$5:$S$304,MATCH(C2246,$R$5:$R$304,0))&amp;"","?"))</f>
        <v>20</v>
      </c>
      <c r="N2246" s="2" t="n">
        <f aca="false">IF(E2246="","",IF(ISNUMBER(SEARCH("SUBSOLO",E2246)),IFERROR(-VALUE(LEFT(E2246,FIND("º",SUBSTITUTE(E2246,"°","º"))-1)),-1),IF(LEFT(E2246,6)="TÉRREO",0,IFERROR(VALUE(LEFT(E2246,FIND("º",SUBSTITUTE(E2246,"°","º"))-1)),""))))</f>
        <v>4</v>
      </c>
      <c r="O2246" s="2" t="str">
        <f aca="false">IF(OR(F2246="",G2246=""),"",IF(G2246&lt;='RETRATO 2027'!$K$5,"CONCLUÍDA",IF(F2246&lt;='RETRATO 2027'!$K$5,"EM ANDAMENTO","A INICIAR")))</f>
        <v>A INICIAR</v>
      </c>
    </row>
    <row r="2247" customFormat="false" ht="15" hidden="false" customHeight="false" outlineLevel="0" collapsed="false">
      <c r="B2247" s="4" t="n">
        <v>30171418</v>
      </c>
      <c r="C2247" s="4" t="s">
        <v>2653</v>
      </c>
      <c r="D2247" s="4" t="s">
        <v>463</v>
      </c>
      <c r="E2247" s="4" t="s">
        <v>2800</v>
      </c>
      <c r="F2247" s="127" t="n">
        <v>47109</v>
      </c>
      <c r="G2247" s="127" t="n">
        <v>47144</v>
      </c>
      <c r="H2247" s="127" t="n">
        <v>46289</v>
      </c>
      <c r="I2247" s="4" t="n">
        <v>0</v>
      </c>
      <c r="J2247" s="4" t="n">
        <v>0</v>
      </c>
      <c r="K2247" s="4" t="n">
        <v>0</v>
      </c>
      <c r="M2247" s="2" t="str">
        <f aca="false">IF(C2247="","",IFERROR(INDEX($S$5:$S$304,MATCH(C2247,$R$5:$R$304,0))&amp;"","?"))</f>
        <v>31</v>
      </c>
      <c r="N2247" s="2" t="n">
        <f aca="false">IF(E2247="","",IF(ISNUMBER(SEARCH("SUBSOLO",E2247)),IFERROR(-VALUE(LEFT(E2247,FIND("º",SUBSTITUTE(E2247,"°","º"))-1)),-1),IF(LEFT(E2247,6)="TÉRREO",0,IFERROR(VALUE(LEFT(E2247,FIND("º",SUBSTITUTE(E2247,"°","º"))-1)),""))))</f>
        <v>4</v>
      </c>
      <c r="O2247" s="2" t="str">
        <f aca="false">IF(OR(F2247="",G2247=""),"",IF(G2247&lt;='RETRATO 2027'!$K$5,"CONCLUÍDA",IF(F2247&lt;='RETRATO 2027'!$K$5,"EM ANDAMENTO","A INICIAR")))</f>
        <v>A INICIAR</v>
      </c>
    </row>
    <row r="2248" customFormat="false" ht="15" hidden="false" customHeight="false" outlineLevel="0" collapsed="false">
      <c r="B2248" s="4" t="n">
        <v>30171430</v>
      </c>
      <c r="C2248" s="4" t="s">
        <v>2655</v>
      </c>
      <c r="D2248" s="4" t="s">
        <v>463</v>
      </c>
      <c r="E2248" s="4" t="s">
        <v>2800</v>
      </c>
      <c r="F2248" s="127" t="n">
        <v>47109</v>
      </c>
      <c r="G2248" s="127" t="n">
        <v>47130</v>
      </c>
      <c r="H2248" s="127" t="n">
        <v>46289</v>
      </c>
      <c r="I2248" s="4" t="n">
        <v>0</v>
      </c>
      <c r="J2248" s="4" t="n">
        <v>0</v>
      </c>
      <c r="K2248" s="4" t="n">
        <v>0</v>
      </c>
      <c r="M2248" s="2" t="str">
        <f aca="false">IF(C2248="","",IFERROR(INDEX($S$5:$S$304,MATCH(C2248,$R$5:$R$304,0))&amp;"","?"))</f>
        <v>34</v>
      </c>
      <c r="N2248" s="2" t="n">
        <f aca="false">IF(E2248="","",IF(ISNUMBER(SEARCH("SUBSOLO",E2248)),IFERROR(-VALUE(LEFT(E2248,FIND("º",SUBSTITUTE(E2248,"°","º"))-1)),-1),IF(LEFT(E2248,6)="TÉRREO",0,IFERROR(VALUE(LEFT(E2248,FIND("º",SUBSTITUTE(E2248,"°","º"))-1)),""))))</f>
        <v>4</v>
      </c>
      <c r="O2248" s="2" t="str">
        <f aca="false">IF(OR(F2248="",G2248=""),"",IF(G2248&lt;='RETRATO 2027'!$K$5,"CONCLUÍDA",IF(F2248&lt;='RETRATO 2027'!$K$5,"EM ANDAMENTO","A INICIAR")))</f>
        <v>A INICIAR</v>
      </c>
    </row>
    <row r="2249" customFormat="false" ht="15" hidden="false" customHeight="false" outlineLevel="0" collapsed="false">
      <c r="B2249" s="4" t="n">
        <v>30171431</v>
      </c>
      <c r="C2249" s="4" t="s">
        <v>2656</v>
      </c>
      <c r="D2249" s="4" t="s">
        <v>463</v>
      </c>
      <c r="E2249" s="4" t="s">
        <v>2800</v>
      </c>
      <c r="F2249" s="127" t="n">
        <v>47109</v>
      </c>
      <c r="G2249" s="127" t="n">
        <v>47130</v>
      </c>
      <c r="H2249" s="127" t="n">
        <v>46289</v>
      </c>
      <c r="I2249" s="4" t="n">
        <v>0</v>
      </c>
      <c r="J2249" s="4" t="n">
        <v>0</v>
      </c>
      <c r="K2249" s="4" t="n">
        <v>0</v>
      </c>
      <c r="M2249" s="2" t="str">
        <f aca="false">IF(C2249="","",IFERROR(INDEX($S$5:$S$304,MATCH(C2249,$R$5:$R$304,0))&amp;"","?"))</f>
        <v>20</v>
      </c>
      <c r="N2249" s="2" t="n">
        <f aca="false">IF(E2249="","",IF(ISNUMBER(SEARCH("SUBSOLO",E2249)),IFERROR(-VALUE(LEFT(E2249,FIND("º",SUBSTITUTE(E2249,"°","º"))-1)),-1),IF(LEFT(E2249,6)="TÉRREO",0,IFERROR(VALUE(LEFT(E2249,FIND("º",SUBSTITUTE(E2249,"°","º"))-1)),""))))</f>
        <v>4</v>
      </c>
      <c r="O2249" s="2" t="str">
        <f aca="false">IF(OR(F2249="",G2249=""),"",IF(G2249&lt;='RETRATO 2027'!$K$5,"CONCLUÍDA",IF(F2249&lt;='RETRATO 2027'!$K$5,"EM ANDAMENTO","A INICIAR")))</f>
        <v>A INICIAR</v>
      </c>
    </row>
    <row r="2250" customFormat="false" ht="15" hidden="false" customHeight="false" outlineLevel="0" collapsed="false">
      <c r="B2250" s="4" t="n">
        <v>30171434</v>
      </c>
      <c r="C2250" s="4" t="s">
        <v>2581</v>
      </c>
      <c r="D2250" s="4" t="s">
        <v>463</v>
      </c>
      <c r="E2250" s="4" t="s">
        <v>2800</v>
      </c>
      <c r="F2250" s="127" t="n">
        <v>47109</v>
      </c>
      <c r="G2250" s="127" t="n">
        <v>47130</v>
      </c>
      <c r="H2250" s="127" t="n">
        <v>46289</v>
      </c>
      <c r="I2250" s="4" t="n">
        <v>0</v>
      </c>
      <c r="J2250" s="4" t="n">
        <v>0</v>
      </c>
      <c r="K2250" s="4" t="n">
        <v>0</v>
      </c>
      <c r="M2250" s="2" t="str">
        <f aca="false">IF(C2250="","",IFERROR(INDEX($S$5:$S$304,MATCH(C2250,$R$5:$R$304,0))&amp;"","?"))</f>
        <v/>
      </c>
      <c r="N2250" s="2" t="n">
        <f aca="false">IF(E2250="","",IF(ISNUMBER(SEARCH("SUBSOLO",E2250)),IFERROR(-VALUE(LEFT(E2250,FIND("º",SUBSTITUTE(E2250,"°","º"))-1)),-1),IF(LEFT(E2250,6)="TÉRREO",0,IFERROR(VALUE(LEFT(E2250,FIND("º",SUBSTITUTE(E2250,"°","º"))-1)),""))))</f>
        <v>4</v>
      </c>
      <c r="O2250" s="2" t="str">
        <f aca="false">IF(OR(F2250="",G2250=""),"",IF(G2250&lt;='RETRATO 2027'!$K$5,"CONCLUÍDA",IF(F2250&lt;='RETRATO 2027'!$K$5,"EM ANDAMENTO","A INICIAR")))</f>
        <v>A INICIAR</v>
      </c>
    </row>
    <row r="2251" customFormat="false" ht="15" hidden="false" customHeight="false" outlineLevel="0" collapsed="false">
      <c r="B2251" s="4" t="n">
        <v>30171389</v>
      </c>
      <c r="C2251" s="4" t="s">
        <v>2631</v>
      </c>
      <c r="D2251" s="4" t="s">
        <v>463</v>
      </c>
      <c r="E2251" s="4" t="s">
        <v>2801</v>
      </c>
      <c r="F2251" s="127" t="n">
        <v>47109</v>
      </c>
      <c r="G2251" s="127" t="n">
        <v>47144</v>
      </c>
      <c r="H2251" s="127" t="n">
        <v>46289</v>
      </c>
      <c r="I2251" s="4" t="n">
        <v>0</v>
      </c>
      <c r="J2251" s="4" t="n">
        <v>0</v>
      </c>
      <c r="K2251" s="4" t="n">
        <v>0</v>
      </c>
      <c r="M2251" s="2" t="str">
        <f aca="false">IF(C2251="","",IFERROR(INDEX($S$5:$S$304,MATCH(C2251,$R$5:$R$304,0))&amp;"","?"))</f>
        <v>35</v>
      </c>
      <c r="N2251" s="2" t="n">
        <f aca="false">IF(E2251="","",IF(ISNUMBER(SEARCH("SUBSOLO",E2251)),IFERROR(-VALUE(LEFT(E2251,FIND("º",SUBSTITUTE(E2251,"°","º"))-1)),-1),IF(LEFT(E2251,6)="TÉRREO",0,IFERROR(VALUE(LEFT(E2251,FIND("º",SUBSTITUTE(E2251,"°","º"))-1)),""))))</f>
        <v>5</v>
      </c>
      <c r="O2251" s="2" t="str">
        <f aca="false">IF(OR(F2251="",G2251=""),"",IF(G2251&lt;='RETRATO 2027'!$K$5,"CONCLUÍDA",IF(F2251&lt;='RETRATO 2027'!$K$5,"EM ANDAMENTO","A INICIAR")))</f>
        <v>A INICIAR</v>
      </c>
    </row>
    <row r="2252" customFormat="false" ht="15" hidden="false" customHeight="false" outlineLevel="0" collapsed="false">
      <c r="B2252" s="4" t="n">
        <v>30206004</v>
      </c>
      <c r="C2252" s="4" t="s">
        <v>2637</v>
      </c>
      <c r="D2252" s="4" t="s">
        <v>463</v>
      </c>
      <c r="E2252" s="4" t="s">
        <v>2849</v>
      </c>
      <c r="F2252" s="127" t="n">
        <v>47120</v>
      </c>
      <c r="G2252" s="127" t="n">
        <v>47126</v>
      </c>
      <c r="H2252" s="127" t="n">
        <v>46289</v>
      </c>
      <c r="I2252" s="4" t="n">
        <v>0</v>
      </c>
      <c r="J2252" s="4" t="n">
        <v>0</v>
      </c>
      <c r="K2252" s="4" t="n">
        <v>0</v>
      </c>
      <c r="M2252" s="2" t="str">
        <f aca="false">IF(C2252="","",IFERROR(INDEX($S$5:$S$304,MATCH(C2252,$R$5:$R$304,0))&amp;"","?"))</f>
        <v/>
      </c>
      <c r="N2252" s="2" t="n">
        <f aca="false">IF(E2252="","",IF(ISNUMBER(SEARCH("SUBSOLO",E2252)),IFERROR(-VALUE(LEFT(E2252,FIND("º",SUBSTITUTE(E2252,"°","º"))-1)),-1),IF(LEFT(E2252,6)="TÉRREO",0,IFERROR(VALUE(LEFT(E2252,FIND("º",SUBSTITUTE(E2252,"°","º"))-1)),""))))</f>
        <v>6</v>
      </c>
      <c r="O2252" s="2" t="str">
        <f aca="false">IF(OR(F2252="",G2252=""),"",IF(G2252&lt;='RETRATO 2027'!$K$5,"CONCLUÍDA",IF(F2252&lt;='RETRATO 2027'!$K$5,"EM ANDAMENTO","A INICIAR")))</f>
        <v>A INICIAR</v>
      </c>
    </row>
    <row r="2253" customFormat="false" ht="15" hidden="false" customHeight="false" outlineLevel="0" collapsed="false">
      <c r="B2253" s="4" t="n">
        <v>29981485</v>
      </c>
      <c r="C2253" s="4" t="s">
        <v>2732</v>
      </c>
      <c r="D2253" s="4" t="s">
        <v>463</v>
      </c>
      <c r="E2253" s="4" t="s">
        <v>2805</v>
      </c>
      <c r="F2253" s="127" t="n">
        <v>47121</v>
      </c>
      <c r="G2253" s="127" t="n">
        <v>47133</v>
      </c>
      <c r="H2253" s="127" t="n">
        <v>46289</v>
      </c>
      <c r="I2253" s="4" t="n">
        <v>0</v>
      </c>
      <c r="J2253" s="4" t="n">
        <v>0</v>
      </c>
      <c r="K2253" s="4" t="n">
        <v>0</v>
      </c>
      <c r="M2253" s="2" t="str">
        <f aca="false">IF(C2253="","",IFERROR(INDEX($S$5:$S$304,MATCH(C2253,$R$5:$R$304,0))&amp;"","?"))</f>
        <v/>
      </c>
      <c r="N2253" s="2" t="n">
        <f aca="false">IF(E2253="","",IF(ISNUMBER(SEARCH("SUBSOLO",E2253)),IFERROR(-VALUE(LEFT(E2253,FIND("º",SUBSTITUTE(E2253,"°","º"))-1)),-1),IF(LEFT(E2253,6)="TÉRREO",0,IFERROR(VALUE(LEFT(E2253,FIND("º",SUBSTITUTE(E2253,"°","º"))-1)),""))))</f>
        <v>9</v>
      </c>
      <c r="O2253" s="2" t="str">
        <f aca="false">IF(OR(F2253="",G2253=""),"",IF(G2253&lt;='RETRATO 2027'!$K$5,"CONCLUÍDA",IF(F2253&lt;='RETRATO 2027'!$K$5,"EM ANDAMENTO","A INICIAR")))</f>
        <v>A INICIAR</v>
      </c>
    </row>
    <row r="2254" customFormat="false" ht="15" hidden="false" customHeight="false" outlineLevel="0" collapsed="false">
      <c r="B2254" s="4" t="n">
        <v>29980884</v>
      </c>
      <c r="C2254" s="4" t="s">
        <v>2649</v>
      </c>
      <c r="D2254" s="4" t="s">
        <v>463</v>
      </c>
      <c r="E2254" s="4" t="s">
        <v>2833</v>
      </c>
      <c r="F2254" s="127" t="n">
        <v>47121</v>
      </c>
      <c r="G2254" s="127" t="n">
        <v>47133</v>
      </c>
      <c r="H2254" s="127" t="n">
        <v>46289</v>
      </c>
      <c r="I2254" s="4" t="n">
        <v>0</v>
      </c>
      <c r="J2254" s="4" t="n">
        <v>0</v>
      </c>
      <c r="K2254" s="4" t="n">
        <v>0</v>
      </c>
      <c r="M2254" s="2" t="str">
        <f aca="false">IF(C2254="","",IFERROR(INDEX($S$5:$S$304,MATCH(C2254,$R$5:$R$304,0))&amp;"","?"))</f>
        <v>37</v>
      </c>
      <c r="N2254" s="2" t="n">
        <f aca="false">IF(E2254="","",IF(ISNUMBER(SEARCH("SUBSOLO",E2254)),IFERROR(-VALUE(LEFT(E2254,FIND("º",SUBSTITUTE(E2254,"°","º"))-1)),-1),IF(LEFT(E2254,6)="TÉRREO",0,IFERROR(VALUE(LEFT(E2254,FIND("º",SUBSTITUTE(E2254,"°","º"))-1)),""))))</f>
        <v>25</v>
      </c>
      <c r="O2254" s="2" t="str">
        <f aca="false">IF(OR(F2254="",G2254=""),"",IF(G2254&lt;='RETRATO 2027'!$K$5,"CONCLUÍDA",IF(F2254&lt;='RETRATO 2027'!$K$5,"EM ANDAMENTO","A INICIAR")))</f>
        <v>A INICIAR</v>
      </c>
    </row>
    <row r="2255" customFormat="false" ht="15" hidden="false" customHeight="false" outlineLevel="0" collapsed="false">
      <c r="B2255" s="4" t="n">
        <v>29980837</v>
      </c>
      <c r="C2255" s="4" t="s">
        <v>2641</v>
      </c>
      <c r="D2255" s="4" t="s">
        <v>463</v>
      </c>
      <c r="E2255" s="4" t="s">
        <v>2834</v>
      </c>
      <c r="F2255" s="127" t="n">
        <v>47121</v>
      </c>
      <c r="G2255" s="127" t="n">
        <v>47133</v>
      </c>
      <c r="H2255" s="127" t="n">
        <v>46289</v>
      </c>
      <c r="I2255" s="4" t="n">
        <v>0</v>
      </c>
      <c r="J2255" s="4" t="n">
        <v>0</v>
      </c>
      <c r="K2255" s="4" t="n">
        <v>0</v>
      </c>
      <c r="M2255" s="2" t="str">
        <f aca="false">IF(C2255="","",IFERROR(INDEX($S$5:$S$304,MATCH(C2255,$R$5:$R$304,0))&amp;"","?"))</f>
        <v>35</v>
      </c>
      <c r="N2255" s="2" t="n">
        <f aca="false">IF(E2255="","",IF(ISNUMBER(SEARCH("SUBSOLO",E2255)),IFERROR(-VALUE(LEFT(E2255,FIND("º",SUBSTITUTE(E2255,"°","º"))-1)),-1),IF(LEFT(E2255,6)="TÉRREO",0,IFERROR(VALUE(LEFT(E2255,FIND("º",SUBSTITUTE(E2255,"°","º"))-1)),""))))</f>
        <v>26</v>
      </c>
      <c r="O2255" s="2" t="str">
        <f aca="false">IF(OR(F2255="",G2255=""),"",IF(G2255&lt;='RETRATO 2027'!$K$5,"CONCLUÍDA",IF(F2255&lt;='RETRATO 2027'!$K$5,"EM ANDAMENTO","A INICIAR")))</f>
        <v>A INICIAR</v>
      </c>
    </row>
    <row r="2256" customFormat="false" ht="15" hidden="false" customHeight="false" outlineLevel="0" collapsed="false">
      <c r="B2256" s="4" t="n">
        <v>29981085</v>
      </c>
      <c r="C2256" s="4" t="s">
        <v>2578</v>
      </c>
      <c r="D2256" s="4" t="s">
        <v>463</v>
      </c>
      <c r="E2256" s="4" t="s">
        <v>2822</v>
      </c>
      <c r="F2256" s="127" t="n">
        <v>47122</v>
      </c>
      <c r="G2256" s="127" t="n">
        <v>47130</v>
      </c>
      <c r="H2256" s="127" t="n">
        <v>46289</v>
      </c>
      <c r="I2256" s="4" t="n">
        <v>0</v>
      </c>
      <c r="J2256" s="4" t="n">
        <v>0</v>
      </c>
      <c r="K2256" s="4" t="n">
        <v>0</v>
      </c>
      <c r="M2256" s="2" t="str">
        <f aca="false">IF(C2256="","",IFERROR(INDEX($S$5:$S$304,MATCH(C2256,$R$5:$R$304,0))&amp;"","?"))</f>
        <v>25</v>
      </c>
      <c r="N2256" s="2" t="n">
        <f aca="false">IF(E2256="","",IF(ISNUMBER(SEARCH("SUBSOLO",E2256)),IFERROR(-VALUE(LEFT(E2256,FIND("º",SUBSTITUTE(E2256,"°","º"))-1)),-1),IF(LEFT(E2256,6)="TÉRREO",0,IFERROR(VALUE(LEFT(E2256,FIND("º",SUBSTITUTE(E2256,"°","º"))-1)),""))))</f>
        <v>19</v>
      </c>
      <c r="O2256" s="2" t="str">
        <f aca="false">IF(OR(F2256="",G2256=""),"",IF(G2256&lt;='RETRATO 2027'!$K$5,"CONCLUÍDA",IF(F2256&lt;='RETRATO 2027'!$K$5,"EM ANDAMENTO","A INICIAR")))</f>
        <v>A INICIAR</v>
      </c>
    </row>
    <row r="2257" customFormat="false" ht="15" hidden="false" customHeight="false" outlineLevel="0" collapsed="false">
      <c r="B2257" s="4" t="n">
        <v>33807238</v>
      </c>
      <c r="C2257" s="4" t="s">
        <v>2738</v>
      </c>
      <c r="D2257" s="4" t="s">
        <v>463</v>
      </c>
      <c r="E2257" s="4" t="s">
        <v>2803</v>
      </c>
      <c r="F2257" s="127" t="n">
        <v>47126</v>
      </c>
      <c r="G2257" s="127" t="n">
        <v>47128</v>
      </c>
      <c r="H2257" s="127" t="n">
        <v>46289</v>
      </c>
      <c r="I2257" s="4" t="n">
        <v>0</v>
      </c>
      <c r="J2257" s="4" t="n">
        <v>0</v>
      </c>
      <c r="K2257" s="4" t="n">
        <v>0</v>
      </c>
      <c r="M2257" s="2" t="str">
        <f aca="false">IF(C2257="","",IFERROR(INDEX($S$5:$S$304,MATCH(C2257,$R$5:$R$304,0))&amp;"","?"))</f>
        <v/>
      </c>
      <c r="N2257" s="2" t="n">
        <f aca="false">IF(E2257="","",IF(ISNUMBER(SEARCH("SUBSOLO",E2257)),IFERROR(-VALUE(LEFT(E2257,FIND("º",SUBSTITUTE(E2257,"°","º"))-1)),-1),IF(LEFT(E2257,6)="TÉRREO",0,IFERROR(VALUE(LEFT(E2257,FIND("º",SUBSTITUTE(E2257,"°","º"))-1)),""))))</f>
        <v>7</v>
      </c>
      <c r="O2257" s="2" t="str">
        <f aca="false">IF(OR(F2257="",G2257=""),"",IF(G2257&lt;='RETRATO 2027'!$K$5,"CONCLUÍDA",IF(F2257&lt;='RETRATO 2027'!$K$5,"EM ANDAMENTO","A INICIAR")))</f>
        <v>A INICIAR</v>
      </c>
    </row>
    <row r="2258" customFormat="false" ht="15" hidden="false" customHeight="false" outlineLevel="0" collapsed="false">
      <c r="B2258" s="4" t="n">
        <v>29981448</v>
      </c>
      <c r="C2258" s="4" t="s">
        <v>2732</v>
      </c>
      <c r="D2258" s="4" t="s">
        <v>463</v>
      </c>
      <c r="E2258" s="4" t="s">
        <v>2809</v>
      </c>
      <c r="F2258" s="127" t="n">
        <v>47126</v>
      </c>
      <c r="G2258" s="127" t="n">
        <v>47136</v>
      </c>
      <c r="H2258" s="127" t="n">
        <v>46289</v>
      </c>
      <c r="I2258" s="4" t="n">
        <v>0</v>
      </c>
      <c r="J2258" s="4" t="n">
        <v>0</v>
      </c>
      <c r="K2258" s="4" t="n">
        <v>0</v>
      </c>
      <c r="M2258" s="2" t="str">
        <f aca="false">IF(C2258="","",IFERROR(INDEX($S$5:$S$304,MATCH(C2258,$R$5:$R$304,0))&amp;"","?"))</f>
        <v/>
      </c>
      <c r="N2258" s="2" t="n">
        <f aca="false">IF(E2258="","",IF(ISNUMBER(SEARCH("SUBSOLO",E2258)),IFERROR(-VALUE(LEFT(E2258,FIND("º",SUBSTITUTE(E2258,"°","º"))-1)),-1),IF(LEFT(E2258,6)="TÉRREO",0,IFERROR(VALUE(LEFT(E2258,FIND("º",SUBSTITUTE(E2258,"°","º"))-1)),""))))</f>
        <v>10</v>
      </c>
      <c r="O2258" s="2" t="str">
        <f aca="false">IF(OR(F2258="",G2258=""),"",IF(G2258&lt;='RETRATO 2027'!$K$5,"CONCLUÍDA",IF(F2258&lt;='RETRATO 2027'!$K$5,"EM ANDAMENTO","A INICIAR")))</f>
        <v>A INICIAR</v>
      </c>
    </row>
    <row r="2259" customFormat="false" ht="15" hidden="false" customHeight="false" outlineLevel="0" collapsed="false">
      <c r="B2259" s="4" t="n">
        <v>30206095</v>
      </c>
      <c r="C2259" s="4" t="s">
        <v>2732</v>
      </c>
      <c r="D2259" s="4" t="s">
        <v>463</v>
      </c>
      <c r="E2259" s="4" t="s">
        <v>2847</v>
      </c>
      <c r="F2259" s="127" t="n">
        <v>47127</v>
      </c>
      <c r="G2259" s="127" t="n">
        <v>47140</v>
      </c>
      <c r="H2259" s="127" t="n">
        <v>46289</v>
      </c>
      <c r="I2259" s="4" t="n">
        <v>0</v>
      </c>
      <c r="J2259" s="4" t="n">
        <v>0</v>
      </c>
      <c r="K2259" s="4" t="n">
        <v>0</v>
      </c>
      <c r="M2259" s="2" t="str">
        <f aca="false">IF(C2259="","",IFERROR(INDEX($S$5:$S$304,MATCH(C2259,$R$5:$R$304,0))&amp;"","?"))</f>
        <v/>
      </c>
      <c r="N2259" s="2" t="n">
        <f aca="false">IF(E2259="","",IF(ISNUMBER(SEARCH("SUBSOLO",E2259)),IFERROR(-VALUE(LEFT(E2259,FIND("º",SUBSTITUTE(E2259,"°","º"))-1)),-1),IF(LEFT(E2259,6)="TÉRREO",0,IFERROR(VALUE(LEFT(E2259,FIND("º",SUBSTITUTE(E2259,"°","º"))-1)),""))))</f>
        <v>6</v>
      </c>
      <c r="O2259" s="2" t="str">
        <f aca="false">IF(OR(F2259="",G2259=""),"",IF(G2259&lt;='RETRATO 2027'!$K$5,"CONCLUÍDA",IF(F2259&lt;='RETRATO 2027'!$K$5,"EM ANDAMENTO","A INICIAR")))</f>
        <v>A INICIAR</v>
      </c>
    </row>
    <row r="2260" customFormat="false" ht="15" hidden="false" customHeight="false" outlineLevel="0" collapsed="false">
      <c r="B2260" s="4" t="n">
        <v>30206052</v>
      </c>
      <c r="C2260" s="4" t="s">
        <v>2649</v>
      </c>
      <c r="D2260" s="4" t="s">
        <v>463</v>
      </c>
      <c r="E2260" s="4" t="s">
        <v>2848</v>
      </c>
      <c r="F2260" s="127" t="n">
        <v>47127</v>
      </c>
      <c r="G2260" s="127" t="n">
        <v>47140</v>
      </c>
      <c r="H2260" s="127" t="n">
        <v>46289</v>
      </c>
      <c r="I2260" s="4" t="n">
        <v>0</v>
      </c>
      <c r="J2260" s="4" t="n">
        <v>0</v>
      </c>
      <c r="K2260" s="4" t="n">
        <v>0</v>
      </c>
      <c r="M2260" s="2" t="str">
        <f aca="false">IF(C2260="","",IFERROR(INDEX($S$5:$S$304,MATCH(C2260,$R$5:$R$304,0))&amp;"","?"))</f>
        <v>37</v>
      </c>
      <c r="N2260" s="2" t="n">
        <f aca="false">IF(E2260="","",IF(ISNUMBER(SEARCH("SUBSOLO",E2260)),IFERROR(-VALUE(LEFT(E2260,FIND("º",SUBSTITUTE(E2260,"°","º"))-1)),-1),IF(LEFT(E2260,6)="TÉRREO",0,IFERROR(VALUE(LEFT(E2260,FIND("º",SUBSTITUTE(E2260,"°","º"))-1)),""))))</f>
        <v>6</v>
      </c>
      <c r="O2260" s="2" t="str">
        <f aca="false">IF(OR(F2260="",G2260=""),"",IF(G2260&lt;='RETRATO 2027'!$K$5,"CONCLUÍDA",IF(F2260&lt;='RETRATO 2027'!$K$5,"EM ANDAMENTO","A INICIAR")))</f>
        <v>A INICIAR</v>
      </c>
    </row>
    <row r="2261" customFormat="false" ht="15" hidden="false" customHeight="false" outlineLevel="0" collapsed="false">
      <c r="B2261" s="4" t="n">
        <v>30206005</v>
      </c>
      <c r="C2261" s="4" t="s">
        <v>2641</v>
      </c>
      <c r="D2261" s="4" t="s">
        <v>463</v>
      </c>
      <c r="E2261" s="4" t="s">
        <v>2849</v>
      </c>
      <c r="F2261" s="127" t="n">
        <v>47127</v>
      </c>
      <c r="G2261" s="127" t="n">
        <v>47140</v>
      </c>
      <c r="H2261" s="127" t="n">
        <v>46289</v>
      </c>
      <c r="I2261" s="4" t="n">
        <v>0</v>
      </c>
      <c r="J2261" s="4" t="n">
        <v>0</v>
      </c>
      <c r="K2261" s="4" t="n">
        <v>0</v>
      </c>
      <c r="M2261" s="2" t="str">
        <f aca="false">IF(C2261="","",IFERROR(INDEX($S$5:$S$304,MATCH(C2261,$R$5:$R$304,0))&amp;"","?"))</f>
        <v>35</v>
      </c>
      <c r="N2261" s="2" t="n">
        <f aca="false">IF(E2261="","",IF(ISNUMBER(SEARCH("SUBSOLO",E2261)),IFERROR(-VALUE(LEFT(E2261,FIND("º",SUBSTITUTE(E2261,"°","º"))-1)),-1),IF(LEFT(E2261,6)="TÉRREO",0,IFERROR(VALUE(LEFT(E2261,FIND("º",SUBSTITUTE(E2261,"°","º"))-1)),""))))</f>
        <v>6</v>
      </c>
      <c r="O2261" s="2" t="str">
        <f aca="false">IF(OR(F2261="",G2261=""),"",IF(G2261&lt;='RETRATO 2027'!$K$5,"CONCLUÍDA",IF(F2261&lt;='RETRATO 2027'!$K$5,"EM ANDAMENTO","A INICIAR")))</f>
        <v>A INICIAR</v>
      </c>
    </row>
    <row r="2262" customFormat="false" ht="15" hidden="false" customHeight="false" outlineLevel="0" collapsed="false">
      <c r="B2262" s="4" t="n">
        <v>29980799</v>
      </c>
      <c r="C2262" s="4" t="s">
        <v>2637</v>
      </c>
      <c r="D2262" s="4" t="s">
        <v>463</v>
      </c>
      <c r="E2262" s="4" t="s">
        <v>2838</v>
      </c>
      <c r="F2262" s="127" t="n">
        <v>47127</v>
      </c>
      <c r="G2262" s="127" t="n">
        <v>47133</v>
      </c>
      <c r="H2262" s="127" t="n">
        <v>46289</v>
      </c>
      <c r="I2262" s="4" t="n">
        <v>0</v>
      </c>
      <c r="J2262" s="4" t="n">
        <v>0</v>
      </c>
      <c r="K2262" s="4" t="n">
        <v>0</v>
      </c>
      <c r="M2262" s="2" t="str">
        <f aca="false">IF(C2262="","",IFERROR(INDEX($S$5:$S$304,MATCH(C2262,$R$5:$R$304,0))&amp;"","?"))</f>
        <v/>
      </c>
      <c r="N2262" s="2" t="n">
        <f aca="false">IF(E2262="","",IF(ISNUMBER(SEARCH("SUBSOLO",E2262)),IFERROR(-VALUE(LEFT(E2262,FIND("º",SUBSTITUTE(E2262,"°","º"))-1)),-1),IF(LEFT(E2262,6)="TÉRREO",0,IFERROR(VALUE(LEFT(E2262,FIND("º",SUBSTITUTE(E2262,"°","º"))-1)),""))))</f>
        <v>27</v>
      </c>
      <c r="O2262" s="2" t="str">
        <f aca="false">IF(OR(F2262="",G2262=""),"",IF(G2262&lt;='RETRATO 2027'!$K$5,"CONCLUÍDA",IF(F2262&lt;='RETRATO 2027'!$K$5,"EM ANDAMENTO","A INICIAR")))</f>
        <v>A INICIAR</v>
      </c>
    </row>
    <row r="2263" customFormat="false" ht="15" hidden="false" customHeight="false" outlineLevel="0" collapsed="false">
      <c r="B2263" s="4" t="n">
        <v>29980764</v>
      </c>
      <c r="C2263" s="4" t="s">
        <v>2629</v>
      </c>
      <c r="D2263" s="4" t="s">
        <v>463</v>
      </c>
      <c r="E2263" s="4" t="s">
        <v>2840</v>
      </c>
      <c r="F2263" s="127" t="n">
        <v>47127</v>
      </c>
      <c r="G2263" s="127" t="n">
        <v>47137</v>
      </c>
      <c r="H2263" s="127" t="n">
        <v>46289</v>
      </c>
      <c r="I2263" s="4" t="n">
        <v>0</v>
      </c>
      <c r="J2263" s="4" t="n">
        <v>0</v>
      </c>
      <c r="K2263" s="4" t="n">
        <v>0</v>
      </c>
      <c r="M2263" s="2" t="str">
        <f aca="false">IF(C2263="","",IFERROR(INDEX($S$5:$S$304,MATCH(C2263,$R$5:$R$304,0))&amp;"","?"))</f>
        <v>20</v>
      </c>
      <c r="N2263" s="2" t="n">
        <f aca="false">IF(E2263="","",IF(ISNUMBER(SEARCH("SUBSOLO",E2263)),IFERROR(-VALUE(LEFT(E2263,FIND("º",SUBSTITUTE(E2263,"°","º"))-1)),-1),IF(LEFT(E2263,6)="TÉRREO",0,IFERROR(VALUE(LEFT(E2263,FIND("º",SUBSTITUTE(E2263,"°","º"))-1)),""))))</f>
        <v>28</v>
      </c>
      <c r="O2263" s="2" t="str">
        <f aca="false">IF(OR(F2263="",G2263=""),"",IF(G2263&lt;='RETRATO 2027'!$K$5,"CONCLUÍDA",IF(F2263&lt;='RETRATO 2027'!$K$5,"EM ANDAMENTO","A INICIAR")))</f>
        <v>A INICIAR</v>
      </c>
    </row>
    <row r="2264" customFormat="false" ht="15" hidden="false" customHeight="false" outlineLevel="0" collapsed="false">
      <c r="B2264" s="4" t="n">
        <v>29980724</v>
      </c>
      <c r="C2264" s="4" t="s">
        <v>2623</v>
      </c>
      <c r="D2264" s="4" t="s">
        <v>463</v>
      </c>
      <c r="E2264" s="4" t="s">
        <v>2841</v>
      </c>
      <c r="F2264" s="127" t="n">
        <v>47127</v>
      </c>
      <c r="G2264" s="127" t="n">
        <v>47137</v>
      </c>
      <c r="H2264" s="127" t="n">
        <v>46289</v>
      </c>
      <c r="I2264" s="4" t="n">
        <v>0</v>
      </c>
      <c r="J2264" s="4" t="n">
        <v>0</v>
      </c>
      <c r="K2264" s="4" t="n">
        <v>0</v>
      </c>
      <c r="M2264" s="2" t="str">
        <f aca="false">IF(C2264="","",IFERROR(INDEX($S$5:$S$304,MATCH(C2264,$R$5:$R$304,0))&amp;"","?"))</f>
        <v>35</v>
      </c>
      <c r="N2264" s="2" t="n">
        <f aca="false">IF(E2264="","",IF(ISNUMBER(SEARCH("SUBSOLO",E2264)),IFERROR(-VALUE(LEFT(E2264,FIND("º",SUBSTITUTE(E2264,"°","º"))-1)),-1),IF(LEFT(E2264,6)="TÉRREO",0,IFERROR(VALUE(LEFT(E2264,FIND("º",SUBSTITUTE(E2264,"°","º"))-1)),""))))</f>
        <v>29</v>
      </c>
      <c r="O2264" s="2" t="str">
        <f aca="false">IF(OR(F2264="",G2264=""),"",IF(G2264&lt;='RETRATO 2027'!$K$5,"CONCLUÍDA",IF(F2264&lt;='RETRATO 2027'!$K$5,"EM ANDAMENTO","A INICIAR")))</f>
        <v>A INICIAR</v>
      </c>
    </row>
    <row r="2265" customFormat="false" ht="15" hidden="false" customHeight="false" outlineLevel="0" collapsed="false">
      <c r="B2265" s="4" t="n">
        <v>33919806</v>
      </c>
      <c r="C2265" s="4" t="s">
        <v>2625</v>
      </c>
      <c r="D2265" s="4" t="s">
        <v>463</v>
      </c>
      <c r="E2265" s="4" t="s">
        <v>2841</v>
      </c>
      <c r="F2265" s="127" t="n">
        <v>47127</v>
      </c>
      <c r="G2265" s="127" t="n">
        <v>47137</v>
      </c>
      <c r="H2265" s="127" t="n">
        <v>46289</v>
      </c>
      <c r="I2265" s="4" t="n">
        <v>0</v>
      </c>
      <c r="J2265" s="4" t="n">
        <v>0</v>
      </c>
      <c r="K2265" s="4" t="n">
        <v>0</v>
      </c>
      <c r="M2265" s="2" t="str">
        <f aca="false">IF(C2265="","",IFERROR(INDEX($S$5:$S$304,MATCH(C2265,$R$5:$R$304,0))&amp;"","?"))</f>
        <v>32</v>
      </c>
      <c r="N2265" s="2" t="n">
        <f aca="false">IF(E2265="","",IF(ISNUMBER(SEARCH("SUBSOLO",E2265)),IFERROR(-VALUE(LEFT(E2265,FIND("º",SUBSTITUTE(E2265,"°","º"))-1)),-1),IF(LEFT(E2265,6)="TÉRREO",0,IFERROR(VALUE(LEFT(E2265,FIND("º",SUBSTITUTE(E2265,"°","º"))-1)),""))))</f>
        <v>29</v>
      </c>
      <c r="O2265" s="2" t="str">
        <f aca="false">IF(OR(F2265="",G2265=""),"",IF(G2265&lt;='RETRATO 2027'!$K$5,"CONCLUÍDA",IF(F2265&lt;='RETRATO 2027'!$K$5,"EM ANDAMENTO","A INICIAR")))</f>
        <v>A INICIAR</v>
      </c>
    </row>
    <row r="2266" customFormat="false" ht="15" hidden="false" customHeight="false" outlineLevel="0" collapsed="false">
      <c r="B2266" s="4" t="n">
        <v>29980686</v>
      </c>
      <c r="C2266" s="4" t="s">
        <v>2615</v>
      </c>
      <c r="D2266" s="4" t="s">
        <v>463</v>
      </c>
      <c r="E2266" s="4" t="s">
        <v>2842</v>
      </c>
      <c r="F2266" s="127" t="n">
        <v>47127</v>
      </c>
      <c r="G2266" s="127" t="n">
        <v>47137</v>
      </c>
      <c r="H2266" s="127" t="n">
        <v>46289</v>
      </c>
      <c r="I2266" s="4" t="n">
        <v>0</v>
      </c>
      <c r="J2266" s="4" t="n">
        <v>0</v>
      </c>
      <c r="K2266" s="4" t="n">
        <v>0</v>
      </c>
      <c r="M2266" s="2" t="str">
        <f aca="false">IF(C2266="","",IFERROR(INDEX($S$5:$S$304,MATCH(C2266,$R$5:$R$304,0))&amp;"","?"))</f>
        <v>37</v>
      </c>
      <c r="N2266" s="2" t="n">
        <f aca="false">IF(E2266="","",IF(ISNUMBER(SEARCH("SUBSOLO",E2266)),IFERROR(-VALUE(LEFT(E2266,FIND("º",SUBSTITUTE(E2266,"°","º"))-1)),-1),IF(LEFT(E2266,6)="TÉRREO",0,IFERROR(VALUE(LEFT(E2266,FIND("º",SUBSTITUTE(E2266,"°","º"))-1)),""))))</f>
        <v>30</v>
      </c>
      <c r="O2266" s="2" t="str">
        <f aca="false">IF(OR(F2266="",G2266=""),"",IF(G2266&lt;='RETRATO 2027'!$K$5,"CONCLUÍDA",IF(F2266&lt;='RETRATO 2027'!$K$5,"EM ANDAMENTO","A INICIAR")))</f>
        <v>A INICIAR</v>
      </c>
    </row>
    <row r="2267" customFormat="false" ht="15" hidden="false" customHeight="false" outlineLevel="0" collapsed="false">
      <c r="B2267" s="4" t="n">
        <v>29980643</v>
      </c>
      <c r="C2267" s="4" t="s">
        <v>2605</v>
      </c>
      <c r="D2267" s="4" t="s">
        <v>463</v>
      </c>
      <c r="E2267" s="4" t="s">
        <v>2843</v>
      </c>
      <c r="F2267" s="127" t="n">
        <v>47127</v>
      </c>
      <c r="G2267" s="127" t="n">
        <v>47137</v>
      </c>
      <c r="H2267" s="127" t="n">
        <v>46289</v>
      </c>
      <c r="I2267" s="4" t="n">
        <v>0</v>
      </c>
      <c r="J2267" s="4" t="n">
        <v>0</v>
      </c>
      <c r="K2267" s="4" t="n">
        <v>0</v>
      </c>
      <c r="M2267" s="2" t="str">
        <f aca="false">IF(C2267="","",IFERROR(INDEX($S$5:$S$304,MATCH(C2267,$R$5:$R$304,0))&amp;"","?"))</f>
        <v>34</v>
      </c>
      <c r="N2267" s="2" t="n">
        <f aca="false">IF(E2267="","",IF(ISNUMBER(SEARCH("SUBSOLO",E2267)),IFERROR(-VALUE(LEFT(E2267,FIND("º",SUBSTITUTE(E2267,"°","º"))-1)),-1),IF(LEFT(E2267,6)="TÉRREO",0,IFERROR(VALUE(LEFT(E2267,FIND("º",SUBSTITUTE(E2267,"°","º"))-1)),""))))</f>
        <v>31</v>
      </c>
      <c r="O2267" s="2" t="str">
        <f aca="false">IF(OR(F2267="",G2267=""),"",IF(G2267&lt;='RETRATO 2027'!$K$5,"CONCLUÍDA",IF(F2267&lt;='RETRATO 2027'!$K$5,"EM ANDAMENTO","A INICIAR")))</f>
        <v>A INICIAR</v>
      </c>
    </row>
    <row r="2268" customFormat="false" ht="15" hidden="false" customHeight="false" outlineLevel="0" collapsed="false">
      <c r="B2268" s="4" t="n">
        <v>29980648</v>
      </c>
      <c r="C2268" s="4" t="s">
        <v>2607</v>
      </c>
      <c r="D2268" s="4" t="s">
        <v>463</v>
      </c>
      <c r="E2268" s="4" t="s">
        <v>2843</v>
      </c>
      <c r="F2268" s="127" t="n">
        <v>47127</v>
      </c>
      <c r="G2268" s="127" t="n">
        <v>47137</v>
      </c>
      <c r="H2268" s="127" t="n">
        <v>46289</v>
      </c>
      <c r="I2268" s="4" t="n">
        <v>0</v>
      </c>
      <c r="J2268" s="4" t="n">
        <v>0</v>
      </c>
      <c r="K2268" s="4" t="n">
        <v>0</v>
      </c>
      <c r="M2268" s="2" t="str">
        <f aca="false">IF(C2268="","",IFERROR(INDEX($S$5:$S$304,MATCH(C2268,$R$5:$R$304,0))&amp;"","?"))</f>
        <v>34</v>
      </c>
      <c r="N2268" s="2" t="n">
        <f aca="false">IF(E2268="","",IF(ISNUMBER(SEARCH("SUBSOLO",E2268)),IFERROR(-VALUE(LEFT(E2268,FIND("º",SUBSTITUTE(E2268,"°","º"))-1)),-1),IF(LEFT(E2268,6)="TÉRREO",0,IFERROR(VALUE(LEFT(E2268,FIND("º",SUBSTITUTE(E2268,"°","º"))-1)),""))))</f>
        <v>31</v>
      </c>
      <c r="O2268" s="2" t="str">
        <f aca="false">IF(OR(F2268="",G2268=""),"",IF(G2268&lt;='RETRATO 2027'!$K$5,"CONCLUÍDA",IF(F2268&lt;='RETRATO 2027'!$K$5,"EM ANDAMENTO","A INICIAR")))</f>
        <v>A INICIAR</v>
      </c>
    </row>
    <row r="2269" customFormat="false" ht="15" hidden="false" customHeight="false" outlineLevel="0" collapsed="false">
      <c r="B2269" s="4" t="n">
        <v>29980647</v>
      </c>
      <c r="C2269" s="4" t="s">
        <v>2563</v>
      </c>
      <c r="D2269" s="4" t="s">
        <v>463</v>
      </c>
      <c r="E2269" s="4" t="s">
        <v>2843</v>
      </c>
      <c r="F2269" s="127" t="n">
        <v>47127</v>
      </c>
      <c r="G2269" s="127" t="n">
        <v>47137</v>
      </c>
      <c r="H2269" s="127" t="n">
        <v>46289</v>
      </c>
      <c r="I2269" s="4" t="n">
        <v>0</v>
      </c>
      <c r="J2269" s="4" t="n">
        <v>0</v>
      </c>
      <c r="K2269" s="4" t="n">
        <v>0</v>
      </c>
      <c r="M2269" s="2" t="str">
        <f aca="false">IF(C2269="","",IFERROR(INDEX($S$5:$S$304,MATCH(C2269,$R$5:$R$304,0))&amp;"","?"))</f>
        <v>20</v>
      </c>
      <c r="N2269" s="2" t="n">
        <f aca="false">IF(E2269="","",IF(ISNUMBER(SEARCH("SUBSOLO",E2269)),IFERROR(-VALUE(LEFT(E2269,FIND("º",SUBSTITUTE(E2269,"°","º"))-1)),-1),IF(LEFT(E2269,6)="TÉRREO",0,IFERROR(VALUE(LEFT(E2269,FIND("º",SUBSTITUTE(E2269,"°","º"))-1)),""))))</f>
        <v>31</v>
      </c>
      <c r="O2269" s="2" t="str">
        <f aca="false">IF(OR(F2269="",G2269=""),"",IF(G2269&lt;='RETRATO 2027'!$K$5,"CONCLUÍDA",IF(F2269&lt;='RETRATO 2027'!$K$5,"EM ANDAMENTO","A INICIAR")))</f>
        <v>A INICIAR</v>
      </c>
    </row>
    <row r="2270" customFormat="false" ht="15" hidden="false" customHeight="false" outlineLevel="0" collapsed="false">
      <c r="B2270" s="4" t="n">
        <v>29980646</v>
      </c>
      <c r="C2270" s="4" t="s">
        <v>2609</v>
      </c>
      <c r="D2270" s="4" t="s">
        <v>463</v>
      </c>
      <c r="E2270" s="4" t="s">
        <v>2843</v>
      </c>
      <c r="F2270" s="127" t="n">
        <v>47127</v>
      </c>
      <c r="G2270" s="127" t="n">
        <v>47137</v>
      </c>
      <c r="H2270" s="127" t="n">
        <v>46289</v>
      </c>
      <c r="I2270" s="4" t="n">
        <v>0</v>
      </c>
      <c r="J2270" s="4" t="n">
        <v>0</v>
      </c>
      <c r="K2270" s="4" t="n">
        <v>0</v>
      </c>
      <c r="M2270" s="2" t="str">
        <f aca="false">IF(C2270="","",IFERROR(INDEX($S$5:$S$304,MATCH(C2270,$R$5:$R$304,0))&amp;"","?"))</f>
        <v>23</v>
      </c>
      <c r="N2270" s="2" t="n">
        <f aca="false">IF(E2270="","",IF(ISNUMBER(SEARCH("SUBSOLO",E2270)),IFERROR(-VALUE(LEFT(E2270,FIND("º",SUBSTITUTE(E2270,"°","º"))-1)),-1),IF(LEFT(E2270,6)="TÉRREO",0,IFERROR(VALUE(LEFT(E2270,FIND("º",SUBSTITUTE(E2270,"°","º"))-1)),""))))</f>
        <v>31</v>
      </c>
      <c r="O2270" s="2" t="str">
        <f aca="false">IF(OR(F2270="",G2270=""),"",IF(G2270&lt;='RETRATO 2027'!$K$5,"CONCLUÍDA",IF(F2270&lt;='RETRATO 2027'!$K$5,"EM ANDAMENTO","A INICIAR")))</f>
        <v>A INICIAR</v>
      </c>
    </row>
    <row r="2271" customFormat="false" ht="15" hidden="false" customHeight="false" outlineLevel="0" collapsed="false">
      <c r="B2271" s="4" t="n">
        <v>29980605</v>
      </c>
      <c r="C2271" s="4" t="s">
        <v>2599</v>
      </c>
      <c r="D2271" s="4" t="s">
        <v>463</v>
      </c>
      <c r="E2271" s="4" t="s">
        <v>2844</v>
      </c>
      <c r="F2271" s="127" t="n">
        <v>47127</v>
      </c>
      <c r="G2271" s="127" t="n">
        <v>47137</v>
      </c>
      <c r="H2271" s="127" t="n">
        <v>46289</v>
      </c>
      <c r="I2271" s="4" t="n">
        <v>0</v>
      </c>
      <c r="J2271" s="4" t="n">
        <v>0</v>
      </c>
      <c r="K2271" s="4" t="n">
        <v>0</v>
      </c>
      <c r="M2271" s="2" t="str">
        <f aca="false">IF(C2271="","",IFERROR(INDEX($S$5:$S$304,MATCH(C2271,$R$5:$R$304,0))&amp;"","?"))</f>
        <v>30</v>
      </c>
      <c r="N2271" s="2" t="n">
        <f aca="false">IF(E2271="","",IF(ISNUMBER(SEARCH("SUBSOLO",E2271)),IFERROR(-VALUE(LEFT(E2271,FIND("º",SUBSTITUTE(E2271,"°","º"))-1)),-1),IF(LEFT(E2271,6)="TÉRREO",0,IFERROR(VALUE(LEFT(E2271,FIND("º",SUBSTITUTE(E2271,"°","º"))-1)),""))))</f>
        <v>32</v>
      </c>
      <c r="O2271" s="2" t="str">
        <f aca="false">IF(OR(F2271="",G2271=""),"",IF(G2271&lt;='RETRATO 2027'!$K$5,"CONCLUÍDA",IF(F2271&lt;='RETRATO 2027'!$K$5,"EM ANDAMENTO","A INICIAR")))</f>
        <v>A INICIAR</v>
      </c>
    </row>
    <row r="2272" customFormat="false" ht="15" hidden="false" customHeight="false" outlineLevel="0" collapsed="false">
      <c r="B2272" s="4" t="n">
        <v>30205969</v>
      </c>
      <c r="C2272" s="4" t="s">
        <v>2629</v>
      </c>
      <c r="D2272" s="4" t="s">
        <v>463</v>
      </c>
      <c r="E2272" s="4" t="s">
        <v>2850</v>
      </c>
      <c r="F2272" s="127" t="n">
        <v>47128</v>
      </c>
      <c r="G2272" s="127" t="n">
        <v>47133</v>
      </c>
      <c r="H2272" s="127" t="n">
        <v>46289</v>
      </c>
      <c r="I2272" s="4" t="n">
        <v>0</v>
      </c>
      <c r="J2272" s="4" t="n">
        <v>0</v>
      </c>
      <c r="K2272" s="4" t="n">
        <v>0</v>
      </c>
      <c r="M2272" s="2" t="str">
        <f aca="false">IF(C2272="","",IFERROR(INDEX($S$5:$S$304,MATCH(C2272,$R$5:$R$304,0))&amp;"","?"))</f>
        <v>20</v>
      </c>
      <c r="N2272" s="2" t="n">
        <f aca="false">IF(E2272="","",IF(ISNUMBER(SEARCH("SUBSOLO",E2272)),IFERROR(-VALUE(LEFT(E2272,FIND("º",SUBSTITUTE(E2272,"°","º"))-1)),-1),IF(LEFT(E2272,6)="TÉRREO",0,IFERROR(VALUE(LEFT(E2272,FIND("º",SUBSTITUTE(E2272,"°","º"))-1)),""))))</f>
        <v>6</v>
      </c>
      <c r="O2272" s="2" t="str">
        <f aca="false">IF(OR(F2272="",G2272=""),"",IF(G2272&lt;='RETRATO 2027'!$K$5,"CONCLUÍDA",IF(F2272&lt;='RETRATO 2027'!$K$5,"EM ANDAMENTO","A INICIAR")))</f>
        <v>A INICIAR</v>
      </c>
    </row>
    <row r="2273" customFormat="false" ht="15" hidden="false" customHeight="false" outlineLevel="0" collapsed="false">
      <c r="B2273" s="4" t="n">
        <v>33807239</v>
      </c>
      <c r="C2273" s="4" t="s">
        <v>2738</v>
      </c>
      <c r="D2273" s="4" t="s">
        <v>463</v>
      </c>
      <c r="E2273" s="4" t="s">
        <v>2804</v>
      </c>
      <c r="F2273" s="127" t="n">
        <v>47129</v>
      </c>
      <c r="G2273" s="127" t="n">
        <v>47133</v>
      </c>
      <c r="H2273" s="127" t="n">
        <v>46289</v>
      </c>
      <c r="I2273" s="4" t="n">
        <v>0</v>
      </c>
      <c r="J2273" s="4" t="n">
        <v>0</v>
      </c>
      <c r="K2273" s="4" t="n">
        <v>0</v>
      </c>
      <c r="M2273" s="2" t="str">
        <f aca="false">IF(C2273="","",IFERROR(INDEX($S$5:$S$304,MATCH(C2273,$R$5:$R$304,0))&amp;"","?"))</f>
        <v/>
      </c>
      <c r="N2273" s="2" t="n">
        <f aca="false">IF(E2273="","",IF(ISNUMBER(SEARCH("SUBSOLO",E2273)),IFERROR(-VALUE(LEFT(E2273,FIND("º",SUBSTITUTE(E2273,"°","º"))-1)),-1),IF(LEFT(E2273,6)="TÉRREO",0,IFERROR(VALUE(LEFT(E2273,FIND("º",SUBSTITUTE(E2273,"°","º"))-1)),""))))</f>
        <v>8</v>
      </c>
      <c r="O2273" s="2" t="str">
        <f aca="false">IF(OR(F2273="",G2273=""),"",IF(G2273&lt;='RETRATO 2027'!$K$5,"CONCLUÍDA",IF(F2273&lt;='RETRATO 2027'!$K$5,"EM ANDAMENTO","A INICIAR")))</f>
        <v>A INICIAR</v>
      </c>
    </row>
    <row r="2274" customFormat="false" ht="15" hidden="false" customHeight="false" outlineLevel="0" collapsed="false">
      <c r="B2274" s="4" t="n">
        <v>29981411</v>
      </c>
      <c r="C2274" s="4" t="s">
        <v>2732</v>
      </c>
      <c r="D2274" s="4" t="s">
        <v>463</v>
      </c>
      <c r="E2274" s="4" t="s">
        <v>2810</v>
      </c>
      <c r="F2274" s="127" t="n">
        <v>47129</v>
      </c>
      <c r="G2274" s="127" t="n">
        <v>47141</v>
      </c>
      <c r="H2274" s="127" t="n">
        <v>46289</v>
      </c>
      <c r="I2274" s="4" t="n">
        <v>0</v>
      </c>
      <c r="J2274" s="4" t="n">
        <v>0</v>
      </c>
      <c r="K2274" s="4" t="n">
        <v>0</v>
      </c>
      <c r="M2274" s="2" t="str">
        <f aca="false">IF(C2274="","",IFERROR(INDEX($S$5:$S$304,MATCH(C2274,$R$5:$R$304,0))&amp;"","?"))</f>
        <v/>
      </c>
      <c r="N2274" s="2" t="n">
        <f aca="false">IF(E2274="","",IF(ISNUMBER(SEARCH("SUBSOLO",E2274)),IFERROR(-VALUE(LEFT(E2274,FIND("º",SUBSTITUTE(E2274,"°","º"))-1)),-1),IF(LEFT(E2274,6)="TÉRREO",0,IFERROR(VALUE(LEFT(E2274,FIND("º",SUBSTITUTE(E2274,"°","º"))-1)),""))))</f>
        <v>11</v>
      </c>
      <c r="O2274" s="2" t="str">
        <f aca="false">IF(OR(F2274="",G2274=""),"",IF(G2274&lt;='RETRATO 2027'!$K$5,"CONCLUÍDA",IF(F2274&lt;='RETRATO 2027'!$K$5,"EM ANDAMENTO","A INICIAR")))</f>
        <v>A INICIAR</v>
      </c>
    </row>
    <row r="2275" customFormat="false" ht="15" hidden="false" customHeight="false" outlineLevel="0" collapsed="false">
      <c r="B2275" s="4" t="n">
        <v>30171534</v>
      </c>
      <c r="C2275" s="4" t="s">
        <v>2641</v>
      </c>
      <c r="D2275" s="4" t="s">
        <v>463</v>
      </c>
      <c r="E2275" s="4" t="s">
        <v>2857</v>
      </c>
      <c r="F2275" s="127" t="n">
        <v>47130</v>
      </c>
      <c r="G2275" s="127" t="n">
        <v>47161</v>
      </c>
      <c r="H2275" s="127" t="n">
        <v>46289</v>
      </c>
      <c r="I2275" s="4" t="n">
        <v>0</v>
      </c>
      <c r="J2275" s="4" t="n">
        <v>0</v>
      </c>
      <c r="K2275" s="4" t="n">
        <v>0</v>
      </c>
      <c r="M2275" s="2" t="str">
        <f aca="false">IF(C2275="","",IFERROR(INDEX($S$5:$S$304,MATCH(C2275,$R$5:$R$304,0))&amp;"","?"))</f>
        <v>35</v>
      </c>
      <c r="N2275" s="2" t="str">
        <f aca="false"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 t="str">
        <f aca="false">IF(OR(F2275="",G2275=""),"",IF(G2275&lt;='RETRATO 2027'!$K$5,"CONCLUÍDA",IF(F2275&lt;='RETRATO 2027'!$K$5,"EM ANDAMENTO","A INICIAR")))</f>
        <v>A INICIAR</v>
      </c>
    </row>
    <row r="2276" customFormat="false" ht="15" hidden="false" customHeight="false" outlineLevel="0" collapsed="false">
      <c r="B2276" s="4" t="n">
        <v>30171452</v>
      </c>
      <c r="C2276" s="4" t="s">
        <v>2690</v>
      </c>
      <c r="D2276" s="4" t="s">
        <v>463</v>
      </c>
      <c r="E2276" s="4" t="s">
        <v>2790</v>
      </c>
      <c r="F2276" s="127" t="n">
        <v>47133</v>
      </c>
      <c r="G2276" s="127" t="n">
        <v>47151</v>
      </c>
      <c r="H2276" s="127" t="n">
        <v>46289</v>
      </c>
      <c r="I2276" s="4" t="n">
        <v>0</v>
      </c>
      <c r="J2276" s="4" t="n">
        <v>0</v>
      </c>
      <c r="K2276" s="4" t="n">
        <v>0</v>
      </c>
      <c r="M2276" s="2" t="str">
        <f aca="false">IF(C2276="","",IFERROR(INDEX($S$5:$S$304,MATCH(C2276,$R$5:$R$304,0))&amp;"","?"))</f>
        <v>37</v>
      </c>
      <c r="N2276" s="2" t="n">
        <f aca="false">IF(E2276="","",IF(ISNUMBER(SEARCH("SUBSOLO",E2276)),IFERROR(-VALUE(LEFT(E2276,FIND("º",SUBSTITUTE(E2276,"°","º"))-1)),-1),IF(LEFT(E2276,6)="TÉRREO",0,IFERROR(VALUE(LEFT(E2276,FIND("º",SUBSTITUTE(E2276,"°","º"))-1)),""))))</f>
        <v>3</v>
      </c>
      <c r="O2276" s="2" t="str">
        <f aca="false">IF(OR(F2276="",G2276=""),"",IF(G2276&lt;='RETRATO 2027'!$K$5,"CONCLUÍDA",IF(F2276&lt;='RETRATO 2027'!$K$5,"EM ANDAMENTO","A INICIAR")))</f>
        <v>A INICIAR</v>
      </c>
    </row>
    <row r="2277" customFormat="false" ht="15" hidden="false" customHeight="false" outlineLevel="0" collapsed="false">
      <c r="B2277" s="4" t="n">
        <v>29981086</v>
      </c>
      <c r="C2277" s="4" t="s">
        <v>2599</v>
      </c>
      <c r="D2277" s="4" t="s">
        <v>463</v>
      </c>
      <c r="E2277" s="4" t="s">
        <v>2822</v>
      </c>
      <c r="F2277" s="127" t="n">
        <v>47133</v>
      </c>
      <c r="G2277" s="127" t="n">
        <v>47141</v>
      </c>
      <c r="H2277" s="127" t="n">
        <v>46289</v>
      </c>
      <c r="I2277" s="4" t="n">
        <v>0</v>
      </c>
      <c r="J2277" s="4" t="n">
        <v>0</v>
      </c>
      <c r="K2277" s="4" t="n">
        <v>0</v>
      </c>
      <c r="M2277" s="2" t="str">
        <f aca="false">IF(C2277="","",IFERROR(INDEX($S$5:$S$304,MATCH(C2277,$R$5:$R$304,0))&amp;"","?"))</f>
        <v>30</v>
      </c>
      <c r="N2277" s="2" t="n">
        <f aca="false">IF(E2277="","",IF(ISNUMBER(SEARCH("SUBSOLO",E2277)),IFERROR(-VALUE(LEFT(E2277,FIND("º",SUBSTITUTE(E2277,"°","º"))-1)),-1),IF(LEFT(E2277,6)="TÉRREO",0,IFERROR(VALUE(LEFT(E2277,FIND("º",SUBSTITUTE(E2277,"°","º"))-1)),""))))</f>
        <v>19</v>
      </c>
      <c r="O2277" s="2" t="str">
        <f aca="false">IF(OR(F2277="",G2277=""),"",IF(G2277&lt;='RETRATO 2027'!$K$5,"CONCLUÍDA",IF(F2277&lt;='RETRATO 2027'!$K$5,"EM ANDAMENTO","A INICIAR")))</f>
        <v>A INICIAR</v>
      </c>
    </row>
    <row r="2278" customFormat="false" ht="15" hidden="false" customHeight="false" outlineLevel="0" collapsed="false">
      <c r="B2278" s="4" t="n">
        <v>30205967</v>
      </c>
      <c r="C2278" s="4" t="s">
        <v>2637</v>
      </c>
      <c r="D2278" s="4" t="s">
        <v>463</v>
      </c>
      <c r="E2278" s="4" t="s">
        <v>2850</v>
      </c>
      <c r="F2278" s="127" t="n">
        <v>47134</v>
      </c>
      <c r="G2278" s="127" t="n">
        <v>47140</v>
      </c>
      <c r="H2278" s="127" t="n">
        <v>46289</v>
      </c>
      <c r="I2278" s="4" t="n">
        <v>0</v>
      </c>
      <c r="J2278" s="4" t="n">
        <v>0</v>
      </c>
      <c r="K2278" s="4" t="n">
        <v>0</v>
      </c>
      <c r="M2278" s="2" t="str">
        <f aca="false">IF(C2278="","",IFERROR(INDEX($S$5:$S$304,MATCH(C2278,$R$5:$R$304,0))&amp;"","?"))</f>
        <v/>
      </c>
      <c r="N2278" s="2" t="n">
        <f aca="false">IF(E2278="","",IF(ISNUMBER(SEARCH("SUBSOLO",E2278)),IFERROR(-VALUE(LEFT(E2278,FIND("º",SUBSTITUTE(E2278,"°","º"))-1)),-1),IF(LEFT(E2278,6)="TÉRREO",0,IFERROR(VALUE(LEFT(E2278,FIND("º",SUBSTITUTE(E2278,"°","º"))-1)),""))))</f>
        <v>6</v>
      </c>
      <c r="O2278" s="2" t="str">
        <f aca="false">IF(OR(F2278="",G2278=""),"",IF(G2278&lt;='RETRATO 2027'!$K$5,"CONCLUÍDA",IF(F2278&lt;='RETRATO 2027'!$K$5,"EM ANDAMENTO","A INICIAR")))</f>
        <v>A INICIAR</v>
      </c>
    </row>
    <row r="2279" customFormat="false" ht="15" hidden="false" customHeight="false" outlineLevel="0" collapsed="false">
      <c r="B2279" s="4" t="n">
        <v>30171656</v>
      </c>
      <c r="C2279" s="4" t="s">
        <v>2629</v>
      </c>
      <c r="D2279" s="4" t="s">
        <v>463</v>
      </c>
      <c r="E2279" s="4" t="s">
        <v>2816</v>
      </c>
      <c r="F2279" s="127" t="n">
        <v>47134</v>
      </c>
      <c r="G2279" s="127" t="n">
        <v>47147</v>
      </c>
      <c r="H2279" s="127" t="n">
        <v>46289</v>
      </c>
      <c r="I2279" s="4" t="n">
        <v>0</v>
      </c>
      <c r="J2279" s="4" t="n">
        <v>0</v>
      </c>
      <c r="K2279" s="4" t="n">
        <v>0</v>
      </c>
      <c r="M2279" s="2" t="str">
        <f aca="false">IF(C2279="","",IFERROR(INDEX($S$5:$S$304,MATCH(C2279,$R$5:$R$304,0))&amp;"","?"))</f>
        <v>20</v>
      </c>
      <c r="N2279" s="2" t="str">
        <f aca="false"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 t="str">
        <f aca="false">IF(OR(F2279="",G2279=""),"",IF(G2279&lt;='RETRATO 2027'!$K$5,"CONCLUÍDA",IF(F2279&lt;='RETRATO 2027'!$K$5,"EM ANDAMENTO","A INICIAR")))</f>
        <v>A INICIAR</v>
      </c>
    </row>
    <row r="2280" customFormat="false" ht="15" hidden="false" customHeight="false" outlineLevel="0" collapsed="false">
      <c r="B2280" s="4" t="n">
        <v>33807240</v>
      </c>
      <c r="C2280" s="4" t="s">
        <v>2738</v>
      </c>
      <c r="D2280" s="4" t="s">
        <v>463</v>
      </c>
      <c r="E2280" s="4" t="s">
        <v>2805</v>
      </c>
      <c r="F2280" s="127" t="n">
        <v>47134</v>
      </c>
      <c r="G2280" s="127" t="n">
        <v>47136</v>
      </c>
      <c r="H2280" s="127" t="n">
        <v>46289</v>
      </c>
      <c r="I2280" s="4" t="n">
        <v>0</v>
      </c>
      <c r="J2280" s="4" t="n">
        <v>0</v>
      </c>
      <c r="K2280" s="4" t="n">
        <v>0</v>
      </c>
      <c r="M2280" s="2" t="str">
        <f aca="false">IF(C2280="","",IFERROR(INDEX($S$5:$S$304,MATCH(C2280,$R$5:$R$304,0))&amp;"","?"))</f>
        <v/>
      </c>
      <c r="N2280" s="2" t="n">
        <f aca="false">IF(E2280="","",IF(ISNUMBER(SEARCH("SUBSOLO",E2280)),IFERROR(-VALUE(LEFT(E2280,FIND("º",SUBSTITUTE(E2280,"°","º"))-1)),-1),IF(LEFT(E2280,6)="TÉRREO",0,IFERROR(VALUE(LEFT(E2280,FIND("º",SUBSTITUTE(E2280,"°","º"))-1)),""))))</f>
        <v>9</v>
      </c>
      <c r="O2280" s="2" t="str">
        <f aca="false">IF(OR(F2280="",G2280=""),"",IF(G2280&lt;='RETRATO 2027'!$K$5,"CONCLUÍDA",IF(F2280&lt;='RETRATO 2027'!$K$5,"EM ANDAMENTO","A INICIAR")))</f>
        <v>A INICIAR</v>
      </c>
    </row>
    <row r="2281" customFormat="false" ht="15" hidden="false" customHeight="false" outlineLevel="0" collapsed="false">
      <c r="B2281" s="4" t="n">
        <v>29981374</v>
      </c>
      <c r="C2281" s="4" t="s">
        <v>2732</v>
      </c>
      <c r="D2281" s="4" t="s">
        <v>463</v>
      </c>
      <c r="E2281" s="4" t="s">
        <v>2811</v>
      </c>
      <c r="F2281" s="127" t="n">
        <v>47134</v>
      </c>
      <c r="G2281" s="127" t="n">
        <v>47144</v>
      </c>
      <c r="H2281" s="127" t="n">
        <v>46289</v>
      </c>
      <c r="I2281" s="4" t="n">
        <v>0</v>
      </c>
      <c r="J2281" s="4" t="n">
        <v>0</v>
      </c>
      <c r="K2281" s="4" t="n">
        <v>0</v>
      </c>
      <c r="M2281" s="2" t="str">
        <f aca="false">IF(C2281="","",IFERROR(INDEX($S$5:$S$304,MATCH(C2281,$R$5:$R$304,0))&amp;"","?"))</f>
        <v/>
      </c>
      <c r="N2281" s="2" t="n">
        <f aca="false">IF(E2281="","",IF(ISNUMBER(SEARCH("SUBSOLO",E2281)),IFERROR(-VALUE(LEFT(E2281,FIND("º",SUBSTITUTE(E2281,"°","º"))-1)),-1),IF(LEFT(E2281,6)="TÉRREO",0,IFERROR(VALUE(LEFT(E2281,FIND("º",SUBSTITUTE(E2281,"°","º"))-1)),""))))</f>
        <v>12</v>
      </c>
      <c r="O2281" s="2" t="str">
        <f aca="false">IF(OR(F2281="",G2281=""),"",IF(G2281&lt;='RETRATO 2027'!$K$5,"CONCLUÍDA",IF(F2281&lt;='RETRATO 2027'!$K$5,"EM ANDAMENTO","A INICIAR")))</f>
        <v>A INICIAR</v>
      </c>
    </row>
    <row r="2282" customFormat="false" ht="15" hidden="false" customHeight="false" outlineLevel="0" collapsed="false">
      <c r="B2282" s="4" t="n">
        <v>29980847</v>
      </c>
      <c r="C2282" s="4" t="s">
        <v>2649</v>
      </c>
      <c r="D2282" s="4" t="s">
        <v>463</v>
      </c>
      <c r="E2282" s="4" t="s">
        <v>2834</v>
      </c>
      <c r="F2282" s="127" t="n">
        <v>47134</v>
      </c>
      <c r="G2282" s="127" t="n">
        <v>47144</v>
      </c>
      <c r="H2282" s="127" t="n">
        <v>46289</v>
      </c>
      <c r="I2282" s="4" t="n">
        <v>0</v>
      </c>
      <c r="J2282" s="4" t="n">
        <v>0</v>
      </c>
      <c r="K2282" s="4" t="n">
        <v>0</v>
      </c>
      <c r="M2282" s="2" t="str">
        <f aca="false">IF(C2282="","",IFERROR(INDEX($S$5:$S$304,MATCH(C2282,$R$5:$R$304,0))&amp;"","?"))</f>
        <v>37</v>
      </c>
      <c r="N2282" s="2" t="n">
        <f aca="false">IF(E2282="","",IF(ISNUMBER(SEARCH("SUBSOLO",E2282)),IFERROR(-VALUE(LEFT(E2282,FIND("º",SUBSTITUTE(E2282,"°","º"))-1)),-1),IF(LEFT(E2282,6)="TÉRREO",0,IFERROR(VALUE(LEFT(E2282,FIND("º",SUBSTITUTE(E2282,"°","º"))-1)),""))))</f>
        <v>26</v>
      </c>
      <c r="O2282" s="2" t="str">
        <f aca="false">IF(OR(F2282="",G2282=""),"",IF(G2282&lt;='RETRATO 2027'!$K$5,"CONCLUÍDA",IF(F2282&lt;='RETRATO 2027'!$K$5,"EM ANDAMENTO","A INICIAR")))</f>
        <v>A INICIAR</v>
      </c>
    </row>
    <row r="2283" customFormat="false" ht="15" hidden="false" customHeight="false" outlineLevel="0" collapsed="false">
      <c r="B2283" s="4" t="n">
        <v>29980800</v>
      </c>
      <c r="C2283" s="4" t="s">
        <v>2641</v>
      </c>
      <c r="D2283" s="4" t="s">
        <v>463</v>
      </c>
      <c r="E2283" s="4" t="s">
        <v>2838</v>
      </c>
      <c r="F2283" s="127" t="n">
        <v>47134</v>
      </c>
      <c r="G2283" s="127" t="n">
        <v>47144</v>
      </c>
      <c r="H2283" s="127" t="n">
        <v>46289</v>
      </c>
      <c r="I2283" s="4" t="n">
        <v>0</v>
      </c>
      <c r="J2283" s="4" t="n">
        <v>0</v>
      </c>
      <c r="K2283" s="4" t="n">
        <v>0</v>
      </c>
      <c r="M2283" s="2" t="str">
        <f aca="false">IF(C2283="","",IFERROR(INDEX($S$5:$S$304,MATCH(C2283,$R$5:$R$304,0))&amp;"","?"))</f>
        <v>35</v>
      </c>
      <c r="N2283" s="2" t="n">
        <f aca="false">IF(E2283="","",IF(ISNUMBER(SEARCH("SUBSOLO",E2283)),IFERROR(-VALUE(LEFT(E2283,FIND("º",SUBSTITUTE(E2283,"°","º"))-1)),-1),IF(LEFT(E2283,6)="TÉRREO",0,IFERROR(VALUE(LEFT(E2283,FIND("º",SUBSTITUTE(E2283,"°","º"))-1)),""))))</f>
        <v>27</v>
      </c>
      <c r="O2283" s="2" t="str">
        <f aca="false">IF(OR(F2283="",G2283=""),"",IF(G2283&lt;='RETRATO 2027'!$K$5,"CONCLUÍDA",IF(F2283&lt;='RETRATO 2027'!$K$5,"EM ANDAMENTO","A INICIAR")))</f>
        <v>A INICIAR</v>
      </c>
    </row>
    <row r="2284" customFormat="false" ht="15" hidden="false" customHeight="false" outlineLevel="0" collapsed="false">
      <c r="B2284" s="4" t="n">
        <v>33807241</v>
      </c>
      <c r="C2284" s="4" t="s">
        <v>2738</v>
      </c>
      <c r="D2284" s="4" t="s">
        <v>463</v>
      </c>
      <c r="E2284" s="4" t="s">
        <v>2809</v>
      </c>
      <c r="F2284" s="127" t="n">
        <v>47137</v>
      </c>
      <c r="G2284" s="127" t="n">
        <v>47141</v>
      </c>
      <c r="H2284" s="127" t="n">
        <v>46289</v>
      </c>
      <c r="I2284" s="4" t="n">
        <v>0</v>
      </c>
      <c r="J2284" s="4" t="n">
        <v>0</v>
      </c>
      <c r="K2284" s="4" t="n">
        <v>0</v>
      </c>
      <c r="M2284" s="2" t="str">
        <f aca="false">IF(C2284="","",IFERROR(INDEX($S$5:$S$304,MATCH(C2284,$R$5:$R$304,0))&amp;"","?"))</f>
        <v/>
      </c>
      <c r="N2284" s="2" t="n">
        <f aca="false">IF(E2284="","",IF(ISNUMBER(SEARCH("SUBSOLO",E2284)),IFERROR(-VALUE(LEFT(E2284,FIND("º",SUBSTITUTE(E2284,"°","º"))-1)),-1),IF(LEFT(E2284,6)="TÉRREO",0,IFERROR(VALUE(LEFT(E2284,FIND("º",SUBSTITUTE(E2284,"°","º"))-1)),""))))</f>
        <v>10</v>
      </c>
      <c r="O2284" s="2" t="str">
        <f aca="false">IF(OR(F2284="",G2284=""),"",IF(G2284&lt;='RETRATO 2027'!$K$5,"CONCLUÍDA",IF(F2284&lt;='RETRATO 2027'!$K$5,"EM ANDAMENTO","A INICIAR")))</f>
        <v>A INICIAR</v>
      </c>
    </row>
    <row r="2285" customFormat="false" ht="15" hidden="false" customHeight="false" outlineLevel="0" collapsed="false">
      <c r="B2285" s="4" t="n">
        <v>29981337</v>
      </c>
      <c r="C2285" s="4" t="s">
        <v>2732</v>
      </c>
      <c r="D2285" s="4" t="s">
        <v>463</v>
      </c>
      <c r="E2285" s="4" t="s">
        <v>2812</v>
      </c>
      <c r="F2285" s="127" t="n">
        <v>47137</v>
      </c>
      <c r="G2285" s="127" t="n">
        <v>47149</v>
      </c>
      <c r="H2285" s="127" t="n">
        <v>46289</v>
      </c>
      <c r="I2285" s="4" t="n">
        <v>0</v>
      </c>
      <c r="J2285" s="4" t="n">
        <v>0</v>
      </c>
      <c r="K2285" s="4" t="n">
        <v>0</v>
      </c>
      <c r="M2285" s="2" t="str">
        <f aca="false">IF(C2285="","",IFERROR(INDEX($S$5:$S$304,MATCH(C2285,$R$5:$R$304,0))&amp;"","?"))</f>
        <v/>
      </c>
      <c r="N2285" s="2" t="n">
        <f aca="false">IF(E2285="","",IF(ISNUMBER(SEARCH("SUBSOLO",E2285)),IFERROR(-VALUE(LEFT(E2285,FIND("º",SUBSTITUTE(E2285,"°","º"))-1)),-1),IF(LEFT(E2285,6)="TÉRREO",0,IFERROR(VALUE(LEFT(E2285,FIND("º",SUBSTITUTE(E2285,"°","º"))-1)),""))))</f>
        <v>13</v>
      </c>
      <c r="O2285" s="2" t="str">
        <f aca="false">IF(OR(F2285="",G2285=""),"",IF(G2285&lt;='RETRATO 2027'!$K$5,"CONCLUÍDA",IF(F2285&lt;='RETRATO 2027'!$K$5,"EM ANDAMENTO","A INICIAR")))</f>
        <v>A INICIAR</v>
      </c>
    </row>
    <row r="2286" customFormat="false" ht="15" hidden="false" customHeight="false" outlineLevel="0" collapsed="false">
      <c r="B2286" s="4" t="n">
        <v>29980762</v>
      </c>
      <c r="C2286" s="4" t="s">
        <v>2637</v>
      </c>
      <c r="D2286" s="4" t="s">
        <v>463</v>
      </c>
      <c r="E2286" s="4" t="s">
        <v>2840</v>
      </c>
      <c r="F2286" s="127" t="n">
        <v>47140</v>
      </c>
      <c r="G2286" s="127" t="n">
        <v>47144</v>
      </c>
      <c r="H2286" s="127" t="n">
        <v>46289</v>
      </c>
      <c r="I2286" s="4" t="n">
        <v>0</v>
      </c>
      <c r="J2286" s="4" t="n">
        <v>0</v>
      </c>
      <c r="K2286" s="4" t="n">
        <v>0</v>
      </c>
      <c r="M2286" s="2" t="str">
        <f aca="false">IF(C2286="","",IFERROR(INDEX($S$5:$S$304,MATCH(C2286,$R$5:$R$304,0))&amp;"","?"))</f>
        <v/>
      </c>
      <c r="N2286" s="2" t="n">
        <f aca="false">IF(E2286="","",IF(ISNUMBER(SEARCH("SUBSOLO",E2286)),IFERROR(-VALUE(LEFT(E2286,FIND("º",SUBSTITUTE(E2286,"°","º"))-1)),-1),IF(LEFT(E2286,6)="TÉRREO",0,IFERROR(VALUE(LEFT(E2286,FIND("º",SUBSTITUTE(E2286,"°","º"))-1)),""))))</f>
        <v>28</v>
      </c>
      <c r="O2286" s="2" t="str">
        <f aca="false">IF(OR(F2286="",G2286=""),"",IF(G2286&lt;='RETRATO 2027'!$K$5,"CONCLUÍDA",IF(F2286&lt;='RETRATO 2027'!$K$5,"EM ANDAMENTO","A INICIAR")))</f>
        <v>A INICIAR</v>
      </c>
    </row>
    <row r="2287" customFormat="false" ht="15" hidden="false" customHeight="false" outlineLevel="0" collapsed="false">
      <c r="B2287" s="4" t="n">
        <v>29980727</v>
      </c>
      <c r="C2287" s="4" t="s">
        <v>2629</v>
      </c>
      <c r="D2287" s="4" t="s">
        <v>463</v>
      </c>
      <c r="E2287" s="4" t="s">
        <v>2841</v>
      </c>
      <c r="F2287" s="127" t="n">
        <v>47140</v>
      </c>
      <c r="G2287" s="127" t="n">
        <v>47150</v>
      </c>
      <c r="H2287" s="127" t="n">
        <v>46289</v>
      </c>
      <c r="I2287" s="4" t="n">
        <v>0</v>
      </c>
      <c r="J2287" s="4" t="n">
        <v>0</v>
      </c>
      <c r="K2287" s="4" t="n">
        <v>0</v>
      </c>
      <c r="M2287" s="2" t="str">
        <f aca="false">IF(C2287="","",IFERROR(INDEX($S$5:$S$304,MATCH(C2287,$R$5:$R$304,0))&amp;"","?"))</f>
        <v>20</v>
      </c>
      <c r="N2287" s="2" t="n">
        <f aca="false">IF(E2287="","",IF(ISNUMBER(SEARCH("SUBSOLO",E2287)),IFERROR(-VALUE(LEFT(E2287,FIND("º",SUBSTITUTE(E2287,"°","º"))-1)),-1),IF(LEFT(E2287,6)="TÉRREO",0,IFERROR(VALUE(LEFT(E2287,FIND("º",SUBSTITUTE(E2287,"°","º"))-1)),""))))</f>
        <v>29</v>
      </c>
      <c r="O2287" s="2" t="str">
        <f aca="false">IF(OR(F2287="",G2287=""),"",IF(G2287&lt;='RETRATO 2027'!$K$5,"CONCLUÍDA",IF(F2287&lt;='RETRATO 2027'!$K$5,"EM ANDAMENTO","A INICIAR")))</f>
        <v>A INICIAR</v>
      </c>
    </row>
    <row r="2288" customFormat="false" ht="15" hidden="false" customHeight="false" outlineLevel="0" collapsed="false">
      <c r="B2288" s="4" t="n">
        <v>29980687</v>
      </c>
      <c r="C2288" s="4" t="s">
        <v>2623</v>
      </c>
      <c r="D2288" s="4" t="s">
        <v>463</v>
      </c>
      <c r="E2288" s="4" t="s">
        <v>2842</v>
      </c>
      <c r="F2288" s="127" t="n">
        <v>47140</v>
      </c>
      <c r="G2288" s="127" t="n">
        <v>47150</v>
      </c>
      <c r="H2288" s="127" t="n">
        <v>46289</v>
      </c>
      <c r="I2288" s="4" t="n">
        <v>0</v>
      </c>
      <c r="J2288" s="4" t="n">
        <v>0</v>
      </c>
      <c r="K2288" s="4" t="n">
        <v>0</v>
      </c>
      <c r="M2288" s="2" t="str">
        <f aca="false">IF(C2288="","",IFERROR(INDEX($S$5:$S$304,MATCH(C2288,$R$5:$R$304,0))&amp;"","?"))</f>
        <v>35</v>
      </c>
      <c r="N2288" s="2" t="n">
        <f aca="false">IF(E2288="","",IF(ISNUMBER(SEARCH("SUBSOLO",E2288)),IFERROR(-VALUE(LEFT(E2288,FIND("º",SUBSTITUTE(E2288,"°","º"))-1)),-1),IF(LEFT(E2288,6)="TÉRREO",0,IFERROR(VALUE(LEFT(E2288,FIND("º",SUBSTITUTE(E2288,"°","º"))-1)),""))))</f>
        <v>30</v>
      </c>
      <c r="O2288" s="2" t="str">
        <f aca="false">IF(OR(F2288="",G2288=""),"",IF(G2288&lt;='RETRATO 2027'!$K$5,"CONCLUÍDA",IF(F2288&lt;='RETRATO 2027'!$K$5,"EM ANDAMENTO","A INICIAR")))</f>
        <v>A INICIAR</v>
      </c>
    </row>
    <row r="2289" customFormat="false" ht="15" hidden="false" customHeight="false" outlineLevel="0" collapsed="false">
      <c r="B2289" s="4" t="n">
        <v>33919807</v>
      </c>
      <c r="C2289" s="4" t="s">
        <v>2625</v>
      </c>
      <c r="D2289" s="4" t="s">
        <v>463</v>
      </c>
      <c r="E2289" s="4" t="s">
        <v>2842</v>
      </c>
      <c r="F2289" s="127" t="n">
        <v>47140</v>
      </c>
      <c r="G2289" s="127" t="n">
        <v>47150</v>
      </c>
      <c r="H2289" s="127" t="n">
        <v>46289</v>
      </c>
      <c r="I2289" s="4" t="n">
        <v>0</v>
      </c>
      <c r="J2289" s="4" t="n">
        <v>0</v>
      </c>
      <c r="K2289" s="4" t="n">
        <v>0</v>
      </c>
      <c r="M2289" s="2" t="str">
        <f aca="false">IF(C2289="","",IFERROR(INDEX($S$5:$S$304,MATCH(C2289,$R$5:$R$304,0))&amp;"","?"))</f>
        <v>32</v>
      </c>
      <c r="N2289" s="2" t="n">
        <f aca="false">IF(E2289="","",IF(ISNUMBER(SEARCH("SUBSOLO",E2289)),IFERROR(-VALUE(LEFT(E2289,FIND("º",SUBSTITUTE(E2289,"°","º"))-1)),-1),IF(LEFT(E2289,6)="TÉRREO",0,IFERROR(VALUE(LEFT(E2289,FIND("º",SUBSTITUTE(E2289,"°","º"))-1)),""))))</f>
        <v>30</v>
      </c>
      <c r="O2289" s="2" t="str">
        <f aca="false">IF(OR(F2289="",G2289=""),"",IF(G2289&lt;='RETRATO 2027'!$K$5,"CONCLUÍDA",IF(F2289&lt;='RETRATO 2027'!$K$5,"EM ANDAMENTO","A INICIAR")))</f>
        <v>A INICIAR</v>
      </c>
    </row>
    <row r="2290" customFormat="false" ht="15" hidden="false" customHeight="false" outlineLevel="0" collapsed="false">
      <c r="B2290" s="4" t="n">
        <v>29980649</v>
      </c>
      <c r="C2290" s="4" t="s">
        <v>2615</v>
      </c>
      <c r="D2290" s="4" t="s">
        <v>463</v>
      </c>
      <c r="E2290" s="4" t="s">
        <v>2843</v>
      </c>
      <c r="F2290" s="127" t="n">
        <v>47140</v>
      </c>
      <c r="G2290" s="127" t="n">
        <v>47150</v>
      </c>
      <c r="H2290" s="127" t="n">
        <v>46289</v>
      </c>
      <c r="I2290" s="4" t="n">
        <v>0</v>
      </c>
      <c r="J2290" s="4" t="n">
        <v>0</v>
      </c>
      <c r="K2290" s="4" t="n">
        <v>0</v>
      </c>
      <c r="M2290" s="2" t="str">
        <f aca="false">IF(C2290="","",IFERROR(INDEX($S$5:$S$304,MATCH(C2290,$R$5:$R$304,0))&amp;"","?"))</f>
        <v>37</v>
      </c>
      <c r="N2290" s="2" t="n">
        <f aca="false">IF(E2290="","",IF(ISNUMBER(SEARCH("SUBSOLO",E2290)),IFERROR(-VALUE(LEFT(E2290,FIND("º",SUBSTITUTE(E2290,"°","º"))-1)),-1),IF(LEFT(E2290,6)="TÉRREO",0,IFERROR(VALUE(LEFT(E2290,FIND("º",SUBSTITUTE(E2290,"°","º"))-1)),""))))</f>
        <v>31</v>
      </c>
      <c r="O2290" s="2" t="str">
        <f aca="false">IF(OR(F2290="",G2290=""),"",IF(G2290&lt;='RETRATO 2027'!$K$5,"CONCLUÍDA",IF(F2290&lt;='RETRATO 2027'!$K$5,"EM ANDAMENTO","A INICIAR")))</f>
        <v>A INICIAR</v>
      </c>
    </row>
    <row r="2291" customFormat="false" ht="15" hidden="false" customHeight="false" outlineLevel="0" collapsed="false">
      <c r="B2291" s="4" t="n">
        <v>29980606</v>
      </c>
      <c r="C2291" s="4" t="s">
        <v>2605</v>
      </c>
      <c r="D2291" s="4" t="s">
        <v>463</v>
      </c>
      <c r="E2291" s="4" t="s">
        <v>2844</v>
      </c>
      <c r="F2291" s="127" t="n">
        <v>47140</v>
      </c>
      <c r="G2291" s="127" t="n">
        <v>47150</v>
      </c>
      <c r="H2291" s="127" t="n">
        <v>46289</v>
      </c>
      <c r="I2291" s="4" t="n">
        <v>0</v>
      </c>
      <c r="J2291" s="4" t="n">
        <v>0</v>
      </c>
      <c r="K2291" s="4" t="n">
        <v>0</v>
      </c>
      <c r="M2291" s="2" t="str">
        <f aca="false">IF(C2291="","",IFERROR(INDEX($S$5:$S$304,MATCH(C2291,$R$5:$R$304,0))&amp;"","?"))</f>
        <v>34</v>
      </c>
      <c r="N2291" s="2" t="n">
        <f aca="false">IF(E2291="","",IF(ISNUMBER(SEARCH("SUBSOLO",E2291)),IFERROR(-VALUE(LEFT(E2291,FIND("º",SUBSTITUTE(E2291,"°","º"))-1)),-1),IF(LEFT(E2291,6)="TÉRREO",0,IFERROR(VALUE(LEFT(E2291,FIND("º",SUBSTITUTE(E2291,"°","º"))-1)),""))))</f>
        <v>32</v>
      </c>
      <c r="O2291" s="2" t="str">
        <f aca="false">IF(OR(F2291="",G2291=""),"",IF(G2291&lt;='RETRATO 2027'!$K$5,"CONCLUÍDA",IF(F2291&lt;='RETRATO 2027'!$K$5,"EM ANDAMENTO","A INICIAR")))</f>
        <v>A INICIAR</v>
      </c>
    </row>
    <row r="2292" customFormat="false" ht="15" hidden="false" customHeight="false" outlineLevel="0" collapsed="false">
      <c r="B2292" s="4" t="n">
        <v>29980611</v>
      </c>
      <c r="C2292" s="4" t="s">
        <v>2607</v>
      </c>
      <c r="D2292" s="4" t="s">
        <v>463</v>
      </c>
      <c r="E2292" s="4" t="s">
        <v>2844</v>
      </c>
      <c r="F2292" s="127" t="n">
        <v>47140</v>
      </c>
      <c r="G2292" s="127" t="n">
        <v>47150</v>
      </c>
      <c r="H2292" s="127" t="n">
        <v>46289</v>
      </c>
      <c r="I2292" s="4" t="n">
        <v>0</v>
      </c>
      <c r="J2292" s="4" t="n">
        <v>0</v>
      </c>
      <c r="K2292" s="4" t="n">
        <v>0</v>
      </c>
      <c r="M2292" s="2" t="str">
        <f aca="false">IF(C2292="","",IFERROR(INDEX($S$5:$S$304,MATCH(C2292,$R$5:$R$304,0))&amp;"","?"))</f>
        <v>34</v>
      </c>
      <c r="N2292" s="2" t="n">
        <f aca="false">IF(E2292="","",IF(ISNUMBER(SEARCH("SUBSOLO",E2292)),IFERROR(-VALUE(LEFT(E2292,FIND("º",SUBSTITUTE(E2292,"°","º"))-1)),-1),IF(LEFT(E2292,6)="TÉRREO",0,IFERROR(VALUE(LEFT(E2292,FIND("º",SUBSTITUTE(E2292,"°","º"))-1)),""))))</f>
        <v>32</v>
      </c>
      <c r="O2292" s="2" t="str">
        <f aca="false">IF(OR(F2292="",G2292=""),"",IF(G2292&lt;='RETRATO 2027'!$K$5,"CONCLUÍDA",IF(F2292&lt;='RETRATO 2027'!$K$5,"EM ANDAMENTO","A INICIAR")))</f>
        <v>A INICIAR</v>
      </c>
    </row>
    <row r="2293" customFormat="false" ht="15" hidden="false" customHeight="false" outlineLevel="0" collapsed="false">
      <c r="B2293" s="4" t="n">
        <v>29980610</v>
      </c>
      <c r="C2293" s="4" t="s">
        <v>2563</v>
      </c>
      <c r="D2293" s="4" t="s">
        <v>463</v>
      </c>
      <c r="E2293" s="4" t="s">
        <v>2844</v>
      </c>
      <c r="F2293" s="127" t="n">
        <v>47140</v>
      </c>
      <c r="G2293" s="127" t="n">
        <v>47150</v>
      </c>
      <c r="H2293" s="127" t="n">
        <v>46289</v>
      </c>
      <c r="I2293" s="4" t="n">
        <v>0</v>
      </c>
      <c r="J2293" s="4" t="n">
        <v>0</v>
      </c>
      <c r="K2293" s="4" t="n">
        <v>0</v>
      </c>
      <c r="M2293" s="2" t="str">
        <f aca="false">IF(C2293="","",IFERROR(INDEX($S$5:$S$304,MATCH(C2293,$R$5:$R$304,0))&amp;"","?"))</f>
        <v>20</v>
      </c>
      <c r="N2293" s="2" t="n">
        <f aca="false">IF(E2293="","",IF(ISNUMBER(SEARCH("SUBSOLO",E2293)),IFERROR(-VALUE(LEFT(E2293,FIND("º",SUBSTITUTE(E2293,"°","º"))-1)),-1),IF(LEFT(E2293,6)="TÉRREO",0,IFERROR(VALUE(LEFT(E2293,FIND("º",SUBSTITUTE(E2293,"°","º"))-1)),""))))</f>
        <v>32</v>
      </c>
      <c r="O2293" s="2" t="str">
        <f aca="false">IF(OR(F2293="",G2293=""),"",IF(G2293&lt;='RETRATO 2027'!$K$5,"CONCLUÍDA",IF(F2293&lt;='RETRATO 2027'!$K$5,"EM ANDAMENTO","A INICIAR")))</f>
        <v>A INICIAR</v>
      </c>
    </row>
    <row r="2294" customFormat="false" ht="15" hidden="false" customHeight="false" outlineLevel="0" collapsed="false">
      <c r="B2294" s="4" t="n">
        <v>29980609</v>
      </c>
      <c r="C2294" s="4" t="s">
        <v>2609</v>
      </c>
      <c r="D2294" s="4" t="s">
        <v>463</v>
      </c>
      <c r="E2294" s="4" t="s">
        <v>2844</v>
      </c>
      <c r="F2294" s="127" t="n">
        <v>47140</v>
      </c>
      <c r="G2294" s="127" t="n">
        <v>47150</v>
      </c>
      <c r="H2294" s="127" t="n">
        <v>46289</v>
      </c>
      <c r="I2294" s="4" t="n">
        <v>0</v>
      </c>
      <c r="J2294" s="4" t="n">
        <v>0</v>
      </c>
      <c r="K2294" s="4" t="n">
        <v>0</v>
      </c>
      <c r="M2294" s="2" t="str">
        <f aca="false">IF(C2294="","",IFERROR(INDEX($S$5:$S$304,MATCH(C2294,$R$5:$R$304,0))&amp;"","?"))</f>
        <v>23</v>
      </c>
      <c r="N2294" s="2" t="n">
        <f aca="false">IF(E2294="","",IF(ISNUMBER(SEARCH("SUBSOLO",E2294)),IFERROR(-VALUE(LEFT(E2294,FIND("º",SUBSTITUTE(E2294,"°","º"))-1)),-1),IF(LEFT(E2294,6)="TÉRREO",0,IFERROR(VALUE(LEFT(E2294,FIND("º",SUBSTITUTE(E2294,"°","º"))-1)),""))))</f>
        <v>32</v>
      </c>
      <c r="O2294" s="2" t="str">
        <f aca="false">IF(OR(F2294="",G2294=""),"",IF(G2294&lt;='RETRATO 2027'!$K$5,"CONCLUÍDA",IF(F2294&lt;='RETRATO 2027'!$K$5,"EM ANDAMENTO","A INICIAR")))</f>
        <v>A INICIAR</v>
      </c>
    </row>
    <row r="2295" customFormat="false" ht="15" hidden="false" customHeight="false" outlineLevel="0" collapsed="false">
      <c r="B2295" s="4" t="n">
        <v>30206058</v>
      </c>
      <c r="C2295" s="4" t="s">
        <v>2732</v>
      </c>
      <c r="D2295" s="4" t="s">
        <v>463</v>
      </c>
      <c r="E2295" s="4" t="s">
        <v>2848</v>
      </c>
      <c r="F2295" s="127" t="n">
        <v>47141</v>
      </c>
      <c r="G2295" s="127" t="n">
        <v>47154</v>
      </c>
      <c r="H2295" s="127" t="n">
        <v>46289</v>
      </c>
      <c r="I2295" s="4" t="n">
        <v>0</v>
      </c>
      <c r="J2295" s="4" t="n">
        <v>0</v>
      </c>
      <c r="K2295" s="4" t="n">
        <v>0</v>
      </c>
      <c r="M2295" s="2" t="str">
        <f aca="false">IF(C2295="","",IFERROR(INDEX($S$5:$S$304,MATCH(C2295,$R$5:$R$304,0))&amp;"","?"))</f>
        <v/>
      </c>
      <c r="N2295" s="2" t="n">
        <f aca="false">IF(E2295="","",IF(ISNUMBER(SEARCH("SUBSOLO",E2295)),IFERROR(-VALUE(LEFT(E2295,FIND("º",SUBSTITUTE(E2295,"°","º"))-1)),-1),IF(LEFT(E2295,6)="TÉRREO",0,IFERROR(VALUE(LEFT(E2295,FIND("º",SUBSTITUTE(E2295,"°","º"))-1)),""))))</f>
        <v>6</v>
      </c>
      <c r="O2295" s="2" t="str">
        <f aca="false">IF(OR(F2295="",G2295=""),"",IF(G2295&lt;='RETRATO 2027'!$K$5,"CONCLUÍDA",IF(F2295&lt;='RETRATO 2027'!$K$5,"EM ANDAMENTO","A INICIAR")))</f>
        <v>A INICIAR</v>
      </c>
    </row>
    <row r="2296" customFormat="false" ht="15" hidden="false" customHeight="false" outlineLevel="0" collapsed="false">
      <c r="B2296" s="4" t="n">
        <v>30206015</v>
      </c>
      <c r="C2296" s="4" t="s">
        <v>2649</v>
      </c>
      <c r="D2296" s="4" t="s">
        <v>463</v>
      </c>
      <c r="E2296" s="4" t="s">
        <v>2849</v>
      </c>
      <c r="F2296" s="127" t="n">
        <v>47141</v>
      </c>
      <c r="G2296" s="127" t="n">
        <v>47154</v>
      </c>
      <c r="H2296" s="127" t="n">
        <v>46289</v>
      </c>
      <c r="I2296" s="4" t="n">
        <v>0</v>
      </c>
      <c r="J2296" s="4" t="n">
        <v>0</v>
      </c>
      <c r="K2296" s="4" t="n">
        <v>0</v>
      </c>
      <c r="M2296" s="2" t="str">
        <f aca="false">IF(C2296="","",IFERROR(INDEX($S$5:$S$304,MATCH(C2296,$R$5:$R$304,0))&amp;"","?"))</f>
        <v>37</v>
      </c>
      <c r="N2296" s="2" t="n">
        <f aca="false">IF(E2296="","",IF(ISNUMBER(SEARCH("SUBSOLO",E2296)),IFERROR(-VALUE(LEFT(E2296,FIND("º",SUBSTITUTE(E2296,"°","º"))-1)),-1),IF(LEFT(E2296,6)="TÉRREO",0,IFERROR(VALUE(LEFT(E2296,FIND("º",SUBSTITUTE(E2296,"°","º"))-1)),""))))</f>
        <v>6</v>
      </c>
      <c r="O2296" s="2" t="str">
        <f aca="false">IF(OR(F2296="",G2296=""),"",IF(G2296&lt;='RETRATO 2027'!$K$5,"CONCLUÍDA",IF(F2296&lt;='RETRATO 2027'!$K$5,"EM ANDAMENTO","A INICIAR")))</f>
        <v>A INICIAR</v>
      </c>
    </row>
    <row r="2297" customFormat="false" ht="15" hidden="false" customHeight="false" outlineLevel="0" collapsed="false">
      <c r="B2297" s="4" t="n">
        <v>30205968</v>
      </c>
      <c r="C2297" s="4" t="s">
        <v>2641</v>
      </c>
      <c r="D2297" s="4" t="s">
        <v>463</v>
      </c>
      <c r="E2297" s="4" t="s">
        <v>2850</v>
      </c>
      <c r="F2297" s="127" t="n">
        <v>47141</v>
      </c>
      <c r="G2297" s="127" t="n">
        <v>47154</v>
      </c>
      <c r="H2297" s="127" t="n">
        <v>46289</v>
      </c>
      <c r="I2297" s="4" t="n">
        <v>0</v>
      </c>
      <c r="J2297" s="4" t="n">
        <v>0</v>
      </c>
      <c r="K2297" s="4" t="n">
        <v>0</v>
      </c>
      <c r="M2297" s="2" t="str">
        <f aca="false">IF(C2297="","",IFERROR(INDEX($S$5:$S$304,MATCH(C2297,$R$5:$R$304,0))&amp;"","?"))</f>
        <v>35</v>
      </c>
      <c r="N2297" s="2" t="n">
        <f aca="false">IF(E2297="","",IF(ISNUMBER(SEARCH("SUBSOLO",E2297)),IFERROR(-VALUE(LEFT(E2297,FIND("º",SUBSTITUTE(E2297,"°","º"))-1)),-1),IF(LEFT(E2297,6)="TÉRREO",0,IFERROR(VALUE(LEFT(E2297,FIND("º",SUBSTITUTE(E2297,"°","º"))-1)),""))))</f>
        <v>6</v>
      </c>
      <c r="O2297" s="2" t="str">
        <f aca="false">IF(OR(F2297="",G2297=""),"",IF(G2297&lt;='RETRATO 2027'!$K$5,"CONCLUÍDA",IF(F2297&lt;='RETRATO 2027'!$K$5,"EM ANDAMENTO","A INICIAR")))</f>
        <v>A INICIAR</v>
      </c>
    </row>
    <row r="2298" customFormat="false" ht="15" hidden="false" customHeight="false" outlineLevel="0" collapsed="false">
      <c r="B2298" s="4" t="n">
        <v>33807242</v>
      </c>
      <c r="C2298" s="4" t="s">
        <v>2738</v>
      </c>
      <c r="D2298" s="4" t="s">
        <v>463</v>
      </c>
      <c r="E2298" s="4" t="s">
        <v>2810</v>
      </c>
      <c r="F2298" s="127" t="n">
        <v>47142</v>
      </c>
      <c r="G2298" s="127" t="n">
        <v>47144</v>
      </c>
      <c r="H2298" s="127" t="n">
        <v>46289</v>
      </c>
      <c r="I2298" s="4" t="n">
        <v>0</v>
      </c>
      <c r="J2298" s="4" t="n">
        <v>0</v>
      </c>
      <c r="K2298" s="4" t="n">
        <v>0</v>
      </c>
      <c r="M2298" s="2" t="str">
        <f aca="false">IF(C2298="","",IFERROR(INDEX($S$5:$S$304,MATCH(C2298,$R$5:$R$304,0))&amp;"","?"))</f>
        <v/>
      </c>
      <c r="N2298" s="2" t="n">
        <f aca="false">IF(E2298="","",IF(ISNUMBER(SEARCH("SUBSOLO",E2298)),IFERROR(-VALUE(LEFT(E2298,FIND("º",SUBSTITUTE(E2298,"°","º"))-1)),-1),IF(LEFT(E2298,6)="TÉRREO",0,IFERROR(VALUE(LEFT(E2298,FIND("º",SUBSTITUTE(E2298,"°","º"))-1)),""))))</f>
        <v>11</v>
      </c>
      <c r="O2298" s="2" t="str">
        <f aca="false">IF(OR(F2298="",G2298=""),"",IF(G2298&lt;='RETRATO 2027'!$K$5,"CONCLUÍDA",IF(F2298&lt;='RETRATO 2027'!$K$5,"EM ANDAMENTO","A INICIAR")))</f>
        <v>A INICIAR</v>
      </c>
    </row>
    <row r="2299" customFormat="false" ht="15" hidden="false" customHeight="false" outlineLevel="0" collapsed="false">
      <c r="B2299" s="4" t="n">
        <v>29981300</v>
      </c>
      <c r="C2299" s="4" t="s">
        <v>2732</v>
      </c>
      <c r="D2299" s="4" t="s">
        <v>463</v>
      </c>
      <c r="E2299" s="4" t="s">
        <v>2813</v>
      </c>
      <c r="F2299" s="127" t="n">
        <v>47142</v>
      </c>
      <c r="G2299" s="127" t="n">
        <v>47154</v>
      </c>
      <c r="H2299" s="127" t="n">
        <v>46289</v>
      </c>
      <c r="I2299" s="4" t="n">
        <v>0</v>
      </c>
      <c r="J2299" s="4" t="n">
        <v>0</v>
      </c>
      <c r="K2299" s="4" t="n">
        <v>0</v>
      </c>
      <c r="M2299" s="2" t="str">
        <f aca="false">IF(C2299="","",IFERROR(INDEX($S$5:$S$304,MATCH(C2299,$R$5:$R$304,0))&amp;"","?"))</f>
        <v/>
      </c>
      <c r="N2299" s="2" t="n">
        <f aca="false">IF(E2299="","",IF(ISNUMBER(SEARCH("SUBSOLO",E2299)),IFERROR(-VALUE(LEFT(E2299,FIND("º",SUBSTITUTE(E2299,"°","º"))-1)),-1),IF(LEFT(E2299,6)="TÉRREO",0,IFERROR(VALUE(LEFT(E2299,FIND("º",SUBSTITUTE(E2299,"°","º"))-1)),""))))</f>
        <v>14</v>
      </c>
      <c r="O2299" s="2" t="str">
        <f aca="false">IF(OR(F2299="",G2299=""),"",IF(G2299&lt;='RETRATO 2027'!$K$5,"CONCLUÍDA",IF(F2299&lt;='RETRATO 2027'!$K$5,"EM ANDAMENTO","A INICIAR")))</f>
        <v>A INICIAR</v>
      </c>
    </row>
    <row r="2300" customFormat="false" ht="15" hidden="false" customHeight="false" outlineLevel="0" collapsed="false">
      <c r="B2300" s="4" t="n">
        <v>29981087</v>
      </c>
      <c r="C2300" s="4" t="s">
        <v>2605</v>
      </c>
      <c r="D2300" s="4" t="s">
        <v>463</v>
      </c>
      <c r="E2300" s="4" t="s">
        <v>2822</v>
      </c>
      <c r="F2300" s="127" t="n">
        <v>47142</v>
      </c>
      <c r="G2300" s="127" t="n">
        <v>47154</v>
      </c>
      <c r="H2300" s="127" t="n">
        <v>46289</v>
      </c>
      <c r="I2300" s="4" t="n">
        <v>0</v>
      </c>
      <c r="J2300" s="4" t="n">
        <v>0</v>
      </c>
      <c r="K2300" s="4" t="n">
        <v>0</v>
      </c>
      <c r="M2300" s="2" t="str">
        <f aca="false">IF(C2300="","",IFERROR(INDEX($S$5:$S$304,MATCH(C2300,$R$5:$R$304,0))&amp;"","?"))</f>
        <v>34</v>
      </c>
      <c r="N2300" s="2" t="n">
        <f aca="false">IF(E2300="","",IF(ISNUMBER(SEARCH("SUBSOLO",E2300)),IFERROR(-VALUE(LEFT(E2300,FIND("º",SUBSTITUTE(E2300,"°","º"))-1)),-1),IF(LEFT(E2300,6)="TÉRREO",0,IFERROR(VALUE(LEFT(E2300,FIND("º",SUBSTITUTE(E2300,"°","º"))-1)),""))))</f>
        <v>19</v>
      </c>
      <c r="O2300" s="2" t="str">
        <f aca="false">IF(OR(F2300="",G2300=""),"",IF(G2300&lt;='RETRATO 2027'!$K$5,"CONCLUÍDA",IF(F2300&lt;='RETRATO 2027'!$K$5,"EM ANDAMENTO","A INICIAR")))</f>
        <v>A INICIAR</v>
      </c>
    </row>
    <row r="2301" customFormat="false" ht="15" hidden="false" customHeight="false" outlineLevel="0" collapsed="false">
      <c r="B2301" s="4" t="n">
        <v>29981092</v>
      </c>
      <c r="C2301" s="4" t="s">
        <v>2607</v>
      </c>
      <c r="D2301" s="4" t="s">
        <v>463</v>
      </c>
      <c r="E2301" s="4" t="s">
        <v>2822</v>
      </c>
      <c r="F2301" s="127" t="n">
        <v>47142</v>
      </c>
      <c r="G2301" s="127" t="n">
        <v>47154</v>
      </c>
      <c r="H2301" s="127" t="n">
        <v>46289</v>
      </c>
      <c r="I2301" s="4" t="n">
        <v>0</v>
      </c>
      <c r="J2301" s="4" t="n">
        <v>0</v>
      </c>
      <c r="K2301" s="4" t="n">
        <v>0</v>
      </c>
      <c r="M2301" s="2" t="str">
        <f aca="false">IF(C2301="","",IFERROR(INDEX($S$5:$S$304,MATCH(C2301,$R$5:$R$304,0))&amp;"","?"))</f>
        <v>34</v>
      </c>
      <c r="N2301" s="2" t="n">
        <f aca="false">IF(E2301="","",IF(ISNUMBER(SEARCH("SUBSOLO",E2301)),IFERROR(-VALUE(LEFT(E2301,FIND("º",SUBSTITUTE(E2301,"°","º"))-1)),-1),IF(LEFT(E2301,6)="TÉRREO",0,IFERROR(VALUE(LEFT(E2301,FIND("º",SUBSTITUTE(E2301,"°","º"))-1)),""))))</f>
        <v>19</v>
      </c>
      <c r="O2301" s="2" t="str">
        <f aca="false">IF(OR(F2301="",G2301=""),"",IF(G2301&lt;='RETRATO 2027'!$K$5,"CONCLUÍDA",IF(F2301&lt;='RETRATO 2027'!$K$5,"EM ANDAMENTO","A INICIAR")))</f>
        <v>A INICIAR</v>
      </c>
    </row>
    <row r="2302" customFormat="false" ht="15" hidden="false" customHeight="false" outlineLevel="0" collapsed="false">
      <c r="B2302" s="4" t="n">
        <v>29981091</v>
      </c>
      <c r="C2302" s="4" t="s">
        <v>2563</v>
      </c>
      <c r="D2302" s="4" t="s">
        <v>463</v>
      </c>
      <c r="E2302" s="4" t="s">
        <v>2822</v>
      </c>
      <c r="F2302" s="127" t="n">
        <v>47142</v>
      </c>
      <c r="G2302" s="127" t="n">
        <v>47154</v>
      </c>
      <c r="H2302" s="127" t="n">
        <v>46289</v>
      </c>
      <c r="I2302" s="4" t="n">
        <v>0</v>
      </c>
      <c r="J2302" s="4" t="n">
        <v>0</v>
      </c>
      <c r="K2302" s="4" t="n">
        <v>0</v>
      </c>
      <c r="M2302" s="2" t="str">
        <f aca="false">IF(C2302="","",IFERROR(INDEX($S$5:$S$304,MATCH(C2302,$R$5:$R$304,0))&amp;"","?"))</f>
        <v>20</v>
      </c>
      <c r="N2302" s="2" t="n">
        <f aca="false">IF(E2302="","",IF(ISNUMBER(SEARCH("SUBSOLO",E2302)),IFERROR(-VALUE(LEFT(E2302,FIND("º",SUBSTITUTE(E2302,"°","º"))-1)),-1),IF(LEFT(E2302,6)="TÉRREO",0,IFERROR(VALUE(LEFT(E2302,FIND("º",SUBSTITUTE(E2302,"°","º"))-1)),""))))</f>
        <v>19</v>
      </c>
      <c r="O2302" s="2" t="str">
        <f aca="false">IF(OR(F2302="",G2302=""),"",IF(G2302&lt;='RETRATO 2027'!$K$5,"CONCLUÍDA",IF(F2302&lt;='RETRATO 2027'!$K$5,"EM ANDAMENTO","A INICIAR")))</f>
        <v>A INICIAR</v>
      </c>
    </row>
    <row r="2303" customFormat="false" ht="15" hidden="false" customHeight="false" outlineLevel="0" collapsed="false">
      <c r="B2303" s="4" t="n">
        <v>29981090</v>
      </c>
      <c r="C2303" s="4" t="s">
        <v>2609</v>
      </c>
      <c r="D2303" s="4" t="s">
        <v>463</v>
      </c>
      <c r="E2303" s="4" t="s">
        <v>2822</v>
      </c>
      <c r="F2303" s="127" t="n">
        <v>47142</v>
      </c>
      <c r="G2303" s="127" t="n">
        <v>47154</v>
      </c>
      <c r="H2303" s="127" t="n">
        <v>46289</v>
      </c>
      <c r="I2303" s="4" t="n">
        <v>0</v>
      </c>
      <c r="J2303" s="4" t="n">
        <v>0</v>
      </c>
      <c r="K2303" s="4" t="n">
        <v>0</v>
      </c>
      <c r="M2303" s="2" t="str">
        <f aca="false">IF(C2303="","",IFERROR(INDEX($S$5:$S$304,MATCH(C2303,$R$5:$R$304,0))&amp;"","?"))</f>
        <v>23</v>
      </c>
      <c r="N2303" s="2" t="n">
        <f aca="false">IF(E2303="","",IF(ISNUMBER(SEARCH("SUBSOLO",E2303)),IFERROR(-VALUE(LEFT(E2303,FIND("º",SUBSTITUTE(E2303,"°","º"))-1)),-1),IF(LEFT(E2303,6)="TÉRREO",0,IFERROR(VALUE(LEFT(E2303,FIND("º",SUBSTITUTE(E2303,"°","º"))-1)),""))))</f>
        <v>19</v>
      </c>
      <c r="O2303" s="2" t="str">
        <f aca="false">IF(OR(F2303="",G2303=""),"",IF(G2303&lt;='RETRATO 2027'!$K$5,"CONCLUÍDA",IF(F2303&lt;='RETRATO 2027'!$K$5,"EM ANDAMENTO","A INICIAR")))</f>
        <v>A INICIAR</v>
      </c>
    </row>
    <row r="2304" customFormat="false" ht="15" hidden="false" customHeight="false" outlineLevel="0" collapsed="false">
      <c r="B2304" s="4" t="n">
        <v>30205927</v>
      </c>
      <c r="C2304" s="4" t="s">
        <v>2690</v>
      </c>
      <c r="D2304" s="4" t="s">
        <v>463</v>
      </c>
      <c r="E2304" s="4" t="s">
        <v>2845</v>
      </c>
      <c r="F2304" s="127" t="n">
        <v>47144</v>
      </c>
      <c r="G2304" s="127" t="n">
        <v>47164</v>
      </c>
      <c r="H2304" s="127" t="n">
        <v>46289</v>
      </c>
      <c r="I2304" s="4" t="n">
        <v>0</v>
      </c>
      <c r="J2304" s="4" t="n">
        <v>0</v>
      </c>
      <c r="K2304" s="4" t="n">
        <v>0</v>
      </c>
      <c r="M2304" s="2" t="str">
        <f aca="false">IF(C2304="","",IFERROR(INDEX($S$5:$S$304,MATCH(C2304,$R$5:$R$304,0))&amp;"","?"))</f>
        <v>37</v>
      </c>
      <c r="N2304" s="2" t="n">
        <f aca="false">IF(E2304="","",IF(ISNUMBER(SEARCH("SUBSOLO",E2304)),IFERROR(-VALUE(LEFT(E2304,FIND("º",SUBSTITUTE(E2304,"°","º"))-1)),-1),IF(LEFT(E2304,6)="TÉRREO",0,IFERROR(VALUE(LEFT(E2304,FIND("º",SUBSTITUTE(E2304,"°","º"))-1)),""))))</f>
        <v>6</v>
      </c>
      <c r="O2304" s="2" t="str">
        <f aca="false">IF(OR(F2304="",G2304=""),"",IF(G2304&lt;='RETRATO 2027'!$K$5,"CONCLUÍDA",IF(F2304&lt;='RETRATO 2027'!$K$5,"EM ANDAMENTO","A INICIAR")))</f>
        <v>A INICIAR</v>
      </c>
    </row>
    <row r="2305" customFormat="false" ht="15" hidden="false" customHeight="false" outlineLevel="0" collapsed="false">
      <c r="B2305" s="4" t="n">
        <v>30171423</v>
      </c>
      <c r="C2305" s="4" t="s">
        <v>2674</v>
      </c>
      <c r="D2305" s="4" t="s">
        <v>463</v>
      </c>
      <c r="E2305" s="4" t="s">
        <v>2800</v>
      </c>
      <c r="F2305" s="127" t="n">
        <v>47147</v>
      </c>
      <c r="G2305" s="127" t="n">
        <v>47158</v>
      </c>
      <c r="H2305" s="127" t="n">
        <v>46289</v>
      </c>
      <c r="I2305" s="4" t="n">
        <v>0</v>
      </c>
      <c r="J2305" s="4" t="n">
        <v>0</v>
      </c>
      <c r="K2305" s="4" t="n">
        <v>0</v>
      </c>
      <c r="M2305" s="2" t="str">
        <f aca="false">IF(C2305="","",IFERROR(INDEX($S$5:$S$304,MATCH(C2305,$R$5:$R$304,0))&amp;"","?"))</f>
        <v>35</v>
      </c>
      <c r="N2305" s="2" t="n">
        <f aca="false">IF(E2305="","",IF(ISNUMBER(SEARCH("SUBSOLO",E2305)),IFERROR(-VALUE(LEFT(E2305,FIND("º",SUBSTITUTE(E2305,"°","º"))-1)),-1),IF(LEFT(E2305,6)="TÉRREO",0,IFERROR(VALUE(LEFT(E2305,FIND("º",SUBSTITUTE(E2305,"°","º"))-1)),""))))</f>
        <v>4</v>
      </c>
      <c r="O2305" s="2" t="str">
        <f aca="false">IF(OR(F2305="",G2305=""),"",IF(G2305&lt;='RETRATO 2027'!$K$5,"CONCLUÍDA",IF(F2305&lt;='RETRATO 2027'!$K$5,"EM ANDAMENTO","A INICIAR")))</f>
        <v>A INICIAR</v>
      </c>
    </row>
    <row r="2306" customFormat="false" ht="15" hidden="false" customHeight="false" outlineLevel="0" collapsed="false">
      <c r="B2306" s="4" t="n">
        <v>30171391</v>
      </c>
      <c r="C2306" s="4" t="s">
        <v>2629</v>
      </c>
      <c r="D2306" s="4" t="s">
        <v>463</v>
      </c>
      <c r="E2306" s="4" t="s">
        <v>2801</v>
      </c>
      <c r="F2306" s="127" t="n">
        <v>47147</v>
      </c>
      <c r="G2306" s="127" t="n">
        <v>47158</v>
      </c>
      <c r="H2306" s="127" t="n">
        <v>46289</v>
      </c>
      <c r="I2306" s="4" t="n">
        <v>0</v>
      </c>
      <c r="J2306" s="4" t="n">
        <v>0</v>
      </c>
      <c r="K2306" s="4" t="n">
        <v>0</v>
      </c>
      <c r="M2306" s="2" t="str">
        <f aca="false">IF(C2306="","",IFERROR(INDEX($S$5:$S$304,MATCH(C2306,$R$5:$R$304,0))&amp;"","?"))</f>
        <v>20</v>
      </c>
      <c r="N2306" s="2" t="n">
        <f aca="false">IF(E2306="","",IF(ISNUMBER(SEARCH("SUBSOLO",E2306)),IFERROR(-VALUE(LEFT(E2306,FIND("º",SUBSTITUTE(E2306,"°","º"))-1)),-1),IF(LEFT(E2306,6)="TÉRREO",0,IFERROR(VALUE(LEFT(E2306,FIND("º",SUBSTITUTE(E2306,"°","º"))-1)),""))))</f>
        <v>5</v>
      </c>
      <c r="O2306" s="2" t="str">
        <f aca="false">IF(OR(F2306="",G2306=""),"",IF(G2306&lt;='RETRATO 2027'!$K$5,"CONCLUÍDA",IF(F2306&lt;='RETRATO 2027'!$K$5,"EM ANDAMENTO","A INICIAR")))</f>
        <v>A INICIAR</v>
      </c>
    </row>
    <row r="2307" customFormat="false" ht="15" hidden="false" customHeight="false" outlineLevel="0" collapsed="false">
      <c r="B2307" s="4" t="n">
        <v>30171390</v>
      </c>
      <c r="C2307" s="4" t="s">
        <v>2653</v>
      </c>
      <c r="D2307" s="4" t="s">
        <v>463</v>
      </c>
      <c r="E2307" s="4" t="s">
        <v>2801</v>
      </c>
      <c r="F2307" s="127" t="n">
        <v>47147</v>
      </c>
      <c r="G2307" s="127" t="n">
        <v>47172</v>
      </c>
      <c r="H2307" s="127" t="n">
        <v>46289</v>
      </c>
      <c r="I2307" s="4" t="n">
        <v>0</v>
      </c>
      <c r="J2307" s="4" t="n">
        <v>0</v>
      </c>
      <c r="K2307" s="4" t="n">
        <v>0</v>
      </c>
      <c r="M2307" s="2" t="str">
        <f aca="false">IF(C2307="","",IFERROR(INDEX($S$5:$S$304,MATCH(C2307,$R$5:$R$304,0))&amp;"","?"))</f>
        <v>31</v>
      </c>
      <c r="N2307" s="2" t="n">
        <f aca="false">IF(E2307="","",IF(ISNUMBER(SEARCH("SUBSOLO",E2307)),IFERROR(-VALUE(LEFT(E2307,FIND("º",SUBSTITUTE(E2307,"°","º"))-1)),-1),IF(LEFT(E2307,6)="TÉRREO",0,IFERROR(VALUE(LEFT(E2307,FIND("º",SUBSTITUTE(E2307,"°","º"))-1)),""))))</f>
        <v>5</v>
      </c>
      <c r="O2307" s="2" t="str">
        <f aca="false">IF(OR(F2307="",G2307=""),"",IF(G2307&lt;='RETRATO 2027'!$K$5,"CONCLUÍDA",IF(F2307&lt;='RETRATO 2027'!$K$5,"EM ANDAMENTO","A INICIAR")))</f>
        <v>A INICIAR</v>
      </c>
    </row>
    <row r="2308" customFormat="false" ht="15" hidden="false" customHeight="false" outlineLevel="0" collapsed="false">
      <c r="B2308" s="4" t="n">
        <v>30171402</v>
      </c>
      <c r="C2308" s="4" t="s">
        <v>2655</v>
      </c>
      <c r="D2308" s="4" t="s">
        <v>463</v>
      </c>
      <c r="E2308" s="4" t="s">
        <v>2801</v>
      </c>
      <c r="F2308" s="127" t="n">
        <v>47147</v>
      </c>
      <c r="G2308" s="127" t="n">
        <v>47158</v>
      </c>
      <c r="H2308" s="127" t="n">
        <v>46289</v>
      </c>
      <c r="I2308" s="4" t="n">
        <v>0</v>
      </c>
      <c r="J2308" s="4" t="n">
        <v>0</v>
      </c>
      <c r="K2308" s="4" t="n">
        <v>0</v>
      </c>
      <c r="M2308" s="2" t="str">
        <f aca="false">IF(C2308="","",IFERROR(INDEX($S$5:$S$304,MATCH(C2308,$R$5:$R$304,0))&amp;"","?"))</f>
        <v>34</v>
      </c>
      <c r="N2308" s="2" t="n">
        <f aca="false">IF(E2308="","",IF(ISNUMBER(SEARCH("SUBSOLO",E2308)),IFERROR(-VALUE(LEFT(E2308,FIND("º",SUBSTITUTE(E2308,"°","º"))-1)),-1),IF(LEFT(E2308,6)="TÉRREO",0,IFERROR(VALUE(LEFT(E2308,FIND("º",SUBSTITUTE(E2308,"°","º"))-1)),""))))</f>
        <v>5</v>
      </c>
      <c r="O2308" s="2" t="str">
        <f aca="false">IF(OR(F2308="",G2308=""),"",IF(G2308&lt;='RETRATO 2027'!$K$5,"CONCLUÍDA",IF(F2308&lt;='RETRATO 2027'!$K$5,"EM ANDAMENTO","A INICIAR")))</f>
        <v>A INICIAR</v>
      </c>
    </row>
    <row r="2309" customFormat="false" ht="15" hidden="false" customHeight="false" outlineLevel="0" collapsed="false">
      <c r="B2309" s="4" t="n">
        <v>30171403</v>
      </c>
      <c r="C2309" s="4" t="s">
        <v>2656</v>
      </c>
      <c r="D2309" s="4" t="s">
        <v>463</v>
      </c>
      <c r="E2309" s="4" t="s">
        <v>2801</v>
      </c>
      <c r="F2309" s="127" t="n">
        <v>47147</v>
      </c>
      <c r="G2309" s="127" t="n">
        <v>47158</v>
      </c>
      <c r="H2309" s="127" t="n">
        <v>46289</v>
      </c>
      <c r="I2309" s="4" t="n">
        <v>0</v>
      </c>
      <c r="J2309" s="4" t="n">
        <v>0</v>
      </c>
      <c r="K2309" s="4" t="n">
        <v>0</v>
      </c>
      <c r="M2309" s="2" t="str">
        <f aca="false">IF(C2309="","",IFERROR(INDEX($S$5:$S$304,MATCH(C2309,$R$5:$R$304,0))&amp;"","?"))</f>
        <v>20</v>
      </c>
      <c r="N2309" s="2" t="n">
        <f aca="false">IF(E2309="","",IF(ISNUMBER(SEARCH("SUBSOLO",E2309)),IFERROR(-VALUE(LEFT(E2309,FIND("º",SUBSTITUTE(E2309,"°","º"))-1)),-1),IF(LEFT(E2309,6)="TÉRREO",0,IFERROR(VALUE(LEFT(E2309,FIND("º",SUBSTITUTE(E2309,"°","º"))-1)),""))))</f>
        <v>5</v>
      </c>
      <c r="O2309" s="2" t="str">
        <f aca="false">IF(OR(F2309="",G2309=""),"",IF(G2309&lt;='RETRATO 2027'!$K$5,"CONCLUÍDA",IF(F2309&lt;='RETRATO 2027'!$K$5,"EM ANDAMENTO","A INICIAR")))</f>
        <v>A INICIAR</v>
      </c>
    </row>
    <row r="2310" customFormat="false" ht="15" hidden="false" customHeight="false" outlineLevel="0" collapsed="false">
      <c r="B2310" s="4" t="n">
        <v>30171406</v>
      </c>
      <c r="C2310" s="4" t="s">
        <v>2581</v>
      </c>
      <c r="D2310" s="4" t="s">
        <v>463</v>
      </c>
      <c r="E2310" s="4" t="s">
        <v>2801</v>
      </c>
      <c r="F2310" s="127" t="n">
        <v>47147</v>
      </c>
      <c r="G2310" s="127" t="n">
        <v>47158</v>
      </c>
      <c r="H2310" s="127" t="n">
        <v>46289</v>
      </c>
      <c r="I2310" s="4" t="n">
        <v>0</v>
      </c>
      <c r="J2310" s="4" t="n">
        <v>0</v>
      </c>
      <c r="K2310" s="4" t="n">
        <v>0</v>
      </c>
      <c r="M2310" s="2" t="str">
        <f aca="false">IF(C2310="","",IFERROR(INDEX($S$5:$S$304,MATCH(C2310,$R$5:$R$304,0))&amp;"","?"))</f>
        <v/>
      </c>
      <c r="N2310" s="2" t="n">
        <f aca="false">IF(E2310="","",IF(ISNUMBER(SEARCH("SUBSOLO",E2310)),IFERROR(-VALUE(LEFT(E2310,FIND("º",SUBSTITUTE(E2310,"°","º"))-1)),-1),IF(LEFT(E2310,6)="TÉRREO",0,IFERROR(VALUE(LEFT(E2310,FIND("º",SUBSTITUTE(E2310,"°","º"))-1)),""))))</f>
        <v>5</v>
      </c>
      <c r="O2310" s="2" t="str">
        <f aca="false">IF(OR(F2310="",G2310=""),"",IF(G2310&lt;='RETRATO 2027'!$K$5,"CONCLUÍDA",IF(F2310&lt;='RETRATO 2027'!$K$5,"EM ANDAMENTO","A INICIAR")))</f>
        <v>A INICIAR</v>
      </c>
    </row>
    <row r="2311" customFormat="false" ht="15" hidden="false" customHeight="false" outlineLevel="0" collapsed="false">
      <c r="B2311" s="4" t="n">
        <v>33807243</v>
      </c>
      <c r="C2311" s="4" t="s">
        <v>2738</v>
      </c>
      <c r="D2311" s="4" t="s">
        <v>463</v>
      </c>
      <c r="E2311" s="4" t="s">
        <v>2811</v>
      </c>
      <c r="F2311" s="127" t="n">
        <v>47147</v>
      </c>
      <c r="G2311" s="127" t="n">
        <v>47149</v>
      </c>
      <c r="H2311" s="127" t="n">
        <v>46289</v>
      </c>
      <c r="I2311" s="4" t="n">
        <v>0</v>
      </c>
      <c r="J2311" s="4" t="n">
        <v>0</v>
      </c>
      <c r="K2311" s="4" t="n">
        <v>0</v>
      </c>
      <c r="M2311" s="2" t="str">
        <f aca="false">IF(C2311="","",IFERROR(INDEX($S$5:$S$304,MATCH(C2311,$R$5:$R$304,0))&amp;"","?"))</f>
        <v/>
      </c>
      <c r="N2311" s="2" t="n">
        <f aca="false">IF(E2311="","",IF(ISNUMBER(SEARCH("SUBSOLO",E2311)),IFERROR(-VALUE(LEFT(E2311,FIND("º",SUBSTITUTE(E2311,"°","º"))-1)),-1),IF(LEFT(E2311,6)="TÉRREO",0,IFERROR(VALUE(LEFT(E2311,FIND("º",SUBSTITUTE(E2311,"°","º"))-1)),""))))</f>
        <v>12</v>
      </c>
      <c r="O2311" s="2" t="str">
        <f aca="false">IF(OR(F2311="",G2311=""),"",IF(G2311&lt;='RETRATO 2027'!$K$5,"CONCLUÍDA",IF(F2311&lt;='RETRATO 2027'!$K$5,"EM ANDAMENTO","A INICIAR")))</f>
        <v>A INICIAR</v>
      </c>
    </row>
    <row r="2312" customFormat="false" ht="15" hidden="false" customHeight="false" outlineLevel="0" collapsed="false">
      <c r="B2312" s="4" t="n">
        <v>29981263</v>
      </c>
      <c r="C2312" s="4" t="s">
        <v>2732</v>
      </c>
      <c r="D2312" s="4" t="s">
        <v>463</v>
      </c>
      <c r="E2312" s="4" t="s">
        <v>2814</v>
      </c>
      <c r="F2312" s="127" t="n">
        <v>47147</v>
      </c>
      <c r="G2312" s="127" t="n">
        <v>47157</v>
      </c>
      <c r="H2312" s="127" t="n">
        <v>46289</v>
      </c>
      <c r="I2312" s="4" t="n">
        <v>0</v>
      </c>
      <c r="J2312" s="4" t="n">
        <v>0</v>
      </c>
      <c r="K2312" s="4" t="n">
        <v>0</v>
      </c>
      <c r="M2312" s="2" t="str">
        <f aca="false">IF(C2312="","",IFERROR(INDEX($S$5:$S$304,MATCH(C2312,$R$5:$R$304,0))&amp;"","?"))</f>
        <v/>
      </c>
      <c r="N2312" s="2" t="n">
        <f aca="false">IF(E2312="","",IF(ISNUMBER(SEARCH("SUBSOLO",E2312)),IFERROR(-VALUE(LEFT(E2312,FIND("º",SUBSTITUTE(E2312,"°","º"))-1)),-1),IF(LEFT(E2312,6)="TÉRREO",0,IFERROR(VALUE(LEFT(E2312,FIND("º",SUBSTITUTE(E2312,"°","º"))-1)),""))))</f>
        <v>15</v>
      </c>
      <c r="O2312" s="2" t="str">
        <f aca="false">IF(OR(F2312="",G2312=""),"",IF(G2312&lt;='RETRATO 2027'!$K$5,"CONCLUÍDA",IF(F2312&lt;='RETRATO 2027'!$K$5,"EM ANDAMENTO","A INICIAR")))</f>
        <v>A INICIAR</v>
      </c>
    </row>
    <row r="2313" customFormat="false" ht="15" hidden="false" customHeight="false" outlineLevel="0" collapsed="false">
      <c r="B2313" s="4" t="n">
        <v>29980810</v>
      </c>
      <c r="C2313" s="4" t="s">
        <v>2649</v>
      </c>
      <c r="D2313" s="4" t="s">
        <v>463</v>
      </c>
      <c r="E2313" s="4" t="s">
        <v>2838</v>
      </c>
      <c r="F2313" s="127" t="n">
        <v>47147</v>
      </c>
      <c r="G2313" s="127" t="n">
        <v>47157</v>
      </c>
      <c r="H2313" s="127" t="n">
        <v>46289</v>
      </c>
      <c r="I2313" s="4" t="n">
        <v>0</v>
      </c>
      <c r="J2313" s="4" t="n">
        <v>0</v>
      </c>
      <c r="K2313" s="4" t="n">
        <v>0</v>
      </c>
      <c r="M2313" s="2" t="str">
        <f aca="false">IF(C2313="","",IFERROR(INDEX($S$5:$S$304,MATCH(C2313,$R$5:$R$304,0))&amp;"","?"))</f>
        <v>37</v>
      </c>
      <c r="N2313" s="2" t="n">
        <f aca="false">IF(E2313="","",IF(ISNUMBER(SEARCH("SUBSOLO",E2313)),IFERROR(-VALUE(LEFT(E2313,FIND("º",SUBSTITUTE(E2313,"°","º"))-1)),-1),IF(LEFT(E2313,6)="TÉRREO",0,IFERROR(VALUE(LEFT(E2313,FIND("º",SUBSTITUTE(E2313,"°","º"))-1)),""))))</f>
        <v>27</v>
      </c>
      <c r="O2313" s="2" t="str">
        <f aca="false">IF(OR(F2313="",G2313=""),"",IF(G2313&lt;='RETRATO 2027'!$K$5,"CONCLUÍDA",IF(F2313&lt;='RETRATO 2027'!$K$5,"EM ANDAMENTO","A INICIAR")))</f>
        <v>A INICIAR</v>
      </c>
    </row>
    <row r="2314" customFormat="false" ht="15" hidden="false" customHeight="false" outlineLevel="0" collapsed="false">
      <c r="B2314" s="4" t="n">
        <v>29980763</v>
      </c>
      <c r="C2314" s="4" t="s">
        <v>2641</v>
      </c>
      <c r="D2314" s="4" t="s">
        <v>463</v>
      </c>
      <c r="E2314" s="4" t="s">
        <v>2840</v>
      </c>
      <c r="F2314" s="127" t="n">
        <v>47147</v>
      </c>
      <c r="G2314" s="127" t="n">
        <v>47157</v>
      </c>
      <c r="H2314" s="127" t="n">
        <v>46289</v>
      </c>
      <c r="I2314" s="4" t="n">
        <v>0</v>
      </c>
      <c r="J2314" s="4" t="n">
        <v>0</v>
      </c>
      <c r="K2314" s="4" t="n">
        <v>0</v>
      </c>
      <c r="M2314" s="2" t="str">
        <f aca="false">IF(C2314="","",IFERROR(INDEX($S$5:$S$304,MATCH(C2314,$R$5:$R$304,0))&amp;"","?"))</f>
        <v>35</v>
      </c>
      <c r="N2314" s="2" t="n">
        <f aca="false">IF(E2314="","",IF(ISNUMBER(SEARCH("SUBSOLO",E2314)),IFERROR(-VALUE(LEFT(E2314,FIND("º",SUBSTITUTE(E2314,"°","º"))-1)),-1),IF(LEFT(E2314,6)="TÉRREO",0,IFERROR(VALUE(LEFT(E2314,FIND("º",SUBSTITUTE(E2314,"°","º"))-1)),""))))</f>
        <v>28</v>
      </c>
      <c r="O2314" s="2" t="str">
        <f aca="false">IF(OR(F2314="",G2314=""),"",IF(G2314&lt;='RETRATO 2027'!$K$5,"CONCLUÍDA",IF(F2314&lt;='RETRATO 2027'!$K$5,"EM ANDAMENTO","A INICIAR")))</f>
        <v>A INICIAR</v>
      </c>
    </row>
    <row r="2315" customFormat="false" ht="15" hidden="false" customHeight="false" outlineLevel="0" collapsed="false">
      <c r="B2315" s="4" t="n">
        <v>30171657</v>
      </c>
      <c r="C2315" s="4" t="s">
        <v>2641</v>
      </c>
      <c r="D2315" s="4" t="s">
        <v>463</v>
      </c>
      <c r="E2315" s="4" t="s">
        <v>2816</v>
      </c>
      <c r="F2315" s="127" t="n">
        <v>47148</v>
      </c>
      <c r="G2315" s="127" t="n">
        <v>47175</v>
      </c>
      <c r="H2315" s="127" t="n">
        <v>46289</v>
      </c>
      <c r="I2315" s="4" t="n">
        <v>0</v>
      </c>
      <c r="J2315" s="4" t="n">
        <v>0</v>
      </c>
      <c r="K2315" s="4" t="n">
        <v>0</v>
      </c>
      <c r="M2315" s="2" t="str">
        <f aca="false">IF(C2315="","",IFERROR(INDEX($S$5:$S$304,MATCH(C2315,$R$5:$R$304,0))&amp;"","?"))</f>
        <v>35</v>
      </c>
      <c r="N2315" s="2" t="str">
        <f aca="false"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 t="str">
        <f aca="false">IF(OR(F2315="",G2315=""),"",IF(G2315&lt;='RETRATO 2027'!$K$5,"CONCLUÍDA",IF(F2315&lt;='RETRATO 2027'!$K$5,"EM ANDAMENTO","A INICIAR")))</f>
        <v>A INICIAR</v>
      </c>
    </row>
    <row r="2316" customFormat="false" ht="15" hidden="false" customHeight="false" outlineLevel="0" collapsed="false">
      <c r="B2316" s="4" t="n">
        <v>33807244</v>
      </c>
      <c r="C2316" s="4" t="s">
        <v>2738</v>
      </c>
      <c r="D2316" s="4" t="s">
        <v>463</v>
      </c>
      <c r="E2316" s="4" t="s">
        <v>2812</v>
      </c>
      <c r="F2316" s="127" t="n">
        <v>47150</v>
      </c>
      <c r="G2316" s="127" t="n">
        <v>47154</v>
      </c>
      <c r="H2316" s="127" t="n">
        <v>46289</v>
      </c>
      <c r="I2316" s="4" t="n">
        <v>0</v>
      </c>
      <c r="J2316" s="4" t="n">
        <v>0</v>
      </c>
      <c r="K2316" s="4" t="n">
        <v>0</v>
      </c>
      <c r="M2316" s="2" t="str">
        <f aca="false">IF(C2316="","",IFERROR(INDEX($S$5:$S$304,MATCH(C2316,$R$5:$R$304,0))&amp;"","?"))</f>
        <v/>
      </c>
      <c r="N2316" s="2" t="n">
        <f aca="false">IF(E2316="","",IF(ISNUMBER(SEARCH("SUBSOLO",E2316)),IFERROR(-VALUE(LEFT(E2316,FIND("º",SUBSTITUTE(E2316,"°","º"))-1)),-1),IF(LEFT(E2316,6)="TÉRREO",0,IFERROR(VALUE(LEFT(E2316,FIND("º",SUBSTITUTE(E2316,"°","º"))-1)),""))))</f>
        <v>13</v>
      </c>
      <c r="O2316" s="2" t="str">
        <f aca="false">IF(OR(F2316="",G2316=""),"",IF(G2316&lt;='RETRATO 2027'!$K$5,"CONCLUÍDA",IF(F2316&lt;='RETRATO 2027'!$K$5,"EM ANDAMENTO","A INICIAR")))</f>
        <v>A INICIAR</v>
      </c>
    </row>
    <row r="2317" customFormat="false" ht="15" hidden="false" customHeight="false" outlineLevel="0" collapsed="false">
      <c r="B2317" s="4" t="n">
        <v>29981226</v>
      </c>
      <c r="C2317" s="4" t="s">
        <v>2732</v>
      </c>
      <c r="D2317" s="4" t="s">
        <v>463</v>
      </c>
      <c r="E2317" s="4" t="s">
        <v>2815</v>
      </c>
      <c r="F2317" s="127" t="n">
        <v>47150</v>
      </c>
      <c r="G2317" s="127" t="n">
        <v>47162</v>
      </c>
      <c r="H2317" s="127" t="n">
        <v>46289</v>
      </c>
      <c r="I2317" s="4" t="n">
        <v>0</v>
      </c>
      <c r="J2317" s="4" t="n">
        <v>0</v>
      </c>
      <c r="K2317" s="4" t="n">
        <v>0</v>
      </c>
      <c r="M2317" s="2" t="str">
        <f aca="false">IF(C2317="","",IFERROR(INDEX($S$5:$S$304,MATCH(C2317,$R$5:$R$304,0))&amp;"","?"))</f>
        <v/>
      </c>
      <c r="N2317" s="2" t="n">
        <f aca="false">IF(E2317="","",IF(ISNUMBER(SEARCH("SUBSOLO",E2317)),IFERROR(-VALUE(LEFT(E2317,FIND("º",SUBSTITUTE(E2317,"°","º"))-1)),-1),IF(LEFT(E2317,6)="TÉRREO",0,IFERROR(VALUE(LEFT(E2317,FIND("º",SUBSTITUTE(E2317,"°","º"))-1)),""))))</f>
        <v>16</v>
      </c>
      <c r="O2317" s="2" t="str">
        <f aca="false">IF(OR(F2317="",G2317=""),"",IF(G2317&lt;='RETRATO 2027'!$K$5,"CONCLUÍDA",IF(F2317&lt;='RETRATO 2027'!$K$5,"EM ANDAMENTO","A INICIAR")))</f>
        <v>A INICIAR</v>
      </c>
    </row>
    <row r="2318" customFormat="false" ht="15" hidden="false" customHeight="false" outlineLevel="0" collapsed="false">
      <c r="B2318" s="4" t="n">
        <v>29980725</v>
      </c>
      <c r="C2318" s="4" t="s">
        <v>2637</v>
      </c>
      <c r="D2318" s="4" t="s">
        <v>463</v>
      </c>
      <c r="E2318" s="4" t="s">
        <v>2841</v>
      </c>
      <c r="F2318" s="127" t="n">
        <v>47151</v>
      </c>
      <c r="G2318" s="127" t="n">
        <v>47157</v>
      </c>
      <c r="H2318" s="127" t="n">
        <v>46289</v>
      </c>
      <c r="I2318" s="4" t="n">
        <v>0</v>
      </c>
      <c r="J2318" s="4" t="n">
        <v>0</v>
      </c>
      <c r="K2318" s="4" t="n">
        <v>0</v>
      </c>
      <c r="M2318" s="2" t="str">
        <f aca="false">IF(C2318="","",IFERROR(INDEX($S$5:$S$304,MATCH(C2318,$R$5:$R$304,0))&amp;"","?"))</f>
        <v/>
      </c>
      <c r="N2318" s="2" t="n">
        <f aca="false">IF(E2318="","",IF(ISNUMBER(SEARCH("SUBSOLO",E2318)),IFERROR(-VALUE(LEFT(E2318,FIND("º",SUBSTITUTE(E2318,"°","º"))-1)),-1),IF(LEFT(E2318,6)="TÉRREO",0,IFERROR(VALUE(LEFT(E2318,FIND("º",SUBSTITUTE(E2318,"°","º"))-1)),""))))</f>
        <v>29</v>
      </c>
      <c r="O2318" s="2" t="str">
        <f aca="false">IF(OR(F2318="",G2318=""),"",IF(G2318&lt;='RETRATO 2027'!$K$5,"CONCLUÍDA",IF(F2318&lt;='RETRATO 2027'!$K$5,"EM ANDAMENTO","A INICIAR")))</f>
        <v>A INICIAR</v>
      </c>
    </row>
    <row r="2319" customFormat="false" ht="15" hidden="false" customHeight="false" outlineLevel="0" collapsed="false">
      <c r="B2319" s="4" t="n">
        <v>29980690</v>
      </c>
      <c r="C2319" s="4" t="s">
        <v>2629</v>
      </c>
      <c r="D2319" s="4" t="s">
        <v>463</v>
      </c>
      <c r="E2319" s="4" t="s">
        <v>2842</v>
      </c>
      <c r="F2319" s="127" t="n">
        <v>47151</v>
      </c>
      <c r="G2319" s="127" t="n">
        <v>47163</v>
      </c>
      <c r="H2319" s="127" t="n">
        <v>46289</v>
      </c>
      <c r="I2319" s="4" t="n">
        <v>0</v>
      </c>
      <c r="J2319" s="4" t="n">
        <v>0</v>
      </c>
      <c r="K2319" s="4" t="n">
        <v>0</v>
      </c>
      <c r="M2319" s="2" t="str">
        <f aca="false">IF(C2319="","",IFERROR(INDEX($S$5:$S$304,MATCH(C2319,$R$5:$R$304,0))&amp;"","?"))</f>
        <v>20</v>
      </c>
      <c r="N2319" s="2" t="n">
        <f aca="false">IF(E2319="","",IF(ISNUMBER(SEARCH("SUBSOLO",E2319)),IFERROR(-VALUE(LEFT(E2319,FIND("º",SUBSTITUTE(E2319,"°","º"))-1)),-1),IF(LEFT(E2319,6)="TÉRREO",0,IFERROR(VALUE(LEFT(E2319,FIND("º",SUBSTITUTE(E2319,"°","º"))-1)),""))))</f>
        <v>30</v>
      </c>
      <c r="O2319" s="2" t="str">
        <f aca="false">IF(OR(F2319="",G2319=""),"",IF(G2319&lt;='RETRATO 2027'!$K$5,"CONCLUÍDA",IF(F2319&lt;='RETRATO 2027'!$K$5,"EM ANDAMENTO","A INICIAR")))</f>
        <v>A INICIAR</v>
      </c>
    </row>
    <row r="2320" customFormat="false" ht="15" hidden="false" customHeight="false" outlineLevel="0" collapsed="false">
      <c r="B2320" s="4" t="n">
        <v>29980650</v>
      </c>
      <c r="C2320" s="4" t="s">
        <v>2623</v>
      </c>
      <c r="D2320" s="4" t="s">
        <v>463</v>
      </c>
      <c r="E2320" s="4" t="s">
        <v>2843</v>
      </c>
      <c r="F2320" s="127" t="n">
        <v>47151</v>
      </c>
      <c r="G2320" s="127" t="n">
        <v>47163</v>
      </c>
      <c r="H2320" s="127" t="n">
        <v>46289</v>
      </c>
      <c r="I2320" s="4" t="n">
        <v>0</v>
      </c>
      <c r="J2320" s="4" t="n">
        <v>0</v>
      </c>
      <c r="K2320" s="4" t="n">
        <v>0</v>
      </c>
      <c r="M2320" s="2" t="str">
        <f aca="false">IF(C2320="","",IFERROR(INDEX($S$5:$S$304,MATCH(C2320,$R$5:$R$304,0))&amp;"","?"))</f>
        <v>35</v>
      </c>
      <c r="N2320" s="2" t="n">
        <f aca="false">IF(E2320="","",IF(ISNUMBER(SEARCH("SUBSOLO",E2320)),IFERROR(-VALUE(LEFT(E2320,FIND("º",SUBSTITUTE(E2320,"°","º"))-1)),-1),IF(LEFT(E2320,6)="TÉRREO",0,IFERROR(VALUE(LEFT(E2320,FIND("º",SUBSTITUTE(E2320,"°","º"))-1)),""))))</f>
        <v>31</v>
      </c>
      <c r="O2320" s="2" t="str">
        <f aca="false">IF(OR(F2320="",G2320=""),"",IF(G2320&lt;='RETRATO 2027'!$K$5,"CONCLUÍDA",IF(F2320&lt;='RETRATO 2027'!$K$5,"EM ANDAMENTO","A INICIAR")))</f>
        <v>A INICIAR</v>
      </c>
    </row>
    <row r="2321" customFormat="false" ht="15" hidden="false" customHeight="false" outlineLevel="0" collapsed="false">
      <c r="B2321" s="4" t="n">
        <v>33919808</v>
      </c>
      <c r="C2321" s="4" t="s">
        <v>2625</v>
      </c>
      <c r="D2321" s="4" t="s">
        <v>463</v>
      </c>
      <c r="E2321" s="4" t="s">
        <v>2843</v>
      </c>
      <c r="F2321" s="127" t="n">
        <v>47151</v>
      </c>
      <c r="G2321" s="127" t="n">
        <v>47163</v>
      </c>
      <c r="H2321" s="127" t="n">
        <v>46289</v>
      </c>
      <c r="I2321" s="4" t="n">
        <v>0</v>
      </c>
      <c r="J2321" s="4" t="n">
        <v>0</v>
      </c>
      <c r="K2321" s="4" t="n">
        <v>0</v>
      </c>
      <c r="M2321" s="2" t="str">
        <f aca="false">IF(C2321="","",IFERROR(INDEX($S$5:$S$304,MATCH(C2321,$R$5:$R$304,0))&amp;"","?"))</f>
        <v>32</v>
      </c>
      <c r="N2321" s="2" t="n">
        <f aca="false">IF(E2321="","",IF(ISNUMBER(SEARCH("SUBSOLO",E2321)),IFERROR(-VALUE(LEFT(E2321,FIND("º",SUBSTITUTE(E2321,"°","º"))-1)),-1),IF(LEFT(E2321,6)="TÉRREO",0,IFERROR(VALUE(LEFT(E2321,FIND("º",SUBSTITUTE(E2321,"°","º"))-1)),""))))</f>
        <v>31</v>
      </c>
      <c r="O2321" s="2" t="str">
        <f aca="false">IF(OR(F2321="",G2321=""),"",IF(G2321&lt;='RETRATO 2027'!$K$5,"CONCLUÍDA",IF(F2321&lt;='RETRATO 2027'!$K$5,"EM ANDAMENTO","A INICIAR")))</f>
        <v>A INICIAR</v>
      </c>
    </row>
    <row r="2322" customFormat="false" ht="15" hidden="false" customHeight="false" outlineLevel="0" collapsed="false">
      <c r="B2322" s="4" t="n">
        <v>29980612</v>
      </c>
      <c r="C2322" s="4" t="s">
        <v>2615</v>
      </c>
      <c r="D2322" s="4" t="s">
        <v>463</v>
      </c>
      <c r="E2322" s="4" t="s">
        <v>2844</v>
      </c>
      <c r="F2322" s="127" t="n">
        <v>47151</v>
      </c>
      <c r="G2322" s="127" t="n">
        <v>47163</v>
      </c>
      <c r="H2322" s="127" t="n">
        <v>46289</v>
      </c>
      <c r="I2322" s="4" t="n">
        <v>0</v>
      </c>
      <c r="J2322" s="4" t="n">
        <v>0</v>
      </c>
      <c r="K2322" s="4" t="n">
        <v>0</v>
      </c>
      <c r="M2322" s="2" t="str">
        <f aca="false">IF(C2322="","",IFERROR(INDEX($S$5:$S$304,MATCH(C2322,$R$5:$R$304,0))&amp;"","?"))</f>
        <v>37</v>
      </c>
      <c r="N2322" s="2" t="n">
        <f aca="false">IF(E2322="","",IF(ISNUMBER(SEARCH("SUBSOLO",E2322)),IFERROR(-VALUE(LEFT(E2322,FIND("º",SUBSTITUTE(E2322,"°","º"))-1)),-1),IF(LEFT(E2322,6)="TÉRREO",0,IFERROR(VALUE(LEFT(E2322,FIND("º",SUBSTITUTE(E2322,"°","º"))-1)),""))))</f>
        <v>32</v>
      </c>
      <c r="O2322" s="2" t="str">
        <f aca="false">IF(OR(F2322="",G2322=""),"",IF(G2322&lt;='RETRATO 2027'!$K$5,"CONCLUÍDA",IF(F2322&lt;='RETRATO 2027'!$K$5,"EM ANDAMENTO","A INICIAR")))</f>
        <v>A INICIAR</v>
      </c>
    </row>
    <row r="2323" customFormat="false" ht="15" hidden="false" customHeight="false" outlineLevel="0" collapsed="false">
      <c r="B2323" s="4" t="n">
        <v>30206021</v>
      </c>
      <c r="C2323" s="4" t="s">
        <v>2732</v>
      </c>
      <c r="D2323" s="4" t="s">
        <v>463</v>
      </c>
      <c r="E2323" s="4" t="s">
        <v>2849</v>
      </c>
      <c r="F2323" s="127" t="n">
        <v>47155</v>
      </c>
      <c r="G2323" s="127" t="n">
        <v>47168</v>
      </c>
      <c r="H2323" s="127" t="n">
        <v>46289</v>
      </c>
      <c r="I2323" s="4" t="n">
        <v>0</v>
      </c>
      <c r="J2323" s="4" t="n">
        <v>0</v>
      </c>
      <c r="K2323" s="4" t="n">
        <v>0</v>
      </c>
      <c r="M2323" s="2" t="str">
        <f aca="false">IF(C2323="","",IFERROR(INDEX($S$5:$S$304,MATCH(C2323,$R$5:$R$304,0))&amp;"","?"))</f>
        <v/>
      </c>
      <c r="N2323" s="2" t="n">
        <f aca="false">IF(E2323="","",IF(ISNUMBER(SEARCH("SUBSOLO",E2323)),IFERROR(-VALUE(LEFT(E2323,FIND("º",SUBSTITUTE(E2323,"°","º"))-1)),-1),IF(LEFT(E2323,6)="TÉRREO",0,IFERROR(VALUE(LEFT(E2323,FIND("º",SUBSTITUTE(E2323,"°","º"))-1)),""))))</f>
        <v>6</v>
      </c>
      <c r="O2323" s="2" t="str">
        <f aca="false">IF(OR(F2323="",G2323=""),"",IF(G2323&lt;='RETRATO 2027'!$K$5,"CONCLUÍDA",IF(F2323&lt;='RETRATO 2027'!$K$5,"EM ANDAMENTO","A INICIAR")))</f>
        <v>A INICIAR</v>
      </c>
    </row>
    <row r="2324" customFormat="false" ht="15" hidden="false" customHeight="false" outlineLevel="0" collapsed="false">
      <c r="B2324" s="4" t="n">
        <v>30205978</v>
      </c>
      <c r="C2324" s="4" t="s">
        <v>2649</v>
      </c>
      <c r="D2324" s="4" t="s">
        <v>463</v>
      </c>
      <c r="E2324" s="4" t="s">
        <v>2850</v>
      </c>
      <c r="F2324" s="127" t="n">
        <v>47155</v>
      </c>
      <c r="G2324" s="127" t="n">
        <v>47168</v>
      </c>
      <c r="H2324" s="127" t="n">
        <v>46289</v>
      </c>
      <c r="I2324" s="4" t="n">
        <v>0</v>
      </c>
      <c r="J2324" s="4" t="n">
        <v>0</v>
      </c>
      <c r="K2324" s="4" t="n">
        <v>0</v>
      </c>
      <c r="M2324" s="2" t="str">
        <f aca="false">IF(C2324="","",IFERROR(INDEX($S$5:$S$304,MATCH(C2324,$R$5:$R$304,0))&amp;"","?"))</f>
        <v>37</v>
      </c>
      <c r="N2324" s="2" t="n">
        <f aca="false">IF(E2324="","",IF(ISNUMBER(SEARCH("SUBSOLO",E2324)),IFERROR(-VALUE(LEFT(E2324,FIND("º",SUBSTITUTE(E2324,"°","º"))-1)),-1),IF(LEFT(E2324,6)="TÉRREO",0,IFERROR(VALUE(LEFT(E2324,FIND("º",SUBSTITUTE(E2324,"°","º"))-1)),""))))</f>
        <v>6</v>
      </c>
      <c r="O2324" s="2" t="str">
        <f aca="false">IF(OR(F2324="",G2324=""),"",IF(G2324&lt;='RETRATO 2027'!$K$5,"CONCLUÍDA",IF(F2324&lt;='RETRATO 2027'!$K$5,"EM ANDAMENTO","A INICIAR")))</f>
        <v>A INICIAR</v>
      </c>
    </row>
    <row r="2325" customFormat="false" ht="15" hidden="false" customHeight="false" outlineLevel="0" collapsed="false">
      <c r="B2325" s="4" t="n">
        <v>33807245</v>
      </c>
      <c r="C2325" s="4" t="s">
        <v>2738</v>
      </c>
      <c r="D2325" s="4" t="s">
        <v>463</v>
      </c>
      <c r="E2325" s="4" t="s">
        <v>2813</v>
      </c>
      <c r="F2325" s="127" t="n">
        <v>47155</v>
      </c>
      <c r="G2325" s="127" t="n">
        <v>47157</v>
      </c>
      <c r="H2325" s="127" t="n">
        <v>46289</v>
      </c>
      <c r="I2325" s="4" t="n">
        <v>0</v>
      </c>
      <c r="J2325" s="4" t="n">
        <v>0</v>
      </c>
      <c r="K2325" s="4" t="n">
        <v>0</v>
      </c>
      <c r="M2325" s="2" t="str">
        <f aca="false">IF(C2325="","",IFERROR(INDEX($S$5:$S$304,MATCH(C2325,$R$5:$R$304,0))&amp;"","?"))</f>
        <v/>
      </c>
      <c r="N2325" s="2" t="n">
        <f aca="false">IF(E2325="","",IF(ISNUMBER(SEARCH("SUBSOLO",E2325)),IFERROR(-VALUE(LEFT(E2325,FIND("º",SUBSTITUTE(E2325,"°","º"))-1)),-1),IF(LEFT(E2325,6)="TÉRREO",0,IFERROR(VALUE(LEFT(E2325,FIND("º",SUBSTITUTE(E2325,"°","º"))-1)),""))))</f>
        <v>14</v>
      </c>
      <c r="O2325" s="2" t="str">
        <f aca="false">IF(OR(F2325="",G2325=""),"",IF(G2325&lt;='RETRATO 2027'!$K$5,"CONCLUÍDA",IF(F2325&lt;='RETRATO 2027'!$K$5,"EM ANDAMENTO","A INICIAR")))</f>
        <v>A INICIAR</v>
      </c>
    </row>
    <row r="2326" customFormat="false" ht="15" hidden="false" customHeight="false" outlineLevel="0" collapsed="false">
      <c r="B2326" s="4" t="n">
        <v>29981189</v>
      </c>
      <c r="C2326" s="4" t="s">
        <v>2732</v>
      </c>
      <c r="D2326" s="4" t="s">
        <v>463</v>
      </c>
      <c r="E2326" s="4" t="s">
        <v>2818</v>
      </c>
      <c r="F2326" s="127" t="n">
        <v>47155</v>
      </c>
      <c r="G2326" s="127" t="n">
        <v>47165</v>
      </c>
      <c r="H2326" s="127" t="n">
        <v>46289</v>
      </c>
      <c r="I2326" s="4" t="n">
        <v>0</v>
      </c>
      <c r="J2326" s="4" t="n">
        <v>0</v>
      </c>
      <c r="K2326" s="4" t="n">
        <v>0</v>
      </c>
      <c r="M2326" s="2" t="str">
        <f aca="false">IF(C2326="","",IFERROR(INDEX($S$5:$S$304,MATCH(C2326,$R$5:$R$304,0))&amp;"","?"))</f>
        <v/>
      </c>
      <c r="N2326" s="2" t="n">
        <f aca="false">IF(E2326="","",IF(ISNUMBER(SEARCH("SUBSOLO",E2326)),IFERROR(-VALUE(LEFT(E2326,FIND("º",SUBSTITUTE(E2326,"°","º"))-1)),-1),IF(LEFT(E2326,6)="TÉRREO",0,IFERROR(VALUE(LEFT(E2326,FIND("º",SUBSTITUTE(E2326,"°","º"))-1)),""))))</f>
        <v>17</v>
      </c>
      <c r="O2326" s="2" t="str">
        <f aca="false">IF(OR(F2326="",G2326=""),"",IF(G2326&lt;='RETRATO 2027'!$K$5,"CONCLUÍDA",IF(F2326&lt;='RETRATO 2027'!$K$5,"EM ANDAMENTO","A INICIAR")))</f>
        <v>A INICIAR</v>
      </c>
    </row>
    <row r="2327" customFormat="false" ht="15" hidden="false" customHeight="false" outlineLevel="0" collapsed="false">
      <c r="B2327" s="4" t="n">
        <v>29981093</v>
      </c>
      <c r="C2327" s="4" t="s">
        <v>2615</v>
      </c>
      <c r="D2327" s="4" t="s">
        <v>463</v>
      </c>
      <c r="E2327" s="4" t="s">
        <v>2822</v>
      </c>
      <c r="F2327" s="127" t="n">
        <v>47155</v>
      </c>
      <c r="G2327" s="127" t="n">
        <v>47161</v>
      </c>
      <c r="H2327" s="127" t="n">
        <v>46289</v>
      </c>
      <c r="I2327" s="4" t="n">
        <v>0</v>
      </c>
      <c r="J2327" s="4" t="n">
        <v>0</v>
      </c>
      <c r="K2327" s="4" t="n">
        <v>0</v>
      </c>
      <c r="M2327" s="2" t="str">
        <f aca="false">IF(C2327="","",IFERROR(INDEX($S$5:$S$304,MATCH(C2327,$R$5:$R$304,0))&amp;"","?"))</f>
        <v>37</v>
      </c>
      <c r="N2327" s="2" t="n">
        <f aca="false">IF(E2327="","",IF(ISNUMBER(SEARCH("SUBSOLO",E2327)),IFERROR(-VALUE(LEFT(E2327,FIND("º",SUBSTITUTE(E2327,"°","º"))-1)),-1),IF(LEFT(E2327,6)="TÉRREO",0,IFERROR(VALUE(LEFT(E2327,FIND("º",SUBSTITUTE(E2327,"°","º"))-1)),""))))</f>
        <v>19</v>
      </c>
      <c r="O2327" s="2" t="str">
        <f aca="false">IF(OR(F2327="",G2327=""),"",IF(G2327&lt;='RETRATO 2027'!$K$5,"CONCLUÍDA",IF(F2327&lt;='RETRATO 2027'!$K$5,"EM ANDAMENTO","A INICIAR")))</f>
        <v>A INICIAR</v>
      </c>
    </row>
    <row r="2328" customFormat="false" ht="15" hidden="false" customHeight="false" outlineLevel="0" collapsed="false">
      <c r="B2328" s="4" t="n">
        <v>33807246</v>
      </c>
      <c r="C2328" s="4" t="s">
        <v>2738</v>
      </c>
      <c r="D2328" s="4" t="s">
        <v>463</v>
      </c>
      <c r="E2328" s="4" t="s">
        <v>2814</v>
      </c>
      <c r="F2328" s="127" t="n">
        <v>47158</v>
      </c>
      <c r="G2328" s="127" t="n">
        <v>47162</v>
      </c>
      <c r="H2328" s="127" t="n">
        <v>46289</v>
      </c>
      <c r="I2328" s="4" t="n">
        <v>0</v>
      </c>
      <c r="J2328" s="4" t="n">
        <v>0</v>
      </c>
      <c r="K2328" s="4" t="n">
        <v>0</v>
      </c>
      <c r="M2328" s="2" t="str">
        <f aca="false">IF(C2328="","",IFERROR(INDEX($S$5:$S$304,MATCH(C2328,$R$5:$R$304,0))&amp;"","?"))</f>
        <v/>
      </c>
      <c r="N2328" s="2" t="n">
        <f aca="false">IF(E2328="","",IF(ISNUMBER(SEARCH("SUBSOLO",E2328)),IFERROR(-VALUE(LEFT(E2328,FIND("º",SUBSTITUTE(E2328,"°","º"))-1)),-1),IF(LEFT(E2328,6)="TÉRREO",0,IFERROR(VALUE(LEFT(E2328,FIND("º",SUBSTITUTE(E2328,"°","º"))-1)),""))))</f>
        <v>15</v>
      </c>
      <c r="O2328" s="2" t="str">
        <f aca="false">IF(OR(F2328="",G2328=""),"",IF(G2328&lt;='RETRATO 2027'!$K$5,"CONCLUÍDA",IF(F2328&lt;='RETRATO 2027'!$K$5,"EM ANDAMENTO","A INICIAR")))</f>
        <v>A INICIAR</v>
      </c>
    </row>
    <row r="2329" customFormat="false" ht="15" hidden="false" customHeight="false" outlineLevel="0" collapsed="false">
      <c r="B2329" s="4" t="n">
        <v>29981152</v>
      </c>
      <c r="C2329" s="4" t="s">
        <v>2732</v>
      </c>
      <c r="D2329" s="4" t="s">
        <v>463</v>
      </c>
      <c r="E2329" s="4" t="s">
        <v>2820</v>
      </c>
      <c r="F2329" s="127" t="n">
        <v>47158</v>
      </c>
      <c r="G2329" s="127" t="n">
        <v>47170</v>
      </c>
      <c r="H2329" s="127" t="n">
        <v>46289</v>
      </c>
      <c r="I2329" s="4" t="n">
        <v>0</v>
      </c>
      <c r="J2329" s="4" t="n">
        <v>0</v>
      </c>
      <c r="K2329" s="4" t="n">
        <v>0</v>
      </c>
      <c r="M2329" s="2" t="str">
        <f aca="false">IF(C2329="","",IFERROR(INDEX($S$5:$S$304,MATCH(C2329,$R$5:$R$304,0))&amp;"","?"))</f>
        <v/>
      </c>
      <c r="N2329" s="2" t="n">
        <f aca="false">IF(E2329="","",IF(ISNUMBER(SEARCH("SUBSOLO",E2329)),IFERROR(-VALUE(LEFT(E2329,FIND("º",SUBSTITUTE(E2329,"°","º"))-1)),-1),IF(LEFT(E2329,6)="TÉRREO",0,IFERROR(VALUE(LEFT(E2329,FIND("º",SUBSTITUTE(E2329,"°","º"))-1)),""))))</f>
        <v>18</v>
      </c>
      <c r="O2329" s="2" t="str">
        <f aca="false">IF(OR(F2329="",G2329=""),"",IF(G2329&lt;='RETRATO 2027'!$K$5,"CONCLUÍDA",IF(F2329&lt;='RETRATO 2027'!$K$5,"EM ANDAMENTO","A INICIAR")))</f>
        <v>A INICIAR</v>
      </c>
    </row>
    <row r="2330" customFormat="false" ht="15" hidden="false" customHeight="false" outlineLevel="0" collapsed="false">
      <c r="B2330" s="4" t="n">
        <v>29980773</v>
      </c>
      <c r="C2330" s="4" t="s">
        <v>2649</v>
      </c>
      <c r="D2330" s="4" t="s">
        <v>463</v>
      </c>
      <c r="E2330" s="4" t="s">
        <v>2840</v>
      </c>
      <c r="F2330" s="127" t="n">
        <v>47158</v>
      </c>
      <c r="G2330" s="127" t="n">
        <v>47170</v>
      </c>
      <c r="H2330" s="127" t="n">
        <v>46289</v>
      </c>
      <c r="I2330" s="4" t="n">
        <v>0</v>
      </c>
      <c r="J2330" s="4" t="n">
        <v>0</v>
      </c>
      <c r="K2330" s="4" t="n">
        <v>0</v>
      </c>
      <c r="M2330" s="2" t="str">
        <f aca="false">IF(C2330="","",IFERROR(INDEX($S$5:$S$304,MATCH(C2330,$R$5:$R$304,0))&amp;"","?"))</f>
        <v>37</v>
      </c>
      <c r="N2330" s="2" t="n">
        <f aca="false">IF(E2330="","",IF(ISNUMBER(SEARCH("SUBSOLO",E2330)),IFERROR(-VALUE(LEFT(E2330,FIND("º",SUBSTITUTE(E2330,"°","º"))-1)),-1),IF(LEFT(E2330,6)="TÉRREO",0,IFERROR(VALUE(LEFT(E2330,FIND("º",SUBSTITUTE(E2330,"°","º"))-1)),""))))</f>
        <v>28</v>
      </c>
      <c r="O2330" s="2" t="str">
        <f aca="false">IF(OR(F2330="",G2330=""),"",IF(G2330&lt;='RETRATO 2027'!$K$5,"CONCLUÍDA",IF(F2330&lt;='RETRATO 2027'!$K$5,"EM ANDAMENTO","A INICIAR")))</f>
        <v>A INICIAR</v>
      </c>
    </row>
    <row r="2331" customFormat="false" ht="15" hidden="false" customHeight="false" outlineLevel="0" collapsed="false">
      <c r="B2331" s="4" t="n">
        <v>29980726</v>
      </c>
      <c r="C2331" s="4" t="s">
        <v>2641</v>
      </c>
      <c r="D2331" s="4" t="s">
        <v>463</v>
      </c>
      <c r="E2331" s="4" t="s">
        <v>2841</v>
      </c>
      <c r="F2331" s="127" t="n">
        <v>47158</v>
      </c>
      <c r="G2331" s="127" t="n">
        <v>47170</v>
      </c>
      <c r="H2331" s="127" t="n">
        <v>46289</v>
      </c>
      <c r="I2331" s="4" t="n">
        <v>0</v>
      </c>
      <c r="J2331" s="4" t="n">
        <v>0</v>
      </c>
      <c r="K2331" s="4" t="n">
        <v>0</v>
      </c>
      <c r="M2331" s="2" t="str">
        <f aca="false">IF(C2331="","",IFERROR(INDEX($S$5:$S$304,MATCH(C2331,$R$5:$R$304,0))&amp;"","?"))</f>
        <v>35</v>
      </c>
      <c r="N2331" s="2" t="n">
        <f aca="false">IF(E2331="","",IF(ISNUMBER(SEARCH("SUBSOLO",E2331)),IFERROR(-VALUE(LEFT(E2331,FIND("º",SUBSTITUTE(E2331,"°","º"))-1)),-1),IF(LEFT(E2331,6)="TÉRREO",0,IFERROR(VALUE(LEFT(E2331,FIND("º",SUBSTITUTE(E2331,"°","º"))-1)),""))))</f>
        <v>29</v>
      </c>
      <c r="O2331" s="2" t="str">
        <f aca="false">IF(OR(F2331="",G2331=""),"",IF(G2331&lt;='RETRATO 2027'!$K$5,"CONCLUÍDA",IF(F2331&lt;='RETRATO 2027'!$K$5,"EM ANDAMENTO","A INICIAR")))</f>
        <v>A INICIAR</v>
      </c>
    </row>
    <row r="2332" customFormat="false" ht="15" hidden="false" customHeight="false" outlineLevel="0" collapsed="false">
      <c r="B2332" s="4" t="n">
        <v>30171424</v>
      </c>
      <c r="C2332" s="4" t="s">
        <v>2690</v>
      </c>
      <c r="D2332" s="4" t="s">
        <v>463</v>
      </c>
      <c r="E2332" s="4" t="s">
        <v>2800</v>
      </c>
      <c r="F2332" s="127" t="n">
        <v>47161</v>
      </c>
      <c r="G2332" s="127" t="n">
        <v>47179</v>
      </c>
      <c r="H2332" s="127" t="n">
        <v>46289</v>
      </c>
      <c r="I2332" s="4" t="n">
        <v>0</v>
      </c>
      <c r="J2332" s="4" t="n">
        <v>0</v>
      </c>
      <c r="K2332" s="4" t="n">
        <v>0</v>
      </c>
      <c r="M2332" s="2" t="str">
        <f aca="false">IF(C2332="","",IFERROR(INDEX($S$5:$S$304,MATCH(C2332,$R$5:$R$304,0))&amp;"","?"))</f>
        <v>37</v>
      </c>
      <c r="N2332" s="2" t="n">
        <f aca="false">IF(E2332="","",IF(ISNUMBER(SEARCH("SUBSOLO",E2332)),IFERROR(-VALUE(LEFT(E2332,FIND("º",SUBSTITUTE(E2332,"°","º"))-1)),-1),IF(LEFT(E2332,6)="TÉRREO",0,IFERROR(VALUE(LEFT(E2332,FIND("º",SUBSTITUTE(E2332,"°","º"))-1)),""))))</f>
        <v>4</v>
      </c>
      <c r="O2332" s="2" t="str">
        <f aca="false">IF(OR(F2332="",G2332=""),"",IF(G2332&lt;='RETRATO 2027'!$K$5,"CONCLUÍDA",IF(F2332&lt;='RETRATO 2027'!$K$5,"EM ANDAMENTO","A INICIAR")))</f>
        <v>A INICIAR</v>
      </c>
    </row>
    <row r="2333" customFormat="false" ht="15" hidden="false" customHeight="false" outlineLevel="0" collapsed="false">
      <c r="B2333" s="4" t="n">
        <v>30171540</v>
      </c>
      <c r="C2333" s="4" t="s">
        <v>2690</v>
      </c>
      <c r="D2333" s="4" t="s">
        <v>463</v>
      </c>
      <c r="E2333" s="4" t="s">
        <v>2857</v>
      </c>
      <c r="F2333" s="127" t="n">
        <v>47162</v>
      </c>
      <c r="G2333" s="127" t="n">
        <v>47182</v>
      </c>
      <c r="H2333" s="127" t="n">
        <v>46289</v>
      </c>
      <c r="I2333" s="4" t="n">
        <v>0</v>
      </c>
      <c r="J2333" s="4" t="n">
        <v>0</v>
      </c>
      <c r="K2333" s="4" t="n">
        <v>0</v>
      </c>
      <c r="M2333" s="2" t="str">
        <f aca="false">IF(C2333="","",IFERROR(INDEX($S$5:$S$304,MATCH(C2333,$R$5:$R$304,0))&amp;"","?"))</f>
        <v>37</v>
      </c>
      <c r="N2333" s="2" t="str">
        <f aca="false"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 t="str">
        <f aca="false">IF(OR(F2333="",G2333=""),"",IF(G2333&lt;='RETRATO 2027'!$K$5,"CONCLUÍDA",IF(F2333&lt;='RETRATO 2027'!$K$5,"EM ANDAMENTO","A INICIAR")))</f>
        <v>A INICIAR</v>
      </c>
    </row>
    <row r="2334" customFormat="false" ht="15" hidden="false" customHeight="false" outlineLevel="0" collapsed="false">
      <c r="B2334" s="4" t="n">
        <v>29981094</v>
      </c>
      <c r="C2334" s="4" t="s">
        <v>2623</v>
      </c>
      <c r="D2334" s="4" t="s">
        <v>463</v>
      </c>
      <c r="E2334" s="4" t="s">
        <v>2822</v>
      </c>
      <c r="F2334" s="127" t="n">
        <v>47162</v>
      </c>
      <c r="G2334" s="127" t="n">
        <v>47172</v>
      </c>
      <c r="H2334" s="127" t="n">
        <v>46289</v>
      </c>
      <c r="I2334" s="4" t="n">
        <v>0</v>
      </c>
      <c r="J2334" s="4" t="n">
        <v>0</v>
      </c>
      <c r="K2334" s="4" t="n">
        <v>0</v>
      </c>
      <c r="M2334" s="2" t="str">
        <f aca="false">IF(C2334="","",IFERROR(INDEX($S$5:$S$304,MATCH(C2334,$R$5:$R$304,0))&amp;"","?"))</f>
        <v>35</v>
      </c>
      <c r="N2334" s="2" t="n">
        <f aca="false">IF(E2334="","",IF(ISNUMBER(SEARCH("SUBSOLO",E2334)),IFERROR(-VALUE(LEFT(E2334,FIND("º",SUBSTITUTE(E2334,"°","º"))-1)),-1),IF(LEFT(E2334,6)="TÉRREO",0,IFERROR(VALUE(LEFT(E2334,FIND("º",SUBSTITUTE(E2334,"°","º"))-1)),""))))</f>
        <v>19</v>
      </c>
      <c r="O2334" s="2" t="str">
        <f aca="false">IF(OR(F2334="",G2334=""),"",IF(G2334&lt;='RETRATO 2027'!$K$5,"CONCLUÍDA",IF(F2334&lt;='RETRATO 2027'!$K$5,"EM ANDAMENTO","A INICIAR")))</f>
        <v>A INICIAR</v>
      </c>
    </row>
    <row r="2335" customFormat="false" ht="15" hidden="false" customHeight="false" outlineLevel="0" collapsed="false">
      <c r="B2335" s="4" t="n">
        <v>33919810</v>
      </c>
      <c r="C2335" s="4" t="s">
        <v>2625</v>
      </c>
      <c r="D2335" s="4" t="s">
        <v>463</v>
      </c>
      <c r="E2335" s="4" t="s">
        <v>2822</v>
      </c>
      <c r="F2335" s="127" t="n">
        <v>47162</v>
      </c>
      <c r="G2335" s="127" t="n">
        <v>47172</v>
      </c>
      <c r="H2335" s="127" t="n">
        <v>46289</v>
      </c>
      <c r="I2335" s="4" t="n">
        <v>0</v>
      </c>
      <c r="J2335" s="4" t="n">
        <v>0</v>
      </c>
      <c r="K2335" s="4" t="n">
        <v>0</v>
      </c>
      <c r="M2335" s="2" t="str">
        <f aca="false">IF(C2335="","",IFERROR(INDEX($S$5:$S$304,MATCH(C2335,$R$5:$R$304,0))&amp;"","?"))</f>
        <v>32</v>
      </c>
      <c r="N2335" s="2" t="n">
        <f aca="false">IF(E2335="","",IF(ISNUMBER(SEARCH("SUBSOLO",E2335)),IFERROR(-VALUE(LEFT(E2335,FIND("º",SUBSTITUTE(E2335,"°","º"))-1)),-1),IF(LEFT(E2335,6)="TÉRREO",0,IFERROR(VALUE(LEFT(E2335,FIND("º",SUBSTITUTE(E2335,"°","º"))-1)),""))))</f>
        <v>19</v>
      </c>
      <c r="O2335" s="2" t="str">
        <f aca="false">IF(OR(F2335="",G2335=""),"",IF(G2335&lt;='RETRATO 2027'!$K$5,"CONCLUÍDA",IF(F2335&lt;='RETRATO 2027'!$K$5,"EM ANDAMENTO","A INICIAR")))</f>
        <v>A INICIAR</v>
      </c>
    </row>
    <row r="2336" customFormat="false" ht="15" hidden="false" customHeight="false" outlineLevel="0" collapsed="false">
      <c r="B2336" s="4" t="n">
        <v>33807247</v>
      </c>
      <c r="C2336" s="4" t="s">
        <v>2738</v>
      </c>
      <c r="D2336" s="4" t="s">
        <v>463</v>
      </c>
      <c r="E2336" s="4" t="s">
        <v>2815</v>
      </c>
      <c r="F2336" s="127" t="n">
        <v>47163</v>
      </c>
      <c r="G2336" s="127" t="n">
        <v>47165</v>
      </c>
      <c r="H2336" s="127" t="n">
        <v>46289</v>
      </c>
      <c r="I2336" s="4" t="n">
        <v>0</v>
      </c>
      <c r="J2336" s="4" t="n">
        <v>0</v>
      </c>
      <c r="K2336" s="4" t="n">
        <v>0</v>
      </c>
      <c r="M2336" s="2" t="str">
        <f aca="false">IF(C2336="","",IFERROR(INDEX($S$5:$S$304,MATCH(C2336,$R$5:$R$304,0))&amp;"","?"))</f>
        <v/>
      </c>
      <c r="N2336" s="2" t="n">
        <f aca="false">IF(E2336="","",IF(ISNUMBER(SEARCH("SUBSOLO",E2336)),IFERROR(-VALUE(LEFT(E2336,FIND("º",SUBSTITUTE(E2336,"°","º"))-1)),-1),IF(LEFT(E2336,6)="TÉRREO",0,IFERROR(VALUE(LEFT(E2336,FIND("º",SUBSTITUTE(E2336,"°","º"))-1)),""))))</f>
        <v>16</v>
      </c>
      <c r="O2336" s="2" t="str">
        <f aca="false">IF(OR(F2336="",G2336=""),"",IF(G2336&lt;='RETRATO 2027'!$K$5,"CONCLUÍDA",IF(F2336&lt;='RETRATO 2027'!$K$5,"EM ANDAMENTO","A INICIAR")))</f>
        <v>A INICIAR</v>
      </c>
    </row>
    <row r="2337" customFormat="false" ht="15" hidden="false" customHeight="false" outlineLevel="0" collapsed="false">
      <c r="B2337" s="4" t="n">
        <v>29981078</v>
      </c>
      <c r="C2337" s="4" t="s">
        <v>2732</v>
      </c>
      <c r="D2337" s="4" t="s">
        <v>463</v>
      </c>
      <c r="E2337" s="4" t="s">
        <v>2823</v>
      </c>
      <c r="F2337" s="127" t="n">
        <v>47163</v>
      </c>
      <c r="G2337" s="127" t="n">
        <v>47175</v>
      </c>
      <c r="H2337" s="127" t="n">
        <v>46289</v>
      </c>
      <c r="I2337" s="4" t="n">
        <v>0</v>
      </c>
      <c r="J2337" s="4" t="n">
        <v>0</v>
      </c>
      <c r="K2337" s="4" t="n">
        <v>0</v>
      </c>
      <c r="M2337" s="2" t="str">
        <f aca="false">IF(C2337="","",IFERROR(INDEX($S$5:$S$304,MATCH(C2337,$R$5:$R$304,0))&amp;"","?"))</f>
        <v/>
      </c>
      <c r="N2337" s="2" t="n">
        <f aca="false">IF(E2337="","",IF(ISNUMBER(SEARCH("SUBSOLO",E2337)),IFERROR(-VALUE(LEFT(E2337,FIND("º",SUBSTITUTE(E2337,"°","º"))-1)),-1),IF(LEFT(E2337,6)="TÉRREO",0,IFERROR(VALUE(LEFT(E2337,FIND("º",SUBSTITUTE(E2337,"°","º"))-1)),""))))</f>
        <v>20</v>
      </c>
      <c r="O2337" s="2" t="str">
        <f aca="false">IF(OR(F2337="",G2337=""),"",IF(G2337&lt;='RETRATO 2027'!$K$5,"CONCLUÍDA",IF(F2337&lt;='RETRATO 2027'!$K$5,"EM ANDAMENTO","A INICIAR")))</f>
        <v>A INICIAR</v>
      </c>
    </row>
    <row r="2338" customFormat="false" ht="15" hidden="false" customHeight="false" outlineLevel="0" collapsed="false">
      <c r="B2338" s="4" t="n">
        <v>29980688</v>
      </c>
      <c r="C2338" s="4" t="s">
        <v>2637</v>
      </c>
      <c r="D2338" s="4" t="s">
        <v>463</v>
      </c>
      <c r="E2338" s="4" t="s">
        <v>2842</v>
      </c>
      <c r="F2338" s="127" t="n">
        <v>47164</v>
      </c>
      <c r="G2338" s="127" t="n">
        <v>47170</v>
      </c>
      <c r="H2338" s="127" t="n">
        <v>46289</v>
      </c>
      <c r="I2338" s="4" t="n">
        <v>0</v>
      </c>
      <c r="J2338" s="4" t="n">
        <v>0</v>
      </c>
      <c r="K2338" s="4" t="n">
        <v>0</v>
      </c>
      <c r="M2338" s="2" t="str">
        <f aca="false">IF(C2338="","",IFERROR(INDEX($S$5:$S$304,MATCH(C2338,$R$5:$R$304,0))&amp;"","?"))</f>
        <v/>
      </c>
      <c r="N2338" s="2" t="n">
        <f aca="false">IF(E2338="","",IF(ISNUMBER(SEARCH("SUBSOLO",E2338)),IFERROR(-VALUE(LEFT(E2338,FIND("º",SUBSTITUTE(E2338,"°","º"))-1)),-1),IF(LEFT(E2338,6)="TÉRREO",0,IFERROR(VALUE(LEFT(E2338,FIND("º",SUBSTITUTE(E2338,"°","º"))-1)),""))))</f>
        <v>30</v>
      </c>
      <c r="O2338" s="2" t="str">
        <f aca="false">IF(OR(F2338="",G2338=""),"",IF(G2338&lt;='RETRATO 2027'!$K$5,"CONCLUÍDA",IF(F2338&lt;='RETRATO 2027'!$K$5,"EM ANDAMENTO","A INICIAR")))</f>
        <v>A INICIAR</v>
      </c>
    </row>
    <row r="2339" customFormat="false" ht="15" hidden="false" customHeight="false" outlineLevel="0" collapsed="false">
      <c r="B2339" s="4" t="n">
        <v>29980653</v>
      </c>
      <c r="C2339" s="4" t="s">
        <v>2629</v>
      </c>
      <c r="D2339" s="4" t="s">
        <v>463</v>
      </c>
      <c r="E2339" s="4" t="s">
        <v>2843</v>
      </c>
      <c r="F2339" s="127" t="n">
        <v>47164</v>
      </c>
      <c r="G2339" s="127" t="n">
        <v>47176</v>
      </c>
      <c r="H2339" s="127" t="n">
        <v>46289</v>
      </c>
      <c r="I2339" s="4" t="n">
        <v>0</v>
      </c>
      <c r="J2339" s="4" t="n">
        <v>0</v>
      </c>
      <c r="K2339" s="4" t="n">
        <v>0</v>
      </c>
      <c r="M2339" s="2" t="str">
        <f aca="false">IF(C2339="","",IFERROR(INDEX($S$5:$S$304,MATCH(C2339,$R$5:$R$304,0))&amp;"","?"))</f>
        <v>20</v>
      </c>
      <c r="N2339" s="2" t="n">
        <f aca="false">IF(E2339="","",IF(ISNUMBER(SEARCH("SUBSOLO",E2339)),IFERROR(-VALUE(LEFT(E2339,FIND("º",SUBSTITUTE(E2339,"°","º"))-1)),-1),IF(LEFT(E2339,6)="TÉRREO",0,IFERROR(VALUE(LEFT(E2339,FIND("º",SUBSTITUTE(E2339,"°","º"))-1)),""))))</f>
        <v>31</v>
      </c>
      <c r="O2339" s="2" t="str">
        <f aca="false">IF(OR(F2339="",G2339=""),"",IF(G2339&lt;='RETRATO 2027'!$K$5,"CONCLUÍDA",IF(F2339&lt;='RETRATO 2027'!$K$5,"EM ANDAMENTO","A INICIAR")))</f>
        <v>A INICIAR</v>
      </c>
    </row>
    <row r="2340" customFormat="false" ht="15" hidden="false" customHeight="false" outlineLevel="0" collapsed="false">
      <c r="B2340" s="4" t="n">
        <v>29980613</v>
      </c>
      <c r="C2340" s="4" t="s">
        <v>2623</v>
      </c>
      <c r="D2340" s="4" t="s">
        <v>463</v>
      </c>
      <c r="E2340" s="4" t="s">
        <v>2844</v>
      </c>
      <c r="F2340" s="127" t="n">
        <v>47164</v>
      </c>
      <c r="G2340" s="127" t="n">
        <v>47176</v>
      </c>
      <c r="H2340" s="127" t="n">
        <v>46289</v>
      </c>
      <c r="I2340" s="4" t="n">
        <v>0</v>
      </c>
      <c r="J2340" s="4" t="n">
        <v>0</v>
      </c>
      <c r="K2340" s="4" t="n">
        <v>0</v>
      </c>
      <c r="M2340" s="2" t="str">
        <f aca="false">IF(C2340="","",IFERROR(INDEX($S$5:$S$304,MATCH(C2340,$R$5:$R$304,0))&amp;"","?"))</f>
        <v>35</v>
      </c>
      <c r="N2340" s="2" t="n">
        <f aca="false">IF(E2340="","",IF(ISNUMBER(SEARCH("SUBSOLO",E2340)),IFERROR(-VALUE(LEFT(E2340,FIND("º",SUBSTITUTE(E2340,"°","º"))-1)),-1),IF(LEFT(E2340,6)="TÉRREO",0,IFERROR(VALUE(LEFT(E2340,FIND("º",SUBSTITUTE(E2340,"°","º"))-1)),""))))</f>
        <v>32</v>
      </c>
      <c r="O2340" s="2" t="str">
        <f aca="false">IF(OR(F2340="",G2340=""),"",IF(G2340&lt;='RETRATO 2027'!$K$5,"CONCLUÍDA",IF(F2340&lt;='RETRATO 2027'!$K$5,"EM ANDAMENTO","A INICIAR")))</f>
        <v>A INICIAR</v>
      </c>
    </row>
    <row r="2341" customFormat="false" ht="15" hidden="false" customHeight="false" outlineLevel="0" collapsed="false">
      <c r="B2341" s="4" t="n">
        <v>33919809</v>
      </c>
      <c r="C2341" s="4" t="s">
        <v>2625</v>
      </c>
      <c r="D2341" s="4" t="s">
        <v>463</v>
      </c>
      <c r="E2341" s="4" t="s">
        <v>2844</v>
      </c>
      <c r="F2341" s="127" t="n">
        <v>47164</v>
      </c>
      <c r="G2341" s="127" t="n">
        <v>47176</v>
      </c>
      <c r="H2341" s="127" t="n">
        <v>46289</v>
      </c>
      <c r="I2341" s="4" t="n">
        <v>0</v>
      </c>
      <c r="J2341" s="4" t="n">
        <v>0</v>
      </c>
      <c r="K2341" s="4" t="n">
        <v>0</v>
      </c>
      <c r="M2341" s="2" t="str">
        <f aca="false">IF(C2341="","",IFERROR(INDEX($S$5:$S$304,MATCH(C2341,$R$5:$R$304,0))&amp;"","?"))</f>
        <v>32</v>
      </c>
      <c r="N2341" s="2" t="n">
        <f aca="false">IF(E2341="","",IF(ISNUMBER(SEARCH("SUBSOLO",E2341)),IFERROR(-VALUE(LEFT(E2341,FIND("º",SUBSTITUTE(E2341,"°","º"))-1)),-1),IF(LEFT(E2341,6)="TÉRREO",0,IFERROR(VALUE(LEFT(E2341,FIND("º",SUBSTITUTE(E2341,"°","º"))-1)),""))))</f>
        <v>32</v>
      </c>
      <c r="O2341" s="2" t="str">
        <f aca="false">IF(OR(F2341="",G2341=""),"",IF(G2341&lt;='RETRATO 2027'!$K$5,"CONCLUÍDA",IF(F2341&lt;='RETRATO 2027'!$K$5,"EM ANDAMENTO","A INICIAR")))</f>
        <v>A INICIAR</v>
      </c>
    </row>
    <row r="2342" customFormat="false" ht="15" hidden="false" customHeight="false" outlineLevel="0" collapsed="false">
      <c r="B2342" s="4" t="n">
        <v>30205831</v>
      </c>
      <c r="C2342" s="4" t="s">
        <v>2653</v>
      </c>
      <c r="D2342" s="4" t="s">
        <v>463</v>
      </c>
      <c r="E2342" s="4" t="s">
        <v>2837</v>
      </c>
      <c r="F2342" s="127" t="n">
        <v>47165</v>
      </c>
      <c r="G2342" s="127" t="n">
        <v>47178</v>
      </c>
      <c r="H2342" s="127" t="n">
        <v>46289</v>
      </c>
      <c r="I2342" s="4" t="n">
        <v>0</v>
      </c>
      <c r="J2342" s="4" t="n">
        <v>0</v>
      </c>
      <c r="K2342" s="4" t="n">
        <v>0</v>
      </c>
      <c r="M2342" s="2" t="str">
        <f aca="false">IF(C2342="","",IFERROR(INDEX($S$5:$S$304,MATCH(C2342,$R$5:$R$304,0))&amp;"","?"))</f>
        <v>31</v>
      </c>
      <c r="N2342" s="2" t="n">
        <f aca="false">IF(E2342="","",IF(ISNUMBER(SEARCH("SUBSOLO",E2342)),IFERROR(-VALUE(LEFT(E2342,FIND("º",SUBSTITUTE(E2342,"°","º"))-1)),-1),IF(LEFT(E2342,6)="TÉRREO",0,IFERROR(VALUE(LEFT(E2342,FIND("º",SUBSTITUTE(E2342,"°","º"))-1)),""))))</f>
        <v>0</v>
      </c>
      <c r="O2342" s="2" t="str">
        <f aca="false">IF(OR(F2342="",G2342=""),"",IF(G2342&lt;='RETRATO 2027'!$K$5,"CONCLUÍDA",IF(F2342&lt;='RETRATO 2027'!$K$5,"EM ANDAMENTO","A INICIAR")))</f>
        <v>A INICIAR</v>
      </c>
    </row>
    <row r="2343" customFormat="false" ht="15" hidden="false" customHeight="false" outlineLevel="0" collapsed="false">
      <c r="B2343" s="4" t="n">
        <v>29981041</v>
      </c>
      <c r="C2343" s="4" t="s">
        <v>2732</v>
      </c>
      <c r="D2343" s="4" t="s">
        <v>463</v>
      </c>
      <c r="E2343" s="4" t="s">
        <v>2825</v>
      </c>
      <c r="F2343" s="127" t="n">
        <v>47165</v>
      </c>
      <c r="G2343" s="127" t="n">
        <v>47177</v>
      </c>
      <c r="H2343" s="127" t="n">
        <v>46289</v>
      </c>
      <c r="I2343" s="4" t="n">
        <v>0</v>
      </c>
      <c r="J2343" s="4" t="n">
        <v>0</v>
      </c>
      <c r="K2343" s="4" t="n">
        <v>0</v>
      </c>
      <c r="M2343" s="2" t="str">
        <f aca="false">IF(C2343="","",IFERROR(INDEX($S$5:$S$304,MATCH(C2343,$R$5:$R$304,0))&amp;"","?"))</f>
        <v/>
      </c>
      <c r="N2343" s="2" t="n">
        <f aca="false">IF(E2343="","",IF(ISNUMBER(SEARCH("SUBSOLO",E2343)),IFERROR(-VALUE(LEFT(E2343,FIND("º",SUBSTITUTE(E2343,"°","º"))-1)),-1),IF(LEFT(E2343,6)="TÉRREO",0,IFERROR(VALUE(LEFT(E2343,FIND("º",SUBSTITUTE(E2343,"°","º"))-1)),""))))</f>
        <v>21</v>
      </c>
      <c r="O2343" s="2" t="str">
        <f aca="false">IF(OR(F2343="",G2343=""),"",IF(G2343&lt;='RETRATO 2027'!$K$5,"CONCLUÍDA",IF(F2343&lt;='RETRATO 2027'!$K$5,"EM ANDAMENTO","A INICIAR")))</f>
        <v>A INICIAR</v>
      </c>
    </row>
    <row r="2344" customFormat="false" ht="15" hidden="false" customHeight="false" outlineLevel="0" collapsed="false">
      <c r="B2344" s="4" t="n">
        <v>33807248</v>
      </c>
      <c r="C2344" s="4" t="s">
        <v>2738</v>
      </c>
      <c r="D2344" s="4" t="s">
        <v>463</v>
      </c>
      <c r="E2344" s="4" t="s">
        <v>2818</v>
      </c>
      <c r="F2344" s="127" t="n">
        <v>47168</v>
      </c>
      <c r="G2344" s="127" t="n">
        <v>47170</v>
      </c>
      <c r="H2344" s="127" t="n">
        <v>46289</v>
      </c>
      <c r="I2344" s="4" t="n">
        <v>0</v>
      </c>
      <c r="J2344" s="4" t="n">
        <v>0</v>
      </c>
      <c r="K2344" s="4" t="n">
        <v>0</v>
      </c>
      <c r="M2344" s="2" t="str">
        <f aca="false">IF(C2344="","",IFERROR(INDEX($S$5:$S$304,MATCH(C2344,$R$5:$R$304,0))&amp;"","?"))</f>
        <v/>
      </c>
      <c r="N2344" s="2" t="n">
        <f aca="false">IF(E2344="","",IF(ISNUMBER(SEARCH("SUBSOLO",E2344)),IFERROR(-VALUE(LEFT(E2344,FIND("º",SUBSTITUTE(E2344,"°","º"))-1)),-1),IF(LEFT(E2344,6)="TÉRREO",0,IFERROR(VALUE(LEFT(E2344,FIND("º",SUBSTITUTE(E2344,"°","º"))-1)),""))))</f>
        <v>17</v>
      </c>
      <c r="O2344" s="2" t="str">
        <f aca="false">IF(OR(F2344="",G2344=""),"",IF(G2344&lt;='RETRATO 2027'!$K$5,"CONCLUÍDA",IF(F2344&lt;='RETRATO 2027'!$K$5,"EM ANDAMENTO","A INICIAR")))</f>
        <v>A INICIAR</v>
      </c>
    </row>
    <row r="2345" customFormat="false" ht="15" hidden="false" customHeight="false" outlineLevel="0" collapsed="false">
      <c r="B2345" s="4" t="n">
        <v>30205984</v>
      </c>
      <c r="C2345" s="4" t="s">
        <v>2732</v>
      </c>
      <c r="D2345" s="4" t="s">
        <v>463</v>
      </c>
      <c r="E2345" s="4" t="s">
        <v>2850</v>
      </c>
      <c r="F2345" s="127" t="n">
        <v>47169</v>
      </c>
      <c r="G2345" s="127" t="n">
        <v>47182</v>
      </c>
      <c r="H2345" s="127" t="n">
        <v>46289</v>
      </c>
      <c r="I2345" s="4" t="n">
        <v>0</v>
      </c>
      <c r="J2345" s="4" t="n">
        <v>0</v>
      </c>
      <c r="K2345" s="4" t="n">
        <v>0</v>
      </c>
      <c r="M2345" s="2" t="str">
        <f aca="false">IF(C2345="","",IFERROR(INDEX($S$5:$S$304,MATCH(C2345,$R$5:$R$304,0))&amp;"","?"))</f>
        <v/>
      </c>
      <c r="N2345" s="2" t="n">
        <f aca="false">IF(E2345="","",IF(ISNUMBER(SEARCH("SUBSOLO",E2345)),IFERROR(-VALUE(LEFT(E2345,FIND("º",SUBSTITUTE(E2345,"°","º"))-1)),-1),IF(LEFT(E2345,6)="TÉRREO",0,IFERROR(VALUE(LEFT(E2345,FIND("º",SUBSTITUTE(E2345,"°","º"))-1)),""))))</f>
        <v>6</v>
      </c>
      <c r="O2345" s="2" t="str">
        <f aca="false">IF(OR(F2345="",G2345=""),"",IF(G2345&lt;='RETRATO 2027'!$K$5,"CONCLUÍDA",IF(F2345&lt;='RETRATO 2027'!$K$5,"EM ANDAMENTO","A INICIAR")))</f>
        <v>A INICIAR</v>
      </c>
    </row>
    <row r="2346" customFormat="false" ht="15" hidden="false" customHeight="false" outlineLevel="0" collapsed="false">
      <c r="B2346" s="4" t="n">
        <v>29981004</v>
      </c>
      <c r="C2346" s="4" t="s">
        <v>2732</v>
      </c>
      <c r="D2346" s="4" t="s">
        <v>463</v>
      </c>
      <c r="E2346" s="4" t="s">
        <v>2827</v>
      </c>
      <c r="F2346" s="127" t="n">
        <v>47169</v>
      </c>
      <c r="G2346" s="127" t="n">
        <v>47179</v>
      </c>
      <c r="H2346" s="127" t="n">
        <v>46289</v>
      </c>
      <c r="I2346" s="4" t="n">
        <v>0</v>
      </c>
      <c r="J2346" s="4" t="n">
        <v>0</v>
      </c>
      <c r="K2346" s="4" t="n">
        <v>0</v>
      </c>
      <c r="M2346" s="2" t="str">
        <f aca="false">IF(C2346="","",IFERROR(INDEX($S$5:$S$304,MATCH(C2346,$R$5:$R$304,0))&amp;"","?"))</f>
        <v/>
      </c>
      <c r="N2346" s="2" t="n">
        <f aca="false">IF(E2346="","",IF(ISNUMBER(SEARCH("SUBSOLO",E2346)),IFERROR(-VALUE(LEFT(E2346,FIND("º",SUBSTITUTE(E2346,"°","º"))-1)),-1),IF(LEFT(E2346,6)="TÉRREO",0,IFERROR(VALUE(LEFT(E2346,FIND("º",SUBSTITUTE(E2346,"°","º"))-1)),""))))</f>
        <v>22</v>
      </c>
      <c r="O2346" s="2" t="str">
        <f aca="false">IF(OR(F2346="",G2346=""),"",IF(G2346&lt;='RETRATO 2027'!$K$5,"CONCLUÍDA",IF(F2346&lt;='RETRATO 2027'!$K$5,"EM ANDAMENTO","A INICIAR")))</f>
        <v>A INICIAR</v>
      </c>
    </row>
    <row r="2347" customFormat="false" ht="15" hidden="false" customHeight="false" outlineLevel="0" collapsed="false">
      <c r="B2347" s="4" t="n">
        <v>33807249</v>
      </c>
      <c r="C2347" s="4" t="s">
        <v>2738</v>
      </c>
      <c r="D2347" s="4" t="s">
        <v>463</v>
      </c>
      <c r="E2347" s="4" t="s">
        <v>2820</v>
      </c>
      <c r="F2347" s="127" t="n">
        <v>47171</v>
      </c>
      <c r="G2347" s="127" t="n">
        <v>47175</v>
      </c>
      <c r="H2347" s="127" t="n">
        <v>46289</v>
      </c>
      <c r="I2347" s="4" t="n">
        <v>0</v>
      </c>
      <c r="J2347" s="4" t="n">
        <v>0</v>
      </c>
      <c r="K2347" s="4" t="n">
        <v>0</v>
      </c>
      <c r="M2347" s="2" t="str">
        <f aca="false">IF(C2347="","",IFERROR(INDEX($S$5:$S$304,MATCH(C2347,$R$5:$R$304,0))&amp;"","?"))</f>
        <v/>
      </c>
      <c r="N2347" s="2" t="n">
        <f aca="false">IF(E2347="","",IF(ISNUMBER(SEARCH("SUBSOLO",E2347)),IFERROR(-VALUE(LEFT(E2347,FIND("º",SUBSTITUTE(E2347,"°","º"))-1)),-1),IF(LEFT(E2347,6)="TÉRREO",0,IFERROR(VALUE(LEFT(E2347,FIND("º",SUBSTITUTE(E2347,"°","º"))-1)),""))))</f>
        <v>18</v>
      </c>
      <c r="O2347" s="2" t="str">
        <f aca="false">IF(OR(F2347="",G2347=""),"",IF(G2347&lt;='RETRATO 2027'!$K$5,"CONCLUÍDA",IF(F2347&lt;='RETRATO 2027'!$K$5,"EM ANDAMENTO","A INICIAR")))</f>
        <v>A INICIAR</v>
      </c>
    </row>
    <row r="2348" customFormat="false" ht="15" hidden="false" customHeight="false" outlineLevel="0" collapsed="false">
      <c r="B2348" s="4" t="n">
        <v>29980967</v>
      </c>
      <c r="C2348" s="4" t="s">
        <v>2732</v>
      </c>
      <c r="D2348" s="4" t="s">
        <v>463</v>
      </c>
      <c r="E2348" s="4" t="s">
        <v>2829</v>
      </c>
      <c r="F2348" s="127" t="n">
        <v>47171</v>
      </c>
      <c r="G2348" s="127" t="n">
        <v>47183</v>
      </c>
      <c r="H2348" s="127" t="n">
        <v>46289</v>
      </c>
      <c r="I2348" s="4" t="n">
        <v>0</v>
      </c>
      <c r="J2348" s="4" t="n">
        <v>0</v>
      </c>
      <c r="K2348" s="4" t="n">
        <v>0</v>
      </c>
      <c r="M2348" s="2" t="str">
        <f aca="false">IF(C2348="","",IFERROR(INDEX($S$5:$S$304,MATCH(C2348,$R$5:$R$304,0))&amp;"","?"))</f>
        <v/>
      </c>
      <c r="N2348" s="2" t="n">
        <f aca="false">IF(E2348="","",IF(ISNUMBER(SEARCH("SUBSOLO",E2348)),IFERROR(-VALUE(LEFT(E2348,FIND("º",SUBSTITUTE(E2348,"°","º"))-1)),-1),IF(LEFT(E2348,6)="TÉRREO",0,IFERROR(VALUE(LEFT(E2348,FIND("º",SUBSTITUTE(E2348,"°","º"))-1)),""))))</f>
        <v>23</v>
      </c>
      <c r="O2348" s="2" t="str">
        <f aca="false">IF(OR(F2348="",G2348=""),"",IF(G2348&lt;='RETRATO 2027'!$K$5,"CONCLUÍDA",IF(F2348&lt;='RETRATO 2027'!$K$5,"EM ANDAMENTO","A INICIAR")))</f>
        <v>A INICIAR</v>
      </c>
    </row>
    <row r="2349" customFormat="false" ht="15" hidden="false" customHeight="false" outlineLevel="0" collapsed="false">
      <c r="B2349" s="4" t="n">
        <v>29980736</v>
      </c>
      <c r="C2349" s="4" t="s">
        <v>2649</v>
      </c>
      <c r="D2349" s="4" t="s">
        <v>463</v>
      </c>
      <c r="E2349" s="4" t="s">
        <v>2841</v>
      </c>
      <c r="F2349" s="127" t="n">
        <v>47171</v>
      </c>
      <c r="G2349" s="127" t="n">
        <v>47183</v>
      </c>
      <c r="H2349" s="127" t="n">
        <v>46289</v>
      </c>
      <c r="I2349" s="4" t="n">
        <v>0</v>
      </c>
      <c r="J2349" s="4" t="n">
        <v>0</v>
      </c>
      <c r="K2349" s="4" t="n">
        <v>0</v>
      </c>
      <c r="M2349" s="2" t="str">
        <f aca="false">IF(C2349="","",IFERROR(INDEX($S$5:$S$304,MATCH(C2349,$R$5:$R$304,0))&amp;"","?"))</f>
        <v>37</v>
      </c>
      <c r="N2349" s="2" t="n">
        <f aca="false">IF(E2349="","",IF(ISNUMBER(SEARCH("SUBSOLO",E2349)),IFERROR(-VALUE(LEFT(E2349,FIND("º",SUBSTITUTE(E2349,"°","º"))-1)),-1),IF(LEFT(E2349,6)="TÉRREO",0,IFERROR(VALUE(LEFT(E2349,FIND("º",SUBSTITUTE(E2349,"°","º"))-1)),""))))</f>
        <v>29</v>
      </c>
      <c r="O2349" s="2" t="str">
        <f aca="false">IF(OR(F2349="",G2349=""),"",IF(G2349&lt;='RETRATO 2027'!$K$5,"CONCLUÍDA",IF(F2349&lt;='RETRATO 2027'!$K$5,"EM ANDAMENTO","A INICIAR")))</f>
        <v>A INICIAR</v>
      </c>
    </row>
    <row r="2350" customFormat="false" ht="15" hidden="false" customHeight="false" outlineLevel="0" collapsed="false">
      <c r="B2350" s="4" t="n">
        <v>29980689</v>
      </c>
      <c r="C2350" s="4" t="s">
        <v>2641</v>
      </c>
      <c r="D2350" s="4" t="s">
        <v>463</v>
      </c>
      <c r="E2350" s="4" t="s">
        <v>2842</v>
      </c>
      <c r="F2350" s="127" t="n">
        <v>47171</v>
      </c>
      <c r="G2350" s="127" t="n">
        <v>47183</v>
      </c>
      <c r="H2350" s="127" t="n">
        <v>46289</v>
      </c>
      <c r="I2350" s="4" t="n">
        <v>0</v>
      </c>
      <c r="J2350" s="4" t="n">
        <v>0</v>
      </c>
      <c r="K2350" s="4" t="n">
        <v>0</v>
      </c>
      <c r="M2350" s="2" t="str">
        <f aca="false">IF(C2350="","",IFERROR(INDEX($S$5:$S$304,MATCH(C2350,$R$5:$R$304,0))&amp;"","?"))</f>
        <v>35</v>
      </c>
      <c r="N2350" s="2" t="n">
        <f aca="false">IF(E2350="","",IF(ISNUMBER(SEARCH("SUBSOLO",E2350)),IFERROR(-VALUE(LEFT(E2350,FIND("º",SUBSTITUTE(E2350,"°","º"))-1)),-1),IF(LEFT(E2350,6)="TÉRREO",0,IFERROR(VALUE(LEFT(E2350,FIND("º",SUBSTITUTE(E2350,"°","º"))-1)),""))))</f>
        <v>30</v>
      </c>
      <c r="O2350" s="2" t="str">
        <f aca="false">IF(OR(F2350="",G2350=""),"",IF(G2350&lt;='RETRATO 2027'!$K$5,"CONCLUÍDA",IF(F2350&lt;='RETRATO 2027'!$K$5,"EM ANDAMENTO","A INICIAR")))</f>
        <v>A INICIAR</v>
      </c>
    </row>
    <row r="2351" customFormat="false" ht="15" hidden="false" customHeight="false" outlineLevel="0" collapsed="false">
      <c r="B2351" s="4" t="n">
        <v>30171395</v>
      </c>
      <c r="C2351" s="4" t="s">
        <v>2674</v>
      </c>
      <c r="D2351" s="4" t="s">
        <v>463</v>
      </c>
      <c r="E2351" s="4" t="s">
        <v>2801</v>
      </c>
      <c r="F2351" s="127" t="n">
        <v>47175</v>
      </c>
      <c r="G2351" s="127" t="n">
        <v>47186</v>
      </c>
      <c r="H2351" s="127" t="n">
        <v>46289</v>
      </c>
      <c r="I2351" s="4" t="n">
        <v>0</v>
      </c>
      <c r="J2351" s="4" t="n">
        <v>0</v>
      </c>
      <c r="K2351" s="4" t="n">
        <v>0</v>
      </c>
      <c r="M2351" s="2" t="str">
        <f aca="false">IF(C2351="","",IFERROR(INDEX($S$5:$S$304,MATCH(C2351,$R$5:$R$304,0))&amp;"","?"))</f>
        <v>35</v>
      </c>
      <c r="N2351" s="2" t="n">
        <f aca="false">IF(E2351="","",IF(ISNUMBER(SEARCH("SUBSOLO",E2351)),IFERROR(-VALUE(LEFT(E2351,FIND("º",SUBSTITUTE(E2351,"°","º"))-1)),-1),IF(LEFT(E2351,6)="TÉRREO",0,IFERROR(VALUE(LEFT(E2351,FIND("º",SUBSTITUTE(E2351,"°","º"))-1)),""))))</f>
        <v>5</v>
      </c>
      <c r="O2351" s="2" t="str">
        <f aca="false">IF(OR(F2351="",G2351=""),"",IF(G2351&lt;='RETRATO 2027'!$K$5,"CONCLUÍDA",IF(F2351&lt;='RETRATO 2027'!$K$5,"EM ANDAMENTO","A INICIAR")))</f>
        <v>A INICIAR</v>
      </c>
    </row>
    <row r="2352" customFormat="false" ht="15" hidden="false" customHeight="false" outlineLevel="0" collapsed="false">
      <c r="B2352" s="4" t="n">
        <v>29981097</v>
      </c>
      <c r="C2352" s="4" t="s">
        <v>2629</v>
      </c>
      <c r="D2352" s="4" t="s">
        <v>463</v>
      </c>
      <c r="E2352" s="4" t="s">
        <v>2822</v>
      </c>
      <c r="F2352" s="127" t="n">
        <v>47175</v>
      </c>
      <c r="G2352" s="127" t="n">
        <v>47176</v>
      </c>
      <c r="H2352" s="127" t="n">
        <v>46289</v>
      </c>
      <c r="I2352" s="4" t="n">
        <v>0</v>
      </c>
      <c r="J2352" s="4" t="n">
        <v>0</v>
      </c>
      <c r="K2352" s="4" t="n">
        <v>0</v>
      </c>
      <c r="M2352" s="2" t="str">
        <f aca="false">IF(C2352="","",IFERROR(INDEX($S$5:$S$304,MATCH(C2352,$R$5:$R$304,0))&amp;"","?"))</f>
        <v>20</v>
      </c>
      <c r="N2352" s="2" t="n">
        <f aca="false">IF(E2352="","",IF(ISNUMBER(SEARCH("SUBSOLO",E2352)),IFERROR(-VALUE(LEFT(E2352,FIND("º",SUBSTITUTE(E2352,"°","º"))-1)),-1),IF(LEFT(E2352,6)="TÉRREO",0,IFERROR(VALUE(LEFT(E2352,FIND("º",SUBSTITUTE(E2352,"°","º"))-1)),""))))</f>
        <v>19</v>
      </c>
      <c r="O2352" s="2" t="str">
        <f aca="false">IF(OR(F2352="",G2352=""),"",IF(G2352&lt;='RETRATO 2027'!$K$5,"CONCLUÍDA",IF(F2352&lt;='RETRATO 2027'!$K$5,"EM ANDAMENTO","A INICIAR")))</f>
        <v>A INICIAR</v>
      </c>
    </row>
    <row r="2353" customFormat="false" ht="15" hidden="false" customHeight="false" outlineLevel="0" collapsed="false">
      <c r="B2353" s="4" t="n">
        <v>29980930</v>
      </c>
      <c r="C2353" s="4" t="s">
        <v>2732</v>
      </c>
      <c r="D2353" s="4" t="s">
        <v>463</v>
      </c>
      <c r="E2353" s="4" t="s">
        <v>2831</v>
      </c>
      <c r="F2353" s="127" t="n">
        <v>47175</v>
      </c>
      <c r="G2353" s="127" t="n">
        <v>47185</v>
      </c>
      <c r="H2353" s="127" t="n">
        <v>46289</v>
      </c>
      <c r="I2353" s="4" t="n">
        <v>0</v>
      </c>
      <c r="J2353" s="4" t="n">
        <v>0</v>
      </c>
      <c r="K2353" s="4" t="n">
        <v>0</v>
      </c>
      <c r="M2353" s="2" t="str">
        <f aca="false">IF(C2353="","",IFERROR(INDEX($S$5:$S$304,MATCH(C2353,$R$5:$R$304,0))&amp;"","?"))</f>
        <v/>
      </c>
      <c r="N2353" s="2" t="n">
        <f aca="false">IF(E2353="","",IF(ISNUMBER(SEARCH("SUBSOLO",E2353)),IFERROR(-VALUE(LEFT(E2353,FIND("º",SUBSTITUTE(E2353,"°","º"))-1)),-1),IF(LEFT(E2353,6)="TÉRREO",0,IFERROR(VALUE(LEFT(E2353,FIND("º",SUBSTITUTE(E2353,"°","º"))-1)),""))))</f>
        <v>24</v>
      </c>
      <c r="O2353" s="2" t="str">
        <f aca="false">IF(OR(F2353="",G2353=""),"",IF(G2353&lt;='RETRATO 2027'!$K$5,"CONCLUÍDA",IF(F2353&lt;='RETRATO 2027'!$K$5,"EM ANDAMENTO","A INICIAR")))</f>
        <v>A INICIAR</v>
      </c>
    </row>
    <row r="2354" customFormat="false" ht="15" hidden="false" customHeight="false" outlineLevel="0" collapsed="false">
      <c r="B2354" s="4" t="n">
        <v>30171660</v>
      </c>
      <c r="C2354" s="4" t="s">
        <v>2690</v>
      </c>
      <c r="D2354" s="4" t="s">
        <v>463</v>
      </c>
      <c r="E2354" s="4" t="s">
        <v>2816</v>
      </c>
      <c r="F2354" s="127" t="n">
        <v>47176</v>
      </c>
      <c r="G2354" s="127" t="n">
        <v>47196</v>
      </c>
      <c r="H2354" s="127" t="n">
        <v>46289</v>
      </c>
      <c r="I2354" s="4" t="n">
        <v>0</v>
      </c>
      <c r="J2354" s="4" t="n">
        <v>0</v>
      </c>
      <c r="K2354" s="4" t="n">
        <v>0</v>
      </c>
      <c r="M2354" s="2" t="str">
        <f aca="false">IF(C2354="","",IFERROR(INDEX($S$5:$S$304,MATCH(C2354,$R$5:$R$304,0))&amp;"","?"))</f>
        <v>37</v>
      </c>
      <c r="N2354" s="2" t="str">
        <f aca="false"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 t="str">
        <f aca="false">IF(OR(F2354="",G2354=""),"",IF(G2354&lt;='RETRATO 2027'!$K$5,"CONCLUÍDA",IF(F2354&lt;='RETRATO 2027'!$K$5,"EM ANDAMENTO","A INICIAR")))</f>
        <v>A INICIAR</v>
      </c>
    </row>
    <row r="2355" customFormat="false" ht="15" hidden="false" customHeight="false" outlineLevel="0" collapsed="false">
      <c r="B2355" s="4" t="n">
        <v>33807250</v>
      </c>
      <c r="C2355" s="4" t="s">
        <v>2738</v>
      </c>
      <c r="D2355" s="4" t="s">
        <v>463</v>
      </c>
      <c r="E2355" s="4" t="s">
        <v>2823</v>
      </c>
      <c r="F2355" s="127" t="n">
        <v>47176</v>
      </c>
      <c r="G2355" s="127" t="n">
        <v>47177</v>
      </c>
      <c r="H2355" s="127" t="n">
        <v>46289</v>
      </c>
      <c r="I2355" s="4" t="n">
        <v>0</v>
      </c>
      <c r="J2355" s="4" t="n">
        <v>0</v>
      </c>
      <c r="K2355" s="4" t="n">
        <v>0</v>
      </c>
      <c r="M2355" s="2" t="str">
        <f aca="false">IF(C2355="","",IFERROR(INDEX($S$5:$S$304,MATCH(C2355,$R$5:$R$304,0))&amp;"","?"))</f>
        <v/>
      </c>
      <c r="N2355" s="2" t="n">
        <f aca="false">IF(E2355="","",IF(ISNUMBER(SEARCH("SUBSOLO",E2355)),IFERROR(-VALUE(LEFT(E2355,FIND("º",SUBSTITUTE(E2355,"°","º"))-1)),-1),IF(LEFT(E2355,6)="TÉRREO",0,IFERROR(VALUE(LEFT(E2355,FIND("º",SUBSTITUTE(E2355,"°","º"))-1)),""))))</f>
        <v>20</v>
      </c>
      <c r="O2355" s="2" t="str">
        <f aca="false">IF(OR(F2355="",G2355=""),"",IF(G2355&lt;='RETRATO 2027'!$K$5,"CONCLUÍDA",IF(F2355&lt;='RETRATO 2027'!$K$5,"EM ANDAMENTO","A INICIAR")))</f>
        <v>A INICIAR</v>
      </c>
    </row>
    <row r="2356" customFormat="false" ht="15" hidden="false" customHeight="false" outlineLevel="0" collapsed="false">
      <c r="B2356" s="4" t="n">
        <v>29981095</v>
      </c>
      <c r="C2356" s="4" t="s">
        <v>2637</v>
      </c>
      <c r="D2356" s="4" t="s">
        <v>463</v>
      </c>
      <c r="E2356" s="4" t="s">
        <v>2822</v>
      </c>
      <c r="F2356" s="127" t="n">
        <v>47177</v>
      </c>
      <c r="G2356" s="127" t="n">
        <v>47183</v>
      </c>
      <c r="H2356" s="127" t="n">
        <v>46289</v>
      </c>
      <c r="I2356" s="4" t="n">
        <v>0</v>
      </c>
      <c r="J2356" s="4" t="n">
        <v>0</v>
      </c>
      <c r="K2356" s="4" t="n">
        <v>0</v>
      </c>
      <c r="M2356" s="2" t="str">
        <f aca="false">IF(C2356="","",IFERROR(INDEX($S$5:$S$304,MATCH(C2356,$R$5:$R$304,0))&amp;"","?"))</f>
        <v/>
      </c>
      <c r="N2356" s="2" t="n">
        <f aca="false">IF(E2356="","",IF(ISNUMBER(SEARCH("SUBSOLO",E2356)),IFERROR(-VALUE(LEFT(E2356,FIND("º",SUBSTITUTE(E2356,"°","º"))-1)),-1),IF(LEFT(E2356,6)="TÉRREO",0,IFERROR(VALUE(LEFT(E2356,FIND("º",SUBSTITUTE(E2356,"°","º"))-1)),""))))</f>
        <v>19</v>
      </c>
      <c r="O2356" s="2" t="str">
        <f aca="false">IF(OR(F2356="",G2356=""),"",IF(G2356&lt;='RETRATO 2027'!$K$5,"CONCLUÍDA",IF(F2356&lt;='RETRATO 2027'!$K$5,"EM ANDAMENTO","A INICIAR")))</f>
        <v>A INICIAR</v>
      </c>
    </row>
    <row r="2357" customFormat="false" ht="15" hidden="false" customHeight="false" outlineLevel="0" collapsed="false">
      <c r="B2357" s="4" t="n">
        <v>29980893</v>
      </c>
      <c r="C2357" s="4" t="s">
        <v>2732</v>
      </c>
      <c r="D2357" s="4" t="s">
        <v>463</v>
      </c>
      <c r="E2357" s="4" t="s">
        <v>2833</v>
      </c>
      <c r="F2357" s="127" t="n">
        <v>47177</v>
      </c>
      <c r="G2357" s="127" t="n">
        <v>47189</v>
      </c>
      <c r="H2357" s="127" t="n">
        <v>46289</v>
      </c>
      <c r="I2357" s="4" t="n">
        <v>0</v>
      </c>
      <c r="J2357" s="4" t="n">
        <v>0</v>
      </c>
      <c r="K2357" s="4" t="n">
        <v>0</v>
      </c>
      <c r="M2357" s="2" t="str">
        <f aca="false">IF(C2357="","",IFERROR(INDEX($S$5:$S$304,MATCH(C2357,$R$5:$R$304,0))&amp;"","?"))</f>
        <v/>
      </c>
      <c r="N2357" s="2" t="n">
        <f aca="false">IF(E2357="","",IF(ISNUMBER(SEARCH("SUBSOLO",E2357)),IFERROR(-VALUE(LEFT(E2357,FIND("º",SUBSTITUTE(E2357,"°","º"))-1)),-1),IF(LEFT(E2357,6)="TÉRREO",0,IFERROR(VALUE(LEFT(E2357,FIND("º",SUBSTITUTE(E2357,"°","º"))-1)),""))))</f>
        <v>25</v>
      </c>
      <c r="O2357" s="2" t="str">
        <f aca="false">IF(OR(F2357="",G2357=""),"",IF(G2357&lt;='RETRATO 2027'!$K$5,"CONCLUÍDA",IF(F2357&lt;='RETRATO 2027'!$K$5,"EM ANDAMENTO","A INICIAR")))</f>
        <v>A INICIAR</v>
      </c>
    </row>
    <row r="2358" customFormat="false" ht="15" hidden="false" customHeight="false" outlineLevel="0" collapsed="false">
      <c r="B2358" s="4" t="n">
        <v>29980651</v>
      </c>
      <c r="C2358" s="4" t="s">
        <v>2637</v>
      </c>
      <c r="D2358" s="4" t="s">
        <v>463</v>
      </c>
      <c r="E2358" s="4" t="s">
        <v>2843</v>
      </c>
      <c r="F2358" s="127" t="n">
        <v>47177</v>
      </c>
      <c r="G2358" s="127" t="n">
        <v>47183</v>
      </c>
      <c r="H2358" s="127" t="n">
        <v>46289</v>
      </c>
      <c r="I2358" s="4" t="n">
        <v>0</v>
      </c>
      <c r="J2358" s="4" t="n">
        <v>0</v>
      </c>
      <c r="K2358" s="4" t="n">
        <v>0</v>
      </c>
      <c r="M2358" s="2" t="str">
        <f aca="false">IF(C2358="","",IFERROR(INDEX($S$5:$S$304,MATCH(C2358,$R$5:$R$304,0))&amp;"","?"))</f>
        <v/>
      </c>
      <c r="N2358" s="2" t="n">
        <f aca="false">IF(E2358="","",IF(ISNUMBER(SEARCH("SUBSOLO",E2358)),IFERROR(-VALUE(LEFT(E2358,FIND("º",SUBSTITUTE(E2358,"°","º"))-1)),-1),IF(LEFT(E2358,6)="TÉRREO",0,IFERROR(VALUE(LEFT(E2358,FIND("º",SUBSTITUTE(E2358,"°","º"))-1)),""))))</f>
        <v>31</v>
      </c>
      <c r="O2358" s="2" t="str">
        <f aca="false">IF(OR(F2358="",G2358=""),"",IF(G2358&lt;='RETRATO 2027'!$K$5,"CONCLUÍDA",IF(F2358&lt;='RETRATO 2027'!$K$5,"EM ANDAMENTO","A INICIAR")))</f>
        <v>A INICIAR</v>
      </c>
    </row>
    <row r="2359" customFormat="false" ht="15" hidden="false" customHeight="false" outlineLevel="0" collapsed="false">
      <c r="B2359" s="4" t="n">
        <v>29980616</v>
      </c>
      <c r="C2359" s="4" t="s">
        <v>2629</v>
      </c>
      <c r="D2359" s="4" t="s">
        <v>463</v>
      </c>
      <c r="E2359" s="4" t="s">
        <v>2844</v>
      </c>
      <c r="F2359" s="127" t="n">
        <v>47177</v>
      </c>
      <c r="G2359" s="127" t="n">
        <v>47189</v>
      </c>
      <c r="H2359" s="127" t="n">
        <v>46289</v>
      </c>
      <c r="I2359" s="4" t="n">
        <v>0</v>
      </c>
      <c r="J2359" s="4" t="n">
        <v>0</v>
      </c>
      <c r="K2359" s="4" t="n">
        <v>0</v>
      </c>
      <c r="M2359" s="2" t="str">
        <f aca="false">IF(C2359="","",IFERROR(INDEX($S$5:$S$304,MATCH(C2359,$R$5:$R$304,0))&amp;"","?"))</f>
        <v>20</v>
      </c>
      <c r="N2359" s="2" t="n">
        <f aca="false">IF(E2359="","",IF(ISNUMBER(SEARCH("SUBSOLO",E2359)),IFERROR(-VALUE(LEFT(E2359,FIND("º",SUBSTITUTE(E2359,"°","º"))-1)),-1),IF(LEFT(E2359,6)="TÉRREO",0,IFERROR(VALUE(LEFT(E2359,FIND("º",SUBSTITUTE(E2359,"°","º"))-1)),""))))</f>
        <v>32</v>
      </c>
      <c r="O2359" s="2" t="str">
        <f aca="false">IF(OR(F2359="",G2359=""),"",IF(G2359&lt;='RETRATO 2027'!$K$5,"CONCLUÍDA",IF(F2359&lt;='RETRATO 2027'!$K$5,"EM ANDAMENTO","A INICIAR")))</f>
        <v>A INICIAR</v>
      </c>
    </row>
    <row r="2360" customFormat="false" ht="15" hidden="false" customHeight="false" outlineLevel="0" collapsed="false">
      <c r="B2360" s="4" t="n">
        <v>33807131</v>
      </c>
      <c r="C2360" s="4" t="s">
        <v>2741</v>
      </c>
      <c r="D2360" s="4" t="s">
        <v>463</v>
      </c>
      <c r="E2360" s="4" t="s">
        <v>2757</v>
      </c>
      <c r="F2360" s="127" t="n">
        <v>47178</v>
      </c>
      <c r="G2360" s="127" t="n">
        <v>47210</v>
      </c>
      <c r="H2360" s="127" t="n">
        <v>46289</v>
      </c>
      <c r="I2360" s="4" t="n">
        <v>0</v>
      </c>
      <c r="J2360" s="4" t="n">
        <v>0</v>
      </c>
      <c r="K2360" s="4" t="n">
        <v>0</v>
      </c>
      <c r="M2360" s="2" t="str">
        <f aca="false">IF(C2360="","",IFERROR(INDEX($S$5:$S$304,MATCH(C2360,$R$5:$R$304,0))&amp;"","?"))</f>
        <v/>
      </c>
      <c r="N2360" s="2" t="n">
        <f aca="false">IF(E2360="","",IF(ISNUMBER(SEARCH("SUBSOLO",E2360)),IFERROR(-VALUE(LEFT(E2360,FIND("º",SUBSTITUTE(E2360,"°","º"))-1)),-1),IF(LEFT(E2360,6)="TÉRREO",0,IFERROR(VALUE(LEFT(E2360,FIND("º",SUBSTITUTE(E2360,"°","º"))-1)),""))))</f>
        <v>0</v>
      </c>
      <c r="O2360" s="2" t="str">
        <f aca="false">IF(OR(F2360="",G2360=""),"",IF(G2360&lt;='RETRATO 2027'!$K$5,"CONCLUÍDA",IF(F2360&lt;='RETRATO 2027'!$K$5,"EM ANDAMENTO","A INICIAR")))</f>
        <v>A INICIAR</v>
      </c>
    </row>
    <row r="2361" customFormat="false" ht="15" hidden="false" customHeight="false" outlineLevel="0" collapsed="false">
      <c r="B2361" s="4" t="n">
        <v>30171517</v>
      </c>
      <c r="C2361" s="4" t="s">
        <v>2690</v>
      </c>
      <c r="D2361" s="4" t="s">
        <v>463</v>
      </c>
      <c r="E2361" s="4" t="s">
        <v>2817</v>
      </c>
      <c r="F2361" s="127" t="n">
        <v>47178</v>
      </c>
      <c r="G2361" s="127" t="n">
        <v>47205</v>
      </c>
      <c r="H2361" s="127" t="n">
        <v>46289</v>
      </c>
      <c r="I2361" s="4" t="n">
        <v>0</v>
      </c>
      <c r="J2361" s="4" t="n">
        <v>0</v>
      </c>
      <c r="K2361" s="4" t="n">
        <v>0</v>
      </c>
      <c r="M2361" s="2" t="str">
        <f aca="false">IF(C2361="","",IFERROR(INDEX($S$5:$S$304,MATCH(C2361,$R$5:$R$304,0))&amp;"","?"))</f>
        <v>37</v>
      </c>
      <c r="N2361" s="2" t="str">
        <f aca="false"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 t="str">
        <f aca="false">IF(OR(F2361="",G2361=""),"",IF(G2361&lt;='RETRATO 2027'!$K$5,"CONCLUÍDA",IF(F2361&lt;='RETRATO 2027'!$K$5,"EM ANDAMENTO","A INICIAR")))</f>
        <v>A INICIAR</v>
      </c>
    </row>
    <row r="2362" customFormat="false" ht="15" hidden="false" customHeight="false" outlineLevel="0" collapsed="false">
      <c r="B2362" s="4" t="n">
        <v>33807251</v>
      </c>
      <c r="C2362" s="4" t="s">
        <v>2738</v>
      </c>
      <c r="D2362" s="4" t="s">
        <v>463</v>
      </c>
      <c r="E2362" s="4" t="s">
        <v>2825</v>
      </c>
      <c r="F2362" s="127" t="n">
        <v>47178</v>
      </c>
      <c r="G2362" s="127" t="n">
        <v>47179</v>
      </c>
      <c r="H2362" s="127" t="n">
        <v>46289</v>
      </c>
      <c r="I2362" s="4" t="n">
        <v>0</v>
      </c>
      <c r="J2362" s="4" t="n">
        <v>0</v>
      </c>
      <c r="K2362" s="4" t="n">
        <v>0</v>
      </c>
      <c r="M2362" s="2" t="str">
        <f aca="false">IF(C2362="","",IFERROR(INDEX($S$5:$S$304,MATCH(C2362,$R$5:$R$304,0))&amp;"","?"))</f>
        <v/>
      </c>
      <c r="N2362" s="2" t="n">
        <f aca="false">IF(E2362="","",IF(ISNUMBER(SEARCH("SUBSOLO",E2362)),IFERROR(-VALUE(LEFT(E2362,FIND("º",SUBSTITUTE(E2362,"°","º"))-1)),-1),IF(LEFT(E2362,6)="TÉRREO",0,IFERROR(VALUE(LEFT(E2362,FIND("º",SUBSTITUTE(E2362,"°","º"))-1)),""))))</f>
        <v>21</v>
      </c>
      <c r="O2362" s="2" t="str">
        <f aca="false">IF(OR(F2362="",G2362=""),"",IF(G2362&lt;='RETRATO 2027'!$K$5,"CONCLUÍDA",IF(F2362&lt;='RETRATO 2027'!$K$5,"EM ANDAMENTO","A INICIAR")))</f>
        <v>A INICIAR</v>
      </c>
    </row>
    <row r="2363" customFormat="false" ht="15" hidden="false" customHeight="false" outlineLevel="0" collapsed="false">
      <c r="B2363" s="4" t="n">
        <v>30205767</v>
      </c>
      <c r="C2363" s="4" t="s">
        <v>2690</v>
      </c>
      <c r="D2363" s="4" t="s">
        <v>463</v>
      </c>
      <c r="E2363" s="4" t="s">
        <v>2837</v>
      </c>
      <c r="F2363" s="127" t="n">
        <v>47179</v>
      </c>
      <c r="G2363" s="127" t="n">
        <v>47199</v>
      </c>
      <c r="H2363" s="127" t="n">
        <v>46289</v>
      </c>
      <c r="I2363" s="4" t="n">
        <v>0</v>
      </c>
      <c r="J2363" s="4" t="n">
        <v>0</v>
      </c>
      <c r="K2363" s="4" t="n">
        <v>0</v>
      </c>
      <c r="M2363" s="2" t="str">
        <f aca="false">IF(C2363="","",IFERROR(INDEX($S$5:$S$304,MATCH(C2363,$R$5:$R$304,0))&amp;"","?"))</f>
        <v>37</v>
      </c>
      <c r="N2363" s="2" t="n">
        <f aca="false">IF(E2363="","",IF(ISNUMBER(SEARCH("SUBSOLO",E2363)),IFERROR(-VALUE(LEFT(E2363,FIND("º",SUBSTITUTE(E2363,"°","º"))-1)),-1),IF(LEFT(E2363,6)="TÉRREO",0,IFERROR(VALUE(LEFT(E2363,FIND("º",SUBSTITUTE(E2363,"°","º"))-1)),""))))</f>
        <v>0</v>
      </c>
      <c r="O2363" s="2" t="str">
        <f aca="false">IF(OR(F2363="",G2363=""),"",IF(G2363&lt;='RETRATO 2027'!$K$5,"CONCLUÍDA",IF(F2363&lt;='RETRATO 2027'!$K$5,"EM ANDAMENTO","A INICIAR")))</f>
        <v>A INICIAR</v>
      </c>
    </row>
    <row r="2364" customFormat="false" ht="15" hidden="false" customHeight="false" outlineLevel="0" collapsed="false">
      <c r="B2364" s="4" t="n">
        <v>29980856</v>
      </c>
      <c r="C2364" s="4" t="s">
        <v>2732</v>
      </c>
      <c r="D2364" s="4" t="s">
        <v>463</v>
      </c>
      <c r="E2364" s="4" t="s">
        <v>2834</v>
      </c>
      <c r="F2364" s="127" t="n">
        <v>47179</v>
      </c>
      <c r="G2364" s="127" t="n">
        <v>47191</v>
      </c>
      <c r="H2364" s="127" t="n">
        <v>46289</v>
      </c>
      <c r="I2364" s="4" t="n">
        <v>0</v>
      </c>
      <c r="J2364" s="4" t="n">
        <v>0</v>
      </c>
      <c r="K2364" s="4" t="n">
        <v>0</v>
      </c>
      <c r="M2364" s="2" t="str">
        <f aca="false">IF(C2364="","",IFERROR(INDEX($S$5:$S$304,MATCH(C2364,$R$5:$R$304,0))&amp;"","?"))</f>
        <v/>
      </c>
      <c r="N2364" s="2" t="n">
        <f aca="false">IF(E2364="","",IF(ISNUMBER(SEARCH("SUBSOLO",E2364)),IFERROR(-VALUE(LEFT(E2364,FIND("º",SUBSTITUTE(E2364,"°","º"))-1)),-1),IF(LEFT(E2364,6)="TÉRREO",0,IFERROR(VALUE(LEFT(E2364,FIND("º",SUBSTITUTE(E2364,"°","º"))-1)),""))))</f>
        <v>26</v>
      </c>
      <c r="O2364" s="2" t="str">
        <f aca="false">IF(OR(F2364="",G2364=""),"",IF(G2364&lt;='RETRATO 2027'!$K$5,"CONCLUÍDA",IF(F2364&lt;='RETRATO 2027'!$K$5,"EM ANDAMENTO","A INICIAR")))</f>
        <v>A INICIAR</v>
      </c>
    </row>
    <row r="2365" customFormat="false" ht="15" hidden="false" customHeight="false" outlineLevel="0" collapsed="false">
      <c r="B2365" s="4" t="n">
        <v>33807252</v>
      </c>
      <c r="C2365" s="4" t="s">
        <v>2738</v>
      </c>
      <c r="D2365" s="4" t="s">
        <v>463</v>
      </c>
      <c r="E2365" s="4" t="s">
        <v>2827</v>
      </c>
      <c r="F2365" s="127" t="n">
        <v>47182</v>
      </c>
      <c r="G2365" s="127" t="n">
        <v>47183</v>
      </c>
      <c r="H2365" s="127" t="n">
        <v>46289</v>
      </c>
      <c r="I2365" s="4" t="n">
        <v>0</v>
      </c>
      <c r="J2365" s="4" t="n">
        <v>0</v>
      </c>
      <c r="K2365" s="4" t="n">
        <v>0</v>
      </c>
      <c r="M2365" s="2" t="str">
        <f aca="false">IF(C2365="","",IFERROR(INDEX($S$5:$S$304,MATCH(C2365,$R$5:$R$304,0))&amp;"","?"))</f>
        <v/>
      </c>
      <c r="N2365" s="2" t="n">
        <f aca="false">IF(E2365="","",IF(ISNUMBER(SEARCH("SUBSOLO",E2365)),IFERROR(-VALUE(LEFT(E2365,FIND("º",SUBSTITUTE(E2365,"°","º"))-1)),-1),IF(LEFT(E2365,6)="TÉRREO",0,IFERROR(VALUE(LEFT(E2365,FIND("º",SUBSTITUTE(E2365,"°","º"))-1)),""))))</f>
        <v>22</v>
      </c>
      <c r="O2365" s="2" t="str">
        <f aca="false">IF(OR(F2365="",G2365=""),"",IF(G2365&lt;='RETRATO 2027'!$K$5,"CONCLUÍDA",IF(F2365&lt;='RETRATO 2027'!$K$5,"EM ANDAMENTO","A INICIAR")))</f>
        <v>A INICIAR</v>
      </c>
    </row>
    <row r="2366" customFormat="false" ht="15" hidden="false" customHeight="false" outlineLevel="0" collapsed="false">
      <c r="B2366" s="4" t="n">
        <v>29980819</v>
      </c>
      <c r="C2366" s="4" t="s">
        <v>2732</v>
      </c>
      <c r="D2366" s="4" t="s">
        <v>463</v>
      </c>
      <c r="E2366" s="4" t="s">
        <v>2838</v>
      </c>
      <c r="F2366" s="127" t="n">
        <v>47183</v>
      </c>
      <c r="G2366" s="127" t="n">
        <v>47193</v>
      </c>
      <c r="H2366" s="127" t="n">
        <v>46289</v>
      </c>
      <c r="I2366" s="4" t="n">
        <v>0</v>
      </c>
      <c r="J2366" s="4" t="n">
        <v>0</v>
      </c>
      <c r="K2366" s="4" t="n">
        <v>0</v>
      </c>
      <c r="M2366" s="2" t="str">
        <f aca="false">IF(C2366="","",IFERROR(INDEX($S$5:$S$304,MATCH(C2366,$R$5:$R$304,0))&amp;"","?"))</f>
        <v/>
      </c>
      <c r="N2366" s="2" t="n">
        <f aca="false">IF(E2366="","",IF(ISNUMBER(SEARCH("SUBSOLO",E2366)),IFERROR(-VALUE(LEFT(E2366,FIND("º",SUBSTITUTE(E2366,"°","º"))-1)),-1),IF(LEFT(E2366,6)="TÉRREO",0,IFERROR(VALUE(LEFT(E2366,FIND("º",SUBSTITUTE(E2366,"°","º"))-1)),""))))</f>
        <v>27</v>
      </c>
      <c r="O2366" s="2" t="str">
        <f aca="false">IF(OR(F2366="",G2366=""),"",IF(G2366&lt;='RETRATO 2027'!$K$5,"CONCLUÍDA",IF(F2366&lt;='RETRATO 2027'!$K$5,"EM ANDAMENTO","A INICIAR")))</f>
        <v>A INICIAR</v>
      </c>
    </row>
    <row r="2367" customFormat="false" ht="15" hidden="false" customHeight="false" outlineLevel="0" collapsed="false">
      <c r="B2367" s="4" t="n">
        <v>29981096</v>
      </c>
      <c r="C2367" s="4" t="s">
        <v>2641</v>
      </c>
      <c r="D2367" s="4" t="s">
        <v>463</v>
      </c>
      <c r="E2367" s="4" t="s">
        <v>2822</v>
      </c>
      <c r="F2367" s="127" t="n">
        <v>47184</v>
      </c>
      <c r="G2367" s="127" t="n">
        <v>47196</v>
      </c>
      <c r="H2367" s="127" t="n">
        <v>46289</v>
      </c>
      <c r="I2367" s="4" t="n">
        <v>0</v>
      </c>
      <c r="J2367" s="4" t="n">
        <v>0</v>
      </c>
      <c r="K2367" s="4" t="n">
        <v>0</v>
      </c>
      <c r="M2367" s="2" t="str">
        <f aca="false">IF(C2367="","",IFERROR(INDEX($S$5:$S$304,MATCH(C2367,$R$5:$R$304,0))&amp;"","?"))</f>
        <v>35</v>
      </c>
      <c r="N2367" s="2" t="n">
        <f aca="false">IF(E2367="","",IF(ISNUMBER(SEARCH("SUBSOLO",E2367)),IFERROR(-VALUE(LEFT(E2367,FIND("º",SUBSTITUTE(E2367,"°","º"))-1)),-1),IF(LEFT(E2367,6)="TÉRREO",0,IFERROR(VALUE(LEFT(E2367,FIND("º",SUBSTITUTE(E2367,"°","º"))-1)),""))))</f>
        <v>19</v>
      </c>
      <c r="O2367" s="2" t="str">
        <f aca="false">IF(OR(F2367="",G2367=""),"",IF(G2367&lt;='RETRATO 2027'!$K$5,"CONCLUÍDA",IF(F2367&lt;='RETRATO 2027'!$K$5,"EM ANDAMENTO","A INICIAR")))</f>
        <v>A INICIAR</v>
      </c>
    </row>
    <row r="2368" customFormat="false" ht="15" hidden="false" customHeight="false" outlineLevel="0" collapsed="false">
      <c r="B2368" s="4" t="n">
        <v>33807253</v>
      </c>
      <c r="C2368" s="4" t="s">
        <v>2738</v>
      </c>
      <c r="D2368" s="4" t="s">
        <v>463</v>
      </c>
      <c r="E2368" s="4" t="s">
        <v>2829</v>
      </c>
      <c r="F2368" s="127" t="n">
        <v>47184</v>
      </c>
      <c r="G2368" s="127" t="n">
        <v>47185</v>
      </c>
      <c r="H2368" s="127" t="n">
        <v>46289</v>
      </c>
      <c r="I2368" s="4" t="n">
        <v>0</v>
      </c>
      <c r="J2368" s="4" t="n">
        <v>0</v>
      </c>
      <c r="K2368" s="4" t="n">
        <v>0</v>
      </c>
      <c r="M2368" s="2" t="str">
        <f aca="false">IF(C2368="","",IFERROR(INDEX($S$5:$S$304,MATCH(C2368,$R$5:$R$304,0))&amp;"","?"))</f>
        <v/>
      </c>
      <c r="N2368" s="2" t="n">
        <f aca="false">IF(E2368="","",IF(ISNUMBER(SEARCH("SUBSOLO",E2368)),IFERROR(-VALUE(LEFT(E2368,FIND("º",SUBSTITUTE(E2368,"°","º"))-1)),-1),IF(LEFT(E2368,6)="TÉRREO",0,IFERROR(VALUE(LEFT(E2368,FIND("º",SUBSTITUTE(E2368,"°","º"))-1)),""))))</f>
        <v>23</v>
      </c>
      <c r="O2368" s="2" t="str">
        <f aca="false">IF(OR(F2368="",G2368=""),"",IF(G2368&lt;='RETRATO 2027'!$K$5,"CONCLUÍDA",IF(F2368&lt;='RETRATO 2027'!$K$5,"EM ANDAMENTO","A INICIAR")))</f>
        <v>A INICIAR</v>
      </c>
    </row>
    <row r="2369" customFormat="false" ht="15" hidden="false" customHeight="false" outlineLevel="0" collapsed="false">
      <c r="B2369" s="4" t="n">
        <v>29980699</v>
      </c>
      <c r="C2369" s="4" t="s">
        <v>2649</v>
      </c>
      <c r="D2369" s="4" t="s">
        <v>463</v>
      </c>
      <c r="E2369" s="4" t="s">
        <v>2842</v>
      </c>
      <c r="F2369" s="127" t="n">
        <v>47184</v>
      </c>
      <c r="G2369" s="127" t="n">
        <v>47196</v>
      </c>
      <c r="H2369" s="127" t="n">
        <v>46289</v>
      </c>
      <c r="I2369" s="4" t="n">
        <v>0</v>
      </c>
      <c r="J2369" s="4" t="n">
        <v>0</v>
      </c>
      <c r="K2369" s="4" t="n">
        <v>0</v>
      </c>
      <c r="M2369" s="2" t="str">
        <f aca="false">IF(C2369="","",IFERROR(INDEX($S$5:$S$304,MATCH(C2369,$R$5:$R$304,0))&amp;"","?"))</f>
        <v>37</v>
      </c>
      <c r="N2369" s="2" t="n">
        <f aca="false">IF(E2369="","",IF(ISNUMBER(SEARCH("SUBSOLO",E2369)),IFERROR(-VALUE(LEFT(E2369,FIND("º",SUBSTITUTE(E2369,"°","º"))-1)),-1),IF(LEFT(E2369,6)="TÉRREO",0,IFERROR(VALUE(LEFT(E2369,FIND("º",SUBSTITUTE(E2369,"°","º"))-1)),""))))</f>
        <v>30</v>
      </c>
      <c r="O2369" s="2" t="str">
        <f aca="false">IF(OR(F2369="",G2369=""),"",IF(G2369&lt;='RETRATO 2027'!$K$5,"CONCLUÍDA",IF(F2369&lt;='RETRATO 2027'!$K$5,"EM ANDAMENTO","A INICIAR")))</f>
        <v>A INICIAR</v>
      </c>
    </row>
    <row r="2370" customFormat="false" ht="15" hidden="false" customHeight="false" outlineLevel="0" collapsed="false">
      <c r="B2370" s="4" t="n">
        <v>29980652</v>
      </c>
      <c r="C2370" s="4" t="s">
        <v>2641</v>
      </c>
      <c r="D2370" s="4" t="s">
        <v>463</v>
      </c>
      <c r="E2370" s="4" t="s">
        <v>2843</v>
      </c>
      <c r="F2370" s="127" t="n">
        <v>47184</v>
      </c>
      <c r="G2370" s="127" t="n">
        <v>47196</v>
      </c>
      <c r="H2370" s="127" t="n">
        <v>46289</v>
      </c>
      <c r="I2370" s="4" t="n">
        <v>0</v>
      </c>
      <c r="J2370" s="4" t="n">
        <v>0</v>
      </c>
      <c r="K2370" s="4" t="n">
        <v>0</v>
      </c>
      <c r="M2370" s="2" t="str">
        <f aca="false">IF(C2370="","",IFERROR(INDEX($S$5:$S$304,MATCH(C2370,$R$5:$R$304,0))&amp;"","?"))</f>
        <v>35</v>
      </c>
      <c r="N2370" s="2" t="n">
        <f aca="false">IF(E2370="","",IF(ISNUMBER(SEARCH("SUBSOLO",E2370)),IFERROR(-VALUE(LEFT(E2370,FIND("º",SUBSTITUTE(E2370,"°","º"))-1)),-1),IF(LEFT(E2370,6)="TÉRREO",0,IFERROR(VALUE(LEFT(E2370,FIND("º",SUBSTITUTE(E2370,"°","º"))-1)),""))))</f>
        <v>31</v>
      </c>
      <c r="O2370" s="2" t="str">
        <f aca="false">IF(OR(F2370="",G2370=""),"",IF(G2370&lt;='RETRATO 2027'!$K$5,"CONCLUÍDA",IF(F2370&lt;='RETRATO 2027'!$K$5,"EM ANDAMENTO","A INICIAR")))</f>
        <v>A INICIAR</v>
      </c>
    </row>
    <row r="2371" customFormat="false" ht="15" hidden="false" customHeight="false" outlineLevel="0" collapsed="false">
      <c r="B2371" s="4" t="n">
        <v>29980782</v>
      </c>
      <c r="C2371" s="4" t="s">
        <v>2732</v>
      </c>
      <c r="D2371" s="4" t="s">
        <v>463</v>
      </c>
      <c r="E2371" s="4" t="s">
        <v>2840</v>
      </c>
      <c r="F2371" s="127" t="n">
        <v>47185</v>
      </c>
      <c r="G2371" s="127" t="n">
        <v>47197</v>
      </c>
      <c r="H2371" s="127" t="n">
        <v>46289</v>
      </c>
      <c r="I2371" s="4" t="n">
        <v>0</v>
      </c>
      <c r="J2371" s="4" t="n">
        <v>0</v>
      </c>
      <c r="K2371" s="4" t="n">
        <v>0</v>
      </c>
      <c r="M2371" s="2" t="str">
        <f aca="false">IF(C2371="","",IFERROR(INDEX($S$5:$S$304,MATCH(C2371,$R$5:$R$304,0))&amp;"","?"))</f>
        <v/>
      </c>
      <c r="N2371" s="2" t="n">
        <f aca="false">IF(E2371="","",IF(ISNUMBER(SEARCH("SUBSOLO",E2371)),IFERROR(-VALUE(LEFT(E2371,FIND("º",SUBSTITUTE(E2371,"°","º"))-1)),-1),IF(LEFT(E2371,6)="TÉRREO",0,IFERROR(VALUE(LEFT(E2371,FIND("º",SUBSTITUTE(E2371,"°","º"))-1)),""))))</f>
        <v>28</v>
      </c>
      <c r="O2371" s="2" t="str">
        <f aca="false">IF(OR(F2371="",G2371=""),"",IF(G2371&lt;='RETRATO 2027'!$K$5,"CONCLUÍDA",IF(F2371&lt;='RETRATO 2027'!$K$5,"EM ANDAMENTO","A INICIAR")))</f>
        <v>A INICIAR</v>
      </c>
    </row>
    <row r="2372" customFormat="false" ht="15" hidden="false" customHeight="false" outlineLevel="0" collapsed="false">
      <c r="B2372" s="4" t="n">
        <v>33807254</v>
      </c>
      <c r="C2372" s="4" t="s">
        <v>2738</v>
      </c>
      <c r="D2372" s="4" t="s">
        <v>463</v>
      </c>
      <c r="E2372" s="4" t="s">
        <v>2831</v>
      </c>
      <c r="F2372" s="127" t="n">
        <v>47186</v>
      </c>
      <c r="G2372" s="127" t="n">
        <v>47189</v>
      </c>
      <c r="H2372" s="127" t="n">
        <v>46289</v>
      </c>
      <c r="I2372" s="4" t="n">
        <v>0</v>
      </c>
      <c r="J2372" s="4" t="n">
        <v>0</v>
      </c>
      <c r="K2372" s="4" t="n">
        <v>0</v>
      </c>
      <c r="M2372" s="2" t="str">
        <f aca="false">IF(C2372="","",IFERROR(INDEX($S$5:$S$304,MATCH(C2372,$R$5:$R$304,0))&amp;"","?"))</f>
        <v/>
      </c>
      <c r="N2372" s="2" t="n">
        <f aca="false">IF(E2372="","",IF(ISNUMBER(SEARCH("SUBSOLO",E2372)),IFERROR(-VALUE(LEFT(E2372,FIND("º",SUBSTITUTE(E2372,"°","º"))-1)),-1),IF(LEFT(E2372,6)="TÉRREO",0,IFERROR(VALUE(LEFT(E2372,FIND("º",SUBSTITUTE(E2372,"°","º"))-1)),""))))</f>
        <v>24</v>
      </c>
      <c r="O2372" s="2" t="str">
        <f aca="false">IF(OR(F2372="",G2372=""),"",IF(G2372&lt;='RETRATO 2027'!$K$5,"CONCLUÍDA",IF(F2372&lt;='RETRATO 2027'!$K$5,"EM ANDAMENTO","A INICIAR")))</f>
        <v>A INICIAR</v>
      </c>
    </row>
    <row r="2373" customFormat="false" ht="15" hidden="false" customHeight="false" outlineLevel="0" collapsed="false">
      <c r="B2373" s="4" t="n">
        <v>30171396</v>
      </c>
      <c r="C2373" s="4" t="s">
        <v>2690</v>
      </c>
      <c r="D2373" s="4" t="s">
        <v>463</v>
      </c>
      <c r="E2373" s="4" t="s">
        <v>2801</v>
      </c>
      <c r="F2373" s="127" t="n">
        <v>47189</v>
      </c>
      <c r="G2373" s="127" t="n">
        <v>47210</v>
      </c>
      <c r="H2373" s="127" t="n">
        <v>46289</v>
      </c>
      <c r="I2373" s="4" t="n">
        <v>0</v>
      </c>
      <c r="J2373" s="4" t="n">
        <v>0</v>
      </c>
      <c r="K2373" s="4" t="n">
        <v>0</v>
      </c>
      <c r="M2373" s="2" t="str">
        <f aca="false">IF(C2373="","",IFERROR(INDEX($S$5:$S$304,MATCH(C2373,$R$5:$R$304,0))&amp;"","?"))</f>
        <v>37</v>
      </c>
      <c r="N2373" s="2" t="n">
        <f aca="false">IF(E2373="","",IF(ISNUMBER(SEARCH("SUBSOLO",E2373)),IFERROR(-VALUE(LEFT(E2373,FIND("º",SUBSTITUTE(E2373,"°","º"))-1)),-1),IF(LEFT(E2373,6)="TÉRREO",0,IFERROR(VALUE(LEFT(E2373,FIND("º",SUBSTITUTE(E2373,"°","º"))-1)),""))))</f>
        <v>5</v>
      </c>
      <c r="O2373" s="2" t="str">
        <f aca="false">IF(OR(F2373="",G2373=""),"",IF(G2373&lt;='RETRATO 2027'!$K$5,"CONCLUÍDA",IF(F2373&lt;='RETRATO 2027'!$K$5,"EM ANDAMENTO","A INICIAR")))</f>
        <v>A INICIAR</v>
      </c>
    </row>
    <row r="2374" customFormat="false" ht="15" hidden="false" customHeight="false" outlineLevel="0" collapsed="false">
      <c r="B2374" s="4" t="n">
        <v>29980745</v>
      </c>
      <c r="C2374" s="4" t="s">
        <v>2732</v>
      </c>
      <c r="D2374" s="4" t="s">
        <v>463</v>
      </c>
      <c r="E2374" s="4" t="s">
        <v>2841</v>
      </c>
      <c r="F2374" s="127" t="n">
        <v>47189</v>
      </c>
      <c r="G2374" s="127" t="n">
        <v>47199</v>
      </c>
      <c r="H2374" s="127" t="n">
        <v>46289</v>
      </c>
      <c r="I2374" s="4" t="n">
        <v>0</v>
      </c>
      <c r="J2374" s="4" t="n">
        <v>0</v>
      </c>
      <c r="K2374" s="4" t="n">
        <v>0</v>
      </c>
      <c r="M2374" s="2" t="str">
        <f aca="false">IF(C2374="","",IFERROR(INDEX($S$5:$S$304,MATCH(C2374,$R$5:$R$304,0))&amp;"","?"))</f>
        <v/>
      </c>
      <c r="N2374" s="2" t="n">
        <f aca="false">IF(E2374="","",IF(ISNUMBER(SEARCH("SUBSOLO",E2374)),IFERROR(-VALUE(LEFT(E2374,FIND("º",SUBSTITUTE(E2374,"°","º"))-1)),-1),IF(LEFT(E2374,6)="TÉRREO",0,IFERROR(VALUE(LEFT(E2374,FIND("º",SUBSTITUTE(E2374,"°","º"))-1)),""))))</f>
        <v>29</v>
      </c>
      <c r="O2374" s="2" t="str">
        <f aca="false">IF(OR(F2374="",G2374=""),"",IF(G2374&lt;='RETRATO 2027'!$K$5,"CONCLUÍDA",IF(F2374&lt;='RETRATO 2027'!$K$5,"EM ANDAMENTO","A INICIAR")))</f>
        <v>A INICIAR</v>
      </c>
    </row>
    <row r="2375" customFormat="false" ht="15" hidden="false" customHeight="false" outlineLevel="0" collapsed="false">
      <c r="B2375" s="4" t="n">
        <v>33807255</v>
      </c>
      <c r="C2375" s="4" t="s">
        <v>2738</v>
      </c>
      <c r="D2375" s="4" t="s">
        <v>463</v>
      </c>
      <c r="E2375" s="4" t="s">
        <v>2833</v>
      </c>
      <c r="F2375" s="127" t="n">
        <v>47190</v>
      </c>
      <c r="G2375" s="127" t="n">
        <v>47191</v>
      </c>
      <c r="H2375" s="127" t="n">
        <v>46289</v>
      </c>
      <c r="I2375" s="4" t="n">
        <v>0</v>
      </c>
      <c r="J2375" s="4" t="n">
        <v>0</v>
      </c>
      <c r="K2375" s="4" t="n">
        <v>0</v>
      </c>
      <c r="M2375" s="2" t="str">
        <f aca="false">IF(C2375="","",IFERROR(INDEX($S$5:$S$304,MATCH(C2375,$R$5:$R$304,0))&amp;"","?"))</f>
        <v/>
      </c>
      <c r="N2375" s="2" t="n">
        <f aca="false">IF(E2375="","",IF(ISNUMBER(SEARCH("SUBSOLO",E2375)),IFERROR(-VALUE(LEFT(E2375,FIND("º",SUBSTITUTE(E2375,"°","º"))-1)),-1),IF(LEFT(E2375,6)="TÉRREO",0,IFERROR(VALUE(LEFT(E2375,FIND("º",SUBSTITUTE(E2375,"°","º"))-1)),""))))</f>
        <v>25</v>
      </c>
      <c r="O2375" s="2" t="str">
        <f aca="false">IF(OR(F2375="",G2375=""),"",IF(G2375&lt;='RETRATO 2027'!$K$5,"CONCLUÍDA",IF(F2375&lt;='RETRATO 2027'!$K$5,"EM ANDAMENTO","A INICIAR")))</f>
        <v>A INICIAR</v>
      </c>
    </row>
    <row r="2376" customFormat="false" ht="15" hidden="false" customHeight="false" outlineLevel="0" collapsed="false">
      <c r="B2376" s="4" t="n">
        <v>29980614</v>
      </c>
      <c r="C2376" s="4" t="s">
        <v>2637</v>
      </c>
      <c r="D2376" s="4" t="s">
        <v>463</v>
      </c>
      <c r="E2376" s="4" t="s">
        <v>2844</v>
      </c>
      <c r="F2376" s="127" t="n">
        <v>47190</v>
      </c>
      <c r="G2376" s="127" t="n">
        <v>47196</v>
      </c>
      <c r="H2376" s="127" t="n">
        <v>46289</v>
      </c>
      <c r="I2376" s="4" t="n">
        <v>0</v>
      </c>
      <c r="J2376" s="4" t="n">
        <v>0</v>
      </c>
      <c r="K2376" s="4" t="n">
        <v>0</v>
      </c>
      <c r="M2376" s="2" t="str">
        <f aca="false">IF(C2376="","",IFERROR(INDEX($S$5:$S$304,MATCH(C2376,$R$5:$R$304,0))&amp;"","?"))</f>
        <v/>
      </c>
      <c r="N2376" s="2" t="n">
        <f aca="false">IF(E2376="","",IF(ISNUMBER(SEARCH("SUBSOLO",E2376)),IFERROR(-VALUE(LEFT(E2376,FIND("º",SUBSTITUTE(E2376,"°","º"))-1)),-1),IF(LEFT(E2376,6)="TÉRREO",0,IFERROR(VALUE(LEFT(E2376,FIND("º",SUBSTITUTE(E2376,"°","º"))-1)),""))))</f>
        <v>32</v>
      </c>
      <c r="O2376" s="2" t="str">
        <f aca="false">IF(OR(F2376="",G2376=""),"",IF(G2376&lt;='RETRATO 2027'!$K$5,"CONCLUÍDA",IF(F2376&lt;='RETRATO 2027'!$K$5,"EM ANDAMENTO","A INICIAR")))</f>
        <v>A INICIAR</v>
      </c>
    </row>
    <row r="2377" customFormat="false" ht="15" hidden="false" customHeight="false" outlineLevel="0" collapsed="false">
      <c r="B2377" s="4" t="n">
        <v>33807256</v>
      </c>
      <c r="C2377" s="4" t="s">
        <v>2738</v>
      </c>
      <c r="D2377" s="4" t="s">
        <v>463</v>
      </c>
      <c r="E2377" s="4" t="s">
        <v>2834</v>
      </c>
      <c r="F2377" s="127" t="n">
        <v>47192</v>
      </c>
      <c r="G2377" s="127" t="n">
        <v>47193</v>
      </c>
      <c r="H2377" s="127" t="n">
        <v>46289</v>
      </c>
      <c r="I2377" s="4" t="n">
        <v>0</v>
      </c>
      <c r="J2377" s="4" t="n">
        <v>0</v>
      </c>
      <c r="K2377" s="4" t="n">
        <v>0</v>
      </c>
      <c r="M2377" s="2" t="str">
        <f aca="false">IF(C2377="","",IFERROR(INDEX($S$5:$S$304,MATCH(C2377,$R$5:$R$304,0))&amp;"","?"))</f>
        <v/>
      </c>
      <c r="N2377" s="2" t="n">
        <f aca="false">IF(E2377="","",IF(ISNUMBER(SEARCH("SUBSOLO",E2377)),IFERROR(-VALUE(LEFT(E2377,FIND("º",SUBSTITUTE(E2377,"°","º"))-1)),-1),IF(LEFT(E2377,6)="TÉRREO",0,IFERROR(VALUE(LEFT(E2377,FIND("º",SUBSTITUTE(E2377,"°","º"))-1)),""))))</f>
        <v>26</v>
      </c>
      <c r="O2377" s="2" t="str">
        <f aca="false">IF(OR(F2377="",G2377=""),"",IF(G2377&lt;='RETRATO 2027'!$K$5,"CONCLUÍDA",IF(F2377&lt;='RETRATO 2027'!$K$5,"EM ANDAMENTO","A INICIAR")))</f>
        <v>A INICIAR</v>
      </c>
    </row>
    <row r="2378" customFormat="false" ht="15" hidden="false" customHeight="false" outlineLevel="0" collapsed="false">
      <c r="B2378" s="4" t="n">
        <v>33807257</v>
      </c>
      <c r="C2378" s="4" t="s">
        <v>2738</v>
      </c>
      <c r="D2378" s="4" t="s">
        <v>463</v>
      </c>
      <c r="E2378" s="4" t="s">
        <v>2838</v>
      </c>
      <c r="F2378" s="127" t="n">
        <v>47196</v>
      </c>
      <c r="G2378" s="127" t="n">
        <v>47197</v>
      </c>
      <c r="H2378" s="127" t="n">
        <v>46289</v>
      </c>
      <c r="I2378" s="4" t="n">
        <v>0</v>
      </c>
      <c r="J2378" s="4" t="n">
        <v>0</v>
      </c>
      <c r="K2378" s="4" t="n">
        <v>0</v>
      </c>
      <c r="M2378" s="2" t="str">
        <f aca="false">IF(C2378="","",IFERROR(INDEX($S$5:$S$304,MATCH(C2378,$R$5:$R$304,0))&amp;"","?"))</f>
        <v/>
      </c>
      <c r="N2378" s="2" t="n">
        <f aca="false">IF(E2378="","",IF(ISNUMBER(SEARCH("SUBSOLO",E2378)),IFERROR(-VALUE(LEFT(E2378,FIND("º",SUBSTITUTE(E2378,"°","º"))-1)),-1),IF(LEFT(E2378,6)="TÉRREO",0,IFERROR(VALUE(LEFT(E2378,FIND("º",SUBSTITUTE(E2378,"°","º"))-1)),""))))</f>
        <v>27</v>
      </c>
      <c r="O2378" s="2" t="str">
        <f aca="false">IF(OR(F2378="",G2378=""),"",IF(G2378&lt;='RETRATO 2027'!$K$5,"CONCLUÍDA",IF(F2378&lt;='RETRATO 2027'!$K$5,"EM ANDAMENTO","A INICIAR")))</f>
        <v>A INICIAR</v>
      </c>
    </row>
    <row r="2379" customFormat="false" ht="15" hidden="false" customHeight="false" outlineLevel="0" collapsed="false">
      <c r="B2379" s="4" t="n">
        <v>29981106</v>
      </c>
      <c r="C2379" s="4" t="s">
        <v>2649</v>
      </c>
      <c r="D2379" s="4" t="s">
        <v>463</v>
      </c>
      <c r="E2379" s="4" t="s">
        <v>2822</v>
      </c>
      <c r="F2379" s="127" t="n">
        <v>47197</v>
      </c>
      <c r="G2379" s="127" t="n">
        <v>47210</v>
      </c>
      <c r="H2379" s="127" t="n">
        <v>46289</v>
      </c>
      <c r="I2379" s="4" t="n">
        <v>0</v>
      </c>
      <c r="J2379" s="4" t="n">
        <v>0</v>
      </c>
      <c r="K2379" s="4" t="n">
        <v>0</v>
      </c>
      <c r="M2379" s="2" t="str">
        <f aca="false">IF(C2379="","",IFERROR(INDEX($S$5:$S$304,MATCH(C2379,$R$5:$R$304,0))&amp;"","?"))</f>
        <v>37</v>
      </c>
      <c r="N2379" s="2" t="n">
        <f aca="false">IF(E2379="","",IF(ISNUMBER(SEARCH("SUBSOLO",E2379)),IFERROR(-VALUE(LEFT(E2379,FIND("º",SUBSTITUTE(E2379,"°","º"))-1)),-1),IF(LEFT(E2379,6)="TÉRREO",0,IFERROR(VALUE(LEFT(E2379,FIND("º",SUBSTITUTE(E2379,"°","º"))-1)),""))))</f>
        <v>19</v>
      </c>
      <c r="O2379" s="2" t="str">
        <f aca="false">IF(OR(F2379="",G2379=""),"",IF(G2379&lt;='RETRATO 2027'!$K$5,"CONCLUÍDA",IF(F2379&lt;='RETRATO 2027'!$K$5,"EM ANDAMENTO","A INICIAR")))</f>
        <v>A INICIAR</v>
      </c>
    </row>
    <row r="2380" customFormat="false" ht="15" hidden="false" customHeight="false" outlineLevel="0" collapsed="false">
      <c r="B2380" s="4" t="n">
        <v>29980708</v>
      </c>
      <c r="C2380" s="4" t="s">
        <v>2732</v>
      </c>
      <c r="D2380" s="4" t="s">
        <v>463</v>
      </c>
      <c r="E2380" s="4" t="s">
        <v>2842</v>
      </c>
      <c r="F2380" s="127" t="n">
        <v>47197</v>
      </c>
      <c r="G2380" s="127" t="n">
        <v>47210</v>
      </c>
      <c r="H2380" s="127" t="n">
        <v>46289</v>
      </c>
      <c r="I2380" s="4" t="n">
        <v>0</v>
      </c>
      <c r="J2380" s="4" t="n">
        <v>0</v>
      </c>
      <c r="K2380" s="4" t="n">
        <v>0</v>
      </c>
      <c r="M2380" s="2" t="str">
        <f aca="false">IF(C2380="","",IFERROR(INDEX($S$5:$S$304,MATCH(C2380,$R$5:$R$304,0))&amp;"","?"))</f>
        <v/>
      </c>
      <c r="N2380" s="2" t="n">
        <f aca="false">IF(E2380="","",IF(ISNUMBER(SEARCH("SUBSOLO",E2380)),IFERROR(-VALUE(LEFT(E2380,FIND("º",SUBSTITUTE(E2380,"°","º"))-1)),-1),IF(LEFT(E2380,6)="TÉRREO",0,IFERROR(VALUE(LEFT(E2380,FIND("º",SUBSTITUTE(E2380,"°","º"))-1)),""))))</f>
        <v>30</v>
      </c>
      <c r="O2380" s="2" t="str">
        <f aca="false">IF(OR(F2380="",G2380=""),"",IF(G2380&lt;='RETRATO 2027'!$K$5,"CONCLUÍDA",IF(F2380&lt;='RETRATO 2027'!$K$5,"EM ANDAMENTO","A INICIAR")))</f>
        <v>A INICIAR</v>
      </c>
    </row>
    <row r="2381" customFormat="false" ht="15" hidden="false" customHeight="false" outlineLevel="0" collapsed="false">
      <c r="B2381" s="4" t="n">
        <v>29980662</v>
      </c>
      <c r="C2381" s="4" t="s">
        <v>2649</v>
      </c>
      <c r="D2381" s="4" t="s">
        <v>463</v>
      </c>
      <c r="E2381" s="4" t="s">
        <v>2843</v>
      </c>
      <c r="F2381" s="127" t="n">
        <v>47197</v>
      </c>
      <c r="G2381" s="127" t="n">
        <v>47210</v>
      </c>
      <c r="H2381" s="127" t="n">
        <v>46289</v>
      </c>
      <c r="I2381" s="4" t="n">
        <v>0</v>
      </c>
      <c r="J2381" s="4" t="n">
        <v>0</v>
      </c>
      <c r="K2381" s="4" t="n">
        <v>0</v>
      </c>
      <c r="M2381" s="2" t="str">
        <f aca="false">IF(C2381="","",IFERROR(INDEX($S$5:$S$304,MATCH(C2381,$R$5:$R$304,0))&amp;"","?"))</f>
        <v>37</v>
      </c>
      <c r="N2381" s="2" t="n">
        <f aca="false">IF(E2381="","",IF(ISNUMBER(SEARCH("SUBSOLO",E2381)),IFERROR(-VALUE(LEFT(E2381,FIND("º",SUBSTITUTE(E2381,"°","º"))-1)),-1),IF(LEFT(E2381,6)="TÉRREO",0,IFERROR(VALUE(LEFT(E2381,FIND("º",SUBSTITUTE(E2381,"°","º"))-1)),""))))</f>
        <v>31</v>
      </c>
      <c r="O2381" s="2" t="str">
        <f aca="false">IF(OR(F2381="",G2381=""),"",IF(G2381&lt;='RETRATO 2027'!$K$5,"CONCLUÍDA",IF(F2381&lt;='RETRATO 2027'!$K$5,"EM ANDAMENTO","A INICIAR")))</f>
        <v>A INICIAR</v>
      </c>
    </row>
    <row r="2382" customFormat="false" ht="15" hidden="false" customHeight="false" outlineLevel="0" collapsed="false">
      <c r="B2382" s="4" t="n">
        <v>29980615</v>
      </c>
      <c r="C2382" s="4" t="s">
        <v>2641</v>
      </c>
      <c r="D2382" s="4" t="s">
        <v>463</v>
      </c>
      <c r="E2382" s="4" t="s">
        <v>2844</v>
      </c>
      <c r="F2382" s="127" t="n">
        <v>47197</v>
      </c>
      <c r="G2382" s="127" t="n">
        <v>47210</v>
      </c>
      <c r="H2382" s="127" t="n">
        <v>46289</v>
      </c>
      <c r="I2382" s="4" t="n">
        <v>0</v>
      </c>
      <c r="J2382" s="4" t="n">
        <v>0</v>
      </c>
      <c r="K2382" s="4" t="n">
        <v>0</v>
      </c>
      <c r="M2382" s="2" t="str">
        <f aca="false">IF(C2382="","",IFERROR(INDEX($S$5:$S$304,MATCH(C2382,$R$5:$R$304,0))&amp;"","?"))</f>
        <v>35</v>
      </c>
      <c r="N2382" s="2" t="n">
        <f aca="false">IF(E2382="","",IF(ISNUMBER(SEARCH("SUBSOLO",E2382)),IFERROR(-VALUE(LEFT(E2382,FIND("º",SUBSTITUTE(E2382,"°","º"))-1)),-1),IF(LEFT(E2382,6)="TÉRREO",0,IFERROR(VALUE(LEFT(E2382,FIND("º",SUBSTITUTE(E2382,"°","º"))-1)),""))))</f>
        <v>32</v>
      </c>
      <c r="O2382" s="2" t="str">
        <f aca="false">IF(OR(F2382="",G2382=""),"",IF(G2382&lt;='RETRATO 2027'!$K$5,"CONCLUÍDA",IF(F2382&lt;='RETRATO 2027'!$K$5,"EM ANDAMENTO","A INICIAR")))</f>
        <v>A INICIAR</v>
      </c>
    </row>
    <row r="2383" customFormat="false" ht="15" hidden="false" customHeight="false" outlineLevel="0" collapsed="false">
      <c r="B2383" s="4" t="n">
        <v>33807258</v>
      </c>
      <c r="C2383" s="4" t="s">
        <v>2738</v>
      </c>
      <c r="D2383" s="4" t="s">
        <v>463</v>
      </c>
      <c r="E2383" s="4" t="s">
        <v>2840</v>
      </c>
      <c r="F2383" s="127" t="n">
        <v>47198</v>
      </c>
      <c r="G2383" s="127" t="n">
        <v>47199</v>
      </c>
      <c r="H2383" s="127" t="n">
        <v>46289</v>
      </c>
      <c r="I2383" s="4" t="n">
        <v>0</v>
      </c>
      <c r="J2383" s="4" t="n">
        <v>0</v>
      </c>
      <c r="K2383" s="4" t="n">
        <v>0</v>
      </c>
      <c r="M2383" s="2" t="str">
        <f aca="false">IF(C2383="","",IFERROR(INDEX($S$5:$S$304,MATCH(C2383,$R$5:$R$304,0))&amp;"","?"))</f>
        <v/>
      </c>
      <c r="N2383" s="2" t="n">
        <f aca="false">IF(E2383="","",IF(ISNUMBER(SEARCH("SUBSOLO",E2383)),IFERROR(-VALUE(LEFT(E2383,FIND("º",SUBSTITUTE(E2383,"°","º"))-1)),-1),IF(LEFT(E2383,6)="TÉRREO",0,IFERROR(VALUE(LEFT(E2383,FIND("º",SUBSTITUTE(E2383,"°","º"))-1)),""))))</f>
        <v>28</v>
      </c>
      <c r="O2383" s="2" t="str">
        <f aca="false">IF(OR(F2383="",G2383=""),"",IF(G2383&lt;='RETRATO 2027'!$K$5,"CONCLUÍDA",IF(F2383&lt;='RETRATO 2027'!$K$5,"EM ANDAMENTO","A INICIAR")))</f>
        <v>A INICIAR</v>
      </c>
    </row>
    <row r="2384" customFormat="false" ht="15" hidden="false" customHeight="false" outlineLevel="0" collapsed="false">
      <c r="B2384" s="4" t="n">
        <v>33807259</v>
      </c>
      <c r="C2384" s="4" t="s">
        <v>2738</v>
      </c>
      <c r="D2384" s="4" t="s">
        <v>463</v>
      </c>
      <c r="E2384" s="4" t="s">
        <v>2841</v>
      </c>
      <c r="F2384" s="127" t="n">
        <v>47200</v>
      </c>
      <c r="G2384" s="127" t="n">
        <v>47203</v>
      </c>
      <c r="H2384" s="127" t="n">
        <v>46289</v>
      </c>
      <c r="I2384" s="4" t="n">
        <v>0</v>
      </c>
      <c r="J2384" s="4" t="n">
        <v>0</v>
      </c>
      <c r="K2384" s="4" t="n">
        <v>0</v>
      </c>
      <c r="M2384" s="2" t="str">
        <f aca="false">IF(C2384="","",IFERROR(INDEX($S$5:$S$304,MATCH(C2384,$R$5:$R$304,0))&amp;"","?"))</f>
        <v/>
      </c>
      <c r="N2384" s="2" t="n">
        <f aca="false">IF(E2384="","",IF(ISNUMBER(SEARCH("SUBSOLO",E2384)),IFERROR(-VALUE(LEFT(E2384,FIND("º",SUBSTITUTE(E2384,"°","º"))-1)),-1),IF(LEFT(E2384,6)="TÉRREO",0,IFERROR(VALUE(LEFT(E2384,FIND("º",SUBSTITUTE(E2384,"°","º"))-1)),""))))</f>
        <v>29</v>
      </c>
      <c r="O2384" s="2" t="str">
        <f aca="false">IF(OR(F2384="",G2384=""),"",IF(G2384&lt;='RETRATO 2027'!$K$5,"CONCLUÍDA",IF(F2384&lt;='RETRATO 2027'!$K$5,"EM ANDAMENTO","A INICIAR")))</f>
        <v>A INICIAR</v>
      </c>
    </row>
    <row r="2385" customFormat="false" ht="15" hidden="false" customHeight="false" outlineLevel="0" collapsed="false">
      <c r="B2385" s="4" t="n">
        <v>33807260</v>
      </c>
      <c r="C2385" s="4" t="s">
        <v>2738</v>
      </c>
      <c r="D2385" s="4" t="s">
        <v>463</v>
      </c>
      <c r="E2385" s="4" t="s">
        <v>2842</v>
      </c>
      <c r="F2385" s="127" t="n">
        <v>47204</v>
      </c>
      <c r="G2385" s="127" t="n">
        <v>47205</v>
      </c>
      <c r="H2385" s="127" t="n">
        <v>46289</v>
      </c>
      <c r="I2385" s="4" t="n">
        <v>0</v>
      </c>
      <c r="J2385" s="4" t="n">
        <v>0</v>
      </c>
      <c r="K2385" s="4" t="n">
        <v>0</v>
      </c>
      <c r="M2385" s="2" t="str">
        <f aca="false">IF(C2385="","",IFERROR(INDEX($S$5:$S$304,MATCH(C2385,$R$5:$R$304,0))&amp;"","?"))</f>
        <v/>
      </c>
      <c r="N2385" s="2" t="n">
        <f aca="false">IF(E2385="","",IF(ISNUMBER(SEARCH("SUBSOLO",E2385)),IFERROR(-VALUE(LEFT(E2385,FIND("º",SUBSTITUTE(E2385,"°","º"))-1)),-1),IF(LEFT(E2385,6)="TÉRREO",0,IFERROR(VALUE(LEFT(E2385,FIND("º",SUBSTITUTE(E2385,"°","º"))-1)),""))))</f>
        <v>30</v>
      </c>
      <c r="O2385" s="2" t="str">
        <f aca="false">IF(OR(F2385="",G2385=""),"",IF(G2385&lt;='RETRATO 2027'!$K$5,"CONCLUÍDA",IF(F2385&lt;='RETRATO 2027'!$K$5,"EM ANDAMENTO","A INICIAR")))</f>
        <v>A INICIAR</v>
      </c>
    </row>
    <row r="2386" customFormat="false" ht="15" hidden="false" customHeight="false" outlineLevel="0" collapsed="false">
      <c r="B2386" s="4" t="n">
        <v>34173622</v>
      </c>
      <c r="C2386" s="4" t="s">
        <v>2738</v>
      </c>
      <c r="D2386" s="4" t="s">
        <v>463</v>
      </c>
      <c r="E2386" s="4" t="s">
        <v>2843</v>
      </c>
      <c r="F2386" s="127" t="n">
        <v>47206</v>
      </c>
      <c r="G2386" s="127" t="n">
        <v>47210</v>
      </c>
      <c r="H2386" s="127" t="n">
        <v>46289</v>
      </c>
      <c r="I2386" s="4" t="n">
        <v>0</v>
      </c>
      <c r="J2386" s="4" t="n">
        <v>0</v>
      </c>
      <c r="K2386" s="4" t="n">
        <v>0</v>
      </c>
      <c r="M2386" s="2" t="str">
        <f aca="false">IF(C2386="","",IFERROR(INDEX($S$5:$S$304,MATCH(C2386,$R$5:$R$304,0))&amp;"","?"))</f>
        <v/>
      </c>
      <c r="N2386" s="2" t="n">
        <f aca="false">IF(E2386="","",IF(ISNUMBER(SEARCH("SUBSOLO",E2386)),IFERROR(-VALUE(LEFT(E2386,FIND("º",SUBSTITUTE(E2386,"°","º"))-1)),-1),IF(LEFT(E2386,6)="TÉRREO",0,IFERROR(VALUE(LEFT(E2386,FIND("º",SUBSTITUTE(E2386,"°","º"))-1)),""))))</f>
        <v>31</v>
      </c>
      <c r="O2386" s="2" t="str">
        <f aca="false">IF(OR(F2386="",G2386=""),"",IF(G2386&lt;='RETRATO 2027'!$K$5,"CONCLUÍDA",IF(F2386&lt;='RETRATO 2027'!$K$5,"EM ANDAMENTO","A INICIAR")))</f>
        <v>A INICIAR</v>
      </c>
    </row>
    <row r="2387" customFormat="false" ht="15" hidden="false" customHeight="false" outlineLevel="0" collapsed="false">
      <c r="B2387" s="4" t="n">
        <v>33807017</v>
      </c>
      <c r="C2387" s="4" t="s">
        <v>2744</v>
      </c>
      <c r="D2387" s="4" t="s">
        <v>463</v>
      </c>
      <c r="E2387" s="4" t="s">
        <v>2757</v>
      </c>
      <c r="F2387" s="127" t="n">
        <v>47211</v>
      </c>
      <c r="G2387" s="127" t="n">
        <v>47238</v>
      </c>
      <c r="H2387" s="127" t="n">
        <v>46289</v>
      </c>
      <c r="I2387" s="4" t="n">
        <v>0</v>
      </c>
      <c r="J2387" s="4" t="n">
        <v>0</v>
      </c>
      <c r="K2387" s="4" t="n">
        <v>0</v>
      </c>
      <c r="M2387" s="2" t="str">
        <f aca="false">IF(C2387="","",IFERROR(INDEX($S$5:$S$304,MATCH(C2387,$R$5:$R$304,0))&amp;"","?"))</f>
        <v/>
      </c>
      <c r="N2387" s="2" t="n">
        <f aca="false">IF(E2387="","",IF(ISNUMBER(SEARCH("SUBSOLO",E2387)),IFERROR(-VALUE(LEFT(E2387,FIND("º",SUBSTITUTE(E2387,"°","º"))-1)),-1),IF(LEFT(E2387,6)="TÉRREO",0,IFERROR(VALUE(LEFT(E2387,FIND("º",SUBSTITUTE(E2387,"°","º"))-1)),""))))</f>
        <v>0</v>
      </c>
      <c r="O2387" s="2" t="str">
        <f aca="false">IF(OR(F2387="",G2387=""),"",IF(G2387&lt;='RETRATO 2027'!$K$5,"CONCLUÍDA",IF(F2387&lt;='RETRATO 2027'!$K$5,"EM ANDAMENTO","A INICIAR")))</f>
        <v>A INICIAR</v>
      </c>
    </row>
    <row r="2388" customFormat="false" ht="15" hidden="false" customHeight="false" outlineLevel="0" collapsed="false">
      <c r="B2388" s="4" t="n">
        <v>29981115</v>
      </c>
      <c r="C2388" s="4" t="s">
        <v>2732</v>
      </c>
      <c r="D2388" s="4" t="s">
        <v>463</v>
      </c>
      <c r="E2388" s="4" t="s">
        <v>2822</v>
      </c>
      <c r="F2388" s="127" t="n">
        <v>47211</v>
      </c>
      <c r="G2388" s="127" t="n">
        <v>47221</v>
      </c>
      <c r="H2388" s="127" t="n">
        <v>46289</v>
      </c>
      <c r="I2388" s="4" t="n">
        <v>0</v>
      </c>
      <c r="J2388" s="4" t="n">
        <v>0</v>
      </c>
      <c r="K2388" s="4" t="n">
        <v>0</v>
      </c>
      <c r="M2388" s="2" t="str">
        <f aca="false">IF(C2388="","",IFERROR(INDEX($S$5:$S$304,MATCH(C2388,$R$5:$R$304,0))&amp;"","?"))</f>
        <v/>
      </c>
      <c r="N2388" s="2" t="n">
        <f aca="false">IF(E2388="","",IF(ISNUMBER(SEARCH("SUBSOLO",E2388)),IFERROR(-VALUE(LEFT(E2388,FIND("º",SUBSTITUTE(E2388,"°","º"))-1)),-1),IF(LEFT(E2388,6)="TÉRREO",0,IFERROR(VALUE(LEFT(E2388,FIND("º",SUBSTITUTE(E2388,"°","º"))-1)),""))))</f>
        <v>19</v>
      </c>
      <c r="O2388" s="2" t="str">
        <f aca="false">IF(OR(F2388="",G2388=""),"",IF(G2388&lt;='RETRATO 2027'!$K$5,"CONCLUÍDA",IF(F2388&lt;='RETRATO 2027'!$K$5,"EM ANDAMENTO","A INICIAR")))</f>
        <v>A INICIAR</v>
      </c>
    </row>
    <row r="2389" customFormat="false" ht="15" hidden="false" customHeight="false" outlineLevel="0" collapsed="false">
      <c r="B2389" s="4" t="n">
        <v>29980671</v>
      </c>
      <c r="C2389" s="4" t="s">
        <v>2732</v>
      </c>
      <c r="D2389" s="4" t="s">
        <v>463</v>
      </c>
      <c r="E2389" s="4" t="s">
        <v>2843</v>
      </c>
      <c r="F2389" s="127" t="n">
        <v>47211</v>
      </c>
      <c r="G2389" s="127" t="n">
        <v>47217</v>
      </c>
      <c r="H2389" s="127" t="n">
        <v>46289</v>
      </c>
      <c r="I2389" s="4" t="n">
        <v>0</v>
      </c>
      <c r="J2389" s="4" t="n">
        <v>0</v>
      </c>
      <c r="K2389" s="4" t="n">
        <v>0</v>
      </c>
      <c r="M2389" s="2" t="str">
        <f aca="false">IF(C2389="","",IFERROR(INDEX($S$5:$S$304,MATCH(C2389,$R$5:$R$304,0))&amp;"","?"))</f>
        <v/>
      </c>
      <c r="N2389" s="2" t="n">
        <f aca="false">IF(E2389="","",IF(ISNUMBER(SEARCH("SUBSOLO",E2389)),IFERROR(-VALUE(LEFT(E2389,FIND("º",SUBSTITUTE(E2389,"°","º"))-1)),-1),IF(LEFT(E2389,6)="TÉRREO",0,IFERROR(VALUE(LEFT(E2389,FIND("º",SUBSTITUTE(E2389,"°","º"))-1)),""))))</f>
        <v>31</v>
      </c>
      <c r="O2389" s="2" t="str">
        <f aca="false">IF(OR(F2389="",G2389=""),"",IF(G2389&lt;='RETRATO 2027'!$K$5,"CONCLUÍDA",IF(F2389&lt;='RETRATO 2027'!$K$5,"EM ANDAMENTO","A INICIAR")))</f>
        <v>A INICIAR</v>
      </c>
    </row>
    <row r="2390" customFormat="false" ht="15" hidden="false" customHeight="false" outlineLevel="0" collapsed="false">
      <c r="B2390" s="4" t="n">
        <v>29980625</v>
      </c>
      <c r="C2390" s="4" t="s">
        <v>2649</v>
      </c>
      <c r="D2390" s="4" t="s">
        <v>463</v>
      </c>
      <c r="E2390" s="4" t="s">
        <v>2844</v>
      </c>
      <c r="F2390" s="127" t="n">
        <v>47211</v>
      </c>
      <c r="G2390" s="127" t="n">
        <v>47221</v>
      </c>
      <c r="H2390" s="127" t="n">
        <v>46289</v>
      </c>
      <c r="I2390" s="4" t="n">
        <v>0</v>
      </c>
      <c r="J2390" s="4" t="n">
        <v>0</v>
      </c>
      <c r="K2390" s="4" t="n">
        <v>0</v>
      </c>
      <c r="M2390" s="2" t="str">
        <f aca="false">IF(C2390="","",IFERROR(INDEX($S$5:$S$304,MATCH(C2390,$R$5:$R$304,0))&amp;"","?"))</f>
        <v>37</v>
      </c>
      <c r="N2390" s="2" t="n">
        <f aca="false">IF(E2390="","",IF(ISNUMBER(SEARCH("SUBSOLO",E2390)),IFERROR(-VALUE(LEFT(E2390,FIND("º",SUBSTITUTE(E2390,"°","º"))-1)),-1),IF(LEFT(E2390,6)="TÉRREO",0,IFERROR(VALUE(LEFT(E2390,FIND("º",SUBSTITUTE(E2390,"°","º"))-1)),""))))</f>
        <v>32</v>
      </c>
      <c r="O2390" s="2" t="str">
        <f aca="false">IF(OR(F2390="",G2390=""),"",IF(G2390&lt;='RETRATO 2027'!$K$5,"CONCLUÍDA",IF(F2390&lt;='RETRATO 2027'!$K$5,"EM ANDAMENTO","A INICIAR")))</f>
        <v>A INICIAR</v>
      </c>
    </row>
    <row r="2391" customFormat="false" ht="15" hidden="false" customHeight="false" outlineLevel="0" collapsed="false">
      <c r="B2391" s="4" t="n">
        <v>33807273</v>
      </c>
      <c r="C2391" s="4" t="s">
        <v>2738</v>
      </c>
      <c r="D2391" s="4" t="s">
        <v>463</v>
      </c>
      <c r="E2391" s="4" t="s">
        <v>2822</v>
      </c>
      <c r="F2391" s="127" t="n">
        <v>47224</v>
      </c>
      <c r="G2391" s="127" t="n">
        <v>47226</v>
      </c>
      <c r="H2391" s="127" t="n">
        <v>46289</v>
      </c>
      <c r="I2391" s="4" t="n">
        <v>0</v>
      </c>
      <c r="J2391" s="4" t="n">
        <v>0</v>
      </c>
      <c r="K2391" s="4" t="n">
        <v>0</v>
      </c>
      <c r="M2391" s="2" t="str">
        <f aca="false">IF(C2391="","",IFERROR(INDEX($S$5:$S$304,MATCH(C2391,$R$5:$R$304,0))&amp;"","?"))</f>
        <v/>
      </c>
      <c r="N2391" s="2" t="n">
        <f aca="false">IF(E2391="","",IF(ISNUMBER(SEARCH("SUBSOLO",E2391)),IFERROR(-VALUE(LEFT(E2391,FIND("º",SUBSTITUTE(E2391,"°","º"))-1)),-1),IF(LEFT(E2391,6)="TÉRREO",0,IFERROR(VALUE(LEFT(E2391,FIND("º",SUBSTITUTE(E2391,"°","º"))-1)),""))))</f>
        <v>19</v>
      </c>
      <c r="O2391" s="2" t="str">
        <f aca="false">IF(OR(F2391="",G2391=""),"",IF(G2391&lt;='RETRATO 2027'!$K$5,"CONCLUÍDA",IF(F2391&lt;='RETRATO 2027'!$K$5,"EM ANDAMENTO","A INICIAR")))</f>
        <v>A INICIAR</v>
      </c>
    </row>
    <row r="2392" customFormat="false" ht="15" hidden="false" customHeight="false" outlineLevel="0" collapsed="false">
      <c r="M2392" s="2" t="str">
        <f aca="false">IF(C2392="","",IFERROR(INDEX($S$5:$S$304,MATCH(C2392,$R$5:$R$304,0))&amp;"","?"))</f>
        <v/>
      </c>
      <c r="N2392" s="2" t="str">
        <f aca="false"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 t="str">
        <f aca="false">IF(OR(F2392="",G2392=""),"",IF(G2392&lt;='RETRATO 2027'!$K$5,"CONCLUÍDA",IF(F2392&lt;='RETRATO 2027'!$K$5,"EM ANDAMENTO","A INICIAR")))</f>
        <v/>
      </c>
    </row>
    <row r="2393" customFormat="false" ht="15" hidden="false" customHeight="false" outlineLevel="0" collapsed="false">
      <c r="M2393" s="2" t="str">
        <f aca="false">IF(C2393="","",IFERROR(INDEX($S$5:$S$304,MATCH(C2393,$R$5:$R$304,0))&amp;"","?"))</f>
        <v/>
      </c>
      <c r="N2393" s="2" t="str">
        <f aca="false"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 t="str">
        <f aca="false">IF(OR(F2393="",G2393=""),"",IF(G2393&lt;='RETRATO 2027'!$K$5,"CONCLUÍDA",IF(F2393&lt;='RETRATO 2027'!$K$5,"EM ANDAMENTO","A INICIAR")))</f>
        <v/>
      </c>
    </row>
    <row r="2394" customFormat="false" ht="15" hidden="false" customHeight="false" outlineLevel="0" collapsed="false">
      <c r="M2394" s="2" t="str">
        <f aca="false">IF(C2394="","",IFERROR(INDEX($S$5:$S$304,MATCH(C2394,$R$5:$R$304,0))&amp;"","?"))</f>
        <v/>
      </c>
      <c r="N2394" s="2" t="str">
        <f aca="false"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 t="str">
        <f aca="false">IF(OR(F2394="",G2394=""),"",IF(G2394&lt;='RETRATO 2027'!$K$5,"CONCLUÍDA",IF(F2394&lt;='RETRATO 2027'!$K$5,"EM ANDAMENTO","A INICIAR")))</f>
        <v/>
      </c>
    </row>
    <row r="2395" customFormat="false" ht="15" hidden="false" customHeight="false" outlineLevel="0" collapsed="false">
      <c r="M2395" s="2" t="str">
        <f aca="false">IF(C2395="","",IFERROR(INDEX($S$5:$S$304,MATCH(C2395,$R$5:$R$304,0))&amp;"","?"))</f>
        <v/>
      </c>
      <c r="N2395" s="2" t="str">
        <f aca="false"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 t="str">
        <f aca="false">IF(OR(F2395="",G2395=""),"",IF(G2395&lt;='RETRATO 2027'!$K$5,"CONCLUÍDA",IF(F2395&lt;='RETRATO 2027'!$K$5,"EM ANDAMENTO","A INICIAR")))</f>
        <v/>
      </c>
    </row>
    <row r="2396" customFormat="false" ht="15" hidden="false" customHeight="false" outlineLevel="0" collapsed="false">
      <c r="M2396" s="2" t="str">
        <f aca="false">IF(C2396="","",IFERROR(INDEX($S$5:$S$304,MATCH(C2396,$R$5:$R$304,0))&amp;"","?"))</f>
        <v/>
      </c>
      <c r="N2396" s="2" t="str">
        <f aca="false"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 t="str">
        <f aca="false">IF(OR(F2396="",G2396=""),"",IF(G2396&lt;='RETRATO 2027'!$K$5,"CONCLUÍDA",IF(F2396&lt;='RETRATO 2027'!$K$5,"EM ANDAMENTO","A INICIAR")))</f>
        <v/>
      </c>
    </row>
    <row r="2397" customFormat="false" ht="15" hidden="false" customHeight="false" outlineLevel="0" collapsed="false">
      <c r="M2397" s="2" t="str">
        <f aca="false">IF(C2397="","",IFERROR(INDEX($S$5:$S$304,MATCH(C2397,$R$5:$R$304,0))&amp;"","?"))</f>
        <v/>
      </c>
      <c r="N2397" s="2" t="str">
        <f aca="false"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 t="str">
        <f aca="false">IF(OR(F2397="",G2397=""),"",IF(G2397&lt;='RETRATO 2027'!$K$5,"CONCLUÍDA",IF(F2397&lt;='RETRATO 2027'!$K$5,"EM ANDAMENTO","A INICIAR")))</f>
        <v/>
      </c>
    </row>
    <row r="2398" customFormat="false" ht="15" hidden="false" customHeight="false" outlineLevel="0" collapsed="false">
      <c r="M2398" s="2" t="str">
        <f aca="false">IF(C2398="","",IFERROR(INDEX($S$5:$S$304,MATCH(C2398,$R$5:$R$304,0))&amp;"","?"))</f>
        <v/>
      </c>
      <c r="N2398" s="2" t="str">
        <f aca="false"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 t="str">
        <f aca="false">IF(OR(F2398="",G2398=""),"",IF(G2398&lt;='RETRATO 2027'!$K$5,"CONCLUÍDA",IF(F2398&lt;='RETRATO 2027'!$K$5,"EM ANDAMENTO","A INICIAR")))</f>
        <v/>
      </c>
    </row>
    <row r="2399" customFormat="false" ht="15" hidden="false" customHeight="false" outlineLevel="0" collapsed="false">
      <c r="M2399" s="2" t="str">
        <f aca="false">IF(C2399="","",IFERROR(INDEX($S$5:$S$304,MATCH(C2399,$R$5:$R$304,0))&amp;"","?"))</f>
        <v/>
      </c>
      <c r="N2399" s="2" t="str">
        <f aca="false"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 t="str">
        <f aca="false">IF(OR(F2399="",G2399=""),"",IF(G2399&lt;='RETRATO 2027'!$K$5,"CONCLUÍDA",IF(F2399&lt;='RETRATO 2027'!$K$5,"EM ANDAMENTO","A INICIAR")))</f>
        <v/>
      </c>
    </row>
    <row r="2400" customFormat="false" ht="15" hidden="false" customHeight="false" outlineLevel="0" collapsed="false">
      <c r="M2400" s="2" t="str">
        <f aca="false">IF(C2400="","",IFERROR(INDEX($S$5:$S$304,MATCH(C2400,$R$5:$R$304,0))&amp;"","?"))</f>
        <v/>
      </c>
      <c r="N2400" s="2" t="str">
        <f aca="false"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 t="str">
        <f aca="false">IF(OR(F2400="",G2400=""),"",IF(G2400&lt;='RETRATO 2027'!$K$5,"CONCLUÍDA",IF(F2400&lt;='RETRATO 2027'!$K$5,"EM ANDAMENTO","A INICIAR")))</f>
        <v/>
      </c>
    </row>
    <row r="2401" customFormat="false" ht="15" hidden="false" customHeight="false" outlineLevel="0" collapsed="false">
      <c r="M2401" s="2" t="str">
        <f aca="false">IF(C2401="","",IFERROR(INDEX($S$5:$S$304,MATCH(C2401,$R$5:$R$304,0))&amp;"","?"))</f>
        <v/>
      </c>
      <c r="N2401" s="2" t="str">
        <f aca="false"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 t="str">
        <f aca="false">IF(OR(F2401="",G2401=""),"",IF(G2401&lt;='RETRATO 2027'!$K$5,"CONCLUÍDA",IF(F2401&lt;='RETRATO 2027'!$K$5,"EM ANDAMENTO","A INICIAR")))</f>
        <v/>
      </c>
    </row>
    <row r="2402" customFormat="false" ht="15" hidden="false" customHeight="false" outlineLevel="0" collapsed="false">
      <c r="M2402" s="2" t="str">
        <f aca="false">IF(C2402="","",IFERROR(INDEX($S$5:$S$304,MATCH(C2402,$R$5:$R$304,0))&amp;"","?"))</f>
        <v/>
      </c>
      <c r="N2402" s="2" t="str">
        <f aca="false"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 t="str">
        <f aca="false">IF(OR(F2402="",G2402=""),"",IF(G2402&lt;='RETRATO 2027'!$K$5,"CONCLUÍDA",IF(F2402&lt;='RETRATO 2027'!$K$5,"EM ANDAMENTO","A INICIAR")))</f>
        <v/>
      </c>
    </row>
    <row r="2403" customFormat="false" ht="15" hidden="false" customHeight="false" outlineLevel="0" collapsed="false">
      <c r="M2403" s="2" t="str">
        <f aca="false">IF(C2403="","",IFERROR(INDEX($S$5:$S$304,MATCH(C2403,$R$5:$R$304,0))&amp;"","?"))</f>
        <v/>
      </c>
      <c r="N2403" s="2" t="str">
        <f aca="false"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 t="str">
        <f aca="false">IF(OR(F2403="",G2403=""),"",IF(G2403&lt;='RETRATO 2027'!$K$5,"CONCLUÍDA",IF(F2403&lt;='RETRATO 2027'!$K$5,"EM ANDAMENTO","A INICIAR")))</f>
        <v/>
      </c>
    </row>
    <row r="2404" customFormat="false" ht="15" hidden="false" customHeight="false" outlineLevel="0" collapsed="false">
      <c r="M2404" s="2" t="str">
        <f aca="false">IF(C2404="","",IFERROR(INDEX($S$5:$S$304,MATCH(C2404,$R$5:$R$304,0))&amp;"","?"))</f>
        <v/>
      </c>
      <c r="N2404" s="2" t="str">
        <f aca="false"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 t="str">
        <f aca="false">IF(OR(F2404="",G2404=""),"",IF(G2404&lt;='RETRATO 2027'!$K$5,"CONCLUÍDA",IF(F2404&lt;='RETRATO 2027'!$K$5,"EM ANDAMENTO","A INICIAR")))</f>
        <v/>
      </c>
    </row>
    <row r="2405" customFormat="false" ht="15" hidden="false" customHeight="false" outlineLevel="0" collapsed="false">
      <c r="M2405" s="2" t="str">
        <f aca="false">IF(C2405="","",IFERROR(INDEX($S$5:$S$304,MATCH(C2405,$R$5:$R$304,0))&amp;"","?"))</f>
        <v/>
      </c>
      <c r="N2405" s="2" t="str">
        <f aca="false"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 t="str">
        <f aca="false">IF(OR(F2405="",G2405=""),"",IF(G2405&lt;='RETRATO 2027'!$K$5,"CONCLUÍDA",IF(F2405&lt;='RETRATO 2027'!$K$5,"EM ANDAMENTO","A INICIAR")))</f>
        <v/>
      </c>
    </row>
    <row r="2406" customFormat="false" ht="15" hidden="false" customHeight="false" outlineLevel="0" collapsed="false">
      <c r="M2406" s="2" t="str">
        <f aca="false">IF(C2406="","",IFERROR(INDEX($S$5:$S$304,MATCH(C2406,$R$5:$R$304,0))&amp;"","?"))</f>
        <v/>
      </c>
      <c r="N2406" s="2" t="str">
        <f aca="false"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 t="str">
        <f aca="false">IF(OR(F2406="",G2406=""),"",IF(G2406&lt;='RETRATO 2027'!$K$5,"CONCLUÍDA",IF(F2406&lt;='RETRATO 2027'!$K$5,"EM ANDAMENTO","A INICIAR")))</f>
        <v/>
      </c>
    </row>
    <row r="2407" customFormat="false" ht="15" hidden="false" customHeight="false" outlineLevel="0" collapsed="false">
      <c r="M2407" s="2" t="str">
        <f aca="false">IF(C2407="","",IFERROR(INDEX($S$5:$S$304,MATCH(C2407,$R$5:$R$304,0))&amp;"","?"))</f>
        <v/>
      </c>
      <c r="N2407" s="2" t="str">
        <f aca="false"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 t="str">
        <f aca="false">IF(OR(F2407="",G2407=""),"",IF(G2407&lt;='RETRATO 2027'!$K$5,"CONCLUÍDA",IF(F2407&lt;='RETRATO 2027'!$K$5,"EM ANDAMENTO","A INICIAR")))</f>
        <v/>
      </c>
    </row>
    <row r="2408" customFormat="false" ht="15" hidden="false" customHeight="false" outlineLevel="0" collapsed="false">
      <c r="M2408" s="2" t="str">
        <f aca="false">IF(C2408="","",IFERROR(INDEX($S$5:$S$304,MATCH(C2408,$R$5:$R$304,0))&amp;"","?"))</f>
        <v/>
      </c>
      <c r="N2408" s="2" t="str">
        <f aca="false"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 t="str">
        <f aca="false">IF(OR(F2408="",G2408=""),"",IF(G2408&lt;='RETRATO 2027'!$K$5,"CONCLUÍDA",IF(F2408&lt;='RETRATO 2027'!$K$5,"EM ANDAMENTO","A INICIAR")))</f>
        <v/>
      </c>
    </row>
    <row r="2409" customFormat="false" ht="15" hidden="false" customHeight="false" outlineLevel="0" collapsed="false">
      <c r="M2409" s="2" t="str">
        <f aca="false">IF(C2409="","",IFERROR(INDEX($S$5:$S$304,MATCH(C2409,$R$5:$R$304,0))&amp;"","?"))</f>
        <v/>
      </c>
      <c r="N2409" s="2" t="str">
        <f aca="false"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 t="str">
        <f aca="false">IF(OR(F2409="",G2409=""),"",IF(G2409&lt;='RETRATO 2027'!$K$5,"CONCLUÍDA",IF(F2409&lt;='RETRATO 2027'!$K$5,"EM ANDAMENTO","A INICIAR")))</f>
        <v/>
      </c>
    </row>
    <row r="2410" customFormat="false" ht="15" hidden="false" customHeight="false" outlineLevel="0" collapsed="false">
      <c r="M2410" s="2" t="str">
        <f aca="false">IF(C2410="","",IFERROR(INDEX($S$5:$S$304,MATCH(C2410,$R$5:$R$304,0))&amp;"","?"))</f>
        <v/>
      </c>
      <c r="N2410" s="2" t="str">
        <f aca="false"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 t="str">
        <f aca="false">IF(OR(F2410="",G2410=""),"",IF(G2410&lt;='RETRATO 2027'!$K$5,"CONCLUÍDA",IF(F2410&lt;='RETRATO 2027'!$K$5,"EM ANDAMENTO","A INICIAR")))</f>
        <v/>
      </c>
    </row>
    <row r="2411" customFormat="false" ht="15" hidden="false" customHeight="false" outlineLevel="0" collapsed="false">
      <c r="M2411" s="2" t="str">
        <f aca="false">IF(C2411="","",IFERROR(INDEX($S$5:$S$304,MATCH(C2411,$R$5:$R$304,0))&amp;"","?"))</f>
        <v/>
      </c>
      <c r="N2411" s="2" t="str">
        <f aca="false"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 t="str">
        <f aca="false">IF(OR(F2411="",G2411=""),"",IF(G2411&lt;='RETRATO 2027'!$K$5,"CONCLUÍDA",IF(F2411&lt;='RETRATO 2027'!$K$5,"EM ANDAMENTO","A INICIAR")))</f>
        <v/>
      </c>
    </row>
    <row r="2412" customFormat="false" ht="15" hidden="false" customHeight="false" outlineLevel="0" collapsed="false">
      <c r="M2412" s="2" t="str">
        <f aca="false">IF(C2412="","",IFERROR(INDEX($S$5:$S$304,MATCH(C2412,$R$5:$R$304,0))&amp;"","?"))</f>
        <v/>
      </c>
      <c r="N2412" s="2" t="str">
        <f aca="false"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 t="str">
        <f aca="false">IF(OR(F2412="",G2412=""),"",IF(G2412&lt;='RETRATO 2027'!$K$5,"CONCLUÍDA",IF(F2412&lt;='RETRATO 2027'!$K$5,"EM ANDAMENTO","A INICIAR")))</f>
        <v/>
      </c>
    </row>
    <row r="2413" customFormat="false" ht="15" hidden="false" customHeight="false" outlineLevel="0" collapsed="false">
      <c r="M2413" s="2" t="str">
        <f aca="false">IF(C2413="","",IFERROR(INDEX($S$5:$S$304,MATCH(C2413,$R$5:$R$304,0))&amp;"","?"))</f>
        <v/>
      </c>
      <c r="N2413" s="2" t="str">
        <f aca="false"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 t="str">
        <f aca="false">IF(OR(F2413="",G2413=""),"",IF(G2413&lt;='RETRATO 2027'!$K$5,"CONCLUÍDA",IF(F2413&lt;='RETRATO 2027'!$K$5,"EM ANDAMENTO","A INICIAR")))</f>
        <v/>
      </c>
    </row>
    <row r="2414" customFormat="false" ht="15" hidden="false" customHeight="false" outlineLevel="0" collapsed="false">
      <c r="M2414" s="2" t="str">
        <f aca="false">IF(C2414="","",IFERROR(INDEX($S$5:$S$304,MATCH(C2414,$R$5:$R$304,0))&amp;"","?"))</f>
        <v/>
      </c>
      <c r="N2414" s="2" t="str">
        <f aca="false"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 t="str">
        <f aca="false">IF(OR(F2414="",G2414=""),"",IF(G2414&lt;='RETRATO 2027'!$K$5,"CONCLUÍDA",IF(F2414&lt;='RETRATO 2027'!$K$5,"EM ANDAMENTO","A INICIAR")))</f>
        <v/>
      </c>
    </row>
    <row r="2415" customFormat="false" ht="15" hidden="false" customHeight="false" outlineLevel="0" collapsed="false">
      <c r="M2415" s="2" t="str">
        <f aca="false">IF(C2415="","",IFERROR(INDEX($S$5:$S$304,MATCH(C2415,$R$5:$R$304,0))&amp;"","?"))</f>
        <v/>
      </c>
      <c r="N2415" s="2" t="str">
        <f aca="false"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 t="str">
        <f aca="false">IF(OR(F2415="",G2415=""),"",IF(G2415&lt;='RETRATO 2027'!$K$5,"CONCLUÍDA",IF(F2415&lt;='RETRATO 2027'!$K$5,"EM ANDAMENTO","A INICIAR")))</f>
        <v/>
      </c>
    </row>
    <row r="2416" customFormat="false" ht="15" hidden="false" customHeight="false" outlineLevel="0" collapsed="false">
      <c r="M2416" s="2" t="str">
        <f aca="false">IF(C2416="","",IFERROR(INDEX($S$5:$S$304,MATCH(C2416,$R$5:$R$304,0))&amp;"","?"))</f>
        <v/>
      </c>
      <c r="N2416" s="2" t="str">
        <f aca="false"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 t="str">
        <f aca="false">IF(OR(F2416="",G2416=""),"",IF(G2416&lt;='RETRATO 2027'!$K$5,"CONCLUÍDA",IF(F2416&lt;='RETRATO 2027'!$K$5,"EM ANDAMENTO","A INICIAR")))</f>
        <v/>
      </c>
    </row>
    <row r="2417" customFormat="false" ht="15" hidden="false" customHeight="false" outlineLevel="0" collapsed="false">
      <c r="M2417" s="2" t="str">
        <f aca="false">IF(C2417="","",IFERROR(INDEX($S$5:$S$304,MATCH(C2417,$R$5:$R$304,0))&amp;"","?"))</f>
        <v/>
      </c>
      <c r="N2417" s="2" t="str">
        <f aca="false"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 t="str">
        <f aca="false">IF(OR(F2417="",G2417=""),"",IF(G2417&lt;='RETRATO 2027'!$K$5,"CONCLUÍDA",IF(F2417&lt;='RETRATO 2027'!$K$5,"EM ANDAMENTO","A INICIAR")))</f>
        <v/>
      </c>
    </row>
    <row r="2418" customFormat="false" ht="15" hidden="false" customHeight="false" outlineLevel="0" collapsed="false">
      <c r="M2418" s="2" t="str">
        <f aca="false">IF(C2418="","",IFERROR(INDEX($S$5:$S$304,MATCH(C2418,$R$5:$R$304,0))&amp;"","?"))</f>
        <v/>
      </c>
      <c r="N2418" s="2" t="str">
        <f aca="false"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 t="str">
        <f aca="false">IF(OR(F2418="",G2418=""),"",IF(G2418&lt;='RETRATO 2027'!$K$5,"CONCLUÍDA",IF(F2418&lt;='RETRATO 2027'!$K$5,"EM ANDAMENTO","A INICIAR")))</f>
        <v/>
      </c>
    </row>
    <row r="2419" customFormat="false" ht="15" hidden="false" customHeight="false" outlineLevel="0" collapsed="false">
      <c r="M2419" s="2" t="str">
        <f aca="false">IF(C2419="","",IFERROR(INDEX($S$5:$S$304,MATCH(C2419,$R$5:$R$304,0))&amp;"","?"))</f>
        <v/>
      </c>
      <c r="N2419" s="2" t="str">
        <f aca="false"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 t="str">
        <f aca="false">IF(OR(F2419="",G2419=""),"",IF(G2419&lt;='RETRATO 2027'!$K$5,"CONCLUÍDA",IF(F2419&lt;='RETRATO 2027'!$K$5,"EM ANDAMENTO","A INICIAR")))</f>
        <v/>
      </c>
    </row>
    <row r="2420" customFormat="false" ht="15" hidden="false" customHeight="false" outlineLevel="0" collapsed="false">
      <c r="M2420" s="2" t="str">
        <f aca="false">IF(C2420="","",IFERROR(INDEX($S$5:$S$304,MATCH(C2420,$R$5:$R$304,0))&amp;"","?"))</f>
        <v/>
      </c>
      <c r="N2420" s="2" t="str">
        <f aca="false"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 t="str">
        <f aca="false">IF(OR(F2420="",G2420=""),"",IF(G2420&lt;='RETRATO 2027'!$K$5,"CONCLUÍDA",IF(F2420&lt;='RETRATO 2027'!$K$5,"EM ANDAMENTO","A INICIAR")))</f>
        <v/>
      </c>
    </row>
    <row r="2421" customFormat="false" ht="15" hidden="false" customHeight="false" outlineLevel="0" collapsed="false">
      <c r="M2421" s="2" t="str">
        <f aca="false">IF(C2421="","",IFERROR(INDEX($S$5:$S$304,MATCH(C2421,$R$5:$R$304,0))&amp;"","?"))</f>
        <v/>
      </c>
      <c r="N2421" s="2" t="str">
        <f aca="false"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 t="str">
        <f aca="false">IF(OR(F2421="",G2421=""),"",IF(G2421&lt;='RETRATO 2027'!$K$5,"CONCLUÍDA",IF(F2421&lt;='RETRATO 2027'!$K$5,"EM ANDAMENTO","A INICIAR")))</f>
        <v/>
      </c>
    </row>
    <row r="2422" customFormat="false" ht="15" hidden="false" customHeight="false" outlineLevel="0" collapsed="false">
      <c r="M2422" s="2" t="str">
        <f aca="false">IF(C2422="","",IFERROR(INDEX($S$5:$S$304,MATCH(C2422,$R$5:$R$304,0))&amp;"","?"))</f>
        <v/>
      </c>
      <c r="N2422" s="2" t="str">
        <f aca="false"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 t="str">
        <f aca="false">IF(OR(F2422="",G2422=""),"",IF(G2422&lt;='RETRATO 2027'!$K$5,"CONCLUÍDA",IF(F2422&lt;='RETRATO 2027'!$K$5,"EM ANDAMENTO","A INICIAR")))</f>
        <v/>
      </c>
    </row>
    <row r="2423" customFormat="false" ht="15" hidden="false" customHeight="false" outlineLevel="0" collapsed="false">
      <c r="M2423" s="2" t="str">
        <f aca="false">IF(C2423="","",IFERROR(INDEX($S$5:$S$304,MATCH(C2423,$R$5:$R$304,0))&amp;"","?"))</f>
        <v/>
      </c>
      <c r="N2423" s="2" t="str">
        <f aca="false"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 t="str">
        <f aca="false">IF(OR(F2423="",G2423=""),"",IF(G2423&lt;='RETRATO 2027'!$K$5,"CONCLUÍDA",IF(F2423&lt;='RETRATO 2027'!$K$5,"EM ANDAMENTO","A INICIAR")))</f>
        <v/>
      </c>
    </row>
    <row r="2424" customFormat="false" ht="15" hidden="false" customHeight="false" outlineLevel="0" collapsed="false">
      <c r="M2424" s="2" t="str">
        <f aca="false">IF(C2424="","",IFERROR(INDEX($S$5:$S$304,MATCH(C2424,$R$5:$R$304,0))&amp;"","?"))</f>
        <v/>
      </c>
      <c r="N2424" s="2" t="str">
        <f aca="false"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 t="str">
        <f aca="false">IF(OR(F2424="",G2424=""),"",IF(G2424&lt;='RETRATO 2027'!$K$5,"CONCLUÍDA",IF(F2424&lt;='RETRATO 2027'!$K$5,"EM ANDAMENTO","A INICIAR")))</f>
        <v/>
      </c>
    </row>
    <row r="2425" customFormat="false" ht="15" hidden="false" customHeight="false" outlineLevel="0" collapsed="false">
      <c r="M2425" s="2" t="str">
        <f aca="false">IF(C2425="","",IFERROR(INDEX($S$5:$S$304,MATCH(C2425,$R$5:$R$304,0))&amp;"","?"))</f>
        <v/>
      </c>
      <c r="N2425" s="2" t="str">
        <f aca="false"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 t="str">
        <f aca="false">IF(OR(F2425="",G2425=""),"",IF(G2425&lt;='RETRATO 2027'!$K$5,"CONCLUÍDA",IF(F2425&lt;='RETRATO 2027'!$K$5,"EM ANDAMENTO","A INICIAR")))</f>
        <v/>
      </c>
    </row>
    <row r="2426" customFormat="false" ht="15" hidden="false" customHeight="false" outlineLevel="0" collapsed="false">
      <c r="M2426" s="2" t="str">
        <f aca="false">IF(C2426="","",IFERROR(INDEX($S$5:$S$304,MATCH(C2426,$R$5:$R$304,0))&amp;"","?"))</f>
        <v/>
      </c>
      <c r="N2426" s="2" t="str">
        <f aca="false"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 t="str">
        <f aca="false">IF(OR(F2426="",G2426=""),"",IF(G2426&lt;='RETRATO 2027'!$K$5,"CONCLUÍDA",IF(F2426&lt;='RETRATO 2027'!$K$5,"EM ANDAMENTO","A INICIAR")))</f>
        <v/>
      </c>
    </row>
    <row r="2427" customFormat="false" ht="15" hidden="false" customHeight="false" outlineLevel="0" collapsed="false">
      <c r="M2427" s="2" t="str">
        <f aca="false">IF(C2427="","",IFERROR(INDEX($S$5:$S$304,MATCH(C2427,$R$5:$R$304,0))&amp;"","?"))</f>
        <v/>
      </c>
      <c r="N2427" s="2" t="str">
        <f aca="false"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 t="str">
        <f aca="false">IF(OR(F2427="",G2427=""),"",IF(G2427&lt;='RETRATO 2027'!$K$5,"CONCLUÍDA",IF(F2427&lt;='RETRATO 2027'!$K$5,"EM ANDAMENTO","A INICIAR")))</f>
        <v/>
      </c>
    </row>
    <row r="2428" customFormat="false" ht="15" hidden="false" customHeight="false" outlineLevel="0" collapsed="false">
      <c r="M2428" s="2" t="str">
        <f aca="false">IF(C2428="","",IFERROR(INDEX($S$5:$S$304,MATCH(C2428,$R$5:$R$304,0))&amp;"","?"))</f>
        <v/>
      </c>
      <c r="N2428" s="2" t="str">
        <f aca="false"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 t="str">
        <f aca="false">IF(OR(F2428="",G2428=""),"",IF(G2428&lt;='RETRATO 2027'!$K$5,"CONCLUÍDA",IF(F2428&lt;='RETRATO 2027'!$K$5,"EM ANDAMENTO","A INICIAR")))</f>
        <v/>
      </c>
    </row>
    <row r="2429" customFormat="false" ht="15" hidden="false" customHeight="false" outlineLevel="0" collapsed="false">
      <c r="M2429" s="2" t="str">
        <f aca="false">IF(C2429="","",IFERROR(INDEX($S$5:$S$304,MATCH(C2429,$R$5:$R$304,0))&amp;"","?"))</f>
        <v/>
      </c>
      <c r="N2429" s="2" t="str">
        <f aca="false"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 t="str">
        <f aca="false">IF(OR(F2429="",G2429=""),"",IF(G2429&lt;='RETRATO 2027'!$K$5,"CONCLUÍDA",IF(F2429&lt;='RETRATO 2027'!$K$5,"EM ANDAMENTO","A INICIAR")))</f>
        <v/>
      </c>
    </row>
    <row r="2430" customFormat="false" ht="15" hidden="false" customHeight="false" outlineLevel="0" collapsed="false">
      <c r="M2430" s="2" t="str">
        <f aca="false">IF(C2430="","",IFERROR(INDEX($S$5:$S$304,MATCH(C2430,$R$5:$R$304,0))&amp;"","?"))</f>
        <v/>
      </c>
      <c r="N2430" s="2" t="str">
        <f aca="false"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 t="str">
        <f aca="false">IF(OR(F2430="",G2430=""),"",IF(G2430&lt;='RETRATO 2027'!$K$5,"CONCLUÍDA",IF(F2430&lt;='RETRATO 2027'!$K$5,"EM ANDAMENTO","A INICIAR")))</f>
        <v/>
      </c>
    </row>
    <row r="2431" customFormat="false" ht="15" hidden="false" customHeight="false" outlineLevel="0" collapsed="false">
      <c r="M2431" s="2" t="str">
        <f aca="false">IF(C2431="","",IFERROR(INDEX($S$5:$S$304,MATCH(C2431,$R$5:$R$304,0))&amp;"","?"))</f>
        <v/>
      </c>
      <c r="N2431" s="2" t="str">
        <f aca="false"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 t="str">
        <f aca="false">IF(OR(F2431="",G2431=""),"",IF(G2431&lt;='RETRATO 2027'!$K$5,"CONCLUÍDA",IF(F2431&lt;='RETRATO 2027'!$K$5,"EM ANDAMENTO","A INICIAR")))</f>
        <v/>
      </c>
    </row>
    <row r="2432" customFormat="false" ht="15" hidden="false" customHeight="false" outlineLevel="0" collapsed="false">
      <c r="M2432" s="2" t="str">
        <f aca="false">IF(C2432="","",IFERROR(INDEX($S$5:$S$304,MATCH(C2432,$R$5:$R$304,0))&amp;"","?"))</f>
        <v/>
      </c>
      <c r="N2432" s="2" t="str">
        <f aca="false"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 t="str">
        <f aca="false">IF(OR(F2432="",G2432=""),"",IF(G2432&lt;='RETRATO 2027'!$K$5,"CONCLUÍDA",IF(F2432&lt;='RETRATO 2027'!$K$5,"EM ANDAMENTO","A INICIAR")))</f>
        <v/>
      </c>
    </row>
    <row r="2433" customFormat="false" ht="15" hidden="false" customHeight="false" outlineLevel="0" collapsed="false">
      <c r="M2433" s="2" t="str">
        <f aca="false">IF(C2433="","",IFERROR(INDEX($S$5:$S$304,MATCH(C2433,$R$5:$R$304,0))&amp;"","?"))</f>
        <v/>
      </c>
      <c r="N2433" s="2" t="str">
        <f aca="false"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 t="str">
        <f aca="false">IF(OR(F2433="",G2433=""),"",IF(G2433&lt;='RETRATO 2027'!$K$5,"CONCLUÍDA",IF(F2433&lt;='RETRATO 2027'!$K$5,"EM ANDAMENTO","A INICIAR")))</f>
        <v/>
      </c>
    </row>
    <row r="2434" customFormat="false" ht="15" hidden="false" customHeight="false" outlineLevel="0" collapsed="false">
      <c r="M2434" s="2" t="str">
        <f aca="false">IF(C2434="","",IFERROR(INDEX($S$5:$S$304,MATCH(C2434,$R$5:$R$304,0))&amp;"","?"))</f>
        <v/>
      </c>
      <c r="N2434" s="2" t="str">
        <f aca="false"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 t="str">
        <f aca="false">IF(OR(F2434="",G2434=""),"",IF(G2434&lt;='RETRATO 2027'!$K$5,"CONCLUÍDA",IF(F2434&lt;='RETRATO 2027'!$K$5,"EM ANDAMENTO","A INICIAR")))</f>
        <v/>
      </c>
    </row>
    <row r="2435" customFormat="false" ht="15" hidden="false" customHeight="false" outlineLevel="0" collapsed="false">
      <c r="M2435" s="2" t="str">
        <f aca="false">IF(C2435="","",IFERROR(INDEX($S$5:$S$304,MATCH(C2435,$R$5:$R$304,0))&amp;"","?"))</f>
        <v/>
      </c>
      <c r="N2435" s="2" t="str">
        <f aca="false"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 t="str">
        <f aca="false">IF(OR(F2435="",G2435=""),"",IF(G2435&lt;='RETRATO 2027'!$K$5,"CONCLUÍDA",IF(F2435&lt;='RETRATO 2027'!$K$5,"EM ANDAMENTO","A INICIAR")))</f>
        <v/>
      </c>
    </row>
    <row r="2436" customFormat="false" ht="15" hidden="false" customHeight="false" outlineLevel="0" collapsed="false">
      <c r="M2436" s="2" t="str">
        <f aca="false">IF(C2436="","",IFERROR(INDEX($S$5:$S$304,MATCH(C2436,$R$5:$R$304,0))&amp;"","?"))</f>
        <v/>
      </c>
      <c r="N2436" s="2" t="str">
        <f aca="false"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 t="str">
        <f aca="false">IF(OR(F2436="",G2436=""),"",IF(G2436&lt;='RETRATO 2027'!$K$5,"CONCLUÍDA",IF(F2436&lt;='RETRATO 2027'!$K$5,"EM ANDAMENTO","A INICIAR")))</f>
        <v/>
      </c>
    </row>
    <row r="2437" customFormat="false" ht="15" hidden="false" customHeight="false" outlineLevel="0" collapsed="false">
      <c r="M2437" s="2" t="str">
        <f aca="false">IF(C2437="","",IFERROR(INDEX($S$5:$S$304,MATCH(C2437,$R$5:$R$304,0))&amp;"","?"))</f>
        <v/>
      </c>
      <c r="N2437" s="2" t="str">
        <f aca="false"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 t="str">
        <f aca="false">IF(OR(F2437="",G2437=""),"",IF(G2437&lt;='RETRATO 2027'!$K$5,"CONCLUÍDA",IF(F2437&lt;='RETRATO 2027'!$K$5,"EM ANDAMENTO","A INICIAR")))</f>
        <v/>
      </c>
    </row>
    <row r="2438" customFormat="false" ht="15" hidden="false" customHeight="false" outlineLevel="0" collapsed="false">
      <c r="M2438" s="2" t="str">
        <f aca="false">IF(C2438="","",IFERROR(INDEX($S$5:$S$304,MATCH(C2438,$R$5:$R$304,0))&amp;"","?"))</f>
        <v/>
      </c>
      <c r="N2438" s="2" t="str">
        <f aca="false"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 t="str">
        <f aca="false">IF(OR(F2438="",G2438=""),"",IF(G2438&lt;='RETRATO 2027'!$K$5,"CONCLUÍDA",IF(F2438&lt;='RETRATO 2027'!$K$5,"EM ANDAMENTO","A INICIAR")))</f>
        <v/>
      </c>
    </row>
    <row r="2439" customFormat="false" ht="15" hidden="false" customHeight="false" outlineLevel="0" collapsed="false">
      <c r="M2439" s="2" t="str">
        <f aca="false">IF(C2439="","",IFERROR(INDEX($S$5:$S$304,MATCH(C2439,$R$5:$R$304,0))&amp;"","?"))</f>
        <v/>
      </c>
      <c r="N2439" s="2" t="str">
        <f aca="false"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 t="str">
        <f aca="false">IF(OR(F2439="",G2439=""),"",IF(G2439&lt;='RETRATO 2027'!$K$5,"CONCLUÍDA",IF(F2439&lt;='RETRATO 2027'!$K$5,"EM ANDAMENTO","A INICIAR")))</f>
        <v/>
      </c>
    </row>
    <row r="2440" customFormat="false" ht="15" hidden="false" customHeight="false" outlineLevel="0" collapsed="false">
      <c r="M2440" s="2" t="str">
        <f aca="false">IF(C2440="","",IFERROR(INDEX($S$5:$S$304,MATCH(C2440,$R$5:$R$304,0))&amp;"","?"))</f>
        <v/>
      </c>
      <c r="N2440" s="2" t="str">
        <f aca="false"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 t="str">
        <f aca="false">IF(OR(F2440="",G2440=""),"",IF(G2440&lt;='RETRATO 2027'!$K$5,"CONCLUÍDA",IF(F2440&lt;='RETRATO 2027'!$K$5,"EM ANDAMENTO","A INICIAR")))</f>
        <v/>
      </c>
    </row>
    <row r="2441" customFormat="false" ht="15" hidden="false" customHeight="false" outlineLevel="0" collapsed="false">
      <c r="M2441" s="2" t="str">
        <f aca="false">IF(C2441="","",IFERROR(INDEX($S$5:$S$304,MATCH(C2441,$R$5:$R$304,0))&amp;"","?"))</f>
        <v/>
      </c>
      <c r="N2441" s="2" t="str">
        <f aca="false"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 t="str">
        <f aca="false">IF(OR(F2441="",G2441=""),"",IF(G2441&lt;='RETRATO 2027'!$K$5,"CONCLUÍDA",IF(F2441&lt;='RETRATO 2027'!$K$5,"EM ANDAMENTO","A INICIAR")))</f>
        <v/>
      </c>
    </row>
    <row r="2442" customFormat="false" ht="15" hidden="false" customHeight="false" outlineLevel="0" collapsed="false">
      <c r="M2442" s="2" t="str">
        <f aca="false">IF(C2442="","",IFERROR(INDEX($S$5:$S$304,MATCH(C2442,$R$5:$R$304,0))&amp;"","?"))</f>
        <v/>
      </c>
      <c r="N2442" s="2" t="str">
        <f aca="false"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 t="str">
        <f aca="false">IF(OR(F2442="",G2442=""),"",IF(G2442&lt;='RETRATO 2027'!$K$5,"CONCLUÍDA",IF(F2442&lt;='RETRATO 2027'!$K$5,"EM ANDAMENTO","A INICIAR")))</f>
        <v/>
      </c>
    </row>
    <row r="2443" customFormat="false" ht="15" hidden="false" customHeight="false" outlineLevel="0" collapsed="false">
      <c r="M2443" s="2" t="str">
        <f aca="false">IF(C2443="","",IFERROR(INDEX($S$5:$S$304,MATCH(C2443,$R$5:$R$304,0))&amp;"","?"))</f>
        <v/>
      </c>
      <c r="N2443" s="2" t="str">
        <f aca="false"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 t="str">
        <f aca="false">IF(OR(F2443="",G2443=""),"",IF(G2443&lt;='RETRATO 2027'!$K$5,"CONCLUÍDA",IF(F2443&lt;='RETRATO 2027'!$K$5,"EM ANDAMENTO","A INICIAR")))</f>
        <v/>
      </c>
    </row>
    <row r="2444" customFormat="false" ht="15" hidden="false" customHeight="false" outlineLevel="0" collapsed="false">
      <c r="M2444" s="2" t="str">
        <f aca="false">IF(C2444="","",IFERROR(INDEX($S$5:$S$304,MATCH(C2444,$R$5:$R$304,0))&amp;"","?"))</f>
        <v/>
      </c>
      <c r="N2444" s="2" t="str">
        <f aca="false"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 t="str">
        <f aca="false">IF(OR(F2444="",G2444=""),"",IF(G2444&lt;='RETRATO 2027'!$K$5,"CONCLUÍDA",IF(F2444&lt;='RETRATO 2027'!$K$5,"EM ANDAMENTO","A INICIAR")))</f>
        <v/>
      </c>
    </row>
    <row r="2445" customFormat="false" ht="15" hidden="false" customHeight="false" outlineLevel="0" collapsed="false">
      <c r="M2445" s="2" t="str">
        <f aca="false">IF(C2445="","",IFERROR(INDEX($S$5:$S$304,MATCH(C2445,$R$5:$R$304,0))&amp;"","?"))</f>
        <v/>
      </c>
      <c r="N2445" s="2" t="str">
        <f aca="false"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 t="str">
        <f aca="false">IF(OR(F2445="",G2445=""),"",IF(G2445&lt;='RETRATO 2027'!$K$5,"CONCLUÍDA",IF(F2445&lt;='RETRATO 2027'!$K$5,"EM ANDAMENTO","A INICIAR")))</f>
        <v/>
      </c>
    </row>
    <row r="2446" customFormat="false" ht="15" hidden="false" customHeight="false" outlineLevel="0" collapsed="false">
      <c r="M2446" s="2" t="str">
        <f aca="false">IF(C2446="","",IFERROR(INDEX($S$5:$S$304,MATCH(C2446,$R$5:$R$304,0))&amp;"","?"))</f>
        <v/>
      </c>
      <c r="N2446" s="2" t="str">
        <f aca="false"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 t="str">
        <f aca="false">IF(OR(F2446="",G2446=""),"",IF(G2446&lt;='RETRATO 2027'!$K$5,"CONCLUÍDA",IF(F2446&lt;='RETRATO 2027'!$K$5,"EM ANDAMENTO","A INICIAR")))</f>
        <v/>
      </c>
    </row>
    <row r="2447" customFormat="false" ht="15" hidden="false" customHeight="false" outlineLevel="0" collapsed="false">
      <c r="M2447" s="2" t="str">
        <f aca="false">IF(C2447="","",IFERROR(INDEX($S$5:$S$304,MATCH(C2447,$R$5:$R$304,0))&amp;"","?"))</f>
        <v/>
      </c>
      <c r="N2447" s="2" t="str">
        <f aca="false"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 t="str">
        <f aca="false">IF(OR(F2447="",G2447=""),"",IF(G2447&lt;='RETRATO 2027'!$K$5,"CONCLUÍDA",IF(F2447&lt;='RETRATO 2027'!$K$5,"EM ANDAMENTO","A INICIAR")))</f>
        <v/>
      </c>
    </row>
    <row r="2448" customFormat="false" ht="15" hidden="false" customHeight="false" outlineLevel="0" collapsed="false">
      <c r="M2448" s="2" t="str">
        <f aca="false">IF(C2448="","",IFERROR(INDEX($S$5:$S$304,MATCH(C2448,$R$5:$R$304,0))&amp;"","?"))</f>
        <v/>
      </c>
      <c r="N2448" s="2" t="str">
        <f aca="false"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 t="str">
        <f aca="false">IF(OR(F2448="",G2448=""),"",IF(G2448&lt;='RETRATO 2027'!$K$5,"CONCLUÍDA",IF(F2448&lt;='RETRATO 2027'!$K$5,"EM ANDAMENTO","A INICIAR")))</f>
        <v/>
      </c>
    </row>
    <row r="2449" customFormat="false" ht="15" hidden="false" customHeight="false" outlineLevel="0" collapsed="false">
      <c r="M2449" s="2" t="str">
        <f aca="false">IF(C2449="","",IFERROR(INDEX($S$5:$S$304,MATCH(C2449,$R$5:$R$304,0))&amp;"","?"))</f>
        <v/>
      </c>
      <c r="N2449" s="2" t="str">
        <f aca="false"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 t="str">
        <f aca="false">IF(OR(F2449="",G2449=""),"",IF(G2449&lt;='RETRATO 2027'!$K$5,"CONCLUÍDA",IF(F2449&lt;='RETRATO 2027'!$K$5,"EM ANDAMENTO","A INICIAR")))</f>
        <v/>
      </c>
    </row>
    <row r="2450" customFormat="false" ht="15" hidden="false" customHeight="false" outlineLevel="0" collapsed="false">
      <c r="M2450" s="2" t="str">
        <f aca="false">IF(C2450="","",IFERROR(INDEX($S$5:$S$304,MATCH(C2450,$R$5:$R$304,0))&amp;"","?"))</f>
        <v/>
      </c>
      <c r="N2450" s="2" t="str">
        <f aca="false"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 t="str">
        <f aca="false">IF(OR(F2450="",G2450=""),"",IF(G2450&lt;='RETRATO 2027'!$K$5,"CONCLUÍDA",IF(F2450&lt;='RETRATO 2027'!$K$5,"EM ANDAMENTO","A INICIAR")))</f>
        <v/>
      </c>
    </row>
    <row r="2451" customFormat="false" ht="15" hidden="false" customHeight="false" outlineLevel="0" collapsed="false">
      <c r="M2451" s="2" t="str">
        <f aca="false">IF(C2451="","",IFERROR(INDEX($S$5:$S$304,MATCH(C2451,$R$5:$R$304,0))&amp;"","?"))</f>
        <v/>
      </c>
      <c r="N2451" s="2" t="str">
        <f aca="false"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 t="str">
        <f aca="false">IF(OR(F2451="",G2451=""),"",IF(G2451&lt;='RETRATO 2027'!$K$5,"CONCLUÍDA",IF(F2451&lt;='RETRATO 2027'!$K$5,"EM ANDAMENTO","A INICIAR")))</f>
        <v/>
      </c>
    </row>
    <row r="2452" customFormat="false" ht="15" hidden="false" customHeight="false" outlineLevel="0" collapsed="false">
      <c r="M2452" s="2" t="str">
        <f aca="false">IF(C2452="","",IFERROR(INDEX($S$5:$S$304,MATCH(C2452,$R$5:$R$304,0))&amp;"","?"))</f>
        <v/>
      </c>
      <c r="N2452" s="2" t="str">
        <f aca="false"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 t="str">
        <f aca="false">IF(OR(F2452="",G2452=""),"",IF(G2452&lt;='RETRATO 2027'!$K$5,"CONCLUÍDA",IF(F2452&lt;='RETRATO 2027'!$K$5,"EM ANDAMENTO","A INICIAR")))</f>
        <v/>
      </c>
    </row>
    <row r="2453" customFormat="false" ht="15" hidden="false" customHeight="false" outlineLevel="0" collapsed="false">
      <c r="M2453" s="2" t="str">
        <f aca="false">IF(C2453="","",IFERROR(INDEX($S$5:$S$304,MATCH(C2453,$R$5:$R$304,0))&amp;"","?"))</f>
        <v/>
      </c>
      <c r="N2453" s="2" t="str">
        <f aca="false"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 t="str">
        <f aca="false">IF(OR(F2453="",G2453=""),"",IF(G2453&lt;='RETRATO 2027'!$K$5,"CONCLUÍDA",IF(F2453&lt;='RETRATO 2027'!$K$5,"EM ANDAMENTO","A INICIAR")))</f>
        <v/>
      </c>
    </row>
    <row r="2454" customFormat="false" ht="15" hidden="false" customHeight="false" outlineLevel="0" collapsed="false">
      <c r="M2454" s="2" t="str">
        <f aca="false">IF(C2454="","",IFERROR(INDEX($S$5:$S$304,MATCH(C2454,$R$5:$R$304,0))&amp;"","?"))</f>
        <v/>
      </c>
      <c r="N2454" s="2" t="str">
        <f aca="false"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 t="str">
        <f aca="false">IF(OR(F2454="",G2454=""),"",IF(G2454&lt;='RETRATO 2027'!$K$5,"CONCLUÍDA",IF(F2454&lt;='RETRATO 2027'!$K$5,"EM ANDAMENTO","A INICIAR")))</f>
        <v/>
      </c>
    </row>
    <row r="2455" customFormat="false" ht="15" hidden="false" customHeight="false" outlineLevel="0" collapsed="false">
      <c r="M2455" s="2" t="str">
        <f aca="false">IF(C2455="","",IFERROR(INDEX($S$5:$S$304,MATCH(C2455,$R$5:$R$304,0))&amp;"","?"))</f>
        <v/>
      </c>
      <c r="N2455" s="2" t="str">
        <f aca="false"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 t="str">
        <f aca="false">IF(OR(F2455="",G2455=""),"",IF(G2455&lt;='RETRATO 2027'!$K$5,"CONCLUÍDA",IF(F2455&lt;='RETRATO 2027'!$K$5,"EM ANDAMENTO","A INICIAR")))</f>
        <v/>
      </c>
    </row>
    <row r="2456" customFormat="false" ht="15" hidden="false" customHeight="false" outlineLevel="0" collapsed="false">
      <c r="M2456" s="2" t="str">
        <f aca="false">IF(C2456="","",IFERROR(INDEX($S$5:$S$304,MATCH(C2456,$R$5:$R$304,0))&amp;"","?"))</f>
        <v/>
      </c>
      <c r="N2456" s="2" t="str">
        <f aca="false"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 t="str">
        <f aca="false">IF(OR(F2456="",G2456=""),"",IF(G2456&lt;='RETRATO 2027'!$K$5,"CONCLUÍDA",IF(F2456&lt;='RETRATO 2027'!$K$5,"EM ANDAMENTO","A INICIAR")))</f>
        <v/>
      </c>
    </row>
    <row r="2457" customFormat="false" ht="15" hidden="false" customHeight="false" outlineLevel="0" collapsed="false">
      <c r="M2457" s="2" t="str">
        <f aca="false">IF(C2457="","",IFERROR(INDEX($S$5:$S$304,MATCH(C2457,$R$5:$R$304,0))&amp;"","?"))</f>
        <v/>
      </c>
      <c r="N2457" s="2" t="str">
        <f aca="false"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 t="str">
        <f aca="false">IF(OR(F2457="",G2457=""),"",IF(G2457&lt;='RETRATO 2027'!$K$5,"CONCLUÍDA",IF(F2457&lt;='RETRATO 2027'!$K$5,"EM ANDAMENTO","A INICIAR")))</f>
        <v/>
      </c>
    </row>
    <row r="2458" customFormat="false" ht="15" hidden="false" customHeight="false" outlineLevel="0" collapsed="false">
      <c r="M2458" s="2" t="str">
        <f aca="false">IF(C2458="","",IFERROR(INDEX($S$5:$S$304,MATCH(C2458,$R$5:$R$304,0))&amp;"","?"))</f>
        <v/>
      </c>
      <c r="N2458" s="2" t="str">
        <f aca="false"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 t="str">
        <f aca="false">IF(OR(F2458="",G2458=""),"",IF(G2458&lt;='RETRATO 2027'!$K$5,"CONCLUÍDA",IF(F2458&lt;='RETRATO 2027'!$K$5,"EM ANDAMENTO","A INICIAR")))</f>
        <v/>
      </c>
    </row>
    <row r="2459" customFormat="false" ht="15" hidden="false" customHeight="false" outlineLevel="0" collapsed="false">
      <c r="M2459" s="2" t="str">
        <f aca="false">IF(C2459="","",IFERROR(INDEX($S$5:$S$304,MATCH(C2459,$R$5:$R$304,0))&amp;"","?"))</f>
        <v/>
      </c>
      <c r="N2459" s="2" t="str">
        <f aca="false"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 t="str">
        <f aca="false">IF(OR(F2459="",G2459=""),"",IF(G2459&lt;='RETRATO 2027'!$K$5,"CONCLUÍDA",IF(F2459&lt;='RETRATO 2027'!$K$5,"EM ANDAMENTO","A INICIAR")))</f>
        <v/>
      </c>
    </row>
    <row r="2460" customFormat="false" ht="15" hidden="false" customHeight="false" outlineLevel="0" collapsed="false">
      <c r="M2460" s="2" t="str">
        <f aca="false">IF(C2460="","",IFERROR(INDEX($S$5:$S$304,MATCH(C2460,$R$5:$R$304,0))&amp;"","?"))</f>
        <v/>
      </c>
      <c r="N2460" s="2" t="str">
        <f aca="false"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 t="str">
        <f aca="false">IF(OR(F2460="",G2460=""),"",IF(G2460&lt;='RETRATO 2027'!$K$5,"CONCLUÍDA",IF(F2460&lt;='RETRATO 2027'!$K$5,"EM ANDAMENTO","A INICIAR")))</f>
        <v/>
      </c>
    </row>
    <row r="2461" customFormat="false" ht="15" hidden="false" customHeight="false" outlineLevel="0" collapsed="false">
      <c r="M2461" s="2" t="str">
        <f aca="false">IF(C2461="","",IFERROR(INDEX($S$5:$S$304,MATCH(C2461,$R$5:$R$304,0))&amp;"","?"))</f>
        <v/>
      </c>
      <c r="N2461" s="2" t="str">
        <f aca="false"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 t="str">
        <f aca="false">IF(OR(F2461="",G2461=""),"",IF(G2461&lt;='RETRATO 2027'!$K$5,"CONCLUÍDA",IF(F2461&lt;='RETRATO 2027'!$K$5,"EM ANDAMENTO","A INICIAR")))</f>
        <v/>
      </c>
    </row>
    <row r="2462" customFormat="false" ht="15" hidden="false" customHeight="false" outlineLevel="0" collapsed="false">
      <c r="M2462" s="2" t="str">
        <f aca="false">IF(C2462="","",IFERROR(INDEX($S$5:$S$304,MATCH(C2462,$R$5:$R$304,0))&amp;"","?"))</f>
        <v/>
      </c>
      <c r="N2462" s="2" t="str">
        <f aca="false"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 t="str">
        <f aca="false">IF(OR(F2462="",G2462=""),"",IF(G2462&lt;='RETRATO 2027'!$K$5,"CONCLUÍDA",IF(F2462&lt;='RETRATO 2027'!$K$5,"EM ANDAMENTO","A INICIAR")))</f>
        <v/>
      </c>
    </row>
    <row r="2463" customFormat="false" ht="15" hidden="false" customHeight="false" outlineLevel="0" collapsed="false">
      <c r="M2463" s="2" t="str">
        <f aca="false">IF(C2463="","",IFERROR(INDEX($S$5:$S$304,MATCH(C2463,$R$5:$R$304,0))&amp;"","?"))</f>
        <v/>
      </c>
      <c r="N2463" s="2" t="str">
        <f aca="false"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 t="str">
        <f aca="false">IF(OR(F2463="",G2463=""),"",IF(G2463&lt;='RETRATO 2027'!$K$5,"CONCLUÍDA",IF(F2463&lt;='RETRATO 2027'!$K$5,"EM ANDAMENTO","A INICIAR")))</f>
        <v/>
      </c>
    </row>
    <row r="2464" customFormat="false" ht="15" hidden="false" customHeight="false" outlineLevel="0" collapsed="false">
      <c r="M2464" s="2" t="str">
        <f aca="false">IF(C2464="","",IFERROR(INDEX($S$5:$S$304,MATCH(C2464,$R$5:$R$304,0))&amp;"","?"))</f>
        <v/>
      </c>
      <c r="N2464" s="2" t="str">
        <f aca="false"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 t="str">
        <f aca="false">IF(OR(F2464="",G2464=""),"",IF(G2464&lt;='RETRATO 2027'!$K$5,"CONCLUÍDA",IF(F2464&lt;='RETRATO 2027'!$K$5,"EM ANDAMENTO","A INICIAR")))</f>
        <v/>
      </c>
    </row>
    <row r="2465" customFormat="false" ht="15" hidden="false" customHeight="false" outlineLevel="0" collapsed="false">
      <c r="M2465" s="2" t="str">
        <f aca="false">IF(C2465="","",IFERROR(INDEX($S$5:$S$304,MATCH(C2465,$R$5:$R$304,0))&amp;"","?"))</f>
        <v/>
      </c>
      <c r="N2465" s="2" t="str">
        <f aca="false"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 t="str">
        <f aca="false">IF(OR(F2465="",G2465=""),"",IF(G2465&lt;='RETRATO 2027'!$K$5,"CONCLUÍDA",IF(F2465&lt;='RETRATO 2027'!$K$5,"EM ANDAMENTO","A INICIAR")))</f>
        <v/>
      </c>
    </row>
    <row r="2466" customFormat="false" ht="15" hidden="false" customHeight="false" outlineLevel="0" collapsed="false">
      <c r="M2466" s="2" t="str">
        <f aca="false">IF(C2466="","",IFERROR(INDEX($S$5:$S$304,MATCH(C2466,$R$5:$R$304,0))&amp;"","?"))</f>
        <v/>
      </c>
      <c r="N2466" s="2" t="str">
        <f aca="false"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 t="str">
        <f aca="false">IF(OR(F2466="",G2466=""),"",IF(G2466&lt;='RETRATO 2027'!$K$5,"CONCLUÍDA",IF(F2466&lt;='RETRATO 2027'!$K$5,"EM ANDAMENTO","A INICIAR")))</f>
        <v/>
      </c>
    </row>
    <row r="2467" customFormat="false" ht="15" hidden="false" customHeight="false" outlineLevel="0" collapsed="false">
      <c r="M2467" s="2" t="str">
        <f aca="false">IF(C2467="","",IFERROR(INDEX($S$5:$S$304,MATCH(C2467,$R$5:$R$304,0))&amp;"","?"))</f>
        <v/>
      </c>
      <c r="N2467" s="2" t="str">
        <f aca="false"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 t="str">
        <f aca="false">IF(OR(F2467="",G2467=""),"",IF(G2467&lt;='RETRATO 2027'!$K$5,"CONCLUÍDA",IF(F2467&lt;='RETRATO 2027'!$K$5,"EM ANDAMENTO","A INICIAR")))</f>
        <v/>
      </c>
    </row>
    <row r="2468" customFormat="false" ht="15" hidden="false" customHeight="false" outlineLevel="0" collapsed="false">
      <c r="M2468" s="2" t="str">
        <f aca="false">IF(C2468="","",IFERROR(INDEX($S$5:$S$304,MATCH(C2468,$R$5:$R$304,0))&amp;"","?"))</f>
        <v/>
      </c>
      <c r="N2468" s="2" t="str">
        <f aca="false"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 t="str">
        <f aca="false">IF(OR(F2468="",G2468=""),"",IF(G2468&lt;='RETRATO 2027'!$K$5,"CONCLUÍDA",IF(F2468&lt;='RETRATO 2027'!$K$5,"EM ANDAMENTO","A INICIAR")))</f>
        <v/>
      </c>
    </row>
    <row r="2469" customFormat="false" ht="15" hidden="false" customHeight="false" outlineLevel="0" collapsed="false">
      <c r="M2469" s="2" t="str">
        <f aca="false">IF(C2469="","",IFERROR(INDEX($S$5:$S$304,MATCH(C2469,$R$5:$R$304,0))&amp;"","?"))</f>
        <v/>
      </c>
      <c r="N2469" s="2" t="str">
        <f aca="false"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 t="str">
        <f aca="false">IF(OR(F2469="",G2469=""),"",IF(G2469&lt;='RETRATO 2027'!$K$5,"CONCLUÍDA",IF(F2469&lt;='RETRATO 2027'!$K$5,"EM ANDAMENTO","A INICIAR")))</f>
        <v/>
      </c>
    </row>
    <row r="2470" customFormat="false" ht="15" hidden="false" customHeight="false" outlineLevel="0" collapsed="false">
      <c r="M2470" s="2" t="str">
        <f aca="false">IF(C2470="","",IFERROR(INDEX($S$5:$S$304,MATCH(C2470,$R$5:$R$304,0))&amp;"","?"))</f>
        <v/>
      </c>
      <c r="N2470" s="2" t="str">
        <f aca="false"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 t="str">
        <f aca="false">IF(OR(F2470="",G2470=""),"",IF(G2470&lt;='RETRATO 2027'!$K$5,"CONCLUÍDA",IF(F2470&lt;='RETRATO 2027'!$K$5,"EM ANDAMENTO","A INICIAR")))</f>
        <v/>
      </c>
    </row>
    <row r="2471" customFormat="false" ht="15" hidden="false" customHeight="false" outlineLevel="0" collapsed="false">
      <c r="M2471" s="2" t="str">
        <f aca="false">IF(C2471="","",IFERROR(INDEX($S$5:$S$304,MATCH(C2471,$R$5:$R$304,0))&amp;"","?"))</f>
        <v/>
      </c>
      <c r="N2471" s="2" t="str">
        <f aca="false"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 t="str">
        <f aca="false">IF(OR(F2471="",G2471=""),"",IF(G2471&lt;='RETRATO 2027'!$K$5,"CONCLUÍDA",IF(F2471&lt;='RETRATO 2027'!$K$5,"EM ANDAMENTO","A INICIAR")))</f>
        <v/>
      </c>
    </row>
    <row r="2472" customFormat="false" ht="15" hidden="false" customHeight="false" outlineLevel="0" collapsed="false">
      <c r="M2472" s="2" t="str">
        <f aca="false">IF(C2472="","",IFERROR(INDEX($S$5:$S$304,MATCH(C2472,$R$5:$R$304,0))&amp;"","?"))</f>
        <v/>
      </c>
      <c r="N2472" s="2" t="str">
        <f aca="false"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 t="str">
        <f aca="false">IF(OR(F2472="",G2472=""),"",IF(G2472&lt;='RETRATO 2027'!$K$5,"CONCLUÍDA",IF(F2472&lt;='RETRATO 2027'!$K$5,"EM ANDAMENTO","A INICIAR")))</f>
        <v/>
      </c>
    </row>
    <row r="2473" customFormat="false" ht="15" hidden="false" customHeight="false" outlineLevel="0" collapsed="false">
      <c r="M2473" s="2" t="str">
        <f aca="false">IF(C2473="","",IFERROR(INDEX($S$5:$S$304,MATCH(C2473,$R$5:$R$304,0))&amp;"","?"))</f>
        <v/>
      </c>
      <c r="N2473" s="2" t="str">
        <f aca="false"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 t="str">
        <f aca="false">IF(OR(F2473="",G2473=""),"",IF(G2473&lt;='RETRATO 2027'!$K$5,"CONCLUÍDA",IF(F2473&lt;='RETRATO 2027'!$K$5,"EM ANDAMENTO","A INICIAR")))</f>
        <v/>
      </c>
    </row>
    <row r="2474" customFormat="false" ht="15" hidden="false" customHeight="false" outlineLevel="0" collapsed="false">
      <c r="M2474" s="2" t="str">
        <f aca="false">IF(C2474="","",IFERROR(INDEX($S$5:$S$304,MATCH(C2474,$R$5:$R$304,0))&amp;"","?"))</f>
        <v/>
      </c>
      <c r="N2474" s="2" t="str">
        <f aca="false"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 t="str">
        <f aca="false">IF(OR(F2474="",G2474=""),"",IF(G2474&lt;='RETRATO 2027'!$K$5,"CONCLUÍDA",IF(F2474&lt;='RETRATO 2027'!$K$5,"EM ANDAMENTO","A INICIAR")))</f>
        <v/>
      </c>
    </row>
    <row r="2475" customFormat="false" ht="15" hidden="false" customHeight="false" outlineLevel="0" collapsed="false">
      <c r="M2475" s="2" t="str">
        <f aca="false">IF(C2475="","",IFERROR(INDEX($S$5:$S$304,MATCH(C2475,$R$5:$R$304,0))&amp;"","?"))</f>
        <v/>
      </c>
      <c r="N2475" s="2" t="str">
        <f aca="false"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 t="str">
        <f aca="false">IF(OR(F2475="",G2475=""),"",IF(G2475&lt;='RETRATO 2027'!$K$5,"CONCLUÍDA",IF(F2475&lt;='RETRATO 2027'!$K$5,"EM ANDAMENTO","A INICIAR")))</f>
        <v/>
      </c>
    </row>
    <row r="2476" customFormat="false" ht="15" hidden="false" customHeight="false" outlineLevel="0" collapsed="false">
      <c r="M2476" s="2" t="str">
        <f aca="false">IF(C2476="","",IFERROR(INDEX($S$5:$S$304,MATCH(C2476,$R$5:$R$304,0))&amp;"","?"))</f>
        <v/>
      </c>
      <c r="N2476" s="2" t="str">
        <f aca="false"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 t="str">
        <f aca="false">IF(OR(F2476="",G2476=""),"",IF(G2476&lt;='RETRATO 2027'!$K$5,"CONCLUÍDA",IF(F2476&lt;='RETRATO 2027'!$K$5,"EM ANDAMENTO","A INICIAR")))</f>
        <v/>
      </c>
    </row>
    <row r="2477" customFormat="false" ht="15" hidden="false" customHeight="false" outlineLevel="0" collapsed="false">
      <c r="M2477" s="2" t="str">
        <f aca="false">IF(C2477="","",IFERROR(INDEX($S$5:$S$304,MATCH(C2477,$R$5:$R$304,0))&amp;"","?"))</f>
        <v/>
      </c>
      <c r="N2477" s="2" t="str">
        <f aca="false"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 t="str">
        <f aca="false">IF(OR(F2477="",G2477=""),"",IF(G2477&lt;='RETRATO 2027'!$K$5,"CONCLUÍDA",IF(F2477&lt;='RETRATO 2027'!$K$5,"EM ANDAMENTO","A INICIAR")))</f>
        <v/>
      </c>
    </row>
    <row r="2478" customFormat="false" ht="15" hidden="false" customHeight="false" outlineLevel="0" collapsed="false">
      <c r="M2478" s="2" t="str">
        <f aca="false">IF(C2478="","",IFERROR(INDEX($S$5:$S$304,MATCH(C2478,$R$5:$R$304,0))&amp;"","?"))</f>
        <v/>
      </c>
      <c r="N2478" s="2" t="str">
        <f aca="false"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 t="str">
        <f aca="false">IF(OR(F2478="",G2478=""),"",IF(G2478&lt;='RETRATO 2027'!$K$5,"CONCLUÍDA",IF(F2478&lt;='RETRATO 2027'!$K$5,"EM ANDAMENTO","A INICIAR")))</f>
        <v/>
      </c>
    </row>
    <row r="2479" customFormat="false" ht="15" hidden="false" customHeight="false" outlineLevel="0" collapsed="false">
      <c r="M2479" s="2" t="str">
        <f aca="false">IF(C2479="","",IFERROR(INDEX($S$5:$S$304,MATCH(C2479,$R$5:$R$304,0))&amp;"","?"))</f>
        <v/>
      </c>
      <c r="N2479" s="2" t="str">
        <f aca="false"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 t="str">
        <f aca="false">IF(OR(F2479="",G2479=""),"",IF(G2479&lt;='RETRATO 2027'!$K$5,"CONCLUÍDA",IF(F2479&lt;='RETRATO 2027'!$K$5,"EM ANDAMENTO","A INICIAR")))</f>
        <v/>
      </c>
    </row>
    <row r="2480" customFormat="false" ht="15" hidden="false" customHeight="false" outlineLevel="0" collapsed="false">
      <c r="M2480" s="2" t="str">
        <f aca="false">IF(C2480="","",IFERROR(INDEX($S$5:$S$304,MATCH(C2480,$R$5:$R$304,0))&amp;"","?"))</f>
        <v/>
      </c>
      <c r="N2480" s="2" t="str">
        <f aca="false"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 t="str">
        <f aca="false">IF(OR(F2480="",G2480=""),"",IF(G2480&lt;='RETRATO 2027'!$K$5,"CONCLUÍDA",IF(F2480&lt;='RETRATO 2027'!$K$5,"EM ANDAMENTO","A INICIAR")))</f>
        <v/>
      </c>
    </row>
    <row r="2481" customFormat="false" ht="15" hidden="false" customHeight="false" outlineLevel="0" collapsed="false">
      <c r="M2481" s="2" t="str">
        <f aca="false">IF(C2481="","",IFERROR(INDEX($S$5:$S$304,MATCH(C2481,$R$5:$R$304,0))&amp;"","?"))</f>
        <v/>
      </c>
      <c r="N2481" s="2" t="str">
        <f aca="false"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 t="str">
        <f aca="false">IF(OR(F2481="",G2481=""),"",IF(G2481&lt;='RETRATO 2027'!$K$5,"CONCLUÍDA",IF(F2481&lt;='RETRATO 2027'!$K$5,"EM ANDAMENTO","A INICIAR")))</f>
        <v/>
      </c>
    </row>
    <row r="2482" customFormat="false" ht="15" hidden="false" customHeight="false" outlineLevel="0" collapsed="false">
      <c r="M2482" s="2" t="str">
        <f aca="false">IF(C2482="","",IFERROR(INDEX($S$5:$S$304,MATCH(C2482,$R$5:$R$304,0))&amp;"","?"))</f>
        <v/>
      </c>
      <c r="N2482" s="2" t="str">
        <f aca="false"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 t="str">
        <f aca="false">IF(OR(F2482="",G2482=""),"",IF(G2482&lt;='RETRATO 2027'!$K$5,"CONCLUÍDA",IF(F2482&lt;='RETRATO 2027'!$K$5,"EM ANDAMENTO","A INICIAR")))</f>
        <v/>
      </c>
    </row>
    <row r="2483" customFormat="false" ht="15" hidden="false" customHeight="false" outlineLevel="0" collapsed="false">
      <c r="M2483" s="2" t="str">
        <f aca="false">IF(C2483="","",IFERROR(INDEX($S$5:$S$304,MATCH(C2483,$R$5:$R$304,0))&amp;"","?"))</f>
        <v/>
      </c>
      <c r="N2483" s="2" t="str">
        <f aca="false"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 t="str">
        <f aca="false">IF(OR(F2483="",G2483=""),"",IF(G2483&lt;='RETRATO 2027'!$K$5,"CONCLUÍDA",IF(F2483&lt;='RETRATO 2027'!$K$5,"EM ANDAMENTO","A INICIAR")))</f>
        <v/>
      </c>
    </row>
    <row r="2484" customFormat="false" ht="15" hidden="false" customHeight="false" outlineLevel="0" collapsed="false">
      <c r="M2484" s="2" t="str">
        <f aca="false">IF(C2484="","",IFERROR(INDEX($S$5:$S$304,MATCH(C2484,$R$5:$R$304,0))&amp;"","?"))</f>
        <v/>
      </c>
      <c r="N2484" s="2" t="str">
        <f aca="false"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 t="str">
        <f aca="false">IF(OR(F2484="",G2484=""),"",IF(G2484&lt;='RETRATO 2027'!$K$5,"CONCLUÍDA",IF(F2484&lt;='RETRATO 2027'!$K$5,"EM ANDAMENTO","A INICIAR")))</f>
        <v/>
      </c>
    </row>
    <row r="2485" customFormat="false" ht="15" hidden="false" customHeight="false" outlineLevel="0" collapsed="false">
      <c r="M2485" s="2" t="str">
        <f aca="false">IF(C2485="","",IFERROR(INDEX($S$5:$S$304,MATCH(C2485,$R$5:$R$304,0))&amp;"","?"))</f>
        <v/>
      </c>
      <c r="N2485" s="2" t="str">
        <f aca="false"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 t="str">
        <f aca="false">IF(OR(F2485="",G2485=""),"",IF(G2485&lt;='RETRATO 2027'!$K$5,"CONCLUÍDA",IF(F2485&lt;='RETRATO 2027'!$K$5,"EM ANDAMENTO","A INICIAR")))</f>
        <v/>
      </c>
    </row>
    <row r="2486" customFormat="false" ht="15" hidden="false" customHeight="false" outlineLevel="0" collapsed="false">
      <c r="M2486" s="2" t="str">
        <f aca="false">IF(C2486="","",IFERROR(INDEX($S$5:$S$304,MATCH(C2486,$R$5:$R$304,0))&amp;"","?"))</f>
        <v/>
      </c>
      <c r="N2486" s="2" t="str">
        <f aca="false"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 t="str">
        <f aca="false">IF(OR(F2486="",G2486=""),"",IF(G2486&lt;='RETRATO 2027'!$K$5,"CONCLUÍDA",IF(F2486&lt;='RETRATO 2027'!$K$5,"EM ANDAMENTO","A INICIAR")))</f>
        <v/>
      </c>
    </row>
    <row r="2487" customFormat="false" ht="15" hidden="false" customHeight="false" outlineLevel="0" collapsed="false">
      <c r="M2487" s="2" t="str">
        <f aca="false">IF(C2487="","",IFERROR(INDEX($S$5:$S$304,MATCH(C2487,$R$5:$R$304,0))&amp;"","?"))</f>
        <v/>
      </c>
      <c r="N2487" s="2" t="str">
        <f aca="false"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 t="str">
        <f aca="false">IF(OR(F2487="",G2487=""),"",IF(G2487&lt;='RETRATO 2027'!$K$5,"CONCLUÍDA",IF(F2487&lt;='RETRATO 2027'!$K$5,"EM ANDAMENTO","A INICIAR")))</f>
        <v/>
      </c>
    </row>
    <row r="2488" customFormat="false" ht="15" hidden="false" customHeight="false" outlineLevel="0" collapsed="false">
      <c r="M2488" s="2" t="str">
        <f aca="false">IF(C2488="","",IFERROR(INDEX($S$5:$S$304,MATCH(C2488,$R$5:$R$304,0))&amp;"","?"))</f>
        <v/>
      </c>
      <c r="N2488" s="2" t="str">
        <f aca="false"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 t="str">
        <f aca="false">IF(OR(F2488="",G2488=""),"",IF(G2488&lt;='RETRATO 2027'!$K$5,"CONCLUÍDA",IF(F2488&lt;='RETRATO 2027'!$K$5,"EM ANDAMENTO","A INICIAR")))</f>
        <v/>
      </c>
    </row>
    <row r="2489" customFormat="false" ht="15" hidden="false" customHeight="false" outlineLevel="0" collapsed="false">
      <c r="M2489" s="2" t="str">
        <f aca="false">IF(C2489="","",IFERROR(INDEX($S$5:$S$304,MATCH(C2489,$R$5:$R$304,0))&amp;"","?"))</f>
        <v/>
      </c>
      <c r="N2489" s="2" t="str">
        <f aca="false"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 t="str">
        <f aca="false">IF(OR(F2489="",G2489=""),"",IF(G2489&lt;='RETRATO 2027'!$K$5,"CONCLUÍDA",IF(F2489&lt;='RETRATO 2027'!$K$5,"EM ANDAMENTO","A INICIAR")))</f>
        <v/>
      </c>
    </row>
    <row r="2490" customFormat="false" ht="15" hidden="false" customHeight="false" outlineLevel="0" collapsed="false">
      <c r="M2490" s="2" t="str">
        <f aca="false">IF(C2490="","",IFERROR(INDEX($S$5:$S$304,MATCH(C2490,$R$5:$R$304,0))&amp;"","?"))</f>
        <v/>
      </c>
      <c r="N2490" s="2" t="str">
        <f aca="false"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 t="str">
        <f aca="false">IF(OR(F2490="",G2490=""),"",IF(G2490&lt;='RETRATO 2027'!$K$5,"CONCLUÍDA",IF(F2490&lt;='RETRATO 2027'!$K$5,"EM ANDAMENTO","A INICIAR")))</f>
        <v/>
      </c>
    </row>
    <row r="2491" customFormat="false" ht="15" hidden="false" customHeight="false" outlineLevel="0" collapsed="false">
      <c r="M2491" s="2" t="str">
        <f aca="false">IF(C2491="","",IFERROR(INDEX($S$5:$S$304,MATCH(C2491,$R$5:$R$304,0))&amp;"","?"))</f>
        <v/>
      </c>
      <c r="N2491" s="2" t="str">
        <f aca="false"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 t="str">
        <f aca="false">IF(OR(F2491="",G2491=""),"",IF(G2491&lt;='RETRATO 2027'!$K$5,"CONCLUÍDA",IF(F2491&lt;='RETRATO 2027'!$K$5,"EM ANDAMENTO","A INICIAR")))</f>
        <v/>
      </c>
    </row>
    <row r="2492" customFormat="false" ht="15" hidden="false" customHeight="false" outlineLevel="0" collapsed="false">
      <c r="M2492" s="2" t="str">
        <f aca="false">IF(C2492="","",IFERROR(INDEX($S$5:$S$304,MATCH(C2492,$R$5:$R$304,0))&amp;"","?"))</f>
        <v/>
      </c>
      <c r="N2492" s="2" t="str">
        <f aca="false"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 t="str">
        <f aca="false">IF(OR(F2492="",G2492=""),"",IF(G2492&lt;='RETRATO 2027'!$K$5,"CONCLUÍDA",IF(F2492&lt;='RETRATO 2027'!$K$5,"EM ANDAMENTO","A INICIAR")))</f>
        <v/>
      </c>
    </row>
    <row r="2493" customFormat="false" ht="15" hidden="false" customHeight="false" outlineLevel="0" collapsed="false">
      <c r="M2493" s="2" t="str">
        <f aca="false">IF(C2493="","",IFERROR(INDEX($S$5:$S$304,MATCH(C2493,$R$5:$R$304,0))&amp;"","?"))</f>
        <v/>
      </c>
      <c r="N2493" s="2" t="str">
        <f aca="false"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 t="str">
        <f aca="false">IF(OR(F2493="",G2493=""),"",IF(G2493&lt;='RETRATO 2027'!$K$5,"CONCLUÍDA",IF(F2493&lt;='RETRATO 2027'!$K$5,"EM ANDAMENTO","A INICIAR")))</f>
        <v/>
      </c>
    </row>
    <row r="2494" customFormat="false" ht="15" hidden="false" customHeight="false" outlineLevel="0" collapsed="false">
      <c r="M2494" s="2" t="str">
        <f aca="false">IF(C2494="","",IFERROR(INDEX($S$5:$S$304,MATCH(C2494,$R$5:$R$304,0))&amp;"","?"))</f>
        <v/>
      </c>
      <c r="N2494" s="2" t="str">
        <f aca="false"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 t="str">
        <f aca="false">IF(OR(F2494="",G2494=""),"",IF(G2494&lt;='RETRATO 2027'!$K$5,"CONCLUÍDA",IF(F2494&lt;='RETRATO 2027'!$K$5,"EM ANDAMENTO","A INICIAR")))</f>
        <v/>
      </c>
    </row>
    <row r="2495" customFormat="false" ht="15" hidden="false" customHeight="false" outlineLevel="0" collapsed="false">
      <c r="M2495" s="2" t="str">
        <f aca="false">IF(C2495="","",IFERROR(INDEX($S$5:$S$304,MATCH(C2495,$R$5:$R$304,0))&amp;"","?"))</f>
        <v/>
      </c>
      <c r="N2495" s="2" t="str">
        <f aca="false"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 t="str">
        <f aca="false">IF(OR(F2495="",G2495=""),"",IF(G2495&lt;='RETRATO 2027'!$K$5,"CONCLUÍDA",IF(F2495&lt;='RETRATO 2027'!$K$5,"EM ANDAMENTO","A INICIAR")))</f>
        <v/>
      </c>
    </row>
    <row r="2496" customFormat="false" ht="15" hidden="false" customHeight="false" outlineLevel="0" collapsed="false">
      <c r="M2496" s="2" t="str">
        <f aca="false">IF(C2496="","",IFERROR(INDEX($S$5:$S$304,MATCH(C2496,$R$5:$R$304,0))&amp;"","?"))</f>
        <v/>
      </c>
      <c r="N2496" s="2" t="str">
        <f aca="false"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 t="str">
        <f aca="false">IF(OR(F2496="",G2496=""),"",IF(G2496&lt;='RETRATO 2027'!$K$5,"CONCLUÍDA",IF(F2496&lt;='RETRATO 2027'!$K$5,"EM ANDAMENTO","A INICIAR")))</f>
        <v/>
      </c>
    </row>
    <row r="2497" customFormat="false" ht="15" hidden="false" customHeight="false" outlineLevel="0" collapsed="false">
      <c r="M2497" s="2" t="str">
        <f aca="false">IF(C2497="","",IFERROR(INDEX($S$5:$S$304,MATCH(C2497,$R$5:$R$304,0))&amp;"","?"))</f>
        <v/>
      </c>
      <c r="N2497" s="2" t="str">
        <f aca="false"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 t="str">
        <f aca="false">IF(OR(F2497="",G2497=""),"",IF(G2497&lt;='RETRATO 2027'!$K$5,"CONCLUÍDA",IF(F2497&lt;='RETRATO 2027'!$K$5,"EM ANDAMENTO","A INICIAR")))</f>
        <v/>
      </c>
    </row>
    <row r="2498" customFormat="false" ht="15" hidden="false" customHeight="false" outlineLevel="0" collapsed="false">
      <c r="M2498" s="2" t="str">
        <f aca="false">IF(C2498="","",IFERROR(INDEX($S$5:$S$304,MATCH(C2498,$R$5:$R$304,0))&amp;"","?"))</f>
        <v/>
      </c>
      <c r="N2498" s="2" t="str">
        <f aca="false"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 t="str">
        <f aca="false">IF(OR(F2498="",G2498=""),"",IF(G2498&lt;='RETRATO 2027'!$K$5,"CONCLUÍDA",IF(F2498&lt;='RETRATO 2027'!$K$5,"EM ANDAMENTO","A INICIAR")))</f>
        <v/>
      </c>
    </row>
    <row r="2499" customFormat="false" ht="15" hidden="false" customHeight="false" outlineLevel="0" collapsed="false">
      <c r="M2499" s="2" t="str">
        <f aca="false">IF(C2499="","",IFERROR(INDEX($S$5:$S$304,MATCH(C2499,$R$5:$R$304,0))&amp;"","?"))</f>
        <v/>
      </c>
      <c r="N2499" s="2" t="str">
        <f aca="false"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 t="str">
        <f aca="false">IF(OR(F2499="",G2499=""),"",IF(G2499&lt;='RETRATO 2027'!$K$5,"CONCLUÍDA",IF(F2499&lt;='RETRATO 2027'!$K$5,"EM ANDAMENTO","A INICIAR")))</f>
        <v/>
      </c>
    </row>
    <row r="2500" customFormat="false" ht="15" hidden="false" customHeight="false" outlineLevel="0" collapsed="false">
      <c r="M2500" s="2" t="str">
        <f aca="false">IF(C2500="","",IFERROR(INDEX($S$5:$S$304,MATCH(C2500,$R$5:$R$304,0))&amp;"","?"))</f>
        <v/>
      </c>
      <c r="N2500" s="2" t="str">
        <f aca="false"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 t="str">
        <f aca="false">IF(OR(F2500="",G2500=""),"",IF(G2500&lt;='RETRATO 2027'!$K$5,"CONCLUÍDA",IF(F2500&lt;='RETRATO 2027'!$K$5,"EM ANDAMENTO","A INICIAR")))</f>
        <v/>
      </c>
    </row>
    <row r="2501" customFormat="false" ht="15" hidden="false" customHeight="false" outlineLevel="0" collapsed="false">
      <c r="M2501" s="2" t="str">
        <f aca="false">IF(C2501="","",IFERROR(INDEX($S$5:$S$304,MATCH(C2501,$R$5:$R$304,0))&amp;"","?"))</f>
        <v/>
      </c>
      <c r="N2501" s="2" t="str">
        <f aca="false"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 t="str">
        <f aca="false">IF(OR(F2501="",G2501=""),"",IF(G2501&lt;='RETRATO 2027'!$K$5,"CONCLUÍDA",IF(F2501&lt;='RETRATO 2027'!$K$5,"EM ANDAMENTO","A INICIAR")))</f>
        <v/>
      </c>
    </row>
    <row r="2502" customFormat="false" ht="15" hidden="false" customHeight="false" outlineLevel="0" collapsed="false">
      <c r="M2502" s="2" t="str">
        <f aca="false">IF(C2502="","",IFERROR(INDEX($S$5:$S$304,MATCH(C2502,$R$5:$R$304,0))&amp;"","?"))</f>
        <v/>
      </c>
      <c r="N2502" s="2" t="str">
        <f aca="false"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 t="str">
        <f aca="false">IF(OR(F2502="",G2502=""),"",IF(G2502&lt;='RETRATO 2027'!$K$5,"CONCLUÍDA",IF(F2502&lt;='RETRATO 2027'!$K$5,"EM ANDAMENTO","A INICIAR")))</f>
        <v/>
      </c>
    </row>
    <row r="2503" customFormat="false" ht="15" hidden="false" customHeight="false" outlineLevel="0" collapsed="false">
      <c r="M2503" s="2" t="str">
        <f aca="false">IF(C2503="","",IFERROR(INDEX($S$5:$S$304,MATCH(C2503,$R$5:$R$304,0))&amp;"","?"))</f>
        <v/>
      </c>
      <c r="N2503" s="2" t="str">
        <f aca="false"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 t="str">
        <f aca="false">IF(OR(F2503="",G2503=""),"",IF(G2503&lt;='RETRATO 2027'!$K$5,"CONCLUÍDA",IF(F2503&lt;='RETRATO 2027'!$K$5,"EM ANDAMENTO","A INICIAR")))</f>
        <v/>
      </c>
    </row>
    <row r="2504" customFormat="false" ht="15" hidden="false" customHeight="false" outlineLevel="0" collapsed="false">
      <c r="M2504" s="2" t="str">
        <f aca="false">IF(C2504="","",IFERROR(INDEX($S$5:$S$304,MATCH(C2504,$R$5:$R$304,0))&amp;"","?"))</f>
        <v/>
      </c>
      <c r="N2504" s="2" t="str">
        <f aca="false"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 t="str">
        <f aca="false">IF(OR(F2504="",G2504=""),"",IF(G2504&lt;='RETRATO 2027'!$K$5,"CONCLUÍDA",IF(F2504&lt;='RETRATO 2027'!$K$5,"EM ANDAMENTO","A INICIAR")))</f>
        <v/>
      </c>
    </row>
    <row r="2505" customFormat="false" ht="15" hidden="false" customHeight="false" outlineLevel="0" collapsed="false">
      <c r="M2505" s="2" t="str">
        <f aca="false">IF(C2505="","",IFERROR(INDEX($S$5:$S$304,MATCH(C2505,$R$5:$R$304,0))&amp;"","?"))</f>
        <v/>
      </c>
      <c r="N2505" s="2" t="str">
        <f aca="false"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 t="str">
        <f aca="false">IF(OR(F2505="",G2505=""),"",IF(G2505&lt;='RETRATO 2027'!$K$5,"CONCLUÍDA",IF(F2505&lt;='RETRATO 2027'!$K$5,"EM ANDAMENTO","A INICIAR")))</f>
        <v/>
      </c>
    </row>
    <row r="2506" customFormat="false" ht="15" hidden="false" customHeight="false" outlineLevel="0" collapsed="false">
      <c r="M2506" s="2" t="str">
        <f aca="false">IF(C2506="","",IFERROR(INDEX($S$5:$S$304,MATCH(C2506,$R$5:$R$304,0))&amp;"","?"))</f>
        <v/>
      </c>
      <c r="N2506" s="2" t="str">
        <f aca="false"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 t="str">
        <f aca="false">IF(OR(F2506="",G2506=""),"",IF(G2506&lt;='RETRATO 2027'!$K$5,"CONCLUÍDA",IF(F2506&lt;='RETRATO 2027'!$K$5,"EM ANDAMENTO","A INICIAR")))</f>
        <v/>
      </c>
    </row>
    <row r="2507" customFormat="false" ht="15" hidden="false" customHeight="false" outlineLevel="0" collapsed="false">
      <c r="M2507" s="2" t="str">
        <f aca="false">IF(C2507="","",IFERROR(INDEX($S$5:$S$304,MATCH(C2507,$R$5:$R$304,0))&amp;"","?"))</f>
        <v/>
      </c>
      <c r="N2507" s="2" t="str">
        <f aca="false"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 t="str">
        <f aca="false">IF(OR(F2507="",G2507=""),"",IF(G2507&lt;='RETRATO 2027'!$K$5,"CONCLUÍDA",IF(F2507&lt;='RETRATO 2027'!$K$5,"EM ANDAMENTO","A INICIAR")))</f>
        <v/>
      </c>
    </row>
    <row r="2508" customFormat="false" ht="15" hidden="false" customHeight="false" outlineLevel="0" collapsed="false">
      <c r="M2508" s="2" t="str">
        <f aca="false">IF(C2508="","",IFERROR(INDEX($S$5:$S$304,MATCH(C2508,$R$5:$R$304,0))&amp;"","?"))</f>
        <v/>
      </c>
      <c r="N2508" s="2" t="str">
        <f aca="false"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 t="str">
        <f aca="false">IF(OR(F2508="",G2508=""),"",IF(G2508&lt;='RETRATO 2027'!$K$5,"CONCLUÍDA",IF(F2508&lt;='RETRATO 2027'!$K$5,"EM ANDAMENTO","A INICIAR")))</f>
        <v/>
      </c>
    </row>
    <row r="2509" customFormat="false" ht="15" hidden="false" customHeight="false" outlineLevel="0" collapsed="false">
      <c r="M2509" s="2" t="str">
        <f aca="false">IF(C2509="","",IFERROR(INDEX($S$5:$S$304,MATCH(C2509,$R$5:$R$304,0))&amp;"","?"))</f>
        <v/>
      </c>
      <c r="N2509" s="2" t="str">
        <f aca="false"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 t="str">
        <f aca="false">IF(OR(F2509="",G2509=""),"",IF(G2509&lt;='RETRATO 2027'!$K$5,"CONCLUÍDA",IF(F2509&lt;='RETRATO 2027'!$K$5,"EM ANDAMENTO","A INICIAR")))</f>
        <v/>
      </c>
    </row>
    <row r="2510" customFormat="false" ht="15" hidden="false" customHeight="false" outlineLevel="0" collapsed="false">
      <c r="M2510" s="2" t="str">
        <f aca="false">IF(C2510="","",IFERROR(INDEX($S$5:$S$304,MATCH(C2510,$R$5:$R$304,0))&amp;"","?"))</f>
        <v/>
      </c>
      <c r="N2510" s="2" t="str">
        <f aca="false"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 t="str">
        <f aca="false">IF(OR(F2510="",G2510=""),"",IF(G2510&lt;='RETRATO 2027'!$K$5,"CONCLUÍDA",IF(F2510&lt;='RETRATO 2027'!$K$5,"EM ANDAMENTO","A INICIAR")))</f>
        <v/>
      </c>
    </row>
    <row r="2511" customFormat="false" ht="15" hidden="false" customHeight="false" outlineLevel="0" collapsed="false">
      <c r="M2511" s="2" t="str">
        <f aca="false">IF(C2511="","",IFERROR(INDEX($S$5:$S$304,MATCH(C2511,$R$5:$R$304,0))&amp;"","?"))</f>
        <v/>
      </c>
      <c r="N2511" s="2" t="str">
        <f aca="false"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 t="str">
        <f aca="false">IF(OR(F2511="",G2511=""),"",IF(G2511&lt;='RETRATO 2027'!$K$5,"CONCLUÍDA",IF(F2511&lt;='RETRATO 2027'!$K$5,"EM ANDAMENTO","A INICIAR")))</f>
        <v/>
      </c>
    </row>
    <row r="2512" customFormat="false" ht="15" hidden="false" customHeight="false" outlineLevel="0" collapsed="false">
      <c r="M2512" s="2" t="str">
        <f aca="false">IF(C2512="","",IFERROR(INDEX($S$5:$S$304,MATCH(C2512,$R$5:$R$304,0))&amp;"","?"))</f>
        <v/>
      </c>
      <c r="N2512" s="2" t="str">
        <f aca="false"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 t="str">
        <f aca="false">IF(OR(F2512="",G2512=""),"",IF(G2512&lt;='RETRATO 2027'!$K$5,"CONCLUÍDA",IF(F2512&lt;='RETRATO 2027'!$K$5,"EM ANDAMENTO","A INICIAR")))</f>
        <v/>
      </c>
    </row>
    <row r="2513" customFormat="false" ht="15" hidden="false" customHeight="false" outlineLevel="0" collapsed="false">
      <c r="M2513" s="2" t="str">
        <f aca="false">IF(C2513="","",IFERROR(INDEX($S$5:$S$304,MATCH(C2513,$R$5:$R$304,0))&amp;"","?"))</f>
        <v/>
      </c>
      <c r="N2513" s="2" t="str">
        <f aca="false"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 t="str">
        <f aca="false">IF(OR(F2513="",G2513=""),"",IF(G2513&lt;='RETRATO 2027'!$K$5,"CONCLUÍDA",IF(F2513&lt;='RETRATO 2027'!$K$5,"EM ANDAMENTO","A INICIAR")))</f>
        <v/>
      </c>
    </row>
    <row r="2514" customFormat="false" ht="15" hidden="false" customHeight="false" outlineLevel="0" collapsed="false">
      <c r="M2514" s="2" t="str">
        <f aca="false">IF(C2514="","",IFERROR(INDEX($S$5:$S$304,MATCH(C2514,$R$5:$R$304,0))&amp;"","?"))</f>
        <v/>
      </c>
      <c r="N2514" s="2" t="str">
        <f aca="false"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 t="str">
        <f aca="false">IF(OR(F2514="",G2514=""),"",IF(G2514&lt;='RETRATO 2027'!$K$5,"CONCLUÍDA",IF(F2514&lt;='RETRATO 2027'!$K$5,"EM ANDAMENTO","A INICIAR")))</f>
        <v/>
      </c>
    </row>
    <row r="2515" customFormat="false" ht="15" hidden="false" customHeight="false" outlineLevel="0" collapsed="false">
      <c r="M2515" s="2" t="str">
        <f aca="false">IF(C2515="","",IFERROR(INDEX($S$5:$S$304,MATCH(C2515,$R$5:$R$304,0))&amp;"","?"))</f>
        <v/>
      </c>
      <c r="N2515" s="2" t="str">
        <f aca="false"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 t="str">
        <f aca="false">IF(OR(F2515="",G2515=""),"",IF(G2515&lt;='RETRATO 2027'!$K$5,"CONCLUÍDA",IF(F2515&lt;='RETRATO 2027'!$K$5,"EM ANDAMENTO","A INICIAR")))</f>
        <v/>
      </c>
    </row>
    <row r="2516" customFormat="false" ht="15" hidden="false" customHeight="false" outlineLevel="0" collapsed="false">
      <c r="M2516" s="2" t="str">
        <f aca="false">IF(C2516="","",IFERROR(INDEX($S$5:$S$304,MATCH(C2516,$R$5:$R$304,0))&amp;"","?"))</f>
        <v/>
      </c>
      <c r="N2516" s="2" t="str">
        <f aca="false"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 t="str">
        <f aca="false">IF(OR(F2516="",G2516=""),"",IF(G2516&lt;='RETRATO 2027'!$K$5,"CONCLUÍDA",IF(F2516&lt;='RETRATO 2027'!$K$5,"EM ANDAMENTO","A INICIAR")))</f>
        <v/>
      </c>
    </row>
    <row r="2517" customFormat="false" ht="15" hidden="false" customHeight="false" outlineLevel="0" collapsed="false">
      <c r="M2517" s="2" t="str">
        <f aca="false">IF(C2517="","",IFERROR(INDEX($S$5:$S$304,MATCH(C2517,$R$5:$R$304,0))&amp;"","?"))</f>
        <v/>
      </c>
      <c r="N2517" s="2" t="str">
        <f aca="false"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 t="str">
        <f aca="false">IF(OR(F2517="",G2517=""),"",IF(G2517&lt;='RETRATO 2027'!$K$5,"CONCLUÍDA",IF(F2517&lt;='RETRATO 2027'!$K$5,"EM ANDAMENTO","A INICIAR")))</f>
        <v/>
      </c>
    </row>
    <row r="2518" customFormat="false" ht="15" hidden="false" customHeight="false" outlineLevel="0" collapsed="false">
      <c r="M2518" s="2" t="str">
        <f aca="false">IF(C2518="","",IFERROR(INDEX($S$5:$S$304,MATCH(C2518,$R$5:$R$304,0))&amp;"","?"))</f>
        <v/>
      </c>
      <c r="N2518" s="2" t="str">
        <f aca="false"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 t="str">
        <f aca="false">IF(OR(F2518="",G2518=""),"",IF(G2518&lt;='RETRATO 2027'!$K$5,"CONCLUÍDA",IF(F2518&lt;='RETRATO 2027'!$K$5,"EM ANDAMENTO","A INICIAR")))</f>
        <v/>
      </c>
    </row>
    <row r="2519" customFormat="false" ht="15" hidden="false" customHeight="false" outlineLevel="0" collapsed="false">
      <c r="M2519" s="2" t="str">
        <f aca="false">IF(C2519="","",IFERROR(INDEX($S$5:$S$304,MATCH(C2519,$R$5:$R$304,0))&amp;"","?"))</f>
        <v/>
      </c>
      <c r="N2519" s="2" t="str">
        <f aca="false"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 t="str">
        <f aca="false">IF(OR(F2519="",G2519=""),"",IF(G2519&lt;='RETRATO 2027'!$K$5,"CONCLUÍDA",IF(F2519&lt;='RETRATO 2027'!$K$5,"EM ANDAMENTO","A INICIAR")))</f>
        <v/>
      </c>
    </row>
    <row r="2520" customFormat="false" ht="15" hidden="false" customHeight="false" outlineLevel="0" collapsed="false">
      <c r="M2520" s="2" t="str">
        <f aca="false">IF(C2520="","",IFERROR(INDEX($S$5:$S$304,MATCH(C2520,$R$5:$R$304,0))&amp;"","?"))</f>
        <v/>
      </c>
      <c r="N2520" s="2" t="str">
        <f aca="false"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 t="str">
        <f aca="false">IF(OR(F2520="",G2520=""),"",IF(G2520&lt;='RETRATO 2027'!$K$5,"CONCLUÍDA",IF(F2520&lt;='RETRATO 2027'!$K$5,"EM ANDAMENTO","A INICIAR")))</f>
        <v/>
      </c>
    </row>
    <row r="2521" customFormat="false" ht="15" hidden="false" customHeight="false" outlineLevel="0" collapsed="false">
      <c r="M2521" s="2" t="str">
        <f aca="false">IF(C2521="","",IFERROR(INDEX($S$5:$S$304,MATCH(C2521,$R$5:$R$304,0))&amp;"","?"))</f>
        <v/>
      </c>
      <c r="N2521" s="2" t="str">
        <f aca="false"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 t="str">
        <f aca="false">IF(OR(F2521="",G2521=""),"",IF(G2521&lt;='RETRATO 2027'!$K$5,"CONCLUÍDA",IF(F2521&lt;='RETRATO 2027'!$K$5,"EM ANDAMENTO","A INICIAR")))</f>
        <v/>
      </c>
    </row>
    <row r="2522" customFormat="false" ht="15" hidden="false" customHeight="false" outlineLevel="0" collapsed="false">
      <c r="M2522" s="2" t="str">
        <f aca="false">IF(C2522="","",IFERROR(INDEX($S$5:$S$304,MATCH(C2522,$R$5:$R$304,0))&amp;"","?"))</f>
        <v/>
      </c>
      <c r="N2522" s="2" t="str">
        <f aca="false"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 t="str">
        <f aca="false">IF(OR(F2522="",G2522=""),"",IF(G2522&lt;='RETRATO 2027'!$K$5,"CONCLUÍDA",IF(F2522&lt;='RETRATO 2027'!$K$5,"EM ANDAMENTO","A INICIAR")))</f>
        <v/>
      </c>
    </row>
    <row r="2523" customFormat="false" ht="15" hidden="false" customHeight="false" outlineLevel="0" collapsed="false">
      <c r="M2523" s="2" t="str">
        <f aca="false">IF(C2523="","",IFERROR(INDEX($S$5:$S$304,MATCH(C2523,$R$5:$R$304,0))&amp;"","?"))</f>
        <v/>
      </c>
      <c r="N2523" s="2" t="str">
        <f aca="false"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 t="str">
        <f aca="false">IF(OR(F2523="",G2523=""),"",IF(G2523&lt;='RETRATO 2027'!$K$5,"CONCLUÍDA",IF(F2523&lt;='RETRATO 2027'!$K$5,"EM ANDAMENTO","A INICIAR")))</f>
        <v/>
      </c>
    </row>
    <row r="2524" customFormat="false" ht="15" hidden="false" customHeight="false" outlineLevel="0" collapsed="false">
      <c r="M2524" s="2" t="str">
        <f aca="false">IF(C2524="","",IFERROR(INDEX($S$5:$S$304,MATCH(C2524,$R$5:$R$304,0))&amp;"","?"))</f>
        <v/>
      </c>
      <c r="N2524" s="2" t="str">
        <f aca="false"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 t="str">
        <f aca="false">IF(OR(F2524="",G2524=""),"",IF(G2524&lt;='RETRATO 2027'!$K$5,"CONCLUÍDA",IF(F2524&lt;='RETRATO 2027'!$K$5,"EM ANDAMENTO","A INICIAR")))</f>
        <v/>
      </c>
    </row>
    <row r="2525" customFormat="false" ht="15" hidden="false" customHeight="false" outlineLevel="0" collapsed="false">
      <c r="M2525" s="2" t="str">
        <f aca="false">IF(C2525="","",IFERROR(INDEX($S$5:$S$304,MATCH(C2525,$R$5:$R$304,0))&amp;"","?"))</f>
        <v/>
      </c>
      <c r="N2525" s="2" t="str">
        <f aca="false"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 t="str">
        <f aca="false">IF(OR(F2525="",G2525=""),"",IF(G2525&lt;='RETRATO 2027'!$K$5,"CONCLUÍDA",IF(F2525&lt;='RETRATO 2027'!$K$5,"EM ANDAMENTO","A INICIAR")))</f>
        <v/>
      </c>
    </row>
    <row r="2526" customFormat="false" ht="15" hidden="false" customHeight="false" outlineLevel="0" collapsed="false">
      <c r="M2526" s="2" t="str">
        <f aca="false">IF(C2526="","",IFERROR(INDEX($S$5:$S$304,MATCH(C2526,$R$5:$R$304,0))&amp;"","?"))</f>
        <v/>
      </c>
      <c r="N2526" s="2" t="str">
        <f aca="false"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 t="str">
        <f aca="false">IF(OR(F2526="",G2526=""),"",IF(G2526&lt;='RETRATO 2027'!$K$5,"CONCLUÍDA",IF(F2526&lt;='RETRATO 2027'!$K$5,"EM ANDAMENTO","A INICIAR")))</f>
        <v/>
      </c>
    </row>
    <row r="2527" customFormat="false" ht="15" hidden="false" customHeight="false" outlineLevel="0" collapsed="false">
      <c r="M2527" s="2" t="str">
        <f aca="false">IF(C2527="","",IFERROR(INDEX($S$5:$S$304,MATCH(C2527,$R$5:$R$304,0))&amp;"","?"))</f>
        <v/>
      </c>
      <c r="N2527" s="2" t="str">
        <f aca="false"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 t="str">
        <f aca="false">IF(OR(F2527="",G2527=""),"",IF(G2527&lt;='RETRATO 2027'!$K$5,"CONCLUÍDA",IF(F2527&lt;='RETRATO 2027'!$K$5,"EM ANDAMENTO","A INICIAR")))</f>
        <v/>
      </c>
    </row>
    <row r="2528" customFormat="false" ht="15" hidden="false" customHeight="false" outlineLevel="0" collapsed="false">
      <c r="M2528" s="2" t="str">
        <f aca="false">IF(C2528="","",IFERROR(INDEX($S$5:$S$304,MATCH(C2528,$R$5:$R$304,0))&amp;"","?"))</f>
        <v/>
      </c>
      <c r="N2528" s="2" t="str">
        <f aca="false"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 t="str">
        <f aca="false">IF(OR(F2528="",G2528=""),"",IF(G2528&lt;='RETRATO 2027'!$K$5,"CONCLUÍDA",IF(F2528&lt;='RETRATO 2027'!$K$5,"EM ANDAMENTO","A INICIAR")))</f>
        <v/>
      </c>
    </row>
    <row r="2529" customFormat="false" ht="15" hidden="false" customHeight="false" outlineLevel="0" collapsed="false">
      <c r="M2529" s="2" t="str">
        <f aca="false">IF(C2529="","",IFERROR(INDEX($S$5:$S$304,MATCH(C2529,$R$5:$R$304,0))&amp;"","?"))</f>
        <v/>
      </c>
      <c r="N2529" s="2" t="str">
        <f aca="false"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 t="str">
        <f aca="false">IF(OR(F2529="",G2529=""),"",IF(G2529&lt;='RETRATO 2027'!$K$5,"CONCLUÍDA",IF(F2529&lt;='RETRATO 2027'!$K$5,"EM ANDAMENTO","A INICIAR")))</f>
        <v/>
      </c>
    </row>
    <row r="2530" customFormat="false" ht="15" hidden="false" customHeight="false" outlineLevel="0" collapsed="false">
      <c r="M2530" s="2" t="str">
        <f aca="false">IF(C2530="","",IFERROR(INDEX($S$5:$S$304,MATCH(C2530,$R$5:$R$304,0))&amp;"","?"))</f>
        <v/>
      </c>
      <c r="N2530" s="2" t="str">
        <f aca="false"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 t="str">
        <f aca="false">IF(OR(F2530="",G2530=""),"",IF(G2530&lt;='RETRATO 2027'!$K$5,"CONCLUÍDA",IF(F2530&lt;='RETRATO 2027'!$K$5,"EM ANDAMENTO","A INICIAR")))</f>
        <v/>
      </c>
    </row>
    <row r="2531" customFormat="false" ht="15" hidden="false" customHeight="false" outlineLevel="0" collapsed="false">
      <c r="M2531" s="2" t="str">
        <f aca="false">IF(C2531="","",IFERROR(INDEX($S$5:$S$304,MATCH(C2531,$R$5:$R$304,0))&amp;"","?"))</f>
        <v/>
      </c>
      <c r="N2531" s="2" t="str">
        <f aca="false"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 t="str">
        <f aca="false">IF(OR(F2531="",G2531=""),"",IF(G2531&lt;='RETRATO 2027'!$K$5,"CONCLUÍDA",IF(F2531&lt;='RETRATO 2027'!$K$5,"EM ANDAMENTO","A INICIAR")))</f>
        <v/>
      </c>
    </row>
    <row r="2532" customFormat="false" ht="15" hidden="false" customHeight="false" outlineLevel="0" collapsed="false">
      <c r="M2532" s="2" t="str">
        <f aca="false">IF(C2532="","",IFERROR(INDEX($S$5:$S$304,MATCH(C2532,$R$5:$R$304,0))&amp;"","?"))</f>
        <v/>
      </c>
      <c r="N2532" s="2" t="str">
        <f aca="false"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 t="str">
        <f aca="false">IF(OR(F2532="",G2532=""),"",IF(G2532&lt;='RETRATO 2027'!$K$5,"CONCLUÍDA",IF(F2532&lt;='RETRATO 2027'!$K$5,"EM ANDAMENTO","A INICIAR")))</f>
        <v/>
      </c>
    </row>
    <row r="2533" customFormat="false" ht="15" hidden="false" customHeight="false" outlineLevel="0" collapsed="false">
      <c r="M2533" s="2" t="str">
        <f aca="false">IF(C2533="","",IFERROR(INDEX($S$5:$S$304,MATCH(C2533,$R$5:$R$304,0))&amp;"","?"))</f>
        <v/>
      </c>
      <c r="N2533" s="2" t="str">
        <f aca="false"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 t="str">
        <f aca="false">IF(OR(F2533="",G2533=""),"",IF(G2533&lt;='RETRATO 2027'!$K$5,"CONCLUÍDA",IF(F2533&lt;='RETRATO 2027'!$K$5,"EM ANDAMENTO","A INICIAR")))</f>
        <v/>
      </c>
    </row>
    <row r="2534" customFormat="false" ht="15" hidden="false" customHeight="false" outlineLevel="0" collapsed="false">
      <c r="M2534" s="2" t="str">
        <f aca="false">IF(C2534="","",IFERROR(INDEX($S$5:$S$304,MATCH(C2534,$R$5:$R$304,0))&amp;"","?"))</f>
        <v/>
      </c>
      <c r="N2534" s="2" t="str">
        <f aca="false"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 t="str">
        <f aca="false">IF(OR(F2534="",G2534=""),"",IF(G2534&lt;='RETRATO 2027'!$K$5,"CONCLUÍDA",IF(F2534&lt;='RETRATO 2027'!$K$5,"EM ANDAMENTO","A INICIAR")))</f>
        <v/>
      </c>
    </row>
    <row r="2535" customFormat="false" ht="15" hidden="false" customHeight="false" outlineLevel="0" collapsed="false">
      <c r="M2535" s="2" t="str">
        <f aca="false">IF(C2535="","",IFERROR(INDEX($S$5:$S$304,MATCH(C2535,$R$5:$R$304,0))&amp;"","?"))</f>
        <v/>
      </c>
      <c r="N2535" s="2" t="str">
        <f aca="false"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 t="str">
        <f aca="false">IF(OR(F2535="",G2535=""),"",IF(G2535&lt;='RETRATO 2027'!$K$5,"CONCLUÍDA",IF(F2535&lt;='RETRATO 2027'!$K$5,"EM ANDAMENTO","A INICIAR")))</f>
        <v/>
      </c>
    </row>
    <row r="2536" customFormat="false" ht="15" hidden="false" customHeight="false" outlineLevel="0" collapsed="false">
      <c r="M2536" s="2" t="str">
        <f aca="false">IF(C2536="","",IFERROR(INDEX($S$5:$S$304,MATCH(C2536,$R$5:$R$304,0))&amp;"","?"))</f>
        <v/>
      </c>
      <c r="N2536" s="2" t="str">
        <f aca="false"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 t="str">
        <f aca="false">IF(OR(F2536="",G2536=""),"",IF(G2536&lt;='RETRATO 2027'!$K$5,"CONCLUÍDA",IF(F2536&lt;='RETRATO 2027'!$K$5,"EM ANDAMENTO","A INICIAR")))</f>
        <v/>
      </c>
    </row>
    <row r="2537" customFormat="false" ht="15" hidden="false" customHeight="false" outlineLevel="0" collapsed="false">
      <c r="M2537" s="2" t="str">
        <f aca="false">IF(C2537="","",IFERROR(INDEX($S$5:$S$304,MATCH(C2537,$R$5:$R$304,0))&amp;"","?"))</f>
        <v/>
      </c>
      <c r="N2537" s="2" t="str">
        <f aca="false"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 t="str">
        <f aca="false">IF(OR(F2537="",G2537=""),"",IF(G2537&lt;='RETRATO 2027'!$K$5,"CONCLUÍDA",IF(F2537&lt;='RETRATO 2027'!$K$5,"EM ANDAMENTO","A INICIAR")))</f>
        <v/>
      </c>
    </row>
    <row r="2538" customFormat="false" ht="15" hidden="false" customHeight="false" outlineLevel="0" collapsed="false">
      <c r="M2538" s="2" t="str">
        <f aca="false">IF(C2538="","",IFERROR(INDEX($S$5:$S$304,MATCH(C2538,$R$5:$R$304,0))&amp;"","?"))</f>
        <v/>
      </c>
      <c r="N2538" s="2" t="str">
        <f aca="false"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 t="str">
        <f aca="false">IF(OR(F2538="",G2538=""),"",IF(G2538&lt;='RETRATO 2027'!$K$5,"CONCLUÍDA",IF(F2538&lt;='RETRATO 2027'!$K$5,"EM ANDAMENTO","A INICIAR")))</f>
        <v/>
      </c>
    </row>
    <row r="2539" customFormat="false" ht="15" hidden="false" customHeight="false" outlineLevel="0" collapsed="false">
      <c r="M2539" s="2" t="str">
        <f aca="false">IF(C2539="","",IFERROR(INDEX($S$5:$S$304,MATCH(C2539,$R$5:$R$304,0))&amp;"","?"))</f>
        <v/>
      </c>
      <c r="N2539" s="2" t="str">
        <f aca="false"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 t="str">
        <f aca="false">IF(OR(F2539="",G2539=""),"",IF(G2539&lt;='RETRATO 2027'!$K$5,"CONCLUÍDA",IF(F2539&lt;='RETRATO 2027'!$K$5,"EM ANDAMENTO","A INICIAR")))</f>
        <v/>
      </c>
    </row>
    <row r="2540" customFormat="false" ht="15" hidden="false" customHeight="false" outlineLevel="0" collapsed="false">
      <c r="M2540" s="2" t="str">
        <f aca="false">IF(C2540="","",IFERROR(INDEX($S$5:$S$304,MATCH(C2540,$R$5:$R$304,0))&amp;"","?"))</f>
        <v/>
      </c>
      <c r="N2540" s="2" t="str">
        <f aca="false"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 t="str">
        <f aca="false">IF(OR(F2540="",G2540=""),"",IF(G2540&lt;='RETRATO 2027'!$K$5,"CONCLUÍDA",IF(F2540&lt;='RETRATO 2027'!$K$5,"EM ANDAMENTO","A INICIAR")))</f>
        <v/>
      </c>
    </row>
    <row r="2541" customFormat="false" ht="15" hidden="false" customHeight="false" outlineLevel="0" collapsed="false">
      <c r="M2541" s="2" t="str">
        <f aca="false">IF(C2541="","",IFERROR(INDEX($S$5:$S$304,MATCH(C2541,$R$5:$R$304,0))&amp;"","?"))</f>
        <v/>
      </c>
      <c r="N2541" s="2" t="str">
        <f aca="false"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 t="str">
        <f aca="false">IF(OR(F2541="",G2541=""),"",IF(G2541&lt;='RETRATO 2027'!$K$5,"CONCLUÍDA",IF(F2541&lt;='RETRATO 2027'!$K$5,"EM ANDAMENTO","A INICIAR")))</f>
        <v/>
      </c>
    </row>
    <row r="2542" customFormat="false" ht="15" hidden="false" customHeight="false" outlineLevel="0" collapsed="false">
      <c r="M2542" s="2" t="str">
        <f aca="false">IF(C2542="","",IFERROR(INDEX($S$5:$S$304,MATCH(C2542,$R$5:$R$304,0))&amp;"","?"))</f>
        <v/>
      </c>
      <c r="N2542" s="2" t="str">
        <f aca="false"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 t="str">
        <f aca="false">IF(OR(F2542="",G2542=""),"",IF(G2542&lt;='RETRATO 2027'!$K$5,"CONCLUÍDA",IF(F2542&lt;='RETRATO 2027'!$K$5,"EM ANDAMENTO","A INICIAR")))</f>
        <v/>
      </c>
    </row>
    <row r="2543" customFormat="false" ht="15" hidden="false" customHeight="false" outlineLevel="0" collapsed="false">
      <c r="M2543" s="2" t="str">
        <f aca="false">IF(C2543="","",IFERROR(INDEX($S$5:$S$304,MATCH(C2543,$R$5:$R$304,0))&amp;"","?"))</f>
        <v/>
      </c>
      <c r="N2543" s="2" t="str">
        <f aca="false"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 t="str">
        <f aca="false">IF(OR(F2543="",G2543=""),"",IF(G2543&lt;='RETRATO 2027'!$K$5,"CONCLUÍDA",IF(F2543&lt;='RETRATO 2027'!$K$5,"EM ANDAMENTO","A INICIAR")))</f>
        <v/>
      </c>
    </row>
    <row r="2544" customFormat="false" ht="15" hidden="false" customHeight="false" outlineLevel="0" collapsed="false">
      <c r="M2544" s="2" t="str">
        <f aca="false">IF(C2544="","",IFERROR(INDEX($S$5:$S$304,MATCH(C2544,$R$5:$R$304,0))&amp;"","?"))</f>
        <v/>
      </c>
      <c r="N2544" s="2" t="str">
        <f aca="false"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 t="str">
        <f aca="false">IF(OR(F2544="",G2544=""),"",IF(G2544&lt;='RETRATO 2027'!$K$5,"CONCLUÍDA",IF(F2544&lt;='RETRATO 2027'!$K$5,"EM ANDAMENTO","A INICIAR")))</f>
        <v/>
      </c>
    </row>
    <row r="2545" customFormat="false" ht="15" hidden="false" customHeight="false" outlineLevel="0" collapsed="false">
      <c r="M2545" s="2" t="str">
        <f aca="false">IF(C2545="","",IFERROR(INDEX($S$5:$S$304,MATCH(C2545,$R$5:$R$304,0))&amp;"","?"))</f>
        <v/>
      </c>
      <c r="N2545" s="2" t="str">
        <f aca="false"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 t="str">
        <f aca="false">IF(OR(F2545="",G2545=""),"",IF(G2545&lt;='RETRATO 2027'!$K$5,"CONCLUÍDA",IF(F2545&lt;='RETRATO 2027'!$K$5,"EM ANDAMENTO","A INICIAR")))</f>
        <v/>
      </c>
    </row>
    <row r="2546" customFormat="false" ht="15" hidden="false" customHeight="false" outlineLevel="0" collapsed="false">
      <c r="M2546" s="2" t="str">
        <f aca="false">IF(C2546="","",IFERROR(INDEX($S$5:$S$304,MATCH(C2546,$R$5:$R$304,0))&amp;"","?"))</f>
        <v/>
      </c>
      <c r="N2546" s="2" t="str">
        <f aca="false"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 t="str">
        <f aca="false">IF(OR(F2546="",G2546=""),"",IF(G2546&lt;='RETRATO 2027'!$K$5,"CONCLUÍDA",IF(F2546&lt;='RETRATO 2027'!$K$5,"EM ANDAMENTO","A INICIAR")))</f>
        <v/>
      </c>
    </row>
    <row r="2547" customFormat="false" ht="15" hidden="false" customHeight="false" outlineLevel="0" collapsed="false">
      <c r="M2547" s="2" t="str">
        <f aca="false">IF(C2547="","",IFERROR(INDEX($S$5:$S$304,MATCH(C2547,$R$5:$R$304,0))&amp;"","?"))</f>
        <v/>
      </c>
      <c r="N2547" s="2" t="str">
        <f aca="false"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 t="str">
        <f aca="false">IF(OR(F2547="",G2547=""),"",IF(G2547&lt;='RETRATO 2027'!$K$5,"CONCLUÍDA",IF(F2547&lt;='RETRATO 2027'!$K$5,"EM ANDAMENTO","A INICIAR")))</f>
        <v/>
      </c>
    </row>
    <row r="2548" customFormat="false" ht="15" hidden="false" customHeight="false" outlineLevel="0" collapsed="false">
      <c r="M2548" s="2" t="str">
        <f aca="false">IF(C2548="","",IFERROR(INDEX($S$5:$S$304,MATCH(C2548,$R$5:$R$304,0))&amp;"","?"))</f>
        <v/>
      </c>
      <c r="N2548" s="2" t="str">
        <f aca="false"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 t="str">
        <f aca="false">IF(OR(F2548="",G2548=""),"",IF(G2548&lt;='RETRATO 2027'!$K$5,"CONCLUÍDA",IF(F2548&lt;='RETRATO 2027'!$K$5,"EM ANDAMENTO","A INICIAR")))</f>
        <v/>
      </c>
    </row>
    <row r="2549" customFormat="false" ht="15" hidden="false" customHeight="false" outlineLevel="0" collapsed="false">
      <c r="M2549" s="2" t="str">
        <f aca="false">IF(C2549="","",IFERROR(INDEX($S$5:$S$304,MATCH(C2549,$R$5:$R$304,0))&amp;"","?"))</f>
        <v/>
      </c>
      <c r="N2549" s="2" t="str">
        <f aca="false"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 t="str">
        <f aca="false">IF(OR(F2549="",G2549=""),"",IF(G2549&lt;='RETRATO 2027'!$K$5,"CONCLUÍDA",IF(F2549&lt;='RETRATO 2027'!$K$5,"EM ANDAMENTO","A INICIAR")))</f>
        <v/>
      </c>
    </row>
    <row r="2550" customFormat="false" ht="15" hidden="false" customHeight="false" outlineLevel="0" collapsed="false">
      <c r="M2550" s="2" t="str">
        <f aca="false">IF(C2550="","",IFERROR(INDEX($S$5:$S$304,MATCH(C2550,$R$5:$R$304,0))&amp;"","?"))</f>
        <v/>
      </c>
      <c r="N2550" s="2" t="str">
        <f aca="false"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 t="str">
        <f aca="false">IF(OR(F2550="",G2550=""),"",IF(G2550&lt;='RETRATO 2027'!$K$5,"CONCLUÍDA",IF(F2550&lt;='RETRATO 2027'!$K$5,"EM ANDAMENTO","A INICIAR")))</f>
        <v/>
      </c>
    </row>
    <row r="2551" customFormat="false" ht="15" hidden="false" customHeight="false" outlineLevel="0" collapsed="false">
      <c r="M2551" s="2" t="str">
        <f aca="false">IF(C2551="","",IFERROR(INDEX($S$5:$S$304,MATCH(C2551,$R$5:$R$304,0))&amp;"","?"))</f>
        <v/>
      </c>
      <c r="N2551" s="2" t="str">
        <f aca="false"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 t="str">
        <f aca="false">IF(OR(F2551="",G2551=""),"",IF(G2551&lt;='RETRATO 2027'!$K$5,"CONCLUÍDA",IF(F2551&lt;='RETRATO 2027'!$K$5,"EM ANDAMENTO","A INICIAR")))</f>
        <v/>
      </c>
    </row>
    <row r="2552" customFormat="false" ht="15" hidden="false" customHeight="false" outlineLevel="0" collapsed="false">
      <c r="M2552" s="2" t="str">
        <f aca="false">IF(C2552="","",IFERROR(INDEX($S$5:$S$304,MATCH(C2552,$R$5:$R$304,0))&amp;"","?"))</f>
        <v/>
      </c>
      <c r="N2552" s="2" t="str">
        <f aca="false"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 t="str">
        <f aca="false">IF(OR(F2552="",G2552=""),"",IF(G2552&lt;='RETRATO 2027'!$K$5,"CONCLUÍDA",IF(F2552&lt;='RETRATO 2027'!$K$5,"EM ANDAMENTO","A INICIAR")))</f>
        <v/>
      </c>
    </row>
    <row r="2553" customFormat="false" ht="15" hidden="false" customHeight="false" outlineLevel="0" collapsed="false">
      <c r="M2553" s="2" t="str">
        <f aca="false">IF(C2553="","",IFERROR(INDEX($S$5:$S$304,MATCH(C2553,$R$5:$R$304,0))&amp;"","?"))</f>
        <v/>
      </c>
      <c r="N2553" s="2" t="str">
        <f aca="false"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 t="str">
        <f aca="false">IF(OR(F2553="",G2553=""),"",IF(G2553&lt;='RETRATO 2027'!$K$5,"CONCLUÍDA",IF(F2553&lt;='RETRATO 2027'!$K$5,"EM ANDAMENTO","A INICIAR")))</f>
        <v/>
      </c>
    </row>
    <row r="2554" customFormat="false" ht="15" hidden="false" customHeight="false" outlineLevel="0" collapsed="false">
      <c r="M2554" s="2" t="str">
        <f aca="false">IF(C2554="","",IFERROR(INDEX($S$5:$S$304,MATCH(C2554,$R$5:$R$304,0))&amp;"","?"))</f>
        <v/>
      </c>
      <c r="N2554" s="2" t="str">
        <f aca="false"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 t="str">
        <f aca="false">IF(OR(F2554="",G2554=""),"",IF(G2554&lt;='RETRATO 2027'!$K$5,"CONCLUÍDA",IF(F2554&lt;='RETRATO 2027'!$K$5,"EM ANDAMENTO","A INICIAR")))</f>
        <v/>
      </c>
    </row>
    <row r="2555" customFormat="false" ht="15" hidden="false" customHeight="false" outlineLevel="0" collapsed="false">
      <c r="M2555" s="2" t="str">
        <f aca="false">IF(C2555="","",IFERROR(INDEX($S$5:$S$304,MATCH(C2555,$R$5:$R$304,0))&amp;"","?"))</f>
        <v/>
      </c>
      <c r="N2555" s="2" t="str">
        <f aca="false"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 t="str">
        <f aca="false">IF(OR(F2555="",G2555=""),"",IF(G2555&lt;='RETRATO 2027'!$K$5,"CONCLUÍDA",IF(F2555&lt;='RETRATO 2027'!$K$5,"EM ANDAMENTO","A INICIAR")))</f>
        <v/>
      </c>
    </row>
    <row r="2556" customFormat="false" ht="15" hidden="false" customHeight="false" outlineLevel="0" collapsed="false">
      <c r="M2556" s="2" t="str">
        <f aca="false">IF(C2556="","",IFERROR(INDEX($S$5:$S$304,MATCH(C2556,$R$5:$R$304,0))&amp;"","?"))</f>
        <v/>
      </c>
      <c r="N2556" s="2" t="str">
        <f aca="false"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 t="str">
        <f aca="false">IF(OR(F2556="",G2556=""),"",IF(G2556&lt;='RETRATO 2027'!$K$5,"CONCLUÍDA",IF(F2556&lt;='RETRATO 2027'!$K$5,"EM ANDAMENTO","A INICIAR")))</f>
        <v/>
      </c>
    </row>
    <row r="2557" customFormat="false" ht="15" hidden="false" customHeight="false" outlineLevel="0" collapsed="false">
      <c r="M2557" s="2" t="str">
        <f aca="false">IF(C2557="","",IFERROR(INDEX($S$5:$S$304,MATCH(C2557,$R$5:$R$304,0))&amp;"","?"))</f>
        <v/>
      </c>
      <c r="N2557" s="2" t="str">
        <f aca="false"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 t="str">
        <f aca="false">IF(OR(F2557="",G2557=""),"",IF(G2557&lt;='RETRATO 2027'!$K$5,"CONCLUÍDA",IF(F2557&lt;='RETRATO 2027'!$K$5,"EM ANDAMENTO","A INICIAR")))</f>
        <v/>
      </c>
    </row>
    <row r="2558" customFormat="false" ht="15" hidden="false" customHeight="false" outlineLevel="0" collapsed="false">
      <c r="M2558" s="2" t="str">
        <f aca="false">IF(C2558="","",IFERROR(INDEX($S$5:$S$304,MATCH(C2558,$R$5:$R$304,0))&amp;"","?"))</f>
        <v/>
      </c>
      <c r="N2558" s="2" t="str">
        <f aca="false"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 t="str">
        <f aca="false">IF(OR(F2558="",G2558=""),"",IF(G2558&lt;='RETRATO 2027'!$K$5,"CONCLUÍDA",IF(F2558&lt;='RETRATO 2027'!$K$5,"EM ANDAMENTO","A INICIAR")))</f>
        <v/>
      </c>
    </row>
    <row r="2559" customFormat="false" ht="15" hidden="false" customHeight="false" outlineLevel="0" collapsed="false">
      <c r="M2559" s="2" t="str">
        <f aca="false">IF(C2559="","",IFERROR(INDEX($S$5:$S$304,MATCH(C2559,$R$5:$R$304,0))&amp;"","?"))</f>
        <v/>
      </c>
      <c r="N2559" s="2" t="str">
        <f aca="false"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 t="str">
        <f aca="false">IF(OR(F2559="",G2559=""),"",IF(G2559&lt;='RETRATO 2027'!$K$5,"CONCLUÍDA",IF(F2559&lt;='RETRATO 2027'!$K$5,"EM ANDAMENTO","A INICIAR")))</f>
        <v/>
      </c>
    </row>
    <row r="2560" customFormat="false" ht="15" hidden="false" customHeight="false" outlineLevel="0" collapsed="false">
      <c r="M2560" s="2" t="str">
        <f aca="false">IF(C2560="","",IFERROR(INDEX($S$5:$S$304,MATCH(C2560,$R$5:$R$304,0))&amp;"","?"))</f>
        <v/>
      </c>
      <c r="N2560" s="2" t="str">
        <f aca="false"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 t="str">
        <f aca="false">IF(OR(F2560="",G2560=""),"",IF(G2560&lt;='RETRATO 2027'!$K$5,"CONCLUÍDA",IF(F2560&lt;='RETRATO 2027'!$K$5,"EM ANDAMENTO","A INICIAR")))</f>
        <v/>
      </c>
    </row>
    <row r="2561" customFormat="false" ht="15" hidden="false" customHeight="false" outlineLevel="0" collapsed="false">
      <c r="M2561" s="2" t="str">
        <f aca="false">IF(C2561="","",IFERROR(INDEX($S$5:$S$304,MATCH(C2561,$R$5:$R$304,0))&amp;"","?"))</f>
        <v/>
      </c>
      <c r="N2561" s="2" t="str">
        <f aca="false"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 t="str">
        <f aca="false">IF(OR(F2561="",G2561=""),"",IF(G2561&lt;='RETRATO 2027'!$K$5,"CONCLUÍDA",IF(F2561&lt;='RETRATO 2027'!$K$5,"EM ANDAMENTO","A INICIAR")))</f>
        <v/>
      </c>
    </row>
    <row r="2562" customFormat="false" ht="15" hidden="false" customHeight="false" outlineLevel="0" collapsed="false">
      <c r="M2562" s="2" t="str">
        <f aca="false">IF(C2562="","",IFERROR(INDEX($S$5:$S$304,MATCH(C2562,$R$5:$R$304,0))&amp;"","?"))</f>
        <v/>
      </c>
      <c r="N2562" s="2" t="str">
        <f aca="false"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 t="str">
        <f aca="false">IF(OR(F2562="",G2562=""),"",IF(G2562&lt;='RETRATO 2027'!$K$5,"CONCLUÍDA",IF(F2562&lt;='RETRATO 2027'!$K$5,"EM ANDAMENTO","A INICIAR")))</f>
        <v/>
      </c>
    </row>
    <row r="2563" customFormat="false" ht="15" hidden="false" customHeight="false" outlineLevel="0" collapsed="false">
      <c r="M2563" s="2" t="str">
        <f aca="false">IF(C2563="","",IFERROR(INDEX($S$5:$S$304,MATCH(C2563,$R$5:$R$304,0))&amp;"","?"))</f>
        <v/>
      </c>
      <c r="N2563" s="2" t="str">
        <f aca="false"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 t="str">
        <f aca="false">IF(OR(F2563="",G2563=""),"",IF(G2563&lt;='RETRATO 2027'!$K$5,"CONCLUÍDA",IF(F2563&lt;='RETRATO 2027'!$K$5,"EM ANDAMENTO","A INICIAR")))</f>
        <v/>
      </c>
    </row>
    <row r="2564" customFormat="false" ht="15" hidden="false" customHeight="false" outlineLevel="0" collapsed="false">
      <c r="M2564" s="2" t="str">
        <f aca="false">IF(C2564="","",IFERROR(INDEX($S$5:$S$304,MATCH(C2564,$R$5:$R$304,0))&amp;"","?"))</f>
        <v/>
      </c>
      <c r="N2564" s="2" t="str">
        <f aca="false"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 t="str">
        <f aca="false">IF(OR(F2564="",G2564=""),"",IF(G2564&lt;='RETRATO 2027'!$K$5,"CONCLUÍDA",IF(F2564&lt;='RETRATO 2027'!$K$5,"EM ANDAMENTO","A INICIAR")))</f>
        <v/>
      </c>
    </row>
    <row r="2565" customFormat="false" ht="15" hidden="false" customHeight="false" outlineLevel="0" collapsed="false">
      <c r="M2565" s="2" t="str">
        <f aca="false">IF(C2565="","",IFERROR(INDEX($S$5:$S$304,MATCH(C2565,$R$5:$R$304,0))&amp;"","?"))</f>
        <v/>
      </c>
      <c r="N2565" s="2" t="str">
        <f aca="false"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 t="str">
        <f aca="false">IF(OR(F2565="",G2565=""),"",IF(G2565&lt;='RETRATO 2027'!$K$5,"CONCLUÍDA",IF(F2565&lt;='RETRATO 2027'!$K$5,"EM ANDAMENTO","A INICIAR")))</f>
        <v/>
      </c>
    </row>
    <row r="2566" customFormat="false" ht="15" hidden="false" customHeight="false" outlineLevel="0" collapsed="false">
      <c r="M2566" s="2" t="str">
        <f aca="false">IF(C2566="","",IFERROR(INDEX($S$5:$S$304,MATCH(C2566,$R$5:$R$304,0))&amp;"","?"))</f>
        <v/>
      </c>
      <c r="N2566" s="2" t="str">
        <f aca="false"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 t="str">
        <f aca="false">IF(OR(F2566="",G2566=""),"",IF(G2566&lt;='RETRATO 2027'!$K$5,"CONCLUÍDA",IF(F2566&lt;='RETRATO 2027'!$K$5,"EM ANDAMENTO","A INICIAR")))</f>
        <v/>
      </c>
    </row>
    <row r="2567" customFormat="false" ht="15" hidden="false" customHeight="false" outlineLevel="0" collapsed="false">
      <c r="M2567" s="2" t="str">
        <f aca="false">IF(C2567="","",IFERROR(INDEX($S$5:$S$304,MATCH(C2567,$R$5:$R$304,0))&amp;"","?"))</f>
        <v/>
      </c>
      <c r="N2567" s="2" t="str">
        <f aca="false"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 t="str">
        <f aca="false">IF(OR(F2567="",G2567=""),"",IF(G2567&lt;='RETRATO 2027'!$K$5,"CONCLUÍDA",IF(F2567&lt;='RETRATO 2027'!$K$5,"EM ANDAMENTO","A INICIAR")))</f>
        <v/>
      </c>
    </row>
    <row r="2568" customFormat="false" ht="15" hidden="false" customHeight="false" outlineLevel="0" collapsed="false">
      <c r="M2568" s="2" t="str">
        <f aca="false">IF(C2568="","",IFERROR(INDEX($S$5:$S$304,MATCH(C2568,$R$5:$R$304,0))&amp;"","?"))</f>
        <v/>
      </c>
      <c r="N2568" s="2" t="str">
        <f aca="false"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 t="str">
        <f aca="false">IF(OR(F2568="",G2568=""),"",IF(G2568&lt;='RETRATO 2027'!$K$5,"CONCLUÍDA",IF(F2568&lt;='RETRATO 2027'!$K$5,"EM ANDAMENTO","A INICIAR")))</f>
        <v/>
      </c>
    </row>
    <row r="2569" customFormat="false" ht="15" hidden="false" customHeight="false" outlineLevel="0" collapsed="false">
      <c r="M2569" s="2" t="str">
        <f aca="false">IF(C2569="","",IFERROR(INDEX($S$5:$S$304,MATCH(C2569,$R$5:$R$304,0))&amp;"","?"))</f>
        <v/>
      </c>
      <c r="N2569" s="2" t="str">
        <f aca="false"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 t="str">
        <f aca="false">IF(OR(F2569="",G2569=""),"",IF(G2569&lt;='RETRATO 2027'!$K$5,"CONCLUÍDA",IF(F2569&lt;='RETRATO 2027'!$K$5,"EM ANDAMENTO","A INICIAR")))</f>
        <v/>
      </c>
    </row>
    <row r="2570" customFormat="false" ht="15" hidden="false" customHeight="false" outlineLevel="0" collapsed="false">
      <c r="M2570" s="2" t="str">
        <f aca="false">IF(C2570="","",IFERROR(INDEX($S$5:$S$304,MATCH(C2570,$R$5:$R$304,0))&amp;"","?"))</f>
        <v/>
      </c>
      <c r="N2570" s="2" t="str">
        <f aca="false"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 t="str">
        <f aca="false">IF(OR(F2570="",G2570=""),"",IF(G2570&lt;='RETRATO 2027'!$K$5,"CONCLUÍDA",IF(F2570&lt;='RETRATO 2027'!$K$5,"EM ANDAMENTO","A INICIAR")))</f>
        <v/>
      </c>
    </row>
    <row r="2571" customFormat="false" ht="15" hidden="false" customHeight="false" outlineLevel="0" collapsed="false">
      <c r="M2571" s="2" t="str">
        <f aca="false">IF(C2571="","",IFERROR(INDEX($S$5:$S$304,MATCH(C2571,$R$5:$R$304,0))&amp;"","?"))</f>
        <v/>
      </c>
      <c r="N2571" s="2" t="str">
        <f aca="false"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 t="str">
        <f aca="false">IF(OR(F2571="",G2571=""),"",IF(G2571&lt;='RETRATO 2027'!$K$5,"CONCLUÍDA",IF(F2571&lt;='RETRATO 2027'!$K$5,"EM ANDAMENTO","A INICIAR")))</f>
        <v/>
      </c>
    </row>
    <row r="2572" customFormat="false" ht="15" hidden="false" customHeight="false" outlineLevel="0" collapsed="false">
      <c r="M2572" s="2" t="str">
        <f aca="false">IF(C2572="","",IFERROR(INDEX($S$5:$S$304,MATCH(C2572,$R$5:$R$304,0))&amp;"","?"))</f>
        <v/>
      </c>
      <c r="N2572" s="2" t="str">
        <f aca="false"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 t="str">
        <f aca="false">IF(OR(F2572="",G2572=""),"",IF(G2572&lt;='RETRATO 2027'!$K$5,"CONCLUÍDA",IF(F2572&lt;='RETRATO 2027'!$K$5,"EM ANDAMENTO","A INICIAR")))</f>
        <v/>
      </c>
    </row>
    <row r="2573" customFormat="false" ht="15" hidden="false" customHeight="false" outlineLevel="0" collapsed="false">
      <c r="M2573" s="2" t="str">
        <f aca="false">IF(C2573="","",IFERROR(INDEX($S$5:$S$304,MATCH(C2573,$R$5:$R$304,0))&amp;"","?"))</f>
        <v/>
      </c>
      <c r="N2573" s="2" t="str">
        <f aca="false"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 t="str">
        <f aca="false">IF(OR(F2573="",G2573=""),"",IF(G2573&lt;='RETRATO 2027'!$K$5,"CONCLUÍDA",IF(F2573&lt;='RETRATO 2027'!$K$5,"EM ANDAMENTO","A INICIAR")))</f>
        <v/>
      </c>
    </row>
    <row r="2574" customFormat="false" ht="15" hidden="false" customHeight="false" outlineLevel="0" collapsed="false">
      <c r="M2574" s="2" t="str">
        <f aca="false">IF(C2574="","",IFERROR(INDEX($S$5:$S$304,MATCH(C2574,$R$5:$R$304,0))&amp;"","?"))</f>
        <v/>
      </c>
      <c r="N2574" s="2" t="str">
        <f aca="false"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 t="str">
        <f aca="false">IF(OR(F2574="",G2574=""),"",IF(G2574&lt;='RETRATO 2027'!$K$5,"CONCLUÍDA",IF(F2574&lt;='RETRATO 2027'!$K$5,"EM ANDAMENTO","A INICIAR")))</f>
        <v/>
      </c>
    </row>
    <row r="2575" customFormat="false" ht="15" hidden="false" customHeight="false" outlineLevel="0" collapsed="false">
      <c r="M2575" s="2" t="str">
        <f aca="false">IF(C2575="","",IFERROR(INDEX($S$5:$S$304,MATCH(C2575,$R$5:$R$304,0))&amp;"","?"))</f>
        <v/>
      </c>
      <c r="N2575" s="2" t="str">
        <f aca="false"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 t="str">
        <f aca="false">IF(OR(F2575="",G2575=""),"",IF(G2575&lt;='RETRATO 2027'!$K$5,"CONCLUÍDA",IF(F2575&lt;='RETRATO 2027'!$K$5,"EM ANDAMENTO","A INICIAR")))</f>
        <v/>
      </c>
    </row>
    <row r="2576" customFormat="false" ht="15" hidden="false" customHeight="false" outlineLevel="0" collapsed="false">
      <c r="M2576" s="2" t="str">
        <f aca="false">IF(C2576="","",IFERROR(INDEX($S$5:$S$304,MATCH(C2576,$R$5:$R$304,0))&amp;"","?"))</f>
        <v/>
      </c>
      <c r="N2576" s="2" t="str">
        <f aca="false"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 t="str">
        <f aca="false">IF(OR(F2576="",G2576=""),"",IF(G2576&lt;='RETRATO 2027'!$K$5,"CONCLUÍDA",IF(F2576&lt;='RETRATO 2027'!$K$5,"EM ANDAMENTO","A INICIAR")))</f>
        <v/>
      </c>
    </row>
    <row r="2577" customFormat="false" ht="15" hidden="false" customHeight="false" outlineLevel="0" collapsed="false">
      <c r="M2577" s="2" t="str">
        <f aca="false">IF(C2577="","",IFERROR(INDEX($S$5:$S$304,MATCH(C2577,$R$5:$R$304,0))&amp;"","?"))</f>
        <v/>
      </c>
      <c r="N2577" s="2" t="str">
        <f aca="false"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 t="str">
        <f aca="false">IF(OR(F2577="",G2577=""),"",IF(G2577&lt;='RETRATO 2027'!$K$5,"CONCLUÍDA",IF(F2577&lt;='RETRATO 2027'!$K$5,"EM ANDAMENTO","A INICIAR")))</f>
        <v/>
      </c>
    </row>
    <row r="2578" customFormat="false" ht="15" hidden="false" customHeight="false" outlineLevel="0" collapsed="false">
      <c r="M2578" s="2" t="str">
        <f aca="false">IF(C2578="","",IFERROR(INDEX($S$5:$S$304,MATCH(C2578,$R$5:$R$304,0))&amp;"","?"))</f>
        <v/>
      </c>
      <c r="N2578" s="2" t="str">
        <f aca="false"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 t="str">
        <f aca="false">IF(OR(F2578="",G2578=""),"",IF(G2578&lt;='RETRATO 2027'!$K$5,"CONCLUÍDA",IF(F2578&lt;='RETRATO 2027'!$K$5,"EM ANDAMENTO","A INICIAR")))</f>
        <v/>
      </c>
    </row>
    <row r="2579" customFormat="false" ht="15" hidden="false" customHeight="false" outlineLevel="0" collapsed="false">
      <c r="M2579" s="2" t="str">
        <f aca="false">IF(C2579="","",IFERROR(INDEX($S$5:$S$304,MATCH(C2579,$R$5:$R$304,0))&amp;"","?"))</f>
        <v/>
      </c>
      <c r="N2579" s="2" t="str">
        <f aca="false"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 t="str">
        <f aca="false">IF(OR(F2579="",G2579=""),"",IF(G2579&lt;='RETRATO 2027'!$K$5,"CONCLUÍDA",IF(F2579&lt;='RETRATO 2027'!$K$5,"EM ANDAMENTO","A INICIAR")))</f>
        <v/>
      </c>
    </row>
    <row r="2580" customFormat="false" ht="15" hidden="false" customHeight="false" outlineLevel="0" collapsed="false">
      <c r="M2580" s="2" t="str">
        <f aca="false">IF(C2580="","",IFERROR(INDEX($S$5:$S$304,MATCH(C2580,$R$5:$R$304,0))&amp;"","?"))</f>
        <v/>
      </c>
      <c r="N2580" s="2" t="str">
        <f aca="false"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 t="str">
        <f aca="false">IF(OR(F2580="",G2580=""),"",IF(G2580&lt;='RETRATO 2027'!$K$5,"CONCLUÍDA",IF(F2580&lt;='RETRATO 2027'!$K$5,"EM ANDAMENTO","A INICIAR")))</f>
        <v/>
      </c>
    </row>
    <row r="2581" customFormat="false" ht="15" hidden="false" customHeight="false" outlineLevel="0" collapsed="false">
      <c r="M2581" s="2" t="str">
        <f aca="false">IF(C2581="","",IFERROR(INDEX($S$5:$S$304,MATCH(C2581,$R$5:$R$304,0))&amp;"","?"))</f>
        <v/>
      </c>
      <c r="N2581" s="2" t="str">
        <f aca="false"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 t="str">
        <f aca="false">IF(OR(F2581="",G2581=""),"",IF(G2581&lt;='RETRATO 2027'!$K$5,"CONCLUÍDA",IF(F2581&lt;='RETRATO 2027'!$K$5,"EM ANDAMENTO","A INICIAR")))</f>
        <v/>
      </c>
    </row>
    <row r="2582" customFormat="false" ht="15" hidden="false" customHeight="false" outlineLevel="0" collapsed="false">
      <c r="M2582" s="2" t="str">
        <f aca="false">IF(C2582="","",IFERROR(INDEX($S$5:$S$304,MATCH(C2582,$R$5:$R$304,0))&amp;"","?"))</f>
        <v/>
      </c>
      <c r="N2582" s="2" t="str">
        <f aca="false"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 t="str">
        <f aca="false">IF(OR(F2582="",G2582=""),"",IF(G2582&lt;='RETRATO 2027'!$K$5,"CONCLUÍDA",IF(F2582&lt;='RETRATO 2027'!$K$5,"EM ANDAMENTO","A INICIAR")))</f>
        <v/>
      </c>
    </row>
    <row r="2583" customFormat="false" ht="15" hidden="false" customHeight="false" outlineLevel="0" collapsed="false">
      <c r="M2583" s="2" t="str">
        <f aca="false">IF(C2583="","",IFERROR(INDEX($S$5:$S$304,MATCH(C2583,$R$5:$R$304,0))&amp;"","?"))</f>
        <v/>
      </c>
      <c r="N2583" s="2" t="str">
        <f aca="false"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 t="str">
        <f aca="false">IF(OR(F2583="",G2583=""),"",IF(G2583&lt;='RETRATO 2027'!$K$5,"CONCLUÍDA",IF(F2583&lt;='RETRATO 2027'!$K$5,"EM ANDAMENTO","A INICIAR")))</f>
        <v/>
      </c>
    </row>
    <row r="2584" customFormat="false" ht="15" hidden="false" customHeight="false" outlineLevel="0" collapsed="false">
      <c r="M2584" s="2" t="str">
        <f aca="false">IF(C2584="","",IFERROR(INDEX($S$5:$S$304,MATCH(C2584,$R$5:$R$304,0))&amp;"","?"))</f>
        <v/>
      </c>
      <c r="N2584" s="2" t="str">
        <f aca="false"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 t="str">
        <f aca="false">IF(OR(F2584="",G2584=""),"",IF(G2584&lt;='RETRATO 2027'!$K$5,"CONCLUÍDA",IF(F2584&lt;='RETRATO 2027'!$K$5,"EM ANDAMENTO","A INICIAR")))</f>
        <v/>
      </c>
    </row>
    <row r="2585" customFormat="false" ht="15" hidden="false" customHeight="false" outlineLevel="0" collapsed="false">
      <c r="M2585" s="2" t="str">
        <f aca="false">IF(C2585="","",IFERROR(INDEX($S$5:$S$304,MATCH(C2585,$R$5:$R$304,0))&amp;"","?"))</f>
        <v/>
      </c>
      <c r="N2585" s="2" t="str">
        <f aca="false"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 t="str">
        <f aca="false">IF(OR(F2585="",G2585=""),"",IF(G2585&lt;='RETRATO 2027'!$K$5,"CONCLUÍDA",IF(F2585&lt;='RETRATO 2027'!$K$5,"EM ANDAMENTO","A INICIAR")))</f>
        <v/>
      </c>
    </row>
    <row r="2586" customFormat="false" ht="15" hidden="false" customHeight="false" outlineLevel="0" collapsed="false">
      <c r="M2586" s="2" t="str">
        <f aca="false">IF(C2586="","",IFERROR(INDEX($S$5:$S$304,MATCH(C2586,$R$5:$R$304,0))&amp;"","?"))</f>
        <v/>
      </c>
      <c r="N2586" s="2" t="str">
        <f aca="false"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 t="str">
        <f aca="false">IF(OR(F2586="",G2586=""),"",IF(G2586&lt;='RETRATO 2027'!$K$5,"CONCLUÍDA",IF(F2586&lt;='RETRATO 2027'!$K$5,"EM ANDAMENTO","A INICIAR")))</f>
        <v/>
      </c>
    </row>
    <row r="2587" customFormat="false" ht="15" hidden="false" customHeight="false" outlineLevel="0" collapsed="false">
      <c r="M2587" s="2" t="str">
        <f aca="false">IF(C2587="","",IFERROR(INDEX($S$5:$S$304,MATCH(C2587,$R$5:$R$304,0))&amp;"","?"))</f>
        <v/>
      </c>
      <c r="N2587" s="2" t="str">
        <f aca="false"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 t="str">
        <f aca="false">IF(OR(F2587="",G2587=""),"",IF(G2587&lt;='RETRATO 2027'!$K$5,"CONCLUÍDA",IF(F2587&lt;='RETRATO 2027'!$K$5,"EM ANDAMENTO","A INICIAR")))</f>
        <v/>
      </c>
    </row>
    <row r="2588" customFormat="false" ht="15" hidden="false" customHeight="false" outlineLevel="0" collapsed="false">
      <c r="M2588" s="2" t="str">
        <f aca="false">IF(C2588="","",IFERROR(INDEX($S$5:$S$304,MATCH(C2588,$R$5:$R$304,0))&amp;"","?"))</f>
        <v/>
      </c>
      <c r="N2588" s="2" t="str">
        <f aca="false"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 t="str">
        <f aca="false">IF(OR(F2588="",G2588=""),"",IF(G2588&lt;='RETRATO 2027'!$K$5,"CONCLUÍDA",IF(F2588&lt;='RETRATO 2027'!$K$5,"EM ANDAMENTO","A INICIAR")))</f>
        <v/>
      </c>
    </row>
    <row r="2589" customFormat="false" ht="15" hidden="false" customHeight="false" outlineLevel="0" collapsed="false">
      <c r="M2589" s="2" t="str">
        <f aca="false">IF(C2589="","",IFERROR(INDEX($S$5:$S$304,MATCH(C2589,$R$5:$R$304,0))&amp;"","?"))</f>
        <v/>
      </c>
      <c r="N2589" s="2" t="str">
        <f aca="false"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 t="str">
        <f aca="false">IF(OR(F2589="",G2589=""),"",IF(G2589&lt;='RETRATO 2027'!$K$5,"CONCLUÍDA",IF(F2589&lt;='RETRATO 2027'!$K$5,"EM ANDAMENTO","A INICIAR")))</f>
        <v/>
      </c>
    </row>
    <row r="2590" customFormat="false" ht="15" hidden="false" customHeight="false" outlineLevel="0" collapsed="false">
      <c r="M2590" s="2" t="str">
        <f aca="false">IF(C2590="","",IFERROR(INDEX($S$5:$S$304,MATCH(C2590,$R$5:$R$304,0))&amp;"","?"))</f>
        <v/>
      </c>
      <c r="N2590" s="2" t="str">
        <f aca="false"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 t="str">
        <f aca="false">IF(OR(F2590="",G2590=""),"",IF(G2590&lt;='RETRATO 2027'!$K$5,"CONCLUÍDA",IF(F2590&lt;='RETRATO 2027'!$K$5,"EM ANDAMENTO","A INICIAR")))</f>
        <v/>
      </c>
    </row>
    <row r="2591" customFormat="false" ht="15" hidden="false" customHeight="false" outlineLevel="0" collapsed="false">
      <c r="M2591" s="2" t="str">
        <f aca="false">IF(C2591="","",IFERROR(INDEX($S$5:$S$304,MATCH(C2591,$R$5:$R$304,0))&amp;"","?"))</f>
        <v/>
      </c>
      <c r="N2591" s="2" t="str">
        <f aca="false"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 t="str">
        <f aca="false">IF(OR(F2591="",G2591=""),"",IF(G2591&lt;='RETRATO 2027'!$K$5,"CONCLUÍDA",IF(F2591&lt;='RETRATO 2027'!$K$5,"EM ANDAMENTO","A INICIAR")))</f>
        <v/>
      </c>
    </row>
    <row r="2592" customFormat="false" ht="15" hidden="false" customHeight="false" outlineLevel="0" collapsed="false">
      <c r="M2592" s="2" t="str">
        <f aca="false">IF(C2592="","",IFERROR(INDEX($S$5:$S$304,MATCH(C2592,$R$5:$R$304,0))&amp;"","?"))</f>
        <v/>
      </c>
      <c r="N2592" s="2" t="str">
        <f aca="false"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 t="str">
        <f aca="false">IF(OR(F2592="",G2592=""),"",IF(G2592&lt;='RETRATO 2027'!$K$5,"CONCLUÍDA",IF(F2592&lt;='RETRATO 2027'!$K$5,"EM ANDAMENTO","A INICIAR")))</f>
        <v/>
      </c>
    </row>
    <row r="2593" customFormat="false" ht="15" hidden="false" customHeight="false" outlineLevel="0" collapsed="false">
      <c r="M2593" s="2" t="str">
        <f aca="false">IF(C2593="","",IFERROR(INDEX($S$5:$S$304,MATCH(C2593,$R$5:$R$304,0))&amp;"","?"))</f>
        <v/>
      </c>
      <c r="N2593" s="2" t="str">
        <f aca="false"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 t="str">
        <f aca="false">IF(OR(F2593="",G2593=""),"",IF(G2593&lt;='RETRATO 2027'!$K$5,"CONCLUÍDA",IF(F2593&lt;='RETRATO 2027'!$K$5,"EM ANDAMENTO","A INICIAR")))</f>
        <v/>
      </c>
    </row>
    <row r="2594" customFormat="false" ht="15" hidden="false" customHeight="false" outlineLevel="0" collapsed="false">
      <c r="M2594" s="2" t="str">
        <f aca="false">IF(C2594="","",IFERROR(INDEX($S$5:$S$304,MATCH(C2594,$R$5:$R$304,0))&amp;"","?"))</f>
        <v/>
      </c>
      <c r="N2594" s="2" t="str">
        <f aca="false"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 t="str">
        <f aca="false">IF(OR(F2594="",G2594=""),"",IF(G2594&lt;='RETRATO 2027'!$K$5,"CONCLUÍDA",IF(F2594&lt;='RETRATO 2027'!$K$5,"EM ANDAMENTO","A INICIAR")))</f>
        <v/>
      </c>
    </row>
    <row r="2595" customFormat="false" ht="15" hidden="false" customHeight="false" outlineLevel="0" collapsed="false">
      <c r="M2595" s="2" t="str">
        <f aca="false">IF(C2595="","",IFERROR(INDEX($S$5:$S$304,MATCH(C2595,$R$5:$R$304,0))&amp;"","?"))</f>
        <v/>
      </c>
      <c r="N2595" s="2" t="str">
        <f aca="false"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 t="str">
        <f aca="false">IF(OR(F2595="",G2595=""),"",IF(G2595&lt;='RETRATO 2027'!$K$5,"CONCLUÍDA",IF(F2595&lt;='RETRATO 2027'!$K$5,"EM ANDAMENTO","A INICIAR")))</f>
        <v/>
      </c>
    </row>
    <row r="2596" customFormat="false" ht="15" hidden="false" customHeight="false" outlineLevel="0" collapsed="false">
      <c r="M2596" s="2" t="str">
        <f aca="false">IF(C2596="","",IFERROR(INDEX($S$5:$S$304,MATCH(C2596,$R$5:$R$304,0))&amp;"","?"))</f>
        <v/>
      </c>
      <c r="N2596" s="2" t="str">
        <f aca="false"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 t="str">
        <f aca="false">IF(OR(F2596="",G2596=""),"",IF(G2596&lt;='RETRATO 2027'!$K$5,"CONCLUÍDA",IF(F2596&lt;='RETRATO 2027'!$K$5,"EM ANDAMENTO","A INICIAR")))</f>
        <v/>
      </c>
    </row>
    <row r="2597" customFormat="false" ht="15" hidden="false" customHeight="false" outlineLevel="0" collapsed="false">
      <c r="M2597" s="2" t="str">
        <f aca="false">IF(C2597="","",IFERROR(INDEX($S$5:$S$304,MATCH(C2597,$R$5:$R$304,0))&amp;"","?"))</f>
        <v/>
      </c>
      <c r="N2597" s="2" t="str">
        <f aca="false"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 t="str">
        <f aca="false">IF(OR(F2597="",G2597=""),"",IF(G2597&lt;='RETRATO 2027'!$K$5,"CONCLUÍDA",IF(F2597&lt;='RETRATO 2027'!$K$5,"EM ANDAMENTO","A INICIAR")))</f>
        <v/>
      </c>
    </row>
    <row r="2598" customFormat="false" ht="15" hidden="false" customHeight="false" outlineLevel="0" collapsed="false">
      <c r="M2598" s="2" t="str">
        <f aca="false">IF(C2598="","",IFERROR(INDEX($S$5:$S$304,MATCH(C2598,$R$5:$R$304,0))&amp;"","?"))</f>
        <v/>
      </c>
      <c r="N2598" s="2" t="str">
        <f aca="false"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 t="str">
        <f aca="false">IF(OR(F2598="",G2598=""),"",IF(G2598&lt;='RETRATO 2027'!$K$5,"CONCLUÍDA",IF(F2598&lt;='RETRATO 2027'!$K$5,"EM ANDAMENTO","A INICIAR")))</f>
        <v/>
      </c>
    </row>
    <row r="2599" customFormat="false" ht="15" hidden="false" customHeight="false" outlineLevel="0" collapsed="false">
      <c r="M2599" s="2" t="str">
        <f aca="false">IF(C2599="","",IFERROR(INDEX($S$5:$S$304,MATCH(C2599,$R$5:$R$304,0))&amp;"","?"))</f>
        <v/>
      </c>
      <c r="N2599" s="2" t="str">
        <f aca="false"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 t="str">
        <f aca="false">IF(OR(F2599="",G2599=""),"",IF(G2599&lt;='RETRATO 2027'!$K$5,"CONCLUÍDA",IF(F2599&lt;='RETRATO 2027'!$K$5,"EM ANDAMENTO","A INICIAR")))</f>
        <v/>
      </c>
    </row>
    <row r="2600" customFormat="false" ht="15" hidden="false" customHeight="false" outlineLevel="0" collapsed="false">
      <c r="M2600" s="2" t="str">
        <f aca="false">IF(C2600="","",IFERROR(INDEX($S$5:$S$304,MATCH(C2600,$R$5:$R$304,0))&amp;"","?"))</f>
        <v/>
      </c>
      <c r="N2600" s="2" t="str">
        <f aca="false"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 t="str">
        <f aca="false">IF(OR(F2600="",G2600=""),"",IF(G2600&lt;='RETRATO 2027'!$K$5,"CONCLUÍDA",IF(F2600&lt;='RETRATO 2027'!$K$5,"EM ANDAMENTO","A INICIAR")))</f>
        <v/>
      </c>
    </row>
    <row r="2601" customFormat="false" ht="15" hidden="false" customHeight="false" outlineLevel="0" collapsed="false">
      <c r="M2601" s="2" t="str">
        <f aca="false">IF(C2601="","",IFERROR(INDEX($S$5:$S$304,MATCH(C2601,$R$5:$R$304,0))&amp;"","?"))</f>
        <v/>
      </c>
      <c r="N2601" s="2" t="str">
        <f aca="false"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 t="str">
        <f aca="false">IF(OR(F2601="",G2601=""),"",IF(G2601&lt;='RETRATO 2027'!$K$5,"CONCLUÍDA",IF(F2601&lt;='RETRATO 2027'!$K$5,"EM ANDAMENTO","A INICIAR")))</f>
        <v/>
      </c>
    </row>
    <row r="2602" customFormat="false" ht="15" hidden="false" customHeight="false" outlineLevel="0" collapsed="false">
      <c r="M2602" s="2" t="str">
        <f aca="false">IF(C2602="","",IFERROR(INDEX($S$5:$S$304,MATCH(C2602,$R$5:$R$304,0))&amp;"","?"))</f>
        <v/>
      </c>
      <c r="N2602" s="2" t="str">
        <f aca="false"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 t="str">
        <f aca="false">IF(OR(F2602="",G2602=""),"",IF(G2602&lt;='RETRATO 2027'!$K$5,"CONCLUÍDA",IF(F2602&lt;='RETRATO 2027'!$K$5,"EM ANDAMENTO","A INICIAR")))</f>
        <v/>
      </c>
    </row>
    <row r="2603" customFormat="false" ht="15" hidden="false" customHeight="false" outlineLevel="0" collapsed="false">
      <c r="M2603" s="2" t="str">
        <f aca="false">IF(C2603="","",IFERROR(INDEX($S$5:$S$304,MATCH(C2603,$R$5:$R$304,0))&amp;"","?"))</f>
        <v/>
      </c>
      <c r="N2603" s="2" t="str">
        <f aca="false"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 t="str">
        <f aca="false">IF(OR(F2603="",G2603=""),"",IF(G2603&lt;='RETRATO 2027'!$K$5,"CONCLUÍDA",IF(F2603&lt;='RETRATO 2027'!$K$5,"EM ANDAMENTO","A INICIAR")))</f>
        <v/>
      </c>
    </row>
    <row r="2604" customFormat="false" ht="15" hidden="false" customHeight="false" outlineLevel="0" collapsed="false">
      <c r="M2604" s="2" t="str">
        <f aca="false">IF(C2604="","",IFERROR(INDEX($S$5:$S$304,MATCH(C2604,$R$5:$R$304,0))&amp;"","?"))</f>
        <v/>
      </c>
      <c r="N2604" s="2" t="str">
        <f aca="false"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 t="str">
        <f aca="false">IF(OR(F2604="",G2604=""),"",IF(G2604&lt;='RETRATO 2027'!$K$5,"CONCLUÍDA",IF(F2604&lt;='RETRATO 2027'!$K$5,"EM ANDAMENTO","A INICIAR")))</f>
        <v/>
      </c>
    </row>
    <row r="2605" customFormat="false" ht="15" hidden="false" customHeight="false" outlineLevel="0" collapsed="false">
      <c r="M2605" s="2" t="str">
        <f aca="false">IF(C2605="","",IFERROR(INDEX($S$5:$S$304,MATCH(C2605,$R$5:$R$304,0))&amp;"","?"))</f>
        <v/>
      </c>
      <c r="N2605" s="2" t="str">
        <f aca="false"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 t="str">
        <f aca="false">IF(OR(F2605="",G2605=""),"",IF(G2605&lt;='RETRATO 2027'!$K$5,"CONCLUÍDA",IF(F2605&lt;='RETRATO 2027'!$K$5,"EM ANDAMENTO","A INICIAR")))</f>
        <v/>
      </c>
    </row>
    <row r="2606" customFormat="false" ht="15" hidden="false" customHeight="false" outlineLevel="0" collapsed="false">
      <c r="M2606" s="2" t="str">
        <f aca="false">IF(C2606="","",IFERROR(INDEX($S$5:$S$304,MATCH(C2606,$R$5:$R$304,0))&amp;"","?"))</f>
        <v/>
      </c>
      <c r="N2606" s="2" t="str">
        <f aca="false"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 t="str">
        <f aca="false">IF(OR(F2606="",G2606=""),"",IF(G2606&lt;='RETRATO 2027'!$K$5,"CONCLUÍDA",IF(F2606&lt;='RETRATO 2027'!$K$5,"EM ANDAMENTO","A INICIAR")))</f>
        <v/>
      </c>
    </row>
    <row r="2607" customFormat="false" ht="15" hidden="false" customHeight="false" outlineLevel="0" collapsed="false">
      <c r="M2607" s="2" t="str">
        <f aca="false">IF(C2607="","",IFERROR(INDEX($S$5:$S$304,MATCH(C2607,$R$5:$R$304,0))&amp;"","?"))</f>
        <v/>
      </c>
      <c r="N2607" s="2" t="str">
        <f aca="false"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 t="str">
        <f aca="false">IF(OR(F2607="",G2607=""),"",IF(G2607&lt;='RETRATO 2027'!$K$5,"CONCLUÍDA",IF(F2607&lt;='RETRATO 2027'!$K$5,"EM ANDAMENTO","A INICIAR")))</f>
        <v/>
      </c>
    </row>
    <row r="2608" customFormat="false" ht="15" hidden="false" customHeight="false" outlineLevel="0" collapsed="false">
      <c r="M2608" s="2" t="str">
        <f aca="false">IF(C2608="","",IFERROR(INDEX($S$5:$S$304,MATCH(C2608,$R$5:$R$304,0))&amp;"","?"))</f>
        <v/>
      </c>
      <c r="N2608" s="2" t="str">
        <f aca="false"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 t="str">
        <f aca="false">IF(OR(F2608="",G2608=""),"",IF(G2608&lt;='RETRATO 2027'!$K$5,"CONCLUÍDA",IF(F2608&lt;='RETRATO 2027'!$K$5,"EM ANDAMENTO","A INICIAR")))</f>
        <v/>
      </c>
    </row>
    <row r="2609" customFormat="false" ht="15" hidden="false" customHeight="false" outlineLevel="0" collapsed="false">
      <c r="M2609" s="2" t="str">
        <f aca="false">IF(C2609="","",IFERROR(INDEX($S$5:$S$304,MATCH(C2609,$R$5:$R$304,0))&amp;"","?"))</f>
        <v/>
      </c>
      <c r="N2609" s="2" t="str">
        <f aca="false"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 t="str">
        <f aca="false">IF(OR(F2609="",G2609=""),"",IF(G2609&lt;='RETRATO 2027'!$K$5,"CONCLUÍDA",IF(F2609&lt;='RETRATO 2027'!$K$5,"EM ANDAMENTO","A INICIAR")))</f>
        <v/>
      </c>
    </row>
    <row r="2610" customFormat="false" ht="15" hidden="false" customHeight="false" outlineLevel="0" collapsed="false">
      <c r="M2610" s="2" t="str">
        <f aca="false">IF(C2610="","",IFERROR(INDEX($S$5:$S$304,MATCH(C2610,$R$5:$R$304,0))&amp;"","?"))</f>
        <v/>
      </c>
      <c r="N2610" s="2" t="str">
        <f aca="false"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 t="str">
        <f aca="false">IF(OR(F2610="",G2610=""),"",IF(G2610&lt;='RETRATO 2027'!$K$5,"CONCLUÍDA",IF(F2610&lt;='RETRATO 2027'!$K$5,"EM ANDAMENTO","A INICIAR")))</f>
        <v/>
      </c>
    </row>
    <row r="2611" customFormat="false" ht="15" hidden="false" customHeight="false" outlineLevel="0" collapsed="false">
      <c r="M2611" s="2" t="str">
        <f aca="false">IF(C2611="","",IFERROR(INDEX($S$5:$S$304,MATCH(C2611,$R$5:$R$304,0))&amp;"","?"))</f>
        <v/>
      </c>
      <c r="N2611" s="2" t="str">
        <f aca="false"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 t="str">
        <f aca="false">IF(OR(F2611="",G2611=""),"",IF(G2611&lt;='RETRATO 2027'!$K$5,"CONCLUÍDA",IF(F2611&lt;='RETRATO 2027'!$K$5,"EM ANDAMENTO","A INICIAR")))</f>
        <v/>
      </c>
    </row>
    <row r="2612" customFormat="false" ht="15" hidden="false" customHeight="false" outlineLevel="0" collapsed="false">
      <c r="M2612" s="2" t="str">
        <f aca="false">IF(C2612="","",IFERROR(INDEX($S$5:$S$304,MATCH(C2612,$R$5:$R$304,0))&amp;"","?"))</f>
        <v/>
      </c>
      <c r="N2612" s="2" t="str">
        <f aca="false"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 t="str">
        <f aca="false">IF(OR(F2612="",G2612=""),"",IF(G2612&lt;='RETRATO 2027'!$K$5,"CONCLUÍDA",IF(F2612&lt;='RETRATO 2027'!$K$5,"EM ANDAMENTO","A INICIAR")))</f>
        <v/>
      </c>
    </row>
    <row r="2613" customFormat="false" ht="15" hidden="false" customHeight="false" outlineLevel="0" collapsed="false">
      <c r="M2613" s="2" t="str">
        <f aca="false">IF(C2613="","",IFERROR(INDEX($S$5:$S$304,MATCH(C2613,$R$5:$R$304,0))&amp;"","?"))</f>
        <v/>
      </c>
      <c r="N2613" s="2" t="str">
        <f aca="false"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 t="str">
        <f aca="false">IF(OR(F2613="",G2613=""),"",IF(G2613&lt;='RETRATO 2027'!$K$5,"CONCLUÍDA",IF(F2613&lt;='RETRATO 2027'!$K$5,"EM ANDAMENTO","A INICIAR")))</f>
        <v/>
      </c>
    </row>
    <row r="2614" customFormat="false" ht="15" hidden="false" customHeight="false" outlineLevel="0" collapsed="false">
      <c r="M2614" s="2" t="str">
        <f aca="false">IF(C2614="","",IFERROR(INDEX($S$5:$S$304,MATCH(C2614,$R$5:$R$304,0))&amp;"","?"))</f>
        <v/>
      </c>
      <c r="N2614" s="2" t="str">
        <f aca="false"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 t="str">
        <f aca="false">IF(OR(F2614="",G2614=""),"",IF(G2614&lt;='RETRATO 2027'!$K$5,"CONCLUÍDA",IF(F2614&lt;='RETRATO 2027'!$K$5,"EM ANDAMENTO","A INICIAR")))</f>
        <v/>
      </c>
    </row>
    <row r="2615" customFormat="false" ht="15" hidden="false" customHeight="false" outlineLevel="0" collapsed="false">
      <c r="M2615" s="2" t="str">
        <f aca="false">IF(C2615="","",IFERROR(INDEX($S$5:$S$304,MATCH(C2615,$R$5:$R$304,0))&amp;"","?"))</f>
        <v/>
      </c>
      <c r="N2615" s="2" t="str">
        <f aca="false"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 t="str">
        <f aca="false">IF(OR(F2615="",G2615=""),"",IF(G2615&lt;='RETRATO 2027'!$K$5,"CONCLUÍDA",IF(F2615&lt;='RETRATO 2027'!$K$5,"EM ANDAMENTO","A INICIAR")))</f>
        <v/>
      </c>
    </row>
    <row r="2616" customFormat="false" ht="15" hidden="false" customHeight="false" outlineLevel="0" collapsed="false">
      <c r="M2616" s="2" t="str">
        <f aca="false">IF(C2616="","",IFERROR(INDEX($S$5:$S$304,MATCH(C2616,$R$5:$R$304,0))&amp;"","?"))</f>
        <v/>
      </c>
      <c r="N2616" s="2" t="str">
        <f aca="false"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 t="str">
        <f aca="false">IF(OR(F2616="",G2616=""),"",IF(G2616&lt;='RETRATO 2027'!$K$5,"CONCLUÍDA",IF(F2616&lt;='RETRATO 2027'!$K$5,"EM ANDAMENTO","A INICIAR")))</f>
        <v/>
      </c>
    </row>
    <row r="2617" customFormat="false" ht="15" hidden="false" customHeight="false" outlineLevel="0" collapsed="false">
      <c r="M2617" s="2" t="str">
        <f aca="false">IF(C2617="","",IFERROR(INDEX($S$5:$S$304,MATCH(C2617,$R$5:$R$304,0))&amp;"","?"))</f>
        <v/>
      </c>
      <c r="N2617" s="2" t="str">
        <f aca="false"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 t="str">
        <f aca="false">IF(OR(F2617="",G2617=""),"",IF(G2617&lt;='RETRATO 2027'!$K$5,"CONCLUÍDA",IF(F2617&lt;='RETRATO 2027'!$K$5,"EM ANDAMENTO","A INICIAR")))</f>
        <v/>
      </c>
    </row>
    <row r="2618" customFormat="false" ht="15" hidden="false" customHeight="false" outlineLevel="0" collapsed="false">
      <c r="M2618" s="2" t="str">
        <f aca="false">IF(C2618="","",IFERROR(INDEX($S$5:$S$304,MATCH(C2618,$R$5:$R$304,0))&amp;"","?"))</f>
        <v/>
      </c>
      <c r="N2618" s="2" t="str">
        <f aca="false"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 t="str">
        <f aca="false">IF(OR(F2618="",G2618=""),"",IF(G2618&lt;='RETRATO 2027'!$K$5,"CONCLUÍDA",IF(F2618&lt;='RETRATO 2027'!$K$5,"EM ANDAMENTO","A INICIAR")))</f>
        <v/>
      </c>
    </row>
    <row r="2619" customFormat="false" ht="15" hidden="false" customHeight="false" outlineLevel="0" collapsed="false">
      <c r="M2619" s="2" t="str">
        <f aca="false">IF(C2619="","",IFERROR(INDEX($S$5:$S$304,MATCH(C2619,$R$5:$R$304,0))&amp;"","?"))</f>
        <v/>
      </c>
      <c r="N2619" s="2" t="str">
        <f aca="false"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 t="str">
        <f aca="false">IF(OR(F2619="",G2619=""),"",IF(G2619&lt;='RETRATO 2027'!$K$5,"CONCLUÍDA",IF(F2619&lt;='RETRATO 2027'!$K$5,"EM ANDAMENTO","A INICIAR")))</f>
        <v/>
      </c>
    </row>
    <row r="2620" customFormat="false" ht="15" hidden="false" customHeight="false" outlineLevel="0" collapsed="false">
      <c r="M2620" s="2" t="str">
        <f aca="false">IF(C2620="","",IFERROR(INDEX($S$5:$S$304,MATCH(C2620,$R$5:$R$304,0))&amp;"","?"))</f>
        <v/>
      </c>
      <c r="N2620" s="2" t="str">
        <f aca="false"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 t="str">
        <f aca="false">IF(OR(F2620="",G2620=""),"",IF(G2620&lt;='RETRATO 2027'!$K$5,"CONCLUÍDA",IF(F2620&lt;='RETRATO 2027'!$K$5,"EM ANDAMENTO","A INICIAR")))</f>
        <v/>
      </c>
    </row>
    <row r="2621" customFormat="false" ht="15" hidden="false" customHeight="false" outlineLevel="0" collapsed="false">
      <c r="M2621" s="2" t="str">
        <f aca="false">IF(C2621="","",IFERROR(INDEX($S$5:$S$304,MATCH(C2621,$R$5:$R$304,0))&amp;"","?"))</f>
        <v/>
      </c>
      <c r="N2621" s="2" t="str">
        <f aca="false"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 t="str">
        <f aca="false">IF(OR(F2621="",G2621=""),"",IF(G2621&lt;='RETRATO 2027'!$K$5,"CONCLUÍDA",IF(F2621&lt;='RETRATO 2027'!$K$5,"EM ANDAMENTO","A INICIAR")))</f>
        <v/>
      </c>
    </row>
    <row r="2622" customFormat="false" ht="15" hidden="false" customHeight="false" outlineLevel="0" collapsed="false">
      <c r="M2622" s="2" t="str">
        <f aca="false">IF(C2622="","",IFERROR(INDEX($S$5:$S$304,MATCH(C2622,$R$5:$R$304,0))&amp;"","?"))</f>
        <v/>
      </c>
      <c r="N2622" s="2" t="str">
        <f aca="false"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 t="str">
        <f aca="false">IF(OR(F2622="",G2622=""),"",IF(G2622&lt;='RETRATO 2027'!$K$5,"CONCLUÍDA",IF(F2622&lt;='RETRATO 2027'!$K$5,"EM ANDAMENTO","A INICIAR")))</f>
        <v/>
      </c>
    </row>
    <row r="2623" customFormat="false" ht="15" hidden="false" customHeight="false" outlineLevel="0" collapsed="false">
      <c r="M2623" s="2" t="str">
        <f aca="false">IF(C2623="","",IFERROR(INDEX($S$5:$S$304,MATCH(C2623,$R$5:$R$304,0))&amp;"","?"))</f>
        <v/>
      </c>
      <c r="N2623" s="2" t="str">
        <f aca="false"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 t="str">
        <f aca="false">IF(OR(F2623="",G2623=""),"",IF(G2623&lt;='RETRATO 2027'!$K$5,"CONCLUÍDA",IF(F2623&lt;='RETRATO 2027'!$K$5,"EM ANDAMENTO","A INICIAR")))</f>
        <v/>
      </c>
    </row>
    <row r="2624" customFormat="false" ht="15" hidden="false" customHeight="false" outlineLevel="0" collapsed="false">
      <c r="M2624" s="2" t="str">
        <f aca="false">IF(C2624="","",IFERROR(INDEX($S$5:$S$304,MATCH(C2624,$R$5:$R$304,0))&amp;"","?"))</f>
        <v/>
      </c>
      <c r="N2624" s="2" t="str">
        <f aca="false"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 t="str">
        <f aca="false">IF(OR(F2624="",G2624=""),"",IF(G2624&lt;='RETRATO 2027'!$K$5,"CONCLUÍDA",IF(F2624&lt;='RETRATO 2027'!$K$5,"EM ANDAMENTO","A INICIAR")))</f>
        <v/>
      </c>
    </row>
    <row r="2625" customFormat="false" ht="15" hidden="false" customHeight="false" outlineLevel="0" collapsed="false">
      <c r="M2625" s="2" t="str">
        <f aca="false">IF(C2625="","",IFERROR(INDEX($S$5:$S$304,MATCH(C2625,$R$5:$R$304,0))&amp;"","?"))</f>
        <v/>
      </c>
      <c r="N2625" s="2" t="str">
        <f aca="false"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 t="str">
        <f aca="false">IF(OR(F2625="",G2625=""),"",IF(G2625&lt;='RETRATO 2027'!$K$5,"CONCLUÍDA",IF(F2625&lt;='RETRATO 2027'!$K$5,"EM ANDAMENTO","A INICIAR")))</f>
        <v/>
      </c>
    </row>
    <row r="2626" customFormat="false" ht="15" hidden="false" customHeight="false" outlineLevel="0" collapsed="false">
      <c r="M2626" s="2" t="str">
        <f aca="false">IF(C2626="","",IFERROR(INDEX($S$5:$S$304,MATCH(C2626,$R$5:$R$304,0))&amp;"","?"))</f>
        <v/>
      </c>
      <c r="N2626" s="2" t="str">
        <f aca="false"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 t="str">
        <f aca="false">IF(OR(F2626="",G2626=""),"",IF(G2626&lt;='RETRATO 2027'!$K$5,"CONCLUÍDA",IF(F2626&lt;='RETRATO 2027'!$K$5,"EM ANDAMENTO","A INICIAR")))</f>
        <v/>
      </c>
    </row>
    <row r="2627" customFormat="false" ht="15" hidden="false" customHeight="false" outlineLevel="0" collapsed="false">
      <c r="M2627" s="2" t="str">
        <f aca="false">IF(C2627="","",IFERROR(INDEX($S$5:$S$304,MATCH(C2627,$R$5:$R$304,0))&amp;"","?"))</f>
        <v/>
      </c>
      <c r="N2627" s="2" t="str">
        <f aca="false"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 t="str">
        <f aca="false">IF(OR(F2627="",G2627=""),"",IF(G2627&lt;='RETRATO 2027'!$K$5,"CONCLUÍDA",IF(F2627&lt;='RETRATO 2027'!$K$5,"EM ANDAMENTO","A INICIAR")))</f>
        <v/>
      </c>
    </row>
    <row r="2628" customFormat="false" ht="15" hidden="false" customHeight="false" outlineLevel="0" collapsed="false">
      <c r="M2628" s="2" t="str">
        <f aca="false">IF(C2628="","",IFERROR(INDEX($S$5:$S$304,MATCH(C2628,$R$5:$R$304,0))&amp;"","?"))</f>
        <v/>
      </c>
      <c r="N2628" s="2" t="str">
        <f aca="false"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 t="str">
        <f aca="false">IF(OR(F2628="",G2628=""),"",IF(G2628&lt;='RETRATO 2027'!$K$5,"CONCLUÍDA",IF(F2628&lt;='RETRATO 2027'!$K$5,"EM ANDAMENTO","A INICIAR")))</f>
        <v/>
      </c>
    </row>
    <row r="2629" customFormat="false" ht="15" hidden="false" customHeight="false" outlineLevel="0" collapsed="false">
      <c r="M2629" s="2" t="str">
        <f aca="false">IF(C2629="","",IFERROR(INDEX($S$5:$S$304,MATCH(C2629,$R$5:$R$304,0))&amp;"","?"))</f>
        <v/>
      </c>
      <c r="N2629" s="2" t="str">
        <f aca="false"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 t="str">
        <f aca="false">IF(OR(F2629="",G2629=""),"",IF(G2629&lt;='RETRATO 2027'!$K$5,"CONCLUÍDA",IF(F2629&lt;='RETRATO 2027'!$K$5,"EM ANDAMENTO","A INICIAR")))</f>
        <v/>
      </c>
    </row>
    <row r="2630" customFormat="false" ht="15" hidden="false" customHeight="false" outlineLevel="0" collapsed="false">
      <c r="M2630" s="2" t="str">
        <f aca="false">IF(C2630="","",IFERROR(INDEX($S$5:$S$304,MATCH(C2630,$R$5:$R$304,0))&amp;"","?"))</f>
        <v/>
      </c>
      <c r="N2630" s="2" t="str">
        <f aca="false"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 t="str">
        <f aca="false">IF(OR(F2630="",G2630=""),"",IF(G2630&lt;='RETRATO 2027'!$K$5,"CONCLUÍDA",IF(F2630&lt;='RETRATO 2027'!$K$5,"EM ANDAMENTO","A INICIAR")))</f>
        <v/>
      </c>
    </row>
    <row r="2631" customFormat="false" ht="15" hidden="false" customHeight="false" outlineLevel="0" collapsed="false">
      <c r="M2631" s="2" t="str">
        <f aca="false">IF(C2631="","",IFERROR(INDEX($S$5:$S$304,MATCH(C2631,$R$5:$R$304,0))&amp;"","?"))</f>
        <v/>
      </c>
      <c r="N2631" s="2" t="str">
        <f aca="false"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 t="str">
        <f aca="false">IF(OR(F2631="",G2631=""),"",IF(G2631&lt;='RETRATO 2027'!$K$5,"CONCLUÍDA",IF(F2631&lt;='RETRATO 2027'!$K$5,"EM ANDAMENTO","A INICIAR")))</f>
        <v/>
      </c>
    </row>
    <row r="2632" customFormat="false" ht="15" hidden="false" customHeight="false" outlineLevel="0" collapsed="false">
      <c r="M2632" s="2" t="str">
        <f aca="false">IF(C2632="","",IFERROR(INDEX($S$5:$S$304,MATCH(C2632,$R$5:$R$304,0))&amp;"","?"))</f>
        <v/>
      </c>
      <c r="N2632" s="2" t="str">
        <f aca="false"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 t="str">
        <f aca="false">IF(OR(F2632="",G2632=""),"",IF(G2632&lt;='RETRATO 2027'!$K$5,"CONCLUÍDA",IF(F2632&lt;='RETRATO 2027'!$K$5,"EM ANDAMENTO","A INICIAR")))</f>
        <v/>
      </c>
    </row>
    <row r="2633" customFormat="false" ht="15" hidden="false" customHeight="false" outlineLevel="0" collapsed="false">
      <c r="M2633" s="2" t="str">
        <f aca="false">IF(C2633="","",IFERROR(INDEX($S$5:$S$304,MATCH(C2633,$R$5:$R$304,0))&amp;"","?"))</f>
        <v/>
      </c>
      <c r="N2633" s="2" t="str">
        <f aca="false"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 t="str">
        <f aca="false">IF(OR(F2633="",G2633=""),"",IF(G2633&lt;='RETRATO 2027'!$K$5,"CONCLUÍDA",IF(F2633&lt;='RETRATO 2027'!$K$5,"EM ANDAMENTO","A INICIAR")))</f>
        <v/>
      </c>
    </row>
    <row r="2634" customFormat="false" ht="15" hidden="false" customHeight="false" outlineLevel="0" collapsed="false">
      <c r="M2634" s="2" t="str">
        <f aca="false">IF(C2634="","",IFERROR(INDEX($S$5:$S$304,MATCH(C2634,$R$5:$R$304,0))&amp;"","?"))</f>
        <v/>
      </c>
      <c r="N2634" s="2" t="str">
        <f aca="false"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 t="str">
        <f aca="false">IF(OR(F2634="",G2634=""),"",IF(G2634&lt;='RETRATO 2027'!$K$5,"CONCLUÍDA",IF(F2634&lt;='RETRATO 2027'!$K$5,"EM ANDAMENTO","A INICIAR")))</f>
        <v/>
      </c>
    </row>
    <row r="2635" customFormat="false" ht="15" hidden="false" customHeight="false" outlineLevel="0" collapsed="false">
      <c r="M2635" s="2" t="str">
        <f aca="false">IF(C2635="","",IFERROR(INDEX($S$5:$S$304,MATCH(C2635,$R$5:$R$304,0))&amp;"","?"))</f>
        <v/>
      </c>
      <c r="N2635" s="2" t="str">
        <f aca="false"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 t="str">
        <f aca="false">IF(OR(F2635="",G2635=""),"",IF(G2635&lt;='RETRATO 2027'!$K$5,"CONCLUÍDA",IF(F2635&lt;='RETRATO 2027'!$K$5,"EM ANDAMENTO","A INICIAR")))</f>
        <v/>
      </c>
    </row>
    <row r="2636" customFormat="false" ht="15" hidden="false" customHeight="false" outlineLevel="0" collapsed="false">
      <c r="M2636" s="2" t="str">
        <f aca="false">IF(C2636="","",IFERROR(INDEX($S$5:$S$304,MATCH(C2636,$R$5:$R$304,0))&amp;"","?"))</f>
        <v/>
      </c>
      <c r="N2636" s="2" t="str">
        <f aca="false"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 t="str">
        <f aca="false">IF(OR(F2636="",G2636=""),"",IF(G2636&lt;='RETRATO 2027'!$K$5,"CONCLUÍDA",IF(F2636&lt;='RETRATO 2027'!$K$5,"EM ANDAMENTO","A INICIAR")))</f>
        <v/>
      </c>
    </row>
    <row r="2637" customFormat="false" ht="15" hidden="false" customHeight="false" outlineLevel="0" collapsed="false">
      <c r="M2637" s="2" t="str">
        <f aca="false">IF(C2637="","",IFERROR(INDEX($S$5:$S$304,MATCH(C2637,$R$5:$R$304,0))&amp;"","?"))</f>
        <v/>
      </c>
      <c r="N2637" s="2" t="str">
        <f aca="false"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 t="str">
        <f aca="false">IF(OR(F2637="",G2637=""),"",IF(G2637&lt;='RETRATO 2027'!$K$5,"CONCLUÍDA",IF(F2637&lt;='RETRATO 2027'!$K$5,"EM ANDAMENTO","A INICIAR")))</f>
        <v/>
      </c>
    </row>
    <row r="2638" customFormat="false" ht="15" hidden="false" customHeight="false" outlineLevel="0" collapsed="false">
      <c r="M2638" s="2" t="str">
        <f aca="false">IF(C2638="","",IFERROR(INDEX($S$5:$S$304,MATCH(C2638,$R$5:$R$304,0))&amp;"","?"))</f>
        <v/>
      </c>
      <c r="N2638" s="2" t="str">
        <f aca="false"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 t="str">
        <f aca="false">IF(OR(F2638="",G2638=""),"",IF(G2638&lt;='RETRATO 2027'!$K$5,"CONCLUÍDA",IF(F2638&lt;='RETRATO 2027'!$K$5,"EM ANDAMENTO","A INICIAR")))</f>
        <v/>
      </c>
    </row>
    <row r="2639" customFormat="false" ht="15" hidden="false" customHeight="false" outlineLevel="0" collapsed="false">
      <c r="M2639" s="2" t="str">
        <f aca="false">IF(C2639="","",IFERROR(INDEX($S$5:$S$304,MATCH(C2639,$R$5:$R$304,0))&amp;"","?"))</f>
        <v/>
      </c>
      <c r="N2639" s="2" t="str">
        <f aca="false"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 t="str">
        <f aca="false">IF(OR(F2639="",G2639=""),"",IF(G2639&lt;='RETRATO 2027'!$K$5,"CONCLUÍDA",IF(F2639&lt;='RETRATO 2027'!$K$5,"EM ANDAMENTO","A INICIAR")))</f>
        <v/>
      </c>
    </row>
    <row r="2640" customFormat="false" ht="15" hidden="false" customHeight="false" outlineLevel="0" collapsed="false">
      <c r="M2640" s="2" t="str">
        <f aca="false">IF(C2640="","",IFERROR(INDEX($S$5:$S$304,MATCH(C2640,$R$5:$R$304,0))&amp;"","?"))</f>
        <v/>
      </c>
      <c r="N2640" s="2" t="str">
        <f aca="false"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 t="str">
        <f aca="false">IF(OR(F2640="",G2640=""),"",IF(G2640&lt;='RETRATO 2027'!$K$5,"CONCLUÍDA",IF(F2640&lt;='RETRATO 2027'!$K$5,"EM ANDAMENTO","A INICIAR")))</f>
        <v/>
      </c>
    </row>
    <row r="2641" customFormat="false" ht="15" hidden="false" customHeight="false" outlineLevel="0" collapsed="false">
      <c r="M2641" s="2" t="str">
        <f aca="false">IF(C2641="","",IFERROR(INDEX($S$5:$S$304,MATCH(C2641,$R$5:$R$304,0))&amp;"","?"))</f>
        <v/>
      </c>
      <c r="N2641" s="2" t="str">
        <f aca="false"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 t="str">
        <f aca="false">IF(OR(F2641="",G2641=""),"",IF(G2641&lt;='RETRATO 2027'!$K$5,"CONCLUÍDA",IF(F2641&lt;='RETRATO 2027'!$K$5,"EM ANDAMENTO","A INICIAR")))</f>
        <v/>
      </c>
    </row>
    <row r="2642" customFormat="false" ht="15" hidden="false" customHeight="false" outlineLevel="0" collapsed="false">
      <c r="M2642" s="2" t="str">
        <f aca="false">IF(C2642="","",IFERROR(INDEX($S$5:$S$304,MATCH(C2642,$R$5:$R$304,0))&amp;"","?"))</f>
        <v/>
      </c>
      <c r="N2642" s="2" t="str">
        <f aca="false"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 t="str">
        <f aca="false">IF(OR(F2642="",G2642=""),"",IF(G2642&lt;='RETRATO 2027'!$K$5,"CONCLUÍDA",IF(F2642&lt;='RETRATO 2027'!$K$5,"EM ANDAMENTO","A INICIAR")))</f>
        <v/>
      </c>
    </row>
    <row r="2643" customFormat="false" ht="15" hidden="false" customHeight="false" outlineLevel="0" collapsed="false">
      <c r="M2643" s="2" t="str">
        <f aca="false">IF(C2643="","",IFERROR(INDEX($S$5:$S$304,MATCH(C2643,$R$5:$R$304,0))&amp;"","?"))</f>
        <v/>
      </c>
      <c r="N2643" s="2" t="str">
        <f aca="false"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 t="str">
        <f aca="false">IF(OR(F2643="",G2643=""),"",IF(G2643&lt;='RETRATO 2027'!$K$5,"CONCLUÍDA",IF(F2643&lt;='RETRATO 2027'!$K$5,"EM ANDAMENTO","A INICIAR")))</f>
        <v/>
      </c>
    </row>
    <row r="2644" customFormat="false" ht="15" hidden="false" customHeight="false" outlineLevel="0" collapsed="false">
      <c r="M2644" s="2" t="str">
        <f aca="false">IF(C2644="","",IFERROR(INDEX($S$5:$S$304,MATCH(C2644,$R$5:$R$304,0))&amp;"","?"))</f>
        <v/>
      </c>
      <c r="N2644" s="2" t="str">
        <f aca="false"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 t="str">
        <f aca="false">IF(OR(F2644="",G2644=""),"",IF(G2644&lt;='RETRATO 2027'!$K$5,"CONCLUÍDA",IF(F2644&lt;='RETRATO 2027'!$K$5,"EM ANDAMENTO","A INICIAR")))</f>
        <v/>
      </c>
    </row>
    <row r="2645" customFormat="false" ht="15" hidden="false" customHeight="false" outlineLevel="0" collapsed="false">
      <c r="M2645" s="2" t="str">
        <f aca="false">IF(C2645="","",IFERROR(INDEX($S$5:$S$304,MATCH(C2645,$R$5:$R$304,0))&amp;"","?"))</f>
        <v/>
      </c>
      <c r="N2645" s="2" t="str">
        <f aca="false"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 t="str">
        <f aca="false">IF(OR(F2645="",G2645=""),"",IF(G2645&lt;='RETRATO 2027'!$K$5,"CONCLUÍDA",IF(F2645&lt;='RETRATO 2027'!$K$5,"EM ANDAMENTO","A INICIAR")))</f>
        <v/>
      </c>
    </row>
    <row r="2646" customFormat="false" ht="15" hidden="false" customHeight="false" outlineLevel="0" collapsed="false">
      <c r="M2646" s="2" t="str">
        <f aca="false">IF(C2646="","",IFERROR(INDEX($S$5:$S$304,MATCH(C2646,$R$5:$R$304,0))&amp;"","?"))</f>
        <v/>
      </c>
      <c r="N2646" s="2" t="str">
        <f aca="false"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 t="str">
        <f aca="false">IF(OR(F2646="",G2646=""),"",IF(G2646&lt;='RETRATO 2027'!$K$5,"CONCLUÍDA",IF(F2646&lt;='RETRATO 2027'!$K$5,"EM ANDAMENTO","A INICIAR")))</f>
        <v/>
      </c>
    </row>
    <row r="2647" customFormat="false" ht="15" hidden="false" customHeight="false" outlineLevel="0" collapsed="false">
      <c r="M2647" s="2" t="str">
        <f aca="false">IF(C2647="","",IFERROR(INDEX($S$5:$S$304,MATCH(C2647,$R$5:$R$304,0))&amp;"","?"))</f>
        <v/>
      </c>
      <c r="N2647" s="2" t="str">
        <f aca="false"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 t="str">
        <f aca="false">IF(OR(F2647="",G2647=""),"",IF(G2647&lt;='RETRATO 2027'!$K$5,"CONCLUÍDA",IF(F2647&lt;='RETRATO 2027'!$K$5,"EM ANDAMENTO","A INICIAR")))</f>
        <v/>
      </c>
    </row>
    <row r="2648" customFormat="false" ht="15" hidden="false" customHeight="false" outlineLevel="0" collapsed="false">
      <c r="M2648" s="2" t="str">
        <f aca="false">IF(C2648="","",IFERROR(INDEX($S$5:$S$304,MATCH(C2648,$R$5:$R$304,0))&amp;"","?"))</f>
        <v/>
      </c>
      <c r="N2648" s="2" t="str">
        <f aca="false"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 t="str">
        <f aca="false">IF(OR(F2648="",G2648=""),"",IF(G2648&lt;='RETRATO 2027'!$K$5,"CONCLUÍDA",IF(F2648&lt;='RETRATO 2027'!$K$5,"EM ANDAMENTO","A INICIAR")))</f>
        <v/>
      </c>
    </row>
    <row r="2649" customFormat="false" ht="15" hidden="false" customHeight="false" outlineLevel="0" collapsed="false">
      <c r="M2649" s="2" t="str">
        <f aca="false">IF(C2649="","",IFERROR(INDEX($S$5:$S$304,MATCH(C2649,$R$5:$R$304,0))&amp;"","?"))</f>
        <v/>
      </c>
      <c r="N2649" s="2" t="str">
        <f aca="false"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 t="str">
        <f aca="false">IF(OR(F2649="",G2649=""),"",IF(G2649&lt;='RETRATO 2027'!$K$5,"CONCLUÍDA",IF(F2649&lt;='RETRATO 2027'!$K$5,"EM ANDAMENTO","A INICIAR")))</f>
        <v/>
      </c>
    </row>
    <row r="2650" customFormat="false" ht="15" hidden="false" customHeight="false" outlineLevel="0" collapsed="false">
      <c r="M2650" s="2" t="str">
        <f aca="false">IF(C2650="","",IFERROR(INDEX($S$5:$S$304,MATCH(C2650,$R$5:$R$304,0))&amp;"","?"))</f>
        <v/>
      </c>
      <c r="N2650" s="2" t="str">
        <f aca="false"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 t="str">
        <f aca="false">IF(OR(F2650="",G2650=""),"",IF(G2650&lt;='RETRATO 2027'!$K$5,"CONCLUÍDA",IF(F2650&lt;='RETRATO 2027'!$K$5,"EM ANDAMENTO","A INICIAR")))</f>
        <v/>
      </c>
    </row>
    <row r="2651" customFormat="false" ht="15" hidden="false" customHeight="false" outlineLevel="0" collapsed="false">
      <c r="M2651" s="2" t="str">
        <f aca="false">IF(C2651="","",IFERROR(INDEX($S$5:$S$304,MATCH(C2651,$R$5:$R$304,0))&amp;"","?"))</f>
        <v/>
      </c>
      <c r="N2651" s="2" t="str">
        <f aca="false"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 t="str">
        <f aca="false">IF(OR(F2651="",G2651=""),"",IF(G2651&lt;='RETRATO 2027'!$K$5,"CONCLUÍDA",IF(F2651&lt;='RETRATO 2027'!$K$5,"EM ANDAMENTO","A INICIAR")))</f>
        <v/>
      </c>
    </row>
    <row r="2652" customFormat="false" ht="15" hidden="false" customHeight="false" outlineLevel="0" collapsed="false">
      <c r="M2652" s="2" t="str">
        <f aca="false">IF(C2652="","",IFERROR(INDEX($S$5:$S$304,MATCH(C2652,$R$5:$R$304,0))&amp;"","?"))</f>
        <v/>
      </c>
      <c r="N2652" s="2" t="str">
        <f aca="false"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 t="str">
        <f aca="false">IF(OR(F2652="",G2652=""),"",IF(G2652&lt;='RETRATO 2027'!$K$5,"CONCLUÍDA",IF(F2652&lt;='RETRATO 2027'!$K$5,"EM ANDAMENTO","A INICIAR")))</f>
        <v/>
      </c>
    </row>
    <row r="2653" customFormat="false" ht="15" hidden="false" customHeight="false" outlineLevel="0" collapsed="false">
      <c r="M2653" s="2" t="str">
        <f aca="false">IF(C2653="","",IFERROR(INDEX($S$5:$S$304,MATCH(C2653,$R$5:$R$304,0))&amp;"","?"))</f>
        <v/>
      </c>
      <c r="N2653" s="2" t="str">
        <f aca="false"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 t="str">
        <f aca="false">IF(OR(F2653="",G2653=""),"",IF(G2653&lt;='RETRATO 2027'!$K$5,"CONCLUÍDA",IF(F2653&lt;='RETRATO 2027'!$K$5,"EM ANDAMENTO","A INICIAR")))</f>
        <v/>
      </c>
    </row>
    <row r="2654" customFormat="false" ht="15" hidden="false" customHeight="false" outlineLevel="0" collapsed="false">
      <c r="M2654" s="2" t="str">
        <f aca="false">IF(C2654="","",IFERROR(INDEX($S$5:$S$304,MATCH(C2654,$R$5:$R$304,0))&amp;"","?"))</f>
        <v/>
      </c>
      <c r="N2654" s="2" t="str">
        <f aca="false"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 t="str">
        <f aca="false">IF(OR(F2654="",G2654=""),"",IF(G2654&lt;='RETRATO 2027'!$K$5,"CONCLUÍDA",IF(F2654&lt;='RETRATO 2027'!$K$5,"EM ANDAMENTO","A INICIAR")))</f>
        <v/>
      </c>
    </row>
    <row r="2655" customFormat="false" ht="15" hidden="false" customHeight="false" outlineLevel="0" collapsed="false">
      <c r="M2655" s="2" t="str">
        <f aca="false">IF(C2655="","",IFERROR(INDEX($S$5:$S$304,MATCH(C2655,$R$5:$R$304,0))&amp;"","?"))</f>
        <v/>
      </c>
      <c r="N2655" s="2" t="str">
        <f aca="false"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 t="str">
        <f aca="false">IF(OR(F2655="",G2655=""),"",IF(G2655&lt;='RETRATO 2027'!$K$5,"CONCLUÍDA",IF(F2655&lt;='RETRATO 2027'!$K$5,"EM ANDAMENTO","A INICIAR")))</f>
        <v/>
      </c>
    </row>
    <row r="2656" customFormat="false" ht="15" hidden="false" customHeight="false" outlineLevel="0" collapsed="false">
      <c r="M2656" s="2" t="str">
        <f aca="false">IF(C2656="","",IFERROR(INDEX($S$5:$S$304,MATCH(C2656,$R$5:$R$304,0))&amp;"","?"))</f>
        <v/>
      </c>
      <c r="N2656" s="2" t="str">
        <f aca="false"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 t="str">
        <f aca="false">IF(OR(F2656="",G2656=""),"",IF(G2656&lt;='RETRATO 2027'!$K$5,"CONCLUÍDA",IF(F2656&lt;='RETRATO 2027'!$K$5,"EM ANDAMENTO","A INICIAR")))</f>
        <v/>
      </c>
    </row>
    <row r="2657" customFormat="false" ht="15" hidden="false" customHeight="false" outlineLevel="0" collapsed="false">
      <c r="M2657" s="2" t="str">
        <f aca="false">IF(C2657="","",IFERROR(INDEX($S$5:$S$304,MATCH(C2657,$R$5:$R$304,0))&amp;"","?"))</f>
        <v/>
      </c>
      <c r="N2657" s="2" t="str">
        <f aca="false"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 t="str">
        <f aca="false">IF(OR(F2657="",G2657=""),"",IF(G2657&lt;='RETRATO 2027'!$K$5,"CONCLUÍDA",IF(F2657&lt;='RETRATO 2027'!$K$5,"EM ANDAMENTO","A INICIAR")))</f>
        <v/>
      </c>
    </row>
    <row r="2658" customFormat="false" ht="15" hidden="false" customHeight="false" outlineLevel="0" collapsed="false">
      <c r="M2658" s="2" t="str">
        <f aca="false">IF(C2658="","",IFERROR(INDEX($S$5:$S$304,MATCH(C2658,$R$5:$R$304,0))&amp;"","?"))</f>
        <v/>
      </c>
      <c r="N2658" s="2" t="str">
        <f aca="false"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 t="str">
        <f aca="false">IF(OR(F2658="",G2658=""),"",IF(G2658&lt;='RETRATO 2027'!$K$5,"CONCLUÍDA",IF(F2658&lt;='RETRATO 2027'!$K$5,"EM ANDAMENTO","A INICIAR")))</f>
        <v/>
      </c>
    </row>
    <row r="2659" customFormat="false" ht="15" hidden="false" customHeight="false" outlineLevel="0" collapsed="false">
      <c r="M2659" s="2" t="str">
        <f aca="false">IF(C2659="","",IFERROR(INDEX($S$5:$S$304,MATCH(C2659,$R$5:$R$304,0))&amp;"","?"))</f>
        <v/>
      </c>
      <c r="N2659" s="2" t="str">
        <f aca="false"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 t="str">
        <f aca="false">IF(OR(F2659="",G2659=""),"",IF(G2659&lt;='RETRATO 2027'!$K$5,"CONCLUÍDA",IF(F2659&lt;='RETRATO 2027'!$K$5,"EM ANDAMENTO","A INICIAR")))</f>
        <v/>
      </c>
    </row>
    <row r="2660" customFormat="false" ht="15" hidden="false" customHeight="false" outlineLevel="0" collapsed="false">
      <c r="M2660" s="2" t="str">
        <f aca="false">IF(C2660="","",IFERROR(INDEX($S$5:$S$304,MATCH(C2660,$R$5:$R$304,0))&amp;"","?"))</f>
        <v/>
      </c>
      <c r="N2660" s="2" t="str">
        <f aca="false"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 t="str">
        <f aca="false">IF(OR(F2660="",G2660=""),"",IF(G2660&lt;='RETRATO 2027'!$K$5,"CONCLUÍDA",IF(F2660&lt;='RETRATO 2027'!$K$5,"EM ANDAMENTO","A INICIAR")))</f>
        <v/>
      </c>
    </row>
    <row r="2661" customFormat="false" ht="15" hidden="false" customHeight="false" outlineLevel="0" collapsed="false">
      <c r="M2661" s="2" t="str">
        <f aca="false">IF(C2661="","",IFERROR(INDEX($S$5:$S$304,MATCH(C2661,$R$5:$R$304,0))&amp;"","?"))</f>
        <v/>
      </c>
      <c r="N2661" s="2" t="str">
        <f aca="false"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 t="str">
        <f aca="false">IF(OR(F2661="",G2661=""),"",IF(G2661&lt;='RETRATO 2027'!$K$5,"CONCLUÍDA",IF(F2661&lt;='RETRATO 2027'!$K$5,"EM ANDAMENTO","A INICIAR")))</f>
        <v/>
      </c>
    </row>
    <row r="2662" customFormat="false" ht="15" hidden="false" customHeight="false" outlineLevel="0" collapsed="false">
      <c r="M2662" s="2" t="str">
        <f aca="false">IF(C2662="","",IFERROR(INDEX($S$5:$S$304,MATCH(C2662,$R$5:$R$304,0))&amp;"","?"))</f>
        <v/>
      </c>
      <c r="N2662" s="2" t="str">
        <f aca="false"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 t="str">
        <f aca="false">IF(OR(F2662="",G2662=""),"",IF(G2662&lt;='RETRATO 2027'!$K$5,"CONCLUÍDA",IF(F2662&lt;='RETRATO 2027'!$K$5,"EM ANDAMENTO","A INICIAR")))</f>
        <v/>
      </c>
    </row>
    <row r="2663" customFormat="false" ht="15" hidden="false" customHeight="false" outlineLevel="0" collapsed="false">
      <c r="M2663" s="2" t="str">
        <f aca="false">IF(C2663="","",IFERROR(INDEX($S$5:$S$304,MATCH(C2663,$R$5:$R$304,0))&amp;"","?"))</f>
        <v/>
      </c>
      <c r="N2663" s="2" t="str">
        <f aca="false"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 t="str">
        <f aca="false">IF(OR(F2663="",G2663=""),"",IF(G2663&lt;='RETRATO 2027'!$K$5,"CONCLUÍDA",IF(F2663&lt;='RETRATO 2027'!$K$5,"EM ANDAMENTO","A INICIAR")))</f>
        <v/>
      </c>
    </row>
    <row r="2664" customFormat="false" ht="15" hidden="false" customHeight="false" outlineLevel="0" collapsed="false">
      <c r="M2664" s="2" t="str">
        <f aca="false">IF(C2664="","",IFERROR(INDEX($S$5:$S$304,MATCH(C2664,$R$5:$R$304,0))&amp;"","?"))</f>
        <v/>
      </c>
      <c r="N2664" s="2" t="str">
        <f aca="false"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 t="str">
        <f aca="false">IF(OR(F2664="",G2664=""),"",IF(G2664&lt;='RETRATO 2027'!$K$5,"CONCLUÍDA",IF(F2664&lt;='RETRATO 2027'!$K$5,"EM ANDAMENTO","A INICIAR")))</f>
        <v/>
      </c>
    </row>
    <row r="2665" customFormat="false" ht="15" hidden="false" customHeight="false" outlineLevel="0" collapsed="false">
      <c r="M2665" s="2" t="str">
        <f aca="false">IF(C2665="","",IFERROR(INDEX($S$5:$S$304,MATCH(C2665,$R$5:$R$304,0))&amp;"","?"))</f>
        <v/>
      </c>
      <c r="N2665" s="2" t="str">
        <f aca="false"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 t="str">
        <f aca="false">IF(OR(F2665="",G2665=""),"",IF(G2665&lt;='RETRATO 2027'!$K$5,"CONCLUÍDA",IF(F2665&lt;='RETRATO 2027'!$K$5,"EM ANDAMENTO","A INICIAR")))</f>
        <v/>
      </c>
    </row>
    <row r="2666" customFormat="false" ht="15" hidden="false" customHeight="false" outlineLevel="0" collapsed="false">
      <c r="M2666" s="2" t="str">
        <f aca="false">IF(C2666="","",IFERROR(INDEX($S$5:$S$304,MATCH(C2666,$R$5:$R$304,0))&amp;"","?"))</f>
        <v/>
      </c>
      <c r="N2666" s="2" t="str">
        <f aca="false"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 t="str">
        <f aca="false">IF(OR(F2666="",G2666=""),"",IF(G2666&lt;='RETRATO 2027'!$K$5,"CONCLUÍDA",IF(F2666&lt;='RETRATO 2027'!$K$5,"EM ANDAMENTO","A INICIAR")))</f>
        <v/>
      </c>
    </row>
    <row r="2667" customFormat="false" ht="15" hidden="false" customHeight="false" outlineLevel="0" collapsed="false">
      <c r="M2667" s="2" t="str">
        <f aca="false">IF(C2667="","",IFERROR(INDEX($S$5:$S$304,MATCH(C2667,$R$5:$R$304,0))&amp;"","?"))</f>
        <v/>
      </c>
      <c r="N2667" s="2" t="str">
        <f aca="false"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 t="str">
        <f aca="false">IF(OR(F2667="",G2667=""),"",IF(G2667&lt;='RETRATO 2027'!$K$5,"CONCLUÍDA",IF(F2667&lt;='RETRATO 2027'!$K$5,"EM ANDAMENTO","A INICIAR")))</f>
        <v/>
      </c>
    </row>
    <row r="2668" customFormat="false" ht="15" hidden="false" customHeight="false" outlineLevel="0" collapsed="false">
      <c r="M2668" s="2" t="str">
        <f aca="false">IF(C2668="","",IFERROR(INDEX($S$5:$S$304,MATCH(C2668,$R$5:$R$304,0))&amp;"","?"))</f>
        <v/>
      </c>
      <c r="N2668" s="2" t="str">
        <f aca="false"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 t="str">
        <f aca="false">IF(OR(F2668="",G2668=""),"",IF(G2668&lt;='RETRATO 2027'!$K$5,"CONCLUÍDA",IF(F2668&lt;='RETRATO 2027'!$K$5,"EM ANDAMENTO","A INICIAR")))</f>
        <v/>
      </c>
    </row>
    <row r="2669" customFormat="false" ht="15" hidden="false" customHeight="false" outlineLevel="0" collapsed="false">
      <c r="M2669" s="2" t="str">
        <f aca="false">IF(C2669="","",IFERROR(INDEX($S$5:$S$304,MATCH(C2669,$R$5:$R$304,0))&amp;"","?"))</f>
        <v/>
      </c>
      <c r="N2669" s="2" t="str">
        <f aca="false"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 t="str">
        <f aca="false">IF(OR(F2669="",G2669=""),"",IF(G2669&lt;='RETRATO 2027'!$K$5,"CONCLUÍDA",IF(F2669&lt;='RETRATO 2027'!$K$5,"EM ANDAMENTO","A INICIAR")))</f>
        <v/>
      </c>
    </row>
    <row r="2670" customFormat="false" ht="15" hidden="false" customHeight="false" outlineLevel="0" collapsed="false">
      <c r="M2670" s="2" t="str">
        <f aca="false">IF(C2670="","",IFERROR(INDEX($S$5:$S$304,MATCH(C2670,$R$5:$R$304,0))&amp;"","?"))</f>
        <v/>
      </c>
      <c r="N2670" s="2" t="str">
        <f aca="false"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 t="str">
        <f aca="false">IF(OR(F2670="",G2670=""),"",IF(G2670&lt;='RETRATO 2027'!$K$5,"CONCLUÍDA",IF(F2670&lt;='RETRATO 2027'!$K$5,"EM ANDAMENTO","A INICIAR")))</f>
        <v/>
      </c>
    </row>
    <row r="2671" customFormat="false" ht="15" hidden="false" customHeight="false" outlineLevel="0" collapsed="false">
      <c r="M2671" s="2" t="str">
        <f aca="false">IF(C2671="","",IFERROR(INDEX($S$5:$S$304,MATCH(C2671,$R$5:$R$304,0))&amp;"","?"))</f>
        <v/>
      </c>
      <c r="N2671" s="2" t="str">
        <f aca="false"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 t="str">
        <f aca="false">IF(OR(F2671="",G2671=""),"",IF(G2671&lt;='RETRATO 2027'!$K$5,"CONCLUÍDA",IF(F2671&lt;='RETRATO 2027'!$K$5,"EM ANDAMENTO","A INICIAR")))</f>
        <v/>
      </c>
    </row>
    <row r="2672" customFormat="false" ht="15" hidden="false" customHeight="false" outlineLevel="0" collapsed="false">
      <c r="M2672" s="2" t="str">
        <f aca="false">IF(C2672="","",IFERROR(INDEX($S$5:$S$304,MATCH(C2672,$R$5:$R$304,0))&amp;"","?"))</f>
        <v/>
      </c>
      <c r="N2672" s="2" t="str">
        <f aca="false"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 t="str">
        <f aca="false">IF(OR(F2672="",G2672=""),"",IF(G2672&lt;='RETRATO 2027'!$K$5,"CONCLUÍDA",IF(F2672&lt;='RETRATO 2027'!$K$5,"EM ANDAMENTO","A INICIAR")))</f>
        <v/>
      </c>
    </row>
    <row r="2673" customFormat="false" ht="15" hidden="false" customHeight="false" outlineLevel="0" collapsed="false">
      <c r="M2673" s="2" t="str">
        <f aca="false">IF(C2673="","",IFERROR(INDEX($S$5:$S$304,MATCH(C2673,$R$5:$R$304,0))&amp;"","?"))</f>
        <v/>
      </c>
      <c r="N2673" s="2" t="str">
        <f aca="false"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 t="str">
        <f aca="false">IF(OR(F2673="",G2673=""),"",IF(G2673&lt;='RETRATO 2027'!$K$5,"CONCLUÍDA",IF(F2673&lt;='RETRATO 2027'!$K$5,"EM ANDAMENTO","A INICIAR")))</f>
        <v/>
      </c>
    </row>
    <row r="2674" customFormat="false" ht="15" hidden="false" customHeight="false" outlineLevel="0" collapsed="false">
      <c r="M2674" s="2" t="str">
        <f aca="false">IF(C2674="","",IFERROR(INDEX($S$5:$S$304,MATCH(C2674,$R$5:$R$304,0))&amp;"","?"))</f>
        <v/>
      </c>
      <c r="N2674" s="2" t="str">
        <f aca="false"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 t="str">
        <f aca="false">IF(OR(F2674="",G2674=""),"",IF(G2674&lt;='RETRATO 2027'!$K$5,"CONCLUÍDA",IF(F2674&lt;='RETRATO 2027'!$K$5,"EM ANDAMENTO","A INICIAR")))</f>
        <v/>
      </c>
    </row>
    <row r="2675" customFormat="false" ht="15" hidden="false" customHeight="false" outlineLevel="0" collapsed="false">
      <c r="M2675" s="2" t="str">
        <f aca="false">IF(C2675="","",IFERROR(INDEX($S$5:$S$304,MATCH(C2675,$R$5:$R$304,0))&amp;"","?"))</f>
        <v/>
      </c>
      <c r="N2675" s="2" t="str">
        <f aca="false"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 t="str">
        <f aca="false">IF(OR(F2675="",G2675=""),"",IF(G2675&lt;='RETRATO 2027'!$K$5,"CONCLUÍDA",IF(F2675&lt;='RETRATO 2027'!$K$5,"EM ANDAMENTO","A INICIAR")))</f>
        <v/>
      </c>
    </row>
    <row r="2676" customFormat="false" ht="15" hidden="false" customHeight="false" outlineLevel="0" collapsed="false">
      <c r="M2676" s="2" t="str">
        <f aca="false">IF(C2676="","",IFERROR(INDEX($S$5:$S$304,MATCH(C2676,$R$5:$R$304,0))&amp;"","?"))</f>
        <v/>
      </c>
      <c r="N2676" s="2" t="str">
        <f aca="false"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 t="str">
        <f aca="false">IF(OR(F2676="",G2676=""),"",IF(G2676&lt;='RETRATO 2027'!$K$5,"CONCLUÍDA",IF(F2676&lt;='RETRATO 2027'!$K$5,"EM ANDAMENTO","A INICIAR")))</f>
        <v/>
      </c>
    </row>
    <row r="2677" customFormat="false" ht="15" hidden="false" customHeight="false" outlineLevel="0" collapsed="false">
      <c r="M2677" s="2" t="str">
        <f aca="false">IF(C2677="","",IFERROR(INDEX($S$5:$S$304,MATCH(C2677,$R$5:$R$304,0))&amp;"","?"))</f>
        <v/>
      </c>
      <c r="N2677" s="2" t="str">
        <f aca="false"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 t="str">
        <f aca="false">IF(OR(F2677="",G2677=""),"",IF(G2677&lt;='RETRATO 2027'!$K$5,"CONCLUÍDA",IF(F2677&lt;='RETRATO 2027'!$K$5,"EM ANDAMENTO","A INICIAR")))</f>
        <v/>
      </c>
    </row>
    <row r="2678" customFormat="false" ht="15" hidden="false" customHeight="false" outlineLevel="0" collapsed="false">
      <c r="M2678" s="2" t="str">
        <f aca="false">IF(C2678="","",IFERROR(INDEX($S$5:$S$304,MATCH(C2678,$R$5:$R$304,0))&amp;"","?"))</f>
        <v/>
      </c>
      <c r="N2678" s="2" t="str">
        <f aca="false"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 t="str">
        <f aca="false">IF(OR(F2678="",G2678=""),"",IF(G2678&lt;='RETRATO 2027'!$K$5,"CONCLUÍDA",IF(F2678&lt;='RETRATO 2027'!$K$5,"EM ANDAMENTO","A INICIAR")))</f>
        <v/>
      </c>
    </row>
    <row r="2679" customFormat="false" ht="15" hidden="false" customHeight="false" outlineLevel="0" collapsed="false">
      <c r="M2679" s="2" t="str">
        <f aca="false">IF(C2679="","",IFERROR(INDEX($S$5:$S$304,MATCH(C2679,$R$5:$R$304,0))&amp;"","?"))</f>
        <v/>
      </c>
      <c r="N2679" s="2" t="str">
        <f aca="false"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 t="str">
        <f aca="false">IF(OR(F2679="",G2679=""),"",IF(G2679&lt;='RETRATO 2027'!$K$5,"CONCLUÍDA",IF(F2679&lt;='RETRATO 2027'!$K$5,"EM ANDAMENTO","A INICIAR")))</f>
        <v/>
      </c>
    </row>
    <row r="2680" customFormat="false" ht="15" hidden="false" customHeight="false" outlineLevel="0" collapsed="false">
      <c r="M2680" s="2" t="str">
        <f aca="false">IF(C2680="","",IFERROR(INDEX($S$5:$S$304,MATCH(C2680,$R$5:$R$304,0))&amp;"","?"))</f>
        <v/>
      </c>
      <c r="N2680" s="2" t="str">
        <f aca="false"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 t="str">
        <f aca="false">IF(OR(F2680="",G2680=""),"",IF(G2680&lt;='RETRATO 2027'!$K$5,"CONCLUÍDA",IF(F2680&lt;='RETRATO 2027'!$K$5,"EM ANDAMENTO","A INICIAR")))</f>
        <v/>
      </c>
    </row>
    <row r="2681" customFormat="false" ht="15" hidden="false" customHeight="false" outlineLevel="0" collapsed="false">
      <c r="M2681" s="2" t="str">
        <f aca="false">IF(C2681="","",IFERROR(INDEX($S$5:$S$304,MATCH(C2681,$R$5:$R$304,0))&amp;"","?"))</f>
        <v/>
      </c>
      <c r="N2681" s="2" t="str">
        <f aca="false"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 t="str">
        <f aca="false">IF(OR(F2681="",G2681=""),"",IF(G2681&lt;='RETRATO 2027'!$K$5,"CONCLUÍDA",IF(F2681&lt;='RETRATO 2027'!$K$5,"EM ANDAMENTO","A INICIAR")))</f>
        <v/>
      </c>
    </row>
    <row r="2682" customFormat="false" ht="15" hidden="false" customHeight="false" outlineLevel="0" collapsed="false">
      <c r="M2682" s="2" t="str">
        <f aca="false">IF(C2682="","",IFERROR(INDEX($S$5:$S$304,MATCH(C2682,$R$5:$R$304,0))&amp;"","?"))</f>
        <v/>
      </c>
      <c r="N2682" s="2" t="str">
        <f aca="false"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 t="str">
        <f aca="false">IF(OR(F2682="",G2682=""),"",IF(G2682&lt;='RETRATO 2027'!$K$5,"CONCLUÍDA",IF(F2682&lt;='RETRATO 2027'!$K$5,"EM ANDAMENTO","A INICIAR")))</f>
        <v/>
      </c>
    </row>
    <row r="2683" customFormat="false" ht="15" hidden="false" customHeight="false" outlineLevel="0" collapsed="false">
      <c r="M2683" s="2" t="str">
        <f aca="false">IF(C2683="","",IFERROR(INDEX($S$5:$S$304,MATCH(C2683,$R$5:$R$304,0))&amp;"","?"))</f>
        <v/>
      </c>
      <c r="N2683" s="2" t="str">
        <f aca="false"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 t="str">
        <f aca="false">IF(OR(F2683="",G2683=""),"",IF(G2683&lt;='RETRATO 2027'!$K$5,"CONCLUÍDA",IF(F2683&lt;='RETRATO 2027'!$K$5,"EM ANDAMENTO","A INICIAR")))</f>
        <v/>
      </c>
    </row>
    <row r="2684" customFormat="false" ht="15" hidden="false" customHeight="false" outlineLevel="0" collapsed="false">
      <c r="M2684" s="2" t="str">
        <f aca="false">IF(C2684="","",IFERROR(INDEX($S$5:$S$304,MATCH(C2684,$R$5:$R$304,0))&amp;"","?"))</f>
        <v/>
      </c>
      <c r="N2684" s="2" t="str">
        <f aca="false"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 t="str">
        <f aca="false">IF(OR(F2684="",G2684=""),"",IF(G2684&lt;='RETRATO 2027'!$K$5,"CONCLUÍDA",IF(F2684&lt;='RETRATO 2027'!$K$5,"EM ANDAMENTO","A INICIAR")))</f>
        <v/>
      </c>
    </row>
    <row r="2685" customFormat="false" ht="15" hidden="false" customHeight="false" outlineLevel="0" collapsed="false">
      <c r="M2685" s="2" t="str">
        <f aca="false">IF(C2685="","",IFERROR(INDEX($S$5:$S$304,MATCH(C2685,$R$5:$R$304,0))&amp;"","?"))</f>
        <v/>
      </c>
      <c r="N2685" s="2" t="str">
        <f aca="false"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 t="str">
        <f aca="false">IF(OR(F2685="",G2685=""),"",IF(G2685&lt;='RETRATO 2027'!$K$5,"CONCLUÍDA",IF(F2685&lt;='RETRATO 2027'!$K$5,"EM ANDAMENTO","A INICIAR")))</f>
        <v/>
      </c>
    </row>
    <row r="2686" customFormat="false" ht="15" hidden="false" customHeight="false" outlineLevel="0" collapsed="false">
      <c r="M2686" s="2" t="str">
        <f aca="false">IF(C2686="","",IFERROR(INDEX($S$5:$S$304,MATCH(C2686,$R$5:$R$304,0))&amp;"","?"))</f>
        <v/>
      </c>
      <c r="N2686" s="2" t="str">
        <f aca="false"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 t="str">
        <f aca="false">IF(OR(F2686="",G2686=""),"",IF(G2686&lt;='RETRATO 2027'!$K$5,"CONCLUÍDA",IF(F2686&lt;='RETRATO 2027'!$K$5,"EM ANDAMENTO","A INICIAR")))</f>
        <v/>
      </c>
    </row>
    <row r="2687" customFormat="false" ht="15" hidden="false" customHeight="false" outlineLevel="0" collapsed="false">
      <c r="M2687" s="2" t="str">
        <f aca="false">IF(C2687="","",IFERROR(INDEX($S$5:$S$304,MATCH(C2687,$R$5:$R$304,0))&amp;"","?"))</f>
        <v/>
      </c>
      <c r="N2687" s="2" t="str">
        <f aca="false"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 t="str">
        <f aca="false">IF(OR(F2687="",G2687=""),"",IF(G2687&lt;='RETRATO 2027'!$K$5,"CONCLUÍDA",IF(F2687&lt;='RETRATO 2027'!$K$5,"EM ANDAMENTO","A INICIAR")))</f>
        <v/>
      </c>
    </row>
    <row r="2688" customFormat="false" ht="15" hidden="false" customHeight="false" outlineLevel="0" collapsed="false">
      <c r="M2688" s="2" t="str">
        <f aca="false">IF(C2688="","",IFERROR(INDEX($S$5:$S$304,MATCH(C2688,$R$5:$R$304,0))&amp;"","?"))</f>
        <v/>
      </c>
      <c r="N2688" s="2" t="str">
        <f aca="false"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 t="str">
        <f aca="false">IF(OR(F2688="",G2688=""),"",IF(G2688&lt;='RETRATO 2027'!$K$5,"CONCLUÍDA",IF(F2688&lt;='RETRATO 2027'!$K$5,"EM ANDAMENTO","A INICIAR")))</f>
        <v/>
      </c>
    </row>
    <row r="2689" customFormat="false" ht="15" hidden="false" customHeight="false" outlineLevel="0" collapsed="false">
      <c r="M2689" s="2" t="str">
        <f aca="false">IF(C2689="","",IFERROR(INDEX($S$5:$S$304,MATCH(C2689,$R$5:$R$304,0))&amp;"","?"))</f>
        <v/>
      </c>
      <c r="N2689" s="2" t="str">
        <f aca="false"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 t="str">
        <f aca="false">IF(OR(F2689="",G2689=""),"",IF(G2689&lt;='RETRATO 2027'!$K$5,"CONCLUÍDA",IF(F2689&lt;='RETRATO 2027'!$K$5,"EM ANDAMENTO","A INICIAR")))</f>
        <v/>
      </c>
    </row>
    <row r="2690" customFormat="false" ht="15" hidden="false" customHeight="false" outlineLevel="0" collapsed="false">
      <c r="M2690" s="2" t="str">
        <f aca="false">IF(C2690="","",IFERROR(INDEX($S$5:$S$304,MATCH(C2690,$R$5:$R$304,0))&amp;"","?"))</f>
        <v/>
      </c>
      <c r="N2690" s="2" t="str">
        <f aca="false"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 t="str">
        <f aca="false">IF(OR(F2690="",G2690=""),"",IF(G2690&lt;='RETRATO 2027'!$K$5,"CONCLUÍDA",IF(F2690&lt;='RETRATO 2027'!$K$5,"EM ANDAMENTO","A INICIAR")))</f>
        <v/>
      </c>
    </row>
    <row r="2691" customFormat="false" ht="15" hidden="false" customHeight="false" outlineLevel="0" collapsed="false">
      <c r="M2691" s="2" t="str">
        <f aca="false">IF(C2691="","",IFERROR(INDEX($S$5:$S$304,MATCH(C2691,$R$5:$R$304,0))&amp;"","?"))</f>
        <v/>
      </c>
      <c r="N2691" s="2" t="str">
        <f aca="false"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 t="str">
        <f aca="false">IF(OR(F2691="",G2691=""),"",IF(G2691&lt;='RETRATO 2027'!$K$5,"CONCLUÍDA",IF(F2691&lt;='RETRATO 2027'!$K$5,"EM ANDAMENTO","A INICIAR")))</f>
        <v/>
      </c>
    </row>
    <row r="2692" customFormat="false" ht="15" hidden="false" customHeight="false" outlineLevel="0" collapsed="false">
      <c r="M2692" s="2" t="str">
        <f aca="false">IF(C2692="","",IFERROR(INDEX($S$5:$S$304,MATCH(C2692,$R$5:$R$304,0))&amp;"","?"))</f>
        <v/>
      </c>
      <c r="N2692" s="2" t="str">
        <f aca="false"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 t="str">
        <f aca="false">IF(OR(F2692="",G2692=""),"",IF(G2692&lt;='RETRATO 2027'!$K$5,"CONCLUÍDA",IF(F2692&lt;='RETRATO 2027'!$K$5,"EM ANDAMENTO","A INICIAR")))</f>
        <v/>
      </c>
    </row>
    <row r="2693" customFormat="false" ht="15" hidden="false" customHeight="false" outlineLevel="0" collapsed="false">
      <c r="M2693" s="2" t="str">
        <f aca="false">IF(C2693="","",IFERROR(INDEX($S$5:$S$304,MATCH(C2693,$R$5:$R$304,0))&amp;"","?"))</f>
        <v/>
      </c>
      <c r="N2693" s="2" t="str">
        <f aca="false"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 t="str">
        <f aca="false">IF(OR(F2693="",G2693=""),"",IF(G2693&lt;='RETRATO 2027'!$K$5,"CONCLUÍDA",IF(F2693&lt;='RETRATO 2027'!$K$5,"EM ANDAMENTO","A INICIAR")))</f>
        <v/>
      </c>
    </row>
    <row r="2694" customFormat="false" ht="15" hidden="false" customHeight="false" outlineLevel="0" collapsed="false">
      <c r="M2694" s="2" t="str">
        <f aca="false">IF(C2694="","",IFERROR(INDEX($S$5:$S$304,MATCH(C2694,$R$5:$R$304,0))&amp;"","?"))</f>
        <v/>
      </c>
      <c r="N2694" s="2" t="str">
        <f aca="false"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 t="str">
        <f aca="false">IF(OR(F2694="",G2694=""),"",IF(G2694&lt;='RETRATO 2027'!$K$5,"CONCLUÍDA",IF(F2694&lt;='RETRATO 2027'!$K$5,"EM ANDAMENTO","A INICIAR")))</f>
        <v/>
      </c>
    </row>
    <row r="2695" customFormat="false" ht="15" hidden="false" customHeight="false" outlineLevel="0" collapsed="false">
      <c r="M2695" s="2" t="str">
        <f aca="false">IF(C2695="","",IFERROR(INDEX($S$5:$S$304,MATCH(C2695,$R$5:$R$304,0))&amp;"","?"))</f>
        <v/>
      </c>
      <c r="N2695" s="2" t="str">
        <f aca="false"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 t="str">
        <f aca="false">IF(OR(F2695="",G2695=""),"",IF(G2695&lt;='RETRATO 2027'!$K$5,"CONCLUÍDA",IF(F2695&lt;='RETRATO 2027'!$K$5,"EM ANDAMENTO","A INICIAR")))</f>
        <v/>
      </c>
    </row>
    <row r="2696" customFormat="false" ht="15" hidden="false" customHeight="false" outlineLevel="0" collapsed="false">
      <c r="M2696" s="2" t="str">
        <f aca="false">IF(C2696="","",IFERROR(INDEX($S$5:$S$304,MATCH(C2696,$R$5:$R$304,0))&amp;"","?"))</f>
        <v/>
      </c>
      <c r="N2696" s="2" t="str">
        <f aca="false"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 t="str">
        <f aca="false">IF(OR(F2696="",G2696=""),"",IF(G2696&lt;='RETRATO 2027'!$K$5,"CONCLUÍDA",IF(F2696&lt;='RETRATO 2027'!$K$5,"EM ANDAMENTO","A INICIAR")))</f>
        <v/>
      </c>
    </row>
    <row r="2697" customFormat="false" ht="15" hidden="false" customHeight="false" outlineLevel="0" collapsed="false">
      <c r="M2697" s="2" t="str">
        <f aca="false">IF(C2697="","",IFERROR(INDEX($S$5:$S$304,MATCH(C2697,$R$5:$R$304,0))&amp;"","?"))</f>
        <v/>
      </c>
      <c r="N2697" s="2" t="str">
        <f aca="false"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 t="str">
        <f aca="false">IF(OR(F2697="",G2697=""),"",IF(G2697&lt;='RETRATO 2027'!$K$5,"CONCLUÍDA",IF(F2697&lt;='RETRATO 2027'!$K$5,"EM ANDAMENTO","A INICIAR")))</f>
        <v/>
      </c>
    </row>
    <row r="2698" customFormat="false" ht="15" hidden="false" customHeight="false" outlineLevel="0" collapsed="false">
      <c r="M2698" s="2" t="str">
        <f aca="false">IF(C2698="","",IFERROR(INDEX($S$5:$S$304,MATCH(C2698,$R$5:$R$304,0))&amp;"","?"))</f>
        <v/>
      </c>
      <c r="N2698" s="2" t="str">
        <f aca="false"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 t="str">
        <f aca="false">IF(OR(F2698="",G2698=""),"",IF(G2698&lt;='RETRATO 2027'!$K$5,"CONCLUÍDA",IF(F2698&lt;='RETRATO 2027'!$K$5,"EM ANDAMENTO","A INICIAR")))</f>
        <v/>
      </c>
    </row>
    <row r="2699" customFormat="false" ht="15" hidden="false" customHeight="false" outlineLevel="0" collapsed="false">
      <c r="M2699" s="2" t="str">
        <f aca="false">IF(C2699="","",IFERROR(INDEX($S$5:$S$304,MATCH(C2699,$R$5:$R$304,0))&amp;"","?"))</f>
        <v/>
      </c>
      <c r="N2699" s="2" t="str">
        <f aca="false"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 t="str">
        <f aca="false">IF(OR(F2699="",G2699=""),"",IF(G2699&lt;='RETRATO 2027'!$K$5,"CONCLUÍDA",IF(F2699&lt;='RETRATO 2027'!$K$5,"EM ANDAMENTO","A INICIAR")))</f>
        <v/>
      </c>
    </row>
    <row r="2700" customFormat="false" ht="15" hidden="false" customHeight="false" outlineLevel="0" collapsed="false">
      <c r="M2700" s="2" t="str">
        <f aca="false">IF(C2700="","",IFERROR(INDEX($S$5:$S$304,MATCH(C2700,$R$5:$R$304,0))&amp;"","?"))</f>
        <v/>
      </c>
      <c r="N2700" s="2" t="str">
        <f aca="false"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 t="str">
        <f aca="false">IF(OR(F2700="",G2700=""),"",IF(G2700&lt;='RETRATO 2027'!$K$5,"CONCLUÍDA",IF(F2700&lt;='RETRATO 2027'!$K$5,"EM ANDAMENTO","A INICIAR")))</f>
        <v/>
      </c>
    </row>
    <row r="2701" customFormat="false" ht="15" hidden="false" customHeight="false" outlineLevel="0" collapsed="false">
      <c r="M2701" s="2" t="str">
        <f aca="false">IF(C2701="","",IFERROR(INDEX($S$5:$S$304,MATCH(C2701,$R$5:$R$304,0))&amp;"","?"))</f>
        <v/>
      </c>
      <c r="N2701" s="2" t="str">
        <f aca="false"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 t="str">
        <f aca="false">IF(OR(F2701="",G2701=""),"",IF(G2701&lt;='RETRATO 2027'!$K$5,"CONCLUÍDA",IF(F2701&lt;='RETRATO 2027'!$K$5,"EM ANDAMENTO","A INICIAR")))</f>
        <v/>
      </c>
    </row>
    <row r="2702" customFormat="false" ht="15" hidden="false" customHeight="false" outlineLevel="0" collapsed="false">
      <c r="M2702" s="2" t="str">
        <f aca="false">IF(C2702="","",IFERROR(INDEX($S$5:$S$304,MATCH(C2702,$R$5:$R$304,0))&amp;"","?"))</f>
        <v/>
      </c>
      <c r="N2702" s="2" t="str">
        <f aca="false"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 t="str">
        <f aca="false">IF(OR(F2702="",G2702=""),"",IF(G2702&lt;='RETRATO 2027'!$K$5,"CONCLUÍDA",IF(F2702&lt;='RETRATO 2027'!$K$5,"EM ANDAMENTO","A INICIAR")))</f>
        <v/>
      </c>
    </row>
    <row r="2703" customFormat="false" ht="15" hidden="false" customHeight="false" outlineLevel="0" collapsed="false">
      <c r="M2703" s="2" t="str">
        <f aca="false">IF(C2703="","",IFERROR(INDEX($S$5:$S$304,MATCH(C2703,$R$5:$R$304,0))&amp;"","?"))</f>
        <v/>
      </c>
      <c r="N2703" s="2" t="str">
        <f aca="false"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 t="str">
        <f aca="false">IF(OR(F2703="",G2703=""),"",IF(G2703&lt;='RETRATO 2027'!$K$5,"CONCLUÍDA",IF(F2703&lt;='RETRATO 2027'!$K$5,"EM ANDAMENTO","A INICIAR")))</f>
        <v/>
      </c>
    </row>
    <row r="2704" customFormat="false" ht="15" hidden="false" customHeight="false" outlineLevel="0" collapsed="false">
      <c r="M2704" s="2" t="str">
        <f aca="false">IF(C2704="","",IFERROR(INDEX($S$5:$S$304,MATCH(C2704,$R$5:$R$304,0))&amp;"","?"))</f>
        <v/>
      </c>
      <c r="N2704" s="2" t="str">
        <f aca="false"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 t="str">
        <f aca="false">IF(OR(F2704="",G2704=""),"",IF(G2704&lt;='RETRATO 2027'!$K$5,"CONCLUÍDA",IF(F2704&lt;='RETRATO 2027'!$K$5,"EM ANDAMENTO","A INICIAR")))</f>
        <v/>
      </c>
    </row>
    <row r="2705" customFormat="false" ht="15" hidden="false" customHeight="false" outlineLevel="0" collapsed="false">
      <c r="M2705" s="2" t="str">
        <f aca="false">IF(C2705="","",IFERROR(INDEX($S$5:$S$304,MATCH(C2705,$R$5:$R$304,0))&amp;"","?"))</f>
        <v/>
      </c>
      <c r="N2705" s="2" t="str">
        <f aca="false"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 t="str">
        <f aca="false">IF(OR(F2705="",G2705=""),"",IF(G2705&lt;='RETRATO 2027'!$K$5,"CONCLUÍDA",IF(F2705&lt;='RETRATO 2027'!$K$5,"EM ANDAMENTO","A INICIAR")))</f>
        <v/>
      </c>
    </row>
    <row r="2706" customFormat="false" ht="15" hidden="false" customHeight="false" outlineLevel="0" collapsed="false">
      <c r="M2706" s="2" t="str">
        <f aca="false">IF(C2706="","",IFERROR(INDEX($S$5:$S$304,MATCH(C2706,$R$5:$R$304,0))&amp;"","?"))</f>
        <v/>
      </c>
      <c r="N2706" s="2" t="str">
        <f aca="false"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 t="str">
        <f aca="false">IF(OR(F2706="",G2706=""),"",IF(G2706&lt;='RETRATO 2027'!$K$5,"CONCLUÍDA",IF(F2706&lt;='RETRATO 2027'!$K$5,"EM ANDAMENTO","A INICIAR")))</f>
        <v/>
      </c>
    </row>
    <row r="2707" customFormat="false" ht="15" hidden="false" customHeight="false" outlineLevel="0" collapsed="false">
      <c r="M2707" s="2" t="str">
        <f aca="false">IF(C2707="","",IFERROR(INDEX($S$5:$S$304,MATCH(C2707,$R$5:$R$304,0))&amp;"","?"))</f>
        <v/>
      </c>
      <c r="N2707" s="2" t="str">
        <f aca="false"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 t="str">
        <f aca="false">IF(OR(F2707="",G2707=""),"",IF(G2707&lt;='RETRATO 2027'!$K$5,"CONCLUÍDA",IF(F2707&lt;='RETRATO 2027'!$K$5,"EM ANDAMENTO","A INICIAR")))</f>
        <v/>
      </c>
    </row>
    <row r="2708" customFormat="false" ht="15" hidden="false" customHeight="false" outlineLevel="0" collapsed="false">
      <c r="M2708" s="2" t="str">
        <f aca="false">IF(C2708="","",IFERROR(INDEX($S$5:$S$304,MATCH(C2708,$R$5:$R$304,0))&amp;"","?"))</f>
        <v/>
      </c>
      <c r="N2708" s="2" t="str">
        <f aca="false"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 t="str">
        <f aca="false">IF(OR(F2708="",G2708=""),"",IF(G2708&lt;='RETRATO 2027'!$K$5,"CONCLUÍDA",IF(F2708&lt;='RETRATO 2027'!$K$5,"EM ANDAMENTO","A INICIAR")))</f>
        <v/>
      </c>
    </row>
    <row r="2709" customFormat="false" ht="15" hidden="false" customHeight="false" outlineLevel="0" collapsed="false">
      <c r="M2709" s="2" t="str">
        <f aca="false">IF(C2709="","",IFERROR(INDEX($S$5:$S$304,MATCH(C2709,$R$5:$R$304,0))&amp;"","?"))</f>
        <v/>
      </c>
      <c r="N2709" s="2" t="str">
        <f aca="false"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 t="str">
        <f aca="false">IF(OR(F2709="",G2709=""),"",IF(G2709&lt;='RETRATO 2027'!$K$5,"CONCLUÍDA",IF(F2709&lt;='RETRATO 2027'!$K$5,"EM ANDAMENTO","A INICIAR")))</f>
        <v/>
      </c>
    </row>
    <row r="2710" customFormat="false" ht="15" hidden="false" customHeight="false" outlineLevel="0" collapsed="false">
      <c r="M2710" s="2" t="str">
        <f aca="false">IF(C2710="","",IFERROR(INDEX($S$5:$S$304,MATCH(C2710,$R$5:$R$304,0))&amp;"","?"))</f>
        <v/>
      </c>
      <c r="N2710" s="2" t="str">
        <f aca="false"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 t="str">
        <f aca="false">IF(OR(F2710="",G2710=""),"",IF(G2710&lt;='RETRATO 2027'!$K$5,"CONCLUÍDA",IF(F2710&lt;='RETRATO 2027'!$K$5,"EM ANDAMENTO","A INICIAR")))</f>
        <v/>
      </c>
    </row>
    <row r="2711" customFormat="false" ht="15" hidden="false" customHeight="false" outlineLevel="0" collapsed="false">
      <c r="M2711" s="2" t="str">
        <f aca="false">IF(C2711="","",IFERROR(INDEX($S$5:$S$304,MATCH(C2711,$R$5:$R$304,0))&amp;"","?"))</f>
        <v/>
      </c>
      <c r="N2711" s="2" t="str">
        <f aca="false"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 t="str">
        <f aca="false">IF(OR(F2711="",G2711=""),"",IF(G2711&lt;='RETRATO 2027'!$K$5,"CONCLUÍDA",IF(F2711&lt;='RETRATO 2027'!$K$5,"EM ANDAMENTO","A INICIAR")))</f>
        <v/>
      </c>
    </row>
    <row r="2712" customFormat="false" ht="15" hidden="false" customHeight="false" outlineLevel="0" collapsed="false">
      <c r="M2712" s="2" t="str">
        <f aca="false">IF(C2712="","",IFERROR(INDEX($S$5:$S$304,MATCH(C2712,$R$5:$R$304,0))&amp;"","?"))</f>
        <v/>
      </c>
      <c r="N2712" s="2" t="str">
        <f aca="false"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 t="str">
        <f aca="false">IF(OR(F2712="",G2712=""),"",IF(G2712&lt;='RETRATO 2027'!$K$5,"CONCLUÍDA",IF(F2712&lt;='RETRATO 2027'!$K$5,"EM ANDAMENTO","A INICIAR")))</f>
        <v/>
      </c>
    </row>
    <row r="2713" customFormat="false" ht="15" hidden="false" customHeight="false" outlineLevel="0" collapsed="false">
      <c r="M2713" s="2" t="str">
        <f aca="false">IF(C2713="","",IFERROR(INDEX($S$5:$S$304,MATCH(C2713,$R$5:$R$304,0))&amp;"","?"))</f>
        <v/>
      </c>
      <c r="N2713" s="2" t="str">
        <f aca="false"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 t="str">
        <f aca="false">IF(OR(F2713="",G2713=""),"",IF(G2713&lt;='RETRATO 2027'!$K$5,"CONCLUÍDA",IF(F2713&lt;='RETRATO 2027'!$K$5,"EM ANDAMENTO","A INICIAR")))</f>
        <v/>
      </c>
    </row>
    <row r="2714" customFormat="false" ht="15" hidden="false" customHeight="false" outlineLevel="0" collapsed="false">
      <c r="M2714" s="2" t="str">
        <f aca="false">IF(C2714="","",IFERROR(INDEX($S$5:$S$304,MATCH(C2714,$R$5:$R$304,0))&amp;"","?"))</f>
        <v/>
      </c>
      <c r="N2714" s="2" t="str">
        <f aca="false"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 t="str">
        <f aca="false">IF(OR(F2714="",G2714=""),"",IF(G2714&lt;='RETRATO 2027'!$K$5,"CONCLUÍDA",IF(F2714&lt;='RETRATO 2027'!$K$5,"EM ANDAMENTO","A INICIAR")))</f>
        <v/>
      </c>
    </row>
    <row r="2715" customFormat="false" ht="15" hidden="false" customHeight="false" outlineLevel="0" collapsed="false">
      <c r="M2715" s="2" t="str">
        <f aca="false">IF(C2715="","",IFERROR(INDEX($S$5:$S$304,MATCH(C2715,$R$5:$R$304,0))&amp;"","?"))</f>
        <v/>
      </c>
      <c r="N2715" s="2" t="str">
        <f aca="false"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 t="str">
        <f aca="false">IF(OR(F2715="",G2715=""),"",IF(G2715&lt;='RETRATO 2027'!$K$5,"CONCLUÍDA",IF(F2715&lt;='RETRATO 2027'!$K$5,"EM ANDAMENTO","A INICIAR")))</f>
        <v/>
      </c>
    </row>
    <row r="2716" customFormat="false" ht="15" hidden="false" customHeight="false" outlineLevel="0" collapsed="false">
      <c r="M2716" s="2" t="str">
        <f aca="false">IF(C2716="","",IFERROR(INDEX($S$5:$S$304,MATCH(C2716,$R$5:$R$304,0))&amp;"","?"))</f>
        <v/>
      </c>
      <c r="N2716" s="2" t="str">
        <f aca="false"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 t="str">
        <f aca="false">IF(OR(F2716="",G2716=""),"",IF(G2716&lt;='RETRATO 2027'!$K$5,"CONCLUÍDA",IF(F2716&lt;='RETRATO 2027'!$K$5,"EM ANDAMENTO","A INICIAR")))</f>
        <v/>
      </c>
    </row>
    <row r="2717" customFormat="false" ht="15" hidden="false" customHeight="false" outlineLevel="0" collapsed="false">
      <c r="M2717" s="2" t="str">
        <f aca="false">IF(C2717="","",IFERROR(INDEX($S$5:$S$304,MATCH(C2717,$R$5:$R$304,0))&amp;"","?"))</f>
        <v/>
      </c>
      <c r="N2717" s="2" t="str">
        <f aca="false"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 t="str">
        <f aca="false">IF(OR(F2717="",G2717=""),"",IF(G2717&lt;='RETRATO 2027'!$K$5,"CONCLUÍDA",IF(F2717&lt;='RETRATO 2027'!$K$5,"EM ANDAMENTO","A INICIAR")))</f>
        <v/>
      </c>
    </row>
    <row r="2718" customFormat="false" ht="15" hidden="false" customHeight="false" outlineLevel="0" collapsed="false">
      <c r="M2718" s="2" t="str">
        <f aca="false">IF(C2718="","",IFERROR(INDEX($S$5:$S$304,MATCH(C2718,$R$5:$R$304,0))&amp;"","?"))</f>
        <v/>
      </c>
      <c r="N2718" s="2" t="str">
        <f aca="false"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 t="str">
        <f aca="false">IF(OR(F2718="",G2718=""),"",IF(G2718&lt;='RETRATO 2027'!$K$5,"CONCLUÍDA",IF(F2718&lt;='RETRATO 2027'!$K$5,"EM ANDAMENTO","A INICIAR")))</f>
        <v/>
      </c>
    </row>
    <row r="2719" customFormat="false" ht="15" hidden="false" customHeight="false" outlineLevel="0" collapsed="false">
      <c r="M2719" s="2" t="str">
        <f aca="false">IF(C2719="","",IFERROR(INDEX($S$5:$S$304,MATCH(C2719,$R$5:$R$304,0))&amp;"","?"))</f>
        <v/>
      </c>
      <c r="N2719" s="2" t="str">
        <f aca="false"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 t="str">
        <f aca="false">IF(OR(F2719="",G2719=""),"",IF(G2719&lt;='RETRATO 2027'!$K$5,"CONCLUÍDA",IF(F2719&lt;='RETRATO 2027'!$K$5,"EM ANDAMENTO","A INICIAR")))</f>
        <v/>
      </c>
    </row>
    <row r="2720" customFormat="false" ht="15" hidden="false" customHeight="false" outlineLevel="0" collapsed="false">
      <c r="M2720" s="2" t="str">
        <f aca="false">IF(C2720="","",IFERROR(INDEX($S$5:$S$304,MATCH(C2720,$R$5:$R$304,0))&amp;"","?"))</f>
        <v/>
      </c>
      <c r="N2720" s="2" t="str">
        <f aca="false"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 t="str">
        <f aca="false">IF(OR(F2720="",G2720=""),"",IF(G2720&lt;='RETRATO 2027'!$K$5,"CONCLUÍDA",IF(F2720&lt;='RETRATO 2027'!$K$5,"EM ANDAMENTO","A INICIAR")))</f>
        <v/>
      </c>
    </row>
    <row r="2721" customFormat="false" ht="15" hidden="false" customHeight="false" outlineLevel="0" collapsed="false">
      <c r="M2721" s="2" t="str">
        <f aca="false">IF(C2721="","",IFERROR(INDEX($S$5:$S$304,MATCH(C2721,$R$5:$R$304,0))&amp;"","?"))</f>
        <v/>
      </c>
      <c r="N2721" s="2" t="str">
        <f aca="false"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 t="str">
        <f aca="false">IF(OR(F2721="",G2721=""),"",IF(G2721&lt;='RETRATO 2027'!$K$5,"CONCLUÍDA",IF(F2721&lt;='RETRATO 2027'!$K$5,"EM ANDAMENTO","A INICIAR")))</f>
        <v/>
      </c>
    </row>
    <row r="2722" customFormat="false" ht="15" hidden="false" customHeight="false" outlineLevel="0" collapsed="false">
      <c r="M2722" s="2" t="str">
        <f aca="false">IF(C2722="","",IFERROR(INDEX($S$5:$S$304,MATCH(C2722,$R$5:$R$304,0))&amp;"","?"))</f>
        <v/>
      </c>
      <c r="N2722" s="2" t="str">
        <f aca="false"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 t="str">
        <f aca="false">IF(OR(F2722="",G2722=""),"",IF(G2722&lt;='RETRATO 2027'!$K$5,"CONCLUÍDA",IF(F2722&lt;='RETRATO 2027'!$K$5,"EM ANDAMENTO","A INICIAR")))</f>
        <v/>
      </c>
    </row>
    <row r="2723" customFormat="false" ht="15" hidden="false" customHeight="false" outlineLevel="0" collapsed="false">
      <c r="M2723" s="2" t="str">
        <f aca="false">IF(C2723="","",IFERROR(INDEX($S$5:$S$304,MATCH(C2723,$R$5:$R$304,0))&amp;"","?"))</f>
        <v/>
      </c>
      <c r="N2723" s="2" t="str">
        <f aca="false"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 t="str">
        <f aca="false">IF(OR(F2723="",G2723=""),"",IF(G2723&lt;='RETRATO 2027'!$K$5,"CONCLUÍDA",IF(F2723&lt;='RETRATO 2027'!$K$5,"EM ANDAMENTO","A INICIAR")))</f>
        <v/>
      </c>
    </row>
    <row r="2724" customFormat="false" ht="15" hidden="false" customHeight="false" outlineLevel="0" collapsed="false">
      <c r="M2724" s="2" t="str">
        <f aca="false">IF(C2724="","",IFERROR(INDEX($S$5:$S$304,MATCH(C2724,$R$5:$R$304,0))&amp;"","?"))</f>
        <v/>
      </c>
      <c r="N2724" s="2" t="str">
        <f aca="false"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 t="str">
        <f aca="false">IF(OR(F2724="",G2724=""),"",IF(G2724&lt;='RETRATO 2027'!$K$5,"CONCLUÍDA",IF(F2724&lt;='RETRATO 2027'!$K$5,"EM ANDAMENTO","A INICIAR")))</f>
        <v/>
      </c>
    </row>
    <row r="2725" customFormat="false" ht="15" hidden="false" customHeight="false" outlineLevel="0" collapsed="false">
      <c r="M2725" s="2" t="str">
        <f aca="false">IF(C2725="","",IFERROR(INDEX($S$5:$S$304,MATCH(C2725,$R$5:$R$304,0))&amp;"","?"))</f>
        <v/>
      </c>
      <c r="N2725" s="2" t="str">
        <f aca="false"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 t="str">
        <f aca="false">IF(OR(F2725="",G2725=""),"",IF(G2725&lt;='RETRATO 2027'!$K$5,"CONCLUÍDA",IF(F2725&lt;='RETRATO 2027'!$K$5,"EM ANDAMENTO","A INICIAR")))</f>
        <v/>
      </c>
    </row>
    <row r="2726" customFormat="false" ht="15" hidden="false" customHeight="false" outlineLevel="0" collapsed="false">
      <c r="M2726" s="2" t="str">
        <f aca="false">IF(C2726="","",IFERROR(INDEX($S$5:$S$304,MATCH(C2726,$R$5:$R$304,0))&amp;"","?"))</f>
        <v/>
      </c>
      <c r="N2726" s="2" t="str">
        <f aca="false"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 t="str">
        <f aca="false">IF(OR(F2726="",G2726=""),"",IF(G2726&lt;='RETRATO 2027'!$K$5,"CONCLUÍDA",IF(F2726&lt;='RETRATO 2027'!$K$5,"EM ANDAMENTO","A INICIAR")))</f>
        <v/>
      </c>
    </row>
    <row r="2727" customFormat="false" ht="15" hidden="false" customHeight="false" outlineLevel="0" collapsed="false">
      <c r="M2727" s="2" t="str">
        <f aca="false">IF(C2727="","",IFERROR(INDEX($S$5:$S$304,MATCH(C2727,$R$5:$R$304,0))&amp;"","?"))</f>
        <v/>
      </c>
      <c r="N2727" s="2" t="str">
        <f aca="false"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 t="str">
        <f aca="false">IF(OR(F2727="",G2727=""),"",IF(G2727&lt;='RETRATO 2027'!$K$5,"CONCLUÍDA",IF(F2727&lt;='RETRATO 2027'!$K$5,"EM ANDAMENTO","A INICIAR")))</f>
        <v/>
      </c>
    </row>
    <row r="2728" customFormat="false" ht="15" hidden="false" customHeight="false" outlineLevel="0" collapsed="false">
      <c r="M2728" s="2" t="str">
        <f aca="false">IF(C2728="","",IFERROR(INDEX($S$5:$S$304,MATCH(C2728,$R$5:$R$304,0))&amp;"","?"))</f>
        <v/>
      </c>
      <c r="N2728" s="2" t="str">
        <f aca="false"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 t="str">
        <f aca="false">IF(OR(F2728="",G2728=""),"",IF(G2728&lt;='RETRATO 2027'!$K$5,"CONCLUÍDA",IF(F2728&lt;='RETRATO 2027'!$K$5,"EM ANDAMENTO","A INICIAR")))</f>
        <v/>
      </c>
    </row>
    <row r="2729" customFormat="false" ht="15" hidden="false" customHeight="false" outlineLevel="0" collapsed="false">
      <c r="M2729" s="2" t="str">
        <f aca="false">IF(C2729="","",IFERROR(INDEX($S$5:$S$304,MATCH(C2729,$R$5:$R$304,0))&amp;"","?"))</f>
        <v/>
      </c>
      <c r="N2729" s="2" t="str">
        <f aca="false"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 t="str">
        <f aca="false">IF(OR(F2729="",G2729=""),"",IF(G2729&lt;='RETRATO 2027'!$K$5,"CONCLUÍDA",IF(F2729&lt;='RETRATO 2027'!$K$5,"EM ANDAMENTO","A INICIAR")))</f>
        <v/>
      </c>
    </row>
    <row r="2730" customFormat="false" ht="15" hidden="false" customHeight="false" outlineLevel="0" collapsed="false">
      <c r="M2730" s="2" t="str">
        <f aca="false">IF(C2730="","",IFERROR(INDEX($S$5:$S$304,MATCH(C2730,$R$5:$R$304,0))&amp;"","?"))</f>
        <v/>
      </c>
      <c r="N2730" s="2" t="str">
        <f aca="false"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 t="str">
        <f aca="false">IF(OR(F2730="",G2730=""),"",IF(G2730&lt;='RETRATO 2027'!$K$5,"CONCLUÍDA",IF(F2730&lt;='RETRATO 2027'!$K$5,"EM ANDAMENTO","A INICIAR")))</f>
        <v/>
      </c>
    </row>
    <row r="2731" customFormat="false" ht="15" hidden="false" customHeight="false" outlineLevel="0" collapsed="false">
      <c r="M2731" s="2" t="str">
        <f aca="false">IF(C2731="","",IFERROR(INDEX($S$5:$S$304,MATCH(C2731,$R$5:$R$304,0))&amp;"","?"))</f>
        <v/>
      </c>
      <c r="N2731" s="2" t="str">
        <f aca="false"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 t="str">
        <f aca="false">IF(OR(F2731="",G2731=""),"",IF(G2731&lt;='RETRATO 2027'!$K$5,"CONCLUÍDA",IF(F2731&lt;='RETRATO 2027'!$K$5,"EM ANDAMENTO","A INICIAR")))</f>
        <v/>
      </c>
    </row>
    <row r="2732" customFormat="false" ht="15" hidden="false" customHeight="false" outlineLevel="0" collapsed="false">
      <c r="M2732" s="2" t="str">
        <f aca="false">IF(C2732="","",IFERROR(INDEX($S$5:$S$304,MATCH(C2732,$R$5:$R$304,0))&amp;"","?"))</f>
        <v/>
      </c>
      <c r="N2732" s="2" t="str">
        <f aca="false"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 t="str">
        <f aca="false">IF(OR(F2732="",G2732=""),"",IF(G2732&lt;='RETRATO 2027'!$K$5,"CONCLUÍDA",IF(F2732&lt;='RETRATO 2027'!$K$5,"EM ANDAMENTO","A INICIAR")))</f>
        <v/>
      </c>
    </row>
    <row r="2733" customFormat="false" ht="15" hidden="false" customHeight="false" outlineLevel="0" collapsed="false">
      <c r="M2733" s="2" t="str">
        <f aca="false">IF(C2733="","",IFERROR(INDEX($S$5:$S$304,MATCH(C2733,$R$5:$R$304,0))&amp;"","?"))</f>
        <v/>
      </c>
      <c r="N2733" s="2" t="str">
        <f aca="false"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 t="str">
        <f aca="false">IF(OR(F2733="",G2733=""),"",IF(G2733&lt;='RETRATO 2027'!$K$5,"CONCLUÍDA",IF(F2733&lt;='RETRATO 2027'!$K$5,"EM ANDAMENTO","A INICIAR")))</f>
        <v/>
      </c>
    </row>
    <row r="2734" customFormat="false" ht="15" hidden="false" customHeight="false" outlineLevel="0" collapsed="false">
      <c r="M2734" s="2" t="str">
        <f aca="false">IF(C2734="","",IFERROR(INDEX($S$5:$S$304,MATCH(C2734,$R$5:$R$304,0))&amp;"","?"))</f>
        <v/>
      </c>
      <c r="N2734" s="2" t="str">
        <f aca="false"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 t="str">
        <f aca="false">IF(OR(F2734="",G2734=""),"",IF(G2734&lt;='RETRATO 2027'!$K$5,"CONCLUÍDA",IF(F2734&lt;='RETRATO 2027'!$K$5,"EM ANDAMENTO","A INICIAR")))</f>
        <v/>
      </c>
    </row>
    <row r="2735" customFormat="false" ht="15" hidden="false" customHeight="false" outlineLevel="0" collapsed="false">
      <c r="M2735" s="2" t="str">
        <f aca="false">IF(C2735="","",IFERROR(INDEX($S$5:$S$304,MATCH(C2735,$R$5:$R$304,0))&amp;"","?"))</f>
        <v/>
      </c>
      <c r="N2735" s="2" t="str">
        <f aca="false"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 t="str">
        <f aca="false">IF(OR(F2735="",G2735=""),"",IF(G2735&lt;='RETRATO 2027'!$K$5,"CONCLUÍDA",IF(F2735&lt;='RETRATO 2027'!$K$5,"EM ANDAMENTO","A INICIAR")))</f>
        <v/>
      </c>
    </row>
    <row r="2736" customFormat="false" ht="15" hidden="false" customHeight="false" outlineLevel="0" collapsed="false">
      <c r="M2736" s="2" t="str">
        <f aca="false">IF(C2736="","",IFERROR(INDEX($S$5:$S$304,MATCH(C2736,$R$5:$R$304,0))&amp;"","?"))</f>
        <v/>
      </c>
      <c r="N2736" s="2" t="str">
        <f aca="false"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 t="str">
        <f aca="false">IF(OR(F2736="",G2736=""),"",IF(G2736&lt;='RETRATO 2027'!$K$5,"CONCLUÍDA",IF(F2736&lt;='RETRATO 2027'!$K$5,"EM ANDAMENTO","A INICIAR")))</f>
        <v/>
      </c>
    </row>
    <row r="2737" customFormat="false" ht="15" hidden="false" customHeight="false" outlineLevel="0" collapsed="false">
      <c r="M2737" s="2" t="str">
        <f aca="false">IF(C2737="","",IFERROR(INDEX($S$5:$S$304,MATCH(C2737,$R$5:$R$304,0))&amp;"","?"))</f>
        <v/>
      </c>
      <c r="N2737" s="2" t="str">
        <f aca="false"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 t="str">
        <f aca="false">IF(OR(F2737="",G2737=""),"",IF(G2737&lt;='RETRATO 2027'!$K$5,"CONCLUÍDA",IF(F2737&lt;='RETRATO 2027'!$K$5,"EM ANDAMENTO","A INICIAR")))</f>
        <v/>
      </c>
    </row>
    <row r="2738" customFormat="false" ht="15" hidden="false" customHeight="false" outlineLevel="0" collapsed="false">
      <c r="M2738" s="2" t="str">
        <f aca="false">IF(C2738="","",IFERROR(INDEX($S$5:$S$304,MATCH(C2738,$R$5:$R$304,0))&amp;"","?"))</f>
        <v/>
      </c>
      <c r="N2738" s="2" t="str">
        <f aca="false"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 t="str">
        <f aca="false">IF(OR(F2738="",G2738=""),"",IF(G2738&lt;='RETRATO 2027'!$K$5,"CONCLUÍDA",IF(F2738&lt;='RETRATO 2027'!$K$5,"EM ANDAMENTO","A INICIAR")))</f>
        <v/>
      </c>
    </row>
    <row r="2739" customFormat="false" ht="15" hidden="false" customHeight="false" outlineLevel="0" collapsed="false">
      <c r="M2739" s="2" t="str">
        <f aca="false">IF(C2739="","",IFERROR(INDEX($S$5:$S$304,MATCH(C2739,$R$5:$R$304,0))&amp;"","?"))</f>
        <v/>
      </c>
      <c r="N2739" s="2" t="str">
        <f aca="false"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 t="str">
        <f aca="false">IF(OR(F2739="",G2739=""),"",IF(G2739&lt;='RETRATO 2027'!$K$5,"CONCLUÍDA",IF(F2739&lt;='RETRATO 2027'!$K$5,"EM ANDAMENTO","A INICIAR")))</f>
        <v/>
      </c>
    </row>
    <row r="2740" customFormat="false" ht="15" hidden="false" customHeight="false" outlineLevel="0" collapsed="false">
      <c r="M2740" s="2" t="str">
        <f aca="false">IF(C2740="","",IFERROR(INDEX($S$5:$S$304,MATCH(C2740,$R$5:$R$304,0))&amp;"","?"))</f>
        <v/>
      </c>
      <c r="N2740" s="2" t="str">
        <f aca="false"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 t="str">
        <f aca="false">IF(OR(F2740="",G2740=""),"",IF(G2740&lt;='RETRATO 2027'!$K$5,"CONCLUÍDA",IF(F2740&lt;='RETRATO 2027'!$K$5,"EM ANDAMENTO","A INICIAR")))</f>
        <v/>
      </c>
    </row>
    <row r="2741" customFormat="false" ht="15" hidden="false" customHeight="false" outlineLevel="0" collapsed="false">
      <c r="M2741" s="2" t="str">
        <f aca="false">IF(C2741="","",IFERROR(INDEX($S$5:$S$304,MATCH(C2741,$R$5:$R$304,0))&amp;"","?"))</f>
        <v/>
      </c>
      <c r="N2741" s="2" t="str">
        <f aca="false"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 t="str">
        <f aca="false">IF(OR(F2741="",G2741=""),"",IF(G2741&lt;='RETRATO 2027'!$K$5,"CONCLUÍDA",IF(F2741&lt;='RETRATO 2027'!$K$5,"EM ANDAMENTO","A INICIAR")))</f>
        <v/>
      </c>
    </row>
    <row r="2742" customFormat="false" ht="15" hidden="false" customHeight="false" outlineLevel="0" collapsed="false">
      <c r="M2742" s="2" t="str">
        <f aca="false">IF(C2742="","",IFERROR(INDEX($S$5:$S$304,MATCH(C2742,$R$5:$R$304,0))&amp;"","?"))</f>
        <v/>
      </c>
      <c r="N2742" s="2" t="str">
        <f aca="false"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 t="str">
        <f aca="false">IF(OR(F2742="",G2742=""),"",IF(G2742&lt;='RETRATO 2027'!$K$5,"CONCLUÍDA",IF(F2742&lt;='RETRATO 2027'!$K$5,"EM ANDAMENTO","A INICIAR")))</f>
        <v/>
      </c>
    </row>
    <row r="2743" customFormat="false" ht="15" hidden="false" customHeight="false" outlineLevel="0" collapsed="false">
      <c r="M2743" s="2" t="str">
        <f aca="false">IF(C2743="","",IFERROR(INDEX($S$5:$S$304,MATCH(C2743,$R$5:$R$304,0))&amp;"","?"))</f>
        <v/>
      </c>
      <c r="N2743" s="2" t="str">
        <f aca="false"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 t="str">
        <f aca="false">IF(OR(F2743="",G2743=""),"",IF(G2743&lt;='RETRATO 2027'!$K$5,"CONCLUÍDA",IF(F2743&lt;='RETRATO 2027'!$K$5,"EM ANDAMENTO","A INICIAR")))</f>
        <v/>
      </c>
    </row>
    <row r="2744" customFormat="false" ht="15" hidden="false" customHeight="false" outlineLevel="0" collapsed="false">
      <c r="M2744" s="2" t="str">
        <f aca="false">IF(C2744="","",IFERROR(INDEX($S$5:$S$304,MATCH(C2744,$R$5:$R$304,0))&amp;"","?"))</f>
        <v/>
      </c>
      <c r="N2744" s="2" t="str">
        <f aca="false"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 t="str">
        <f aca="false">IF(OR(F2744="",G2744=""),"",IF(G2744&lt;='RETRATO 2027'!$K$5,"CONCLUÍDA",IF(F2744&lt;='RETRATO 2027'!$K$5,"EM ANDAMENTO","A INICIAR")))</f>
        <v/>
      </c>
    </row>
    <row r="2745" customFormat="false" ht="15" hidden="false" customHeight="false" outlineLevel="0" collapsed="false">
      <c r="M2745" s="2" t="str">
        <f aca="false">IF(C2745="","",IFERROR(INDEX($S$5:$S$304,MATCH(C2745,$R$5:$R$304,0))&amp;"","?"))</f>
        <v/>
      </c>
      <c r="N2745" s="2" t="str">
        <f aca="false"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 t="str">
        <f aca="false">IF(OR(F2745="",G2745=""),"",IF(G2745&lt;='RETRATO 2027'!$K$5,"CONCLUÍDA",IF(F2745&lt;='RETRATO 2027'!$K$5,"EM ANDAMENTO","A INICIAR")))</f>
        <v/>
      </c>
    </row>
    <row r="2746" customFormat="false" ht="15" hidden="false" customHeight="false" outlineLevel="0" collapsed="false">
      <c r="M2746" s="2" t="str">
        <f aca="false">IF(C2746="","",IFERROR(INDEX($S$5:$S$304,MATCH(C2746,$R$5:$R$304,0))&amp;"","?"))</f>
        <v/>
      </c>
      <c r="N2746" s="2" t="str">
        <f aca="false"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 t="str">
        <f aca="false">IF(OR(F2746="",G2746=""),"",IF(G2746&lt;='RETRATO 2027'!$K$5,"CONCLUÍDA",IF(F2746&lt;='RETRATO 2027'!$K$5,"EM ANDAMENTO","A INICIAR")))</f>
        <v/>
      </c>
    </row>
    <row r="2747" customFormat="false" ht="15" hidden="false" customHeight="false" outlineLevel="0" collapsed="false">
      <c r="M2747" s="2" t="str">
        <f aca="false">IF(C2747="","",IFERROR(INDEX($S$5:$S$304,MATCH(C2747,$R$5:$R$304,0))&amp;"","?"))</f>
        <v/>
      </c>
      <c r="N2747" s="2" t="str">
        <f aca="false"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 t="str">
        <f aca="false">IF(OR(F2747="",G2747=""),"",IF(G2747&lt;='RETRATO 2027'!$K$5,"CONCLUÍDA",IF(F2747&lt;='RETRATO 2027'!$K$5,"EM ANDAMENTO","A INICIAR")))</f>
        <v/>
      </c>
    </row>
    <row r="2748" customFormat="false" ht="15" hidden="false" customHeight="false" outlineLevel="0" collapsed="false">
      <c r="M2748" s="2" t="str">
        <f aca="false">IF(C2748="","",IFERROR(INDEX($S$5:$S$304,MATCH(C2748,$R$5:$R$304,0))&amp;"","?"))</f>
        <v/>
      </c>
      <c r="N2748" s="2" t="str">
        <f aca="false"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 t="str">
        <f aca="false">IF(OR(F2748="",G2748=""),"",IF(G2748&lt;='RETRATO 2027'!$K$5,"CONCLUÍDA",IF(F2748&lt;='RETRATO 2027'!$K$5,"EM ANDAMENTO","A INICIAR")))</f>
        <v/>
      </c>
    </row>
    <row r="2749" customFormat="false" ht="15" hidden="false" customHeight="false" outlineLevel="0" collapsed="false">
      <c r="M2749" s="2" t="str">
        <f aca="false">IF(C2749="","",IFERROR(INDEX($S$5:$S$304,MATCH(C2749,$R$5:$R$304,0))&amp;"","?"))</f>
        <v/>
      </c>
      <c r="N2749" s="2" t="str">
        <f aca="false"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 t="str">
        <f aca="false">IF(OR(F2749="",G2749=""),"",IF(G2749&lt;='RETRATO 2027'!$K$5,"CONCLUÍDA",IF(F2749&lt;='RETRATO 2027'!$K$5,"EM ANDAMENTO","A INICIAR")))</f>
        <v/>
      </c>
    </row>
    <row r="2750" customFormat="false" ht="15" hidden="false" customHeight="false" outlineLevel="0" collapsed="false">
      <c r="M2750" s="2" t="str">
        <f aca="false">IF(C2750="","",IFERROR(INDEX($S$5:$S$304,MATCH(C2750,$R$5:$R$304,0))&amp;"","?"))</f>
        <v/>
      </c>
      <c r="N2750" s="2" t="str">
        <f aca="false"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 t="str">
        <f aca="false">IF(OR(F2750="",G2750=""),"",IF(G2750&lt;='RETRATO 2027'!$K$5,"CONCLUÍDA",IF(F2750&lt;='RETRATO 2027'!$K$5,"EM ANDAMENTO","A INICIAR")))</f>
        <v/>
      </c>
    </row>
    <row r="2751" customFormat="false" ht="15" hidden="false" customHeight="false" outlineLevel="0" collapsed="false">
      <c r="M2751" s="2" t="str">
        <f aca="false">IF(C2751="","",IFERROR(INDEX($S$5:$S$304,MATCH(C2751,$R$5:$R$304,0))&amp;"","?"))</f>
        <v/>
      </c>
      <c r="N2751" s="2" t="str">
        <f aca="false"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 t="str">
        <f aca="false">IF(OR(F2751="",G2751=""),"",IF(G2751&lt;='RETRATO 2027'!$K$5,"CONCLUÍDA",IF(F2751&lt;='RETRATO 2027'!$K$5,"EM ANDAMENTO","A INICIAR")))</f>
        <v/>
      </c>
    </row>
    <row r="2752" customFormat="false" ht="15" hidden="false" customHeight="false" outlineLevel="0" collapsed="false">
      <c r="M2752" s="2" t="str">
        <f aca="false">IF(C2752="","",IFERROR(INDEX($S$5:$S$304,MATCH(C2752,$R$5:$R$304,0))&amp;"","?"))</f>
        <v/>
      </c>
      <c r="N2752" s="2" t="str">
        <f aca="false"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 t="str">
        <f aca="false">IF(OR(F2752="",G2752=""),"",IF(G2752&lt;='RETRATO 2027'!$K$5,"CONCLUÍDA",IF(F2752&lt;='RETRATO 2027'!$K$5,"EM ANDAMENTO","A INICIAR")))</f>
        <v/>
      </c>
    </row>
    <row r="2753" customFormat="false" ht="15" hidden="false" customHeight="false" outlineLevel="0" collapsed="false">
      <c r="M2753" s="2" t="str">
        <f aca="false">IF(C2753="","",IFERROR(INDEX($S$5:$S$304,MATCH(C2753,$R$5:$R$304,0))&amp;"","?"))</f>
        <v/>
      </c>
      <c r="N2753" s="2" t="str">
        <f aca="false"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 t="str">
        <f aca="false">IF(OR(F2753="",G2753=""),"",IF(G2753&lt;='RETRATO 2027'!$K$5,"CONCLUÍDA",IF(F2753&lt;='RETRATO 2027'!$K$5,"EM ANDAMENTO","A INICIAR")))</f>
        <v/>
      </c>
    </row>
    <row r="2754" customFormat="false" ht="15" hidden="false" customHeight="false" outlineLevel="0" collapsed="false">
      <c r="M2754" s="2" t="str">
        <f aca="false">IF(C2754="","",IFERROR(INDEX($S$5:$S$304,MATCH(C2754,$R$5:$R$304,0))&amp;"","?"))</f>
        <v/>
      </c>
      <c r="N2754" s="2" t="str">
        <f aca="false"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 t="str">
        <f aca="false">IF(OR(F2754="",G2754=""),"",IF(G2754&lt;='RETRATO 2027'!$K$5,"CONCLUÍDA",IF(F2754&lt;='RETRATO 2027'!$K$5,"EM ANDAMENTO","A INICIAR")))</f>
        <v/>
      </c>
    </row>
    <row r="2755" customFormat="false" ht="15" hidden="false" customHeight="false" outlineLevel="0" collapsed="false">
      <c r="M2755" s="2" t="str">
        <f aca="false">IF(C2755="","",IFERROR(INDEX($S$5:$S$304,MATCH(C2755,$R$5:$R$304,0))&amp;"","?"))</f>
        <v/>
      </c>
      <c r="N2755" s="2" t="str">
        <f aca="false"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 t="str">
        <f aca="false">IF(OR(F2755="",G2755=""),"",IF(G2755&lt;='RETRATO 2027'!$K$5,"CONCLUÍDA",IF(F2755&lt;='RETRATO 2027'!$K$5,"EM ANDAMENTO","A INICIAR")))</f>
        <v/>
      </c>
    </row>
    <row r="2756" customFormat="false" ht="15" hidden="false" customHeight="false" outlineLevel="0" collapsed="false">
      <c r="M2756" s="2" t="str">
        <f aca="false">IF(C2756="","",IFERROR(INDEX($S$5:$S$304,MATCH(C2756,$R$5:$R$304,0))&amp;"","?"))</f>
        <v/>
      </c>
      <c r="N2756" s="2" t="str">
        <f aca="false"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 t="str">
        <f aca="false">IF(OR(F2756="",G2756=""),"",IF(G2756&lt;='RETRATO 2027'!$K$5,"CONCLUÍDA",IF(F2756&lt;='RETRATO 2027'!$K$5,"EM ANDAMENTO","A INICIAR")))</f>
        <v/>
      </c>
    </row>
    <row r="2757" customFormat="false" ht="15" hidden="false" customHeight="false" outlineLevel="0" collapsed="false">
      <c r="M2757" s="2" t="str">
        <f aca="false">IF(C2757="","",IFERROR(INDEX($S$5:$S$304,MATCH(C2757,$R$5:$R$304,0))&amp;"","?"))</f>
        <v/>
      </c>
      <c r="N2757" s="2" t="str">
        <f aca="false"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 t="str">
        <f aca="false">IF(OR(F2757="",G2757=""),"",IF(G2757&lt;='RETRATO 2027'!$K$5,"CONCLUÍDA",IF(F2757&lt;='RETRATO 2027'!$K$5,"EM ANDAMENTO","A INICIAR")))</f>
        <v/>
      </c>
    </row>
    <row r="2758" customFormat="false" ht="15" hidden="false" customHeight="false" outlineLevel="0" collapsed="false">
      <c r="M2758" s="2" t="str">
        <f aca="false">IF(C2758="","",IFERROR(INDEX($S$5:$S$304,MATCH(C2758,$R$5:$R$304,0))&amp;"","?"))</f>
        <v/>
      </c>
      <c r="N2758" s="2" t="str">
        <f aca="false"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 t="str">
        <f aca="false">IF(OR(F2758="",G2758=""),"",IF(G2758&lt;='RETRATO 2027'!$K$5,"CONCLUÍDA",IF(F2758&lt;='RETRATO 2027'!$K$5,"EM ANDAMENTO","A INICIAR")))</f>
        <v/>
      </c>
    </row>
    <row r="2759" customFormat="false" ht="15" hidden="false" customHeight="false" outlineLevel="0" collapsed="false">
      <c r="M2759" s="2" t="str">
        <f aca="false">IF(C2759="","",IFERROR(INDEX($S$5:$S$304,MATCH(C2759,$R$5:$R$304,0))&amp;"","?"))</f>
        <v/>
      </c>
      <c r="N2759" s="2" t="str">
        <f aca="false"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 t="str">
        <f aca="false">IF(OR(F2759="",G2759=""),"",IF(G2759&lt;='RETRATO 2027'!$K$5,"CONCLUÍDA",IF(F2759&lt;='RETRATO 2027'!$K$5,"EM ANDAMENTO","A INICIAR")))</f>
        <v/>
      </c>
    </row>
    <row r="2760" customFormat="false" ht="15" hidden="false" customHeight="false" outlineLevel="0" collapsed="false">
      <c r="M2760" s="2" t="str">
        <f aca="false">IF(C2760="","",IFERROR(INDEX($S$5:$S$304,MATCH(C2760,$R$5:$R$304,0))&amp;"","?"))</f>
        <v/>
      </c>
      <c r="N2760" s="2" t="str">
        <f aca="false"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 t="str">
        <f aca="false">IF(OR(F2760="",G2760=""),"",IF(G2760&lt;='RETRATO 2027'!$K$5,"CONCLUÍDA",IF(F2760&lt;='RETRATO 2027'!$K$5,"EM ANDAMENTO","A INICIAR")))</f>
        <v/>
      </c>
    </row>
    <row r="2761" customFormat="false" ht="15" hidden="false" customHeight="false" outlineLevel="0" collapsed="false">
      <c r="M2761" s="2" t="str">
        <f aca="false">IF(C2761="","",IFERROR(INDEX($S$5:$S$304,MATCH(C2761,$R$5:$R$304,0))&amp;"","?"))</f>
        <v/>
      </c>
      <c r="N2761" s="2" t="str">
        <f aca="false"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 t="str">
        <f aca="false">IF(OR(F2761="",G2761=""),"",IF(G2761&lt;='RETRATO 2027'!$K$5,"CONCLUÍDA",IF(F2761&lt;='RETRATO 2027'!$K$5,"EM ANDAMENTO","A INICIAR")))</f>
        <v/>
      </c>
    </row>
    <row r="2762" customFormat="false" ht="15" hidden="false" customHeight="false" outlineLevel="0" collapsed="false">
      <c r="M2762" s="2" t="str">
        <f aca="false">IF(C2762="","",IFERROR(INDEX($S$5:$S$304,MATCH(C2762,$R$5:$R$304,0))&amp;"","?"))</f>
        <v/>
      </c>
      <c r="N2762" s="2" t="str">
        <f aca="false"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 t="str">
        <f aca="false">IF(OR(F2762="",G2762=""),"",IF(G2762&lt;='RETRATO 2027'!$K$5,"CONCLUÍDA",IF(F2762&lt;='RETRATO 2027'!$K$5,"EM ANDAMENTO","A INICIAR")))</f>
        <v/>
      </c>
    </row>
    <row r="2763" customFormat="false" ht="15" hidden="false" customHeight="false" outlineLevel="0" collapsed="false">
      <c r="M2763" s="2" t="str">
        <f aca="false">IF(C2763="","",IFERROR(INDEX($S$5:$S$304,MATCH(C2763,$R$5:$R$304,0))&amp;"","?"))</f>
        <v/>
      </c>
      <c r="N2763" s="2" t="str">
        <f aca="false"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 t="str">
        <f aca="false">IF(OR(F2763="",G2763=""),"",IF(G2763&lt;='RETRATO 2027'!$K$5,"CONCLUÍDA",IF(F2763&lt;='RETRATO 2027'!$K$5,"EM ANDAMENTO","A INICIAR")))</f>
        <v/>
      </c>
    </row>
    <row r="2764" customFormat="false" ht="15" hidden="false" customHeight="false" outlineLevel="0" collapsed="false">
      <c r="M2764" s="2" t="str">
        <f aca="false">IF(C2764="","",IFERROR(INDEX($S$5:$S$304,MATCH(C2764,$R$5:$R$304,0))&amp;"","?"))</f>
        <v/>
      </c>
      <c r="N2764" s="2" t="str">
        <f aca="false"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 t="str">
        <f aca="false">IF(OR(F2764="",G2764=""),"",IF(G2764&lt;='RETRATO 2027'!$K$5,"CONCLUÍDA",IF(F2764&lt;='RETRATO 2027'!$K$5,"EM ANDAMENTO","A INICIAR")))</f>
        <v/>
      </c>
    </row>
    <row r="2765" customFormat="false" ht="15" hidden="false" customHeight="false" outlineLevel="0" collapsed="false">
      <c r="M2765" s="2" t="str">
        <f aca="false">IF(C2765="","",IFERROR(INDEX($S$5:$S$304,MATCH(C2765,$R$5:$R$304,0))&amp;"","?"))</f>
        <v/>
      </c>
      <c r="N2765" s="2" t="str">
        <f aca="false"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 t="str">
        <f aca="false">IF(OR(F2765="",G2765=""),"",IF(G2765&lt;='RETRATO 2027'!$K$5,"CONCLUÍDA",IF(F2765&lt;='RETRATO 2027'!$K$5,"EM ANDAMENTO","A INICIAR")))</f>
        <v/>
      </c>
    </row>
    <row r="2766" customFormat="false" ht="15" hidden="false" customHeight="false" outlineLevel="0" collapsed="false">
      <c r="M2766" s="2" t="str">
        <f aca="false">IF(C2766="","",IFERROR(INDEX($S$5:$S$304,MATCH(C2766,$R$5:$R$304,0))&amp;"","?"))</f>
        <v/>
      </c>
      <c r="N2766" s="2" t="str">
        <f aca="false"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 t="str">
        <f aca="false">IF(OR(F2766="",G2766=""),"",IF(G2766&lt;='RETRATO 2027'!$K$5,"CONCLUÍDA",IF(F2766&lt;='RETRATO 2027'!$K$5,"EM ANDAMENTO","A INICIAR")))</f>
        <v/>
      </c>
    </row>
    <row r="2767" customFormat="false" ht="15" hidden="false" customHeight="false" outlineLevel="0" collapsed="false">
      <c r="M2767" s="2" t="str">
        <f aca="false">IF(C2767="","",IFERROR(INDEX($S$5:$S$304,MATCH(C2767,$R$5:$R$304,0))&amp;"","?"))</f>
        <v/>
      </c>
      <c r="N2767" s="2" t="str">
        <f aca="false"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 t="str">
        <f aca="false">IF(OR(F2767="",G2767=""),"",IF(G2767&lt;='RETRATO 2027'!$K$5,"CONCLUÍDA",IF(F2767&lt;='RETRATO 2027'!$K$5,"EM ANDAMENTO","A INICIAR")))</f>
        <v/>
      </c>
    </row>
    <row r="2768" customFormat="false" ht="15" hidden="false" customHeight="false" outlineLevel="0" collapsed="false">
      <c r="M2768" s="2" t="str">
        <f aca="false">IF(C2768="","",IFERROR(INDEX($S$5:$S$304,MATCH(C2768,$R$5:$R$304,0))&amp;"","?"))</f>
        <v/>
      </c>
      <c r="N2768" s="2" t="str">
        <f aca="false"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 t="str">
        <f aca="false">IF(OR(F2768="",G2768=""),"",IF(G2768&lt;='RETRATO 2027'!$K$5,"CONCLUÍDA",IF(F2768&lt;='RETRATO 2027'!$K$5,"EM ANDAMENTO","A INICIAR")))</f>
        <v/>
      </c>
    </row>
    <row r="2769" customFormat="false" ht="15" hidden="false" customHeight="false" outlineLevel="0" collapsed="false">
      <c r="M2769" s="2" t="str">
        <f aca="false">IF(C2769="","",IFERROR(INDEX($S$5:$S$304,MATCH(C2769,$R$5:$R$304,0))&amp;"","?"))</f>
        <v/>
      </c>
      <c r="N2769" s="2" t="str">
        <f aca="false"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 t="str">
        <f aca="false">IF(OR(F2769="",G2769=""),"",IF(G2769&lt;='RETRATO 2027'!$K$5,"CONCLUÍDA",IF(F2769&lt;='RETRATO 2027'!$K$5,"EM ANDAMENTO","A INICIAR")))</f>
        <v/>
      </c>
    </row>
    <row r="2770" customFormat="false" ht="15" hidden="false" customHeight="false" outlineLevel="0" collapsed="false">
      <c r="M2770" s="2" t="str">
        <f aca="false">IF(C2770="","",IFERROR(INDEX($S$5:$S$304,MATCH(C2770,$R$5:$R$304,0))&amp;"","?"))</f>
        <v/>
      </c>
      <c r="N2770" s="2" t="str">
        <f aca="false"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 t="str">
        <f aca="false">IF(OR(F2770="",G2770=""),"",IF(G2770&lt;='RETRATO 2027'!$K$5,"CONCLUÍDA",IF(F2770&lt;='RETRATO 2027'!$K$5,"EM ANDAMENTO","A INICIAR")))</f>
        <v/>
      </c>
    </row>
    <row r="2771" customFormat="false" ht="15" hidden="false" customHeight="false" outlineLevel="0" collapsed="false">
      <c r="M2771" s="2" t="str">
        <f aca="false">IF(C2771="","",IFERROR(INDEX($S$5:$S$304,MATCH(C2771,$R$5:$R$304,0))&amp;"","?"))</f>
        <v/>
      </c>
      <c r="N2771" s="2" t="str">
        <f aca="false"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 t="str">
        <f aca="false">IF(OR(F2771="",G2771=""),"",IF(G2771&lt;='RETRATO 2027'!$K$5,"CONCLUÍDA",IF(F2771&lt;='RETRATO 2027'!$K$5,"EM ANDAMENTO","A INICIAR")))</f>
        <v/>
      </c>
    </row>
    <row r="2772" customFormat="false" ht="15" hidden="false" customHeight="false" outlineLevel="0" collapsed="false">
      <c r="M2772" s="2" t="str">
        <f aca="false">IF(C2772="","",IFERROR(INDEX($S$5:$S$304,MATCH(C2772,$R$5:$R$304,0))&amp;"","?"))</f>
        <v/>
      </c>
      <c r="N2772" s="2" t="str">
        <f aca="false"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 t="str">
        <f aca="false">IF(OR(F2772="",G2772=""),"",IF(G2772&lt;='RETRATO 2027'!$K$5,"CONCLUÍDA",IF(F2772&lt;='RETRATO 2027'!$K$5,"EM ANDAMENTO","A INICIAR")))</f>
        <v/>
      </c>
    </row>
    <row r="2773" customFormat="false" ht="15" hidden="false" customHeight="false" outlineLevel="0" collapsed="false">
      <c r="M2773" s="2" t="str">
        <f aca="false">IF(C2773="","",IFERROR(INDEX($S$5:$S$304,MATCH(C2773,$R$5:$R$304,0))&amp;"","?"))</f>
        <v/>
      </c>
      <c r="N2773" s="2" t="str">
        <f aca="false"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 t="str">
        <f aca="false">IF(OR(F2773="",G2773=""),"",IF(G2773&lt;='RETRATO 2027'!$K$5,"CONCLUÍDA",IF(F2773&lt;='RETRATO 2027'!$K$5,"EM ANDAMENTO","A INICIAR")))</f>
        <v/>
      </c>
    </row>
    <row r="2774" customFormat="false" ht="15" hidden="false" customHeight="false" outlineLevel="0" collapsed="false">
      <c r="M2774" s="2" t="str">
        <f aca="false">IF(C2774="","",IFERROR(INDEX($S$5:$S$304,MATCH(C2774,$R$5:$R$304,0))&amp;"","?"))</f>
        <v/>
      </c>
      <c r="N2774" s="2" t="str">
        <f aca="false"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 t="str">
        <f aca="false">IF(OR(F2774="",G2774=""),"",IF(G2774&lt;='RETRATO 2027'!$K$5,"CONCLUÍDA",IF(F2774&lt;='RETRATO 2027'!$K$5,"EM ANDAMENTO","A INICIAR")))</f>
        <v/>
      </c>
    </row>
    <row r="2775" customFormat="false" ht="15" hidden="false" customHeight="false" outlineLevel="0" collapsed="false">
      <c r="M2775" s="2" t="str">
        <f aca="false">IF(C2775="","",IFERROR(INDEX($S$5:$S$304,MATCH(C2775,$R$5:$R$304,0))&amp;"","?"))</f>
        <v/>
      </c>
      <c r="N2775" s="2" t="str">
        <f aca="false"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 t="str">
        <f aca="false">IF(OR(F2775="",G2775=""),"",IF(G2775&lt;='RETRATO 2027'!$K$5,"CONCLUÍDA",IF(F2775&lt;='RETRATO 2027'!$K$5,"EM ANDAMENTO","A INICIAR")))</f>
        <v/>
      </c>
    </row>
    <row r="2776" customFormat="false" ht="15" hidden="false" customHeight="false" outlineLevel="0" collapsed="false">
      <c r="M2776" s="2" t="str">
        <f aca="false">IF(C2776="","",IFERROR(INDEX($S$5:$S$304,MATCH(C2776,$R$5:$R$304,0))&amp;"","?"))</f>
        <v/>
      </c>
      <c r="N2776" s="2" t="str">
        <f aca="false"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 t="str">
        <f aca="false">IF(OR(F2776="",G2776=""),"",IF(G2776&lt;='RETRATO 2027'!$K$5,"CONCLUÍDA",IF(F2776&lt;='RETRATO 2027'!$K$5,"EM ANDAMENTO","A INICIAR")))</f>
        <v/>
      </c>
    </row>
    <row r="2777" customFormat="false" ht="15" hidden="false" customHeight="false" outlineLevel="0" collapsed="false">
      <c r="M2777" s="2" t="str">
        <f aca="false">IF(C2777="","",IFERROR(INDEX($S$5:$S$304,MATCH(C2777,$R$5:$R$304,0))&amp;"","?"))</f>
        <v/>
      </c>
      <c r="N2777" s="2" t="str">
        <f aca="false"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 t="str">
        <f aca="false">IF(OR(F2777="",G2777=""),"",IF(G2777&lt;='RETRATO 2027'!$K$5,"CONCLUÍDA",IF(F2777&lt;='RETRATO 2027'!$K$5,"EM ANDAMENTO","A INICIAR")))</f>
        <v/>
      </c>
    </row>
    <row r="2778" customFormat="false" ht="15" hidden="false" customHeight="false" outlineLevel="0" collapsed="false">
      <c r="M2778" s="2" t="str">
        <f aca="false">IF(C2778="","",IFERROR(INDEX($S$5:$S$304,MATCH(C2778,$R$5:$R$304,0))&amp;"","?"))</f>
        <v/>
      </c>
      <c r="N2778" s="2" t="str">
        <f aca="false"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 t="str">
        <f aca="false">IF(OR(F2778="",G2778=""),"",IF(G2778&lt;='RETRATO 2027'!$K$5,"CONCLUÍDA",IF(F2778&lt;='RETRATO 2027'!$K$5,"EM ANDAMENTO","A INICIAR")))</f>
        <v/>
      </c>
    </row>
    <row r="2779" customFormat="false" ht="15" hidden="false" customHeight="false" outlineLevel="0" collapsed="false">
      <c r="M2779" s="2" t="str">
        <f aca="false">IF(C2779="","",IFERROR(INDEX($S$5:$S$304,MATCH(C2779,$R$5:$R$304,0))&amp;"","?"))</f>
        <v/>
      </c>
      <c r="N2779" s="2" t="str">
        <f aca="false"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 t="str">
        <f aca="false">IF(OR(F2779="",G2779=""),"",IF(G2779&lt;='RETRATO 2027'!$K$5,"CONCLUÍDA",IF(F2779&lt;='RETRATO 2027'!$K$5,"EM ANDAMENTO","A INICIAR")))</f>
        <v/>
      </c>
    </row>
    <row r="2780" customFormat="false" ht="15" hidden="false" customHeight="false" outlineLevel="0" collapsed="false">
      <c r="M2780" s="2" t="str">
        <f aca="false">IF(C2780="","",IFERROR(INDEX($S$5:$S$304,MATCH(C2780,$R$5:$R$304,0))&amp;"","?"))</f>
        <v/>
      </c>
      <c r="N2780" s="2" t="str">
        <f aca="false"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 t="str">
        <f aca="false">IF(OR(F2780="",G2780=""),"",IF(G2780&lt;='RETRATO 2027'!$K$5,"CONCLUÍDA",IF(F2780&lt;='RETRATO 2027'!$K$5,"EM ANDAMENTO","A INICIAR")))</f>
        <v/>
      </c>
    </row>
    <row r="2781" customFormat="false" ht="15" hidden="false" customHeight="false" outlineLevel="0" collapsed="false">
      <c r="M2781" s="2" t="str">
        <f aca="false">IF(C2781="","",IFERROR(INDEX($S$5:$S$304,MATCH(C2781,$R$5:$R$304,0))&amp;"","?"))</f>
        <v/>
      </c>
      <c r="N2781" s="2" t="str">
        <f aca="false"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 t="str">
        <f aca="false">IF(OR(F2781="",G2781=""),"",IF(G2781&lt;='RETRATO 2027'!$K$5,"CONCLUÍDA",IF(F2781&lt;='RETRATO 2027'!$K$5,"EM ANDAMENTO","A INICIAR")))</f>
        <v/>
      </c>
    </row>
    <row r="2782" customFormat="false" ht="15" hidden="false" customHeight="false" outlineLevel="0" collapsed="false">
      <c r="M2782" s="2" t="str">
        <f aca="false">IF(C2782="","",IFERROR(INDEX($S$5:$S$304,MATCH(C2782,$R$5:$R$304,0))&amp;"","?"))</f>
        <v/>
      </c>
      <c r="N2782" s="2" t="str">
        <f aca="false"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 t="str">
        <f aca="false">IF(OR(F2782="",G2782=""),"",IF(G2782&lt;='RETRATO 2027'!$K$5,"CONCLUÍDA",IF(F2782&lt;='RETRATO 2027'!$K$5,"EM ANDAMENTO","A INICIAR")))</f>
        <v/>
      </c>
    </row>
    <row r="2783" customFormat="false" ht="15" hidden="false" customHeight="false" outlineLevel="0" collapsed="false">
      <c r="M2783" s="2" t="str">
        <f aca="false">IF(C2783="","",IFERROR(INDEX($S$5:$S$304,MATCH(C2783,$R$5:$R$304,0))&amp;"","?"))</f>
        <v/>
      </c>
      <c r="N2783" s="2" t="str">
        <f aca="false"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 t="str">
        <f aca="false">IF(OR(F2783="",G2783=""),"",IF(G2783&lt;='RETRATO 2027'!$K$5,"CONCLUÍDA",IF(F2783&lt;='RETRATO 2027'!$K$5,"EM ANDAMENTO","A INICIAR")))</f>
        <v/>
      </c>
    </row>
    <row r="2784" customFormat="false" ht="15" hidden="false" customHeight="false" outlineLevel="0" collapsed="false">
      <c r="M2784" s="2" t="str">
        <f aca="false">IF(C2784="","",IFERROR(INDEX($S$5:$S$304,MATCH(C2784,$R$5:$R$304,0))&amp;"","?"))</f>
        <v/>
      </c>
      <c r="N2784" s="2" t="str">
        <f aca="false"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 t="str">
        <f aca="false">IF(OR(F2784="",G2784=""),"",IF(G2784&lt;='RETRATO 2027'!$K$5,"CONCLUÍDA",IF(F2784&lt;='RETRATO 2027'!$K$5,"EM ANDAMENTO","A INICIAR")))</f>
        <v/>
      </c>
    </row>
    <row r="2785" customFormat="false" ht="15" hidden="false" customHeight="false" outlineLevel="0" collapsed="false">
      <c r="M2785" s="2" t="str">
        <f aca="false">IF(C2785="","",IFERROR(INDEX($S$5:$S$304,MATCH(C2785,$R$5:$R$304,0))&amp;"","?"))</f>
        <v/>
      </c>
      <c r="N2785" s="2" t="str">
        <f aca="false"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 t="str">
        <f aca="false">IF(OR(F2785="",G2785=""),"",IF(G2785&lt;='RETRATO 2027'!$K$5,"CONCLUÍDA",IF(F2785&lt;='RETRATO 2027'!$K$5,"EM ANDAMENTO","A INICIAR")))</f>
        <v/>
      </c>
    </row>
    <row r="2786" customFormat="false" ht="15" hidden="false" customHeight="false" outlineLevel="0" collapsed="false">
      <c r="M2786" s="2" t="str">
        <f aca="false">IF(C2786="","",IFERROR(INDEX($S$5:$S$304,MATCH(C2786,$R$5:$R$304,0))&amp;"","?"))</f>
        <v/>
      </c>
      <c r="N2786" s="2" t="str">
        <f aca="false"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 t="str">
        <f aca="false">IF(OR(F2786="",G2786=""),"",IF(G2786&lt;='RETRATO 2027'!$K$5,"CONCLUÍDA",IF(F2786&lt;='RETRATO 2027'!$K$5,"EM ANDAMENTO","A INICIAR")))</f>
        <v/>
      </c>
    </row>
    <row r="2787" customFormat="false" ht="15" hidden="false" customHeight="false" outlineLevel="0" collapsed="false">
      <c r="M2787" s="2" t="str">
        <f aca="false">IF(C2787="","",IFERROR(INDEX($S$5:$S$304,MATCH(C2787,$R$5:$R$304,0))&amp;"","?"))</f>
        <v/>
      </c>
      <c r="N2787" s="2" t="str">
        <f aca="false"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 t="str">
        <f aca="false">IF(OR(F2787="",G2787=""),"",IF(G2787&lt;='RETRATO 2027'!$K$5,"CONCLUÍDA",IF(F2787&lt;='RETRATO 2027'!$K$5,"EM ANDAMENTO","A INICIAR")))</f>
        <v/>
      </c>
    </row>
    <row r="2788" customFormat="false" ht="15" hidden="false" customHeight="false" outlineLevel="0" collapsed="false">
      <c r="M2788" s="2" t="str">
        <f aca="false">IF(C2788="","",IFERROR(INDEX($S$5:$S$304,MATCH(C2788,$R$5:$R$304,0))&amp;"","?"))</f>
        <v/>
      </c>
      <c r="N2788" s="2" t="str">
        <f aca="false"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 t="str">
        <f aca="false">IF(OR(F2788="",G2788=""),"",IF(G2788&lt;='RETRATO 2027'!$K$5,"CONCLUÍDA",IF(F2788&lt;='RETRATO 2027'!$K$5,"EM ANDAMENTO","A INICIAR")))</f>
        <v/>
      </c>
    </row>
    <row r="2789" customFormat="false" ht="15" hidden="false" customHeight="false" outlineLevel="0" collapsed="false">
      <c r="M2789" s="2" t="str">
        <f aca="false">IF(C2789="","",IFERROR(INDEX($S$5:$S$304,MATCH(C2789,$R$5:$R$304,0))&amp;"","?"))</f>
        <v/>
      </c>
      <c r="N2789" s="2" t="str">
        <f aca="false"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 t="str">
        <f aca="false">IF(OR(F2789="",G2789=""),"",IF(G2789&lt;='RETRATO 2027'!$K$5,"CONCLUÍDA",IF(F2789&lt;='RETRATO 2027'!$K$5,"EM ANDAMENTO","A INICIAR")))</f>
        <v/>
      </c>
    </row>
    <row r="2790" customFormat="false" ht="15" hidden="false" customHeight="false" outlineLevel="0" collapsed="false">
      <c r="M2790" s="2" t="str">
        <f aca="false">IF(C2790="","",IFERROR(INDEX($S$5:$S$304,MATCH(C2790,$R$5:$R$304,0))&amp;"","?"))</f>
        <v/>
      </c>
      <c r="N2790" s="2" t="str">
        <f aca="false"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 t="str">
        <f aca="false">IF(OR(F2790="",G2790=""),"",IF(G2790&lt;='RETRATO 2027'!$K$5,"CONCLUÍDA",IF(F2790&lt;='RETRATO 2027'!$K$5,"EM ANDAMENTO","A INICIAR")))</f>
        <v/>
      </c>
    </row>
    <row r="2791" customFormat="false" ht="15" hidden="false" customHeight="false" outlineLevel="0" collapsed="false">
      <c r="M2791" s="2" t="str">
        <f aca="false">IF(C2791="","",IFERROR(INDEX($S$5:$S$304,MATCH(C2791,$R$5:$R$304,0))&amp;"","?"))</f>
        <v/>
      </c>
      <c r="N2791" s="2" t="str">
        <f aca="false"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 t="str">
        <f aca="false">IF(OR(F2791="",G2791=""),"",IF(G2791&lt;='RETRATO 2027'!$K$5,"CONCLUÍDA",IF(F2791&lt;='RETRATO 2027'!$K$5,"EM ANDAMENTO","A INICIAR")))</f>
        <v/>
      </c>
    </row>
    <row r="2792" customFormat="false" ht="15" hidden="false" customHeight="false" outlineLevel="0" collapsed="false">
      <c r="M2792" s="2" t="str">
        <f aca="false">IF(C2792="","",IFERROR(INDEX($S$5:$S$304,MATCH(C2792,$R$5:$R$304,0))&amp;"","?"))</f>
        <v/>
      </c>
      <c r="N2792" s="2" t="str">
        <f aca="false"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 t="str">
        <f aca="false">IF(OR(F2792="",G2792=""),"",IF(G2792&lt;='RETRATO 2027'!$K$5,"CONCLUÍDA",IF(F2792&lt;='RETRATO 2027'!$K$5,"EM ANDAMENTO","A INICIAR")))</f>
        <v/>
      </c>
    </row>
    <row r="2793" customFormat="false" ht="15" hidden="false" customHeight="false" outlineLevel="0" collapsed="false">
      <c r="M2793" s="2" t="str">
        <f aca="false">IF(C2793="","",IFERROR(INDEX($S$5:$S$304,MATCH(C2793,$R$5:$R$304,0))&amp;"","?"))</f>
        <v/>
      </c>
      <c r="N2793" s="2" t="str">
        <f aca="false"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 t="str">
        <f aca="false">IF(OR(F2793="",G2793=""),"",IF(G2793&lt;='RETRATO 2027'!$K$5,"CONCLUÍDA",IF(F2793&lt;='RETRATO 2027'!$K$5,"EM ANDAMENTO","A INICIAR")))</f>
        <v/>
      </c>
    </row>
    <row r="2794" customFormat="false" ht="15" hidden="false" customHeight="false" outlineLevel="0" collapsed="false">
      <c r="M2794" s="2" t="str">
        <f aca="false">IF(C2794="","",IFERROR(INDEX($S$5:$S$304,MATCH(C2794,$R$5:$R$304,0))&amp;"","?"))</f>
        <v/>
      </c>
      <c r="N2794" s="2" t="str">
        <f aca="false"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 t="str">
        <f aca="false">IF(OR(F2794="",G2794=""),"",IF(G2794&lt;='RETRATO 2027'!$K$5,"CONCLUÍDA",IF(F2794&lt;='RETRATO 2027'!$K$5,"EM ANDAMENTO","A INICIAR")))</f>
        <v/>
      </c>
    </row>
    <row r="2795" customFormat="false" ht="15" hidden="false" customHeight="false" outlineLevel="0" collapsed="false">
      <c r="M2795" s="2" t="str">
        <f aca="false">IF(C2795="","",IFERROR(INDEX($S$5:$S$304,MATCH(C2795,$R$5:$R$304,0))&amp;"","?"))</f>
        <v/>
      </c>
      <c r="N2795" s="2" t="str">
        <f aca="false"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 t="str">
        <f aca="false">IF(OR(F2795="",G2795=""),"",IF(G2795&lt;='RETRATO 2027'!$K$5,"CONCLUÍDA",IF(F2795&lt;='RETRATO 2027'!$K$5,"EM ANDAMENTO","A INICIAR")))</f>
        <v/>
      </c>
    </row>
    <row r="2796" customFormat="false" ht="15" hidden="false" customHeight="false" outlineLevel="0" collapsed="false">
      <c r="M2796" s="2" t="str">
        <f aca="false">IF(C2796="","",IFERROR(INDEX($S$5:$S$304,MATCH(C2796,$R$5:$R$304,0))&amp;"","?"))</f>
        <v/>
      </c>
      <c r="N2796" s="2" t="str">
        <f aca="false"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 t="str">
        <f aca="false">IF(OR(F2796="",G2796=""),"",IF(G2796&lt;='RETRATO 2027'!$K$5,"CONCLUÍDA",IF(F2796&lt;='RETRATO 2027'!$K$5,"EM ANDAMENTO","A INICIAR")))</f>
        <v/>
      </c>
    </row>
    <row r="2797" customFormat="false" ht="15" hidden="false" customHeight="false" outlineLevel="0" collapsed="false">
      <c r="M2797" s="2" t="str">
        <f aca="false">IF(C2797="","",IFERROR(INDEX($S$5:$S$304,MATCH(C2797,$R$5:$R$304,0))&amp;"","?"))</f>
        <v/>
      </c>
      <c r="N2797" s="2" t="str">
        <f aca="false"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 t="str">
        <f aca="false">IF(OR(F2797="",G2797=""),"",IF(G2797&lt;='RETRATO 2027'!$K$5,"CONCLUÍDA",IF(F2797&lt;='RETRATO 2027'!$K$5,"EM ANDAMENTO","A INICIAR")))</f>
        <v/>
      </c>
    </row>
    <row r="2798" customFormat="false" ht="15" hidden="false" customHeight="false" outlineLevel="0" collapsed="false">
      <c r="M2798" s="2" t="str">
        <f aca="false">IF(C2798="","",IFERROR(INDEX($S$5:$S$304,MATCH(C2798,$R$5:$R$304,0))&amp;"","?"))</f>
        <v/>
      </c>
      <c r="N2798" s="2" t="str">
        <f aca="false"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 t="str">
        <f aca="false">IF(OR(F2798="",G2798=""),"",IF(G2798&lt;='RETRATO 2027'!$K$5,"CONCLUÍDA",IF(F2798&lt;='RETRATO 2027'!$K$5,"EM ANDAMENTO","A INICIAR")))</f>
        <v/>
      </c>
    </row>
    <row r="2799" customFormat="false" ht="15" hidden="false" customHeight="false" outlineLevel="0" collapsed="false">
      <c r="M2799" s="2" t="str">
        <f aca="false">IF(C2799="","",IFERROR(INDEX($S$5:$S$304,MATCH(C2799,$R$5:$R$304,0))&amp;"","?"))</f>
        <v/>
      </c>
      <c r="N2799" s="2" t="str">
        <f aca="false"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 t="str">
        <f aca="false">IF(OR(F2799="",G2799=""),"",IF(G2799&lt;='RETRATO 2027'!$K$5,"CONCLUÍDA",IF(F2799&lt;='RETRATO 2027'!$K$5,"EM ANDAMENTO","A INICIAR")))</f>
        <v/>
      </c>
    </row>
    <row r="2800" customFormat="false" ht="15" hidden="false" customHeight="false" outlineLevel="0" collapsed="false">
      <c r="M2800" s="2" t="str">
        <f aca="false">IF(C2800="","",IFERROR(INDEX($S$5:$S$304,MATCH(C2800,$R$5:$R$304,0))&amp;"","?"))</f>
        <v/>
      </c>
      <c r="N2800" s="2" t="str">
        <f aca="false"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 t="str">
        <f aca="false">IF(OR(F2800="",G2800=""),"",IF(G2800&lt;='RETRATO 2027'!$K$5,"CONCLUÍDA",IF(F2800&lt;='RETRATO 2027'!$K$5,"EM ANDAMENTO","A INICIAR")))</f>
        <v/>
      </c>
    </row>
    <row r="2801" customFormat="false" ht="15" hidden="false" customHeight="false" outlineLevel="0" collapsed="false">
      <c r="M2801" s="2" t="str">
        <f aca="false">IF(C2801="","",IFERROR(INDEX($S$5:$S$304,MATCH(C2801,$R$5:$R$304,0))&amp;"","?"))</f>
        <v/>
      </c>
      <c r="N2801" s="2" t="str">
        <f aca="false"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 t="str">
        <f aca="false">IF(OR(F2801="",G2801=""),"",IF(G2801&lt;='RETRATO 2027'!$K$5,"CONCLUÍDA",IF(F2801&lt;='RETRATO 2027'!$K$5,"EM ANDAMENTO","A INICIAR")))</f>
        <v/>
      </c>
    </row>
    <row r="2802" customFormat="false" ht="15" hidden="false" customHeight="false" outlineLevel="0" collapsed="false">
      <c r="M2802" s="2" t="str">
        <f aca="false">IF(C2802="","",IFERROR(INDEX($S$5:$S$304,MATCH(C2802,$R$5:$R$304,0))&amp;"","?"))</f>
        <v/>
      </c>
      <c r="N2802" s="2" t="str">
        <f aca="false"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 t="str">
        <f aca="false">IF(OR(F2802="",G2802=""),"",IF(G2802&lt;='RETRATO 2027'!$K$5,"CONCLUÍDA",IF(F2802&lt;='RETRATO 2027'!$K$5,"EM ANDAMENTO","A INICIAR")))</f>
        <v/>
      </c>
    </row>
    <row r="2803" customFormat="false" ht="15" hidden="false" customHeight="false" outlineLevel="0" collapsed="false">
      <c r="M2803" s="2" t="str">
        <f aca="false">IF(C2803="","",IFERROR(INDEX($S$5:$S$304,MATCH(C2803,$R$5:$R$304,0))&amp;"","?"))</f>
        <v/>
      </c>
      <c r="N2803" s="2" t="str">
        <f aca="false"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 t="str">
        <f aca="false">IF(OR(F2803="",G2803=""),"",IF(G2803&lt;='RETRATO 2027'!$K$5,"CONCLUÍDA",IF(F2803&lt;='RETRATO 2027'!$K$5,"EM ANDAMENTO","A INICIAR")))</f>
        <v/>
      </c>
    </row>
    <row r="2804" customFormat="false" ht="15" hidden="false" customHeight="false" outlineLevel="0" collapsed="false">
      <c r="M2804" s="2" t="str">
        <f aca="false">IF(C2804="","",IFERROR(INDEX($S$5:$S$304,MATCH(C2804,$R$5:$R$304,0))&amp;"","?"))</f>
        <v/>
      </c>
      <c r="N2804" s="2" t="str">
        <f aca="false"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 t="str">
        <f aca="false">IF(OR(F2804="",G2804=""),"",IF(G2804&lt;='RETRATO 2027'!$K$5,"CONCLUÍDA",IF(F2804&lt;='RETRATO 2027'!$K$5,"EM ANDAMENTO","A INICIAR")))</f>
        <v/>
      </c>
    </row>
    <row r="2805" customFormat="false" ht="15" hidden="false" customHeight="false" outlineLevel="0" collapsed="false">
      <c r="M2805" s="2" t="str">
        <f aca="false">IF(C2805="","",IFERROR(INDEX($S$5:$S$304,MATCH(C2805,$R$5:$R$304,0))&amp;"","?"))</f>
        <v/>
      </c>
      <c r="N2805" s="2" t="str">
        <f aca="false"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 t="str">
        <f aca="false">IF(OR(F2805="",G2805=""),"",IF(G2805&lt;='RETRATO 2027'!$K$5,"CONCLUÍDA",IF(F2805&lt;='RETRATO 2027'!$K$5,"EM ANDAMENTO","A INICIAR")))</f>
        <v/>
      </c>
    </row>
    <row r="2806" customFormat="false" ht="15" hidden="false" customHeight="false" outlineLevel="0" collapsed="false">
      <c r="M2806" s="2" t="str">
        <f aca="false">IF(C2806="","",IFERROR(INDEX($S$5:$S$304,MATCH(C2806,$R$5:$R$304,0))&amp;"","?"))</f>
        <v/>
      </c>
      <c r="N2806" s="2" t="str">
        <f aca="false"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 t="str">
        <f aca="false">IF(OR(F2806="",G2806=""),"",IF(G2806&lt;='RETRATO 2027'!$K$5,"CONCLUÍDA",IF(F2806&lt;='RETRATO 2027'!$K$5,"EM ANDAMENTO","A INICIAR")))</f>
        <v/>
      </c>
    </row>
    <row r="2807" customFormat="false" ht="15" hidden="false" customHeight="false" outlineLevel="0" collapsed="false">
      <c r="M2807" s="2" t="str">
        <f aca="false">IF(C2807="","",IFERROR(INDEX($S$5:$S$304,MATCH(C2807,$R$5:$R$304,0))&amp;"","?"))</f>
        <v/>
      </c>
      <c r="N2807" s="2" t="str">
        <f aca="false"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 t="str">
        <f aca="false">IF(OR(F2807="",G2807=""),"",IF(G2807&lt;='RETRATO 2027'!$K$5,"CONCLUÍDA",IF(F2807&lt;='RETRATO 2027'!$K$5,"EM ANDAMENTO","A INICIAR")))</f>
        <v/>
      </c>
    </row>
    <row r="2808" customFormat="false" ht="15" hidden="false" customHeight="false" outlineLevel="0" collapsed="false">
      <c r="M2808" s="2" t="str">
        <f aca="false">IF(C2808="","",IFERROR(INDEX($S$5:$S$304,MATCH(C2808,$R$5:$R$304,0))&amp;"","?"))</f>
        <v/>
      </c>
      <c r="N2808" s="2" t="str">
        <f aca="false"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 t="str">
        <f aca="false">IF(OR(F2808="",G2808=""),"",IF(G2808&lt;='RETRATO 2027'!$K$5,"CONCLUÍDA",IF(F2808&lt;='RETRATO 2027'!$K$5,"EM ANDAMENTO","A INICIAR")))</f>
        <v/>
      </c>
    </row>
    <row r="2809" customFormat="false" ht="15" hidden="false" customHeight="false" outlineLevel="0" collapsed="false">
      <c r="M2809" s="2" t="str">
        <f aca="false">IF(C2809="","",IFERROR(INDEX($S$5:$S$304,MATCH(C2809,$R$5:$R$304,0))&amp;"","?"))</f>
        <v/>
      </c>
      <c r="N2809" s="2" t="str">
        <f aca="false"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 t="str">
        <f aca="false">IF(OR(F2809="",G2809=""),"",IF(G2809&lt;='RETRATO 2027'!$K$5,"CONCLUÍDA",IF(F2809&lt;='RETRATO 2027'!$K$5,"EM ANDAMENTO","A INICIAR")))</f>
        <v/>
      </c>
    </row>
    <row r="2810" customFormat="false" ht="15" hidden="false" customHeight="false" outlineLevel="0" collapsed="false">
      <c r="M2810" s="2" t="str">
        <f aca="false">IF(C2810="","",IFERROR(INDEX($S$5:$S$304,MATCH(C2810,$R$5:$R$304,0))&amp;"","?"))</f>
        <v/>
      </c>
      <c r="N2810" s="2" t="str">
        <f aca="false"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 t="str">
        <f aca="false">IF(OR(F2810="",G2810=""),"",IF(G2810&lt;='RETRATO 2027'!$K$5,"CONCLUÍDA",IF(F2810&lt;='RETRATO 2027'!$K$5,"EM ANDAMENTO","A INICIAR")))</f>
        <v/>
      </c>
    </row>
    <row r="2811" customFormat="false" ht="15" hidden="false" customHeight="false" outlineLevel="0" collapsed="false">
      <c r="M2811" s="2" t="str">
        <f aca="false">IF(C2811="","",IFERROR(INDEX($S$5:$S$304,MATCH(C2811,$R$5:$R$304,0))&amp;"","?"))</f>
        <v/>
      </c>
      <c r="N2811" s="2" t="str">
        <f aca="false"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 t="str">
        <f aca="false">IF(OR(F2811="",G2811=""),"",IF(G2811&lt;='RETRATO 2027'!$K$5,"CONCLUÍDA",IF(F2811&lt;='RETRATO 2027'!$K$5,"EM ANDAMENTO","A INICIAR")))</f>
        <v/>
      </c>
    </row>
    <row r="2812" customFormat="false" ht="15" hidden="false" customHeight="false" outlineLevel="0" collapsed="false">
      <c r="M2812" s="2" t="str">
        <f aca="false">IF(C2812="","",IFERROR(INDEX($S$5:$S$304,MATCH(C2812,$R$5:$R$304,0))&amp;"","?"))</f>
        <v/>
      </c>
      <c r="N2812" s="2" t="str">
        <f aca="false"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 t="str">
        <f aca="false">IF(OR(F2812="",G2812=""),"",IF(G2812&lt;='RETRATO 2027'!$K$5,"CONCLUÍDA",IF(F2812&lt;='RETRATO 2027'!$K$5,"EM ANDAMENTO","A INICIAR")))</f>
        <v/>
      </c>
    </row>
    <row r="2813" customFormat="false" ht="15" hidden="false" customHeight="false" outlineLevel="0" collapsed="false">
      <c r="M2813" s="2" t="str">
        <f aca="false">IF(C2813="","",IFERROR(INDEX($S$5:$S$304,MATCH(C2813,$R$5:$R$304,0))&amp;"","?"))</f>
        <v/>
      </c>
      <c r="N2813" s="2" t="str">
        <f aca="false"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 t="str">
        <f aca="false">IF(OR(F2813="",G2813=""),"",IF(G2813&lt;='RETRATO 2027'!$K$5,"CONCLUÍDA",IF(F2813&lt;='RETRATO 2027'!$K$5,"EM ANDAMENTO","A INICIAR")))</f>
        <v/>
      </c>
    </row>
    <row r="2814" customFormat="false" ht="15" hidden="false" customHeight="false" outlineLevel="0" collapsed="false">
      <c r="M2814" s="2" t="str">
        <f aca="false">IF(C2814="","",IFERROR(INDEX($S$5:$S$304,MATCH(C2814,$R$5:$R$304,0))&amp;"","?"))</f>
        <v/>
      </c>
      <c r="N2814" s="2" t="str">
        <f aca="false"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 t="str">
        <f aca="false">IF(OR(F2814="",G2814=""),"",IF(G2814&lt;='RETRATO 2027'!$K$5,"CONCLUÍDA",IF(F2814&lt;='RETRATO 2027'!$K$5,"EM ANDAMENTO","A INICIAR")))</f>
        <v/>
      </c>
    </row>
    <row r="2815" customFormat="false" ht="15" hidden="false" customHeight="false" outlineLevel="0" collapsed="false">
      <c r="M2815" s="2" t="str">
        <f aca="false">IF(C2815="","",IFERROR(INDEX($S$5:$S$304,MATCH(C2815,$R$5:$R$304,0))&amp;"","?"))</f>
        <v/>
      </c>
      <c r="N2815" s="2" t="str">
        <f aca="false"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 t="str">
        <f aca="false">IF(OR(F2815="",G2815=""),"",IF(G2815&lt;='RETRATO 2027'!$K$5,"CONCLUÍDA",IF(F2815&lt;='RETRATO 2027'!$K$5,"EM ANDAMENTO","A INICIAR")))</f>
        <v/>
      </c>
    </row>
    <row r="2816" customFormat="false" ht="15" hidden="false" customHeight="false" outlineLevel="0" collapsed="false">
      <c r="M2816" s="2" t="str">
        <f aca="false">IF(C2816="","",IFERROR(INDEX($S$5:$S$304,MATCH(C2816,$R$5:$R$304,0))&amp;"","?"))</f>
        <v/>
      </c>
      <c r="N2816" s="2" t="str">
        <f aca="false"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 t="str">
        <f aca="false">IF(OR(F2816="",G2816=""),"",IF(G2816&lt;='RETRATO 2027'!$K$5,"CONCLUÍDA",IF(F2816&lt;='RETRATO 2027'!$K$5,"EM ANDAMENTO","A INICIAR")))</f>
        <v/>
      </c>
    </row>
    <row r="2817" customFormat="false" ht="15" hidden="false" customHeight="false" outlineLevel="0" collapsed="false">
      <c r="M2817" s="2" t="str">
        <f aca="false">IF(C2817="","",IFERROR(INDEX($S$5:$S$304,MATCH(C2817,$R$5:$R$304,0))&amp;"","?"))</f>
        <v/>
      </c>
      <c r="N2817" s="2" t="str">
        <f aca="false"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 t="str">
        <f aca="false">IF(OR(F2817="",G2817=""),"",IF(G2817&lt;='RETRATO 2027'!$K$5,"CONCLUÍDA",IF(F2817&lt;='RETRATO 2027'!$K$5,"EM ANDAMENTO","A INICIAR")))</f>
        <v/>
      </c>
    </row>
    <row r="2818" customFormat="false" ht="15" hidden="false" customHeight="false" outlineLevel="0" collapsed="false">
      <c r="M2818" s="2" t="str">
        <f aca="false">IF(C2818="","",IFERROR(INDEX($S$5:$S$304,MATCH(C2818,$R$5:$R$304,0))&amp;"","?"))</f>
        <v/>
      </c>
      <c r="N2818" s="2" t="str">
        <f aca="false"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 t="str">
        <f aca="false">IF(OR(F2818="",G2818=""),"",IF(G2818&lt;='RETRATO 2027'!$K$5,"CONCLUÍDA",IF(F2818&lt;='RETRATO 2027'!$K$5,"EM ANDAMENTO","A INICIAR")))</f>
        <v/>
      </c>
    </row>
    <row r="2819" customFormat="false" ht="15" hidden="false" customHeight="false" outlineLevel="0" collapsed="false">
      <c r="M2819" s="2" t="str">
        <f aca="false">IF(C2819="","",IFERROR(INDEX($S$5:$S$304,MATCH(C2819,$R$5:$R$304,0))&amp;"","?"))</f>
        <v/>
      </c>
      <c r="N2819" s="2" t="str">
        <f aca="false"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 t="str">
        <f aca="false">IF(OR(F2819="",G2819=""),"",IF(G2819&lt;='RETRATO 2027'!$K$5,"CONCLUÍDA",IF(F2819&lt;='RETRATO 2027'!$K$5,"EM ANDAMENTO","A INICIAR")))</f>
        <v/>
      </c>
    </row>
    <row r="2820" customFormat="false" ht="15" hidden="false" customHeight="false" outlineLevel="0" collapsed="false">
      <c r="M2820" s="2" t="str">
        <f aca="false">IF(C2820="","",IFERROR(INDEX($S$5:$S$304,MATCH(C2820,$R$5:$R$304,0))&amp;"","?"))</f>
        <v/>
      </c>
      <c r="N2820" s="2" t="str">
        <f aca="false"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 t="str">
        <f aca="false">IF(OR(F2820="",G2820=""),"",IF(G2820&lt;='RETRATO 2027'!$K$5,"CONCLUÍDA",IF(F2820&lt;='RETRATO 2027'!$K$5,"EM ANDAMENTO","A INICIAR")))</f>
        <v/>
      </c>
    </row>
    <row r="2821" customFormat="false" ht="15" hidden="false" customHeight="false" outlineLevel="0" collapsed="false">
      <c r="M2821" s="2" t="str">
        <f aca="false">IF(C2821="","",IFERROR(INDEX($S$5:$S$304,MATCH(C2821,$R$5:$R$304,0))&amp;"","?"))</f>
        <v/>
      </c>
      <c r="N2821" s="2" t="str">
        <f aca="false"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 t="str">
        <f aca="false">IF(OR(F2821="",G2821=""),"",IF(G2821&lt;='RETRATO 2027'!$K$5,"CONCLUÍDA",IF(F2821&lt;='RETRATO 2027'!$K$5,"EM ANDAMENTO","A INICIAR")))</f>
        <v/>
      </c>
    </row>
    <row r="2822" customFormat="false" ht="15" hidden="false" customHeight="false" outlineLevel="0" collapsed="false">
      <c r="M2822" s="2" t="str">
        <f aca="false">IF(C2822="","",IFERROR(INDEX($S$5:$S$304,MATCH(C2822,$R$5:$R$304,0))&amp;"","?"))</f>
        <v/>
      </c>
      <c r="N2822" s="2" t="str">
        <f aca="false"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 t="str">
        <f aca="false">IF(OR(F2822="",G2822=""),"",IF(G2822&lt;='RETRATO 2027'!$K$5,"CONCLUÍDA",IF(F2822&lt;='RETRATO 2027'!$K$5,"EM ANDAMENTO","A INICIAR")))</f>
        <v/>
      </c>
    </row>
    <row r="2823" customFormat="false" ht="15" hidden="false" customHeight="false" outlineLevel="0" collapsed="false">
      <c r="M2823" s="2" t="str">
        <f aca="false">IF(C2823="","",IFERROR(INDEX($S$5:$S$304,MATCH(C2823,$R$5:$R$304,0))&amp;"","?"))</f>
        <v/>
      </c>
      <c r="N2823" s="2" t="str">
        <f aca="false"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 t="str">
        <f aca="false">IF(OR(F2823="",G2823=""),"",IF(G2823&lt;='RETRATO 2027'!$K$5,"CONCLUÍDA",IF(F2823&lt;='RETRATO 2027'!$K$5,"EM ANDAMENTO","A INICIAR")))</f>
        <v/>
      </c>
    </row>
    <row r="2824" customFormat="false" ht="15" hidden="false" customHeight="false" outlineLevel="0" collapsed="false">
      <c r="M2824" s="2" t="str">
        <f aca="false">IF(C2824="","",IFERROR(INDEX($S$5:$S$304,MATCH(C2824,$R$5:$R$304,0))&amp;"","?"))</f>
        <v/>
      </c>
      <c r="N2824" s="2" t="str">
        <f aca="false"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 t="str">
        <f aca="false">IF(OR(F2824="",G2824=""),"",IF(G2824&lt;='RETRATO 2027'!$K$5,"CONCLUÍDA",IF(F2824&lt;='RETRATO 2027'!$K$5,"EM ANDAMENTO","A INICIAR")))</f>
        <v/>
      </c>
    </row>
    <row r="2825" customFormat="false" ht="15" hidden="false" customHeight="false" outlineLevel="0" collapsed="false">
      <c r="M2825" s="2" t="str">
        <f aca="false">IF(C2825="","",IFERROR(INDEX($S$5:$S$304,MATCH(C2825,$R$5:$R$304,0))&amp;"","?"))</f>
        <v/>
      </c>
      <c r="N2825" s="2" t="str">
        <f aca="false"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 t="str">
        <f aca="false">IF(OR(F2825="",G2825=""),"",IF(G2825&lt;='RETRATO 2027'!$K$5,"CONCLUÍDA",IF(F2825&lt;='RETRATO 2027'!$K$5,"EM ANDAMENTO","A INICIAR")))</f>
        <v/>
      </c>
    </row>
    <row r="2826" customFormat="false" ht="15" hidden="false" customHeight="false" outlineLevel="0" collapsed="false">
      <c r="M2826" s="2" t="str">
        <f aca="false">IF(C2826="","",IFERROR(INDEX($S$5:$S$304,MATCH(C2826,$R$5:$R$304,0))&amp;"","?"))</f>
        <v/>
      </c>
      <c r="N2826" s="2" t="str">
        <f aca="false"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 t="str">
        <f aca="false">IF(OR(F2826="",G2826=""),"",IF(G2826&lt;='RETRATO 2027'!$K$5,"CONCLUÍDA",IF(F2826&lt;='RETRATO 2027'!$K$5,"EM ANDAMENTO","A INICIAR")))</f>
        <v/>
      </c>
    </row>
    <row r="2827" customFormat="false" ht="15" hidden="false" customHeight="false" outlineLevel="0" collapsed="false">
      <c r="M2827" s="2" t="str">
        <f aca="false">IF(C2827="","",IFERROR(INDEX($S$5:$S$304,MATCH(C2827,$R$5:$R$304,0))&amp;"","?"))</f>
        <v/>
      </c>
      <c r="N2827" s="2" t="str">
        <f aca="false"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 t="str">
        <f aca="false">IF(OR(F2827="",G2827=""),"",IF(G2827&lt;='RETRATO 2027'!$K$5,"CONCLUÍDA",IF(F2827&lt;='RETRATO 2027'!$K$5,"EM ANDAMENTO","A INICIAR")))</f>
        <v/>
      </c>
    </row>
    <row r="2828" customFormat="false" ht="15" hidden="false" customHeight="false" outlineLevel="0" collapsed="false">
      <c r="M2828" s="2" t="str">
        <f aca="false">IF(C2828="","",IFERROR(INDEX($S$5:$S$304,MATCH(C2828,$R$5:$R$304,0))&amp;"","?"))</f>
        <v/>
      </c>
      <c r="N2828" s="2" t="str">
        <f aca="false"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 t="str">
        <f aca="false">IF(OR(F2828="",G2828=""),"",IF(G2828&lt;='RETRATO 2027'!$K$5,"CONCLUÍDA",IF(F2828&lt;='RETRATO 2027'!$K$5,"EM ANDAMENTO","A INICIAR")))</f>
        <v/>
      </c>
    </row>
    <row r="2829" customFormat="false" ht="15" hidden="false" customHeight="false" outlineLevel="0" collapsed="false">
      <c r="M2829" s="2" t="str">
        <f aca="false">IF(C2829="","",IFERROR(INDEX($S$5:$S$304,MATCH(C2829,$R$5:$R$304,0))&amp;"","?"))</f>
        <v/>
      </c>
      <c r="N2829" s="2" t="str">
        <f aca="false"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 t="str">
        <f aca="false">IF(OR(F2829="",G2829=""),"",IF(G2829&lt;='RETRATO 2027'!$K$5,"CONCLUÍDA",IF(F2829&lt;='RETRATO 2027'!$K$5,"EM ANDAMENTO","A INICIAR")))</f>
        <v/>
      </c>
    </row>
    <row r="2830" customFormat="false" ht="15" hidden="false" customHeight="false" outlineLevel="0" collapsed="false">
      <c r="M2830" s="2" t="str">
        <f aca="false">IF(C2830="","",IFERROR(INDEX($S$5:$S$304,MATCH(C2830,$R$5:$R$304,0))&amp;"","?"))</f>
        <v/>
      </c>
      <c r="N2830" s="2" t="str">
        <f aca="false"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 t="str">
        <f aca="false">IF(OR(F2830="",G2830=""),"",IF(G2830&lt;='RETRATO 2027'!$K$5,"CONCLUÍDA",IF(F2830&lt;='RETRATO 2027'!$K$5,"EM ANDAMENTO","A INICIAR")))</f>
        <v/>
      </c>
    </row>
    <row r="2831" customFormat="false" ht="15" hidden="false" customHeight="false" outlineLevel="0" collapsed="false">
      <c r="M2831" s="2" t="str">
        <f aca="false">IF(C2831="","",IFERROR(INDEX($S$5:$S$304,MATCH(C2831,$R$5:$R$304,0))&amp;"","?"))</f>
        <v/>
      </c>
      <c r="N2831" s="2" t="str">
        <f aca="false"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 t="str">
        <f aca="false">IF(OR(F2831="",G2831=""),"",IF(G2831&lt;='RETRATO 2027'!$K$5,"CONCLUÍDA",IF(F2831&lt;='RETRATO 2027'!$K$5,"EM ANDAMENTO","A INICIAR")))</f>
        <v/>
      </c>
    </row>
    <row r="2832" customFormat="false" ht="15" hidden="false" customHeight="false" outlineLevel="0" collapsed="false">
      <c r="M2832" s="2" t="str">
        <f aca="false">IF(C2832="","",IFERROR(INDEX($S$5:$S$304,MATCH(C2832,$R$5:$R$304,0))&amp;"","?"))</f>
        <v/>
      </c>
      <c r="N2832" s="2" t="str">
        <f aca="false"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 t="str">
        <f aca="false">IF(OR(F2832="",G2832=""),"",IF(G2832&lt;='RETRATO 2027'!$K$5,"CONCLUÍDA",IF(F2832&lt;='RETRATO 2027'!$K$5,"EM ANDAMENTO","A INICIAR")))</f>
        <v/>
      </c>
    </row>
    <row r="2833" customFormat="false" ht="15" hidden="false" customHeight="false" outlineLevel="0" collapsed="false">
      <c r="M2833" s="2" t="str">
        <f aca="false">IF(C2833="","",IFERROR(INDEX($S$5:$S$304,MATCH(C2833,$R$5:$R$304,0))&amp;"","?"))</f>
        <v/>
      </c>
      <c r="N2833" s="2" t="str">
        <f aca="false"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 t="str">
        <f aca="false">IF(OR(F2833="",G2833=""),"",IF(G2833&lt;='RETRATO 2027'!$K$5,"CONCLUÍDA",IF(F2833&lt;='RETRATO 2027'!$K$5,"EM ANDAMENTO","A INICIAR")))</f>
        <v/>
      </c>
    </row>
    <row r="2834" customFormat="false" ht="15" hidden="false" customHeight="false" outlineLevel="0" collapsed="false">
      <c r="M2834" s="2" t="str">
        <f aca="false">IF(C2834="","",IFERROR(INDEX($S$5:$S$304,MATCH(C2834,$R$5:$R$304,0))&amp;"","?"))</f>
        <v/>
      </c>
      <c r="N2834" s="2" t="str">
        <f aca="false"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 t="str">
        <f aca="false">IF(OR(F2834="",G2834=""),"",IF(G2834&lt;='RETRATO 2027'!$K$5,"CONCLUÍDA",IF(F2834&lt;='RETRATO 2027'!$K$5,"EM ANDAMENTO","A INICIAR")))</f>
        <v/>
      </c>
    </row>
    <row r="2835" customFormat="false" ht="15" hidden="false" customHeight="false" outlineLevel="0" collapsed="false">
      <c r="M2835" s="2" t="str">
        <f aca="false">IF(C2835="","",IFERROR(INDEX($S$5:$S$304,MATCH(C2835,$R$5:$R$304,0))&amp;"","?"))</f>
        <v/>
      </c>
      <c r="N2835" s="2" t="str">
        <f aca="false"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 t="str">
        <f aca="false">IF(OR(F2835="",G2835=""),"",IF(G2835&lt;='RETRATO 2027'!$K$5,"CONCLUÍDA",IF(F2835&lt;='RETRATO 2027'!$K$5,"EM ANDAMENTO","A INICIAR")))</f>
        <v/>
      </c>
    </row>
    <row r="2836" customFormat="false" ht="15" hidden="false" customHeight="false" outlineLevel="0" collapsed="false">
      <c r="M2836" s="2" t="str">
        <f aca="false">IF(C2836="","",IFERROR(INDEX($S$5:$S$304,MATCH(C2836,$R$5:$R$304,0))&amp;"","?"))</f>
        <v/>
      </c>
      <c r="N2836" s="2" t="str">
        <f aca="false"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 t="str">
        <f aca="false">IF(OR(F2836="",G2836=""),"",IF(G2836&lt;='RETRATO 2027'!$K$5,"CONCLUÍDA",IF(F2836&lt;='RETRATO 2027'!$K$5,"EM ANDAMENTO","A INICIAR")))</f>
        <v/>
      </c>
    </row>
    <row r="2837" customFormat="false" ht="15" hidden="false" customHeight="false" outlineLevel="0" collapsed="false">
      <c r="M2837" s="2" t="str">
        <f aca="false">IF(C2837="","",IFERROR(INDEX($S$5:$S$304,MATCH(C2837,$R$5:$R$304,0))&amp;"","?"))</f>
        <v/>
      </c>
      <c r="N2837" s="2" t="str">
        <f aca="false"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 t="str">
        <f aca="false">IF(OR(F2837="",G2837=""),"",IF(G2837&lt;='RETRATO 2027'!$K$5,"CONCLUÍDA",IF(F2837&lt;='RETRATO 2027'!$K$5,"EM ANDAMENTO","A INICIAR")))</f>
        <v/>
      </c>
    </row>
    <row r="2838" customFormat="false" ht="15" hidden="false" customHeight="false" outlineLevel="0" collapsed="false">
      <c r="M2838" s="2" t="str">
        <f aca="false">IF(C2838="","",IFERROR(INDEX($S$5:$S$304,MATCH(C2838,$R$5:$R$304,0))&amp;"","?"))</f>
        <v/>
      </c>
      <c r="N2838" s="2" t="str">
        <f aca="false"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 t="str">
        <f aca="false">IF(OR(F2838="",G2838=""),"",IF(G2838&lt;='RETRATO 2027'!$K$5,"CONCLUÍDA",IF(F2838&lt;='RETRATO 2027'!$K$5,"EM ANDAMENTO","A INICIAR")))</f>
        <v/>
      </c>
    </row>
    <row r="2839" customFormat="false" ht="15" hidden="false" customHeight="false" outlineLevel="0" collapsed="false">
      <c r="M2839" s="2" t="str">
        <f aca="false">IF(C2839="","",IFERROR(INDEX($S$5:$S$304,MATCH(C2839,$R$5:$R$304,0))&amp;"","?"))</f>
        <v/>
      </c>
      <c r="N2839" s="2" t="str">
        <f aca="false"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 t="str">
        <f aca="false">IF(OR(F2839="",G2839=""),"",IF(G2839&lt;='RETRATO 2027'!$K$5,"CONCLUÍDA",IF(F2839&lt;='RETRATO 2027'!$K$5,"EM ANDAMENTO","A INICIAR")))</f>
        <v/>
      </c>
    </row>
    <row r="2840" customFormat="false" ht="15" hidden="false" customHeight="false" outlineLevel="0" collapsed="false">
      <c r="M2840" s="2" t="str">
        <f aca="false">IF(C2840="","",IFERROR(INDEX($S$5:$S$304,MATCH(C2840,$R$5:$R$304,0))&amp;"","?"))</f>
        <v/>
      </c>
      <c r="N2840" s="2" t="str">
        <f aca="false"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 t="str">
        <f aca="false">IF(OR(F2840="",G2840=""),"",IF(G2840&lt;='RETRATO 2027'!$K$5,"CONCLUÍDA",IF(F2840&lt;='RETRATO 2027'!$K$5,"EM ANDAMENTO","A INICIAR")))</f>
        <v/>
      </c>
    </row>
    <row r="2841" customFormat="false" ht="15" hidden="false" customHeight="false" outlineLevel="0" collapsed="false">
      <c r="M2841" s="2" t="str">
        <f aca="false">IF(C2841="","",IFERROR(INDEX($S$5:$S$304,MATCH(C2841,$R$5:$R$304,0))&amp;"","?"))</f>
        <v/>
      </c>
      <c r="N2841" s="2" t="str">
        <f aca="false"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 t="str">
        <f aca="false">IF(OR(F2841="",G2841=""),"",IF(G2841&lt;='RETRATO 2027'!$K$5,"CONCLUÍDA",IF(F2841&lt;='RETRATO 2027'!$K$5,"EM ANDAMENTO","A INICIAR")))</f>
        <v/>
      </c>
    </row>
    <row r="2842" customFormat="false" ht="15" hidden="false" customHeight="false" outlineLevel="0" collapsed="false">
      <c r="M2842" s="2" t="str">
        <f aca="false">IF(C2842="","",IFERROR(INDEX($S$5:$S$304,MATCH(C2842,$R$5:$R$304,0))&amp;"","?"))</f>
        <v/>
      </c>
      <c r="N2842" s="2" t="str">
        <f aca="false"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 t="str">
        <f aca="false">IF(OR(F2842="",G2842=""),"",IF(G2842&lt;='RETRATO 2027'!$K$5,"CONCLUÍDA",IF(F2842&lt;='RETRATO 2027'!$K$5,"EM ANDAMENTO","A INICIAR")))</f>
        <v/>
      </c>
    </row>
    <row r="2843" customFormat="false" ht="15" hidden="false" customHeight="false" outlineLevel="0" collapsed="false">
      <c r="M2843" s="2" t="str">
        <f aca="false">IF(C2843="","",IFERROR(INDEX($S$5:$S$304,MATCH(C2843,$R$5:$R$304,0))&amp;"","?"))</f>
        <v/>
      </c>
      <c r="N2843" s="2" t="str">
        <f aca="false"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 t="str">
        <f aca="false">IF(OR(F2843="",G2843=""),"",IF(G2843&lt;='RETRATO 2027'!$K$5,"CONCLUÍDA",IF(F2843&lt;='RETRATO 2027'!$K$5,"EM ANDAMENTO","A INICIAR")))</f>
        <v/>
      </c>
    </row>
    <row r="2844" customFormat="false" ht="15" hidden="false" customHeight="false" outlineLevel="0" collapsed="false">
      <c r="M2844" s="2" t="str">
        <f aca="false">IF(C2844="","",IFERROR(INDEX($S$5:$S$304,MATCH(C2844,$R$5:$R$304,0))&amp;"","?"))</f>
        <v/>
      </c>
      <c r="N2844" s="2" t="str">
        <f aca="false"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 t="str">
        <f aca="false">IF(OR(F2844="",G2844=""),"",IF(G2844&lt;='RETRATO 2027'!$K$5,"CONCLUÍDA",IF(F2844&lt;='RETRATO 2027'!$K$5,"EM ANDAMENTO","A INICIAR")))</f>
        <v/>
      </c>
    </row>
    <row r="2845" customFormat="false" ht="15" hidden="false" customHeight="false" outlineLevel="0" collapsed="false">
      <c r="M2845" s="2" t="str">
        <f aca="false">IF(C2845="","",IFERROR(INDEX($S$5:$S$304,MATCH(C2845,$R$5:$R$304,0))&amp;"","?"))</f>
        <v/>
      </c>
      <c r="N2845" s="2" t="str">
        <f aca="false"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 t="str">
        <f aca="false">IF(OR(F2845="",G2845=""),"",IF(G2845&lt;='RETRATO 2027'!$K$5,"CONCLUÍDA",IF(F2845&lt;='RETRATO 2027'!$K$5,"EM ANDAMENTO","A INICIAR")))</f>
        <v/>
      </c>
    </row>
    <row r="2846" customFormat="false" ht="15" hidden="false" customHeight="false" outlineLevel="0" collapsed="false">
      <c r="M2846" s="2" t="str">
        <f aca="false">IF(C2846="","",IFERROR(INDEX($S$5:$S$304,MATCH(C2846,$R$5:$R$304,0))&amp;"","?"))</f>
        <v/>
      </c>
      <c r="N2846" s="2" t="str">
        <f aca="false"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 t="str">
        <f aca="false">IF(OR(F2846="",G2846=""),"",IF(G2846&lt;='RETRATO 2027'!$K$5,"CONCLUÍDA",IF(F2846&lt;='RETRATO 2027'!$K$5,"EM ANDAMENTO","A INICIAR")))</f>
        <v/>
      </c>
    </row>
    <row r="2847" customFormat="false" ht="15" hidden="false" customHeight="false" outlineLevel="0" collapsed="false">
      <c r="M2847" s="2" t="str">
        <f aca="false">IF(C2847="","",IFERROR(INDEX($S$5:$S$304,MATCH(C2847,$R$5:$R$304,0))&amp;"","?"))</f>
        <v/>
      </c>
      <c r="N2847" s="2" t="str">
        <f aca="false"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 t="str">
        <f aca="false">IF(OR(F2847="",G2847=""),"",IF(G2847&lt;='RETRATO 2027'!$K$5,"CONCLUÍDA",IF(F2847&lt;='RETRATO 2027'!$K$5,"EM ANDAMENTO","A INICIAR")))</f>
        <v/>
      </c>
    </row>
    <row r="2848" customFormat="false" ht="15" hidden="false" customHeight="false" outlineLevel="0" collapsed="false">
      <c r="M2848" s="2" t="str">
        <f aca="false">IF(C2848="","",IFERROR(INDEX($S$5:$S$304,MATCH(C2848,$R$5:$R$304,0))&amp;"","?"))</f>
        <v/>
      </c>
      <c r="N2848" s="2" t="str">
        <f aca="false"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 t="str">
        <f aca="false">IF(OR(F2848="",G2848=""),"",IF(G2848&lt;='RETRATO 2027'!$K$5,"CONCLUÍDA",IF(F2848&lt;='RETRATO 2027'!$K$5,"EM ANDAMENTO","A INICIAR")))</f>
        <v/>
      </c>
    </row>
    <row r="2849" customFormat="false" ht="15" hidden="false" customHeight="false" outlineLevel="0" collapsed="false">
      <c r="M2849" s="2" t="str">
        <f aca="false">IF(C2849="","",IFERROR(INDEX($S$5:$S$304,MATCH(C2849,$R$5:$R$304,0))&amp;"","?"))</f>
        <v/>
      </c>
      <c r="N2849" s="2" t="str">
        <f aca="false"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 t="str">
        <f aca="false">IF(OR(F2849="",G2849=""),"",IF(G2849&lt;='RETRATO 2027'!$K$5,"CONCLUÍDA",IF(F2849&lt;='RETRATO 2027'!$K$5,"EM ANDAMENTO","A INICIAR")))</f>
        <v/>
      </c>
    </row>
    <row r="2850" customFormat="false" ht="15" hidden="false" customHeight="false" outlineLevel="0" collapsed="false">
      <c r="M2850" s="2" t="str">
        <f aca="false">IF(C2850="","",IFERROR(INDEX($S$5:$S$304,MATCH(C2850,$R$5:$R$304,0))&amp;"","?"))</f>
        <v/>
      </c>
      <c r="N2850" s="2" t="str">
        <f aca="false"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 t="str">
        <f aca="false">IF(OR(F2850="",G2850=""),"",IF(G2850&lt;='RETRATO 2027'!$K$5,"CONCLUÍDA",IF(F2850&lt;='RETRATO 2027'!$K$5,"EM ANDAMENTO","A INICIAR")))</f>
        <v/>
      </c>
    </row>
    <row r="2851" customFormat="false" ht="15" hidden="false" customHeight="false" outlineLevel="0" collapsed="false">
      <c r="M2851" s="2" t="str">
        <f aca="false">IF(C2851="","",IFERROR(INDEX($S$5:$S$304,MATCH(C2851,$R$5:$R$304,0))&amp;"","?"))</f>
        <v/>
      </c>
      <c r="N2851" s="2" t="str">
        <f aca="false"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 t="str">
        <f aca="false">IF(OR(F2851="",G2851=""),"",IF(G2851&lt;='RETRATO 2027'!$K$5,"CONCLUÍDA",IF(F2851&lt;='RETRATO 2027'!$K$5,"EM ANDAMENTO","A INICIAR")))</f>
        <v/>
      </c>
    </row>
    <row r="2852" customFormat="false" ht="15" hidden="false" customHeight="false" outlineLevel="0" collapsed="false">
      <c r="M2852" s="2" t="str">
        <f aca="false">IF(C2852="","",IFERROR(INDEX($S$5:$S$304,MATCH(C2852,$R$5:$R$304,0))&amp;"","?"))</f>
        <v/>
      </c>
      <c r="N2852" s="2" t="str">
        <f aca="false"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 t="str">
        <f aca="false">IF(OR(F2852="",G2852=""),"",IF(G2852&lt;='RETRATO 2027'!$K$5,"CONCLUÍDA",IF(F2852&lt;='RETRATO 2027'!$K$5,"EM ANDAMENTO","A INICIAR")))</f>
        <v/>
      </c>
    </row>
    <row r="2853" customFormat="false" ht="15" hidden="false" customHeight="false" outlineLevel="0" collapsed="false">
      <c r="M2853" s="2" t="str">
        <f aca="false">IF(C2853="","",IFERROR(INDEX($S$5:$S$304,MATCH(C2853,$R$5:$R$304,0))&amp;"","?"))</f>
        <v/>
      </c>
      <c r="N2853" s="2" t="str">
        <f aca="false"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 t="str">
        <f aca="false">IF(OR(F2853="",G2853=""),"",IF(G2853&lt;='RETRATO 2027'!$K$5,"CONCLUÍDA",IF(F2853&lt;='RETRATO 2027'!$K$5,"EM ANDAMENTO","A INICIAR")))</f>
        <v/>
      </c>
    </row>
    <row r="2854" customFormat="false" ht="15" hidden="false" customHeight="false" outlineLevel="0" collapsed="false">
      <c r="M2854" s="2" t="str">
        <f aca="false">IF(C2854="","",IFERROR(INDEX($S$5:$S$304,MATCH(C2854,$R$5:$R$304,0))&amp;"","?"))</f>
        <v/>
      </c>
      <c r="N2854" s="2" t="str">
        <f aca="false"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 t="str">
        <f aca="false">IF(OR(F2854="",G2854=""),"",IF(G2854&lt;='RETRATO 2027'!$K$5,"CONCLUÍDA",IF(F2854&lt;='RETRATO 2027'!$K$5,"EM ANDAMENTO","A INICIAR")))</f>
        <v/>
      </c>
    </row>
    <row r="2855" customFormat="false" ht="15" hidden="false" customHeight="false" outlineLevel="0" collapsed="false">
      <c r="M2855" s="2" t="str">
        <f aca="false">IF(C2855="","",IFERROR(INDEX($S$5:$S$304,MATCH(C2855,$R$5:$R$304,0))&amp;"","?"))</f>
        <v/>
      </c>
      <c r="N2855" s="2" t="str">
        <f aca="false"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 t="str">
        <f aca="false">IF(OR(F2855="",G2855=""),"",IF(G2855&lt;='RETRATO 2027'!$K$5,"CONCLUÍDA",IF(F2855&lt;='RETRATO 2027'!$K$5,"EM ANDAMENTO","A INICIAR")))</f>
        <v/>
      </c>
    </row>
    <row r="2856" customFormat="false" ht="15" hidden="false" customHeight="false" outlineLevel="0" collapsed="false">
      <c r="M2856" s="2" t="str">
        <f aca="false">IF(C2856="","",IFERROR(INDEX($S$5:$S$304,MATCH(C2856,$R$5:$R$304,0))&amp;"","?"))</f>
        <v/>
      </c>
      <c r="N2856" s="2" t="str">
        <f aca="false"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 t="str">
        <f aca="false">IF(OR(F2856="",G2856=""),"",IF(G2856&lt;='RETRATO 2027'!$K$5,"CONCLUÍDA",IF(F2856&lt;='RETRATO 2027'!$K$5,"EM ANDAMENTO","A INICIAR")))</f>
        <v/>
      </c>
    </row>
    <row r="2857" customFormat="false" ht="15" hidden="false" customHeight="false" outlineLevel="0" collapsed="false">
      <c r="M2857" s="2" t="str">
        <f aca="false">IF(C2857="","",IFERROR(INDEX($S$5:$S$304,MATCH(C2857,$R$5:$R$304,0))&amp;"","?"))</f>
        <v/>
      </c>
      <c r="N2857" s="2" t="str">
        <f aca="false"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 t="str">
        <f aca="false">IF(OR(F2857="",G2857=""),"",IF(G2857&lt;='RETRATO 2027'!$K$5,"CONCLUÍDA",IF(F2857&lt;='RETRATO 2027'!$K$5,"EM ANDAMENTO","A INICIAR")))</f>
        <v/>
      </c>
    </row>
    <row r="2858" customFormat="false" ht="15" hidden="false" customHeight="false" outlineLevel="0" collapsed="false">
      <c r="M2858" s="2" t="str">
        <f aca="false">IF(C2858="","",IFERROR(INDEX($S$5:$S$304,MATCH(C2858,$R$5:$R$304,0))&amp;"","?"))</f>
        <v/>
      </c>
      <c r="N2858" s="2" t="str">
        <f aca="false"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 t="str">
        <f aca="false">IF(OR(F2858="",G2858=""),"",IF(G2858&lt;='RETRATO 2027'!$K$5,"CONCLUÍDA",IF(F2858&lt;='RETRATO 2027'!$K$5,"EM ANDAMENTO","A INICIAR")))</f>
        <v/>
      </c>
    </row>
    <row r="2859" customFormat="false" ht="15" hidden="false" customHeight="false" outlineLevel="0" collapsed="false">
      <c r="M2859" s="2" t="str">
        <f aca="false">IF(C2859="","",IFERROR(INDEX($S$5:$S$304,MATCH(C2859,$R$5:$R$304,0))&amp;"","?"))</f>
        <v/>
      </c>
      <c r="N2859" s="2" t="str">
        <f aca="false"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 t="str">
        <f aca="false">IF(OR(F2859="",G2859=""),"",IF(G2859&lt;='RETRATO 2027'!$K$5,"CONCLUÍDA",IF(F2859&lt;='RETRATO 2027'!$K$5,"EM ANDAMENTO","A INICIAR")))</f>
        <v/>
      </c>
    </row>
    <row r="2860" customFormat="false" ht="15" hidden="false" customHeight="false" outlineLevel="0" collapsed="false">
      <c r="M2860" s="2" t="str">
        <f aca="false">IF(C2860="","",IFERROR(INDEX($S$5:$S$304,MATCH(C2860,$R$5:$R$304,0))&amp;"","?"))</f>
        <v/>
      </c>
      <c r="N2860" s="2" t="str">
        <f aca="false"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 t="str">
        <f aca="false">IF(OR(F2860="",G2860=""),"",IF(G2860&lt;='RETRATO 2027'!$K$5,"CONCLUÍDA",IF(F2860&lt;='RETRATO 2027'!$K$5,"EM ANDAMENTO","A INICIAR")))</f>
        <v/>
      </c>
    </row>
    <row r="2861" customFormat="false" ht="15" hidden="false" customHeight="false" outlineLevel="0" collapsed="false">
      <c r="M2861" s="2" t="str">
        <f aca="false">IF(C2861="","",IFERROR(INDEX($S$5:$S$304,MATCH(C2861,$R$5:$R$304,0))&amp;"","?"))</f>
        <v/>
      </c>
      <c r="N2861" s="2" t="str">
        <f aca="false"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 t="str">
        <f aca="false">IF(OR(F2861="",G2861=""),"",IF(G2861&lt;='RETRATO 2027'!$K$5,"CONCLUÍDA",IF(F2861&lt;='RETRATO 2027'!$K$5,"EM ANDAMENTO","A INICIAR")))</f>
        <v/>
      </c>
    </row>
    <row r="2862" customFormat="false" ht="15" hidden="false" customHeight="false" outlineLevel="0" collapsed="false">
      <c r="M2862" s="2" t="str">
        <f aca="false">IF(C2862="","",IFERROR(INDEX($S$5:$S$304,MATCH(C2862,$R$5:$R$304,0))&amp;"","?"))</f>
        <v/>
      </c>
      <c r="N2862" s="2" t="str">
        <f aca="false"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 t="str">
        <f aca="false">IF(OR(F2862="",G2862=""),"",IF(G2862&lt;='RETRATO 2027'!$K$5,"CONCLUÍDA",IF(F2862&lt;='RETRATO 2027'!$K$5,"EM ANDAMENTO","A INICIAR")))</f>
        <v/>
      </c>
    </row>
    <row r="2863" customFormat="false" ht="15" hidden="false" customHeight="false" outlineLevel="0" collapsed="false">
      <c r="M2863" s="2" t="str">
        <f aca="false">IF(C2863="","",IFERROR(INDEX($S$5:$S$304,MATCH(C2863,$R$5:$R$304,0))&amp;"","?"))</f>
        <v/>
      </c>
      <c r="N2863" s="2" t="str">
        <f aca="false"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 t="str">
        <f aca="false">IF(OR(F2863="",G2863=""),"",IF(G2863&lt;='RETRATO 2027'!$K$5,"CONCLUÍDA",IF(F2863&lt;='RETRATO 2027'!$K$5,"EM ANDAMENTO","A INICIAR")))</f>
        <v/>
      </c>
    </row>
    <row r="2864" customFormat="false" ht="15" hidden="false" customHeight="false" outlineLevel="0" collapsed="false">
      <c r="M2864" s="2" t="str">
        <f aca="false">IF(C2864="","",IFERROR(INDEX($S$5:$S$304,MATCH(C2864,$R$5:$R$304,0))&amp;"","?"))</f>
        <v/>
      </c>
      <c r="N2864" s="2" t="str">
        <f aca="false"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 t="str">
        <f aca="false">IF(OR(F2864="",G2864=""),"",IF(G2864&lt;='RETRATO 2027'!$K$5,"CONCLUÍDA",IF(F2864&lt;='RETRATO 2027'!$K$5,"EM ANDAMENTO","A INICIAR")))</f>
        <v/>
      </c>
    </row>
    <row r="2865" customFormat="false" ht="15" hidden="false" customHeight="false" outlineLevel="0" collapsed="false">
      <c r="M2865" s="2" t="str">
        <f aca="false">IF(C2865="","",IFERROR(INDEX($S$5:$S$304,MATCH(C2865,$R$5:$R$304,0))&amp;"","?"))</f>
        <v/>
      </c>
      <c r="N2865" s="2" t="str">
        <f aca="false"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 t="str">
        <f aca="false">IF(OR(F2865="",G2865=""),"",IF(G2865&lt;='RETRATO 2027'!$K$5,"CONCLUÍDA",IF(F2865&lt;='RETRATO 2027'!$K$5,"EM ANDAMENTO","A INICIAR")))</f>
        <v/>
      </c>
    </row>
    <row r="2866" customFormat="false" ht="15" hidden="false" customHeight="false" outlineLevel="0" collapsed="false">
      <c r="M2866" s="2" t="str">
        <f aca="false">IF(C2866="","",IFERROR(INDEX($S$5:$S$304,MATCH(C2866,$R$5:$R$304,0))&amp;"","?"))</f>
        <v/>
      </c>
      <c r="N2866" s="2" t="str">
        <f aca="false"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 t="str">
        <f aca="false">IF(OR(F2866="",G2866=""),"",IF(G2866&lt;='RETRATO 2027'!$K$5,"CONCLUÍDA",IF(F2866&lt;='RETRATO 2027'!$K$5,"EM ANDAMENTO","A INICIAR")))</f>
        <v/>
      </c>
    </row>
    <row r="2867" customFormat="false" ht="15" hidden="false" customHeight="false" outlineLevel="0" collapsed="false">
      <c r="M2867" s="2" t="str">
        <f aca="false">IF(C2867="","",IFERROR(INDEX($S$5:$S$304,MATCH(C2867,$R$5:$R$304,0))&amp;"","?"))</f>
        <v/>
      </c>
      <c r="N2867" s="2" t="str">
        <f aca="false"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 t="str">
        <f aca="false">IF(OR(F2867="",G2867=""),"",IF(G2867&lt;='RETRATO 2027'!$K$5,"CONCLUÍDA",IF(F2867&lt;='RETRATO 2027'!$K$5,"EM ANDAMENTO","A INICIAR")))</f>
        <v/>
      </c>
    </row>
    <row r="2868" customFormat="false" ht="15" hidden="false" customHeight="false" outlineLevel="0" collapsed="false">
      <c r="M2868" s="2" t="str">
        <f aca="false">IF(C2868="","",IFERROR(INDEX($S$5:$S$304,MATCH(C2868,$R$5:$R$304,0))&amp;"","?"))</f>
        <v/>
      </c>
      <c r="N2868" s="2" t="str">
        <f aca="false"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 t="str">
        <f aca="false">IF(OR(F2868="",G2868=""),"",IF(G2868&lt;='RETRATO 2027'!$K$5,"CONCLUÍDA",IF(F2868&lt;='RETRATO 2027'!$K$5,"EM ANDAMENTO","A INICIAR")))</f>
        <v/>
      </c>
    </row>
    <row r="2869" customFormat="false" ht="15" hidden="false" customHeight="false" outlineLevel="0" collapsed="false">
      <c r="M2869" s="2" t="str">
        <f aca="false">IF(C2869="","",IFERROR(INDEX($S$5:$S$304,MATCH(C2869,$R$5:$R$304,0))&amp;"","?"))</f>
        <v/>
      </c>
      <c r="N2869" s="2" t="str">
        <f aca="false"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 t="str">
        <f aca="false">IF(OR(F2869="",G2869=""),"",IF(G2869&lt;='RETRATO 2027'!$K$5,"CONCLUÍDA",IF(F2869&lt;='RETRATO 2027'!$K$5,"EM ANDAMENTO","A INICIAR")))</f>
        <v/>
      </c>
    </row>
    <row r="2870" customFormat="false" ht="15" hidden="false" customHeight="false" outlineLevel="0" collapsed="false">
      <c r="M2870" s="2" t="str">
        <f aca="false">IF(C2870="","",IFERROR(INDEX($S$5:$S$304,MATCH(C2870,$R$5:$R$304,0))&amp;"","?"))</f>
        <v/>
      </c>
      <c r="N2870" s="2" t="str">
        <f aca="false"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 t="str">
        <f aca="false">IF(OR(F2870="",G2870=""),"",IF(G2870&lt;='RETRATO 2027'!$K$5,"CONCLUÍDA",IF(F2870&lt;='RETRATO 2027'!$K$5,"EM ANDAMENTO","A INICIAR")))</f>
        <v/>
      </c>
    </row>
    <row r="2871" customFormat="false" ht="15" hidden="false" customHeight="false" outlineLevel="0" collapsed="false">
      <c r="M2871" s="2" t="str">
        <f aca="false">IF(C2871="","",IFERROR(INDEX($S$5:$S$304,MATCH(C2871,$R$5:$R$304,0))&amp;"","?"))</f>
        <v/>
      </c>
      <c r="N2871" s="2" t="str">
        <f aca="false"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 t="str">
        <f aca="false">IF(OR(F2871="",G2871=""),"",IF(G2871&lt;='RETRATO 2027'!$K$5,"CONCLUÍDA",IF(F2871&lt;='RETRATO 2027'!$K$5,"EM ANDAMENTO","A INICIAR")))</f>
        <v/>
      </c>
    </row>
    <row r="2872" customFormat="false" ht="15" hidden="false" customHeight="false" outlineLevel="0" collapsed="false">
      <c r="M2872" s="2" t="str">
        <f aca="false">IF(C2872="","",IFERROR(INDEX($S$5:$S$304,MATCH(C2872,$R$5:$R$304,0))&amp;"","?"))</f>
        <v/>
      </c>
      <c r="N2872" s="2" t="str">
        <f aca="false"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 t="str">
        <f aca="false">IF(OR(F2872="",G2872=""),"",IF(G2872&lt;='RETRATO 2027'!$K$5,"CONCLUÍDA",IF(F2872&lt;='RETRATO 2027'!$K$5,"EM ANDAMENTO","A INICIAR")))</f>
        <v/>
      </c>
    </row>
    <row r="2873" customFormat="false" ht="15" hidden="false" customHeight="false" outlineLevel="0" collapsed="false">
      <c r="M2873" s="2" t="str">
        <f aca="false">IF(C2873="","",IFERROR(INDEX($S$5:$S$304,MATCH(C2873,$R$5:$R$304,0))&amp;"","?"))</f>
        <v/>
      </c>
      <c r="N2873" s="2" t="str">
        <f aca="false"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 t="str">
        <f aca="false">IF(OR(F2873="",G2873=""),"",IF(G2873&lt;='RETRATO 2027'!$K$5,"CONCLUÍDA",IF(F2873&lt;='RETRATO 2027'!$K$5,"EM ANDAMENTO","A INICIAR")))</f>
        <v/>
      </c>
    </row>
    <row r="2874" customFormat="false" ht="15" hidden="false" customHeight="false" outlineLevel="0" collapsed="false">
      <c r="M2874" s="2" t="str">
        <f aca="false">IF(C2874="","",IFERROR(INDEX($S$5:$S$304,MATCH(C2874,$R$5:$R$304,0))&amp;"","?"))</f>
        <v/>
      </c>
      <c r="N2874" s="2" t="str">
        <f aca="false"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 t="str">
        <f aca="false">IF(OR(F2874="",G2874=""),"",IF(G2874&lt;='RETRATO 2027'!$K$5,"CONCLUÍDA",IF(F2874&lt;='RETRATO 2027'!$K$5,"EM ANDAMENTO","A INICIAR")))</f>
        <v/>
      </c>
    </row>
    <row r="2875" customFormat="false" ht="15" hidden="false" customHeight="false" outlineLevel="0" collapsed="false">
      <c r="M2875" s="2" t="str">
        <f aca="false">IF(C2875="","",IFERROR(INDEX($S$5:$S$304,MATCH(C2875,$R$5:$R$304,0))&amp;"","?"))</f>
        <v/>
      </c>
      <c r="N2875" s="2" t="str">
        <f aca="false"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 t="str">
        <f aca="false">IF(OR(F2875="",G2875=""),"",IF(G2875&lt;='RETRATO 2027'!$K$5,"CONCLUÍDA",IF(F2875&lt;='RETRATO 2027'!$K$5,"EM ANDAMENTO","A INICIAR")))</f>
        <v/>
      </c>
    </row>
    <row r="2876" customFormat="false" ht="15" hidden="false" customHeight="false" outlineLevel="0" collapsed="false">
      <c r="M2876" s="2" t="str">
        <f aca="false">IF(C2876="","",IFERROR(INDEX($S$5:$S$304,MATCH(C2876,$R$5:$R$304,0))&amp;"","?"))</f>
        <v/>
      </c>
      <c r="N2876" s="2" t="str">
        <f aca="false"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 t="str">
        <f aca="false">IF(OR(F2876="",G2876=""),"",IF(G2876&lt;='RETRATO 2027'!$K$5,"CONCLUÍDA",IF(F2876&lt;='RETRATO 2027'!$K$5,"EM ANDAMENTO","A INICIAR")))</f>
        <v/>
      </c>
    </row>
    <row r="2877" customFormat="false" ht="15" hidden="false" customHeight="false" outlineLevel="0" collapsed="false">
      <c r="M2877" s="2" t="str">
        <f aca="false">IF(C2877="","",IFERROR(INDEX($S$5:$S$304,MATCH(C2877,$R$5:$R$304,0))&amp;"","?"))</f>
        <v/>
      </c>
      <c r="N2877" s="2" t="str">
        <f aca="false"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 t="str">
        <f aca="false">IF(OR(F2877="",G2877=""),"",IF(G2877&lt;='RETRATO 2027'!$K$5,"CONCLUÍDA",IF(F2877&lt;='RETRATO 2027'!$K$5,"EM ANDAMENTO","A INICIAR")))</f>
        <v/>
      </c>
    </row>
    <row r="2878" customFormat="false" ht="15" hidden="false" customHeight="false" outlineLevel="0" collapsed="false">
      <c r="M2878" s="2" t="str">
        <f aca="false">IF(C2878="","",IFERROR(INDEX($S$5:$S$304,MATCH(C2878,$R$5:$R$304,0))&amp;"","?"))</f>
        <v/>
      </c>
      <c r="N2878" s="2" t="str">
        <f aca="false"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 t="str">
        <f aca="false">IF(OR(F2878="",G2878=""),"",IF(G2878&lt;='RETRATO 2027'!$K$5,"CONCLUÍDA",IF(F2878&lt;='RETRATO 2027'!$K$5,"EM ANDAMENTO","A INICIAR")))</f>
        <v/>
      </c>
    </row>
    <row r="2879" customFormat="false" ht="15" hidden="false" customHeight="false" outlineLevel="0" collapsed="false">
      <c r="M2879" s="2" t="str">
        <f aca="false">IF(C2879="","",IFERROR(INDEX($S$5:$S$304,MATCH(C2879,$R$5:$R$304,0))&amp;"","?"))</f>
        <v/>
      </c>
      <c r="N2879" s="2" t="str">
        <f aca="false"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 t="str">
        <f aca="false">IF(OR(F2879="",G2879=""),"",IF(G2879&lt;='RETRATO 2027'!$K$5,"CONCLUÍDA",IF(F2879&lt;='RETRATO 2027'!$K$5,"EM ANDAMENTO","A INICIAR")))</f>
        <v/>
      </c>
    </row>
    <row r="2880" customFormat="false" ht="15" hidden="false" customHeight="false" outlineLevel="0" collapsed="false">
      <c r="M2880" s="2" t="str">
        <f aca="false">IF(C2880="","",IFERROR(INDEX($S$5:$S$304,MATCH(C2880,$R$5:$R$304,0))&amp;"","?"))</f>
        <v/>
      </c>
      <c r="N2880" s="2" t="str">
        <f aca="false"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 t="str">
        <f aca="false">IF(OR(F2880="",G2880=""),"",IF(G2880&lt;='RETRATO 2027'!$K$5,"CONCLUÍDA",IF(F2880&lt;='RETRATO 2027'!$K$5,"EM ANDAMENTO","A INICIAR")))</f>
        <v/>
      </c>
    </row>
    <row r="2881" customFormat="false" ht="15" hidden="false" customHeight="false" outlineLevel="0" collapsed="false">
      <c r="M2881" s="2" t="str">
        <f aca="false">IF(C2881="","",IFERROR(INDEX($S$5:$S$304,MATCH(C2881,$R$5:$R$304,0))&amp;"","?"))</f>
        <v/>
      </c>
      <c r="N2881" s="2" t="str">
        <f aca="false"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 t="str">
        <f aca="false">IF(OR(F2881="",G2881=""),"",IF(G2881&lt;='RETRATO 2027'!$K$5,"CONCLUÍDA",IF(F2881&lt;='RETRATO 2027'!$K$5,"EM ANDAMENTO","A INICIAR")))</f>
        <v/>
      </c>
    </row>
    <row r="2882" customFormat="false" ht="15" hidden="false" customHeight="false" outlineLevel="0" collapsed="false">
      <c r="M2882" s="2" t="str">
        <f aca="false">IF(C2882="","",IFERROR(INDEX($S$5:$S$304,MATCH(C2882,$R$5:$R$304,0))&amp;"","?"))</f>
        <v/>
      </c>
      <c r="N2882" s="2" t="str">
        <f aca="false"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 t="str">
        <f aca="false">IF(OR(F2882="",G2882=""),"",IF(G2882&lt;='RETRATO 2027'!$K$5,"CONCLUÍDA",IF(F2882&lt;='RETRATO 2027'!$K$5,"EM ANDAMENTO","A INICIAR")))</f>
        <v/>
      </c>
    </row>
    <row r="2883" customFormat="false" ht="15" hidden="false" customHeight="false" outlineLevel="0" collapsed="false">
      <c r="M2883" s="2" t="str">
        <f aca="false">IF(C2883="","",IFERROR(INDEX($S$5:$S$304,MATCH(C2883,$R$5:$R$304,0))&amp;"","?"))</f>
        <v/>
      </c>
      <c r="N2883" s="2" t="str">
        <f aca="false"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 t="str">
        <f aca="false">IF(OR(F2883="",G2883=""),"",IF(G2883&lt;='RETRATO 2027'!$K$5,"CONCLUÍDA",IF(F2883&lt;='RETRATO 2027'!$K$5,"EM ANDAMENTO","A INICIAR")))</f>
        <v/>
      </c>
    </row>
    <row r="2884" customFormat="false" ht="15" hidden="false" customHeight="false" outlineLevel="0" collapsed="false">
      <c r="M2884" s="2" t="str">
        <f aca="false">IF(C2884="","",IFERROR(INDEX($S$5:$S$304,MATCH(C2884,$R$5:$R$304,0))&amp;"","?"))</f>
        <v/>
      </c>
      <c r="N2884" s="2" t="str">
        <f aca="false"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 t="str">
        <f aca="false">IF(OR(F2884="",G2884=""),"",IF(G2884&lt;='RETRATO 2027'!$K$5,"CONCLUÍDA",IF(F2884&lt;='RETRATO 2027'!$K$5,"EM ANDAMENTO","A INICIAR")))</f>
        <v/>
      </c>
    </row>
    <row r="2885" customFormat="false" ht="15" hidden="false" customHeight="false" outlineLevel="0" collapsed="false">
      <c r="M2885" s="2" t="str">
        <f aca="false">IF(C2885="","",IFERROR(INDEX($S$5:$S$304,MATCH(C2885,$R$5:$R$304,0))&amp;"","?"))</f>
        <v/>
      </c>
      <c r="N2885" s="2" t="str">
        <f aca="false"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 t="str">
        <f aca="false">IF(OR(F2885="",G2885=""),"",IF(G2885&lt;='RETRATO 2027'!$K$5,"CONCLUÍDA",IF(F2885&lt;='RETRATO 2027'!$K$5,"EM ANDAMENTO","A INICIAR")))</f>
        <v/>
      </c>
    </row>
    <row r="2886" customFormat="false" ht="15" hidden="false" customHeight="false" outlineLevel="0" collapsed="false">
      <c r="M2886" s="2" t="str">
        <f aca="false">IF(C2886="","",IFERROR(INDEX($S$5:$S$304,MATCH(C2886,$R$5:$R$304,0))&amp;"","?"))</f>
        <v/>
      </c>
      <c r="N2886" s="2" t="str">
        <f aca="false"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 t="str">
        <f aca="false">IF(OR(F2886="",G2886=""),"",IF(G2886&lt;='RETRATO 2027'!$K$5,"CONCLUÍDA",IF(F2886&lt;='RETRATO 2027'!$K$5,"EM ANDAMENTO","A INICIAR")))</f>
        <v/>
      </c>
    </row>
    <row r="2887" customFormat="false" ht="15" hidden="false" customHeight="false" outlineLevel="0" collapsed="false">
      <c r="M2887" s="2" t="str">
        <f aca="false">IF(C2887="","",IFERROR(INDEX($S$5:$S$304,MATCH(C2887,$R$5:$R$304,0))&amp;"","?"))</f>
        <v/>
      </c>
      <c r="N2887" s="2" t="str">
        <f aca="false"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 t="str">
        <f aca="false">IF(OR(F2887="",G2887=""),"",IF(G2887&lt;='RETRATO 2027'!$K$5,"CONCLUÍDA",IF(F2887&lt;='RETRATO 2027'!$K$5,"EM ANDAMENTO","A INICIAR")))</f>
        <v/>
      </c>
    </row>
    <row r="2888" customFormat="false" ht="15" hidden="false" customHeight="false" outlineLevel="0" collapsed="false">
      <c r="M2888" s="2" t="str">
        <f aca="false">IF(C2888="","",IFERROR(INDEX($S$5:$S$304,MATCH(C2888,$R$5:$R$304,0))&amp;"","?"))</f>
        <v/>
      </c>
      <c r="N2888" s="2" t="str">
        <f aca="false"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 t="str">
        <f aca="false">IF(OR(F2888="",G2888=""),"",IF(G2888&lt;='RETRATO 2027'!$K$5,"CONCLUÍDA",IF(F2888&lt;='RETRATO 2027'!$K$5,"EM ANDAMENTO","A INICIAR")))</f>
        <v/>
      </c>
    </row>
    <row r="2889" customFormat="false" ht="15" hidden="false" customHeight="false" outlineLevel="0" collapsed="false">
      <c r="M2889" s="2" t="str">
        <f aca="false">IF(C2889="","",IFERROR(INDEX($S$5:$S$304,MATCH(C2889,$R$5:$R$304,0))&amp;"","?"))</f>
        <v/>
      </c>
      <c r="N2889" s="2" t="str">
        <f aca="false"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 t="str">
        <f aca="false">IF(OR(F2889="",G2889=""),"",IF(G2889&lt;='RETRATO 2027'!$K$5,"CONCLUÍDA",IF(F2889&lt;='RETRATO 2027'!$K$5,"EM ANDAMENTO","A INICIAR")))</f>
        <v/>
      </c>
    </row>
    <row r="2890" customFormat="false" ht="15" hidden="false" customHeight="false" outlineLevel="0" collapsed="false">
      <c r="M2890" s="2" t="str">
        <f aca="false">IF(C2890="","",IFERROR(INDEX($S$5:$S$304,MATCH(C2890,$R$5:$R$304,0))&amp;"","?"))</f>
        <v/>
      </c>
      <c r="N2890" s="2" t="str">
        <f aca="false"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 t="str">
        <f aca="false">IF(OR(F2890="",G2890=""),"",IF(G2890&lt;='RETRATO 2027'!$K$5,"CONCLUÍDA",IF(F2890&lt;='RETRATO 2027'!$K$5,"EM ANDAMENTO","A INICIAR")))</f>
        <v/>
      </c>
    </row>
    <row r="2891" customFormat="false" ht="15" hidden="false" customHeight="false" outlineLevel="0" collapsed="false">
      <c r="M2891" s="2" t="str">
        <f aca="false">IF(C2891="","",IFERROR(INDEX($S$5:$S$304,MATCH(C2891,$R$5:$R$304,0))&amp;"","?"))</f>
        <v/>
      </c>
      <c r="N2891" s="2" t="str">
        <f aca="false"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 t="str">
        <f aca="false">IF(OR(F2891="",G2891=""),"",IF(G2891&lt;='RETRATO 2027'!$K$5,"CONCLUÍDA",IF(F2891&lt;='RETRATO 2027'!$K$5,"EM ANDAMENTO","A INICIAR")))</f>
        <v/>
      </c>
    </row>
    <row r="2892" customFormat="false" ht="15" hidden="false" customHeight="false" outlineLevel="0" collapsed="false">
      <c r="M2892" s="2" t="str">
        <f aca="false">IF(C2892="","",IFERROR(INDEX($S$5:$S$304,MATCH(C2892,$R$5:$R$304,0))&amp;"","?"))</f>
        <v/>
      </c>
      <c r="N2892" s="2" t="str">
        <f aca="false"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 t="str">
        <f aca="false">IF(OR(F2892="",G2892=""),"",IF(G2892&lt;='RETRATO 2027'!$K$5,"CONCLUÍDA",IF(F2892&lt;='RETRATO 2027'!$K$5,"EM ANDAMENTO","A INICIAR")))</f>
        <v/>
      </c>
    </row>
    <row r="2893" customFormat="false" ht="15" hidden="false" customHeight="false" outlineLevel="0" collapsed="false">
      <c r="M2893" s="2" t="str">
        <f aca="false">IF(C2893="","",IFERROR(INDEX($S$5:$S$304,MATCH(C2893,$R$5:$R$304,0))&amp;"","?"))</f>
        <v/>
      </c>
      <c r="N2893" s="2" t="str">
        <f aca="false"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 t="str">
        <f aca="false">IF(OR(F2893="",G2893=""),"",IF(G2893&lt;='RETRATO 2027'!$K$5,"CONCLUÍDA",IF(F2893&lt;='RETRATO 2027'!$K$5,"EM ANDAMENTO","A INICIAR")))</f>
        <v/>
      </c>
    </row>
    <row r="2894" customFormat="false" ht="15" hidden="false" customHeight="false" outlineLevel="0" collapsed="false">
      <c r="M2894" s="2" t="str">
        <f aca="false">IF(C2894="","",IFERROR(INDEX($S$5:$S$304,MATCH(C2894,$R$5:$R$304,0))&amp;"","?"))</f>
        <v/>
      </c>
      <c r="N2894" s="2" t="str">
        <f aca="false"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 t="str">
        <f aca="false">IF(OR(F2894="",G2894=""),"",IF(G2894&lt;='RETRATO 2027'!$K$5,"CONCLUÍDA",IF(F2894&lt;='RETRATO 2027'!$K$5,"EM ANDAMENTO","A INICIAR")))</f>
        <v/>
      </c>
    </row>
    <row r="2895" customFormat="false" ht="15" hidden="false" customHeight="false" outlineLevel="0" collapsed="false">
      <c r="M2895" s="2" t="str">
        <f aca="false">IF(C2895="","",IFERROR(INDEX($S$5:$S$304,MATCH(C2895,$R$5:$R$304,0))&amp;"","?"))</f>
        <v/>
      </c>
      <c r="N2895" s="2" t="str">
        <f aca="false"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 t="str">
        <f aca="false">IF(OR(F2895="",G2895=""),"",IF(G2895&lt;='RETRATO 2027'!$K$5,"CONCLUÍDA",IF(F2895&lt;='RETRATO 2027'!$K$5,"EM ANDAMENTO","A INICIAR")))</f>
        <v/>
      </c>
    </row>
    <row r="2896" customFormat="false" ht="15" hidden="false" customHeight="false" outlineLevel="0" collapsed="false">
      <c r="M2896" s="2" t="str">
        <f aca="false">IF(C2896="","",IFERROR(INDEX($S$5:$S$304,MATCH(C2896,$R$5:$R$304,0))&amp;"","?"))</f>
        <v/>
      </c>
      <c r="N2896" s="2" t="str">
        <f aca="false"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 t="str">
        <f aca="false">IF(OR(F2896="",G2896=""),"",IF(G2896&lt;='RETRATO 2027'!$K$5,"CONCLUÍDA",IF(F2896&lt;='RETRATO 2027'!$K$5,"EM ANDAMENTO","A INICIAR")))</f>
        <v/>
      </c>
    </row>
    <row r="2897" customFormat="false" ht="15" hidden="false" customHeight="false" outlineLevel="0" collapsed="false">
      <c r="M2897" s="2" t="str">
        <f aca="false">IF(C2897="","",IFERROR(INDEX($S$5:$S$304,MATCH(C2897,$R$5:$R$304,0))&amp;"","?"))</f>
        <v/>
      </c>
      <c r="N2897" s="2" t="str">
        <f aca="false"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 t="str">
        <f aca="false">IF(OR(F2897="",G2897=""),"",IF(G2897&lt;='RETRATO 2027'!$K$5,"CONCLUÍDA",IF(F2897&lt;='RETRATO 2027'!$K$5,"EM ANDAMENTO","A INICIAR")))</f>
        <v/>
      </c>
    </row>
    <row r="2898" customFormat="false" ht="15" hidden="false" customHeight="false" outlineLevel="0" collapsed="false">
      <c r="M2898" s="2" t="str">
        <f aca="false">IF(C2898="","",IFERROR(INDEX($S$5:$S$304,MATCH(C2898,$R$5:$R$304,0))&amp;"","?"))</f>
        <v/>
      </c>
      <c r="N2898" s="2" t="str">
        <f aca="false"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 t="str">
        <f aca="false">IF(OR(F2898="",G2898=""),"",IF(G2898&lt;='RETRATO 2027'!$K$5,"CONCLUÍDA",IF(F2898&lt;='RETRATO 2027'!$K$5,"EM ANDAMENTO","A INICIAR")))</f>
        <v/>
      </c>
    </row>
    <row r="2899" customFormat="false" ht="15" hidden="false" customHeight="false" outlineLevel="0" collapsed="false">
      <c r="M2899" s="2" t="str">
        <f aca="false">IF(C2899="","",IFERROR(INDEX($S$5:$S$304,MATCH(C2899,$R$5:$R$304,0))&amp;"","?"))</f>
        <v/>
      </c>
      <c r="N2899" s="2" t="str">
        <f aca="false"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 t="str">
        <f aca="false">IF(OR(F2899="",G2899=""),"",IF(G2899&lt;='RETRATO 2027'!$K$5,"CONCLUÍDA",IF(F2899&lt;='RETRATO 2027'!$K$5,"EM ANDAMENTO","A INICIAR")))</f>
        <v/>
      </c>
    </row>
    <row r="2900" customFormat="false" ht="15" hidden="false" customHeight="false" outlineLevel="0" collapsed="false">
      <c r="M2900" s="2" t="str">
        <f aca="false">IF(C2900="","",IFERROR(INDEX($S$5:$S$304,MATCH(C2900,$R$5:$R$304,0))&amp;"","?"))</f>
        <v/>
      </c>
      <c r="N2900" s="2" t="str">
        <f aca="false"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 t="str">
        <f aca="false">IF(OR(F2900="",G2900=""),"",IF(G2900&lt;='RETRATO 2027'!$K$5,"CONCLUÍDA",IF(F2900&lt;='RETRATO 2027'!$K$5,"EM ANDAMENTO","A INICIAR")))</f>
        <v/>
      </c>
    </row>
    <row r="2901" customFormat="false" ht="15" hidden="false" customHeight="false" outlineLevel="0" collapsed="false">
      <c r="M2901" s="2" t="str">
        <f aca="false">IF(C2901="","",IFERROR(INDEX($S$5:$S$304,MATCH(C2901,$R$5:$R$304,0))&amp;"","?"))</f>
        <v/>
      </c>
      <c r="N2901" s="2" t="str">
        <f aca="false"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 t="str">
        <f aca="false">IF(OR(F2901="",G2901=""),"",IF(G2901&lt;='RETRATO 2027'!$K$5,"CONCLUÍDA",IF(F2901&lt;='RETRATO 2027'!$K$5,"EM ANDAMENTO","A INICIAR")))</f>
        <v/>
      </c>
    </row>
    <row r="2902" customFormat="false" ht="15" hidden="false" customHeight="false" outlineLevel="0" collapsed="false">
      <c r="M2902" s="2" t="str">
        <f aca="false">IF(C2902="","",IFERROR(INDEX($S$5:$S$304,MATCH(C2902,$R$5:$R$304,0))&amp;"","?"))</f>
        <v/>
      </c>
      <c r="N2902" s="2" t="str">
        <f aca="false"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 t="str">
        <f aca="false">IF(OR(F2902="",G2902=""),"",IF(G2902&lt;='RETRATO 2027'!$K$5,"CONCLUÍDA",IF(F2902&lt;='RETRATO 2027'!$K$5,"EM ANDAMENTO","A INICIAR")))</f>
        <v/>
      </c>
    </row>
    <row r="2903" customFormat="false" ht="15" hidden="false" customHeight="false" outlineLevel="0" collapsed="false">
      <c r="M2903" s="2" t="str">
        <f aca="false">IF(C2903="","",IFERROR(INDEX($S$5:$S$304,MATCH(C2903,$R$5:$R$304,0))&amp;"","?"))</f>
        <v/>
      </c>
      <c r="N2903" s="2" t="str">
        <f aca="false"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 t="str">
        <f aca="false">IF(OR(F2903="",G2903=""),"",IF(G2903&lt;='RETRATO 2027'!$K$5,"CONCLUÍDA",IF(F2903&lt;='RETRATO 2027'!$K$5,"EM ANDAMENTO","A INICIAR")))</f>
        <v/>
      </c>
    </row>
    <row r="2904" customFormat="false" ht="15" hidden="false" customHeight="false" outlineLevel="0" collapsed="false">
      <c r="M2904" s="2" t="str">
        <f aca="false">IF(C2904="","",IFERROR(INDEX($S$5:$S$304,MATCH(C2904,$R$5:$R$304,0))&amp;"","?"))</f>
        <v/>
      </c>
      <c r="N2904" s="2" t="str">
        <f aca="false"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 t="str">
        <f aca="false">IF(OR(F2904="",G2904=""),"",IF(G2904&lt;='RETRATO 2027'!$K$5,"CONCLUÍDA",IF(F2904&lt;='RETRATO 2027'!$K$5,"EM ANDAMENTO","A INICIAR")))</f>
        <v/>
      </c>
    </row>
    <row r="2905" customFormat="false" ht="15" hidden="false" customHeight="false" outlineLevel="0" collapsed="false">
      <c r="M2905" s="2" t="str">
        <f aca="false">IF(C2905="","",IFERROR(INDEX($S$5:$S$304,MATCH(C2905,$R$5:$R$304,0))&amp;"","?"))</f>
        <v/>
      </c>
      <c r="N2905" s="2" t="str">
        <f aca="false"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 t="str">
        <f aca="false">IF(OR(F2905="",G2905=""),"",IF(G2905&lt;='RETRATO 2027'!$K$5,"CONCLUÍDA",IF(F2905&lt;='RETRATO 2027'!$K$5,"EM ANDAMENTO","A INICIAR")))</f>
        <v/>
      </c>
    </row>
    <row r="2906" customFormat="false" ht="15" hidden="false" customHeight="false" outlineLevel="0" collapsed="false">
      <c r="M2906" s="2" t="str">
        <f aca="false">IF(C2906="","",IFERROR(INDEX($S$5:$S$304,MATCH(C2906,$R$5:$R$304,0))&amp;"","?"))</f>
        <v/>
      </c>
      <c r="N2906" s="2" t="str">
        <f aca="false"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 t="str">
        <f aca="false">IF(OR(F2906="",G2906=""),"",IF(G2906&lt;='RETRATO 2027'!$K$5,"CONCLUÍDA",IF(F2906&lt;='RETRATO 2027'!$K$5,"EM ANDAMENTO","A INICIAR")))</f>
        <v/>
      </c>
    </row>
    <row r="2907" customFormat="false" ht="15" hidden="false" customHeight="false" outlineLevel="0" collapsed="false">
      <c r="M2907" s="2" t="str">
        <f aca="false">IF(C2907="","",IFERROR(INDEX($S$5:$S$304,MATCH(C2907,$R$5:$R$304,0))&amp;"","?"))</f>
        <v/>
      </c>
      <c r="N2907" s="2" t="str">
        <f aca="false"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 t="str">
        <f aca="false">IF(OR(F2907="",G2907=""),"",IF(G2907&lt;='RETRATO 2027'!$K$5,"CONCLUÍDA",IF(F2907&lt;='RETRATO 2027'!$K$5,"EM ANDAMENTO","A INICIAR")))</f>
        <v/>
      </c>
    </row>
    <row r="2908" customFormat="false" ht="15" hidden="false" customHeight="false" outlineLevel="0" collapsed="false">
      <c r="M2908" s="2" t="str">
        <f aca="false">IF(C2908="","",IFERROR(INDEX($S$5:$S$304,MATCH(C2908,$R$5:$R$304,0))&amp;"","?"))</f>
        <v/>
      </c>
      <c r="N2908" s="2" t="str">
        <f aca="false"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 t="str">
        <f aca="false">IF(OR(F2908="",G2908=""),"",IF(G2908&lt;='RETRATO 2027'!$K$5,"CONCLUÍDA",IF(F2908&lt;='RETRATO 2027'!$K$5,"EM ANDAMENTO","A INICIAR")))</f>
        <v/>
      </c>
    </row>
    <row r="2909" customFormat="false" ht="15" hidden="false" customHeight="false" outlineLevel="0" collapsed="false">
      <c r="M2909" s="2" t="str">
        <f aca="false">IF(C2909="","",IFERROR(INDEX($S$5:$S$304,MATCH(C2909,$R$5:$R$304,0))&amp;"","?"))</f>
        <v/>
      </c>
      <c r="N2909" s="2" t="str">
        <f aca="false"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 t="str">
        <f aca="false">IF(OR(F2909="",G2909=""),"",IF(G2909&lt;='RETRATO 2027'!$K$5,"CONCLUÍDA",IF(F2909&lt;='RETRATO 2027'!$K$5,"EM ANDAMENTO","A INICIAR")))</f>
        <v/>
      </c>
    </row>
    <row r="2910" customFormat="false" ht="15" hidden="false" customHeight="false" outlineLevel="0" collapsed="false">
      <c r="M2910" s="2" t="str">
        <f aca="false">IF(C2910="","",IFERROR(INDEX($S$5:$S$304,MATCH(C2910,$R$5:$R$304,0))&amp;"","?"))</f>
        <v/>
      </c>
      <c r="N2910" s="2" t="str">
        <f aca="false"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 t="str">
        <f aca="false">IF(OR(F2910="",G2910=""),"",IF(G2910&lt;='RETRATO 2027'!$K$5,"CONCLUÍDA",IF(F2910&lt;='RETRATO 2027'!$K$5,"EM ANDAMENTO","A INICIAR")))</f>
        <v/>
      </c>
    </row>
    <row r="2911" customFormat="false" ht="15" hidden="false" customHeight="false" outlineLevel="0" collapsed="false">
      <c r="M2911" s="2" t="str">
        <f aca="false">IF(C2911="","",IFERROR(INDEX($S$5:$S$304,MATCH(C2911,$R$5:$R$304,0))&amp;"","?"))</f>
        <v/>
      </c>
      <c r="N2911" s="2" t="str">
        <f aca="false"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 t="str">
        <f aca="false">IF(OR(F2911="",G2911=""),"",IF(G2911&lt;='RETRATO 2027'!$K$5,"CONCLUÍDA",IF(F2911&lt;='RETRATO 2027'!$K$5,"EM ANDAMENTO","A INICIAR")))</f>
        <v/>
      </c>
    </row>
    <row r="2912" customFormat="false" ht="15" hidden="false" customHeight="false" outlineLevel="0" collapsed="false">
      <c r="M2912" s="2" t="str">
        <f aca="false">IF(C2912="","",IFERROR(INDEX($S$5:$S$304,MATCH(C2912,$R$5:$R$304,0))&amp;"","?"))</f>
        <v/>
      </c>
      <c r="N2912" s="2" t="str">
        <f aca="false"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 t="str">
        <f aca="false">IF(OR(F2912="",G2912=""),"",IF(G2912&lt;='RETRATO 2027'!$K$5,"CONCLUÍDA",IF(F2912&lt;='RETRATO 2027'!$K$5,"EM ANDAMENTO","A INICIAR")))</f>
        <v/>
      </c>
    </row>
    <row r="2913" customFormat="false" ht="15" hidden="false" customHeight="false" outlineLevel="0" collapsed="false">
      <c r="M2913" s="2" t="str">
        <f aca="false">IF(C2913="","",IFERROR(INDEX($S$5:$S$304,MATCH(C2913,$R$5:$R$304,0))&amp;"","?"))</f>
        <v/>
      </c>
      <c r="N2913" s="2" t="str">
        <f aca="false"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 t="str">
        <f aca="false">IF(OR(F2913="",G2913=""),"",IF(G2913&lt;='RETRATO 2027'!$K$5,"CONCLUÍDA",IF(F2913&lt;='RETRATO 2027'!$K$5,"EM ANDAMENTO","A INICIAR")))</f>
        <v/>
      </c>
    </row>
    <row r="2914" customFormat="false" ht="15" hidden="false" customHeight="false" outlineLevel="0" collapsed="false">
      <c r="M2914" s="2" t="str">
        <f aca="false">IF(C2914="","",IFERROR(INDEX($S$5:$S$304,MATCH(C2914,$R$5:$R$304,0))&amp;"","?"))</f>
        <v/>
      </c>
      <c r="N2914" s="2" t="str">
        <f aca="false"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 t="str">
        <f aca="false">IF(OR(F2914="",G2914=""),"",IF(G2914&lt;='RETRATO 2027'!$K$5,"CONCLUÍDA",IF(F2914&lt;='RETRATO 2027'!$K$5,"EM ANDAMENTO","A INICIAR")))</f>
        <v/>
      </c>
    </row>
    <row r="2915" customFormat="false" ht="15" hidden="false" customHeight="false" outlineLevel="0" collapsed="false">
      <c r="M2915" s="2" t="str">
        <f aca="false">IF(C2915="","",IFERROR(INDEX($S$5:$S$304,MATCH(C2915,$R$5:$R$304,0))&amp;"","?"))</f>
        <v/>
      </c>
      <c r="N2915" s="2" t="str">
        <f aca="false"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 t="str">
        <f aca="false">IF(OR(F2915="",G2915=""),"",IF(G2915&lt;='RETRATO 2027'!$K$5,"CONCLUÍDA",IF(F2915&lt;='RETRATO 2027'!$K$5,"EM ANDAMENTO","A INICIAR")))</f>
        <v/>
      </c>
    </row>
    <row r="2916" customFormat="false" ht="15" hidden="false" customHeight="false" outlineLevel="0" collapsed="false">
      <c r="M2916" s="2" t="str">
        <f aca="false">IF(C2916="","",IFERROR(INDEX($S$5:$S$304,MATCH(C2916,$R$5:$R$304,0))&amp;"","?"))</f>
        <v/>
      </c>
      <c r="N2916" s="2" t="str">
        <f aca="false"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 t="str">
        <f aca="false">IF(OR(F2916="",G2916=""),"",IF(G2916&lt;='RETRATO 2027'!$K$5,"CONCLUÍDA",IF(F2916&lt;='RETRATO 2027'!$K$5,"EM ANDAMENTO","A INICIAR")))</f>
        <v/>
      </c>
    </row>
    <row r="2917" customFormat="false" ht="15" hidden="false" customHeight="false" outlineLevel="0" collapsed="false">
      <c r="M2917" s="2" t="str">
        <f aca="false">IF(C2917="","",IFERROR(INDEX($S$5:$S$304,MATCH(C2917,$R$5:$R$304,0))&amp;"","?"))</f>
        <v/>
      </c>
      <c r="N2917" s="2" t="str">
        <f aca="false"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 t="str">
        <f aca="false">IF(OR(F2917="",G2917=""),"",IF(G2917&lt;='RETRATO 2027'!$K$5,"CONCLUÍDA",IF(F2917&lt;='RETRATO 2027'!$K$5,"EM ANDAMENTO","A INICIAR")))</f>
        <v/>
      </c>
    </row>
    <row r="2918" customFormat="false" ht="15" hidden="false" customHeight="false" outlineLevel="0" collapsed="false">
      <c r="M2918" s="2" t="str">
        <f aca="false">IF(C2918="","",IFERROR(INDEX($S$5:$S$304,MATCH(C2918,$R$5:$R$304,0))&amp;"","?"))</f>
        <v/>
      </c>
      <c r="N2918" s="2" t="str">
        <f aca="false"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 t="str">
        <f aca="false">IF(OR(F2918="",G2918=""),"",IF(G2918&lt;='RETRATO 2027'!$K$5,"CONCLUÍDA",IF(F2918&lt;='RETRATO 2027'!$K$5,"EM ANDAMENTO","A INICIAR")))</f>
        <v/>
      </c>
    </row>
    <row r="2919" customFormat="false" ht="15" hidden="false" customHeight="false" outlineLevel="0" collapsed="false">
      <c r="M2919" s="2" t="str">
        <f aca="false">IF(C2919="","",IFERROR(INDEX($S$5:$S$304,MATCH(C2919,$R$5:$R$304,0))&amp;"","?"))</f>
        <v/>
      </c>
      <c r="N2919" s="2" t="str">
        <f aca="false"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 t="str">
        <f aca="false">IF(OR(F2919="",G2919=""),"",IF(G2919&lt;='RETRATO 2027'!$K$5,"CONCLUÍDA",IF(F2919&lt;='RETRATO 2027'!$K$5,"EM ANDAMENTO","A INICIAR")))</f>
        <v/>
      </c>
    </row>
    <row r="2920" customFormat="false" ht="15" hidden="false" customHeight="false" outlineLevel="0" collapsed="false">
      <c r="M2920" s="2" t="str">
        <f aca="false">IF(C2920="","",IFERROR(INDEX($S$5:$S$304,MATCH(C2920,$R$5:$R$304,0))&amp;"","?"))</f>
        <v/>
      </c>
      <c r="N2920" s="2" t="str">
        <f aca="false"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 t="str">
        <f aca="false">IF(OR(F2920="",G2920=""),"",IF(G2920&lt;='RETRATO 2027'!$K$5,"CONCLUÍDA",IF(F2920&lt;='RETRATO 2027'!$K$5,"EM ANDAMENTO","A INICIAR")))</f>
        <v/>
      </c>
    </row>
    <row r="2921" customFormat="false" ht="15" hidden="false" customHeight="false" outlineLevel="0" collapsed="false">
      <c r="M2921" s="2" t="str">
        <f aca="false">IF(C2921="","",IFERROR(INDEX($S$5:$S$304,MATCH(C2921,$R$5:$R$304,0))&amp;"","?"))</f>
        <v/>
      </c>
      <c r="N2921" s="2" t="str">
        <f aca="false"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 t="str">
        <f aca="false">IF(OR(F2921="",G2921=""),"",IF(G2921&lt;='RETRATO 2027'!$K$5,"CONCLUÍDA",IF(F2921&lt;='RETRATO 2027'!$K$5,"EM ANDAMENTO","A INICIAR")))</f>
        <v/>
      </c>
    </row>
    <row r="2922" customFormat="false" ht="15" hidden="false" customHeight="false" outlineLevel="0" collapsed="false">
      <c r="M2922" s="2" t="str">
        <f aca="false">IF(C2922="","",IFERROR(INDEX($S$5:$S$304,MATCH(C2922,$R$5:$R$304,0))&amp;"","?"))</f>
        <v/>
      </c>
      <c r="N2922" s="2" t="str">
        <f aca="false"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 t="str">
        <f aca="false">IF(OR(F2922="",G2922=""),"",IF(G2922&lt;='RETRATO 2027'!$K$5,"CONCLUÍDA",IF(F2922&lt;='RETRATO 2027'!$K$5,"EM ANDAMENTO","A INICIAR")))</f>
        <v/>
      </c>
    </row>
    <row r="2923" customFormat="false" ht="15" hidden="false" customHeight="false" outlineLevel="0" collapsed="false">
      <c r="M2923" s="2" t="str">
        <f aca="false">IF(C2923="","",IFERROR(INDEX($S$5:$S$304,MATCH(C2923,$R$5:$R$304,0))&amp;"","?"))</f>
        <v/>
      </c>
      <c r="N2923" s="2" t="str">
        <f aca="false"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 t="str">
        <f aca="false">IF(OR(F2923="",G2923=""),"",IF(G2923&lt;='RETRATO 2027'!$K$5,"CONCLUÍDA",IF(F2923&lt;='RETRATO 2027'!$K$5,"EM ANDAMENTO","A INICIAR")))</f>
        <v/>
      </c>
    </row>
    <row r="2924" customFormat="false" ht="15" hidden="false" customHeight="false" outlineLevel="0" collapsed="false">
      <c r="M2924" s="2" t="str">
        <f aca="false">IF(C2924="","",IFERROR(INDEX($S$5:$S$304,MATCH(C2924,$R$5:$R$304,0))&amp;"","?"))</f>
        <v/>
      </c>
      <c r="N2924" s="2" t="str">
        <f aca="false"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 t="str">
        <f aca="false">IF(OR(F2924="",G2924=""),"",IF(G2924&lt;='RETRATO 2027'!$K$5,"CONCLUÍDA",IF(F2924&lt;='RETRATO 2027'!$K$5,"EM ANDAMENTO","A INICIAR")))</f>
        <v/>
      </c>
    </row>
    <row r="2925" customFormat="false" ht="15" hidden="false" customHeight="false" outlineLevel="0" collapsed="false">
      <c r="M2925" s="2" t="str">
        <f aca="false">IF(C2925="","",IFERROR(INDEX($S$5:$S$304,MATCH(C2925,$R$5:$R$304,0))&amp;"","?"))</f>
        <v/>
      </c>
      <c r="N2925" s="2" t="str">
        <f aca="false"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 t="str">
        <f aca="false">IF(OR(F2925="",G2925=""),"",IF(G2925&lt;='RETRATO 2027'!$K$5,"CONCLUÍDA",IF(F2925&lt;='RETRATO 2027'!$K$5,"EM ANDAMENTO","A INICIAR")))</f>
        <v/>
      </c>
    </row>
    <row r="2926" customFormat="false" ht="15" hidden="false" customHeight="false" outlineLevel="0" collapsed="false">
      <c r="M2926" s="2" t="str">
        <f aca="false">IF(C2926="","",IFERROR(INDEX($S$5:$S$304,MATCH(C2926,$R$5:$R$304,0))&amp;"","?"))</f>
        <v/>
      </c>
      <c r="N2926" s="2" t="str">
        <f aca="false"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 t="str">
        <f aca="false">IF(OR(F2926="",G2926=""),"",IF(G2926&lt;='RETRATO 2027'!$K$5,"CONCLUÍDA",IF(F2926&lt;='RETRATO 2027'!$K$5,"EM ANDAMENTO","A INICIAR")))</f>
        <v/>
      </c>
    </row>
    <row r="2927" customFormat="false" ht="15" hidden="false" customHeight="false" outlineLevel="0" collapsed="false">
      <c r="M2927" s="2" t="str">
        <f aca="false">IF(C2927="","",IFERROR(INDEX($S$5:$S$304,MATCH(C2927,$R$5:$R$304,0))&amp;"","?"))</f>
        <v/>
      </c>
      <c r="N2927" s="2" t="str">
        <f aca="false"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 t="str">
        <f aca="false">IF(OR(F2927="",G2927=""),"",IF(G2927&lt;='RETRATO 2027'!$K$5,"CONCLUÍDA",IF(F2927&lt;='RETRATO 2027'!$K$5,"EM ANDAMENTO","A INICIAR")))</f>
        <v/>
      </c>
    </row>
    <row r="2928" customFormat="false" ht="15" hidden="false" customHeight="false" outlineLevel="0" collapsed="false">
      <c r="M2928" s="2" t="str">
        <f aca="false">IF(C2928="","",IFERROR(INDEX($S$5:$S$304,MATCH(C2928,$R$5:$R$304,0))&amp;"","?"))</f>
        <v/>
      </c>
      <c r="N2928" s="2" t="str">
        <f aca="false"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 t="str">
        <f aca="false">IF(OR(F2928="",G2928=""),"",IF(G2928&lt;='RETRATO 2027'!$K$5,"CONCLUÍDA",IF(F2928&lt;='RETRATO 2027'!$K$5,"EM ANDAMENTO","A INICIAR")))</f>
        <v/>
      </c>
    </row>
    <row r="2929" customFormat="false" ht="15" hidden="false" customHeight="false" outlineLevel="0" collapsed="false">
      <c r="M2929" s="2" t="str">
        <f aca="false">IF(C2929="","",IFERROR(INDEX($S$5:$S$304,MATCH(C2929,$R$5:$R$304,0))&amp;"","?"))</f>
        <v/>
      </c>
      <c r="N2929" s="2" t="str">
        <f aca="false"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 t="str">
        <f aca="false">IF(OR(F2929="",G2929=""),"",IF(G2929&lt;='RETRATO 2027'!$K$5,"CONCLUÍDA",IF(F2929&lt;='RETRATO 2027'!$K$5,"EM ANDAMENTO","A INICIAR")))</f>
        <v/>
      </c>
    </row>
    <row r="2930" customFormat="false" ht="15" hidden="false" customHeight="false" outlineLevel="0" collapsed="false">
      <c r="M2930" s="2" t="str">
        <f aca="false">IF(C2930="","",IFERROR(INDEX($S$5:$S$304,MATCH(C2930,$R$5:$R$304,0))&amp;"","?"))</f>
        <v/>
      </c>
      <c r="N2930" s="2" t="str">
        <f aca="false"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 t="str">
        <f aca="false">IF(OR(F2930="",G2930=""),"",IF(G2930&lt;='RETRATO 2027'!$K$5,"CONCLUÍDA",IF(F2930&lt;='RETRATO 2027'!$K$5,"EM ANDAMENTO","A INICIAR")))</f>
        <v/>
      </c>
    </row>
    <row r="2931" customFormat="false" ht="15" hidden="false" customHeight="false" outlineLevel="0" collapsed="false">
      <c r="M2931" s="2" t="str">
        <f aca="false">IF(C2931="","",IFERROR(INDEX($S$5:$S$304,MATCH(C2931,$R$5:$R$304,0))&amp;"","?"))</f>
        <v/>
      </c>
      <c r="N2931" s="2" t="str">
        <f aca="false"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 t="str">
        <f aca="false">IF(OR(F2931="",G2931=""),"",IF(G2931&lt;='RETRATO 2027'!$K$5,"CONCLUÍDA",IF(F2931&lt;='RETRATO 2027'!$K$5,"EM ANDAMENTO","A INICIAR")))</f>
        <v/>
      </c>
    </row>
    <row r="2932" customFormat="false" ht="15" hidden="false" customHeight="false" outlineLevel="0" collapsed="false">
      <c r="M2932" s="2" t="str">
        <f aca="false">IF(C2932="","",IFERROR(INDEX($S$5:$S$304,MATCH(C2932,$R$5:$R$304,0))&amp;"","?"))</f>
        <v/>
      </c>
      <c r="N2932" s="2" t="str">
        <f aca="false"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 t="str">
        <f aca="false">IF(OR(F2932="",G2932=""),"",IF(G2932&lt;='RETRATO 2027'!$K$5,"CONCLUÍDA",IF(F2932&lt;='RETRATO 2027'!$K$5,"EM ANDAMENTO","A INICIAR")))</f>
        <v/>
      </c>
    </row>
    <row r="2933" customFormat="false" ht="15" hidden="false" customHeight="false" outlineLevel="0" collapsed="false">
      <c r="M2933" s="2" t="str">
        <f aca="false">IF(C2933="","",IFERROR(INDEX($S$5:$S$304,MATCH(C2933,$R$5:$R$304,0))&amp;"","?"))</f>
        <v/>
      </c>
      <c r="N2933" s="2" t="str">
        <f aca="false"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 t="str">
        <f aca="false">IF(OR(F2933="",G2933=""),"",IF(G2933&lt;='RETRATO 2027'!$K$5,"CONCLUÍDA",IF(F2933&lt;='RETRATO 2027'!$K$5,"EM ANDAMENTO","A INICIAR")))</f>
        <v/>
      </c>
    </row>
    <row r="2934" customFormat="false" ht="15" hidden="false" customHeight="false" outlineLevel="0" collapsed="false">
      <c r="M2934" s="2" t="str">
        <f aca="false">IF(C2934="","",IFERROR(INDEX($S$5:$S$304,MATCH(C2934,$R$5:$R$304,0))&amp;"","?"))</f>
        <v/>
      </c>
      <c r="N2934" s="2" t="str">
        <f aca="false"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 t="str">
        <f aca="false">IF(OR(F2934="",G2934=""),"",IF(G2934&lt;='RETRATO 2027'!$K$5,"CONCLUÍDA",IF(F2934&lt;='RETRATO 2027'!$K$5,"EM ANDAMENTO","A INICIAR")))</f>
        <v/>
      </c>
    </row>
    <row r="2935" customFormat="false" ht="15" hidden="false" customHeight="false" outlineLevel="0" collapsed="false">
      <c r="M2935" s="2" t="str">
        <f aca="false">IF(C2935="","",IFERROR(INDEX($S$5:$S$304,MATCH(C2935,$R$5:$R$304,0))&amp;"","?"))</f>
        <v/>
      </c>
      <c r="N2935" s="2" t="str">
        <f aca="false"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 t="str">
        <f aca="false">IF(OR(F2935="",G2935=""),"",IF(G2935&lt;='RETRATO 2027'!$K$5,"CONCLUÍDA",IF(F2935&lt;='RETRATO 2027'!$K$5,"EM ANDAMENTO","A INICIAR")))</f>
        <v/>
      </c>
    </row>
    <row r="2936" customFormat="false" ht="15" hidden="false" customHeight="false" outlineLevel="0" collapsed="false">
      <c r="M2936" s="2" t="str">
        <f aca="false">IF(C2936="","",IFERROR(INDEX($S$5:$S$304,MATCH(C2936,$R$5:$R$304,0))&amp;"","?"))</f>
        <v/>
      </c>
      <c r="N2936" s="2" t="str">
        <f aca="false"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 t="str">
        <f aca="false">IF(OR(F2936="",G2936=""),"",IF(G2936&lt;='RETRATO 2027'!$K$5,"CONCLUÍDA",IF(F2936&lt;='RETRATO 2027'!$K$5,"EM ANDAMENTO","A INICIAR")))</f>
        <v/>
      </c>
    </row>
    <row r="2937" customFormat="false" ht="15" hidden="false" customHeight="false" outlineLevel="0" collapsed="false">
      <c r="M2937" s="2" t="str">
        <f aca="false">IF(C2937="","",IFERROR(INDEX($S$5:$S$304,MATCH(C2937,$R$5:$R$304,0))&amp;"","?"))</f>
        <v/>
      </c>
      <c r="N2937" s="2" t="str">
        <f aca="false"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 t="str">
        <f aca="false">IF(OR(F2937="",G2937=""),"",IF(G2937&lt;='RETRATO 2027'!$K$5,"CONCLUÍDA",IF(F2937&lt;='RETRATO 2027'!$K$5,"EM ANDAMENTO","A INICIAR")))</f>
        <v/>
      </c>
    </row>
    <row r="2938" customFormat="false" ht="15" hidden="false" customHeight="false" outlineLevel="0" collapsed="false">
      <c r="M2938" s="2" t="str">
        <f aca="false">IF(C2938="","",IFERROR(INDEX($S$5:$S$304,MATCH(C2938,$R$5:$R$304,0))&amp;"","?"))</f>
        <v/>
      </c>
      <c r="N2938" s="2" t="str">
        <f aca="false"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 t="str">
        <f aca="false">IF(OR(F2938="",G2938=""),"",IF(G2938&lt;='RETRATO 2027'!$K$5,"CONCLUÍDA",IF(F2938&lt;='RETRATO 2027'!$K$5,"EM ANDAMENTO","A INICIAR")))</f>
        <v/>
      </c>
    </row>
    <row r="2939" customFormat="false" ht="15" hidden="false" customHeight="false" outlineLevel="0" collapsed="false">
      <c r="M2939" s="2" t="str">
        <f aca="false">IF(C2939="","",IFERROR(INDEX($S$5:$S$304,MATCH(C2939,$R$5:$R$304,0))&amp;"","?"))</f>
        <v/>
      </c>
      <c r="N2939" s="2" t="str">
        <f aca="false"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 t="str">
        <f aca="false">IF(OR(F2939="",G2939=""),"",IF(G2939&lt;='RETRATO 2027'!$K$5,"CONCLUÍDA",IF(F2939&lt;='RETRATO 2027'!$K$5,"EM ANDAMENTO","A INICIAR")))</f>
        <v/>
      </c>
    </row>
    <row r="2940" customFormat="false" ht="15" hidden="false" customHeight="false" outlineLevel="0" collapsed="false">
      <c r="M2940" s="2" t="str">
        <f aca="false">IF(C2940="","",IFERROR(INDEX($S$5:$S$304,MATCH(C2940,$R$5:$R$304,0))&amp;"","?"))</f>
        <v/>
      </c>
      <c r="N2940" s="2" t="str">
        <f aca="false"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 t="str">
        <f aca="false">IF(OR(F2940="",G2940=""),"",IF(G2940&lt;='RETRATO 2027'!$K$5,"CONCLUÍDA",IF(F2940&lt;='RETRATO 2027'!$K$5,"EM ANDAMENTO","A INICIAR")))</f>
        <v/>
      </c>
    </row>
    <row r="2941" customFormat="false" ht="15" hidden="false" customHeight="false" outlineLevel="0" collapsed="false">
      <c r="M2941" s="2" t="str">
        <f aca="false">IF(C2941="","",IFERROR(INDEX($S$5:$S$304,MATCH(C2941,$R$5:$R$304,0))&amp;"","?"))</f>
        <v/>
      </c>
      <c r="N2941" s="2" t="str">
        <f aca="false"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 t="str">
        <f aca="false">IF(OR(F2941="",G2941=""),"",IF(G2941&lt;='RETRATO 2027'!$K$5,"CONCLUÍDA",IF(F2941&lt;='RETRATO 2027'!$K$5,"EM ANDAMENTO","A INICIAR")))</f>
        <v/>
      </c>
    </row>
    <row r="2942" customFormat="false" ht="15" hidden="false" customHeight="false" outlineLevel="0" collapsed="false">
      <c r="M2942" s="2" t="str">
        <f aca="false">IF(C2942="","",IFERROR(INDEX($S$5:$S$304,MATCH(C2942,$R$5:$R$304,0))&amp;"","?"))</f>
        <v/>
      </c>
      <c r="N2942" s="2" t="str">
        <f aca="false"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 t="str">
        <f aca="false">IF(OR(F2942="",G2942=""),"",IF(G2942&lt;='RETRATO 2027'!$K$5,"CONCLUÍDA",IF(F2942&lt;='RETRATO 2027'!$K$5,"EM ANDAMENTO","A INICIAR")))</f>
        <v/>
      </c>
    </row>
    <row r="2943" customFormat="false" ht="15" hidden="false" customHeight="false" outlineLevel="0" collapsed="false">
      <c r="M2943" s="2" t="str">
        <f aca="false">IF(C2943="","",IFERROR(INDEX($S$5:$S$304,MATCH(C2943,$R$5:$R$304,0))&amp;"","?"))</f>
        <v/>
      </c>
      <c r="N2943" s="2" t="str">
        <f aca="false"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 t="str">
        <f aca="false">IF(OR(F2943="",G2943=""),"",IF(G2943&lt;='RETRATO 2027'!$K$5,"CONCLUÍDA",IF(F2943&lt;='RETRATO 2027'!$K$5,"EM ANDAMENTO","A INICIAR")))</f>
        <v/>
      </c>
    </row>
    <row r="2944" customFormat="false" ht="15" hidden="false" customHeight="false" outlineLevel="0" collapsed="false">
      <c r="M2944" s="2" t="str">
        <f aca="false">IF(C2944="","",IFERROR(INDEX($S$5:$S$304,MATCH(C2944,$R$5:$R$304,0))&amp;"","?"))</f>
        <v/>
      </c>
      <c r="N2944" s="2" t="str">
        <f aca="false"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 t="str">
        <f aca="false">IF(OR(F2944="",G2944=""),"",IF(G2944&lt;='RETRATO 2027'!$K$5,"CONCLUÍDA",IF(F2944&lt;='RETRATO 2027'!$K$5,"EM ANDAMENTO","A INICIAR")))</f>
        <v/>
      </c>
    </row>
    <row r="2945" customFormat="false" ht="15" hidden="false" customHeight="false" outlineLevel="0" collapsed="false">
      <c r="M2945" s="2" t="str">
        <f aca="false">IF(C2945="","",IFERROR(INDEX($S$5:$S$304,MATCH(C2945,$R$5:$R$304,0))&amp;"","?"))</f>
        <v/>
      </c>
      <c r="N2945" s="2" t="str">
        <f aca="false"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 t="str">
        <f aca="false">IF(OR(F2945="",G2945=""),"",IF(G2945&lt;='RETRATO 2027'!$K$5,"CONCLUÍDA",IF(F2945&lt;='RETRATO 2027'!$K$5,"EM ANDAMENTO","A INICIAR")))</f>
        <v/>
      </c>
    </row>
    <row r="2946" customFormat="false" ht="15" hidden="false" customHeight="false" outlineLevel="0" collapsed="false">
      <c r="M2946" s="2" t="str">
        <f aca="false">IF(C2946="","",IFERROR(INDEX($S$5:$S$304,MATCH(C2946,$R$5:$R$304,0))&amp;"","?"))</f>
        <v/>
      </c>
      <c r="N2946" s="2" t="str">
        <f aca="false"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 t="str">
        <f aca="false">IF(OR(F2946="",G2946=""),"",IF(G2946&lt;='RETRATO 2027'!$K$5,"CONCLUÍDA",IF(F2946&lt;='RETRATO 2027'!$K$5,"EM ANDAMENTO","A INICIAR")))</f>
        <v/>
      </c>
    </row>
    <row r="2947" customFormat="false" ht="15" hidden="false" customHeight="false" outlineLevel="0" collapsed="false">
      <c r="M2947" s="2" t="str">
        <f aca="false">IF(C2947="","",IFERROR(INDEX($S$5:$S$304,MATCH(C2947,$R$5:$R$304,0))&amp;"","?"))</f>
        <v/>
      </c>
      <c r="N2947" s="2" t="str">
        <f aca="false"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 t="str">
        <f aca="false">IF(OR(F2947="",G2947=""),"",IF(G2947&lt;='RETRATO 2027'!$K$5,"CONCLUÍDA",IF(F2947&lt;='RETRATO 2027'!$K$5,"EM ANDAMENTO","A INICIAR")))</f>
        <v/>
      </c>
    </row>
    <row r="2948" customFormat="false" ht="15" hidden="false" customHeight="false" outlineLevel="0" collapsed="false">
      <c r="M2948" s="2" t="str">
        <f aca="false">IF(C2948="","",IFERROR(INDEX($S$5:$S$304,MATCH(C2948,$R$5:$R$304,0))&amp;"","?"))</f>
        <v/>
      </c>
      <c r="N2948" s="2" t="str">
        <f aca="false"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 t="str">
        <f aca="false">IF(OR(F2948="",G2948=""),"",IF(G2948&lt;='RETRATO 2027'!$K$5,"CONCLUÍDA",IF(F2948&lt;='RETRATO 2027'!$K$5,"EM ANDAMENTO","A INICIAR")))</f>
        <v/>
      </c>
    </row>
    <row r="2949" customFormat="false" ht="15" hidden="false" customHeight="false" outlineLevel="0" collapsed="false">
      <c r="M2949" s="2" t="str">
        <f aca="false">IF(C2949="","",IFERROR(INDEX($S$5:$S$304,MATCH(C2949,$R$5:$R$304,0))&amp;"","?"))</f>
        <v/>
      </c>
      <c r="N2949" s="2" t="str">
        <f aca="false"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 t="str">
        <f aca="false">IF(OR(F2949="",G2949=""),"",IF(G2949&lt;='RETRATO 2027'!$K$5,"CONCLUÍDA",IF(F2949&lt;='RETRATO 2027'!$K$5,"EM ANDAMENTO","A INICIAR")))</f>
        <v/>
      </c>
    </row>
    <row r="2950" customFormat="false" ht="15" hidden="false" customHeight="false" outlineLevel="0" collapsed="false">
      <c r="M2950" s="2" t="str">
        <f aca="false">IF(C2950="","",IFERROR(INDEX($S$5:$S$304,MATCH(C2950,$R$5:$R$304,0))&amp;"","?"))</f>
        <v/>
      </c>
      <c r="N2950" s="2" t="str">
        <f aca="false"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 t="str">
        <f aca="false">IF(OR(F2950="",G2950=""),"",IF(G2950&lt;='RETRATO 2027'!$K$5,"CONCLUÍDA",IF(F2950&lt;='RETRATO 2027'!$K$5,"EM ANDAMENTO","A INICIAR")))</f>
        <v/>
      </c>
    </row>
    <row r="2951" customFormat="false" ht="15" hidden="false" customHeight="false" outlineLevel="0" collapsed="false">
      <c r="M2951" s="2" t="str">
        <f aca="false">IF(C2951="","",IFERROR(INDEX($S$5:$S$304,MATCH(C2951,$R$5:$R$304,0))&amp;"","?"))</f>
        <v/>
      </c>
      <c r="N2951" s="2" t="str">
        <f aca="false"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 t="str">
        <f aca="false">IF(OR(F2951="",G2951=""),"",IF(G2951&lt;='RETRATO 2027'!$K$5,"CONCLUÍDA",IF(F2951&lt;='RETRATO 2027'!$K$5,"EM ANDAMENTO","A INICIAR")))</f>
        <v/>
      </c>
    </row>
    <row r="2952" customFormat="false" ht="15" hidden="false" customHeight="false" outlineLevel="0" collapsed="false">
      <c r="M2952" s="2" t="str">
        <f aca="false">IF(C2952="","",IFERROR(INDEX($S$5:$S$304,MATCH(C2952,$R$5:$R$304,0))&amp;"","?"))</f>
        <v/>
      </c>
      <c r="N2952" s="2" t="str">
        <f aca="false"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 t="str">
        <f aca="false">IF(OR(F2952="",G2952=""),"",IF(G2952&lt;='RETRATO 2027'!$K$5,"CONCLUÍDA",IF(F2952&lt;='RETRATO 2027'!$K$5,"EM ANDAMENTO","A INICIAR")))</f>
        <v/>
      </c>
    </row>
    <row r="2953" customFormat="false" ht="15" hidden="false" customHeight="false" outlineLevel="0" collapsed="false">
      <c r="M2953" s="2" t="str">
        <f aca="false">IF(C2953="","",IFERROR(INDEX($S$5:$S$304,MATCH(C2953,$R$5:$R$304,0))&amp;"","?"))</f>
        <v/>
      </c>
      <c r="N2953" s="2" t="str">
        <f aca="false"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 t="str">
        <f aca="false">IF(OR(F2953="",G2953=""),"",IF(G2953&lt;='RETRATO 2027'!$K$5,"CONCLUÍDA",IF(F2953&lt;='RETRATO 2027'!$K$5,"EM ANDAMENTO","A INICIAR")))</f>
        <v/>
      </c>
    </row>
    <row r="2954" customFormat="false" ht="15" hidden="false" customHeight="false" outlineLevel="0" collapsed="false">
      <c r="M2954" s="2" t="str">
        <f aca="false">IF(C2954="","",IFERROR(INDEX($S$5:$S$304,MATCH(C2954,$R$5:$R$304,0))&amp;"","?"))</f>
        <v/>
      </c>
      <c r="N2954" s="2" t="str">
        <f aca="false"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 t="str">
        <f aca="false">IF(OR(F2954="",G2954=""),"",IF(G2954&lt;='RETRATO 2027'!$K$5,"CONCLUÍDA",IF(F2954&lt;='RETRATO 2027'!$K$5,"EM ANDAMENTO","A INICIAR")))</f>
        <v/>
      </c>
    </row>
    <row r="2955" customFormat="false" ht="15" hidden="false" customHeight="false" outlineLevel="0" collapsed="false">
      <c r="M2955" s="2" t="str">
        <f aca="false">IF(C2955="","",IFERROR(INDEX($S$5:$S$304,MATCH(C2955,$R$5:$R$304,0))&amp;"","?"))</f>
        <v/>
      </c>
      <c r="N2955" s="2" t="str">
        <f aca="false"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 t="str">
        <f aca="false">IF(OR(F2955="",G2955=""),"",IF(G2955&lt;='RETRATO 2027'!$K$5,"CONCLUÍDA",IF(F2955&lt;='RETRATO 2027'!$K$5,"EM ANDAMENTO","A INICIAR")))</f>
        <v/>
      </c>
    </row>
    <row r="2956" customFormat="false" ht="15" hidden="false" customHeight="false" outlineLevel="0" collapsed="false">
      <c r="M2956" s="2" t="str">
        <f aca="false">IF(C2956="","",IFERROR(INDEX($S$5:$S$304,MATCH(C2956,$R$5:$R$304,0))&amp;"","?"))</f>
        <v/>
      </c>
      <c r="N2956" s="2" t="str">
        <f aca="false"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 t="str">
        <f aca="false">IF(OR(F2956="",G2956=""),"",IF(G2956&lt;='RETRATO 2027'!$K$5,"CONCLUÍDA",IF(F2956&lt;='RETRATO 2027'!$K$5,"EM ANDAMENTO","A INICIAR")))</f>
        <v/>
      </c>
    </row>
    <row r="2957" customFormat="false" ht="15" hidden="false" customHeight="false" outlineLevel="0" collapsed="false">
      <c r="M2957" s="2" t="str">
        <f aca="false">IF(C2957="","",IFERROR(INDEX($S$5:$S$304,MATCH(C2957,$R$5:$R$304,0))&amp;"","?"))</f>
        <v/>
      </c>
      <c r="N2957" s="2" t="str">
        <f aca="false"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 t="str">
        <f aca="false">IF(OR(F2957="",G2957=""),"",IF(G2957&lt;='RETRATO 2027'!$K$5,"CONCLUÍDA",IF(F2957&lt;='RETRATO 2027'!$K$5,"EM ANDAMENTO","A INICIAR")))</f>
        <v/>
      </c>
    </row>
    <row r="2958" customFormat="false" ht="15" hidden="false" customHeight="false" outlineLevel="0" collapsed="false">
      <c r="M2958" s="2" t="str">
        <f aca="false">IF(C2958="","",IFERROR(INDEX($S$5:$S$304,MATCH(C2958,$R$5:$R$304,0))&amp;"","?"))</f>
        <v/>
      </c>
      <c r="N2958" s="2" t="str">
        <f aca="false"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 t="str">
        <f aca="false">IF(OR(F2958="",G2958=""),"",IF(G2958&lt;='RETRATO 2027'!$K$5,"CONCLUÍDA",IF(F2958&lt;='RETRATO 2027'!$K$5,"EM ANDAMENTO","A INICIAR")))</f>
        <v/>
      </c>
    </row>
    <row r="2959" customFormat="false" ht="15" hidden="false" customHeight="false" outlineLevel="0" collapsed="false">
      <c r="M2959" s="2" t="str">
        <f aca="false">IF(C2959="","",IFERROR(INDEX($S$5:$S$304,MATCH(C2959,$R$5:$R$304,0))&amp;"","?"))</f>
        <v/>
      </c>
      <c r="N2959" s="2" t="str">
        <f aca="false"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 t="str">
        <f aca="false">IF(OR(F2959="",G2959=""),"",IF(G2959&lt;='RETRATO 2027'!$K$5,"CONCLUÍDA",IF(F2959&lt;='RETRATO 2027'!$K$5,"EM ANDAMENTO","A INICIAR")))</f>
        <v/>
      </c>
    </row>
    <row r="2960" customFormat="false" ht="15" hidden="false" customHeight="false" outlineLevel="0" collapsed="false">
      <c r="M2960" s="2" t="str">
        <f aca="false">IF(C2960="","",IFERROR(INDEX($S$5:$S$304,MATCH(C2960,$R$5:$R$304,0))&amp;"","?"))</f>
        <v/>
      </c>
      <c r="N2960" s="2" t="str">
        <f aca="false"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 t="str">
        <f aca="false">IF(OR(F2960="",G2960=""),"",IF(G2960&lt;='RETRATO 2027'!$K$5,"CONCLUÍDA",IF(F2960&lt;='RETRATO 2027'!$K$5,"EM ANDAMENTO","A INICIAR")))</f>
        <v/>
      </c>
    </row>
    <row r="2961" customFormat="false" ht="15" hidden="false" customHeight="false" outlineLevel="0" collapsed="false">
      <c r="M2961" s="2" t="str">
        <f aca="false">IF(C2961="","",IFERROR(INDEX($S$5:$S$304,MATCH(C2961,$R$5:$R$304,0))&amp;"","?"))</f>
        <v/>
      </c>
      <c r="N2961" s="2" t="str">
        <f aca="false"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 t="str">
        <f aca="false">IF(OR(F2961="",G2961=""),"",IF(G2961&lt;='RETRATO 2027'!$K$5,"CONCLUÍDA",IF(F2961&lt;='RETRATO 2027'!$K$5,"EM ANDAMENTO","A INICIAR")))</f>
        <v/>
      </c>
    </row>
    <row r="2962" customFormat="false" ht="15" hidden="false" customHeight="false" outlineLevel="0" collapsed="false">
      <c r="M2962" s="2" t="str">
        <f aca="false">IF(C2962="","",IFERROR(INDEX($S$5:$S$304,MATCH(C2962,$R$5:$R$304,0))&amp;"","?"))</f>
        <v/>
      </c>
      <c r="N2962" s="2" t="str">
        <f aca="false"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 t="str">
        <f aca="false">IF(OR(F2962="",G2962=""),"",IF(G2962&lt;='RETRATO 2027'!$K$5,"CONCLUÍDA",IF(F2962&lt;='RETRATO 2027'!$K$5,"EM ANDAMENTO","A INICIAR")))</f>
        <v/>
      </c>
    </row>
    <row r="2963" customFormat="false" ht="15" hidden="false" customHeight="false" outlineLevel="0" collapsed="false">
      <c r="M2963" s="2" t="str">
        <f aca="false">IF(C2963="","",IFERROR(INDEX($S$5:$S$304,MATCH(C2963,$R$5:$R$304,0))&amp;"","?"))</f>
        <v/>
      </c>
      <c r="N2963" s="2" t="str">
        <f aca="false"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 t="str">
        <f aca="false">IF(OR(F2963="",G2963=""),"",IF(G2963&lt;='RETRATO 2027'!$K$5,"CONCLUÍDA",IF(F2963&lt;='RETRATO 2027'!$K$5,"EM ANDAMENTO","A INICIAR")))</f>
        <v/>
      </c>
    </row>
    <row r="2964" customFormat="false" ht="15" hidden="false" customHeight="false" outlineLevel="0" collapsed="false">
      <c r="M2964" s="2" t="str">
        <f aca="false">IF(C2964="","",IFERROR(INDEX($S$5:$S$304,MATCH(C2964,$R$5:$R$304,0))&amp;"","?"))</f>
        <v/>
      </c>
      <c r="N2964" s="2" t="str">
        <f aca="false"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 t="str">
        <f aca="false">IF(OR(F2964="",G2964=""),"",IF(G2964&lt;='RETRATO 2027'!$K$5,"CONCLUÍDA",IF(F2964&lt;='RETRATO 2027'!$K$5,"EM ANDAMENTO","A INICIAR")))</f>
        <v/>
      </c>
    </row>
    <row r="2965" customFormat="false" ht="15" hidden="false" customHeight="false" outlineLevel="0" collapsed="false">
      <c r="M2965" s="2" t="str">
        <f aca="false">IF(C2965="","",IFERROR(INDEX($S$5:$S$304,MATCH(C2965,$R$5:$R$304,0))&amp;"","?"))</f>
        <v/>
      </c>
      <c r="N2965" s="2" t="str">
        <f aca="false"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 t="str">
        <f aca="false">IF(OR(F2965="",G2965=""),"",IF(G2965&lt;='RETRATO 2027'!$K$5,"CONCLUÍDA",IF(F2965&lt;='RETRATO 2027'!$K$5,"EM ANDAMENTO","A INICIAR")))</f>
        <v/>
      </c>
    </row>
    <row r="2966" customFormat="false" ht="15" hidden="false" customHeight="false" outlineLevel="0" collapsed="false">
      <c r="M2966" s="2" t="str">
        <f aca="false">IF(C2966="","",IFERROR(INDEX($S$5:$S$304,MATCH(C2966,$R$5:$R$304,0))&amp;"","?"))</f>
        <v/>
      </c>
      <c r="N2966" s="2" t="str">
        <f aca="false"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 t="str">
        <f aca="false">IF(OR(F2966="",G2966=""),"",IF(G2966&lt;='RETRATO 2027'!$K$5,"CONCLUÍDA",IF(F2966&lt;='RETRATO 2027'!$K$5,"EM ANDAMENTO","A INICIAR")))</f>
        <v/>
      </c>
    </row>
    <row r="2967" customFormat="false" ht="15" hidden="false" customHeight="false" outlineLevel="0" collapsed="false">
      <c r="M2967" s="2" t="str">
        <f aca="false">IF(C2967="","",IFERROR(INDEX($S$5:$S$304,MATCH(C2967,$R$5:$R$304,0))&amp;"","?"))</f>
        <v/>
      </c>
      <c r="N2967" s="2" t="str">
        <f aca="false"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 t="str">
        <f aca="false">IF(OR(F2967="",G2967=""),"",IF(G2967&lt;='RETRATO 2027'!$K$5,"CONCLUÍDA",IF(F2967&lt;='RETRATO 2027'!$K$5,"EM ANDAMENTO","A INICIAR")))</f>
        <v/>
      </c>
    </row>
    <row r="2968" customFormat="false" ht="15" hidden="false" customHeight="false" outlineLevel="0" collapsed="false">
      <c r="M2968" s="2" t="str">
        <f aca="false">IF(C2968="","",IFERROR(INDEX($S$5:$S$304,MATCH(C2968,$R$5:$R$304,0))&amp;"","?"))</f>
        <v/>
      </c>
      <c r="N2968" s="2" t="str">
        <f aca="false"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 t="str">
        <f aca="false">IF(OR(F2968="",G2968=""),"",IF(G2968&lt;='RETRATO 2027'!$K$5,"CONCLUÍDA",IF(F2968&lt;='RETRATO 2027'!$K$5,"EM ANDAMENTO","A INICIAR")))</f>
        <v/>
      </c>
    </row>
    <row r="2969" customFormat="false" ht="15" hidden="false" customHeight="false" outlineLevel="0" collapsed="false">
      <c r="M2969" s="2" t="str">
        <f aca="false">IF(C2969="","",IFERROR(INDEX($S$5:$S$304,MATCH(C2969,$R$5:$R$304,0))&amp;"","?"))</f>
        <v/>
      </c>
      <c r="N2969" s="2" t="str">
        <f aca="false"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 t="str">
        <f aca="false">IF(OR(F2969="",G2969=""),"",IF(G2969&lt;='RETRATO 2027'!$K$5,"CONCLUÍDA",IF(F2969&lt;='RETRATO 2027'!$K$5,"EM ANDAMENTO","A INICIAR")))</f>
        <v/>
      </c>
    </row>
    <row r="2970" customFormat="false" ht="15" hidden="false" customHeight="false" outlineLevel="0" collapsed="false">
      <c r="M2970" s="2" t="str">
        <f aca="false">IF(C2970="","",IFERROR(INDEX($S$5:$S$304,MATCH(C2970,$R$5:$R$304,0))&amp;"","?"))</f>
        <v/>
      </c>
      <c r="N2970" s="2" t="str">
        <f aca="false"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 t="str">
        <f aca="false">IF(OR(F2970="",G2970=""),"",IF(G2970&lt;='RETRATO 2027'!$K$5,"CONCLUÍDA",IF(F2970&lt;='RETRATO 2027'!$K$5,"EM ANDAMENTO","A INICIAR")))</f>
        <v/>
      </c>
    </row>
    <row r="2971" customFormat="false" ht="15" hidden="false" customHeight="false" outlineLevel="0" collapsed="false">
      <c r="M2971" s="2" t="str">
        <f aca="false">IF(C2971="","",IFERROR(INDEX($S$5:$S$304,MATCH(C2971,$R$5:$R$304,0))&amp;"","?"))</f>
        <v/>
      </c>
      <c r="N2971" s="2" t="str">
        <f aca="false"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 t="str">
        <f aca="false">IF(OR(F2971="",G2971=""),"",IF(G2971&lt;='RETRATO 2027'!$K$5,"CONCLUÍDA",IF(F2971&lt;='RETRATO 2027'!$K$5,"EM ANDAMENTO","A INICIAR")))</f>
        <v/>
      </c>
    </row>
    <row r="2972" customFormat="false" ht="15" hidden="false" customHeight="false" outlineLevel="0" collapsed="false">
      <c r="M2972" s="2" t="str">
        <f aca="false">IF(C2972="","",IFERROR(INDEX($S$5:$S$304,MATCH(C2972,$R$5:$R$304,0))&amp;"","?"))</f>
        <v/>
      </c>
      <c r="N2972" s="2" t="str">
        <f aca="false"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 t="str">
        <f aca="false">IF(OR(F2972="",G2972=""),"",IF(G2972&lt;='RETRATO 2027'!$K$5,"CONCLUÍDA",IF(F2972&lt;='RETRATO 2027'!$K$5,"EM ANDAMENTO","A INICIAR")))</f>
        <v/>
      </c>
    </row>
    <row r="2973" customFormat="false" ht="15" hidden="false" customHeight="false" outlineLevel="0" collapsed="false">
      <c r="M2973" s="2" t="str">
        <f aca="false">IF(C2973="","",IFERROR(INDEX($S$5:$S$304,MATCH(C2973,$R$5:$R$304,0))&amp;"","?"))</f>
        <v/>
      </c>
      <c r="N2973" s="2" t="str">
        <f aca="false"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 t="str">
        <f aca="false">IF(OR(F2973="",G2973=""),"",IF(G2973&lt;='RETRATO 2027'!$K$5,"CONCLUÍDA",IF(F2973&lt;='RETRATO 2027'!$K$5,"EM ANDAMENTO","A INICIAR")))</f>
        <v/>
      </c>
    </row>
    <row r="2974" customFormat="false" ht="15" hidden="false" customHeight="false" outlineLevel="0" collapsed="false">
      <c r="M2974" s="2" t="str">
        <f aca="false">IF(C2974="","",IFERROR(INDEX($S$5:$S$304,MATCH(C2974,$R$5:$R$304,0))&amp;"","?"))</f>
        <v/>
      </c>
      <c r="N2974" s="2" t="str">
        <f aca="false"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 t="str">
        <f aca="false">IF(OR(F2974="",G2974=""),"",IF(G2974&lt;='RETRATO 2027'!$K$5,"CONCLUÍDA",IF(F2974&lt;='RETRATO 2027'!$K$5,"EM ANDAMENTO","A INICIAR")))</f>
        <v/>
      </c>
    </row>
    <row r="2975" customFormat="false" ht="15" hidden="false" customHeight="false" outlineLevel="0" collapsed="false">
      <c r="M2975" s="2" t="str">
        <f aca="false">IF(C2975="","",IFERROR(INDEX($S$5:$S$304,MATCH(C2975,$R$5:$R$304,0))&amp;"","?"))</f>
        <v/>
      </c>
      <c r="N2975" s="2" t="str">
        <f aca="false"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 t="str">
        <f aca="false">IF(OR(F2975="",G2975=""),"",IF(G2975&lt;='RETRATO 2027'!$K$5,"CONCLUÍDA",IF(F2975&lt;='RETRATO 2027'!$K$5,"EM ANDAMENTO","A INICIAR")))</f>
        <v/>
      </c>
    </row>
    <row r="2976" customFormat="false" ht="15" hidden="false" customHeight="false" outlineLevel="0" collapsed="false">
      <c r="M2976" s="2" t="str">
        <f aca="false">IF(C2976="","",IFERROR(INDEX($S$5:$S$304,MATCH(C2976,$R$5:$R$304,0))&amp;"","?"))</f>
        <v/>
      </c>
      <c r="N2976" s="2" t="str">
        <f aca="false"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 t="str">
        <f aca="false">IF(OR(F2976="",G2976=""),"",IF(G2976&lt;='RETRATO 2027'!$K$5,"CONCLUÍDA",IF(F2976&lt;='RETRATO 2027'!$K$5,"EM ANDAMENTO","A INICIAR")))</f>
        <v/>
      </c>
    </row>
    <row r="2977" customFormat="false" ht="15" hidden="false" customHeight="false" outlineLevel="0" collapsed="false">
      <c r="M2977" s="2" t="str">
        <f aca="false">IF(C2977="","",IFERROR(INDEX($S$5:$S$304,MATCH(C2977,$R$5:$R$304,0))&amp;"","?"))</f>
        <v/>
      </c>
      <c r="N2977" s="2" t="str">
        <f aca="false"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 t="str">
        <f aca="false">IF(OR(F2977="",G2977=""),"",IF(G2977&lt;='RETRATO 2027'!$K$5,"CONCLUÍDA",IF(F2977&lt;='RETRATO 2027'!$K$5,"EM ANDAMENTO","A INICIAR")))</f>
        <v/>
      </c>
    </row>
    <row r="2978" customFormat="false" ht="15" hidden="false" customHeight="false" outlineLevel="0" collapsed="false">
      <c r="M2978" s="2" t="str">
        <f aca="false">IF(C2978="","",IFERROR(INDEX($S$5:$S$304,MATCH(C2978,$R$5:$R$304,0))&amp;"","?"))</f>
        <v/>
      </c>
      <c r="N2978" s="2" t="str">
        <f aca="false"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 t="str">
        <f aca="false">IF(OR(F2978="",G2978=""),"",IF(G2978&lt;='RETRATO 2027'!$K$5,"CONCLUÍDA",IF(F2978&lt;='RETRATO 2027'!$K$5,"EM ANDAMENTO","A INICIAR")))</f>
        <v/>
      </c>
    </row>
    <row r="2979" customFormat="false" ht="15" hidden="false" customHeight="false" outlineLevel="0" collapsed="false">
      <c r="M2979" s="2" t="str">
        <f aca="false">IF(C2979="","",IFERROR(INDEX($S$5:$S$304,MATCH(C2979,$R$5:$R$304,0))&amp;"","?"))</f>
        <v/>
      </c>
      <c r="N2979" s="2" t="str">
        <f aca="false"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 t="str">
        <f aca="false">IF(OR(F2979="",G2979=""),"",IF(G2979&lt;='RETRATO 2027'!$K$5,"CONCLUÍDA",IF(F2979&lt;='RETRATO 2027'!$K$5,"EM ANDAMENTO","A INICIAR")))</f>
        <v/>
      </c>
    </row>
    <row r="2980" customFormat="false" ht="15" hidden="false" customHeight="false" outlineLevel="0" collapsed="false">
      <c r="M2980" s="2" t="str">
        <f aca="false">IF(C2980="","",IFERROR(INDEX($S$5:$S$304,MATCH(C2980,$R$5:$R$304,0))&amp;"","?"))</f>
        <v/>
      </c>
      <c r="N2980" s="2" t="str">
        <f aca="false"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 t="str">
        <f aca="false">IF(OR(F2980="",G2980=""),"",IF(G2980&lt;='RETRATO 2027'!$K$5,"CONCLUÍDA",IF(F2980&lt;='RETRATO 2027'!$K$5,"EM ANDAMENTO","A INICIAR")))</f>
        <v/>
      </c>
    </row>
    <row r="2981" customFormat="false" ht="15" hidden="false" customHeight="false" outlineLevel="0" collapsed="false">
      <c r="M2981" s="2" t="str">
        <f aca="false">IF(C2981="","",IFERROR(INDEX($S$5:$S$304,MATCH(C2981,$R$5:$R$304,0))&amp;"","?"))</f>
        <v/>
      </c>
      <c r="N2981" s="2" t="str">
        <f aca="false"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 t="str">
        <f aca="false">IF(OR(F2981="",G2981=""),"",IF(G2981&lt;='RETRATO 2027'!$K$5,"CONCLUÍDA",IF(F2981&lt;='RETRATO 2027'!$K$5,"EM ANDAMENTO","A INICIAR")))</f>
        <v/>
      </c>
    </row>
    <row r="2982" customFormat="false" ht="15" hidden="false" customHeight="false" outlineLevel="0" collapsed="false">
      <c r="M2982" s="2" t="str">
        <f aca="false">IF(C2982="","",IFERROR(INDEX($S$5:$S$304,MATCH(C2982,$R$5:$R$304,0))&amp;"","?"))</f>
        <v/>
      </c>
      <c r="N2982" s="2" t="str">
        <f aca="false"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 t="str">
        <f aca="false">IF(OR(F2982="",G2982=""),"",IF(G2982&lt;='RETRATO 2027'!$K$5,"CONCLUÍDA",IF(F2982&lt;='RETRATO 2027'!$K$5,"EM ANDAMENTO","A INICIAR")))</f>
        <v/>
      </c>
    </row>
    <row r="2983" customFormat="false" ht="15" hidden="false" customHeight="false" outlineLevel="0" collapsed="false">
      <c r="M2983" s="2" t="str">
        <f aca="false">IF(C2983="","",IFERROR(INDEX($S$5:$S$304,MATCH(C2983,$R$5:$R$304,0))&amp;"","?"))</f>
        <v/>
      </c>
      <c r="N2983" s="2" t="str">
        <f aca="false"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 t="str">
        <f aca="false">IF(OR(F2983="",G2983=""),"",IF(G2983&lt;='RETRATO 2027'!$K$5,"CONCLUÍDA",IF(F2983&lt;='RETRATO 2027'!$K$5,"EM ANDAMENTO","A INICIAR")))</f>
        <v/>
      </c>
    </row>
    <row r="2984" customFormat="false" ht="15" hidden="false" customHeight="false" outlineLevel="0" collapsed="false">
      <c r="M2984" s="2" t="str">
        <f aca="false">IF(C2984="","",IFERROR(INDEX($S$5:$S$304,MATCH(C2984,$R$5:$R$304,0))&amp;"","?"))</f>
        <v/>
      </c>
      <c r="N2984" s="2" t="str">
        <f aca="false"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 t="str">
        <f aca="false">IF(OR(F2984="",G2984=""),"",IF(G2984&lt;='RETRATO 2027'!$K$5,"CONCLUÍDA",IF(F2984&lt;='RETRATO 2027'!$K$5,"EM ANDAMENTO","A INICIAR")))</f>
        <v/>
      </c>
    </row>
    <row r="2985" customFormat="false" ht="15" hidden="false" customHeight="false" outlineLevel="0" collapsed="false">
      <c r="M2985" s="2" t="str">
        <f aca="false">IF(C2985="","",IFERROR(INDEX($S$5:$S$304,MATCH(C2985,$R$5:$R$304,0))&amp;"","?"))</f>
        <v/>
      </c>
      <c r="N2985" s="2" t="str">
        <f aca="false"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 t="str">
        <f aca="false">IF(OR(F2985="",G2985=""),"",IF(G2985&lt;='RETRATO 2027'!$K$5,"CONCLUÍDA",IF(F2985&lt;='RETRATO 2027'!$K$5,"EM ANDAMENTO","A INICIAR")))</f>
        <v/>
      </c>
    </row>
    <row r="2986" customFormat="false" ht="15" hidden="false" customHeight="false" outlineLevel="0" collapsed="false">
      <c r="M2986" s="2" t="str">
        <f aca="false">IF(C2986="","",IFERROR(INDEX($S$5:$S$304,MATCH(C2986,$R$5:$R$304,0))&amp;"","?"))</f>
        <v/>
      </c>
      <c r="N2986" s="2" t="str">
        <f aca="false"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 t="str">
        <f aca="false">IF(OR(F2986="",G2986=""),"",IF(G2986&lt;='RETRATO 2027'!$K$5,"CONCLUÍDA",IF(F2986&lt;='RETRATO 2027'!$K$5,"EM ANDAMENTO","A INICIAR")))</f>
        <v/>
      </c>
    </row>
    <row r="2987" customFormat="false" ht="15" hidden="false" customHeight="false" outlineLevel="0" collapsed="false">
      <c r="M2987" s="2" t="str">
        <f aca="false">IF(C2987="","",IFERROR(INDEX($S$5:$S$304,MATCH(C2987,$R$5:$R$304,0))&amp;"","?"))</f>
        <v/>
      </c>
      <c r="N2987" s="2" t="str">
        <f aca="false"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 t="str">
        <f aca="false">IF(OR(F2987="",G2987=""),"",IF(G2987&lt;='RETRATO 2027'!$K$5,"CONCLUÍDA",IF(F2987&lt;='RETRATO 2027'!$K$5,"EM ANDAMENTO","A INICIAR")))</f>
        <v/>
      </c>
    </row>
    <row r="2988" customFormat="false" ht="15" hidden="false" customHeight="false" outlineLevel="0" collapsed="false">
      <c r="M2988" s="2" t="str">
        <f aca="false">IF(C2988="","",IFERROR(INDEX($S$5:$S$304,MATCH(C2988,$R$5:$R$304,0))&amp;"","?"))</f>
        <v/>
      </c>
      <c r="N2988" s="2" t="str">
        <f aca="false"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 t="str">
        <f aca="false">IF(OR(F2988="",G2988=""),"",IF(G2988&lt;='RETRATO 2027'!$K$5,"CONCLUÍDA",IF(F2988&lt;='RETRATO 2027'!$K$5,"EM ANDAMENTO","A INICIAR")))</f>
        <v/>
      </c>
    </row>
    <row r="2989" customFormat="false" ht="15" hidden="false" customHeight="false" outlineLevel="0" collapsed="false">
      <c r="M2989" s="2" t="str">
        <f aca="false">IF(C2989="","",IFERROR(INDEX($S$5:$S$304,MATCH(C2989,$R$5:$R$304,0))&amp;"","?"))</f>
        <v/>
      </c>
      <c r="N2989" s="2" t="str">
        <f aca="false"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 t="str">
        <f aca="false">IF(OR(F2989="",G2989=""),"",IF(G2989&lt;='RETRATO 2027'!$K$5,"CONCLUÍDA",IF(F2989&lt;='RETRATO 2027'!$K$5,"EM ANDAMENTO","A INICIAR")))</f>
        <v/>
      </c>
    </row>
    <row r="2990" customFormat="false" ht="15" hidden="false" customHeight="false" outlineLevel="0" collapsed="false">
      <c r="M2990" s="2" t="str">
        <f aca="false">IF(C2990="","",IFERROR(INDEX($S$5:$S$304,MATCH(C2990,$R$5:$R$304,0))&amp;"","?"))</f>
        <v/>
      </c>
      <c r="N2990" s="2" t="str">
        <f aca="false"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 t="str">
        <f aca="false">IF(OR(F2990="",G2990=""),"",IF(G2990&lt;='RETRATO 2027'!$K$5,"CONCLUÍDA",IF(F2990&lt;='RETRATO 2027'!$K$5,"EM ANDAMENTO","A INICIAR")))</f>
        <v/>
      </c>
    </row>
    <row r="2991" customFormat="false" ht="15" hidden="false" customHeight="false" outlineLevel="0" collapsed="false">
      <c r="M2991" s="2" t="str">
        <f aca="false">IF(C2991="","",IFERROR(INDEX($S$5:$S$304,MATCH(C2991,$R$5:$R$304,0))&amp;"","?"))</f>
        <v/>
      </c>
      <c r="N2991" s="2" t="str">
        <f aca="false"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 t="str">
        <f aca="false">IF(OR(F2991="",G2991=""),"",IF(G2991&lt;='RETRATO 2027'!$K$5,"CONCLUÍDA",IF(F2991&lt;='RETRATO 2027'!$K$5,"EM ANDAMENTO","A INICIAR")))</f>
        <v/>
      </c>
    </row>
    <row r="2992" customFormat="false" ht="15" hidden="false" customHeight="false" outlineLevel="0" collapsed="false">
      <c r="M2992" s="2" t="str">
        <f aca="false">IF(C2992="","",IFERROR(INDEX($S$5:$S$304,MATCH(C2992,$R$5:$R$304,0))&amp;"","?"))</f>
        <v/>
      </c>
      <c r="N2992" s="2" t="str">
        <f aca="false"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 t="str">
        <f aca="false">IF(OR(F2992="",G2992=""),"",IF(G2992&lt;='RETRATO 2027'!$K$5,"CONCLUÍDA",IF(F2992&lt;='RETRATO 2027'!$K$5,"EM ANDAMENTO","A INICIAR")))</f>
        <v/>
      </c>
    </row>
    <row r="2993" customFormat="false" ht="15" hidden="false" customHeight="false" outlineLevel="0" collapsed="false">
      <c r="M2993" s="2" t="str">
        <f aca="false">IF(C2993="","",IFERROR(INDEX($S$5:$S$304,MATCH(C2993,$R$5:$R$304,0))&amp;"","?"))</f>
        <v/>
      </c>
      <c r="N2993" s="2" t="str">
        <f aca="false"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 t="str">
        <f aca="false">IF(OR(F2993="",G2993=""),"",IF(G2993&lt;='RETRATO 2027'!$K$5,"CONCLUÍDA",IF(F2993&lt;='RETRATO 2027'!$K$5,"EM ANDAMENTO","A INICIAR")))</f>
        <v/>
      </c>
    </row>
    <row r="2994" customFormat="false" ht="15" hidden="false" customHeight="false" outlineLevel="0" collapsed="false">
      <c r="M2994" s="2" t="str">
        <f aca="false">IF(C2994="","",IFERROR(INDEX($S$5:$S$304,MATCH(C2994,$R$5:$R$304,0))&amp;"","?"))</f>
        <v/>
      </c>
      <c r="N2994" s="2" t="str">
        <f aca="false"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 t="str">
        <f aca="false">IF(OR(F2994="",G2994=""),"",IF(G2994&lt;='RETRATO 2027'!$K$5,"CONCLUÍDA",IF(F2994&lt;='RETRATO 2027'!$K$5,"EM ANDAMENTO","A INICIAR")))</f>
        <v/>
      </c>
    </row>
    <row r="2995" customFormat="false" ht="15" hidden="false" customHeight="false" outlineLevel="0" collapsed="false">
      <c r="M2995" s="2" t="str">
        <f aca="false">IF(C2995="","",IFERROR(INDEX($S$5:$S$304,MATCH(C2995,$R$5:$R$304,0))&amp;"","?"))</f>
        <v/>
      </c>
      <c r="N2995" s="2" t="str">
        <f aca="false"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 t="str">
        <f aca="false">IF(OR(F2995="",G2995=""),"",IF(G2995&lt;='RETRATO 2027'!$K$5,"CONCLUÍDA",IF(F2995&lt;='RETRATO 2027'!$K$5,"EM ANDAMENTO","A INICIAR")))</f>
        <v/>
      </c>
    </row>
    <row r="2996" customFormat="false" ht="15" hidden="false" customHeight="false" outlineLevel="0" collapsed="false">
      <c r="M2996" s="2" t="str">
        <f aca="false">IF(C2996="","",IFERROR(INDEX($S$5:$S$304,MATCH(C2996,$R$5:$R$304,0))&amp;"","?"))</f>
        <v/>
      </c>
      <c r="N2996" s="2" t="str">
        <f aca="false"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 t="str">
        <f aca="false">IF(OR(F2996="",G2996=""),"",IF(G2996&lt;='RETRATO 2027'!$K$5,"CONCLUÍDA",IF(F2996&lt;='RETRATO 2027'!$K$5,"EM ANDAMENTO","A INICIAR")))</f>
        <v/>
      </c>
    </row>
    <row r="2997" customFormat="false" ht="15" hidden="false" customHeight="false" outlineLevel="0" collapsed="false">
      <c r="M2997" s="2" t="str">
        <f aca="false">IF(C2997="","",IFERROR(INDEX($S$5:$S$304,MATCH(C2997,$R$5:$R$304,0))&amp;"","?"))</f>
        <v/>
      </c>
      <c r="N2997" s="2" t="str">
        <f aca="false"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 t="str">
        <f aca="false">IF(OR(F2997="",G2997=""),"",IF(G2997&lt;='RETRATO 2027'!$K$5,"CONCLUÍDA",IF(F2997&lt;='RETRATO 2027'!$K$5,"EM ANDAMENTO","A INICIAR")))</f>
        <v/>
      </c>
    </row>
    <row r="2998" customFormat="false" ht="15" hidden="false" customHeight="false" outlineLevel="0" collapsed="false">
      <c r="M2998" s="2" t="str">
        <f aca="false">IF(C2998="","",IFERROR(INDEX($S$5:$S$304,MATCH(C2998,$R$5:$R$304,0))&amp;"","?"))</f>
        <v/>
      </c>
      <c r="N2998" s="2" t="str">
        <f aca="false"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 t="str">
        <f aca="false">IF(OR(F2998="",G2998=""),"",IF(G2998&lt;='RETRATO 2027'!$K$5,"CONCLUÍDA",IF(F2998&lt;='RETRATO 2027'!$K$5,"EM ANDAMENTO","A INICIAR")))</f>
        <v/>
      </c>
    </row>
    <row r="2999" customFormat="false" ht="15" hidden="false" customHeight="false" outlineLevel="0" collapsed="false">
      <c r="M2999" s="2" t="str">
        <f aca="false">IF(C2999="","",IFERROR(INDEX($S$5:$S$304,MATCH(C2999,$R$5:$R$304,0))&amp;"","?"))</f>
        <v/>
      </c>
      <c r="N2999" s="2" t="str">
        <f aca="false"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 t="str">
        <f aca="false">IF(OR(F2999="",G2999=""),"",IF(G2999&lt;='RETRATO 2027'!$K$5,"CONCLUÍDA",IF(F2999&lt;='RETRATO 2027'!$K$5,"EM ANDAMENTO","A INICIAR")))</f>
        <v/>
      </c>
    </row>
    <row r="3000" customFormat="false" ht="15" hidden="false" customHeight="false" outlineLevel="0" collapsed="false">
      <c r="M3000" s="2" t="str">
        <f aca="false">IF(C3000="","",IFERROR(INDEX($S$5:$S$304,MATCH(C3000,$R$5:$R$304,0))&amp;"","?"))</f>
        <v/>
      </c>
      <c r="N3000" s="2" t="str">
        <f aca="false"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 t="str">
        <f aca="false">IF(OR(F3000="",G3000=""),"",IF(G3000&lt;='RETRATO 2027'!$K$5,"CONCLUÍDA",IF(F3000&lt;='RETRATO 2027'!$K$5,"EM ANDAMENTO","A INICIAR")))</f>
        <v/>
      </c>
    </row>
    <row r="3001" customFormat="false" ht="15" hidden="false" customHeight="false" outlineLevel="0" collapsed="false">
      <c r="M3001" s="2" t="str">
        <f aca="false">IF(C3001="","",IFERROR(INDEX($S$5:$S$304,MATCH(C3001,$R$5:$R$304,0))&amp;"","?"))</f>
        <v/>
      </c>
      <c r="N3001" s="2" t="str">
        <f aca="false"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 t="str">
        <f aca="false">IF(OR(F3001="",G3001=""),"",IF(G3001&lt;='RETRATO 2027'!$K$5,"CONCLUÍDA",IF(F3001&lt;='RETRATO 2027'!$K$5,"EM ANDAMENTO","A INICIAR")))</f>
        <v/>
      </c>
    </row>
    <row r="3002" customFormat="false" ht="15" hidden="false" customHeight="false" outlineLevel="0" collapsed="false">
      <c r="M3002" s="2" t="str">
        <f aca="false">IF(C3002="","",IFERROR(INDEX($S$5:$S$304,MATCH(C3002,$R$5:$R$304,0))&amp;"","?"))</f>
        <v/>
      </c>
      <c r="N3002" s="2" t="str">
        <f aca="false"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 t="str">
        <f aca="false">IF(OR(F3002="",G3002=""),"",IF(G3002&lt;='RETRATO 2027'!$K$5,"CONCLUÍDA",IF(F3002&lt;='RETRATO 2027'!$K$5,"EM ANDAMENTO","A INICIAR")))</f>
        <v/>
      </c>
    </row>
    <row r="3003" customFormat="false" ht="15" hidden="false" customHeight="false" outlineLevel="0" collapsed="false">
      <c r="M3003" s="2" t="str">
        <f aca="false">IF(C3003="","",IFERROR(INDEX($S$5:$S$304,MATCH(C3003,$R$5:$R$304,0))&amp;"","?"))</f>
        <v/>
      </c>
      <c r="N3003" s="2" t="str">
        <f aca="false"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 t="str">
        <f aca="false">IF(OR(F3003="",G3003=""),"",IF(G3003&lt;='RETRATO 2027'!$K$5,"CONCLUÍDA",IF(F3003&lt;='RETRATO 2027'!$K$5,"EM ANDAMENTO","A INICIAR")))</f>
        <v/>
      </c>
    </row>
    <row r="3004" customFormat="false" ht="15" hidden="false" customHeight="false" outlineLevel="0" collapsed="false">
      <c r="M3004" s="2" t="str">
        <f aca="false">IF(C3004="","",IFERROR(INDEX($S$5:$S$304,MATCH(C3004,$R$5:$R$304,0))&amp;"","?"))</f>
        <v/>
      </c>
      <c r="N3004" s="2" t="str">
        <f aca="false"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 t="str">
        <f aca="false">IF(OR(F3004="",G3004=""),"",IF(G3004&lt;='RETRATO 2027'!$K$5,"CONCLUÍDA",IF(F3004&lt;='RETRATO 2027'!$K$5,"EM ANDAMENTO","A INICIAR")))</f>
        <v/>
      </c>
    </row>
    <row r="3005" customFormat="false" ht="15" hidden="false" customHeight="false" outlineLevel="0" collapsed="false">
      <c r="M3005" s="2" t="str">
        <f aca="false">IF(C3005="","",IFERROR(INDEX($S$5:$S$304,MATCH(C3005,$R$5:$R$304,0))&amp;"","?"))</f>
        <v/>
      </c>
      <c r="N3005" s="2" t="str">
        <f aca="false"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 t="str">
        <f aca="false">IF(OR(F3005="",G3005=""),"",IF(G3005&lt;='RETRATO 2027'!$K$5,"CONCLUÍDA",IF(F3005&lt;='RETRATO 2027'!$K$5,"EM ANDAMENTO","A INICIAR")))</f>
        <v/>
      </c>
    </row>
    <row r="3006" customFormat="false" ht="15" hidden="false" customHeight="false" outlineLevel="0" collapsed="false">
      <c r="M3006" s="2" t="str">
        <f aca="false">IF(C3006="","",IFERROR(INDEX($S$5:$S$304,MATCH(C3006,$R$5:$R$304,0))&amp;"","?"))</f>
        <v/>
      </c>
      <c r="N3006" s="2" t="str">
        <f aca="false"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 t="str">
        <f aca="false">IF(OR(F3006="",G3006=""),"",IF(G3006&lt;='RETRATO 2027'!$K$5,"CONCLUÍDA",IF(F3006&lt;='RETRATO 2027'!$K$5,"EM ANDAMENTO","A INICIAR")))</f>
        <v/>
      </c>
    </row>
    <row r="3007" customFormat="false" ht="15" hidden="false" customHeight="false" outlineLevel="0" collapsed="false">
      <c r="M3007" s="2" t="str">
        <f aca="false">IF(C3007="","",IFERROR(INDEX($S$5:$S$304,MATCH(C3007,$R$5:$R$304,0))&amp;"","?"))</f>
        <v/>
      </c>
      <c r="N3007" s="2" t="str">
        <f aca="false"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 t="str">
        <f aca="false">IF(OR(F3007="",G3007=""),"",IF(G3007&lt;='RETRATO 2027'!$K$5,"CONCLUÍDA",IF(F3007&lt;='RETRATO 2027'!$K$5,"EM ANDAMENTO","A INICIAR")))</f>
        <v/>
      </c>
    </row>
    <row r="3008" customFormat="false" ht="15" hidden="false" customHeight="false" outlineLevel="0" collapsed="false">
      <c r="M3008" s="2" t="str">
        <f aca="false">IF(C3008="","",IFERROR(INDEX($S$5:$S$304,MATCH(C3008,$R$5:$R$304,0))&amp;"","?"))</f>
        <v/>
      </c>
      <c r="N3008" s="2" t="str">
        <f aca="false"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 t="str">
        <f aca="false">IF(OR(F3008="",G3008=""),"",IF(G3008&lt;='RETRATO 2027'!$K$5,"CONCLUÍDA",IF(F3008&lt;='RETRATO 2027'!$K$5,"EM ANDAMENTO","A INICIAR")))</f>
        <v/>
      </c>
    </row>
    <row r="3009" customFormat="false" ht="15" hidden="false" customHeight="false" outlineLevel="0" collapsed="false">
      <c r="M3009" s="2" t="str">
        <f aca="false">IF(C3009="","",IFERROR(INDEX($S$5:$S$304,MATCH(C3009,$R$5:$R$304,0))&amp;"","?"))</f>
        <v/>
      </c>
      <c r="N3009" s="2" t="str">
        <f aca="false"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 t="str">
        <f aca="false">IF(OR(F3009="",G3009=""),"",IF(G3009&lt;='RETRATO 2027'!$K$5,"CONCLUÍDA",IF(F3009&lt;='RETRATO 2027'!$K$5,"EM ANDAMENTO","A INICIAR")))</f>
        <v/>
      </c>
    </row>
    <row r="3010" customFormat="false" ht="15" hidden="false" customHeight="false" outlineLevel="0" collapsed="false">
      <c r="M3010" s="2" t="str">
        <f aca="false">IF(C3010="","",IFERROR(INDEX($S$5:$S$304,MATCH(C3010,$R$5:$R$304,0))&amp;"","?"))</f>
        <v/>
      </c>
      <c r="N3010" s="2" t="str">
        <f aca="false"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 t="str">
        <f aca="false">IF(OR(F3010="",G3010=""),"",IF(G3010&lt;='RETRATO 2027'!$K$5,"CONCLUÍDA",IF(F3010&lt;='RETRATO 2027'!$K$5,"EM ANDAMENTO","A INICIAR")))</f>
        <v/>
      </c>
    </row>
    <row r="3011" customFormat="false" ht="15" hidden="false" customHeight="false" outlineLevel="0" collapsed="false">
      <c r="M3011" s="2" t="str">
        <f aca="false">IF(C3011="","",IFERROR(INDEX($S$5:$S$304,MATCH(C3011,$R$5:$R$304,0))&amp;"","?"))</f>
        <v/>
      </c>
      <c r="N3011" s="2" t="str">
        <f aca="false"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 t="str">
        <f aca="false">IF(OR(F3011="",G3011=""),"",IF(G3011&lt;='RETRATO 2027'!$K$5,"CONCLUÍDA",IF(F3011&lt;='RETRATO 2027'!$K$5,"EM ANDAMENTO","A INICIAR")))</f>
        <v/>
      </c>
    </row>
    <row r="3012" customFormat="false" ht="15" hidden="false" customHeight="false" outlineLevel="0" collapsed="false">
      <c r="M3012" s="2" t="str">
        <f aca="false">IF(C3012="","",IFERROR(INDEX($S$5:$S$304,MATCH(C3012,$R$5:$R$304,0))&amp;"","?"))</f>
        <v/>
      </c>
      <c r="N3012" s="2" t="str">
        <f aca="false"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 t="str">
        <f aca="false">IF(OR(F3012="",G3012=""),"",IF(G3012&lt;='RETRATO 2027'!$K$5,"CONCLUÍDA",IF(F3012&lt;='RETRATO 2027'!$K$5,"EM ANDAMENTO","A INICIAR")))</f>
        <v/>
      </c>
    </row>
    <row r="3013" customFormat="false" ht="15" hidden="false" customHeight="false" outlineLevel="0" collapsed="false">
      <c r="M3013" s="2" t="str">
        <f aca="false">IF(C3013="","",IFERROR(INDEX($S$5:$S$304,MATCH(C3013,$R$5:$R$304,0))&amp;"","?"))</f>
        <v/>
      </c>
      <c r="N3013" s="2" t="str">
        <f aca="false"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 t="str">
        <f aca="false">IF(OR(F3013="",G3013=""),"",IF(G3013&lt;='RETRATO 2027'!$K$5,"CONCLUÍDA",IF(F3013&lt;='RETRATO 2027'!$K$5,"EM ANDAMENTO","A INICIAR")))</f>
        <v/>
      </c>
    </row>
    <row r="3014" customFormat="false" ht="15" hidden="false" customHeight="false" outlineLevel="0" collapsed="false">
      <c r="M3014" s="2" t="str">
        <f aca="false">IF(C3014="","",IFERROR(INDEX($S$5:$S$304,MATCH(C3014,$R$5:$R$304,0))&amp;"","?"))</f>
        <v/>
      </c>
      <c r="N3014" s="2" t="str">
        <f aca="false"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 t="str">
        <f aca="false">IF(OR(F3014="",G3014=""),"",IF(G3014&lt;='RETRATO 2027'!$K$5,"CONCLUÍDA",IF(F3014&lt;='RETRATO 2027'!$K$5,"EM ANDAMENTO","A INICIAR")))</f>
        <v/>
      </c>
    </row>
    <row r="3015" customFormat="false" ht="15" hidden="false" customHeight="false" outlineLevel="0" collapsed="false">
      <c r="M3015" s="2" t="str">
        <f aca="false">IF(C3015="","",IFERROR(INDEX($S$5:$S$304,MATCH(C3015,$R$5:$R$304,0))&amp;"","?"))</f>
        <v/>
      </c>
      <c r="N3015" s="2" t="str">
        <f aca="false"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 t="str">
        <f aca="false">IF(OR(F3015="",G3015=""),"",IF(G3015&lt;='RETRATO 2027'!$K$5,"CONCLUÍDA",IF(F3015&lt;='RETRATO 2027'!$K$5,"EM ANDAMENTO","A INICIAR")))</f>
        <v/>
      </c>
    </row>
    <row r="3016" customFormat="false" ht="15" hidden="false" customHeight="false" outlineLevel="0" collapsed="false">
      <c r="M3016" s="2" t="str">
        <f aca="false">IF(C3016="","",IFERROR(INDEX($S$5:$S$304,MATCH(C3016,$R$5:$R$304,0))&amp;"","?"))</f>
        <v/>
      </c>
      <c r="N3016" s="2" t="str">
        <f aca="false"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 t="str">
        <f aca="false">IF(OR(F3016="",G3016=""),"",IF(G3016&lt;='RETRATO 2027'!$K$5,"CONCLUÍDA",IF(F3016&lt;='RETRATO 2027'!$K$5,"EM ANDAMENTO","A INICIAR")))</f>
        <v/>
      </c>
    </row>
    <row r="3017" customFormat="false" ht="15" hidden="false" customHeight="false" outlineLevel="0" collapsed="false">
      <c r="M3017" s="2" t="str">
        <f aca="false">IF(C3017="","",IFERROR(INDEX($S$5:$S$304,MATCH(C3017,$R$5:$R$304,0))&amp;"","?"))</f>
        <v/>
      </c>
      <c r="N3017" s="2" t="str">
        <f aca="false"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 t="str">
        <f aca="false">IF(OR(F3017="",G3017=""),"",IF(G3017&lt;='RETRATO 2027'!$K$5,"CONCLUÍDA",IF(F3017&lt;='RETRATO 2027'!$K$5,"EM ANDAMENTO","A INICIAR")))</f>
        <v/>
      </c>
    </row>
    <row r="3018" customFormat="false" ht="15" hidden="false" customHeight="false" outlineLevel="0" collapsed="false">
      <c r="M3018" s="2" t="str">
        <f aca="false">IF(C3018="","",IFERROR(INDEX($S$5:$S$304,MATCH(C3018,$R$5:$R$304,0))&amp;"","?"))</f>
        <v/>
      </c>
      <c r="N3018" s="2" t="str">
        <f aca="false"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 t="str">
        <f aca="false">IF(OR(F3018="",G3018=""),"",IF(G3018&lt;='RETRATO 2027'!$K$5,"CONCLUÍDA",IF(F3018&lt;='RETRATO 2027'!$K$5,"EM ANDAMENTO","A INICIAR")))</f>
        <v/>
      </c>
    </row>
    <row r="3019" customFormat="false" ht="15" hidden="false" customHeight="false" outlineLevel="0" collapsed="false">
      <c r="M3019" s="2" t="str">
        <f aca="false">IF(C3019="","",IFERROR(INDEX($S$5:$S$304,MATCH(C3019,$R$5:$R$304,0))&amp;"","?"))</f>
        <v/>
      </c>
      <c r="N3019" s="2" t="str">
        <f aca="false"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 t="str">
        <f aca="false">IF(OR(F3019="",G3019=""),"",IF(G3019&lt;='RETRATO 2027'!$K$5,"CONCLUÍDA",IF(F3019&lt;='RETRATO 2027'!$K$5,"EM ANDAMENTO","A INICIAR")))</f>
        <v/>
      </c>
    </row>
    <row r="3020" customFormat="false" ht="15" hidden="false" customHeight="false" outlineLevel="0" collapsed="false">
      <c r="M3020" s="2" t="str">
        <f aca="false">IF(C3020="","",IFERROR(INDEX($S$5:$S$304,MATCH(C3020,$R$5:$R$304,0))&amp;"","?"))</f>
        <v/>
      </c>
      <c r="N3020" s="2" t="str">
        <f aca="false"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 t="str">
        <f aca="false">IF(OR(F3020="",G3020=""),"",IF(G3020&lt;='RETRATO 2027'!$K$5,"CONCLUÍDA",IF(F3020&lt;='RETRATO 2027'!$K$5,"EM ANDAMENTO","A INICIAR")))</f>
        <v/>
      </c>
    </row>
    <row r="3021" customFormat="false" ht="15" hidden="false" customHeight="false" outlineLevel="0" collapsed="false">
      <c r="M3021" s="2" t="str">
        <f aca="false">IF(C3021="","",IFERROR(INDEX($S$5:$S$304,MATCH(C3021,$R$5:$R$304,0))&amp;"","?"))</f>
        <v/>
      </c>
      <c r="N3021" s="2" t="str">
        <f aca="false"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 t="str">
        <f aca="false">IF(OR(F3021="",G3021=""),"",IF(G3021&lt;='RETRATO 2027'!$K$5,"CONCLUÍDA",IF(F3021&lt;='RETRATO 2027'!$K$5,"EM ANDAMENTO","A INICIAR")))</f>
        <v/>
      </c>
    </row>
    <row r="3022" customFormat="false" ht="15" hidden="false" customHeight="false" outlineLevel="0" collapsed="false">
      <c r="M3022" s="2" t="str">
        <f aca="false">IF(C3022="","",IFERROR(INDEX($S$5:$S$304,MATCH(C3022,$R$5:$R$304,0))&amp;"","?"))</f>
        <v/>
      </c>
      <c r="N3022" s="2" t="str">
        <f aca="false"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 t="str">
        <f aca="false">IF(OR(F3022="",G3022=""),"",IF(G3022&lt;='RETRATO 2027'!$K$5,"CONCLUÍDA",IF(F3022&lt;='RETRATO 2027'!$K$5,"EM ANDAMENTO","A INICIAR")))</f>
        <v/>
      </c>
    </row>
    <row r="3023" customFormat="false" ht="15" hidden="false" customHeight="false" outlineLevel="0" collapsed="false">
      <c r="M3023" s="2" t="str">
        <f aca="false">IF(C3023="","",IFERROR(INDEX($S$5:$S$304,MATCH(C3023,$R$5:$R$304,0))&amp;"","?"))</f>
        <v/>
      </c>
      <c r="N3023" s="2" t="str">
        <f aca="false"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 t="str">
        <f aca="false">IF(OR(F3023="",G3023=""),"",IF(G3023&lt;='RETRATO 2027'!$K$5,"CONCLUÍDA",IF(F3023&lt;='RETRATO 2027'!$K$5,"EM ANDAMENTO","A INICIAR")))</f>
        <v/>
      </c>
    </row>
    <row r="3024" customFormat="false" ht="15" hidden="false" customHeight="false" outlineLevel="0" collapsed="false">
      <c r="M3024" s="2" t="str">
        <f aca="false">IF(C3024="","",IFERROR(INDEX($S$5:$S$304,MATCH(C3024,$R$5:$R$304,0))&amp;"","?"))</f>
        <v/>
      </c>
      <c r="N3024" s="2" t="str">
        <f aca="false"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 t="str">
        <f aca="false">IF(OR(F3024="",G3024=""),"",IF(G3024&lt;='RETRATO 2027'!$K$5,"CONCLUÍDA",IF(F3024&lt;='RETRATO 2027'!$K$5,"EM ANDAMENTO","A INICIAR")))</f>
        <v/>
      </c>
    </row>
    <row r="3025" customFormat="false" ht="15" hidden="false" customHeight="false" outlineLevel="0" collapsed="false">
      <c r="M3025" s="2" t="str">
        <f aca="false">IF(C3025="","",IFERROR(INDEX($S$5:$S$304,MATCH(C3025,$R$5:$R$304,0))&amp;"","?"))</f>
        <v/>
      </c>
      <c r="N3025" s="2" t="str">
        <f aca="false"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 t="str">
        <f aca="false">IF(OR(F3025="",G3025=""),"",IF(G3025&lt;='RETRATO 2027'!$K$5,"CONCLUÍDA",IF(F3025&lt;='RETRATO 2027'!$K$5,"EM ANDAMENTO","A INICIAR")))</f>
        <v/>
      </c>
    </row>
    <row r="3026" customFormat="false" ht="15" hidden="false" customHeight="false" outlineLevel="0" collapsed="false">
      <c r="M3026" s="2" t="str">
        <f aca="false">IF(C3026="","",IFERROR(INDEX($S$5:$S$304,MATCH(C3026,$R$5:$R$304,0))&amp;"","?"))</f>
        <v/>
      </c>
      <c r="N3026" s="2" t="str">
        <f aca="false"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 t="str">
        <f aca="false">IF(OR(F3026="",G3026=""),"",IF(G3026&lt;='RETRATO 2027'!$K$5,"CONCLUÍDA",IF(F3026&lt;='RETRATO 2027'!$K$5,"EM ANDAMENTO","A INICIAR")))</f>
        <v/>
      </c>
    </row>
    <row r="3027" customFormat="false" ht="15" hidden="false" customHeight="false" outlineLevel="0" collapsed="false">
      <c r="M3027" s="2" t="str">
        <f aca="false">IF(C3027="","",IFERROR(INDEX($S$5:$S$304,MATCH(C3027,$R$5:$R$304,0))&amp;"","?"))</f>
        <v/>
      </c>
      <c r="N3027" s="2" t="str">
        <f aca="false"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 t="str">
        <f aca="false">IF(OR(F3027="",G3027=""),"",IF(G3027&lt;='RETRATO 2027'!$K$5,"CONCLUÍDA",IF(F3027&lt;='RETRATO 2027'!$K$5,"EM ANDAMENTO","A INICIAR")))</f>
        <v/>
      </c>
    </row>
    <row r="3028" customFormat="false" ht="15" hidden="false" customHeight="false" outlineLevel="0" collapsed="false">
      <c r="M3028" s="2" t="str">
        <f aca="false">IF(C3028="","",IFERROR(INDEX($S$5:$S$304,MATCH(C3028,$R$5:$R$304,0))&amp;"","?"))</f>
        <v/>
      </c>
      <c r="N3028" s="2" t="str">
        <f aca="false"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 t="str">
        <f aca="false">IF(OR(F3028="",G3028=""),"",IF(G3028&lt;='RETRATO 2027'!$K$5,"CONCLUÍDA",IF(F3028&lt;='RETRATO 2027'!$K$5,"EM ANDAMENTO","A INICIAR")))</f>
        <v/>
      </c>
    </row>
    <row r="3029" customFormat="false" ht="15" hidden="false" customHeight="false" outlineLevel="0" collapsed="false">
      <c r="M3029" s="2" t="str">
        <f aca="false">IF(C3029="","",IFERROR(INDEX($S$5:$S$304,MATCH(C3029,$R$5:$R$304,0))&amp;"","?"))</f>
        <v/>
      </c>
      <c r="N3029" s="2" t="str">
        <f aca="false"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 t="str">
        <f aca="false">IF(OR(F3029="",G3029=""),"",IF(G3029&lt;='RETRATO 2027'!$K$5,"CONCLUÍDA",IF(F3029&lt;='RETRATO 2027'!$K$5,"EM ANDAMENTO","A INICIAR")))</f>
        <v/>
      </c>
    </row>
    <row r="3030" customFormat="false" ht="15" hidden="false" customHeight="false" outlineLevel="0" collapsed="false">
      <c r="M3030" s="2" t="str">
        <f aca="false">IF(C3030="","",IFERROR(INDEX($S$5:$S$304,MATCH(C3030,$R$5:$R$304,0))&amp;"","?"))</f>
        <v/>
      </c>
      <c r="N3030" s="2" t="str">
        <f aca="false"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 t="str">
        <f aca="false">IF(OR(F3030="",G3030=""),"",IF(G3030&lt;='RETRATO 2027'!$K$5,"CONCLUÍDA",IF(F3030&lt;='RETRATO 2027'!$K$5,"EM ANDAMENTO","A INICIAR")))</f>
        <v/>
      </c>
    </row>
    <row r="3031" customFormat="false" ht="15" hidden="false" customHeight="false" outlineLevel="0" collapsed="false">
      <c r="M3031" s="2" t="str">
        <f aca="false">IF(C3031="","",IFERROR(INDEX($S$5:$S$304,MATCH(C3031,$R$5:$R$304,0))&amp;"","?"))</f>
        <v/>
      </c>
      <c r="N3031" s="2" t="str">
        <f aca="false"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 t="str">
        <f aca="false">IF(OR(F3031="",G3031=""),"",IF(G3031&lt;='RETRATO 2027'!$K$5,"CONCLUÍDA",IF(F3031&lt;='RETRATO 2027'!$K$5,"EM ANDAMENTO","A INICIAR")))</f>
        <v/>
      </c>
    </row>
    <row r="3032" customFormat="false" ht="15" hidden="false" customHeight="false" outlineLevel="0" collapsed="false">
      <c r="M3032" s="2" t="str">
        <f aca="false">IF(C3032="","",IFERROR(INDEX($S$5:$S$304,MATCH(C3032,$R$5:$R$304,0))&amp;"","?"))</f>
        <v/>
      </c>
      <c r="N3032" s="2" t="str">
        <f aca="false"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 t="str">
        <f aca="false">IF(OR(F3032="",G3032=""),"",IF(G3032&lt;='RETRATO 2027'!$K$5,"CONCLUÍDA",IF(F3032&lt;='RETRATO 2027'!$K$5,"EM ANDAMENTO","A INICIAR")))</f>
        <v/>
      </c>
    </row>
    <row r="3033" customFormat="false" ht="15" hidden="false" customHeight="false" outlineLevel="0" collapsed="false">
      <c r="M3033" s="2" t="str">
        <f aca="false">IF(C3033="","",IFERROR(INDEX($S$5:$S$304,MATCH(C3033,$R$5:$R$304,0))&amp;"","?"))</f>
        <v/>
      </c>
      <c r="N3033" s="2" t="str">
        <f aca="false"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 t="str">
        <f aca="false">IF(OR(F3033="",G3033=""),"",IF(G3033&lt;='RETRATO 2027'!$K$5,"CONCLUÍDA",IF(F3033&lt;='RETRATO 2027'!$K$5,"EM ANDAMENTO","A INICIAR")))</f>
        <v/>
      </c>
    </row>
    <row r="3034" customFormat="false" ht="15" hidden="false" customHeight="false" outlineLevel="0" collapsed="false">
      <c r="M3034" s="2" t="str">
        <f aca="false">IF(C3034="","",IFERROR(INDEX($S$5:$S$304,MATCH(C3034,$R$5:$R$304,0))&amp;"","?"))</f>
        <v/>
      </c>
      <c r="N3034" s="2" t="str">
        <f aca="false"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 t="str">
        <f aca="false">IF(OR(F3034="",G3034=""),"",IF(G3034&lt;='RETRATO 2027'!$K$5,"CONCLUÍDA",IF(F3034&lt;='RETRATO 2027'!$K$5,"EM ANDAMENTO","A INICIAR")))</f>
        <v/>
      </c>
    </row>
    <row r="3035" customFormat="false" ht="15" hidden="false" customHeight="false" outlineLevel="0" collapsed="false">
      <c r="M3035" s="2" t="str">
        <f aca="false">IF(C3035="","",IFERROR(INDEX($S$5:$S$304,MATCH(C3035,$R$5:$R$304,0))&amp;"","?"))</f>
        <v/>
      </c>
      <c r="N3035" s="2" t="str">
        <f aca="false"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 t="str">
        <f aca="false">IF(OR(F3035="",G3035=""),"",IF(G3035&lt;='RETRATO 2027'!$K$5,"CONCLUÍDA",IF(F3035&lt;='RETRATO 2027'!$K$5,"EM ANDAMENTO","A INICIAR")))</f>
        <v/>
      </c>
    </row>
    <row r="3036" customFormat="false" ht="15" hidden="false" customHeight="false" outlineLevel="0" collapsed="false">
      <c r="M3036" s="2" t="str">
        <f aca="false">IF(C3036="","",IFERROR(INDEX($S$5:$S$304,MATCH(C3036,$R$5:$R$304,0))&amp;"","?"))</f>
        <v/>
      </c>
      <c r="N3036" s="2" t="str">
        <f aca="false"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 t="str">
        <f aca="false">IF(OR(F3036="",G3036=""),"",IF(G3036&lt;='RETRATO 2027'!$K$5,"CONCLUÍDA",IF(F3036&lt;='RETRATO 2027'!$K$5,"EM ANDAMENTO","A INICIAR")))</f>
        <v/>
      </c>
    </row>
    <row r="3037" customFormat="false" ht="15" hidden="false" customHeight="false" outlineLevel="0" collapsed="false">
      <c r="M3037" s="2" t="str">
        <f aca="false">IF(C3037="","",IFERROR(INDEX($S$5:$S$304,MATCH(C3037,$R$5:$R$304,0))&amp;"","?"))</f>
        <v/>
      </c>
      <c r="N3037" s="2" t="str">
        <f aca="false"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 t="str">
        <f aca="false">IF(OR(F3037="",G3037=""),"",IF(G3037&lt;='RETRATO 2027'!$K$5,"CONCLUÍDA",IF(F3037&lt;='RETRATO 2027'!$K$5,"EM ANDAMENTO","A INICIAR")))</f>
        <v/>
      </c>
    </row>
    <row r="3038" customFormat="false" ht="15" hidden="false" customHeight="false" outlineLevel="0" collapsed="false">
      <c r="M3038" s="2" t="str">
        <f aca="false">IF(C3038="","",IFERROR(INDEX($S$5:$S$304,MATCH(C3038,$R$5:$R$304,0))&amp;"","?"))</f>
        <v/>
      </c>
      <c r="N3038" s="2" t="str">
        <f aca="false"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 t="str">
        <f aca="false">IF(OR(F3038="",G3038=""),"",IF(G3038&lt;='RETRATO 2027'!$K$5,"CONCLUÍDA",IF(F3038&lt;='RETRATO 2027'!$K$5,"EM ANDAMENTO","A INICIAR")))</f>
        <v/>
      </c>
    </row>
    <row r="3039" customFormat="false" ht="15" hidden="false" customHeight="false" outlineLevel="0" collapsed="false">
      <c r="M3039" s="2" t="str">
        <f aca="false">IF(C3039="","",IFERROR(INDEX($S$5:$S$304,MATCH(C3039,$R$5:$R$304,0))&amp;"","?"))</f>
        <v/>
      </c>
      <c r="N3039" s="2" t="str">
        <f aca="false"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 t="str">
        <f aca="false">IF(OR(F3039="",G3039=""),"",IF(G3039&lt;='RETRATO 2027'!$K$5,"CONCLUÍDA",IF(F3039&lt;='RETRATO 2027'!$K$5,"EM ANDAMENTO","A INICIAR")))</f>
        <v/>
      </c>
    </row>
    <row r="3040" customFormat="false" ht="15" hidden="false" customHeight="false" outlineLevel="0" collapsed="false">
      <c r="M3040" s="2" t="str">
        <f aca="false">IF(C3040="","",IFERROR(INDEX($S$5:$S$304,MATCH(C3040,$R$5:$R$304,0))&amp;"","?"))</f>
        <v/>
      </c>
      <c r="N3040" s="2" t="str">
        <f aca="false"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 t="str">
        <f aca="false">IF(OR(F3040="",G3040=""),"",IF(G3040&lt;='RETRATO 2027'!$K$5,"CONCLUÍDA",IF(F3040&lt;='RETRATO 2027'!$K$5,"EM ANDAMENTO","A INICIAR")))</f>
        <v/>
      </c>
    </row>
    <row r="3041" customFormat="false" ht="15" hidden="false" customHeight="false" outlineLevel="0" collapsed="false">
      <c r="M3041" s="2" t="str">
        <f aca="false">IF(C3041="","",IFERROR(INDEX($S$5:$S$304,MATCH(C3041,$R$5:$R$304,0))&amp;"","?"))</f>
        <v/>
      </c>
      <c r="N3041" s="2" t="str">
        <f aca="false"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 t="str">
        <f aca="false">IF(OR(F3041="",G3041=""),"",IF(G3041&lt;='RETRATO 2027'!$K$5,"CONCLUÍDA",IF(F3041&lt;='RETRATO 2027'!$K$5,"EM ANDAMENTO","A INICIAR")))</f>
        <v/>
      </c>
    </row>
    <row r="3042" customFormat="false" ht="15" hidden="false" customHeight="false" outlineLevel="0" collapsed="false">
      <c r="M3042" s="2" t="str">
        <f aca="false">IF(C3042="","",IFERROR(INDEX($S$5:$S$304,MATCH(C3042,$R$5:$R$304,0))&amp;"","?"))</f>
        <v/>
      </c>
      <c r="N3042" s="2" t="str">
        <f aca="false"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 t="str">
        <f aca="false">IF(OR(F3042="",G3042=""),"",IF(G3042&lt;='RETRATO 2027'!$K$5,"CONCLUÍDA",IF(F3042&lt;='RETRATO 2027'!$K$5,"EM ANDAMENTO","A INICIAR")))</f>
        <v/>
      </c>
    </row>
    <row r="3043" customFormat="false" ht="15" hidden="false" customHeight="false" outlineLevel="0" collapsed="false">
      <c r="M3043" s="2" t="str">
        <f aca="false">IF(C3043="","",IFERROR(INDEX($S$5:$S$304,MATCH(C3043,$R$5:$R$304,0))&amp;"","?"))</f>
        <v/>
      </c>
      <c r="N3043" s="2" t="str">
        <f aca="false"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 t="str">
        <f aca="false">IF(OR(F3043="",G3043=""),"",IF(G3043&lt;='RETRATO 2027'!$K$5,"CONCLUÍDA",IF(F3043&lt;='RETRATO 2027'!$K$5,"EM ANDAMENTO","A INICIAR")))</f>
        <v/>
      </c>
    </row>
    <row r="3044" customFormat="false" ht="15" hidden="false" customHeight="false" outlineLevel="0" collapsed="false">
      <c r="M3044" s="2" t="str">
        <f aca="false">IF(C3044="","",IFERROR(INDEX($S$5:$S$304,MATCH(C3044,$R$5:$R$304,0))&amp;"","?"))</f>
        <v/>
      </c>
      <c r="N3044" s="2" t="str">
        <f aca="false"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 t="str">
        <f aca="false">IF(OR(F3044="",G3044=""),"",IF(G3044&lt;='RETRATO 2027'!$K$5,"CONCLUÍDA",IF(F3044&lt;='RETRATO 2027'!$K$5,"EM ANDAMENTO","A INICIAR")))</f>
        <v/>
      </c>
    </row>
    <row r="3045" customFormat="false" ht="15" hidden="false" customHeight="false" outlineLevel="0" collapsed="false">
      <c r="M3045" s="2" t="str">
        <f aca="false">IF(C3045="","",IFERROR(INDEX($S$5:$S$304,MATCH(C3045,$R$5:$R$304,0))&amp;"","?"))</f>
        <v/>
      </c>
      <c r="N3045" s="2" t="str">
        <f aca="false"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 t="str">
        <f aca="false">IF(OR(F3045="",G3045=""),"",IF(G3045&lt;='RETRATO 2027'!$K$5,"CONCLUÍDA",IF(F3045&lt;='RETRATO 2027'!$K$5,"EM ANDAMENTO","A INICIAR")))</f>
        <v/>
      </c>
    </row>
    <row r="3046" customFormat="false" ht="15" hidden="false" customHeight="false" outlineLevel="0" collapsed="false">
      <c r="M3046" s="2" t="str">
        <f aca="false">IF(C3046="","",IFERROR(INDEX($S$5:$S$304,MATCH(C3046,$R$5:$R$304,0))&amp;"","?"))</f>
        <v/>
      </c>
      <c r="N3046" s="2" t="str">
        <f aca="false"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 t="str">
        <f aca="false">IF(OR(F3046="",G3046=""),"",IF(G3046&lt;='RETRATO 2027'!$K$5,"CONCLUÍDA",IF(F3046&lt;='RETRATO 2027'!$K$5,"EM ANDAMENTO","A INICIAR")))</f>
        <v/>
      </c>
    </row>
    <row r="3047" customFormat="false" ht="15" hidden="false" customHeight="false" outlineLevel="0" collapsed="false">
      <c r="M3047" s="2" t="str">
        <f aca="false">IF(C3047="","",IFERROR(INDEX($S$5:$S$304,MATCH(C3047,$R$5:$R$304,0))&amp;"","?"))</f>
        <v/>
      </c>
      <c r="N3047" s="2" t="str">
        <f aca="false"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 t="str">
        <f aca="false">IF(OR(F3047="",G3047=""),"",IF(G3047&lt;='RETRATO 2027'!$K$5,"CONCLUÍDA",IF(F3047&lt;='RETRATO 2027'!$K$5,"EM ANDAMENTO","A INICIAR")))</f>
        <v/>
      </c>
    </row>
    <row r="3048" customFormat="false" ht="15" hidden="false" customHeight="false" outlineLevel="0" collapsed="false">
      <c r="M3048" s="2" t="str">
        <f aca="false">IF(C3048="","",IFERROR(INDEX($S$5:$S$304,MATCH(C3048,$R$5:$R$304,0))&amp;"","?"))</f>
        <v/>
      </c>
      <c r="N3048" s="2" t="str">
        <f aca="false"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 t="str">
        <f aca="false">IF(OR(F3048="",G3048=""),"",IF(G3048&lt;='RETRATO 2027'!$K$5,"CONCLUÍDA",IF(F3048&lt;='RETRATO 2027'!$K$5,"EM ANDAMENTO","A INICIAR")))</f>
        <v/>
      </c>
    </row>
    <row r="3049" customFormat="false" ht="15" hidden="false" customHeight="false" outlineLevel="0" collapsed="false">
      <c r="M3049" s="2" t="str">
        <f aca="false">IF(C3049="","",IFERROR(INDEX($S$5:$S$304,MATCH(C3049,$R$5:$R$304,0))&amp;"","?"))</f>
        <v/>
      </c>
      <c r="N3049" s="2" t="str">
        <f aca="false"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 t="str">
        <f aca="false">IF(OR(F3049="",G3049=""),"",IF(G3049&lt;='RETRATO 2027'!$K$5,"CONCLUÍDA",IF(F3049&lt;='RETRATO 2027'!$K$5,"EM ANDAMENTO","A INICIAR")))</f>
        <v/>
      </c>
    </row>
    <row r="3050" customFormat="false" ht="15" hidden="false" customHeight="false" outlineLevel="0" collapsed="false">
      <c r="M3050" s="2" t="str">
        <f aca="false">IF(C3050="","",IFERROR(INDEX($S$5:$S$304,MATCH(C3050,$R$5:$R$304,0))&amp;"","?"))</f>
        <v/>
      </c>
      <c r="N3050" s="2" t="str">
        <f aca="false"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 t="str">
        <f aca="false">IF(OR(F3050="",G3050=""),"",IF(G3050&lt;='RETRATO 2027'!$K$5,"CONCLUÍDA",IF(F3050&lt;='RETRATO 2027'!$K$5,"EM ANDAMENTO","A INICIAR")))</f>
        <v/>
      </c>
    </row>
    <row r="3051" customFormat="false" ht="15" hidden="false" customHeight="false" outlineLevel="0" collapsed="false">
      <c r="M3051" s="2" t="str">
        <f aca="false">IF(C3051="","",IFERROR(INDEX($S$5:$S$304,MATCH(C3051,$R$5:$R$304,0))&amp;"","?"))</f>
        <v/>
      </c>
      <c r="N3051" s="2" t="str">
        <f aca="false"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 t="str">
        <f aca="false">IF(OR(F3051="",G3051=""),"",IF(G3051&lt;='RETRATO 2027'!$K$5,"CONCLUÍDA",IF(F3051&lt;='RETRATO 2027'!$K$5,"EM ANDAMENTO","A INICIAR")))</f>
        <v/>
      </c>
    </row>
    <row r="3052" customFormat="false" ht="15" hidden="false" customHeight="false" outlineLevel="0" collapsed="false">
      <c r="M3052" s="2" t="str">
        <f aca="false">IF(C3052="","",IFERROR(INDEX($S$5:$S$304,MATCH(C3052,$R$5:$R$304,0))&amp;"","?"))</f>
        <v/>
      </c>
      <c r="N3052" s="2" t="str">
        <f aca="false"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 t="str">
        <f aca="false">IF(OR(F3052="",G3052=""),"",IF(G3052&lt;='RETRATO 2027'!$K$5,"CONCLUÍDA",IF(F3052&lt;='RETRATO 2027'!$K$5,"EM ANDAMENTO","A INICIAR")))</f>
        <v/>
      </c>
    </row>
    <row r="3053" customFormat="false" ht="15" hidden="false" customHeight="false" outlineLevel="0" collapsed="false">
      <c r="M3053" s="2" t="str">
        <f aca="false">IF(C3053="","",IFERROR(INDEX($S$5:$S$304,MATCH(C3053,$R$5:$R$304,0))&amp;"","?"))</f>
        <v/>
      </c>
      <c r="N3053" s="2" t="str">
        <f aca="false"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 t="str">
        <f aca="false">IF(OR(F3053="",G3053=""),"",IF(G3053&lt;='RETRATO 2027'!$K$5,"CONCLUÍDA",IF(F3053&lt;='RETRATO 2027'!$K$5,"EM ANDAMENTO","A INICIAR")))</f>
        <v/>
      </c>
    </row>
    <row r="3054" customFormat="false" ht="15" hidden="false" customHeight="false" outlineLevel="0" collapsed="false">
      <c r="M3054" s="2" t="str">
        <f aca="false">IF(C3054="","",IFERROR(INDEX($S$5:$S$304,MATCH(C3054,$R$5:$R$304,0))&amp;"","?"))</f>
        <v/>
      </c>
      <c r="N3054" s="2" t="str">
        <f aca="false"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 t="str">
        <f aca="false">IF(OR(F3054="",G3054=""),"",IF(G3054&lt;='RETRATO 2027'!$K$5,"CONCLUÍDA",IF(F3054&lt;='RETRATO 2027'!$K$5,"EM ANDAMENTO","A INICIAR")))</f>
        <v/>
      </c>
    </row>
    <row r="3055" customFormat="false" ht="15" hidden="false" customHeight="false" outlineLevel="0" collapsed="false">
      <c r="M3055" s="2" t="str">
        <f aca="false">IF(C3055="","",IFERROR(INDEX($S$5:$S$304,MATCH(C3055,$R$5:$R$304,0))&amp;"","?"))</f>
        <v/>
      </c>
      <c r="N3055" s="2" t="str">
        <f aca="false"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 t="str">
        <f aca="false">IF(OR(F3055="",G3055=""),"",IF(G3055&lt;='RETRATO 2027'!$K$5,"CONCLUÍDA",IF(F3055&lt;='RETRATO 2027'!$K$5,"EM ANDAMENTO","A INICIAR")))</f>
        <v/>
      </c>
    </row>
    <row r="3056" customFormat="false" ht="15" hidden="false" customHeight="false" outlineLevel="0" collapsed="false">
      <c r="M3056" s="2" t="str">
        <f aca="false">IF(C3056="","",IFERROR(INDEX($S$5:$S$304,MATCH(C3056,$R$5:$R$304,0))&amp;"","?"))</f>
        <v/>
      </c>
      <c r="N3056" s="2" t="str">
        <f aca="false"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 t="str">
        <f aca="false">IF(OR(F3056="",G3056=""),"",IF(G3056&lt;='RETRATO 2027'!$K$5,"CONCLUÍDA",IF(F3056&lt;='RETRATO 2027'!$K$5,"EM ANDAMENTO","A INICIAR")))</f>
        <v/>
      </c>
    </row>
    <row r="3057" customFormat="false" ht="15" hidden="false" customHeight="false" outlineLevel="0" collapsed="false">
      <c r="M3057" s="2" t="str">
        <f aca="false">IF(C3057="","",IFERROR(INDEX($S$5:$S$304,MATCH(C3057,$R$5:$R$304,0))&amp;"","?"))</f>
        <v/>
      </c>
      <c r="N3057" s="2" t="str">
        <f aca="false"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 t="str">
        <f aca="false">IF(OR(F3057="",G3057=""),"",IF(G3057&lt;='RETRATO 2027'!$K$5,"CONCLUÍDA",IF(F3057&lt;='RETRATO 2027'!$K$5,"EM ANDAMENTO","A INICIAR")))</f>
        <v/>
      </c>
    </row>
    <row r="3058" customFormat="false" ht="15" hidden="false" customHeight="false" outlineLevel="0" collapsed="false">
      <c r="M3058" s="2" t="str">
        <f aca="false">IF(C3058="","",IFERROR(INDEX($S$5:$S$304,MATCH(C3058,$R$5:$R$304,0))&amp;"","?"))</f>
        <v/>
      </c>
      <c r="N3058" s="2" t="str">
        <f aca="false"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 t="str">
        <f aca="false">IF(OR(F3058="",G3058=""),"",IF(G3058&lt;='RETRATO 2027'!$K$5,"CONCLUÍDA",IF(F3058&lt;='RETRATO 2027'!$K$5,"EM ANDAMENTO","A INICIAR")))</f>
        <v/>
      </c>
    </row>
    <row r="3059" customFormat="false" ht="15" hidden="false" customHeight="false" outlineLevel="0" collapsed="false">
      <c r="M3059" s="2" t="str">
        <f aca="false">IF(C3059="","",IFERROR(INDEX($S$5:$S$304,MATCH(C3059,$R$5:$R$304,0))&amp;"","?"))</f>
        <v/>
      </c>
      <c r="N3059" s="2" t="str">
        <f aca="false"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 t="str">
        <f aca="false">IF(OR(F3059="",G3059=""),"",IF(G3059&lt;='RETRATO 2027'!$K$5,"CONCLUÍDA",IF(F3059&lt;='RETRATO 2027'!$K$5,"EM ANDAMENTO","A INICIAR")))</f>
        <v/>
      </c>
    </row>
    <row r="3060" customFormat="false" ht="15" hidden="false" customHeight="false" outlineLevel="0" collapsed="false">
      <c r="M3060" s="2" t="str">
        <f aca="false">IF(C3060="","",IFERROR(INDEX($S$5:$S$304,MATCH(C3060,$R$5:$R$304,0))&amp;"","?"))</f>
        <v/>
      </c>
      <c r="N3060" s="2" t="str">
        <f aca="false"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 t="str">
        <f aca="false">IF(OR(F3060="",G3060=""),"",IF(G3060&lt;='RETRATO 2027'!$K$5,"CONCLUÍDA",IF(F3060&lt;='RETRATO 2027'!$K$5,"EM ANDAMENTO","A INICIAR")))</f>
        <v/>
      </c>
    </row>
    <row r="3061" customFormat="false" ht="15" hidden="false" customHeight="false" outlineLevel="0" collapsed="false">
      <c r="M3061" s="2" t="str">
        <f aca="false">IF(C3061="","",IFERROR(INDEX($S$5:$S$304,MATCH(C3061,$R$5:$R$304,0))&amp;"","?"))</f>
        <v/>
      </c>
      <c r="N3061" s="2" t="str">
        <f aca="false"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 t="str">
        <f aca="false">IF(OR(F3061="",G3061=""),"",IF(G3061&lt;='RETRATO 2027'!$K$5,"CONCLUÍDA",IF(F3061&lt;='RETRATO 2027'!$K$5,"EM ANDAMENTO","A INICIAR")))</f>
        <v/>
      </c>
    </row>
    <row r="3062" customFormat="false" ht="15" hidden="false" customHeight="false" outlineLevel="0" collapsed="false">
      <c r="M3062" s="2" t="str">
        <f aca="false">IF(C3062="","",IFERROR(INDEX($S$5:$S$304,MATCH(C3062,$R$5:$R$304,0))&amp;"","?"))</f>
        <v/>
      </c>
      <c r="N3062" s="2" t="str">
        <f aca="false"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 t="str">
        <f aca="false">IF(OR(F3062="",G3062=""),"",IF(G3062&lt;='RETRATO 2027'!$K$5,"CONCLUÍDA",IF(F3062&lt;='RETRATO 2027'!$K$5,"EM ANDAMENTO","A INICIAR")))</f>
        <v/>
      </c>
    </row>
    <row r="3063" customFormat="false" ht="15" hidden="false" customHeight="false" outlineLevel="0" collapsed="false">
      <c r="M3063" s="2" t="str">
        <f aca="false">IF(C3063="","",IFERROR(INDEX($S$5:$S$304,MATCH(C3063,$R$5:$R$304,0))&amp;"","?"))</f>
        <v/>
      </c>
      <c r="N3063" s="2" t="str">
        <f aca="false"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 t="str">
        <f aca="false">IF(OR(F3063="",G3063=""),"",IF(G3063&lt;='RETRATO 2027'!$K$5,"CONCLUÍDA",IF(F3063&lt;='RETRATO 2027'!$K$5,"EM ANDAMENTO","A INICIAR")))</f>
        <v/>
      </c>
    </row>
    <row r="3064" customFormat="false" ht="15" hidden="false" customHeight="false" outlineLevel="0" collapsed="false">
      <c r="M3064" s="2" t="str">
        <f aca="false">IF(C3064="","",IFERROR(INDEX($S$5:$S$304,MATCH(C3064,$R$5:$R$304,0))&amp;"","?"))</f>
        <v/>
      </c>
      <c r="N3064" s="2" t="str">
        <f aca="false"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 t="str">
        <f aca="false">IF(OR(F3064="",G3064=""),"",IF(G3064&lt;='RETRATO 2027'!$K$5,"CONCLUÍDA",IF(F3064&lt;='RETRATO 2027'!$K$5,"EM ANDAMENTO","A INICIAR")))</f>
        <v/>
      </c>
    </row>
    <row r="3065" customFormat="false" ht="15" hidden="false" customHeight="false" outlineLevel="0" collapsed="false">
      <c r="M3065" s="2" t="str">
        <f aca="false">IF(C3065="","",IFERROR(INDEX($S$5:$S$304,MATCH(C3065,$R$5:$R$304,0))&amp;"","?"))</f>
        <v/>
      </c>
      <c r="N3065" s="2" t="str">
        <f aca="false"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 t="str">
        <f aca="false">IF(OR(F3065="",G3065=""),"",IF(G3065&lt;='RETRATO 2027'!$K$5,"CONCLUÍDA",IF(F3065&lt;='RETRATO 2027'!$K$5,"EM ANDAMENTO","A INICIAR")))</f>
        <v/>
      </c>
    </row>
    <row r="3066" customFormat="false" ht="15" hidden="false" customHeight="false" outlineLevel="0" collapsed="false">
      <c r="M3066" s="2" t="str">
        <f aca="false">IF(C3066="","",IFERROR(INDEX($S$5:$S$304,MATCH(C3066,$R$5:$R$304,0))&amp;"","?"))</f>
        <v/>
      </c>
      <c r="N3066" s="2" t="str">
        <f aca="false"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 t="str">
        <f aca="false">IF(OR(F3066="",G3066=""),"",IF(G3066&lt;='RETRATO 2027'!$K$5,"CONCLUÍDA",IF(F3066&lt;='RETRATO 2027'!$K$5,"EM ANDAMENTO","A INICIAR")))</f>
        <v/>
      </c>
    </row>
    <row r="3067" customFormat="false" ht="15" hidden="false" customHeight="false" outlineLevel="0" collapsed="false">
      <c r="M3067" s="2" t="str">
        <f aca="false">IF(C3067="","",IFERROR(INDEX($S$5:$S$304,MATCH(C3067,$R$5:$R$304,0))&amp;"","?"))</f>
        <v/>
      </c>
      <c r="N3067" s="2" t="str">
        <f aca="false"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 t="str">
        <f aca="false">IF(OR(F3067="",G3067=""),"",IF(G3067&lt;='RETRATO 2027'!$K$5,"CONCLUÍDA",IF(F3067&lt;='RETRATO 2027'!$K$5,"EM ANDAMENTO","A INICIAR")))</f>
        <v/>
      </c>
    </row>
    <row r="3068" customFormat="false" ht="15" hidden="false" customHeight="false" outlineLevel="0" collapsed="false">
      <c r="M3068" s="2" t="str">
        <f aca="false">IF(C3068="","",IFERROR(INDEX($S$5:$S$304,MATCH(C3068,$R$5:$R$304,0))&amp;"","?"))</f>
        <v/>
      </c>
      <c r="N3068" s="2" t="str">
        <f aca="false"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 t="str">
        <f aca="false">IF(OR(F3068="",G3068=""),"",IF(G3068&lt;='RETRATO 2027'!$K$5,"CONCLUÍDA",IF(F3068&lt;='RETRATO 2027'!$K$5,"EM ANDAMENTO","A INICIAR")))</f>
        <v/>
      </c>
    </row>
    <row r="3069" customFormat="false" ht="15" hidden="false" customHeight="false" outlineLevel="0" collapsed="false">
      <c r="M3069" s="2" t="str">
        <f aca="false">IF(C3069="","",IFERROR(INDEX($S$5:$S$304,MATCH(C3069,$R$5:$R$304,0))&amp;"","?"))</f>
        <v/>
      </c>
      <c r="N3069" s="2" t="str">
        <f aca="false"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 t="str">
        <f aca="false">IF(OR(F3069="",G3069=""),"",IF(G3069&lt;='RETRATO 2027'!$K$5,"CONCLUÍDA",IF(F3069&lt;='RETRATO 2027'!$K$5,"EM ANDAMENTO","A INICIAR")))</f>
        <v/>
      </c>
    </row>
    <row r="3070" customFormat="false" ht="15" hidden="false" customHeight="false" outlineLevel="0" collapsed="false">
      <c r="M3070" s="2" t="str">
        <f aca="false">IF(C3070="","",IFERROR(INDEX($S$5:$S$304,MATCH(C3070,$R$5:$R$304,0))&amp;"","?"))</f>
        <v/>
      </c>
      <c r="N3070" s="2" t="str">
        <f aca="false"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 t="str">
        <f aca="false">IF(OR(F3070="",G3070=""),"",IF(G3070&lt;='RETRATO 2027'!$K$5,"CONCLUÍDA",IF(F3070&lt;='RETRATO 2027'!$K$5,"EM ANDAMENTO","A INICIAR")))</f>
        <v/>
      </c>
    </row>
    <row r="3071" customFormat="false" ht="15" hidden="false" customHeight="false" outlineLevel="0" collapsed="false">
      <c r="M3071" s="2" t="str">
        <f aca="false">IF(C3071="","",IFERROR(INDEX($S$5:$S$304,MATCH(C3071,$R$5:$R$304,0))&amp;"","?"))</f>
        <v/>
      </c>
      <c r="N3071" s="2" t="str">
        <f aca="false"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 t="str">
        <f aca="false">IF(OR(F3071="",G3071=""),"",IF(G3071&lt;='RETRATO 2027'!$K$5,"CONCLUÍDA",IF(F3071&lt;='RETRATO 2027'!$K$5,"EM ANDAMENTO","A INICIAR")))</f>
        <v/>
      </c>
    </row>
    <row r="3072" customFormat="false" ht="15" hidden="false" customHeight="false" outlineLevel="0" collapsed="false">
      <c r="M3072" s="2" t="str">
        <f aca="false">IF(C3072="","",IFERROR(INDEX($S$5:$S$304,MATCH(C3072,$R$5:$R$304,0))&amp;"","?"))</f>
        <v/>
      </c>
      <c r="N3072" s="2" t="str">
        <f aca="false"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 t="str">
        <f aca="false">IF(OR(F3072="",G3072=""),"",IF(G3072&lt;='RETRATO 2027'!$K$5,"CONCLUÍDA",IF(F3072&lt;='RETRATO 2027'!$K$5,"EM ANDAMENTO","A INICIAR")))</f>
        <v/>
      </c>
    </row>
    <row r="3073" customFormat="false" ht="15" hidden="false" customHeight="false" outlineLevel="0" collapsed="false">
      <c r="M3073" s="2" t="str">
        <f aca="false">IF(C3073="","",IFERROR(INDEX($S$5:$S$304,MATCH(C3073,$R$5:$R$304,0))&amp;"","?"))</f>
        <v/>
      </c>
      <c r="N3073" s="2" t="str">
        <f aca="false"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 t="str">
        <f aca="false">IF(OR(F3073="",G3073=""),"",IF(G3073&lt;='RETRATO 2027'!$K$5,"CONCLUÍDA",IF(F3073&lt;='RETRATO 2027'!$K$5,"EM ANDAMENTO","A INICIAR")))</f>
        <v/>
      </c>
    </row>
    <row r="3074" customFormat="false" ht="15" hidden="false" customHeight="false" outlineLevel="0" collapsed="false">
      <c r="M3074" s="2" t="str">
        <f aca="false">IF(C3074="","",IFERROR(INDEX($S$5:$S$304,MATCH(C3074,$R$5:$R$304,0))&amp;"","?"))</f>
        <v/>
      </c>
      <c r="N3074" s="2" t="str">
        <f aca="false"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 t="str">
        <f aca="false">IF(OR(F3074="",G3074=""),"",IF(G3074&lt;='RETRATO 2027'!$K$5,"CONCLUÍDA",IF(F3074&lt;='RETRATO 2027'!$K$5,"EM ANDAMENTO","A INICIAR")))</f>
        <v/>
      </c>
    </row>
    <row r="3075" customFormat="false" ht="15" hidden="false" customHeight="false" outlineLevel="0" collapsed="false">
      <c r="M3075" s="2" t="str">
        <f aca="false">IF(C3075="","",IFERROR(INDEX($S$5:$S$304,MATCH(C3075,$R$5:$R$304,0))&amp;"","?"))</f>
        <v/>
      </c>
      <c r="N3075" s="2" t="str">
        <f aca="false"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 t="str">
        <f aca="false">IF(OR(F3075="",G3075=""),"",IF(G3075&lt;='RETRATO 2027'!$K$5,"CONCLUÍDA",IF(F3075&lt;='RETRATO 2027'!$K$5,"EM ANDAMENTO","A INICIAR")))</f>
        <v/>
      </c>
    </row>
    <row r="3076" customFormat="false" ht="15" hidden="false" customHeight="false" outlineLevel="0" collapsed="false">
      <c r="M3076" s="2" t="str">
        <f aca="false">IF(C3076="","",IFERROR(INDEX($S$5:$S$304,MATCH(C3076,$R$5:$R$304,0))&amp;"","?"))</f>
        <v/>
      </c>
      <c r="N3076" s="2" t="str">
        <f aca="false"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 t="str">
        <f aca="false">IF(OR(F3076="",G3076=""),"",IF(G3076&lt;='RETRATO 2027'!$K$5,"CONCLUÍDA",IF(F3076&lt;='RETRATO 2027'!$K$5,"EM ANDAMENTO","A INICIAR")))</f>
        <v/>
      </c>
    </row>
    <row r="3077" customFormat="false" ht="15" hidden="false" customHeight="false" outlineLevel="0" collapsed="false">
      <c r="M3077" s="2" t="str">
        <f aca="false">IF(C3077="","",IFERROR(INDEX($S$5:$S$304,MATCH(C3077,$R$5:$R$304,0))&amp;"","?"))</f>
        <v/>
      </c>
      <c r="N3077" s="2" t="str">
        <f aca="false"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 t="str">
        <f aca="false">IF(OR(F3077="",G3077=""),"",IF(G3077&lt;='RETRATO 2027'!$K$5,"CONCLUÍDA",IF(F3077&lt;='RETRATO 2027'!$K$5,"EM ANDAMENTO","A INICIAR")))</f>
        <v/>
      </c>
    </row>
    <row r="3078" customFormat="false" ht="15" hidden="false" customHeight="false" outlineLevel="0" collapsed="false">
      <c r="M3078" s="2" t="str">
        <f aca="false">IF(C3078="","",IFERROR(INDEX($S$5:$S$304,MATCH(C3078,$R$5:$R$304,0))&amp;"","?"))</f>
        <v/>
      </c>
      <c r="N3078" s="2" t="str">
        <f aca="false"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 t="str">
        <f aca="false">IF(OR(F3078="",G3078=""),"",IF(G3078&lt;='RETRATO 2027'!$K$5,"CONCLUÍDA",IF(F3078&lt;='RETRATO 2027'!$K$5,"EM ANDAMENTO","A INICIAR")))</f>
        <v/>
      </c>
    </row>
    <row r="3079" customFormat="false" ht="15" hidden="false" customHeight="false" outlineLevel="0" collapsed="false">
      <c r="M3079" s="2" t="str">
        <f aca="false">IF(C3079="","",IFERROR(INDEX($S$5:$S$304,MATCH(C3079,$R$5:$R$304,0))&amp;"","?"))</f>
        <v/>
      </c>
      <c r="N3079" s="2" t="str">
        <f aca="false"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 t="str">
        <f aca="false">IF(OR(F3079="",G3079=""),"",IF(G3079&lt;='RETRATO 2027'!$K$5,"CONCLUÍDA",IF(F3079&lt;='RETRATO 2027'!$K$5,"EM ANDAMENTO","A INICIAR")))</f>
        <v/>
      </c>
    </row>
    <row r="3080" customFormat="false" ht="15" hidden="false" customHeight="false" outlineLevel="0" collapsed="false">
      <c r="M3080" s="2" t="str">
        <f aca="false">IF(C3080="","",IFERROR(INDEX($S$5:$S$304,MATCH(C3080,$R$5:$R$304,0))&amp;"","?"))</f>
        <v/>
      </c>
      <c r="N3080" s="2" t="str">
        <f aca="false"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 t="str">
        <f aca="false">IF(OR(F3080="",G3080=""),"",IF(G3080&lt;='RETRATO 2027'!$K$5,"CONCLUÍDA",IF(F3080&lt;='RETRATO 2027'!$K$5,"EM ANDAMENTO","A INICIAR")))</f>
        <v/>
      </c>
    </row>
    <row r="3081" customFormat="false" ht="15" hidden="false" customHeight="false" outlineLevel="0" collapsed="false">
      <c r="M3081" s="2" t="str">
        <f aca="false">IF(C3081="","",IFERROR(INDEX($S$5:$S$304,MATCH(C3081,$R$5:$R$304,0))&amp;"","?"))</f>
        <v/>
      </c>
      <c r="N3081" s="2" t="str">
        <f aca="false"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 t="str">
        <f aca="false">IF(OR(F3081="",G3081=""),"",IF(G3081&lt;='RETRATO 2027'!$K$5,"CONCLUÍDA",IF(F3081&lt;='RETRATO 2027'!$K$5,"EM ANDAMENTO","A INICIAR")))</f>
        <v/>
      </c>
    </row>
    <row r="3082" customFormat="false" ht="15" hidden="false" customHeight="false" outlineLevel="0" collapsed="false">
      <c r="M3082" s="2" t="str">
        <f aca="false">IF(C3082="","",IFERROR(INDEX($S$5:$S$304,MATCH(C3082,$R$5:$R$304,0))&amp;"","?"))</f>
        <v/>
      </c>
      <c r="N3082" s="2" t="str">
        <f aca="false"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 t="str">
        <f aca="false">IF(OR(F3082="",G3082=""),"",IF(G3082&lt;='RETRATO 2027'!$K$5,"CONCLUÍDA",IF(F3082&lt;='RETRATO 2027'!$K$5,"EM ANDAMENTO","A INICIAR")))</f>
        <v/>
      </c>
    </row>
    <row r="3083" customFormat="false" ht="15" hidden="false" customHeight="false" outlineLevel="0" collapsed="false">
      <c r="M3083" s="2" t="str">
        <f aca="false">IF(C3083="","",IFERROR(INDEX($S$5:$S$304,MATCH(C3083,$R$5:$R$304,0))&amp;"","?"))</f>
        <v/>
      </c>
      <c r="N3083" s="2" t="str">
        <f aca="false"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 t="str">
        <f aca="false">IF(OR(F3083="",G3083=""),"",IF(G3083&lt;='RETRATO 2027'!$K$5,"CONCLUÍDA",IF(F3083&lt;='RETRATO 2027'!$K$5,"EM ANDAMENTO","A INICIAR")))</f>
        <v/>
      </c>
    </row>
    <row r="3084" customFormat="false" ht="15" hidden="false" customHeight="false" outlineLevel="0" collapsed="false">
      <c r="M3084" s="2" t="str">
        <f aca="false">IF(C3084="","",IFERROR(INDEX($S$5:$S$304,MATCH(C3084,$R$5:$R$304,0))&amp;"","?"))</f>
        <v/>
      </c>
      <c r="N3084" s="2" t="str">
        <f aca="false"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 t="str">
        <f aca="false">IF(OR(F3084="",G3084=""),"",IF(G3084&lt;='RETRATO 2027'!$K$5,"CONCLUÍDA",IF(F3084&lt;='RETRATO 2027'!$K$5,"EM ANDAMENTO","A INICIAR")))</f>
        <v/>
      </c>
    </row>
    <row r="3085" customFormat="false" ht="15" hidden="false" customHeight="false" outlineLevel="0" collapsed="false">
      <c r="M3085" s="2" t="str">
        <f aca="false">IF(C3085="","",IFERROR(INDEX($S$5:$S$304,MATCH(C3085,$R$5:$R$304,0))&amp;"","?"))</f>
        <v/>
      </c>
      <c r="N3085" s="2" t="str">
        <f aca="false"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 t="str">
        <f aca="false">IF(OR(F3085="",G3085=""),"",IF(G3085&lt;='RETRATO 2027'!$K$5,"CONCLUÍDA",IF(F3085&lt;='RETRATO 2027'!$K$5,"EM ANDAMENTO","A INICIAR")))</f>
        <v/>
      </c>
    </row>
    <row r="3086" customFormat="false" ht="15" hidden="false" customHeight="false" outlineLevel="0" collapsed="false">
      <c r="M3086" s="2" t="str">
        <f aca="false">IF(C3086="","",IFERROR(INDEX($S$5:$S$304,MATCH(C3086,$R$5:$R$304,0))&amp;"","?"))</f>
        <v/>
      </c>
      <c r="N3086" s="2" t="str">
        <f aca="false"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 t="str">
        <f aca="false">IF(OR(F3086="",G3086=""),"",IF(G3086&lt;='RETRATO 2027'!$K$5,"CONCLUÍDA",IF(F3086&lt;='RETRATO 2027'!$K$5,"EM ANDAMENTO","A INICIAR")))</f>
        <v/>
      </c>
    </row>
    <row r="3087" customFormat="false" ht="15" hidden="false" customHeight="false" outlineLevel="0" collapsed="false">
      <c r="M3087" s="2" t="str">
        <f aca="false">IF(C3087="","",IFERROR(INDEX($S$5:$S$304,MATCH(C3087,$R$5:$R$304,0))&amp;"","?"))</f>
        <v/>
      </c>
      <c r="N3087" s="2" t="str">
        <f aca="false"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 t="str">
        <f aca="false">IF(OR(F3087="",G3087=""),"",IF(G3087&lt;='RETRATO 2027'!$K$5,"CONCLUÍDA",IF(F3087&lt;='RETRATO 2027'!$K$5,"EM ANDAMENTO","A INICIAR")))</f>
        <v/>
      </c>
    </row>
    <row r="3088" customFormat="false" ht="15" hidden="false" customHeight="false" outlineLevel="0" collapsed="false">
      <c r="M3088" s="2" t="str">
        <f aca="false">IF(C3088="","",IFERROR(INDEX($S$5:$S$304,MATCH(C3088,$R$5:$R$304,0))&amp;"","?"))</f>
        <v/>
      </c>
      <c r="N3088" s="2" t="str">
        <f aca="false"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 t="str">
        <f aca="false">IF(OR(F3088="",G3088=""),"",IF(G3088&lt;='RETRATO 2027'!$K$5,"CONCLUÍDA",IF(F3088&lt;='RETRATO 2027'!$K$5,"EM ANDAMENTO","A INICIAR")))</f>
        <v/>
      </c>
    </row>
    <row r="3089" customFormat="false" ht="15" hidden="false" customHeight="false" outlineLevel="0" collapsed="false">
      <c r="M3089" s="2" t="str">
        <f aca="false">IF(C3089="","",IFERROR(INDEX($S$5:$S$304,MATCH(C3089,$R$5:$R$304,0))&amp;"","?"))</f>
        <v/>
      </c>
      <c r="N3089" s="2" t="str">
        <f aca="false"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 t="str">
        <f aca="false">IF(OR(F3089="",G3089=""),"",IF(G3089&lt;='RETRATO 2027'!$K$5,"CONCLUÍDA",IF(F3089&lt;='RETRATO 2027'!$K$5,"EM ANDAMENTO","A INICIAR")))</f>
        <v/>
      </c>
    </row>
    <row r="3090" customFormat="false" ht="15" hidden="false" customHeight="false" outlineLevel="0" collapsed="false">
      <c r="M3090" s="2" t="str">
        <f aca="false">IF(C3090="","",IFERROR(INDEX($S$5:$S$304,MATCH(C3090,$R$5:$R$304,0))&amp;"","?"))</f>
        <v/>
      </c>
      <c r="N3090" s="2" t="str">
        <f aca="false"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 t="str">
        <f aca="false">IF(OR(F3090="",G3090=""),"",IF(G3090&lt;='RETRATO 2027'!$K$5,"CONCLUÍDA",IF(F3090&lt;='RETRATO 2027'!$K$5,"EM ANDAMENTO","A INICIAR")))</f>
        <v/>
      </c>
    </row>
    <row r="3091" customFormat="false" ht="15" hidden="false" customHeight="false" outlineLevel="0" collapsed="false">
      <c r="M3091" s="2" t="str">
        <f aca="false">IF(C3091="","",IFERROR(INDEX($S$5:$S$304,MATCH(C3091,$R$5:$R$304,0))&amp;"","?"))</f>
        <v/>
      </c>
      <c r="N3091" s="2" t="str">
        <f aca="false"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 t="str">
        <f aca="false">IF(OR(F3091="",G3091=""),"",IF(G3091&lt;='RETRATO 2027'!$K$5,"CONCLUÍDA",IF(F3091&lt;='RETRATO 2027'!$K$5,"EM ANDAMENTO","A INICIAR")))</f>
        <v/>
      </c>
    </row>
    <row r="3092" customFormat="false" ht="15" hidden="false" customHeight="false" outlineLevel="0" collapsed="false">
      <c r="M3092" s="2" t="str">
        <f aca="false">IF(C3092="","",IFERROR(INDEX($S$5:$S$304,MATCH(C3092,$R$5:$R$304,0))&amp;"","?"))</f>
        <v/>
      </c>
      <c r="N3092" s="2" t="str">
        <f aca="false"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 t="str">
        <f aca="false">IF(OR(F3092="",G3092=""),"",IF(G3092&lt;='RETRATO 2027'!$K$5,"CONCLUÍDA",IF(F3092&lt;='RETRATO 2027'!$K$5,"EM ANDAMENTO","A INICIAR")))</f>
        <v/>
      </c>
    </row>
    <row r="3093" customFormat="false" ht="15" hidden="false" customHeight="false" outlineLevel="0" collapsed="false">
      <c r="M3093" s="2" t="str">
        <f aca="false">IF(C3093="","",IFERROR(INDEX($S$5:$S$304,MATCH(C3093,$R$5:$R$304,0))&amp;"","?"))</f>
        <v/>
      </c>
      <c r="N3093" s="2" t="str">
        <f aca="false"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 t="str">
        <f aca="false">IF(OR(F3093="",G3093=""),"",IF(G3093&lt;='RETRATO 2027'!$K$5,"CONCLUÍDA",IF(F3093&lt;='RETRATO 2027'!$K$5,"EM ANDAMENTO","A INICIAR")))</f>
        <v/>
      </c>
    </row>
    <row r="3094" customFormat="false" ht="15" hidden="false" customHeight="false" outlineLevel="0" collapsed="false">
      <c r="M3094" s="2" t="str">
        <f aca="false">IF(C3094="","",IFERROR(INDEX($S$5:$S$304,MATCH(C3094,$R$5:$R$304,0))&amp;"","?"))</f>
        <v/>
      </c>
      <c r="N3094" s="2" t="str">
        <f aca="false"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 t="str">
        <f aca="false">IF(OR(F3094="",G3094=""),"",IF(G3094&lt;='RETRATO 2027'!$K$5,"CONCLUÍDA",IF(F3094&lt;='RETRATO 2027'!$K$5,"EM ANDAMENTO","A INICIAR")))</f>
        <v/>
      </c>
    </row>
    <row r="3095" customFormat="false" ht="15" hidden="false" customHeight="false" outlineLevel="0" collapsed="false">
      <c r="M3095" s="2" t="str">
        <f aca="false">IF(C3095="","",IFERROR(INDEX($S$5:$S$304,MATCH(C3095,$R$5:$R$304,0))&amp;"","?"))</f>
        <v/>
      </c>
      <c r="N3095" s="2" t="str">
        <f aca="false"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 t="str">
        <f aca="false">IF(OR(F3095="",G3095=""),"",IF(G3095&lt;='RETRATO 2027'!$K$5,"CONCLUÍDA",IF(F3095&lt;='RETRATO 2027'!$K$5,"EM ANDAMENTO","A INICIAR")))</f>
        <v/>
      </c>
    </row>
    <row r="3096" customFormat="false" ht="15" hidden="false" customHeight="false" outlineLevel="0" collapsed="false">
      <c r="M3096" s="2" t="str">
        <f aca="false">IF(C3096="","",IFERROR(INDEX($S$5:$S$304,MATCH(C3096,$R$5:$R$304,0))&amp;"","?"))</f>
        <v/>
      </c>
      <c r="N3096" s="2" t="str">
        <f aca="false"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 t="str">
        <f aca="false">IF(OR(F3096="",G3096=""),"",IF(G3096&lt;='RETRATO 2027'!$K$5,"CONCLUÍDA",IF(F3096&lt;='RETRATO 2027'!$K$5,"EM ANDAMENTO","A INICIAR")))</f>
        <v/>
      </c>
    </row>
    <row r="3097" customFormat="false" ht="15" hidden="false" customHeight="false" outlineLevel="0" collapsed="false">
      <c r="M3097" s="2" t="str">
        <f aca="false">IF(C3097="","",IFERROR(INDEX($S$5:$S$304,MATCH(C3097,$R$5:$R$304,0))&amp;"","?"))</f>
        <v/>
      </c>
      <c r="N3097" s="2" t="str">
        <f aca="false"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 t="str">
        <f aca="false">IF(OR(F3097="",G3097=""),"",IF(G3097&lt;='RETRATO 2027'!$K$5,"CONCLUÍDA",IF(F3097&lt;='RETRATO 2027'!$K$5,"EM ANDAMENTO","A INICIAR")))</f>
        <v/>
      </c>
    </row>
    <row r="3098" customFormat="false" ht="15" hidden="false" customHeight="false" outlineLevel="0" collapsed="false">
      <c r="M3098" s="2" t="str">
        <f aca="false">IF(C3098="","",IFERROR(INDEX($S$5:$S$304,MATCH(C3098,$R$5:$R$304,0))&amp;"","?"))</f>
        <v/>
      </c>
      <c r="N3098" s="2" t="str">
        <f aca="false"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 t="str">
        <f aca="false">IF(OR(F3098="",G3098=""),"",IF(G3098&lt;='RETRATO 2027'!$K$5,"CONCLUÍDA",IF(F3098&lt;='RETRATO 2027'!$K$5,"EM ANDAMENTO","A INICIAR")))</f>
        <v/>
      </c>
    </row>
    <row r="3099" customFormat="false" ht="15" hidden="false" customHeight="false" outlineLevel="0" collapsed="false">
      <c r="M3099" s="2" t="str">
        <f aca="false">IF(C3099="","",IFERROR(INDEX($S$5:$S$304,MATCH(C3099,$R$5:$R$304,0))&amp;"","?"))</f>
        <v/>
      </c>
      <c r="N3099" s="2" t="str">
        <f aca="false"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 t="str">
        <f aca="false">IF(OR(F3099="",G3099=""),"",IF(G3099&lt;='RETRATO 2027'!$K$5,"CONCLUÍDA",IF(F3099&lt;='RETRATO 2027'!$K$5,"EM ANDAMENTO","A INICIAR")))</f>
        <v/>
      </c>
    </row>
    <row r="3100" customFormat="false" ht="15" hidden="false" customHeight="false" outlineLevel="0" collapsed="false">
      <c r="M3100" s="2" t="str">
        <f aca="false">IF(C3100="","",IFERROR(INDEX($S$5:$S$304,MATCH(C3100,$R$5:$R$304,0))&amp;"","?"))</f>
        <v/>
      </c>
      <c r="N3100" s="2" t="str">
        <f aca="false"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 t="str">
        <f aca="false">IF(OR(F3100="",G3100=""),"",IF(G3100&lt;='RETRATO 2027'!$K$5,"CONCLUÍDA",IF(F3100&lt;='RETRATO 2027'!$K$5,"EM ANDAMENTO","A INICIAR")))</f>
        <v/>
      </c>
    </row>
    <row r="3101" customFormat="false" ht="15" hidden="false" customHeight="false" outlineLevel="0" collapsed="false">
      <c r="M3101" s="2" t="str">
        <f aca="false">IF(C3101="","",IFERROR(INDEX($S$5:$S$304,MATCH(C3101,$R$5:$R$304,0))&amp;"","?"))</f>
        <v/>
      </c>
      <c r="N3101" s="2" t="str">
        <f aca="false"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 t="str">
        <f aca="false">IF(OR(F3101="",G3101=""),"",IF(G3101&lt;='RETRATO 2027'!$K$5,"CONCLUÍDA",IF(F3101&lt;='RETRATO 2027'!$K$5,"EM ANDAMENTO","A INICIAR")))</f>
        <v/>
      </c>
    </row>
    <row r="3102" customFormat="false" ht="15" hidden="false" customHeight="false" outlineLevel="0" collapsed="false">
      <c r="M3102" s="2" t="str">
        <f aca="false">IF(C3102="","",IFERROR(INDEX($S$5:$S$304,MATCH(C3102,$R$5:$R$304,0))&amp;"","?"))</f>
        <v/>
      </c>
      <c r="N3102" s="2" t="str">
        <f aca="false"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 t="str">
        <f aca="false">IF(OR(F3102="",G3102=""),"",IF(G3102&lt;='RETRATO 2027'!$K$5,"CONCLUÍDA",IF(F3102&lt;='RETRATO 2027'!$K$5,"EM ANDAMENTO","A INICIAR")))</f>
        <v/>
      </c>
    </row>
    <row r="3103" customFormat="false" ht="15" hidden="false" customHeight="false" outlineLevel="0" collapsed="false">
      <c r="M3103" s="2" t="str">
        <f aca="false">IF(C3103="","",IFERROR(INDEX($S$5:$S$304,MATCH(C3103,$R$5:$R$304,0))&amp;"","?"))</f>
        <v/>
      </c>
      <c r="N3103" s="2" t="str">
        <f aca="false"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 t="str">
        <f aca="false">IF(OR(F3103="",G3103=""),"",IF(G3103&lt;='RETRATO 2027'!$K$5,"CONCLUÍDA",IF(F3103&lt;='RETRATO 2027'!$K$5,"EM ANDAMENTO","A INICIAR")))</f>
        <v/>
      </c>
    </row>
    <row r="3104" customFormat="false" ht="15" hidden="false" customHeight="false" outlineLevel="0" collapsed="false">
      <c r="M3104" s="2" t="str">
        <f aca="false">IF(C3104="","",IFERROR(INDEX($S$5:$S$304,MATCH(C3104,$R$5:$R$304,0))&amp;"","?"))</f>
        <v/>
      </c>
      <c r="N3104" s="2" t="str">
        <f aca="false"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 t="str">
        <f aca="false">IF(OR(F3104="",G3104=""),"",IF(G3104&lt;='RETRATO 2027'!$K$5,"CONCLUÍDA",IF(F3104&lt;='RETRATO 2027'!$K$5,"EM ANDAMENTO","A INICIAR")))</f>
        <v/>
      </c>
    </row>
    <row r="3105" customFormat="false" ht="15" hidden="false" customHeight="false" outlineLevel="0" collapsed="false">
      <c r="M3105" s="2" t="str">
        <f aca="false">IF(C3105="","",IFERROR(INDEX($S$5:$S$304,MATCH(C3105,$R$5:$R$304,0))&amp;"","?"))</f>
        <v/>
      </c>
      <c r="N3105" s="2" t="str">
        <f aca="false"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 t="str">
        <f aca="false">IF(OR(F3105="",G3105=""),"",IF(G3105&lt;='RETRATO 2027'!$K$5,"CONCLUÍDA",IF(F3105&lt;='RETRATO 2027'!$K$5,"EM ANDAMENTO","A INICIAR")))</f>
        <v/>
      </c>
    </row>
    <row r="3106" customFormat="false" ht="15" hidden="false" customHeight="false" outlineLevel="0" collapsed="false">
      <c r="M3106" s="2" t="str">
        <f aca="false">IF(C3106="","",IFERROR(INDEX($S$5:$S$304,MATCH(C3106,$R$5:$R$304,0))&amp;"","?"))</f>
        <v/>
      </c>
      <c r="N3106" s="2" t="str">
        <f aca="false"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 t="str">
        <f aca="false">IF(OR(F3106="",G3106=""),"",IF(G3106&lt;='RETRATO 2027'!$K$5,"CONCLUÍDA",IF(F3106&lt;='RETRATO 2027'!$K$5,"EM ANDAMENTO","A INICIAR")))</f>
        <v/>
      </c>
    </row>
    <row r="3107" customFormat="false" ht="15" hidden="false" customHeight="false" outlineLevel="0" collapsed="false">
      <c r="M3107" s="2" t="str">
        <f aca="false">IF(C3107="","",IFERROR(INDEX($S$5:$S$304,MATCH(C3107,$R$5:$R$304,0))&amp;"","?"))</f>
        <v/>
      </c>
      <c r="N3107" s="2" t="str">
        <f aca="false"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 t="str">
        <f aca="false">IF(OR(F3107="",G3107=""),"",IF(G3107&lt;='RETRATO 2027'!$K$5,"CONCLUÍDA",IF(F3107&lt;='RETRATO 2027'!$K$5,"EM ANDAMENTO","A INICIAR")))</f>
        <v/>
      </c>
    </row>
    <row r="3108" customFormat="false" ht="15" hidden="false" customHeight="false" outlineLevel="0" collapsed="false">
      <c r="M3108" s="2" t="str">
        <f aca="false">IF(C3108="","",IFERROR(INDEX($S$5:$S$304,MATCH(C3108,$R$5:$R$304,0))&amp;"","?"))</f>
        <v/>
      </c>
      <c r="N3108" s="2" t="str">
        <f aca="false"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 t="str">
        <f aca="false">IF(OR(F3108="",G3108=""),"",IF(G3108&lt;='RETRATO 2027'!$K$5,"CONCLUÍDA",IF(F3108&lt;='RETRATO 2027'!$K$5,"EM ANDAMENTO","A INICIAR")))</f>
        <v/>
      </c>
    </row>
    <row r="3109" customFormat="false" ht="15" hidden="false" customHeight="false" outlineLevel="0" collapsed="false">
      <c r="M3109" s="2" t="str">
        <f aca="false">IF(C3109="","",IFERROR(INDEX($S$5:$S$304,MATCH(C3109,$R$5:$R$304,0))&amp;"","?"))</f>
        <v/>
      </c>
      <c r="N3109" s="2" t="str">
        <f aca="false"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 t="str">
        <f aca="false">IF(OR(F3109="",G3109=""),"",IF(G3109&lt;='RETRATO 2027'!$K$5,"CONCLUÍDA",IF(F3109&lt;='RETRATO 2027'!$K$5,"EM ANDAMENTO","A INICIAR")))</f>
        <v/>
      </c>
    </row>
    <row r="3110" customFormat="false" ht="15" hidden="false" customHeight="false" outlineLevel="0" collapsed="false">
      <c r="M3110" s="2" t="str">
        <f aca="false">IF(C3110="","",IFERROR(INDEX($S$5:$S$304,MATCH(C3110,$R$5:$R$304,0))&amp;"","?"))</f>
        <v/>
      </c>
      <c r="N3110" s="2" t="str">
        <f aca="false"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 t="str">
        <f aca="false">IF(OR(F3110="",G3110=""),"",IF(G3110&lt;='RETRATO 2027'!$K$5,"CONCLUÍDA",IF(F3110&lt;='RETRATO 2027'!$K$5,"EM ANDAMENTO","A INICIAR")))</f>
        <v/>
      </c>
    </row>
    <row r="3111" customFormat="false" ht="15" hidden="false" customHeight="false" outlineLevel="0" collapsed="false">
      <c r="M3111" s="2" t="str">
        <f aca="false">IF(C3111="","",IFERROR(INDEX($S$5:$S$304,MATCH(C3111,$R$5:$R$304,0))&amp;"","?"))</f>
        <v/>
      </c>
      <c r="N3111" s="2" t="str">
        <f aca="false"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 t="str">
        <f aca="false">IF(OR(F3111="",G3111=""),"",IF(G3111&lt;='RETRATO 2027'!$K$5,"CONCLUÍDA",IF(F3111&lt;='RETRATO 2027'!$K$5,"EM ANDAMENTO","A INICIAR")))</f>
        <v/>
      </c>
    </row>
    <row r="3112" customFormat="false" ht="15" hidden="false" customHeight="false" outlineLevel="0" collapsed="false">
      <c r="M3112" s="2" t="str">
        <f aca="false">IF(C3112="","",IFERROR(INDEX($S$5:$S$304,MATCH(C3112,$R$5:$R$304,0))&amp;"","?"))</f>
        <v/>
      </c>
      <c r="N3112" s="2" t="str">
        <f aca="false"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 t="str">
        <f aca="false">IF(OR(F3112="",G3112=""),"",IF(G3112&lt;='RETRATO 2027'!$K$5,"CONCLUÍDA",IF(F3112&lt;='RETRATO 2027'!$K$5,"EM ANDAMENTO","A INICIAR")))</f>
        <v/>
      </c>
    </row>
    <row r="3113" customFormat="false" ht="15" hidden="false" customHeight="false" outlineLevel="0" collapsed="false">
      <c r="M3113" s="2" t="str">
        <f aca="false">IF(C3113="","",IFERROR(INDEX($S$5:$S$304,MATCH(C3113,$R$5:$R$304,0))&amp;"","?"))</f>
        <v/>
      </c>
      <c r="N3113" s="2" t="str">
        <f aca="false"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 t="str">
        <f aca="false">IF(OR(F3113="",G3113=""),"",IF(G3113&lt;='RETRATO 2027'!$K$5,"CONCLUÍDA",IF(F3113&lt;='RETRATO 2027'!$K$5,"EM ANDAMENTO","A INICIAR")))</f>
        <v/>
      </c>
    </row>
    <row r="3114" customFormat="false" ht="15" hidden="false" customHeight="false" outlineLevel="0" collapsed="false">
      <c r="M3114" s="2" t="str">
        <f aca="false">IF(C3114="","",IFERROR(INDEX($S$5:$S$304,MATCH(C3114,$R$5:$R$304,0))&amp;"","?"))</f>
        <v/>
      </c>
      <c r="N3114" s="2" t="str">
        <f aca="false"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 t="str">
        <f aca="false">IF(OR(F3114="",G3114=""),"",IF(G3114&lt;='RETRATO 2027'!$K$5,"CONCLUÍDA",IF(F3114&lt;='RETRATO 2027'!$K$5,"EM ANDAMENTO","A INICIAR")))</f>
        <v/>
      </c>
    </row>
    <row r="3115" customFormat="false" ht="15" hidden="false" customHeight="false" outlineLevel="0" collapsed="false">
      <c r="M3115" s="2" t="str">
        <f aca="false">IF(C3115="","",IFERROR(INDEX($S$5:$S$304,MATCH(C3115,$R$5:$R$304,0))&amp;"","?"))</f>
        <v/>
      </c>
      <c r="N3115" s="2" t="str">
        <f aca="false"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 t="str">
        <f aca="false">IF(OR(F3115="",G3115=""),"",IF(G3115&lt;='RETRATO 2027'!$K$5,"CONCLUÍDA",IF(F3115&lt;='RETRATO 2027'!$K$5,"EM ANDAMENTO","A INICIAR")))</f>
        <v/>
      </c>
    </row>
    <row r="3116" customFormat="false" ht="15" hidden="false" customHeight="false" outlineLevel="0" collapsed="false">
      <c r="M3116" s="2" t="str">
        <f aca="false">IF(C3116="","",IFERROR(INDEX($S$5:$S$304,MATCH(C3116,$R$5:$R$304,0))&amp;"","?"))</f>
        <v/>
      </c>
      <c r="N3116" s="2" t="str">
        <f aca="false"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 t="str">
        <f aca="false">IF(OR(F3116="",G3116=""),"",IF(G3116&lt;='RETRATO 2027'!$K$5,"CONCLUÍDA",IF(F3116&lt;='RETRATO 2027'!$K$5,"EM ANDAMENTO","A INICIAR")))</f>
        <v/>
      </c>
    </row>
    <row r="3117" customFormat="false" ht="15" hidden="false" customHeight="false" outlineLevel="0" collapsed="false">
      <c r="M3117" s="2" t="str">
        <f aca="false">IF(C3117="","",IFERROR(INDEX($S$5:$S$304,MATCH(C3117,$R$5:$R$304,0))&amp;"","?"))</f>
        <v/>
      </c>
      <c r="N3117" s="2" t="str">
        <f aca="false"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 t="str">
        <f aca="false">IF(OR(F3117="",G3117=""),"",IF(G3117&lt;='RETRATO 2027'!$K$5,"CONCLUÍDA",IF(F3117&lt;='RETRATO 2027'!$K$5,"EM ANDAMENTO","A INICIAR")))</f>
        <v/>
      </c>
    </row>
    <row r="3118" customFormat="false" ht="15" hidden="false" customHeight="false" outlineLevel="0" collapsed="false">
      <c r="M3118" s="2" t="str">
        <f aca="false">IF(C3118="","",IFERROR(INDEX($S$5:$S$304,MATCH(C3118,$R$5:$R$304,0))&amp;"","?"))</f>
        <v/>
      </c>
      <c r="N3118" s="2" t="str">
        <f aca="false"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 t="str">
        <f aca="false">IF(OR(F3118="",G3118=""),"",IF(G3118&lt;='RETRATO 2027'!$K$5,"CONCLUÍDA",IF(F3118&lt;='RETRATO 2027'!$K$5,"EM ANDAMENTO","A INICIAR")))</f>
        <v/>
      </c>
    </row>
    <row r="3119" customFormat="false" ht="15" hidden="false" customHeight="false" outlineLevel="0" collapsed="false">
      <c r="M3119" s="2" t="str">
        <f aca="false">IF(C3119="","",IFERROR(INDEX($S$5:$S$304,MATCH(C3119,$R$5:$R$304,0))&amp;"","?"))</f>
        <v/>
      </c>
      <c r="N3119" s="2" t="str">
        <f aca="false"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 t="str">
        <f aca="false">IF(OR(F3119="",G3119=""),"",IF(G3119&lt;='RETRATO 2027'!$K$5,"CONCLUÍDA",IF(F3119&lt;='RETRATO 2027'!$K$5,"EM ANDAMENTO","A INICIAR")))</f>
        <v/>
      </c>
    </row>
    <row r="3120" customFormat="false" ht="15" hidden="false" customHeight="false" outlineLevel="0" collapsed="false">
      <c r="M3120" s="2" t="str">
        <f aca="false">IF(C3120="","",IFERROR(INDEX($S$5:$S$304,MATCH(C3120,$R$5:$R$304,0))&amp;"","?"))</f>
        <v/>
      </c>
      <c r="N3120" s="2" t="str">
        <f aca="false"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 t="str">
        <f aca="false">IF(OR(F3120="",G3120=""),"",IF(G3120&lt;='RETRATO 2027'!$K$5,"CONCLUÍDA",IF(F3120&lt;='RETRATO 2027'!$K$5,"EM ANDAMENTO","A INICIAR")))</f>
        <v/>
      </c>
    </row>
    <row r="3121" customFormat="false" ht="15" hidden="false" customHeight="false" outlineLevel="0" collapsed="false">
      <c r="M3121" s="2" t="str">
        <f aca="false">IF(C3121="","",IFERROR(INDEX($S$5:$S$304,MATCH(C3121,$R$5:$R$304,0))&amp;"","?"))</f>
        <v/>
      </c>
      <c r="N3121" s="2" t="str">
        <f aca="false"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 t="str">
        <f aca="false">IF(OR(F3121="",G3121=""),"",IF(G3121&lt;='RETRATO 2027'!$K$5,"CONCLUÍDA",IF(F3121&lt;='RETRATO 2027'!$K$5,"EM ANDAMENTO","A INICIAR")))</f>
        <v/>
      </c>
    </row>
    <row r="3122" customFormat="false" ht="15" hidden="false" customHeight="false" outlineLevel="0" collapsed="false">
      <c r="M3122" s="2" t="str">
        <f aca="false">IF(C3122="","",IFERROR(INDEX($S$5:$S$304,MATCH(C3122,$R$5:$R$304,0))&amp;"","?"))</f>
        <v/>
      </c>
      <c r="N3122" s="2" t="str">
        <f aca="false"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 t="str">
        <f aca="false">IF(OR(F3122="",G3122=""),"",IF(G3122&lt;='RETRATO 2027'!$K$5,"CONCLUÍDA",IF(F3122&lt;='RETRATO 2027'!$K$5,"EM ANDAMENTO","A INICIAR")))</f>
        <v/>
      </c>
    </row>
    <row r="3123" customFormat="false" ht="15" hidden="false" customHeight="false" outlineLevel="0" collapsed="false">
      <c r="M3123" s="2" t="str">
        <f aca="false">IF(C3123="","",IFERROR(INDEX($S$5:$S$304,MATCH(C3123,$R$5:$R$304,0))&amp;"","?"))</f>
        <v/>
      </c>
      <c r="N3123" s="2" t="str">
        <f aca="false"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 t="str">
        <f aca="false">IF(OR(F3123="",G3123=""),"",IF(G3123&lt;='RETRATO 2027'!$K$5,"CONCLUÍDA",IF(F3123&lt;='RETRATO 2027'!$K$5,"EM ANDAMENTO","A INICIAR")))</f>
        <v/>
      </c>
    </row>
    <row r="3124" customFormat="false" ht="15" hidden="false" customHeight="false" outlineLevel="0" collapsed="false">
      <c r="M3124" s="2" t="str">
        <f aca="false">IF(C3124="","",IFERROR(INDEX($S$5:$S$304,MATCH(C3124,$R$5:$R$304,0))&amp;"","?"))</f>
        <v/>
      </c>
      <c r="N3124" s="2" t="str">
        <f aca="false"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 t="str">
        <f aca="false">IF(OR(F3124="",G3124=""),"",IF(G3124&lt;='RETRATO 2027'!$K$5,"CONCLUÍDA",IF(F3124&lt;='RETRATO 2027'!$K$5,"EM ANDAMENTO","A INICIAR")))</f>
        <v/>
      </c>
    </row>
    <row r="3125" customFormat="false" ht="15" hidden="false" customHeight="false" outlineLevel="0" collapsed="false">
      <c r="M3125" s="2" t="str">
        <f aca="false">IF(C3125="","",IFERROR(INDEX($S$5:$S$304,MATCH(C3125,$R$5:$R$304,0))&amp;"","?"))</f>
        <v/>
      </c>
      <c r="N3125" s="2" t="str">
        <f aca="false"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 t="str">
        <f aca="false">IF(OR(F3125="",G3125=""),"",IF(G3125&lt;='RETRATO 2027'!$K$5,"CONCLUÍDA",IF(F3125&lt;='RETRATO 2027'!$K$5,"EM ANDAMENTO","A INICIAR")))</f>
        <v/>
      </c>
    </row>
    <row r="3126" customFormat="false" ht="15" hidden="false" customHeight="false" outlineLevel="0" collapsed="false">
      <c r="M3126" s="2" t="str">
        <f aca="false">IF(C3126="","",IFERROR(INDEX($S$5:$S$304,MATCH(C3126,$R$5:$R$304,0))&amp;"","?"))</f>
        <v/>
      </c>
      <c r="N3126" s="2" t="str">
        <f aca="false"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 t="str">
        <f aca="false">IF(OR(F3126="",G3126=""),"",IF(G3126&lt;='RETRATO 2027'!$K$5,"CONCLUÍDA",IF(F3126&lt;='RETRATO 2027'!$K$5,"EM ANDAMENTO","A INICIAR")))</f>
        <v/>
      </c>
    </row>
    <row r="3127" customFormat="false" ht="15" hidden="false" customHeight="false" outlineLevel="0" collapsed="false">
      <c r="M3127" s="2" t="str">
        <f aca="false">IF(C3127="","",IFERROR(INDEX($S$5:$S$304,MATCH(C3127,$R$5:$R$304,0))&amp;"","?"))</f>
        <v/>
      </c>
      <c r="N3127" s="2" t="str">
        <f aca="false"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 t="str">
        <f aca="false">IF(OR(F3127="",G3127=""),"",IF(G3127&lt;='RETRATO 2027'!$K$5,"CONCLUÍDA",IF(F3127&lt;='RETRATO 2027'!$K$5,"EM ANDAMENTO","A INICIAR")))</f>
        <v/>
      </c>
    </row>
    <row r="3128" customFormat="false" ht="15" hidden="false" customHeight="false" outlineLevel="0" collapsed="false">
      <c r="M3128" s="2" t="str">
        <f aca="false">IF(C3128="","",IFERROR(INDEX($S$5:$S$304,MATCH(C3128,$R$5:$R$304,0))&amp;"","?"))</f>
        <v/>
      </c>
      <c r="N3128" s="2" t="str">
        <f aca="false"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 t="str">
        <f aca="false">IF(OR(F3128="",G3128=""),"",IF(G3128&lt;='RETRATO 2027'!$K$5,"CONCLUÍDA",IF(F3128&lt;='RETRATO 2027'!$K$5,"EM ANDAMENTO","A INICIAR")))</f>
        <v/>
      </c>
    </row>
    <row r="3129" customFormat="false" ht="15" hidden="false" customHeight="false" outlineLevel="0" collapsed="false">
      <c r="M3129" s="2" t="str">
        <f aca="false">IF(C3129="","",IFERROR(INDEX($S$5:$S$304,MATCH(C3129,$R$5:$R$304,0))&amp;"","?"))</f>
        <v/>
      </c>
      <c r="N3129" s="2" t="str">
        <f aca="false"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 t="str">
        <f aca="false">IF(OR(F3129="",G3129=""),"",IF(G3129&lt;='RETRATO 2027'!$K$5,"CONCLUÍDA",IF(F3129&lt;='RETRATO 2027'!$K$5,"EM ANDAMENTO","A INICIAR")))</f>
        <v/>
      </c>
    </row>
    <row r="3130" customFormat="false" ht="15" hidden="false" customHeight="false" outlineLevel="0" collapsed="false">
      <c r="M3130" s="2" t="str">
        <f aca="false">IF(C3130="","",IFERROR(INDEX($S$5:$S$304,MATCH(C3130,$R$5:$R$304,0))&amp;"","?"))</f>
        <v/>
      </c>
      <c r="N3130" s="2" t="str">
        <f aca="false"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 t="str">
        <f aca="false">IF(OR(F3130="",G3130=""),"",IF(G3130&lt;='RETRATO 2027'!$K$5,"CONCLUÍDA",IF(F3130&lt;='RETRATO 2027'!$K$5,"EM ANDAMENTO","A INICIAR")))</f>
        <v/>
      </c>
    </row>
    <row r="3131" customFormat="false" ht="15" hidden="false" customHeight="false" outlineLevel="0" collapsed="false">
      <c r="M3131" s="2" t="str">
        <f aca="false">IF(C3131="","",IFERROR(INDEX($S$5:$S$304,MATCH(C3131,$R$5:$R$304,0))&amp;"","?"))</f>
        <v/>
      </c>
      <c r="N3131" s="2" t="str">
        <f aca="false"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 t="str">
        <f aca="false">IF(OR(F3131="",G3131=""),"",IF(G3131&lt;='RETRATO 2027'!$K$5,"CONCLUÍDA",IF(F3131&lt;='RETRATO 2027'!$K$5,"EM ANDAMENTO","A INICIAR")))</f>
        <v/>
      </c>
    </row>
    <row r="3132" customFormat="false" ht="15" hidden="false" customHeight="false" outlineLevel="0" collapsed="false">
      <c r="M3132" s="2" t="str">
        <f aca="false">IF(C3132="","",IFERROR(INDEX($S$5:$S$304,MATCH(C3132,$R$5:$R$304,0))&amp;"","?"))</f>
        <v/>
      </c>
      <c r="N3132" s="2" t="str">
        <f aca="false"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 t="str">
        <f aca="false">IF(OR(F3132="",G3132=""),"",IF(G3132&lt;='RETRATO 2027'!$K$5,"CONCLUÍDA",IF(F3132&lt;='RETRATO 2027'!$K$5,"EM ANDAMENTO","A INICIAR")))</f>
        <v/>
      </c>
    </row>
    <row r="3133" customFormat="false" ht="15" hidden="false" customHeight="false" outlineLevel="0" collapsed="false">
      <c r="M3133" s="2" t="str">
        <f aca="false">IF(C3133="","",IFERROR(INDEX($S$5:$S$304,MATCH(C3133,$R$5:$R$304,0))&amp;"","?"))</f>
        <v/>
      </c>
      <c r="N3133" s="2" t="str">
        <f aca="false"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 t="str">
        <f aca="false">IF(OR(F3133="",G3133=""),"",IF(G3133&lt;='RETRATO 2027'!$K$5,"CONCLUÍDA",IF(F3133&lt;='RETRATO 2027'!$K$5,"EM ANDAMENTO","A INICIAR")))</f>
        <v/>
      </c>
    </row>
    <row r="3134" customFormat="false" ht="15" hidden="false" customHeight="false" outlineLevel="0" collapsed="false">
      <c r="M3134" s="2" t="str">
        <f aca="false">IF(C3134="","",IFERROR(INDEX($S$5:$S$304,MATCH(C3134,$R$5:$R$304,0))&amp;"","?"))</f>
        <v/>
      </c>
      <c r="N3134" s="2" t="str">
        <f aca="false"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 t="str">
        <f aca="false">IF(OR(F3134="",G3134=""),"",IF(G3134&lt;='RETRATO 2027'!$K$5,"CONCLUÍDA",IF(F3134&lt;='RETRATO 2027'!$K$5,"EM ANDAMENTO","A INICIAR")))</f>
        <v/>
      </c>
    </row>
    <row r="3135" customFormat="false" ht="15" hidden="false" customHeight="false" outlineLevel="0" collapsed="false">
      <c r="M3135" s="2" t="str">
        <f aca="false">IF(C3135="","",IFERROR(INDEX($S$5:$S$304,MATCH(C3135,$R$5:$R$304,0))&amp;"","?"))</f>
        <v/>
      </c>
      <c r="N3135" s="2" t="str">
        <f aca="false"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 t="str">
        <f aca="false">IF(OR(F3135="",G3135=""),"",IF(G3135&lt;='RETRATO 2027'!$K$5,"CONCLUÍDA",IF(F3135&lt;='RETRATO 2027'!$K$5,"EM ANDAMENTO","A INICIAR")))</f>
        <v/>
      </c>
    </row>
    <row r="3136" customFormat="false" ht="15" hidden="false" customHeight="false" outlineLevel="0" collapsed="false">
      <c r="M3136" s="2" t="str">
        <f aca="false">IF(C3136="","",IFERROR(INDEX($S$5:$S$304,MATCH(C3136,$R$5:$R$304,0))&amp;"","?"))</f>
        <v/>
      </c>
      <c r="N3136" s="2" t="str">
        <f aca="false"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 t="str">
        <f aca="false">IF(OR(F3136="",G3136=""),"",IF(G3136&lt;='RETRATO 2027'!$K$5,"CONCLUÍDA",IF(F3136&lt;='RETRATO 2027'!$K$5,"EM ANDAMENTO","A INICIAR")))</f>
        <v/>
      </c>
    </row>
    <row r="3137" customFormat="false" ht="15" hidden="false" customHeight="false" outlineLevel="0" collapsed="false">
      <c r="M3137" s="2" t="str">
        <f aca="false">IF(C3137="","",IFERROR(INDEX($S$5:$S$304,MATCH(C3137,$R$5:$R$304,0))&amp;"","?"))</f>
        <v/>
      </c>
      <c r="N3137" s="2" t="str">
        <f aca="false"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 t="str">
        <f aca="false">IF(OR(F3137="",G3137=""),"",IF(G3137&lt;='RETRATO 2027'!$K$5,"CONCLUÍDA",IF(F3137&lt;='RETRATO 2027'!$K$5,"EM ANDAMENTO","A INICIAR")))</f>
        <v/>
      </c>
    </row>
    <row r="3138" customFormat="false" ht="15" hidden="false" customHeight="false" outlineLevel="0" collapsed="false">
      <c r="M3138" s="2" t="str">
        <f aca="false">IF(C3138="","",IFERROR(INDEX($S$5:$S$304,MATCH(C3138,$R$5:$R$304,0))&amp;"","?"))</f>
        <v/>
      </c>
      <c r="N3138" s="2" t="str">
        <f aca="false"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 t="str">
        <f aca="false">IF(OR(F3138="",G3138=""),"",IF(G3138&lt;='RETRATO 2027'!$K$5,"CONCLUÍDA",IF(F3138&lt;='RETRATO 2027'!$K$5,"EM ANDAMENTO","A INICIAR")))</f>
        <v/>
      </c>
    </row>
    <row r="3139" customFormat="false" ht="15" hidden="false" customHeight="false" outlineLevel="0" collapsed="false">
      <c r="M3139" s="2" t="str">
        <f aca="false">IF(C3139="","",IFERROR(INDEX($S$5:$S$304,MATCH(C3139,$R$5:$R$304,0))&amp;"","?"))</f>
        <v/>
      </c>
      <c r="N3139" s="2" t="str">
        <f aca="false"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 t="str">
        <f aca="false">IF(OR(F3139="",G3139=""),"",IF(G3139&lt;='RETRATO 2027'!$K$5,"CONCLUÍDA",IF(F3139&lt;='RETRATO 2027'!$K$5,"EM ANDAMENTO","A INICIAR")))</f>
        <v/>
      </c>
    </row>
    <row r="3140" customFormat="false" ht="15" hidden="false" customHeight="false" outlineLevel="0" collapsed="false">
      <c r="M3140" s="2" t="str">
        <f aca="false">IF(C3140="","",IFERROR(INDEX($S$5:$S$304,MATCH(C3140,$R$5:$R$304,0))&amp;"","?"))</f>
        <v/>
      </c>
      <c r="N3140" s="2" t="str">
        <f aca="false"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 t="str">
        <f aca="false">IF(OR(F3140="",G3140=""),"",IF(G3140&lt;='RETRATO 2027'!$K$5,"CONCLUÍDA",IF(F3140&lt;='RETRATO 2027'!$K$5,"EM ANDAMENTO","A INICIAR")))</f>
        <v/>
      </c>
    </row>
    <row r="3141" customFormat="false" ht="15" hidden="false" customHeight="false" outlineLevel="0" collapsed="false">
      <c r="M3141" s="2" t="str">
        <f aca="false">IF(C3141="","",IFERROR(INDEX($S$5:$S$304,MATCH(C3141,$R$5:$R$304,0))&amp;"","?"))</f>
        <v/>
      </c>
      <c r="N3141" s="2" t="str">
        <f aca="false"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 t="str">
        <f aca="false">IF(OR(F3141="",G3141=""),"",IF(G3141&lt;='RETRATO 2027'!$K$5,"CONCLUÍDA",IF(F3141&lt;='RETRATO 2027'!$K$5,"EM ANDAMENTO","A INICIAR")))</f>
        <v/>
      </c>
    </row>
    <row r="3142" customFormat="false" ht="15" hidden="false" customHeight="false" outlineLevel="0" collapsed="false">
      <c r="M3142" s="2" t="str">
        <f aca="false">IF(C3142="","",IFERROR(INDEX($S$5:$S$304,MATCH(C3142,$R$5:$R$304,0))&amp;"","?"))</f>
        <v/>
      </c>
      <c r="N3142" s="2" t="str">
        <f aca="false"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 t="str">
        <f aca="false">IF(OR(F3142="",G3142=""),"",IF(G3142&lt;='RETRATO 2027'!$K$5,"CONCLUÍDA",IF(F3142&lt;='RETRATO 2027'!$K$5,"EM ANDAMENTO","A INICIAR")))</f>
        <v/>
      </c>
    </row>
    <row r="3143" customFormat="false" ht="15" hidden="false" customHeight="false" outlineLevel="0" collapsed="false">
      <c r="M3143" s="2" t="str">
        <f aca="false">IF(C3143="","",IFERROR(INDEX($S$5:$S$304,MATCH(C3143,$R$5:$R$304,0))&amp;"","?"))</f>
        <v/>
      </c>
      <c r="N3143" s="2" t="str">
        <f aca="false"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 t="str">
        <f aca="false">IF(OR(F3143="",G3143=""),"",IF(G3143&lt;='RETRATO 2027'!$K$5,"CONCLUÍDA",IF(F3143&lt;='RETRATO 2027'!$K$5,"EM ANDAMENTO","A INICIAR")))</f>
        <v/>
      </c>
    </row>
    <row r="3144" customFormat="false" ht="15" hidden="false" customHeight="false" outlineLevel="0" collapsed="false">
      <c r="M3144" s="2" t="str">
        <f aca="false">IF(C3144="","",IFERROR(INDEX($S$5:$S$304,MATCH(C3144,$R$5:$R$304,0))&amp;"","?"))</f>
        <v/>
      </c>
      <c r="N3144" s="2" t="str">
        <f aca="false"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 t="str">
        <f aca="false">IF(OR(F3144="",G3144=""),"",IF(G3144&lt;='RETRATO 2027'!$K$5,"CONCLUÍDA",IF(F3144&lt;='RETRATO 2027'!$K$5,"EM ANDAMENTO","A INICIAR")))</f>
        <v/>
      </c>
    </row>
    <row r="3145" customFormat="false" ht="15" hidden="false" customHeight="false" outlineLevel="0" collapsed="false">
      <c r="M3145" s="2" t="str">
        <f aca="false">IF(C3145="","",IFERROR(INDEX($S$5:$S$304,MATCH(C3145,$R$5:$R$304,0))&amp;"","?"))</f>
        <v/>
      </c>
      <c r="N3145" s="2" t="str">
        <f aca="false"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 t="str">
        <f aca="false">IF(OR(F3145="",G3145=""),"",IF(G3145&lt;='RETRATO 2027'!$K$5,"CONCLUÍDA",IF(F3145&lt;='RETRATO 2027'!$K$5,"EM ANDAMENTO","A INICIAR")))</f>
        <v/>
      </c>
    </row>
    <row r="3146" customFormat="false" ht="15" hidden="false" customHeight="false" outlineLevel="0" collapsed="false">
      <c r="M3146" s="2" t="str">
        <f aca="false">IF(C3146="","",IFERROR(INDEX($S$5:$S$304,MATCH(C3146,$R$5:$R$304,0))&amp;"","?"))</f>
        <v/>
      </c>
      <c r="N3146" s="2" t="str">
        <f aca="false"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 t="str">
        <f aca="false">IF(OR(F3146="",G3146=""),"",IF(G3146&lt;='RETRATO 2027'!$K$5,"CONCLUÍDA",IF(F3146&lt;='RETRATO 2027'!$K$5,"EM ANDAMENTO","A INICIAR")))</f>
        <v/>
      </c>
    </row>
    <row r="3147" customFormat="false" ht="15" hidden="false" customHeight="false" outlineLevel="0" collapsed="false">
      <c r="M3147" s="2" t="str">
        <f aca="false">IF(C3147="","",IFERROR(INDEX($S$5:$S$304,MATCH(C3147,$R$5:$R$304,0))&amp;"","?"))</f>
        <v/>
      </c>
      <c r="N3147" s="2" t="str">
        <f aca="false"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 t="str">
        <f aca="false">IF(OR(F3147="",G3147=""),"",IF(G3147&lt;='RETRATO 2027'!$K$5,"CONCLUÍDA",IF(F3147&lt;='RETRATO 2027'!$K$5,"EM ANDAMENTO","A INICIAR")))</f>
        <v/>
      </c>
    </row>
    <row r="3148" customFormat="false" ht="15" hidden="false" customHeight="false" outlineLevel="0" collapsed="false">
      <c r="M3148" s="2" t="str">
        <f aca="false">IF(C3148="","",IFERROR(INDEX($S$5:$S$304,MATCH(C3148,$R$5:$R$304,0))&amp;"","?"))</f>
        <v/>
      </c>
      <c r="N3148" s="2" t="str">
        <f aca="false"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 t="str">
        <f aca="false">IF(OR(F3148="",G3148=""),"",IF(G3148&lt;='RETRATO 2027'!$K$5,"CONCLUÍDA",IF(F3148&lt;='RETRATO 2027'!$K$5,"EM ANDAMENTO","A INICIAR")))</f>
        <v/>
      </c>
    </row>
    <row r="3149" customFormat="false" ht="15" hidden="false" customHeight="false" outlineLevel="0" collapsed="false">
      <c r="M3149" s="2" t="str">
        <f aca="false">IF(C3149="","",IFERROR(INDEX($S$5:$S$304,MATCH(C3149,$R$5:$R$304,0))&amp;"","?"))</f>
        <v/>
      </c>
      <c r="N3149" s="2" t="str">
        <f aca="false"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 t="str">
        <f aca="false">IF(OR(F3149="",G3149=""),"",IF(G3149&lt;='RETRATO 2027'!$K$5,"CONCLUÍDA",IF(F3149&lt;='RETRATO 2027'!$K$5,"EM ANDAMENTO","A INICIAR")))</f>
        <v/>
      </c>
    </row>
    <row r="3150" customFormat="false" ht="15" hidden="false" customHeight="false" outlineLevel="0" collapsed="false">
      <c r="M3150" s="2" t="str">
        <f aca="false">IF(C3150="","",IFERROR(INDEX($S$5:$S$304,MATCH(C3150,$R$5:$R$304,0))&amp;"","?"))</f>
        <v/>
      </c>
      <c r="N3150" s="2" t="str">
        <f aca="false"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 t="str">
        <f aca="false">IF(OR(F3150="",G3150=""),"",IF(G3150&lt;='RETRATO 2027'!$K$5,"CONCLUÍDA",IF(F3150&lt;='RETRATO 2027'!$K$5,"EM ANDAMENTO","A INICIAR")))</f>
        <v/>
      </c>
    </row>
    <row r="3151" customFormat="false" ht="15" hidden="false" customHeight="false" outlineLevel="0" collapsed="false">
      <c r="M3151" s="2" t="str">
        <f aca="false">IF(C3151="","",IFERROR(INDEX($S$5:$S$304,MATCH(C3151,$R$5:$R$304,0))&amp;"","?"))</f>
        <v/>
      </c>
      <c r="N3151" s="2" t="str">
        <f aca="false"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 t="str">
        <f aca="false">IF(OR(F3151="",G3151=""),"",IF(G3151&lt;='RETRATO 2027'!$K$5,"CONCLUÍDA",IF(F3151&lt;='RETRATO 2027'!$K$5,"EM ANDAMENTO","A INICIAR")))</f>
        <v/>
      </c>
    </row>
    <row r="3152" customFormat="false" ht="15" hidden="false" customHeight="false" outlineLevel="0" collapsed="false">
      <c r="M3152" s="2" t="str">
        <f aca="false">IF(C3152="","",IFERROR(INDEX($S$5:$S$304,MATCH(C3152,$R$5:$R$304,0))&amp;"","?"))</f>
        <v/>
      </c>
      <c r="N3152" s="2" t="str">
        <f aca="false"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 t="str">
        <f aca="false">IF(OR(F3152="",G3152=""),"",IF(G3152&lt;='RETRATO 2027'!$K$5,"CONCLUÍDA",IF(F3152&lt;='RETRATO 2027'!$K$5,"EM ANDAMENTO","A INICIAR")))</f>
        <v/>
      </c>
    </row>
    <row r="3153" customFormat="false" ht="15" hidden="false" customHeight="false" outlineLevel="0" collapsed="false">
      <c r="M3153" s="2" t="str">
        <f aca="false">IF(C3153="","",IFERROR(INDEX($S$5:$S$304,MATCH(C3153,$R$5:$R$304,0))&amp;"","?"))</f>
        <v/>
      </c>
      <c r="N3153" s="2" t="str">
        <f aca="false"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 t="str">
        <f aca="false">IF(OR(F3153="",G3153=""),"",IF(G3153&lt;='RETRATO 2027'!$K$5,"CONCLUÍDA",IF(F3153&lt;='RETRATO 2027'!$K$5,"EM ANDAMENTO","A INICIAR")))</f>
        <v/>
      </c>
    </row>
    <row r="3154" customFormat="false" ht="15" hidden="false" customHeight="false" outlineLevel="0" collapsed="false">
      <c r="M3154" s="2" t="str">
        <f aca="false">IF(C3154="","",IFERROR(INDEX($S$5:$S$304,MATCH(C3154,$R$5:$R$304,0))&amp;"","?"))</f>
        <v/>
      </c>
      <c r="N3154" s="2" t="str">
        <f aca="false"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 t="str">
        <f aca="false">IF(OR(F3154="",G3154=""),"",IF(G3154&lt;='RETRATO 2027'!$K$5,"CONCLUÍDA",IF(F3154&lt;='RETRATO 2027'!$K$5,"EM ANDAMENTO","A INICIAR")))</f>
        <v/>
      </c>
    </row>
    <row r="3155" customFormat="false" ht="15" hidden="false" customHeight="false" outlineLevel="0" collapsed="false">
      <c r="M3155" s="2" t="str">
        <f aca="false">IF(C3155="","",IFERROR(INDEX($S$5:$S$304,MATCH(C3155,$R$5:$R$304,0))&amp;"","?"))</f>
        <v/>
      </c>
      <c r="N3155" s="2" t="str">
        <f aca="false"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 t="str">
        <f aca="false">IF(OR(F3155="",G3155=""),"",IF(G3155&lt;='RETRATO 2027'!$K$5,"CONCLUÍDA",IF(F3155&lt;='RETRATO 2027'!$K$5,"EM ANDAMENTO","A INICIAR")))</f>
        <v/>
      </c>
    </row>
    <row r="3156" customFormat="false" ht="15" hidden="false" customHeight="false" outlineLevel="0" collapsed="false">
      <c r="M3156" s="2" t="str">
        <f aca="false">IF(C3156="","",IFERROR(INDEX($S$5:$S$304,MATCH(C3156,$R$5:$R$304,0))&amp;"","?"))</f>
        <v/>
      </c>
      <c r="N3156" s="2" t="str">
        <f aca="false"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 t="str">
        <f aca="false">IF(OR(F3156="",G3156=""),"",IF(G3156&lt;='RETRATO 2027'!$K$5,"CONCLUÍDA",IF(F3156&lt;='RETRATO 2027'!$K$5,"EM ANDAMENTO","A INICIAR")))</f>
        <v/>
      </c>
    </row>
    <row r="3157" customFormat="false" ht="15" hidden="false" customHeight="false" outlineLevel="0" collapsed="false">
      <c r="M3157" s="2" t="str">
        <f aca="false">IF(C3157="","",IFERROR(INDEX($S$5:$S$304,MATCH(C3157,$R$5:$R$304,0))&amp;"","?"))</f>
        <v/>
      </c>
      <c r="N3157" s="2" t="str">
        <f aca="false"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 t="str">
        <f aca="false">IF(OR(F3157="",G3157=""),"",IF(G3157&lt;='RETRATO 2027'!$K$5,"CONCLUÍDA",IF(F3157&lt;='RETRATO 2027'!$K$5,"EM ANDAMENTO","A INICIAR")))</f>
        <v/>
      </c>
    </row>
    <row r="3158" customFormat="false" ht="15" hidden="false" customHeight="false" outlineLevel="0" collapsed="false">
      <c r="M3158" s="2" t="str">
        <f aca="false">IF(C3158="","",IFERROR(INDEX($S$5:$S$304,MATCH(C3158,$R$5:$R$304,0))&amp;"","?"))</f>
        <v/>
      </c>
      <c r="N3158" s="2" t="str">
        <f aca="false"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 t="str">
        <f aca="false">IF(OR(F3158="",G3158=""),"",IF(G3158&lt;='RETRATO 2027'!$K$5,"CONCLUÍDA",IF(F3158&lt;='RETRATO 2027'!$K$5,"EM ANDAMENTO","A INICIAR")))</f>
        <v/>
      </c>
    </row>
    <row r="3159" customFormat="false" ht="15" hidden="false" customHeight="false" outlineLevel="0" collapsed="false">
      <c r="M3159" s="2" t="str">
        <f aca="false">IF(C3159="","",IFERROR(INDEX($S$5:$S$304,MATCH(C3159,$R$5:$R$304,0))&amp;"","?"))</f>
        <v/>
      </c>
      <c r="N3159" s="2" t="str">
        <f aca="false"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 t="str">
        <f aca="false">IF(OR(F3159="",G3159=""),"",IF(G3159&lt;='RETRATO 2027'!$K$5,"CONCLUÍDA",IF(F3159&lt;='RETRATO 2027'!$K$5,"EM ANDAMENTO","A INICIAR")))</f>
        <v/>
      </c>
    </row>
    <row r="3160" customFormat="false" ht="15" hidden="false" customHeight="false" outlineLevel="0" collapsed="false">
      <c r="M3160" s="2" t="str">
        <f aca="false">IF(C3160="","",IFERROR(INDEX($S$5:$S$304,MATCH(C3160,$R$5:$R$304,0))&amp;"","?"))</f>
        <v/>
      </c>
      <c r="N3160" s="2" t="str">
        <f aca="false"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 t="str">
        <f aca="false">IF(OR(F3160="",G3160=""),"",IF(G3160&lt;='RETRATO 2027'!$K$5,"CONCLUÍDA",IF(F3160&lt;='RETRATO 2027'!$K$5,"EM ANDAMENTO","A INICIAR")))</f>
        <v/>
      </c>
    </row>
    <row r="3161" customFormat="false" ht="15" hidden="false" customHeight="false" outlineLevel="0" collapsed="false">
      <c r="M3161" s="2" t="str">
        <f aca="false">IF(C3161="","",IFERROR(INDEX($S$5:$S$304,MATCH(C3161,$R$5:$R$304,0))&amp;"","?"))</f>
        <v/>
      </c>
      <c r="N3161" s="2" t="str">
        <f aca="false"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 t="str">
        <f aca="false">IF(OR(F3161="",G3161=""),"",IF(G3161&lt;='RETRATO 2027'!$K$5,"CONCLUÍDA",IF(F3161&lt;='RETRATO 2027'!$K$5,"EM ANDAMENTO","A INICIAR")))</f>
        <v/>
      </c>
    </row>
    <row r="3162" customFormat="false" ht="15" hidden="false" customHeight="false" outlineLevel="0" collapsed="false">
      <c r="M3162" s="2" t="str">
        <f aca="false">IF(C3162="","",IFERROR(INDEX($S$5:$S$304,MATCH(C3162,$R$5:$R$304,0))&amp;"","?"))</f>
        <v/>
      </c>
      <c r="N3162" s="2" t="str">
        <f aca="false"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 t="str">
        <f aca="false">IF(OR(F3162="",G3162=""),"",IF(G3162&lt;='RETRATO 2027'!$K$5,"CONCLUÍDA",IF(F3162&lt;='RETRATO 2027'!$K$5,"EM ANDAMENTO","A INICIAR")))</f>
        <v/>
      </c>
    </row>
    <row r="3163" customFormat="false" ht="15" hidden="false" customHeight="false" outlineLevel="0" collapsed="false">
      <c r="M3163" s="2" t="str">
        <f aca="false">IF(C3163="","",IFERROR(INDEX($S$5:$S$304,MATCH(C3163,$R$5:$R$304,0))&amp;"","?"))</f>
        <v/>
      </c>
      <c r="N3163" s="2" t="str">
        <f aca="false"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 t="str">
        <f aca="false">IF(OR(F3163="",G3163=""),"",IF(G3163&lt;='RETRATO 2027'!$K$5,"CONCLUÍDA",IF(F3163&lt;='RETRATO 2027'!$K$5,"EM ANDAMENTO","A INICIAR")))</f>
        <v/>
      </c>
    </row>
    <row r="3164" customFormat="false" ht="15" hidden="false" customHeight="false" outlineLevel="0" collapsed="false">
      <c r="M3164" s="2" t="str">
        <f aca="false">IF(C3164="","",IFERROR(INDEX($S$5:$S$304,MATCH(C3164,$R$5:$R$304,0))&amp;"","?"))</f>
        <v/>
      </c>
      <c r="N3164" s="2" t="str">
        <f aca="false"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 t="str">
        <f aca="false">IF(OR(F3164="",G3164=""),"",IF(G3164&lt;='RETRATO 2027'!$K$5,"CONCLUÍDA",IF(F3164&lt;='RETRATO 2027'!$K$5,"EM ANDAMENTO","A INICIAR")))</f>
        <v/>
      </c>
    </row>
    <row r="3165" customFormat="false" ht="15" hidden="false" customHeight="false" outlineLevel="0" collapsed="false">
      <c r="M3165" s="2" t="str">
        <f aca="false">IF(C3165="","",IFERROR(INDEX($S$5:$S$304,MATCH(C3165,$R$5:$R$304,0))&amp;"","?"))</f>
        <v/>
      </c>
      <c r="N3165" s="2" t="str">
        <f aca="false"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 t="str">
        <f aca="false">IF(OR(F3165="",G3165=""),"",IF(G3165&lt;='RETRATO 2027'!$K$5,"CONCLUÍDA",IF(F3165&lt;='RETRATO 2027'!$K$5,"EM ANDAMENTO","A INICIAR")))</f>
        <v/>
      </c>
    </row>
    <row r="3166" customFormat="false" ht="15" hidden="false" customHeight="false" outlineLevel="0" collapsed="false">
      <c r="M3166" s="2" t="str">
        <f aca="false">IF(C3166="","",IFERROR(INDEX($S$5:$S$304,MATCH(C3166,$R$5:$R$304,0))&amp;"","?"))</f>
        <v/>
      </c>
      <c r="N3166" s="2" t="str">
        <f aca="false"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 t="str">
        <f aca="false">IF(OR(F3166="",G3166=""),"",IF(G3166&lt;='RETRATO 2027'!$K$5,"CONCLUÍDA",IF(F3166&lt;='RETRATO 2027'!$K$5,"EM ANDAMENTO","A INICIAR")))</f>
        <v/>
      </c>
    </row>
    <row r="3167" customFormat="false" ht="15" hidden="false" customHeight="false" outlineLevel="0" collapsed="false">
      <c r="M3167" s="2" t="str">
        <f aca="false">IF(C3167="","",IFERROR(INDEX($S$5:$S$304,MATCH(C3167,$R$5:$R$304,0))&amp;"","?"))</f>
        <v/>
      </c>
      <c r="N3167" s="2" t="str">
        <f aca="false"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 t="str">
        <f aca="false">IF(OR(F3167="",G3167=""),"",IF(G3167&lt;='RETRATO 2027'!$K$5,"CONCLUÍDA",IF(F3167&lt;='RETRATO 2027'!$K$5,"EM ANDAMENTO","A INICIAR")))</f>
        <v/>
      </c>
    </row>
    <row r="3168" customFormat="false" ht="15" hidden="false" customHeight="false" outlineLevel="0" collapsed="false">
      <c r="M3168" s="2" t="str">
        <f aca="false">IF(C3168="","",IFERROR(INDEX($S$5:$S$304,MATCH(C3168,$R$5:$R$304,0))&amp;"","?"))</f>
        <v/>
      </c>
      <c r="N3168" s="2" t="str">
        <f aca="false"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 t="str">
        <f aca="false">IF(OR(F3168="",G3168=""),"",IF(G3168&lt;='RETRATO 2027'!$K$5,"CONCLUÍDA",IF(F3168&lt;='RETRATO 2027'!$K$5,"EM ANDAMENTO","A INICIAR")))</f>
        <v/>
      </c>
    </row>
    <row r="3169" customFormat="false" ht="15" hidden="false" customHeight="false" outlineLevel="0" collapsed="false">
      <c r="M3169" s="2" t="str">
        <f aca="false">IF(C3169="","",IFERROR(INDEX($S$5:$S$304,MATCH(C3169,$R$5:$R$304,0))&amp;"","?"))</f>
        <v/>
      </c>
      <c r="N3169" s="2" t="str">
        <f aca="false"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 t="str">
        <f aca="false">IF(OR(F3169="",G3169=""),"",IF(G3169&lt;='RETRATO 2027'!$K$5,"CONCLUÍDA",IF(F3169&lt;='RETRATO 2027'!$K$5,"EM ANDAMENTO","A INICIAR")))</f>
        <v/>
      </c>
    </row>
    <row r="3170" customFormat="false" ht="15" hidden="false" customHeight="false" outlineLevel="0" collapsed="false">
      <c r="M3170" s="2" t="str">
        <f aca="false">IF(C3170="","",IFERROR(INDEX($S$5:$S$304,MATCH(C3170,$R$5:$R$304,0))&amp;"","?"))</f>
        <v/>
      </c>
      <c r="N3170" s="2" t="str">
        <f aca="false"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 t="str">
        <f aca="false">IF(OR(F3170="",G3170=""),"",IF(G3170&lt;='RETRATO 2027'!$K$5,"CONCLUÍDA",IF(F3170&lt;='RETRATO 2027'!$K$5,"EM ANDAMENTO","A INICIAR")))</f>
        <v/>
      </c>
    </row>
    <row r="3171" customFormat="false" ht="15" hidden="false" customHeight="false" outlineLevel="0" collapsed="false">
      <c r="M3171" s="2" t="str">
        <f aca="false">IF(C3171="","",IFERROR(INDEX($S$5:$S$304,MATCH(C3171,$R$5:$R$304,0))&amp;"","?"))</f>
        <v/>
      </c>
      <c r="N3171" s="2" t="str">
        <f aca="false"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 t="str">
        <f aca="false">IF(OR(F3171="",G3171=""),"",IF(G3171&lt;='RETRATO 2027'!$K$5,"CONCLUÍDA",IF(F3171&lt;='RETRATO 2027'!$K$5,"EM ANDAMENTO","A INICIAR")))</f>
        <v/>
      </c>
    </row>
    <row r="3172" customFormat="false" ht="15" hidden="false" customHeight="false" outlineLevel="0" collapsed="false">
      <c r="M3172" s="2" t="str">
        <f aca="false">IF(C3172="","",IFERROR(INDEX($S$5:$S$304,MATCH(C3172,$R$5:$R$304,0))&amp;"","?"))</f>
        <v/>
      </c>
      <c r="N3172" s="2" t="str">
        <f aca="false"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 t="str">
        <f aca="false">IF(OR(F3172="",G3172=""),"",IF(G3172&lt;='RETRATO 2027'!$K$5,"CONCLUÍDA",IF(F3172&lt;='RETRATO 2027'!$K$5,"EM ANDAMENTO","A INICIAR")))</f>
        <v/>
      </c>
    </row>
    <row r="3173" customFormat="false" ht="15" hidden="false" customHeight="false" outlineLevel="0" collapsed="false">
      <c r="M3173" s="2" t="str">
        <f aca="false">IF(C3173="","",IFERROR(INDEX($S$5:$S$304,MATCH(C3173,$R$5:$R$304,0))&amp;"","?"))</f>
        <v/>
      </c>
      <c r="N3173" s="2" t="str">
        <f aca="false"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 t="str">
        <f aca="false">IF(OR(F3173="",G3173=""),"",IF(G3173&lt;='RETRATO 2027'!$K$5,"CONCLUÍDA",IF(F3173&lt;='RETRATO 2027'!$K$5,"EM ANDAMENTO","A INICIAR")))</f>
        <v/>
      </c>
    </row>
    <row r="3174" customFormat="false" ht="15" hidden="false" customHeight="false" outlineLevel="0" collapsed="false">
      <c r="M3174" s="2" t="str">
        <f aca="false">IF(C3174="","",IFERROR(INDEX($S$5:$S$304,MATCH(C3174,$R$5:$R$304,0))&amp;"","?"))</f>
        <v/>
      </c>
      <c r="N3174" s="2" t="str">
        <f aca="false"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 t="str">
        <f aca="false">IF(OR(F3174="",G3174=""),"",IF(G3174&lt;='RETRATO 2027'!$K$5,"CONCLUÍDA",IF(F3174&lt;='RETRATO 2027'!$K$5,"EM ANDAMENTO","A INICIAR")))</f>
        <v/>
      </c>
    </row>
    <row r="3175" customFormat="false" ht="15" hidden="false" customHeight="false" outlineLevel="0" collapsed="false">
      <c r="M3175" s="2" t="str">
        <f aca="false">IF(C3175="","",IFERROR(INDEX($S$5:$S$304,MATCH(C3175,$R$5:$R$304,0))&amp;"","?"))</f>
        <v/>
      </c>
      <c r="N3175" s="2" t="str">
        <f aca="false"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 t="str">
        <f aca="false">IF(OR(F3175="",G3175=""),"",IF(G3175&lt;='RETRATO 2027'!$K$5,"CONCLUÍDA",IF(F3175&lt;='RETRATO 2027'!$K$5,"EM ANDAMENTO","A INICIAR")))</f>
        <v/>
      </c>
    </row>
    <row r="3176" customFormat="false" ht="15" hidden="false" customHeight="false" outlineLevel="0" collapsed="false">
      <c r="M3176" s="2" t="str">
        <f aca="false">IF(C3176="","",IFERROR(INDEX($S$5:$S$304,MATCH(C3176,$R$5:$R$304,0))&amp;"","?"))</f>
        <v/>
      </c>
      <c r="N3176" s="2" t="str">
        <f aca="false"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 t="str">
        <f aca="false">IF(OR(F3176="",G3176=""),"",IF(G3176&lt;='RETRATO 2027'!$K$5,"CONCLUÍDA",IF(F3176&lt;='RETRATO 2027'!$K$5,"EM ANDAMENTO","A INICIAR")))</f>
        <v/>
      </c>
    </row>
    <row r="3177" customFormat="false" ht="15" hidden="false" customHeight="false" outlineLevel="0" collapsed="false">
      <c r="M3177" s="2" t="str">
        <f aca="false">IF(C3177="","",IFERROR(INDEX($S$5:$S$304,MATCH(C3177,$R$5:$R$304,0))&amp;"","?"))</f>
        <v/>
      </c>
      <c r="N3177" s="2" t="str">
        <f aca="false"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 t="str">
        <f aca="false">IF(OR(F3177="",G3177=""),"",IF(G3177&lt;='RETRATO 2027'!$K$5,"CONCLUÍDA",IF(F3177&lt;='RETRATO 2027'!$K$5,"EM ANDAMENTO","A INICIAR")))</f>
        <v/>
      </c>
    </row>
    <row r="3178" customFormat="false" ht="15" hidden="false" customHeight="false" outlineLevel="0" collapsed="false">
      <c r="M3178" s="2" t="str">
        <f aca="false">IF(C3178="","",IFERROR(INDEX($S$5:$S$304,MATCH(C3178,$R$5:$R$304,0))&amp;"","?"))</f>
        <v/>
      </c>
      <c r="N3178" s="2" t="str">
        <f aca="false"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 t="str">
        <f aca="false">IF(OR(F3178="",G3178=""),"",IF(G3178&lt;='RETRATO 2027'!$K$5,"CONCLUÍDA",IF(F3178&lt;='RETRATO 2027'!$K$5,"EM ANDAMENTO","A INICIAR")))</f>
        <v/>
      </c>
    </row>
    <row r="3179" customFormat="false" ht="15" hidden="false" customHeight="false" outlineLevel="0" collapsed="false">
      <c r="M3179" s="2" t="str">
        <f aca="false">IF(C3179="","",IFERROR(INDEX($S$5:$S$304,MATCH(C3179,$R$5:$R$304,0))&amp;"","?"))</f>
        <v/>
      </c>
      <c r="N3179" s="2" t="str">
        <f aca="false"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 t="str">
        <f aca="false">IF(OR(F3179="",G3179=""),"",IF(G3179&lt;='RETRATO 2027'!$K$5,"CONCLUÍDA",IF(F3179&lt;='RETRATO 2027'!$K$5,"EM ANDAMENTO","A INICIAR")))</f>
        <v/>
      </c>
    </row>
    <row r="3180" customFormat="false" ht="15" hidden="false" customHeight="false" outlineLevel="0" collapsed="false">
      <c r="M3180" s="2" t="str">
        <f aca="false">IF(C3180="","",IFERROR(INDEX($S$5:$S$304,MATCH(C3180,$R$5:$R$304,0))&amp;"","?"))</f>
        <v/>
      </c>
      <c r="N3180" s="2" t="str">
        <f aca="false"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 t="str">
        <f aca="false">IF(OR(F3180="",G3180=""),"",IF(G3180&lt;='RETRATO 2027'!$K$5,"CONCLUÍDA",IF(F3180&lt;='RETRATO 2027'!$K$5,"EM ANDAMENTO","A INICIAR")))</f>
        <v/>
      </c>
    </row>
    <row r="3181" customFormat="false" ht="15" hidden="false" customHeight="false" outlineLevel="0" collapsed="false">
      <c r="M3181" s="2" t="str">
        <f aca="false">IF(C3181="","",IFERROR(INDEX($S$5:$S$304,MATCH(C3181,$R$5:$R$304,0))&amp;"","?"))</f>
        <v/>
      </c>
      <c r="N3181" s="2" t="str">
        <f aca="false"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 t="str">
        <f aca="false">IF(OR(F3181="",G3181=""),"",IF(G3181&lt;='RETRATO 2027'!$K$5,"CONCLUÍDA",IF(F3181&lt;='RETRATO 2027'!$K$5,"EM ANDAMENTO","A INICIAR")))</f>
        <v/>
      </c>
    </row>
    <row r="3182" customFormat="false" ht="15" hidden="false" customHeight="false" outlineLevel="0" collapsed="false">
      <c r="M3182" s="2" t="str">
        <f aca="false">IF(C3182="","",IFERROR(INDEX($S$5:$S$304,MATCH(C3182,$R$5:$R$304,0))&amp;"","?"))</f>
        <v/>
      </c>
      <c r="N3182" s="2" t="str">
        <f aca="false"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 t="str">
        <f aca="false">IF(OR(F3182="",G3182=""),"",IF(G3182&lt;='RETRATO 2027'!$K$5,"CONCLUÍDA",IF(F3182&lt;='RETRATO 2027'!$K$5,"EM ANDAMENTO","A INICIAR")))</f>
        <v/>
      </c>
    </row>
    <row r="3183" customFormat="false" ht="15" hidden="false" customHeight="false" outlineLevel="0" collapsed="false">
      <c r="M3183" s="2" t="str">
        <f aca="false">IF(C3183="","",IFERROR(INDEX($S$5:$S$304,MATCH(C3183,$R$5:$R$304,0))&amp;"","?"))</f>
        <v/>
      </c>
      <c r="N3183" s="2" t="str">
        <f aca="false"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 t="str">
        <f aca="false">IF(OR(F3183="",G3183=""),"",IF(G3183&lt;='RETRATO 2027'!$K$5,"CONCLUÍDA",IF(F3183&lt;='RETRATO 2027'!$K$5,"EM ANDAMENTO","A INICIAR")))</f>
        <v/>
      </c>
    </row>
    <row r="3184" customFormat="false" ht="15" hidden="false" customHeight="false" outlineLevel="0" collapsed="false">
      <c r="M3184" s="2" t="str">
        <f aca="false">IF(C3184="","",IFERROR(INDEX($S$5:$S$304,MATCH(C3184,$R$5:$R$304,0))&amp;"","?"))</f>
        <v/>
      </c>
      <c r="N3184" s="2" t="str">
        <f aca="false"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 t="str">
        <f aca="false">IF(OR(F3184="",G3184=""),"",IF(G3184&lt;='RETRATO 2027'!$K$5,"CONCLUÍDA",IF(F3184&lt;='RETRATO 2027'!$K$5,"EM ANDAMENTO","A INICIAR")))</f>
        <v/>
      </c>
    </row>
    <row r="3185" customFormat="false" ht="15" hidden="false" customHeight="false" outlineLevel="0" collapsed="false">
      <c r="M3185" s="2" t="str">
        <f aca="false">IF(C3185="","",IFERROR(INDEX($S$5:$S$304,MATCH(C3185,$R$5:$R$304,0))&amp;"","?"))</f>
        <v/>
      </c>
      <c r="N3185" s="2" t="str">
        <f aca="false"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 t="str">
        <f aca="false">IF(OR(F3185="",G3185=""),"",IF(G3185&lt;='RETRATO 2027'!$K$5,"CONCLUÍDA",IF(F3185&lt;='RETRATO 2027'!$K$5,"EM ANDAMENTO","A INICIAR")))</f>
        <v/>
      </c>
    </row>
    <row r="3186" customFormat="false" ht="15" hidden="false" customHeight="false" outlineLevel="0" collapsed="false">
      <c r="M3186" s="2" t="str">
        <f aca="false">IF(C3186="","",IFERROR(INDEX($S$5:$S$304,MATCH(C3186,$R$5:$R$304,0))&amp;"","?"))</f>
        <v/>
      </c>
      <c r="N3186" s="2" t="str">
        <f aca="false"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 t="str">
        <f aca="false">IF(OR(F3186="",G3186=""),"",IF(G3186&lt;='RETRATO 2027'!$K$5,"CONCLUÍDA",IF(F3186&lt;='RETRATO 2027'!$K$5,"EM ANDAMENTO","A INICIAR")))</f>
        <v/>
      </c>
    </row>
    <row r="3187" customFormat="false" ht="15" hidden="false" customHeight="false" outlineLevel="0" collapsed="false">
      <c r="M3187" s="2" t="str">
        <f aca="false">IF(C3187="","",IFERROR(INDEX($S$5:$S$304,MATCH(C3187,$R$5:$R$304,0))&amp;"","?"))</f>
        <v/>
      </c>
      <c r="N3187" s="2" t="str">
        <f aca="false"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 t="str">
        <f aca="false">IF(OR(F3187="",G3187=""),"",IF(G3187&lt;='RETRATO 2027'!$K$5,"CONCLUÍDA",IF(F3187&lt;='RETRATO 2027'!$K$5,"EM ANDAMENTO","A INICIAR")))</f>
        <v/>
      </c>
    </row>
    <row r="3188" customFormat="false" ht="15" hidden="false" customHeight="false" outlineLevel="0" collapsed="false">
      <c r="M3188" s="2" t="str">
        <f aca="false">IF(C3188="","",IFERROR(INDEX($S$5:$S$304,MATCH(C3188,$R$5:$R$304,0))&amp;"","?"))</f>
        <v/>
      </c>
      <c r="N3188" s="2" t="str">
        <f aca="false"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 t="str">
        <f aca="false">IF(OR(F3188="",G3188=""),"",IF(G3188&lt;='RETRATO 2027'!$K$5,"CONCLUÍDA",IF(F3188&lt;='RETRATO 2027'!$K$5,"EM ANDAMENTO","A INICIAR")))</f>
        <v/>
      </c>
    </row>
    <row r="3189" customFormat="false" ht="15" hidden="false" customHeight="false" outlineLevel="0" collapsed="false">
      <c r="M3189" s="2" t="str">
        <f aca="false">IF(C3189="","",IFERROR(INDEX($S$5:$S$304,MATCH(C3189,$R$5:$R$304,0))&amp;"","?"))</f>
        <v/>
      </c>
      <c r="N3189" s="2" t="str">
        <f aca="false"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 t="str">
        <f aca="false">IF(OR(F3189="",G3189=""),"",IF(G3189&lt;='RETRATO 2027'!$K$5,"CONCLUÍDA",IF(F3189&lt;='RETRATO 2027'!$K$5,"EM ANDAMENTO","A INICIAR")))</f>
        <v/>
      </c>
    </row>
    <row r="3190" customFormat="false" ht="15" hidden="false" customHeight="false" outlineLevel="0" collapsed="false">
      <c r="M3190" s="2" t="str">
        <f aca="false">IF(C3190="","",IFERROR(INDEX($S$5:$S$304,MATCH(C3190,$R$5:$R$304,0))&amp;"","?"))</f>
        <v/>
      </c>
      <c r="N3190" s="2" t="str">
        <f aca="false"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 t="str">
        <f aca="false">IF(OR(F3190="",G3190=""),"",IF(G3190&lt;='RETRATO 2027'!$K$5,"CONCLUÍDA",IF(F3190&lt;='RETRATO 2027'!$K$5,"EM ANDAMENTO","A INICIAR")))</f>
        <v/>
      </c>
    </row>
    <row r="3191" customFormat="false" ht="15" hidden="false" customHeight="false" outlineLevel="0" collapsed="false">
      <c r="M3191" s="2" t="str">
        <f aca="false">IF(C3191="","",IFERROR(INDEX($S$5:$S$304,MATCH(C3191,$R$5:$R$304,0))&amp;"","?"))</f>
        <v/>
      </c>
      <c r="N3191" s="2" t="str">
        <f aca="false"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 t="str">
        <f aca="false">IF(OR(F3191="",G3191=""),"",IF(G3191&lt;='RETRATO 2027'!$K$5,"CONCLUÍDA",IF(F3191&lt;='RETRATO 2027'!$K$5,"EM ANDAMENTO","A INICIAR")))</f>
        <v/>
      </c>
    </row>
    <row r="3192" customFormat="false" ht="15" hidden="false" customHeight="false" outlineLevel="0" collapsed="false">
      <c r="M3192" s="2" t="str">
        <f aca="false">IF(C3192="","",IFERROR(INDEX($S$5:$S$304,MATCH(C3192,$R$5:$R$304,0))&amp;"","?"))</f>
        <v/>
      </c>
      <c r="N3192" s="2" t="str">
        <f aca="false"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 t="str">
        <f aca="false">IF(OR(F3192="",G3192=""),"",IF(G3192&lt;='RETRATO 2027'!$K$5,"CONCLUÍDA",IF(F3192&lt;='RETRATO 2027'!$K$5,"EM ANDAMENTO","A INICIAR")))</f>
        <v/>
      </c>
    </row>
    <row r="3193" customFormat="false" ht="15" hidden="false" customHeight="false" outlineLevel="0" collapsed="false">
      <c r="M3193" s="2" t="str">
        <f aca="false">IF(C3193="","",IFERROR(INDEX($S$5:$S$304,MATCH(C3193,$R$5:$R$304,0))&amp;"","?"))</f>
        <v/>
      </c>
      <c r="N3193" s="2" t="str">
        <f aca="false"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 t="str">
        <f aca="false">IF(OR(F3193="",G3193=""),"",IF(G3193&lt;='RETRATO 2027'!$K$5,"CONCLUÍDA",IF(F3193&lt;='RETRATO 2027'!$K$5,"EM ANDAMENTO","A INICIAR")))</f>
        <v/>
      </c>
    </row>
    <row r="3194" customFormat="false" ht="15" hidden="false" customHeight="false" outlineLevel="0" collapsed="false">
      <c r="M3194" s="2" t="str">
        <f aca="false">IF(C3194="","",IFERROR(INDEX($S$5:$S$304,MATCH(C3194,$R$5:$R$304,0))&amp;"","?"))</f>
        <v/>
      </c>
      <c r="N3194" s="2" t="str">
        <f aca="false"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 t="str">
        <f aca="false">IF(OR(F3194="",G3194=""),"",IF(G3194&lt;='RETRATO 2027'!$K$5,"CONCLUÍDA",IF(F3194&lt;='RETRATO 2027'!$K$5,"EM ANDAMENTO","A INICIAR")))</f>
        <v/>
      </c>
    </row>
    <row r="3195" customFormat="false" ht="15" hidden="false" customHeight="false" outlineLevel="0" collapsed="false">
      <c r="M3195" s="2" t="str">
        <f aca="false">IF(C3195="","",IFERROR(INDEX($S$5:$S$304,MATCH(C3195,$R$5:$R$304,0))&amp;"","?"))</f>
        <v/>
      </c>
      <c r="N3195" s="2" t="str">
        <f aca="false"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 t="str">
        <f aca="false">IF(OR(F3195="",G3195=""),"",IF(G3195&lt;='RETRATO 2027'!$K$5,"CONCLUÍDA",IF(F3195&lt;='RETRATO 2027'!$K$5,"EM ANDAMENTO","A INICIAR")))</f>
        <v/>
      </c>
    </row>
    <row r="3196" customFormat="false" ht="15" hidden="false" customHeight="false" outlineLevel="0" collapsed="false">
      <c r="M3196" s="2" t="str">
        <f aca="false">IF(C3196="","",IFERROR(INDEX($S$5:$S$304,MATCH(C3196,$R$5:$R$304,0))&amp;"","?"))</f>
        <v/>
      </c>
      <c r="N3196" s="2" t="str">
        <f aca="false"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 t="str">
        <f aca="false">IF(OR(F3196="",G3196=""),"",IF(G3196&lt;='RETRATO 2027'!$K$5,"CONCLUÍDA",IF(F3196&lt;='RETRATO 2027'!$K$5,"EM ANDAMENTO","A INICIAR")))</f>
        <v/>
      </c>
    </row>
    <row r="3197" customFormat="false" ht="15" hidden="false" customHeight="false" outlineLevel="0" collapsed="false">
      <c r="M3197" s="2" t="str">
        <f aca="false">IF(C3197="","",IFERROR(INDEX($S$5:$S$304,MATCH(C3197,$R$5:$R$304,0))&amp;"","?"))</f>
        <v/>
      </c>
      <c r="N3197" s="2" t="str">
        <f aca="false"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 t="str">
        <f aca="false">IF(OR(F3197="",G3197=""),"",IF(G3197&lt;='RETRATO 2027'!$K$5,"CONCLUÍDA",IF(F3197&lt;='RETRATO 2027'!$K$5,"EM ANDAMENTO","A INICIAR")))</f>
        <v/>
      </c>
    </row>
    <row r="3198" customFormat="false" ht="15" hidden="false" customHeight="false" outlineLevel="0" collapsed="false">
      <c r="M3198" s="2" t="str">
        <f aca="false">IF(C3198="","",IFERROR(INDEX($S$5:$S$304,MATCH(C3198,$R$5:$R$304,0))&amp;"","?"))</f>
        <v/>
      </c>
      <c r="N3198" s="2" t="str">
        <f aca="false"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 t="str">
        <f aca="false">IF(OR(F3198="",G3198=""),"",IF(G3198&lt;='RETRATO 2027'!$K$5,"CONCLUÍDA",IF(F3198&lt;='RETRATO 2027'!$K$5,"EM ANDAMENTO","A INICIAR")))</f>
        <v/>
      </c>
    </row>
    <row r="3199" customFormat="false" ht="15" hidden="false" customHeight="false" outlineLevel="0" collapsed="false">
      <c r="M3199" s="2" t="str">
        <f aca="false">IF(C3199="","",IFERROR(INDEX($S$5:$S$304,MATCH(C3199,$R$5:$R$304,0))&amp;"","?"))</f>
        <v/>
      </c>
      <c r="N3199" s="2" t="str">
        <f aca="false"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 t="str">
        <f aca="false">IF(OR(F3199="",G3199=""),"",IF(G3199&lt;='RETRATO 2027'!$K$5,"CONCLUÍDA",IF(F3199&lt;='RETRATO 2027'!$K$5,"EM ANDAMENTO","A INICIAR")))</f>
        <v/>
      </c>
    </row>
    <row r="3200" customFormat="false" ht="15" hidden="false" customHeight="false" outlineLevel="0" collapsed="false">
      <c r="M3200" s="2" t="str">
        <f aca="false">IF(C3200="","",IFERROR(INDEX($S$5:$S$304,MATCH(C3200,$R$5:$R$304,0))&amp;"","?"))</f>
        <v/>
      </c>
      <c r="N3200" s="2" t="str">
        <f aca="false"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 t="str">
        <f aca="false">IF(OR(F3200="",G3200=""),"",IF(G3200&lt;='RETRATO 2027'!$K$5,"CONCLUÍDA",IF(F3200&lt;='RETRATO 2027'!$K$5,"EM ANDAMENTO","A INICIAR")))</f>
        <v/>
      </c>
    </row>
    <row r="3201" customFormat="false" ht="15" hidden="false" customHeight="false" outlineLevel="0" collapsed="false">
      <c r="M3201" s="2" t="str">
        <f aca="false">IF(C3201="","",IFERROR(INDEX($S$5:$S$304,MATCH(C3201,$R$5:$R$304,0))&amp;"","?"))</f>
        <v/>
      </c>
      <c r="N3201" s="2" t="str">
        <f aca="false"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 t="str">
        <f aca="false">IF(OR(F3201="",G3201=""),"",IF(G3201&lt;='RETRATO 2027'!$K$5,"CONCLUÍDA",IF(F3201&lt;='RETRATO 2027'!$K$5,"EM ANDAMENTO","A INICIAR")))</f>
        <v/>
      </c>
    </row>
    <row r="3202" customFormat="false" ht="15" hidden="false" customHeight="false" outlineLevel="0" collapsed="false">
      <c r="M3202" s="2" t="str">
        <f aca="false">IF(C3202="","",IFERROR(INDEX($S$5:$S$304,MATCH(C3202,$R$5:$R$304,0))&amp;"","?"))</f>
        <v/>
      </c>
      <c r="N3202" s="2" t="str">
        <f aca="false"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 t="str">
        <f aca="false">IF(OR(F3202="",G3202=""),"",IF(G3202&lt;='RETRATO 2027'!$K$5,"CONCLUÍDA",IF(F3202&lt;='RETRATO 2027'!$K$5,"EM ANDAMENTO","A INICIAR")))</f>
        <v/>
      </c>
    </row>
    <row r="3203" customFormat="false" ht="15" hidden="false" customHeight="false" outlineLevel="0" collapsed="false">
      <c r="M3203" s="2" t="str">
        <f aca="false">IF(C3203="","",IFERROR(INDEX($S$5:$S$304,MATCH(C3203,$R$5:$R$304,0))&amp;"","?"))</f>
        <v/>
      </c>
      <c r="N3203" s="2" t="str">
        <f aca="false"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 t="str">
        <f aca="false">IF(OR(F3203="",G3203=""),"",IF(G3203&lt;='RETRATO 2027'!$K$5,"CONCLUÍDA",IF(F3203&lt;='RETRATO 2027'!$K$5,"EM ANDAMENTO","A INICIAR")))</f>
        <v/>
      </c>
    </row>
    <row r="3204" customFormat="false" ht="15" hidden="false" customHeight="false" outlineLevel="0" collapsed="false">
      <c r="M3204" s="2" t="str">
        <f aca="false">IF(C3204="","",IFERROR(INDEX($S$5:$S$304,MATCH(C3204,$R$5:$R$304,0))&amp;"","?"))</f>
        <v/>
      </c>
      <c r="N3204" s="2" t="str">
        <f aca="false"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 t="str">
        <f aca="false">IF(OR(F3204="",G3204=""),"",IF(G3204&lt;='RETRATO 2027'!$K$5,"CONCLUÍDA",IF(F3204&lt;='RETRATO 2027'!$K$5,"EM ANDAMENTO","A INICIAR")))</f>
        <v/>
      </c>
    </row>
    <row r="3205" customFormat="false" ht="15" hidden="false" customHeight="false" outlineLevel="0" collapsed="false">
      <c r="M3205" s="2" t="str">
        <f aca="false">IF(C3205="","",IFERROR(INDEX($S$5:$S$304,MATCH(C3205,$R$5:$R$304,0))&amp;"","?"))</f>
        <v/>
      </c>
      <c r="N3205" s="2" t="str">
        <f aca="false"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 t="str">
        <f aca="false">IF(OR(F3205="",G3205=""),"",IF(G3205&lt;='RETRATO 2027'!$K$5,"CONCLUÍDA",IF(F3205&lt;='RETRATO 2027'!$K$5,"EM ANDAMENTO","A INICIAR")))</f>
        <v/>
      </c>
    </row>
    <row r="3206" customFormat="false" ht="15" hidden="false" customHeight="false" outlineLevel="0" collapsed="false">
      <c r="M3206" s="2" t="str">
        <f aca="false">IF(C3206="","",IFERROR(INDEX($S$5:$S$304,MATCH(C3206,$R$5:$R$304,0))&amp;"","?"))</f>
        <v/>
      </c>
      <c r="N3206" s="2" t="str">
        <f aca="false"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 t="str">
        <f aca="false">IF(OR(F3206="",G3206=""),"",IF(G3206&lt;='RETRATO 2027'!$K$5,"CONCLUÍDA",IF(F3206&lt;='RETRATO 2027'!$K$5,"EM ANDAMENTO","A INICIAR")))</f>
        <v/>
      </c>
    </row>
    <row r="3207" customFormat="false" ht="15" hidden="false" customHeight="false" outlineLevel="0" collapsed="false">
      <c r="M3207" s="2" t="str">
        <f aca="false">IF(C3207="","",IFERROR(INDEX($S$5:$S$304,MATCH(C3207,$R$5:$R$304,0))&amp;"","?"))</f>
        <v/>
      </c>
      <c r="N3207" s="2" t="str">
        <f aca="false"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 t="str">
        <f aca="false">IF(OR(F3207="",G3207=""),"",IF(G3207&lt;='RETRATO 2027'!$K$5,"CONCLUÍDA",IF(F3207&lt;='RETRATO 2027'!$K$5,"EM ANDAMENTO","A INICIAR")))</f>
        <v/>
      </c>
    </row>
    <row r="3208" customFormat="false" ht="15" hidden="false" customHeight="false" outlineLevel="0" collapsed="false">
      <c r="M3208" s="2" t="str">
        <f aca="false">IF(C3208="","",IFERROR(INDEX($S$5:$S$304,MATCH(C3208,$R$5:$R$304,0))&amp;"","?"))</f>
        <v/>
      </c>
      <c r="N3208" s="2" t="str">
        <f aca="false"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 t="str">
        <f aca="false">IF(OR(F3208="",G3208=""),"",IF(G3208&lt;='RETRATO 2027'!$K$5,"CONCLUÍDA",IF(F3208&lt;='RETRATO 2027'!$K$5,"EM ANDAMENTO","A INICIAR")))</f>
        <v/>
      </c>
    </row>
    <row r="3209" customFormat="false" ht="15" hidden="false" customHeight="false" outlineLevel="0" collapsed="false">
      <c r="M3209" s="2" t="str">
        <f aca="false">IF(C3209="","",IFERROR(INDEX($S$5:$S$304,MATCH(C3209,$R$5:$R$304,0))&amp;"","?"))</f>
        <v/>
      </c>
      <c r="N3209" s="2" t="str">
        <f aca="false"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 t="str">
        <f aca="false">IF(OR(F3209="",G3209=""),"",IF(G3209&lt;='RETRATO 2027'!$K$5,"CONCLUÍDA",IF(F3209&lt;='RETRATO 2027'!$K$5,"EM ANDAMENTO","A INICIAR")))</f>
        <v/>
      </c>
    </row>
    <row r="3210" customFormat="false" ht="15" hidden="false" customHeight="false" outlineLevel="0" collapsed="false">
      <c r="M3210" s="2" t="str">
        <f aca="false">IF(C3210="","",IFERROR(INDEX($S$5:$S$304,MATCH(C3210,$R$5:$R$304,0))&amp;"","?"))</f>
        <v/>
      </c>
      <c r="N3210" s="2" t="str">
        <f aca="false"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 t="str">
        <f aca="false">IF(OR(F3210="",G3210=""),"",IF(G3210&lt;='RETRATO 2027'!$K$5,"CONCLUÍDA",IF(F3210&lt;='RETRATO 2027'!$K$5,"EM ANDAMENTO","A INICIAR")))</f>
        <v/>
      </c>
    </row>
    <row r="3211" customFormat="false" ht="15" hidden="false" customHeight="false" outlineLevel="0" collapsed="false">
      <c r="M3211" s="2" t="str">
        <f aca="false">IF(C3211="","",IFERROR(INDEX($S$5:$S$304,MATCH(C3211,$R$5:$R$304,0))&amp;"","?"))</f>
        <v/>
      </c>
      <c r="N3211" s="2" t="str">
        <f aca="false"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 t="str">
        <f aca="false">IF(OR(F3211="",G3211=""),"",IF(G3211&lt;='RETRATO 2027'!$K$5,"CONCLUÍDA",IF(F3211&lt;='RETRATO 2027'!$K$5,"EM ANDAMENTO","A INICIAR")))</f>
        <v/>
      </c>
    </row>
    <row r="3212" customFormat="false" ht="15" hidden="false" customHeight="false" outlineLevel="0" collapsed="false">
      <c r="M3212" s="2" t="str">
        <f aca="false">IF(C3212="","",IFERROR(INDEX($S$5:$S$304,MATCH(C3212,$R$5:$R$304,0))&amp;"","?"))</f>
        <v/>
      </c>
      <c r="N3212" s="2" t="str">
        <f aca="false"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 t="str">
        <f aca="false">IF(OR(F3212="",G3212=""),"",IF(G3212&lt;='RETRATO 2027'!$K$5,"CONCLUÍDA",IF(F3212&lt;='RETRATO 2027'!$K$5,"EM ANDAMENTO","A INICIAR")))</f>
        <v/>
      </c>
    </row>
    <row r="3213" customFormat="false" ht="15" hidden="false" customHeight="false" outlineLevel="0" collapsed="false">
      <c r="M3213" s="2" t="str">
        <f aca="false">IF(C3213="","",IFERROR(INDEX($S$5:$S$304,MATCH(C3213,$R$5:$R$304,0))&amp;"","?"))</f>
        <v/>
      </c>
      <c r="N3213" s="2" t="str">
        <f aca="false"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 t="str">
        <f aca="false">IF(OR(F3213="",G3213=""),"",IF(G3213&lt;='RETRATO 2027'!$K$5,"CONCLUÍDA",IF(F3213&lt;='RETRATO 2027'!$K$5,"EM ANDAMENTO","A INICIAR")))</f>
        <v/>
      </c>
    </row>
    <row r="3214" customFormat="false" ht="15" hidden="false" customHeight="false" outlineLevel="0" collapsed="false">
      <c r="M3214" s="2" t="str">
        <f aca="false">IF(C3214="","",IFERROR(INDEX($S$5:$S$304,MATCH(C3214,$R$5:$R$304,0))&amp;"","?"))</f>
        <v/>
      </c>
      <c r="N3214" s="2" t="str">
        <f aca="false"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 t="str">
        <f aca="false">IF(OR(F3214="",G3214=""),"",IF(G3214&lt;='RETRATO 2027'!$K$5,"CONCLUÍDA",IF(F3214&lt;='RETRATO 2027'!$K$5,"EM ANDAMENTO","A INICIAR")))</f>
        <v/>
      </c>
    </row>
    <row r="3215" customFormat="false" ht="15" hidden="false" customHeight="false" outlineLevel="0" collapsed="false">
      <c r="M3215" s="2" t="str">
        <f aca="false">IF(C3215="","",IFERROR(INDEX($S$5:$S$304,MATCH(C3215,$R$5:$R$304,0))&amp;"","?"))</f>
        <v/>
      </c>
      <c r="N3215" s="2" t="str">
        <f aca="false"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 t="str">
        <f aca="false">IF(OR(F3215="",G3215=""),"",IF(G3215&lt;='RETRATO 2027'!$K$5,"CONCLUÍDA",IF(F3215&lt;='RETRATO 2027'!$K$5,"EM ANDAMENTO","A INICIAR")))</f>
        <v/>
      </c>
    </row>
    <row r="3216" customFormat="false" ht="15" hidden="false" customHeight="false" outlineLevel="0" collapsed="false">
      <c r="M3216" s="2" t="str">
        <f aca="false">IF(C3216="","",IFERROR(INDEX($S$5:$S$304,MATCH(C3216,$R$5:$R$304,0))&amp;"","?"))</f>
        <v/>
      </c>
      <c r="N3216" s="2" t="str">
        <f aca="false"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 t="str">
        <f aca="false">IF(OR(F3216="",G3216=""),"",IF(G3216&lt;='RETRATO 2027'!$K$5,"CONCLUÍDA",IF(F3216&lt;='RETRATO 2027'!$K$5,"EM ANDAMENTO","A INICIAR")))</f>
        <v/>
      </c>
    </row>
    <row r="3217" customFormat="false" ht="15" hidden="false" customHeight="false" outlineLevel="0" collapsed="false">
      <c r="M3217" s="2" t="str">
        <f aca="false">IF(C3217="","",IFERROR(INDEX($S$5:$S$304,MATCH(C3217,$R$5:$R$304,0))&amp;"","?"))</f>
        <v/>
      </c>
      <c r="N3217" s="2" t="str">
        <f aca="false"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 t="str">
        <f aca="false">IF(OR(F3217="",G3217=""),"",IF(G3217&lt;='RETRATO 2027'!$K$5,"CONCLUÍDA",IF(F3217&lt;='RETRATO 2027'!$K$5,"EM ANDAMENTO","A INICIAR")))</f>
        <v/>
      </c>
    </row>
    <row r="3218" customFormat="false" ht="15" hidden="false" customHeight="false" outlineLevel="0" collapsed="false">
      <c r="M3218" s="2" t="str">
        <f aca="false">IF(C3218="","",IFERROR(INDEX($S$5:$S$304,MATCH(C3218,$R$5:$R$304,0))&amp;"","?"))</f>
        <v/>
      </c>
      <c r="N3218" s="2" t="str">
        <f aca="false"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 t="str">
        <f aca="false">IF(OR(F3218="",G3218=""),"",IF(G3218&lt;='RETRATO 2027'!$K$5,"CONCLUÍDA",IF(F3218&lt;='RETRATO 2027'!$K$5,"EM ANDAMENTO","A INICIAR")))</f>
        <v/>
      </c>
    </row>
    <row r="3219" customFormat="false" ht="15" hidden="false" customHeight="false" outlineLevel="0" collapsed="false">
      <c r="M3219" s="2" t="str">
        <f aca="false">IF(C3219="","",IFERROR(INDEX($S$5:$S$304,MATCH(C3219,$R$5:$R$304,0))&amp;"","?"))</f>
        <v/>
      </c>
      <c r="N3219" s="2" t="str">
        <f aca="false"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 t="str">
        <f aca="false">IF(OR(F3219="",G3219=""),"",IF(G3219&lt;='RETRATO 2027'!$K$5,"CONCLUÍDA",IF(F3219&lt;='RETRATO 2027'!$K$5,"EM ANDAMENTO","A INICIAR")))</f>
        <v/>
      </c>
    </row>
    <row r="3220" customFormat="false" ht="15" hidden="false" customHeight="false" outlineLevel="0" collapsed="false">
      <c r="M3220" s="2" t="str">
        <f aca="false">IF(C3220="","",IFERROR(INDEX($S$5:$S$304,MATCH(C3220,$R$5:$R$304,0))&amp;"","?"))</f>
        <v/>
      </c>
      <c r="N3220" s="2" t="str">
        <f aca="false"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 t="str">
        <f aca="false">IF(OR(F3220="",G3220=""),"",IF(G3220&lt;='RETRATO 2027'!$K$5,"CONCLUÍDA",IF(F3220&lt;='RETRATO 2027'!$K$5,"EM ANDAMENTO","A INICIAR")))</f>
        <v/>
      </c>
    </row>
    <row r="3221" customFormat="false" ht="15" hidden="false" customHeight="false" outlineLevel="0" collapsed="false">
      <c r="M3221" s="2" t="str">
        <f aca="false">IF(C3221="","",IFERROR(INDEX($S$5:$S$304,MATCH(C3221,$R$5:$R$304,0))&amp;"","?"))</f>
        <v/>
      </c>
      <c r="N3221" s="2" t="str">
        <f aca="false"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 t="str">
        <f aca="false">IF(OR(F3221="",G3221=""),"",IF(G3221&lt;='RETRATO 2027'!$K$5,"CONCLUÍDA",IF(F3221&lt;='RETRATO 2027'!$K$5,"EM ANDAMENTO","A INICIAR")))</f>
        <v/>
      </c>
    </row>
    <row r="3222" customFormat="false" ht="15" hidden="false" customHeight="false" outlineLevel="0" collapsed="false">
      <c r="M3222" s="2" t="str">
        <f aca="false">IF(C3222="","",IFERROR(INDEX($S$5:$S$304,MATCH(C3222,$R$5:$R$304,0))&amp;"","?"))</f>
        <v/>
      </c>
      <c r="N3222" s="2" t="str">
        <f aca="false"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 t="str">
        <f aca="false">IF(OR(F3222="",G3222=""),"",IF(G3222&lt;='RETRATO 2027'!$K$5,"CONCLUÍDA",IF(F3222&lt;='RETRATO 2027'!$K$5,"EM ANDAMENTO","A INICIAR")))</f>
        <v/>
      </c>
    </row>
    <row r="3223" customFormat="false" ht="15" hidden="false" customHeight="false" outlineLevel="0" collapsed="false">
      <c r="M3223" s="2" t="str">
        <f aca="false">IF(C3223="","",IFERROR(INDEX($S$5:$S$304,MATCH(C3223,$R$5:$R$304,0))&amp;"","?"))</f>
        <v/>
      </c>
      <c r="N3223" s="2" t="str">
        <f aca="false"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 t="str">
        <f aca="false">IF(OR(F3223="",G3223=""),"",IF(G3223&lt;='RETRATO 2027'!$K$5,"CONCLUÍDA",IF(F3223&lt;='RETRATO 2027'!$K$5,"EM ANDAMENTO","A INICIAR")))</f>
        <v/>
      </c>
    </row>
    <row r="3224" customFormat="false" ht="15" hidden="false" customHeight="false" outlineLevel="0" collapsed="false">
      <c r="M3224" s="2" t="str">
        <f aca="false">IF(C3224="","",IFERROR(INDEX($S$5:$S$304,MATCH(C3224,$R$5:$R$304,0))&amp;"","?"))</f>
        <v/>
      </c>
      <c r="N3224" s="2" t="str">
        <f aca="false"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 t="str">
        <f aca="false">IF(OR(F3224="",G3224=""),"",IF(G3224&lt;='RETRATO 2027'!$K$5,"CONCLUÍDA",IF(F3224&lt;='RETRATO 2027'!$K$5,"EM ANDAMENTO","A INICIAR")))</f>
        <v/>
      </c>
    </row>
    <row r="3225" customFormat="false" ht="15" hidden="false" customHeight="false" outlineLevel="0" collapsed="false">
      <c r="M3225" s="2" t="str">
        <f aca="false">IF(C3225="","",IFERROR(INDEX($S$5:$S$304,MATCH(C3225,$R$5:$R$304,0))&amp;"","?"))</f>
        <v/>
      </c>
      <c r="N3225" s="2" t="str">
        <f aca="false"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 t="str">
        <f aca="false">IF(OR(F3225="",G3225=""),"",IF(G3225&lt;='RETRATO 2027'!$K$5,"CONCLUÍDA",IF(F3225&lt;='RETRATO 2027'!$K$5,"EM ANDAMENTO","A INICIAR")))</f>
        <v/>
      </c>
    </row>
    <row r="3226" customFormat="false" ht="15" hidden="false" customHeight="false" outlineLevel="0" collapsed="false">
      <c r="M3226" s="2" t="str">
        <f aca="false">IF(C3226="","",IFERROR(INDEX($S$5:$S$304,MATCH(C3226,$R$5:$R$304,0))&amp;"","?"))</f>
        <v/>
      </c>
      <c r="N3226" s="2" t="str">
        <f aca="false"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 t="str">
        <f aca="false">IF(OR(F3226="",G3226=""),"",IF(G3226&lt;='RETRATO 2027'!$K$5,"CONCLUÍDA",IF(F3226&lt;='RETRATO 2027'!$K$5,"EM ANDAMENTO","A INICIAR")))</f>
        <v/>
      </c>
    </row>
    <row r="3227" customFormat="false" ht="15" hidden="false" customHeight="false" outlineLevel="0" collapsed="false">
      <c r="M3227" s="2" t="str">
        <f aca="false">IF(C3227="","",IFERROR(INDEX($S$5:$S$304,MATCH(C3227,$R$5:$R$304,0))&amp;"","?"))</f>
        <v/>
      </c>
      <c r="N3227" s="2" t="str">
        <f aca="false"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 t="str">
        <f aca="false">IF(OR(F3227="",G3227=""),"",IF(G3227&lt;='RETRATO 2027'!$K$5,"CONCLUÍDA",IF(F3227&lt;='RETRATO 2027'!$K$5,"EM ANDAMENTO","A INICIAR")))</f>
        <v/>
      </c>
    </row>
    <row r="3228" customFormat="false" ht="15" hidden="false" customHeight="false" outlineLevel="0" collapsed="false">
      <c r="M3228" s="2" t="str">
        <f aca="false">IF(C3228="","",IFERROR(INDEX($S$5:$S$304,MATCH(C3228,$R$5:$R$304,0))&amp;"","?"))</f>
        <v/>
      </c>
      <c r="N3228" s="2" t="str">
        <f aca="false"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 t="str">
        <f aca="false">IF(OR(F3228="",G3228=""),"",IF(G3228&lt;='RETRATO 2027'!$K$5,"CONCLUÍDA",IF(F3228&lt;='RETRATO 2027'!$K$5,"EM ANDAMENTO","A INICIAR")))</f>
        <v/>
      </c>
    </row>
    <row r="3229" customFormat="false" ht="15" hidden="false" customHeight="false" outlineLevel="0" collapsed="false">
      <c r="M3229" s="2" t="str">
        <f aca="false">IF(C3229="","",IFERROR(INDEX($S$5:$S$304,MATCH(C3229,$R$5:$R$304,0))&amp;"","?"))</f>
        <v/>
      </c>
      <c r="N3229" s="2" t="str">
        <f aca="false"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 t="str">
        <f aca="false">IF(OR(F3229="",G3229=""),"",IF(G3229&lt;='RETRATO 2027'!$K$5,"CONCLUÍDA",IF(F3229&lt;='RETRATO 2027'!$K$5,"EM ANDAMENTO","A INICIAR")))</f>
        <v/>
      </c>
    </row>
    <row r="3230" customFormat="false" ht="15" hidden="false" customHeight="false" outlineLevel="0" collapsed="false">
      <c r="M3230" s="2" t="str">
        <f aca="false">IF(C3230="","",IFERROR(INDEX($S$5:$S$304,MATCH(C3230,$R$5:$R$304,0))&amp;"","?"))</f>
        <v/>
      </c>
      <c r="N3230" s="2" t="str">
        <f aca="false"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 t="str">
        <f aca="false">IF(OR(F3230="",G3230=""),"",IF(G3230&lt;='RETRATO 2027'!$K$5,"CONCLUÍDA",IF(F3230&lt;='RETRATO 2027'!$K$5,"EM ANDAMENTO","A INICIAR")))</f>
        <v/>
      </c>
    </row>
    <row r="3231" customFormat="false" ht="15" hidden="false" customHeight="false" outlineLevel="0" collapsed="false">
      <c r="M3231" s="2" t="str">
        <f aca="false">IF(C3231="","",IFERROR(INDEX($S$5:$S$304,MATCH(C3231,$R$5:$R$304,0))&amp;"","?"))</f>
        <v/>
      </c>
      <c r="N3231" s="2" t="str">
        <f aca="false"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 t="str">
        <f aca="false">IF(OR(F3231="",G3231=""),"",IF(G3231&lt;='RETRATO 2027'!$K$5,"CONCLUÍDA",IF(F3231&lt;='RETRATO 2027'!$K$5,"EM ANDAMENTO","A INICIAR")))</f>
        <v/>
      </c>
    </row>
    <row r="3232" customFormat="false" ht="15" hidden="false" customHeight="false" outlineLevel="0" collapsed="false">
      <c r="M3232" s="2" t="str">
        <f aca="false">IF(C3232="","",IFERROR(INDEX($S$5:$S$304,MATCH(C3232,$R$5:$R$304,0))&amp;"","?"))</f>
        <v/>
      </c>
      <c r="N3232" s="2" t="str">
        <f aca="false"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 t="str">
        <f aca="false">IF(OR(F3232="",G3232=""),"",IF(G3232&lt;='RETRATO 2027'!$K$5,"CONCLUÍDA",IF(F3232&lt;='RETRATO 2027'!$K$5,"EM ANDAMENTO","A INICIAR")))</f>
        <v/>
      </c>
    </row>
    <row r="3233" customFormat="false" ht="15" hidden="false" customHeight="false" outlineLevel="0" collapsed="false">
      <c r="M3233" s="2" t="str">
        <f aca="false">IF(C3233="","",IFERROR(INDEX($S$5:$S$304,MATCH(C3233,$R$5:$R$304,0))&amp;"","?"))</f>
        <v/>
      </c>
      <c r="N3233" s="2" t="str">
        <f aca="false"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 t="str">
        <f aca="false">IF(OR(F3233="",G3233=""),"",IF(G3233&lt;='RETRATO 2027'!$K$5,"CONCLUÍDA",IF(F3233&lt;='RETRATO 2027'!$K$5,"EM ANDAMENTO","A INICIAR")))</f>
        <v/>
      </c>
    </row>
    <row r="3234" customFormat="false" ht="15" hidden="false" customHeight="false" outlineLevel="0" collapsed="false">
      <c r="M3234" s="2" t="str">
        <f aca="false">IF(C3234="","",IFERROR(INDEX($S$5:$S$304,MATCH(C3234,$R$5:$R$304,0))&amp;"","?"))</f>
        <v/>
      </c>
      <c r="N3234" s="2" t="str">
        <f aca="false"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 t="str">
        <f aca="false">IF(OR(F3234="",G3234=""),"",IF(G3234&lt;='RETRATO 2027'!$K$5,"CONCLUÍDA",IF(F3234&lt;='RETRATO 2027'!$K$5,"EM ANDAMENTO","A INICIAR")))</f>
        <v/>
      </c>
    </row>
    <row r="3235" customFormat="false" ht="15" hidden="false" customHeight="false" outlineLevel="0" collapsed="false">
      <c r="M3235" s="2" t="str">
        <f aca="false">IF(C3235="","",IFERROR(INDEX($S$5:$S$304,MATCH(C3235,$R$5:$R$304,0))&amp;"","?"))</f>
        <v/>
      </c>
      <c r="N3235" s="2" t="str">
        <f aca="false"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 t="str">
        <f aca="false">IF(OR(F3235="",G3235=""),"",IF(G3235&lt;='RETRATO 2027'!$K$5,"CONCLUÍDA",IF(F3235&lt;='RETRATO 2027'!$K$5,"EM ANDAMENTO","A INICIAR")))</f>
        <v/>
      </c>
    </row>
    <row r="3236" customFormat="false" ht="15" hidden="false" customHeight="false" outlineLevel="0" collapsed="false">
      <c r="M3236" s="2" t="str">
        <f aca="false">IF(C3236="","",IFERROR(INDEX($S$5:$S$304,MATCH(C3236,$R$5:$R$304,0))&amp;"","?"))</f>
        <v/>
      </c>
      <c r="N3236" s="2" t="str">
        <f aca="false"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 t="str">
        <f aca="false">IF(OR(F3236="",G3236=""),"",IF(G3236&lt;='RETRATO 2027'!$K$5,"CONCLUÍDA",IF(F3236&lt;='RETRATO 2027'!$K$5,"EM ANDAMENTO","A INICIAR")))</f>
        <v/>
      </c>
    </row>
    <row r="3237" customFormat="false" ht="15" hidden="false" customHeight="false" outlineLevel="0" collapsed="false">
      <c r="M3237" s="2" t="str">
        <f aca="false">IF(C3237="","",IFERROR(INDEX($S$5:$S$304,MATCH(C3237,$R$5:$R$304,0))&amp;"","?"))</f>
        <v/>
      </c>
      <c r="N3237" s="2" t="str">
        <f aca="false"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 t="str">
        <f aca="false">IF(OR(F3237="",G3237=""),"",IF(G3237&lt;='RETRATO 2027'!$K$5,"CONCLUÍDA",IF(F3237&lt;='RETRATO 2027'!$K$5,"EM ANDAMENTO","A INICIAR")))</f>
        <v/>
      </c>
    </row>
    <row r="3238" customFormat="false" ht="15" hidden="false" customHeight="false" outlineLevel="0" collapsed="false">
      <c r="M3238" s="2" t="str">
        <f aca="false">IF(C3238="","",IFERROR(INDEX($S$5:$S$304,MATCH(C3238,$R$5:$R$304,0))&amp;"","?"))</f>
        <v/>
      </c>
      <c r="N3238" s="2" t="str">
        <f aca="false"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 t="str">
        <f aca="false">IF(OR(F3238="",G3238=""),"",IF(G3238&lt;='RETRATO 2027'!$K$5,"CONCLUÍDA",IF(F3238&lt;='RETRATO 2027'!$K$5,"EM ANDAMENTO","A INICIAR")))</f>
        <v/>
      </c>
    </row>
    <row r="3239" customFormat="false" ht="15" hidden="false" customHeight="false" outlineLevel="0" collapsed="false">
      <c r="M3239" s="2" t="str">
        <f aca="false">IF(C3239="","",IFERROR(INDEX($S$5:$S$304,MATCH(C3239,$R$5:$R$304,0))&amp;"","?"))</f>
        <v/>
      </c>
      <c r="N3239" s="2" t="str">
        <f aca="false"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 t="str">
        <f aca="false">IF(OR(F3239="",G3239=""),"",IF(G3239&lt;='RETRATO 2027'!$K$5,"CONCLUÍDA",IF(F3239&lt;='RETRATO 2027'!$K$5,"EM ANDAMENTO","A INICIAR")))</f>
        <v/>
      </c>
    </row>
    <row r="3240" customFormat="false" ht="15" hidden="false" customHeight="false" outlineLevel="0" collapsed="false">
      <c r="M3240" s="2" t="str">
        <f aca="false">IF(C3240="","",IFERROR(INDEX($S$5:$S$304,MATCH(C3240,$R$5:$R$304,0))&amp;"","?"))</f>
        <v/>
      </c>
      <c r="N3240" s="2" t="str">
        <f aca="false"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 t="str">
        <f aca="false">IF(OR(F3240="",G3240=""),"",IF(G3240&lt;='RETRATO 2027'!$K$5,"CONCLUÍDA",IF(F3240&lt;='RETRATO 2027'!$K$5,"EM ANDAMENTO","A INICIAR")))</f>
        <v/>
      </c>
    </row>
    <row r="3241" customFormat="false" ht="15" hidden="false" customHeight="false" outlineLevel="0" collapsed="false">
      <c r="M3241" s="2" t="str">
        <f aca="false">IF(C3241="","",IFERROR(INDEX($S$5:$S$304,MATCH(C3241,$R$5:$R$304,0))&amp;"","?"))</f>
        <v/>
      </c>
      <c r="N3241" s="2" t="str">
        <f aca="false"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 t="str">
        <f aca="false">IF(OR(F3241="",G3241=""),"",IF(G3241&lt;='RETRATO 2027'!$K$5,"CONCLUÍDA",IF(F3241&lt;='RETRATO 2027'!$K$5,"EM ANDAMENTO","A INICIAR")))</f>
        <v/>
      </c>
    </row>
    <row r="3242" customFormat="false" ht="15" hidden="false" customHeight="false" outlineLevel="0" collapsed="false">
      <c r="M3242" s="2" t="str">
        <f aca="false">IF(C3242="","",IFERROR(INDEX($S$5:$S$304,MATCH(C3242,$R$5:$R$304,0))&amp;"","?"))</f>
        <v/>
      </c>
      <c r="N3242" s="2" t="str">
        <f aca="false"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 t="str">
        <f aca="false">IF(OR(F3242="",G3242=""),"",IF(G3242&lt;='RETRATO 2027'!$K$5,"CONCLUÍDA",IF(F3242&lt;='RETRATO 2027'!$K$5,"EM ANDAMENTO","A INICIAR")))</f>
        <v/>
      </c>
    </row>
    <row r="3243" customFormat="false" ht="15" hidden="false" customHeight="false" outlineLevel="0" collapsed="false">
      <c r="M3243" s="2" t="str">
        <f aca="false">IF(C3243="","",IFERROR(INDEX($S$5:$S$304,MATCH(C3243,$R$5:$R$304,0))&amp;"","?"))</f>
        <v/>
      </c>
      <c r="N3243" s="2" t="str">
        <f aca="false"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 t="str">
        <f aca="false">IF(OR(F3243="",G3243=""),"",IF(G3243&lt;='RETRATO 2027'!$K$5,"CONCLUÍDA",IF(F3243&lt;='RETRATO 2027'!$K$5,"EM ANDAMENTO","A INICIAR")))</f>
        <v/>
      </c>
    </row>
    <row r="3244" customFormat="false" ht="15" hidden="false" customHeight="false" outlineLevel="0" collapsed="false">
      <c r="M3244" s="2" t="str">
        <f aca="false">IF(C3244="","",IFERROR(INDEX($S$5:$S$304,MATCH(C3244,$R$5:$R$304,0))&amp;"","?"))</f>
        <v/>
      </c>
      <c r="N3244" s="2" t="str">
        <f aca="false"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 t="str">
        <f aca="false">IF(OR(F3244="",G3244=""),"",IF(G3244&lt;='RETRATO 2027'!$K$5,"CONCLUÍDA",IF(F3244&lt;='RETRATO 2027'!$K$5,"EM ANDAMENTO","A INICIAR")))</f>
        <v/>
      </c>
    </row>
    <row r="3245" customFormat="false" ht="15" hidden="false" customHeight="false" outlineLevel="0" collapsed="false">
      <c r="M3245" s="2" t="str">
        <f aca="false">IF(C3245="","",IFERROR(INDEX($S$5:$S$304,MATCH(C3245,$R$5:$R$304,0))&amp;"","?"))</f>
        <v/>
      </c>
      <c r="N3245" s="2" t="str">
        <f aca="false"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 t="str">
        <f aca="false">IF(OR(F3245="",G3245=""),"",IF(G3245&lt;='RETRATO 2027'!$K$5,"CONCLUÍDA",IF(F3245&lt;='RETRATO 2027'!$K$5,"EM ANDAMENTO","A INICIAR")))</f>
        <v/>
      </c>
    </row>
    <row r="3246" customFormat="false" ht="15" hidden="false" customHeight="false" outlineLevel="0" collapsed="false">
      <c r="M3246" s="2" t="str">
        <f aca="false">IF(C3246="","",IFERROR(INDEX($S$5:$S$304,MATCH(C3246,$R$5:$R$304,0))&amp;"","?"))</f>
        <v/>
      </c>
      <c r="N3246" s="2" t="str">
        <f aca="false"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 t="str">
        <f aca="false">IF(OR(F3246="",G3246=""),"",IF(G3246&lt;='RETRATO 2027'!$K$5,"CONCLUÍDA",IF(F3246&lt;='RETRATO 2027'!$K$5,"EM ANDAMENTO","A INICIAR")))</f>
        <v/>
      </c>
    </row>
    <row r="3247" customFormat="false" ht="15" hidden="false" customHeight="false" outlineLevel="0" collapsed="false">
      <c r="M3247" s="2" t="str">
        <f aca="false">IF(C3247="","",IFERROR(INDEX($S$5:$S$304,MATCH(C3247,$R$5:$R$304,0))&amp;"","?"))</f>
        <v/>
      </c>
      <c r="N3247" s="2" t="str">
        <f aca="false"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 t="str">
        <f aca="false">IF(OR(F3247="",G3247=""),"",IF(G3247&lt;='RETRATO 2027'!$K$5,"CONCLUÍDA",IF(F3247&lt;='RETRATO 2027'!$K$5,"EM ANDAMENTO","A INICIAR")))</f>
        <v/>
      </c>
    </row>
    <row r="3248" customFormat="false" ht="15" hidden="false" customHeight="false" outlineLevel="0" collapsed="false">
      <c r="M3248" s="2" t="str">
        <f aca="false">IF(C3248="","",IFERROR(INDEX($S$5:$S$304,MATCH(C3248,$R$5:$R$304,0))&amp;"","?"))</f>
        <v/>
      </c>
      <c r="N3248" s="2" t="str">
        <f aca="false"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 t="str">
        <f aca="false">IF(OR(F3248="",G3248=""),"",IF(G3248&lt;='RETRATO 2027'!$K$5,"CONCLUÍDA",IF(F3248&lt;='RETRATO 2027'!$K$5,"EM ANDAMENTO","A INICIAR")))</f>
        <v/>
      </c>
    </row>
    <row r="3249" customFormat="false" ht="15" hidden="false" customHeight="false" outlineLevel="0" collapsed="false">
      <c r="M3249" s="2" t="str">
        <f aca="false">IF(C3249="","",IFERROR(INDEX($S$5:$S$304,MATCH(C3249,$R$5:$R$304,0))&amp;"","?"))</f>
        <v/>
      </c>
      <c r="N3249" s="2" t="str">
        <f aca="false"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 t="str">
        <f aca="false">IF(OR(F3249="",G3249=""),"",IF(G3249&lt;='RETRATO 2027'!$K$5,"CONCLUÍDA",IF(F3249&lt;='RETRATO 2027'!$K$5,"EM ANDAMENTO","A INICIAR")))</f>
        <v/>
      </c>
    </row>
    <row r="3250" customFormat="false" ht="15" hidden="false" customHeight="false" outlineLevel="0" collapsed="false">
      <c r="M3250" s="2" t="str">
        <f aca="false">IF(C3250="","",IFERROR(INDEX($S$5:$S$304,MATCH(C3250,$R$5:$R$304,0))&amp;"","?"))</f>
        <v/>
      </c>
      <c r="N3250" s="2" t="str">
        <f aca="false"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 t="str">
        <f aca="false">IF(OR(F3250="",G3250=""),"",IF(G3250&lt;='RETRATO 2027'!$K$5,"CONCLUÍDA",IF(F3250&lt;='RETRATO 2027'!$K$5,"EM ANDAMENTO","A INICIAR")))</f>
        <v/>
      </c>
    </row>
    <row r="3251" customFormat="false" ht="15" hidden="false" customHeight="false" outlineLevel="0" collapsed="false">
      <c r="M3251" s="2" t="str">
        <f aca="false">IF(C3251="","",IFERROR(INDEX($S$5:$S$304,MATCH(C3251,$R$5:$R$304,0))&amp;"","?"))</f>
        <v/>
      </c>
      <c r="N3251" s="2" t="str">
        <f aca="false"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 t="str">
        <f aca="false">IF(OR(F3251="",G3251=""),"",IF(G3251&lt;='RETRATO 2027'!$K$5,"CONCLUÍDA",IF(F3251&lt;='RETRATO 2027'!$K$5,"EM ANDAMENTO","A INICIAR")))</f>
        <v/>
      </c>
    </row>
    <row r="3252" customFormat="false" ht="15" hidden="false" customHeight="false" outlineLevel="0" collapsed="false">
      <c r="M3252" s="2" t="str">
        <f aca="false">IF(C3252="","",IFERROR(INDEX($S$5:$S$304,MATCH(C3252,$R$5:$R$304,0))&amp;"","?"))</f>
        <v/>
      </c>
      <c r="N3252" s="2" t="str">
        <f aca="false"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 t="str">
        <f aca="false">IF(OR(F3252="",G3252=""),"",IF(G3252&lt;='RETRATO 2027'!$K$5,"CONCLUÍDA",IF(F3252&lt;='RETRATO 2027'!$K$5,"EM ANDAMENTO","A INICIAR")))</f>
        <v/>
      </c>
    </row>
    <row r="3253" customFormat="false" ht="15" hidden="false" customHeight="false" outlineLevel="0" collapsed="false">
      <c r="M3253" s="2" t="str">
        <f aca="false">IF(C3253="","",IFERROR(INDEX($S$5:$S$304,MATCH(C3253,$R$5:$R$304,0))&amp;"","?"))</f>
        <v/>
      </c>
      <c r="N3253" s="2" t="str">
        <f aca="false"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 t="str">
        <f aca="false">IF(OR(F3253="",G3253=""),"",IF(G3253&lt;='RETRATO 2027'!$K$5,"CONCLUÍDA",IF(F3253&lt;='RETRATO 2027'!$K$5,"EM ANDAMENTO","A INICIAR")))</f>
        <v/>
      </c>
    </row>
    <row r="3254" customFormat="false" ht="15" hidden="false" customHeight="false" outlineLevel="0" collapsed="false">
      <c r="M3254" s="2" t="str">
        <f aca="false">IF(C3254="","",IFERROR(INDEX($S$5:$S$304,MATCH(C3254,$R$5:$R$304,0))&amp;"","?"))</f>
        <v/>
      </c>
      <c r="N3254" s="2" t="str">
        <f aca="false"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 t="str">
        <f aca="false">IF(OR(F3254="",G3254=""),"",IF(G3254&lt;='RETRATO 2027'!$K$5,"CONCLUÍDA",IF(F3254&lt;='RETRATO 2027'!$K$5,"EM ANDAMENTO","A INICIAR")))</f>
        <v/>
      </c>
    </row>
    <row r="3255" customFormat="false" ht="15" hidden="false" customHeight="false" outlineLevel="0" collapsed="false">
      <c r="M3255" s="2" t="str">
        <f aca="false">IF(C3255="","",IFERROR(INDEX($S$5:$S$304,MATCH(C3255,$R$5:$R$304,0))&amp;"","?"))</f>
        <v/>
      </c>
      <c r="N3255" s="2" t="str">
        <f aca="false"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 t="str">
        <f aca="false">IF(OR(F3255="",G3255=""),"",IF(G3255&lt;='RETRATO 2027'!$K$5,"CONCLUÍDA",IF(F3255&lt;='RETRATO 2027'!$K$5,"EM ANDAMENTO","A INICIAR")))</f>
        <v/>
      </c>
    </row>
    <row r="3256" customFormat="false" ht="15" hidden="false" customHeight="false" outlineLevel="0" collapsed="false">
      <c r="M3256" s="2" t="str">
        <f aca="false">IF(C3256="","",IFERROR(INDEX($S$5:$S$304,MATCH(C3256,$R$5:$R$304,0))&amp;"","?"))</f>
        <v/>
      </c>
      <c r="N3256" s="2" t="str">
        <f aca="false"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 t="str">
        <f aca="false">IF(OR(F3256="",G3256=""),"",IF(G3256&lt;='RETRATO 2027'!$K$5,"CONCLUÍDA",IF(F3256&lt;='RETRATO 2027'!$K$5,"EM ANDAMENTO","A INICIAR")))</f>
        <v/>
      </c>
    </row>
    <row r="3257" customFormat="false" ht="15" hidden="false" customHeight="false" outlineLevel="0" collapsed="false">
      <c r="M3257" s="2" t="str">
        <f aca="false">IF(C3257="","",IFERROR(INDEX($S$5:$S$304,MATCH(C3257,$R$5:$R$304,0))&amp;"","?"))</f>
        <v/>
      </c>
      <c r="N3257" s="2" t="str">
        <f aca="false"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 t="str">
        <f aca="false">IF(OR(F3257="",G3257=""),"",IF(G3257&lt;='RETRATO 2027'!$K$5,"CONCLUÍDA",IF(F3257&lt;='RETRATO 2027'!$K$5,"EM ANDAMENTO","A INICIAR")))</f>
        <v/>
      </c>
    </row>
    <row r="3258" customFormat="false" ht="15" hidden="false" customHeight="false" outlineLevel="0" collapsed="false">
      <c r="M3258" s="2" t="str">
        <f aca="false">IF(C3258="","",IFERROR(INDEX($S$5:$S$304,MATCH(C3258,$R$5:$R$304,0))&amp;"","?"))</f>
        <v/>
      </c>
      <c r="N3258" s="2" t="str">
        <f aca="false"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 t="str">
        <f aca="false">IF(OR(F3258="",G3258=""),"",IF(G3258&lt;='RETRATO 2027'!$K$5,"CONCLUÍDA",IF(F3258&lt;='RETRATO 2027'!$K$5,"EM ANDAMENTO","A INICIAR")))</f>
        <v/>
      </c>
    </row>
    <row r="3259" customFormat="false" ht="15" hidden="false" customHeight="false" outlineLevel="0" collapsed="false">
      <c r="M3259" s="2" t="str">
        <f aca="false">IF(C3259="","",IFERROR(INDEX($S$5:$S$304,MATCH(C3259,$R$5:$R$304,0))&amp;"","?"))</f>
        <v/>
      </c>
      <c r="N3259" s="2" t="str">
        <f aca="false"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 t="str">
        <f aca="false">IF(OR(F3259="",G3259=""),"",IF(G3259&lt;='RETRATO 2027'!$K$5,"CONCLUÍDA",IF(F3259&lt;='RETRATO 2027'!$K$5,"EM ANDAMENTO","A INICIAR")))</f>
        <v/>
      </c>
    </row>
    <row r="3260" customFormat="false" ht="15" hidden="false" customHeight="false" outlineLevel="0" collapsed="false">
      <c r="M3260" s="2" t="str">
        <f aca="false">IF(C3260="","",IFERROR(INDEX($S$5:$S$304,MATCH(C3260,$R$5:$R$304,0))&amp;"","?"))</f>
        <v/>
      </c>
      <c r="N3260" s="2" t="str">
        <f aca="false"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 t="str">
        <f aca="false">IF(OR(F3260="",G3260=""),"",IF(G3260&lt;='RETRATO 2027'!$K$5,"CONCLUÍDA",IF(F3260&lt;='RETRATO 2027'!$K$5,"EM ANDAMENTO","A INICIAR")))</f>
        <v/>
      </c>
    </row>
    <row r="3261" customFormat="false" ht="15" hidden="false" customHeight="false" outlineLevel="0" collapsed="false">
      <c r="M3261" s="2" t="str">
        <f aca="false">IF(C3261="","",IFERROR(INDEX($S$5:$S$304,MATCH(C3261,$R$5:$R$304,0))&amp;"","?"))</f>
        <v/>
      </c>
      <c r="N3261" s="2" t="str">
        <f aca="false"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 t="str">
        <f aca="false">IF(OR(F3261="",G3261=""),"",IF(G3261&lt;='RETRATO 2027'!$K$5,"CONCLUÍDA",IF(F3261&lt;='RETRATO 2027'!$K$5,"EM ANDAMENTO","A INICIAR")))</f>
        <v/>
      </c>
    </row>
    <row r="3262" customFormat="false" ht="15" hidden="false" customHeight="false" outlineLevel="0" collapsed="false">
      <c r="M3262" s="2" t="str">
        <f aca="false">IF(C3262="","",IFERROR(INDEX($S$5:$S$304,MATCH(C3262,$R$5:$R$304,0))&amp;"","?"))</f>
        <v/>
      </c>
      <c r="N3262" s="2" t="str">
        <f aca="false"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 t="str">
        <f aca="false">IF(OR(F3262="",G3262=""),"",IF(G3262&lt;='RETRATO 2027'!$K$5,"CONCLUÍDA",IF(F3262&lt;='RETRATO 2027'!$K$5,"EM ANDAMENTO","A INICIAR")))</f>
        <v/>
      </c>
    </row>
    <row r="3263" customFormat="false" ht="15" hidden="false" customHeight="false" outlineLevel="0" collapsed="false">
      <c r="M3263" s="2" t="str">
        <f aca="false">IF(C3263="","",IFERROR(INDEX($S$5:$S$304,MATCH(C3263,$R$5:$R$304,0))&amp;"","?"))</f>
        <v/>
      </c>
      <c r="N3263" s="2" t="str">
        <f aca="false"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 t="str">
        <f aca="false">IF(OR(F3263="",G3263=""),"",IF(G3263&lt;='RETRATO 2027'!$K$5,"CONCLUÍDA",IF(F3263&lt;='RETRATO 2027'!$K$5,"EM ANDAMENTO","A INICIAR")))</f>
        <v/>
      </c>
    </row>
    <row r="3264" customFormat="false" ht="15" hidden="false" customHeight="false" outlineLevel="0" collapsed="false">
      <c r="M3264" s="2" t="str">
        <f aca="false">IF(C3264="","",IFERROR(INDEX($S$5:$S$304,MATCH(C3264,$R$5:$R$304,0))&amp;"","?"))</f>
        <v/>
      </c>
      <c r="N3264" s="2" t="str">
        <f aca="false"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 t="str">
        <f aca="false">IF(OR(F3264="",G3264=""),"",IF(G3264&lt;='RETRATO 2027'!$K$5,"CONCLUÍDA",IF(F3264&lt;='RETRATO 2027'!$K$5,"EM ANDAMENTO","A INICIAR")))</f>
        <v/>
      </c>
    </row>
    <row r="3265" customFormat="false" ht="15" hidden="false" customHeight="false" outlineLevel="0" collapsed="false">
      <c r="M3265" s="2" t="str">
        <f aca="false">IF(C3265="","",IFERROR(INDEX($S$5:$S$304,MATCH(C3265,$R$5:$R$304,0))&amp;"","?"))</f>
        <v/>
      </c>
      <c r="N3265" s="2" t="str">
        <f aca="false"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 t="str">
        <f aca="false">IF(OR(F3265="",G3265=""),"",IF(G3265&lt;='RETRATO 2027'!$K$5,"CONCLUÍDA",IF(F3265&lt;='RETRATO 2027'!$K$5,"EM ANDAMENTO","A INICIAR")))</f>
        <v/>
      </c>
    </row>
    <row r="3266" customFormat="false" ht="15" hidden="false" customHeight="false" outlineLevel="0" collapsed="false">
      <c r="M3266" s="2" t="str">
        <f aca="false">IF(C3266="","",IFERROR(INDEX($S$5:$S$304,MATCH(C3266,$R$5:$R$304,0))&amp;"","?"))</f>
        <v/>
      </c>
      <c r="N3266" s="2" t="str">
        <f aca="false"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 t="str">
        <f aca="false">IF(OR(F3266="",G3266=""),"",IF(G3266&lt;='RETRATO 2027'!$K$5,"CONCLUÍDA",IF(F3266&lt;='RETRATO 2027'!$K$5,"EM ANDAMENTO","A INICIAR")))</f>
        <v/>
      </c>
    </row>
    <row r="3267" customFormat="false" ht="15" hidden="false" customHeight="false" outlineLevel="0" collapsed="false">
      <c r="M3267" s="2" t="str">
        <f aca="false">IF(C3267="","",IFERROR(INDEX($S$5:$S$304,MATCH(C3267,$R$5:$R$304,0))&amp;"","?"))</f>
        <v/>
      </c>
      <c r="N3267" s="2" t="str">
        <f aca="false"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 t="str">
        <f aca="false">IF(OR(F3267="",G3267=""),"",IF(G3267&lt;='RETRATO 2027'!$K$5,"CONCLUÍDA",IF(F3267&lt;='RETRATO 2027'!$K$5,"EM ANDAMENTO","A INICIAR")))</f>
        <v/>
      </c>
    </row>
    <row r="3268" customFormat="false" ht="15" hidden="false" customHeight="false" outlineLevel="0" collapsed="false">
      <c r="M3268" s="2" t="str">
        <f aca="false">IF(C3268="","",IFERROR(INDEX($S$5:$S$304,MATCH(C3268,$R$5:$R$304,0))&amp;"","?"))</f>
        <v/>
      </c>
      <c r="N3268" s="2" t="str">
        <f aca="false"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 t="str">
        <f aca="false">IF(OR(F3268="",G3268=""),"",IF(G3268&lt;='RETRATO 2027'!$K$5,"CONCLUÍDA",IF(F3268&lt;='RETRATO 2027'!$K$5,"EM ANDAMENTO","A INICIAR")))</f>
        <v/>
      </c>
    </row>
    <row r="3269" customFormat="false" ht="15" hidden="false" customHeight="false" outlineLevel="0" collapsed="false">
      <c r="M3269" s="2" t="str">
        <f aca="false">IF(C3269="","",IFERROR(INDEX($S$5:$S$304,MATCH(C3269,$R$5:$R$304,0))&amp;"","?"))</f>
        <v/>
      </c>
      <c r="N3269" s="2" t="str">
        <f aca="false"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 t="str">
        <f aca="false">IF(OR(F3269="",G3269=""),"",IF(G3269&lt;='RETRATO 2027'!$K$5,"CONCLUÍDA",IF(F3269&lt;='RETRATO 2027'!$K$5,"EM ANDAMENTO","A INICIAR")))</f>
        <v/>
      </c>
    </row>
    <row r="3270" customFormat="false" ht="15" hidden="false" customHeight="false" outlineLevel="0" collapsed="false">
      <c r="M3270" s="2" t="str">
        <f aca="false">IF(C3270="","",IFERROR(INDEX($S$5:$S$304,MATCH(C3270,$R$5:$R$304,0))&amp;"","?"))</f>
        <v/>
      </c>
      <c r="N3270" s="2" t="str">
        <f aca="false"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 t="str">
        <f aca="false">IF(OR(F3270="",G3270=""),"",IF(G3270&lt;='RETRATO 2027'!$K$5,"CONCLUÍDA",IF(F3270&lt;='RETRATO 2027'!$K$5,"EM ANDAMENTO","A INICIAR")))</f>
        <v/>
      </c>
    </row>
    <row r="3271" customFormat="false" ht="15" hidden="false" customHeight="false" outlineLevel="0" collapsed="false">
      <c r="M3271" s="2" t="str">
        <f aca="false">IF(C3271="","",IFERROR(INDEX($S$5:$S$304,MATCH(C3271,$R$5:$R$304,0))&amp;"","?"))</f>
        <v/>
      </c>
      <c r="N3271" s="2" t="str">
        <f aca="false"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 t="str">
        <f aca="false">IF(OR(F3271="",G3271=""),"",IF(G3271&lt;='RETRATO 2027'!$K$5,"CONCLUÍDA",IF(F3271&lt;='RETRATO 2027'!$K$5,"EM ANDAMENTO","A INICIAR")))</f>
        <v/>
      </c>
    </row>
    <row r="3272" customFormat="false" ht="15" hidden="false" customHeight="false" outlineLevel="0" collapsed="false">
      <c r="M3272" s="2" t="str">
        <f aca="false">IF(C3272="","",IFERROR(INDEX($S$5:$S$304,MATCH(C3272,$R$5:$R$304,0))&amp;"","?"))</f>
        <v/>
      </c>
      <c r="N3272" s="2" t="str">
        <f aca="false"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 t="str">
        <f aca="false">IF(OR(F3272="",G3272=""),"",IF(G3272&lt;='RETRATO 2027'!$K$5,"CONCLUÍDA",IF(F3272&lt;='RETRATO 2027'!$K$5,"EM ANDAMENTO","A INICIAR")))</f>
        <v/>
      </c>
    </row>
    <row r="3273" customFormat="false" ht="15" hidden="false" customHeight="false" outlineLevel="0" collapsed="false">
      <c r="M3273" s="2" t="str">
        <f aca="false">IF(C3273="","",IFERROR(INDEX($S$5:$S$304,MATCH(C3273,$R$5:$R$304,0))&amp;"","?"))</f>
        <v/>
      </c>
      <c r="N3273" s="2" t="str">
        <f aca="false"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 t="str">
        <f aca="false">IF(OR(F3273="",G3273=""),"",IF(G3273&lt;='RETRATO 2027'!$K$5,"CONCLUÍDA",IF(F3273&lt;='RETRATO 2027'!$K$5,"EM ANDAMENTO","A INICIAR")))</f>
        <v/>
      </c>
    </row>
    <row r="3274" customFormat="false" ht="15" hidden="false" customHeight="false" outlineLevel="0" collapsed="false">
      <c r="M3274" s="2" t="str">
        <f aca="false">IF(C3274="","",IFERROR(INDEX($S$5:$S$304,MATCH(C3274,$R$5:$R$304,0))&amp;"","?"))</f>
        <v/>
      </c>
      <c r="N3274" s="2" t="str">
        <f aca="false"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 t="str">
        <f aca="false">IF(OR(F3274="",G3274=""),"",IF(G3274&lt;='RETRATO 2027'!$K$5,"CONCLUÍDA",IF(F3274&lt;='RETRATO 2027'!$K$5,"EM ANDAMENTO","A INICIAR")))</f>
        <v/>
      </c>
    </row>
    <row r="3275" customFormat="false" ht="15" hidden="false" customHeight="false" outlineLevel="0" collapsed="false">
      <c r="M3275" s="2" t="str">
        <f aca="false">IF(C3275="","",IFERROR(INDEX($S$5:$S$304,MATCH(C3275,$R$5:$R$304,0))&amp;"","?"))</f>
        <v/>
      </c>
      <c r="N3275" s="2" t="str">
        <f aca="false"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 t="str">
        <f aca="false">IF(OR(F3275="",G3275=""),"",IF(G3275&lt;='RETRATO 2027'!$K$5,"CONCLUÍDA",IF(F3275&lt;='RETRATO 2027'!$K$5,"EM ANDAMENTO","A INICIAR")))</f>
        <v/>
      </c>
    </row>
    <row r="3276" customFormat="false" ht="15" hidden="false" customHeight="false" outlineLevel="0" collapsed="false">
      <c r="M3276" s="2" t="str">
        <f aca="false">IF(C3276="","",IFERROR(INDEX($S$5:$S$304,MATCH(C3276,$R$5:$R$304,0))&amp;"","?"))</f>
        <v/>
      </c>
      <c r="N3276" s="2" t="str">
        <f aca="false"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 t="str">
        <f aca="false">IF(OR(F3276="",G3276=""),"",IF(G3276&lt;='RETRATO 2027'!$K$5,"CONCLUÍDA",IF(F3276&lt;='RETRATO 2027'!$K$5,"EM ANDAMENTO","A INICIAR")))</f>
        <v/>
      </c>
    </row>
    <row r="3277" customFormat="false" ht="15" hidden="false" customHeight="false" outlineLevel="0" collapsed="false">
      <c r="M3277" s="2" t="str">
        <f aca="false">IF(C3277="","",IFERROR(INDEX($S$5:$S$304,MATCH(C3277,$R$5:$R$304,0))&amp;"","?"))</f>
        <v/>
      </c>
      <c r="N3277" s="2" t="str">
        <f aca="false"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 t="str">
        <f aca="false">IF(OR(F3277="",G3277=""),"",IF(G3277&lt;='RETRATO 2027'!$K$5,"CONCLUÍDA",IF(F3277&lt;='RETRATO 2027'!$K$5,"EM ANDAMENTO","A INICIAR")))</f>
        <v/>
      </c>
    </row>
    <row r="3278" customFormat="false" ht="15" hidden="false" customHeight="false" outlineLevel="0" collapsed="false">
      <c r="M3278" s="2" t="str">
        <f aca="false">IF(C3278="","",IFERROR(INDEX($S$5:$S$304,MATCH(C3278,$R$5:$R$304,0))&amp;"","?"))</f>
        <v/>
      </c>
      <c r="N3278" s="2" t="str">
        <f aca="false"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 t="str">
        <f aca="false">IF(OR(F3278="",G3278=""),"",IF(G3278&lt;='RETRATO 2027'!$K$5,"CONCLUÍDA",IF(F3278&lt;='RETRATO 2027'!$K$5,"EM ANDAMENTO","A INICIAR")))</f>
        <v/>
      </c>
    </row>
    <row r="3279" customFormat="false" ht="15" hidden="false" customHeight="false" outlineLevel="0" collapsed="false">
      <c r="M3279" s="2" t="str">
        <f aca="false">IF(C3279="","",IFERROR(INDEX($S$5:$S$304,MATCH(C3279,$R$5:$R$304,0))&amp;"","?"))</f>
        <v/>
      </c>
      <c r="N3279" s="2" t="str">
        <f aca="false"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 t="str">
        <f aca="false">IF(OR(F3279="",G3279=""),"",IF(G3279&lt;='RETRATO 2027'!$K$5,"CONCLUÍDA",IF(F3279&lt;='RETRATO 2027'!$K$5,"EM ANDAMENTO","A INICIAR")))</f>
        <v/>
      </c>
    </row>
    <row r="3280" customFormat="false" ht="15" hidden="false" customHeight="false" outlineLevel="0" collapsed="false">
      <c r="M3280" s="2" t="str">
        <f aca="false">IF(C3280="","",IFERROR(INDEX($S$5:$S$304,MATCH(C3280,$R$5:$R$304,0))&amp;"","?"))</f>
        <v/>
      </c>
      <c r="N3280" s="2" t="str">
        <f aca="false"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 t="str">
        <f aca="false">IF(OR(F3280="",G3280=""),"",IF(G3280&lt;='RETRATO 2027'!$K$5,"CONCLUÍDA",IF(F3280&lt;='RETRATO 2027'!$K$5,"EM ANDAMENTO","A INICIAR")))</f>
        <v/>
      </c>
    </row>
    <row r="3281" customFormat="false" ht="15" hidden="false" customHeight="false" outlineLevel="0" collapsed="false">
      <c r="M3281" s="2" t="str">
        <f aca="false">IF(C3281="","",IFERROR(INDEX($S$5:$S$304,MATCH(C3281,$R$5:$R$304,0))&amp;"","?"))</f>
        <v/>
      </c>
      <c r="N3281" s="2" t="str">
        <f aca="false"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 t="str">
        <f aca="false">IF(OR(F3281="",G3281=""),"",IF(G3281&lt;='RETRATO 2027'!$K$5,"CONCLUÍDA",IF(F3281&lt;='RETRATO 2027'!$K$5,"EM ANDAMENTO","A INICIAR")))</f>
        <v/>
      </c>
    </row>
    <row r="3282" customFormat="false" ht="15" hidden="false" customHeight="false" outlineLevel="0" collapsed="false">
      <c r="M3282" s="2" t="str">
        <f aca="false">IF(C3282="","",IFERROR(INDEX($S$5:$S$304,MATCH(C3282,$R$5:$R$304,0))&amp;"","?"))</f>
        <v/>
      </c>
      <c r="N3282" s="2" t="str">
        <f aca="false"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 t="str">
        <f aca="false">IF(OR(F3282="",G3282=""),"",IF(G3282&lt;='RETRATO 2027'!$K$5,"CONCLUÍDA",IF(F3282&lt;='RETRATO 2027'!$K$5,"EM ANDAMENTO","A INICIAR")))</f>
        <v/>
      </c>
    </row>
    <row r="3283" customFormat="false" ht="15" hidden="false" customHeight="false" outlineLevel="0" collapsed="false">
      <c r="M3283" s="2" t="str">
        <f aca="false">IF(C3283="","",IFERROR(INDEX($S$5:$S$304,MATCH(C3283,$R$5:$R$304,0))&amp;"","?"))</f>
        <v/>
      </c>
      <c r="N3283" s="2" t="str">
        <f aca="false"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 t="str">
        <f aca="false">IF(OR(F3283="",G3283=""),"",IF(G3283&lt;='RETRATO 2027'!$K$5,"CONCLUÍDA",IF(F3283&lt;='RETRATO 2027'!$K$5,"EM ANDAMENTO","A INICIAR")))</f>
        <v/>
      </c>
    </row>
    <row r="3284" customFormat="false" ht="15" hidden="false" customHeight="false" outlineLevel="0" collapsed="false">
      <c r="M3284" s="2" t="str">
        <f aca="false">IF(C3284="","",IFERROR(INDEX($S$5:$S$304,MATCH(C3284,$R$5:$R$304,0))&amp;"","?"))</f>
        <v/>
      </c>
      <c r="N3284" s="2" t="str">
        <f aca="false"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 t="str">
        <f aca="false">IF(OR(F3284="",G3284=""),"",IF(G3284&lt;='RETRATO 2027'!$K$5,"CONCLUÍDA",IF(F3284&lt;='RETRATO 2027'!$K$5,"EM ANDAMENTO","A INICIAR")))</f>
        <v/>
      </c>
    </row>
    <row r="3285" customFormat="false" ht="15" hidden="false" customHeight="false" outlineLevel="0" collapsed="false">
      <c r="M3285" s="2" t="str">
        <f aca="false">IF(C3285="","",IFERROR(INDEX($S$5:$S$304,MATCH(C3285,$R$5:$R$304,0))&amp;"","?"))</f>
        <v/>
      </c>
      <c r="N3285" s="2" t="str">
        <f aca="false"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 t="str">
        <f aca="false">IF(OR(F3285="",G3285=""),"",IF(G3285&lt;='RETRATO 2027'!$K$5,"CONCLUÍDA",IF(F3285&lt;='RETRATO 2027'!$K$5,"EM ANDAMENTO","A INICIAR")))</f>
        <v/>
      </c>
    </row>
    <row r="3286" customFormat="false" ht="15" hidden="false" customHeight="false" outlineLevel="0" collapsed="false">
      <c r="M3286" s="2" t="str">
        <f aca="false">IF(C3286="","",IFERROR(INDEX($S$5:$S$304,MATCH(C3286,$R$5:$R$304,0))&amp;"","?"))</f>
        <v/>
      </c>
      <c r="N3286" s="2" t="str">
        <f aca="false"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 t="str">
        <f aca="false">IF(OR(F3286="",G3286=""),"",IF(G3286&lt;='RETRATO 2027'!$K$5,"CONCLUÍDA",IF(F3286&lt;='RETRATO 2027'!$K$5,"EM ANDAMENTO","A INICIAR")))</f>
        <v/>
      </c>
    </row>
    <row r="3287" customFormat="false" ht="15" hidden="false" customHeight="false" outlineLevel="0" collapsed="false">
      <c r="M3287" s="2" t="str">
        <f aca="false">IF(C3287="","",IFERROR(INDEX($S$5:$S$304,MATCH(C3287,$R$5:$R$304,0))&amp;"","?"))</f>
        <v/>
      </c>
      <c r="N3287" s="2" t="str">
        <f aca="false"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 t="str">
        <f aca="false">IF(OR(F3287="",G3287=""),"",IF(G3287&lt;='RETRATO 2027'!$K$5,"CONCLUÍDA",IF(F3287&lt;='RETRATO 2027'!$K$5,"EM ANDAMENTO","A INICIAR")))</f>
        <v/>
      </c>
    </row>
    <row r="3288" customFormat="false" ht="15" hidden="false" customHeight="false" outlineLevel="0" collapsed="false">
      <c r="M3288" s="2" t="str">
        <f aca="false">IF(C3288="","",IFERROR(INDEX($S$5:$S$304,MATCH(C3288,$R$5:$R$304,0))&amp;"","?"))</f>
        <v/>
      </c>
      <c r="N3288" s="2" t="str">
        <f aca="false"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 t="str">
        <f aca="false">IF(OR(F3288="",G3288=""),"",IF(G3288&lt;='RETRATO 2027'!$K$5,"CONCLUÍDA",IF(F3288&lt;='RETRATO 2027'!$K$5,"EM ANDAMENTO","A INICIAR")))</f>
        <v/>
      </c>
    </row>
    <row r="3289" customFormat="false" ht="15" hidden="false" customHeight="false" outlineLevel="0" collapsed="false">
      <c r="M3289" s="2" t="str">
        <f aca="false">IF(C3289="","",IFERROR(INDEX($S$5:$S$304,MATCH(C3289,$R$5:$R$304,0))&amp;"","?"))</f>
        <v/>
      </c>
      <c r="N3289" s="2" t="str">
        <f aca="false"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 t="str">
        <f aca="false">IF(OR(F3289="",G3289=""),"",IF(G3289&lt;='RETRATO 2027'!$K$5,"CONCLUÍDA",IF(F3289&lt;='RETRATO 2027'!$K$5,"EM ANDAMENTO","A INICIAR")))</f>
        <v/>
      </c>
    </row>
    <row r="3290" customFormat="false" ht="15" hidden="false" customHeight="false" outlineLevel="0" collapsed="false">
      <c r="M3290" s="2" t="str">
        <f aca="false">IF(C3290="","",IFERROR(INDEX($S$5:$S$304,MATCH(C3290,$R$5:$R$304,0))&amp;"","?"))</f>
        <v/>
      </c>
      <c r="N3290" s="2" t="str">
        <f aca="false"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 t="str">
        <f aca="false">IF(OR(F3290="",G3290=""),"",IF(G3290&lt;='RETRATO 2027'!$K$5,"CONCLUÍDA",IF(F3290&lt;='RETRATO 2027'!$K$5,"EM ANDAMENTO","A INICIAR")))</f>
        <v/>
      </c>
    </row>
    <row r="3291" customFormat="false" ht="15" hidden="false" customHeight="false" outlineLevel="0" collapsed="false">
      <c r="M3291" s="2" t="str">
        <f aca="false">IF(C3291="","",IFERROR(INDEX($S$5:$S$304,MATCH(C3291,$R$5:$R$304,0))&amp;"","?"))</f>
        <v/>
      </c>
      <c r="N3291" s="2" t="str">
        <f aca="false"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 t="str">
        <f aca="false">IF(OR(F3291="",G3291=""),"",IF(G3291&lt;='RETRATO 2027'!$K$5,"CONCLUÍDA",IF(F3291&lt;='RETRATO 2027'!$K$5,"EM ANDAMENTO","A INICIAR")))</f>
        <v/>
      </c>
    </row>
    <row r="3292" customFormat="false" ht="15" hidden="false" customHeight="false" outlineLevel="0" collapsed="false">
      <c r="M3292" s="2" t="str">
        <f aca="false">IF(C3292="","",IFERROR(INDEX($S$5:$S$304,MATCH(C3292,$R$5:$R$304,0))&amp;"","?"))</f>
        <v/>
      </c>
      <c r="N3292" s="2" t="str">
        <f aca="false"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 t="str">
        <f aca="false">IF(OR(F3292="",G3292=""),"",IF(G3292&lt;='RETRATO 2027'!$K$5,"CONCLUÍDA",IF(F3292&lt;='RETRATO 2027'!$K$5,"EM ANDAMENTO","A INICIAR")))</f>
        <v/>
      </c>
    </row>
    <row r="3293" customFormat="false" ht="15" hidden="false" customHeight="false" outlineLevel="0" collapsed="false">
      <c r="M3293" s="2" t="str">
        <f aca="false">IF(C3293="","",IFERROR(INDEX($S$5:$S$304,MATCH(C3293,$R$5:$R$304,0))&amp;"","?"))</f>
        <v/>
      </c>
      <c r="N3293" s="2" t="str">
        <f aca="false"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 t="str">
        <f aca="false">IF(OR(F3293="",G3293=""),"",IF(G3293&lt;='RETRATO 2027'!$K$5,"CONCLUÍDA",IF(F3293&lt;='RETRATO 2027'!$K$5,"EM ANDAMENTO","A INICIAR")))</f>
        <v/>
      </c>
    </row>
    <row r="3294" customFormat="false" ht="15" hidden="false" customHeight="false" outlineLevel="0" collapsed="false">
      <c r="M3294" s="2" t="str">
        <f aca="false">IF(C3294="","",IFERROR(INDEX($S$5:$S$304,MATCH(C3294,$R$5:$R$304,0))&amp;"","?"))</f>
        <v/>
      </c>
      <c r="N3294" s="2" t="str">
        <f aca="false"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 t="str">
        <f aca="false">IF(OR(F3294="",G3294=""),"",IF(G3294&lt;='RETRATO 2027'!$K$5,"CONCLUÍDA",IF(F3294&lt;='RETRATO 2027'!$K$5,"EM ANDAMENTO","A INICIAR")))</f>
        <v/>
      </c>
    </row>
    <row r="3295" customFormat="false" ht="15" hidden="false" customHeight="false" outlineLevel="0" collapsed="false">
      <c r="M3295" s="2" t="str">
        <f aca="false">IF(C3295="","",IFERROR(INDEX($S$5:$S$304,MATCH(C3295,$R$5:$R$304,0))&amp;"","?"))</f>
        <v/>
      </c>
      <c r="N3295" s="2" t="str">
        <f aca="false"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 t="str">
        <f aca="false">IF(OR(F3295="",G3295=""),"",IF(G3295&lt;='RETRATO 2027'!$K$5,"CONCLUÍDA",IF(F3295&lt;='RETRATO 2027'!$K$5,"EM ANDAMENTO","A INICIAR")))</f>
        <v/>
      </c>
    </row>
    <row r="3296" customFormat="false" ht="15" hidden="false" customHeight="false" outlineLevel="0" collapsed="false">
      <c r="M3296" s="2" t="str">
        <f aca="false">IF(C3296="","",IFERROR(INDEX($S$5:$S$304,MATCH(C3296,$R$5:$R$304,0))&amp;"","?"))</f>
        <v/>
      </c>
      <c r="N3296" s="2" t="str">
        <f aca="false"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 t="str">
        <f aca="false">IF(OR(F3296="",G3296=""),"",IF(G3296&lt;='RETRATO 2027'!$K$5,"CONCLUÍDA",IF(F3296&lt;='RETRATO 2027'!$K$5,"EM ANDAMENTO","A INICIAR")))</f>
        <v/>
      </c>
    </row>
    <row r="3297" customFormat="false" ht="15" hidden="false" customHeight="false" outlineLevel="0" collapsed="false">
      <c r="M3297" s="2" t="str">
        <f aca="false">IF(C3297="","",IFERROR(INDEX($S$5:$S$304,MATCH(C3297,$R$5:$R$304,0))&amp;"","?"))</f>
        <v/>
      </c>
      <c r="N3297" s="2" t="str">
        <f aca="false"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 t="str">
        <f aca="false">IF(OR(F3297="",G3297=""),"",IF(G3297&lt;='RETRATO 2027'!$K$5,"CONCLUÍDA",IF(F3297&lt;='RETRATO 2027'!$K$5,"EM ANDAMENTO","A INICIAR")))</f>
        <v/>
      </c>
    </row>
    <row r="3298" customFormat="false" ht="15" hidden="false" customHeight="false" outlineLevel="0" collapsed="false">
      <c r="M3298" s="2" t="str">
        <f aca="false">IF(C3298="","",IFERROR(INDEX($S$5:$S$304,MATCH(C3298,$R$5:$R$304,0))&amp;"","?"))</f>
        <v/>
      </c>
      <c r="N3298" s="2" t="str">
        <f aca="false"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 t="str">
        <f aca="false">IF(OR(F3298="",G3298=""),"",IF(G3298&lt;='RETRATO 2027'!$K$5,"CONCLUÍDA",IF(F3298&lt;='RETRATO 2027'!$K$5,"EM ANDAMENTO","A INICIAR")))</f>
        <v/>
      </c>
    </row>
    <row r="3299" customFormat="false" ht="15" hidden="false" customHeight="false" outlineLevel="0" collapsed="false">
      <c r="M3299" s="2" t="str">
        <f aca="false">IF(C3299="","",IFERROR(INDEX($S$5:$S$304,MATCH(C3299,$R$5:$R$304,0))&amp;"","?"))</f>
        <v/>
      </c>
      <c r="N3299" s="2" t="str">
        <f aca="false"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 t="str">
        <f aca="false">IF(OR(F3299="",G3299=""),"",IF(G3299&lt;='RETRATO 2027'!$K$5,"CONCLUÍDA",IF(F3299&lt;='RETRATO 2027'!$K$5,"EM ANDAMENTO","A INICIAR")))</f>
        <v/>
      </c>
    </row>
    <row r="3300" customFormat="false" ht="15" hidden="false" customHeight="false" outlineLevel="0" collapsed="false">
      <c r="M3300" s="2" t="str">
        <f aca="false">IF(C3300="","",IFERROR(INDEX($S$5:$S$304,MATCH(C3300,$R$5:$R$304,0))&amp;"","?"))</f>
        <v/>
      </c>
      <c r="N3300" s="2" t="str">
        <f aca="false"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 t="str">
        <f aca="false">IF(OR(F3300="",G3300=""),"",IF(G3300&lt;='RETRATO 2027'!$K$5,"CONCLUÍDA",IF(F3300&lt;='RETRATO 2027'!$K$5,"EM ANDAMENTO","A INICIAR")))</f>
        <v/>
      </c>
    </row>
    <row r="3301" customFormat="false" ht="15" hidden="false" customHeight="false" outlineLevel="0" collapsed="false">
      <c r="M3301" s="2" t="str">
        <f aca="false">IF(C3301="","",IFERROR(INDEX($S$5:$S$304,MATCH(C3301,$R$5:$R$304,0))&amp;"","?"))</f>
        <v/>
      </c>
      <c r="N3301" s="2" t="str">
        <f aca="false"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 t="str">
        <f aca="false">IF(OR(F3301="",G3301=""),"",IF(G3301&lt;='RETRATO 2027'!$K$5,"CONCLUÍDA",IF(F3301&lt;='RETRATO 2027'!$K$5,"EM ANDAMENTO","A INICIAR")))</f>
        <v/>
      </c>
    </row>
    <row r="3302" customFormat="false" ht="15" hidden="false" customHeight="false" outlineLevel="0" collapsed="false">
      <c r="M3302" s="2" t="str">
        <f aca="false">IF(C3302="","",IFERROR(INDEX($S$5:$S$304,MATCH(C3302,$R$5:$R$304,0))&amp;"","?"))</f>
        <v/>
      </c>
      <c r="N3302" s="2" t="str">
        <f aca="false"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 t="str">
        <f aca="false">IF(OR(F3302="",G3302=""),"",IF(G3302&lt;='RETRATO 2027'!$K$5,"CONCLUÍDA",IF(F3302&lt;='RETRATO 2027'!$K$5,"EM ANDAMENTO","A INICIAR")))</f>
        <v/>
      </c>
    </row>
    <row r="3303" customFormat="false" ht="15" hidden="false" customHeight="false" outlineLevel="0" collapsed="false">
      <c r="M3303" s="2" t="str">
        <f aca="false">IF(C3303="","",IFERROR(INDEX($S$5:$S$304,MATCH(C3303,$R$5:$R$304,0))&amp;"","?"))</f>
        <v/>
      </c>
      <c r="N3303" s="2" t="str">
        <f aca="false"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 t="str">
        <f aca="false">IF(OR(F3303="",G3303=""),"",IF(G3303&lt;='RETRATO 2027'!$K$5,"CONCLUÍDA",IF(F3303&lt;='RETRATO 2027'!$K$5,"EM ANDAMENTO","A INICIAR")))</f>
        <v/>
      </c>
    </row>
    <row r="3304" customFormat="false" ht="15" hidden="false" customHeight="false" outlineLevel="0" collapsed="false">
      <c r="M3304" s="2" t="str">
        <f aca="false">IF(C3304="","",IFERROR(INDEX($S$5:$S$304,MATCH(C3304,$R$5:$R$304,0))&amp;"","?"))</f>
        <v/>
      </c>
      <c r="N3304" s="2" t="str">
        <f aca="false"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 t="str">
        <f aca="false">IF(OR(F3304="",G3304=""),"",IF(G3304&lt;='RETRATO 2027'!$K$5,"CONCLUÍDA",IF(F3304&lt;='RETRATO 2027'!$K$5,"EM ANDAMENTO","A INICIAR")))</f>
        <v/>
      </c>
    </row>
    <row r="3305" customFormat="false" ht="15" hidden="false" customHeight="false" outlineLevel="0" collapsed="false">
      <c r="M3305" s="2" t="str">
        <f aca="false">IF(C3305="","",IFERROR(INDEX($S$5:$S$304,MATCH(C3305,$R$5:$R$304,0))&amp;"","?"))</f>
        <v/>
      </c>
      <c r="N3305" s="2" t="str">
        <f aca="false"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 t="str">
        <f aca="false">IF(OR(F3305="",G3305=""),"",IF(G3305&lt;='RETRATO 2027'!$K$5,"CONCLUÍDA",IF(F3305&lt;='RETRATO 2027'!$K$5,"EM ANDAMENTO","A INICIAR")))</f>
        <v/>
      </c>
    </row>
    <row r="3306" customFormat="false" ht="15" hidden="false" customHeight="false" outlineLevel="0" collapsed="false">
      <c r="M3306" s="2" t="str">
        <f aca="false">IF(C3306="","",IFERROR(INDEX($S$5:$S$304,MATCH(C3306,$R$5:$R$304,0))&amp;"","?"))</f>
        <v/>
      </c>
      <c r="N3306" s="2" t="str">
        <f aca="false"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 t="str">
        <f aca="false">IF(OR(F3306="",G3306=""),"",IF(G3306&lt;='RETRATO 2027'!$K$5,"CONCLUÍDA",IF(F3306&lt;='RETRATO 2027'!$K$5,"EM ANDAMENTO","A INICIAR")))</f>
        <v/>
      </c>
    </row>
    <row r="3307" customFormat="false" ht="15" hidden="false" customHeight="false" outlineLevel="0" collapsed="false">
      <c r="M3307" s="2" t="str">
        <f aca="false">IF(C3307="","",IFERROR(INDEX($S$5:$S$304,MATCH(C3307,$R$5:$R$304,0))&amp;"","?"))</f>
        <v/>
      </c>
      <c r="N3307" s="2" t="str">
        <f aca="false"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 t="str">
        <f aca="false">IF(OR(F3307="",G3307=""),"",IF(G3307&lt;='RETRATO 2027'!$K$5,"CONCLUÍDA",IF(F3307&lt;='RETRATO 2027'!$K$5,"EM ANDAMENTO","A INICIAR")))</f>
        <v/>
      </c>
    </row>
    <row r="3308" customFormat="false" ht="15" hidden="false" customHeight="false" outlineLevel="0" collapsed="false">
      <c r="M3308" s="2" t="str">
        <f aca="false">IF(C3308="","",IFERROR(INDEX($S$5:$S$304,MATCH(C3308,$R$5:$R$304,0))&amp;"","?"))</f>
        <v/>
      </c>
      <c r="N3308" s="2" t="str">
        <f aca="false"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 t="str">
        <f aca="false">IF(OR(F3308="",G3308=""),"",IF(G3308&lt;='RETRATO 2027'!$K$5,"CONCLUÍDA",IF(F3308&lt;='RETRATO 2027'!$K$5,"EM ANDAMENTO","A INICIAR")))</f>
        <v/>
      </c>
    </row>
    <row r="3309" customFormat="false" ht="15" hidden="false" customHeight="false" outlineLevel="0" collapsed="false">
      <c r="M3309" s="2" t="str">
        <f aca="false">IF(C3309="","",IFERROR(INDEX($S$5:$S$304,MATCH(C3309,$R$5:$R$304,0))&amp;"","?"))</f>
        <v/>
      </c>
      <c r="N3309" s="2" t="str">
        <f aca="false"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 t="str">
        <f aca="false">IF(OR(F3309="",G3309=""),"",IF(G3309&lt;='RETRATO 2027'!$K$5,"CONCLUÍDA",IF(F3309&lt;='RETRATO 2027'!$K$5,"EM ANDAMENTO","A INICIAR")))</f>
        <v/>
      </c>
    </row>
    <row r="3310" customFormat="false" ht="15" hidden="false" customHeight="false" outlineLevel="0" collapsed="false">
      <c r="M3310" s="2" t="str">
        <f aca="false">IF(C3310="","",IFERROR(INDEX($S$5:$S$304,MATCH(C3310,$R$5:$R$304,0))&amp;"","?"))</f>
        <v/>
      </c>
      <c r="N3310" s="2" t="str">
        <f aca="false"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 t="str">
        <f aca="false">IF(OR(F3310="",G3310=""),"",IF(G3310&lt;='RETRATO 2027'!$K$5,"CONCLUÍDA",IF(F3310&lt;='RETRATO 2027'!$K$5,"EM ANDAMENTO","A INICIAR")))</f>
        <v/>
      </c>
    </row>
    <row r="3311" customFormat="false" ht="15" hidden="false" customHeight="false" outlineLevel="0" collapsed="false">
      <c r="M3311" s="2" t="str">
        <f aca="false">IF(C3311="","",IFERROR(INDEX($S$5:$S$304,MATCH(C3311,$R$5:$R$304,0))&amp;"","?"))</f>
        <v/>
      </c>
      <c r="N3311" s="2" t="str">
        <f aca="false"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 t="str">
        <f aca="false">IF(OR(F3311="",G3311=""),"",IF(G3311&lt;='RETRATO 2027'!$K$5,"CONCLUÍDA",IF(F3311&lt;='RETRATO 2027'!$K$5,"EM ANDAMENTO","A INICIAR")))</f>
        <v/>
      </c>
    </row>
    <row r="3312" customFormat="false" ht="15" hidden="false" customHeight="false" outlineLevel="0" collapsed="false">
      <c r="M3312" s="2" t="str">
        <f aca="false">IF(C3312="","",IFERROR(INDEX($S$5:$S$304,MATCH(C3312,$R$5:$R$304,0))&amp;"","?"))</f>
        <v/>
      </c>
      <c r="N3312" s="2" t="str">
        <f aca="false"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 t="str">
        <f aca="false">IF(OR(F3312="",G3312=""),"",IF(G3312&lt;='RETRATO 2027'!$K$5,"CONCLUÍDA",IF(F3312&lt;='RETRATO 2027'!$K$5,"EM ANDAMENTO","A INICIAR")))</f>
        <v/>
      </c>
    </row>
    <row r="3313" customFormat="false" ht="15" hidden="false" customHeight="false" outlineLevel="0" collapsed="false">
      <c r="M3313" s="2" t="str">
        <f aca="false">IF(C3313="","",IFERROR(INDEX($S$5:$S$304,MATCH(C3313,$R$5:$R$304,0))&amp;"","?"))</f>
        <v/>
      </c>
      <c r="N3313" s="2" t="str">
        <f aca="false"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 t="str">
        <f aca="false">IF(OR(F3313="",G3313=""),"",IF(G3313&lt;='RETRATO 2027'!$K$5,"CONCLUÍDA",IF(F3313&lt;='RETRATO 2027'!$K$5,"EM ANDAMENTO","A INICIAR")))</f>
        <v/>
      </c>
    </row>
    <row r="3314" customFormat="false" ht="15" hidden="false" customHeight="false" outlineLevel="0" collapsed="false">
      <c r="M3314" s="2" t="str">
        <f aca="false">IF(C3314="","",IFERROR(INDEX($S$5:$S$304,MATCH(C3314,$R$5:$R$304,0))&amp;"","?"))</f>
        <v/>
      </c>
      <c r="N3314" s="2" t="str">
        <f aca="false"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 t="str">
        <f aca="false">IF(OR(F3314="",G3314=""),"",IF(G3314&lt;='RETRATO 2027'!$K$5,"CONCLUÍDA",IF(F3314&lt;='RETRATO 2027'!$K$5,"EM ANDAMENTO","A INICIAR")))</f>
        <v/>
      </c>
    </row>
    <row r="3315" customFormat="false" ht="15" hidden="false" customHeight="false" outlineLevel="0" collapsed="false">
      <c r="M3315" s="2" t="str">
        <f aca="false">IF(C3315="","",IFERROR(INDEX($S$5:$S$304,MATCH(C3315,$R$5:$R$304,0))&amp;"","?"))</f>
        <v/>
      </c>
      <c r="N3315" s="2" t="str">
        <f aca="false"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 t="str">
        <f aca="false">IF(OR(F3315="",G3315=""),"",IF(G3315&lt;='RETRATO 2027'!$K$5,"CONCLUÍDA",IF(F3315&lt;='RETRATO 2027'!$K$5,"EM ANDAMENTO","A INICIAR")))</f>
        <v/>
      </c>
    </row>
    <row r="3316" customFormat="false" ht="15" hidden="false" customHeight="false" outlineLevel="0" collapsed="false">
      <c r="M3316" s="2" t="str">
        <f aca="false">IF(C3316="","",IFERROR(INDEX($S$5:$S$304,MATCH(C3316,$R$5:$R$304,0))&amp;"","?"))</f>
        <v/>
      </c>
      <c r="N3316" s="2" t="str">
        <f aca="false"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 t="str">
        <f aca="false">IF(OR(F3316="",G3316=""),"",IF(G3316&lt;='RETRATO 2027'!$K$5,"CONCLUÍDA",IF(F3316&lt;='RETRATO 2027'!$K$5,"EM ANDAMENTO","A INICIAR")))</f>
        <v/>
      </c>
    </row>
    <row r="3317" customFormat="false" ht="15" hidden="false" customHeight="false" outlineLevel="0" collapsed="false">
      <c r="M3317" s="2" t="str">
        <f aca="false">IF(C3317="","",IFERROR(INDEX($S$5:$S$304,MATCH(C3317,$R$5:$R$304,0))&amp;"","?"))</f>
        <v/>
      </c>
      <c r="N3317" s="2" t="str">
        <f aca="false"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 t="str">
        <f aca="false">IF(OR(F3317="",G3317=""),"",IF(G3317&lt;='RETRATO 2027'!$K$5,"CONCLUÍDA",IF(F3317&lt;='RETRATO 2027'!$K$5,"EM ANDAMENTO","A INICIAR")))</f>
        <v/>
      </c>
    </row>
    <row r="3318" customFormat="false" ht="15" hidden="false" customHeight="false" outlineLevel="0" collapsed="false">
      <c r="M3318" s="2" t="str">
        <f aca="false">IF(C3318="","",IFERROR(INDEX($S$5:$S$304,MATCH(C3318,$R$5:$R$304,0))&amp;"","?"))</f>
        <v/>
      </c>
      <c r="N3318" s="2" t="str">
        <f aca="false"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 t="str">
        <f aca="false">IF(OR(F3318="",G3318=""),"",IF(G3318&lt;='RETRATO 2027'!$K$5,"CONCLUÍDA",IF(F3318&lt;='RETRATO 2027'!$K$5,"EM ANDAMENTO","A INICIAR")))</f>
        <v/>
      </c>
    </row>
    <row r="3319" customFormat="false" ht="15" hidden="false" customHeight="false" outlineLevel="0" collapsed="false">
      <c r="M3319" s="2" t="str">
        <f aca="false">IF(C3319="","",IFERROR(INDEX($S$5:$S$304,MATCH(C3319,$R$5:$R$304,0))&amp;"","?"))</f>
        <v/>
      </c>
      <c r="N3319" s="2" t="str">
        <f aca="false"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 t="str">
        <f aca="false">IF(OR(F3319="",G3319=""),"",IF(G3319&lt;='RETRATO 2027'!$K$5,"CONCLUÍDA",IF(F3319&lt;='RETRATO 2027'!$K$5,"EM ANDAMENTO","A INICIAR")))</f>
        <v/>
      </c>
    </row>
    <row r="3320" customFormat="false" ht="15" hidden="false" customHeight="false" outlineLevel="0" collapsed="false">
      <c r="M3320" s="2" t="str">
        <f aca="false">IF(C3320="","",IFERROR(INDEX($S$5:$S$304,MATCH(C3320,$R$5:$R$304,0))&amp;"","?"))</f>
        <v/>
      </c>
      <c r="N3320" s="2" t="str">
        <f aca="false"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 t="str">
        <f aca="false">IF(OR(F3320="",G3320=""),"",IF(G3320&lt;='RETRATO 2027'!$K$5,"CONCLUÍDA",IF(F3320&lt;='RETRATO 2027'!$K$5,"EM ANDAMENTO","A INICIAR")))</f>
        <v/>
      </c>
    </row>
    <row r="3321" customFormat="false" ht="15" hidden="false" customHeight="false" outlineLevel="0" collapsed="false">
      <c r="M3321" s="2" t="str">
        <f aca="false">IF(C3321="","",IFERROR(INDEX($S$5:$S$304,MATCH(C3321,$R$5:$R$304,0))&amp;"","?"))</f>
        <v/>
      </c>
      <c r="N3321" s="2" t="str">
        <f aca="false"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 t="str">
        <f aca="false">IF(OR(F3321="",G3321=""),"",IF(G3321&lt;='RETRATO 2027'!$K$5,"CONCLUÍDA",IF(F3321&lt;='RETRATO 2027'!$K$5,"EM ANDAMENTO","A INICIAR")))</f>
        <v/>
      </c>
    </row>
    <row r="3322" customFormat="false" ht="15" hidden="false" customHeight="false" outlineLevel="0" collapsed="false">
      <c r="M3322" s="2" t="str">
        <f aca="false">IF(C3322="","",IFERROR(INDEX($S$5:$S$304,MATCH(C3322,$R$5:$R$304,0))&amp;"","?"))</f>
        <v/>
      </c>
      <c r="N3322" s="2" t="str">
        <f aca="false"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 t="str">
        <f aca="false">IF(OR(F3322="",G3322=""),"",IF(G3322&lt;='RETRATO 2027'!$K$5,"CONCLUÍDA",IF(F3322&lt;='RETRATO 2027'!$K$5,"EM ANDAMENTO","A INICIAR")))</f>
        <v/>
      </c>
    </row>
    <row r="3323" customFormat="false" ht="15" hidden="false" customHeight="false" outlineLevel="0" collapsed="false">
      <c r="M3323" s="2" t="str">
        <f aca="false">IF(C3323="","",IFERROR(INDEX($S$5:$S$304,MATCH(C3323,$R$5:$R$304,0))&amp;"","?"))</f>
        <v/>
      </c>
      <c r="N3323" s="2" t="str">
        <f aca="false"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 t="str">
        <f aca="false">IF(OR(F3323="",G3323=""),"",IF(G3323&lt;='RETRATO 2027'!$K$5,"CONCLUÍDA",IF(F3323&lt;='RETRATO 2027'!$K$5,"EM ANDAMENTO","A INICIAR")))</f>
        <v/>
      </c>
    </row>
    <row r="3324" customFormat="false" ht="15" hidden="false" customHeight="false" outlineLevel="0" collapsed="false">
      <c r="M3324" s="2" t="str">
        <f aca="false">IF(C3324="","",IFERROR(INDEX($S$5:$S$304,MATCH(C3324,$R$5:$R$304,0))&amp;"","?"))</f>
        <v/>
      </c>
      <c r="N3324" s="2" t="str">
        <f aca="false"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 t="str">
        <f aca="false">IF(OR(F3324="",G3324=""),"",IF(G3324&lt;='RETRATO 2027'!$K$5,"CONCLUÍDA",IF(F3324&lt;='RETRATO 2027'!$K$5,"EM ANDAMENTO","A INICIAR")))</f>
        <v/>
      </c>
    </row>
    <row r="3325" customFormat="false" ht="15" hidden="false" customHeight="false" outlineLevel="0" collapsed="false">
      <c r="M3325" s="2" t="str">
        <f aca="false">IF(C3325="","",IFERROR(INDEX($S$5:$S$304,MATCH(C3325,$R$5:$R$304,0))&amp;"","?"))</f>
        <v/>
      </c>
      <c r="N3325" s="2" t="str">
        <f aca="false"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 t="str">
        <f aca="false">IF(OR(F3325="",G3325=""),"",IF(G3325&lt;='RETRATO 2027'!$K$5,"CONCLUÍDA",IF(F3325&lt;='RETRATO 2027'!$K$5,"EM ANDAMENTO","A INICIAR")))</f>
        <v/>
      </c>
    </row>
    <row r="3326" customFormat="false" ht="15" hidden="false" customHeight="false" outlineLevel="0" collapsed="false">
      <c r="M3326" s="2" t="str">
        <f aca="false">IF(C3326="","",IFERROR(INDEX($S$5:$S$304,MATCH(C3326,$R$5:$R$304,0))&amp;"","?"))</f>
        <v/>
      </c>
      <c r="N3326" s="2" t="str">
        <f aca="false"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 t="str">
        <f aca="false">IF(OR(F3326="",G3326=""),"",IF(G3326&lt;='RETRATO 2027'!$K$5,"CONCLUÍDA",IF(F3326&lt;='RETRATO 2027'!$K$5,"EM ANDAMENTO","A INICIAR")))</f>
        <v/>
      </c>
    </row>
    <row r="3327" customFormat="false" ht="15" hidden="false" customHeight="false" outlineLevel="0" collapsed="false">
      <c r="M3327" s="2" t="str">
        <f aca="false">IF(C3327="","",IFERROR(INDEX($S$5:$S$304,MATCH(C3327,$R$5:$R$304,0))&amp;"","?"))</f>
        <v/>
      </c>
      <c r="N3327" s="2" t="str">
        <f aca="false"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 t="str">
        <f aca="false">IF(OR(F3327="",G3327=""),"",IF(G3327&lt;='RETRATO 2027'!$K$5,"CONCLUÍDA",IF(F3327&lt;='RETRATO 2027'!$K$5,"EM ANDAMENTO","A INICIAR")))</f>
        <v/>
      </c>
    </row>
    <row r="3328" customFormat="false" ht="15" hidden="false" customHeight="false" outlineLevel="0" collapsed="false">
      <c r="M3328" s="2" t="str">
        <f aca="false">IF(C3328="","",IFERROR(INDEX($S$5:$S$304,MATCH(C3328,$R$5:$R$304,0))&amp;"","?"))</f>
        <v/>
      </c>
      <c r="N3328" s="2" t="str">
        <f aca="false"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 t="str">
        <f aca="false">IF(OR(F3328="",G3328=""),"",IF(G3328&lt;='RETRATO 2027'!$K$5,"CONCLUÍDA",IF(F3328&lt;='RETRATO 2027'!$K$5,"EM ANDAMENTO","A INICIAR")))</f>
        <v/>
      </c>
    </row>
    <row r="3329" customFormat="false" ht="15" hidden="false" customHeight="false" outlineLevel="0" collapsed="false">
      <c r="M3329" s="2" t="str">
        <f aca="false">IF(C3329="","",IFERROR(INDEX($S$5:$S$304,MATCH(C3329,$R$5:$R$304,0))&amp;"","?"))</f>
        <v/>
      </c>
      <c r="N3329" s="2" t="str">
        <f aca="false"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 t="str">
        <f aca="false">IF(OR(F3329="",G3329=""),"",IF(G3329&lt;='RETRATO 2027'!$K$5,"CONCLUÍDA",IF(F3329&lt;='RETRATO 2027'!$K$5,"EM ANDAMENTO","A INICIAR")))</f>
        <v/>
      </c>
    </row>
    <row r="3330" customFormat="false" ht="15" hidden="false" customHeight="false" outlineLevel="0" collapsed="false">
      <c r="M3330" s="2" t="str">
        <f aca="false">IF(C3330="","",IFERROR(INDEX($S$5:$S$304,MATCH(C3330,$R$5:$R$304,0))&amp;"","?"))</f>
        <v/>
      </c>
      <c r="N3330" s="2" t="str">
        <f aca="false"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 t="str">
        <f aca="false">IF(OR(F3330="",G3330=""),"",IF(G3330&lt;='RETRATO 2027'!$K$5,"CONCLUÍDA",IF(F3330&lt;='RETRATO 2027'!$K$5,"EM ANDAMENTO","A INICIAR")))</f>
        <v/>
      </c>
    </row>
    <row r="3331" customFormat="false" ht="15" hidden="false" customHeight="false" outlineLevel="0" collapsed="false">
      <c r="M3331" s="2" t="str">
        <f aca="false">IF(C3331="","",IFERROR(INDEX($S$5:$S$304,MATCH(C3331,$R$5:$R$304,0))&amp;"","?"))</f>
        <v/>
      </c>
      <c r="N3331" s="2" t="str">
        <f aca="false"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 t="str">
        <f aca="false">IF(OR(F3331="",G3331=""),"",IF(G3331&lt;='RETRATO 2027'!$K$5,"CONCLUÍDA",IF(F3331&lt;='RETRATO 2027'!$K$5,"EM ANDAMENTO","A INICIAR")))</f>
        <v/>
      </c>
    </row>
    <row r="3332" customFormat="false" ht="15" hidden="false" customHeight="false" outlineLevel="0" collapsed="false">
      <c r="M3332" s="2" t="str">
        <f aca="false">IF(C3332="","",IFERROR(INDEX($S$5:$S$304,MATCH(C3332,$R$5:$R$304,0))&amp;"","?"))</f>
        <v/>
      </c>
      <c r="N3332" s="2" t="str">
        <f aca="false"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 t="str">
        <f aca="false">IF(OR(F3332="",G3332=""),"",IF(G3332&lt;='RETRATO 2027'!$K$5,"CONCLUÍDA",IF(F3332&lt;='RETRATO 2027'!$K$5,"EM ANDAMENTO","A INICIAR")))</f>
        <v/>
      </c>
    </row>
    <row r="3333" customFormat="false" ht="15" hidden="false" customHeight="false" outlineLevel="0" collapsed="false">
      <c r="M3333" s="2" t="str">
        <f aca="false">IF(C3333="","",IFERROR(INDEX($S$5:$S$304,MATCH(C3333,$R$5:$R$304,0))&amp;"","?"))</f>
        <v/>
      </c>
      <c r="N3333" s="2" t="str">
        <f aca="false"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 t="str">
        <f aca="false">IF(OR(F3333="",G3333=""),"",IF(G3333&lt;='RETRATO 2027'!$K$5,"CONCLUÍDA",IF(F3333&lt;='RETRATO 2027'!$K$5,"EM ANDAMENTO","A INICIAR")))</f>
        <v/>
      </c>
    </row>
    <row r="3334" customFormat="false" ht="15" hidden="false" customHeight="false" outlineLevel="0" collapsed="false">
      <c r="M3334" s="2" t="str">
        <f aca="false">IF(C3334="","",IFERROR(INDEX($S$5:$S$304,MATCH(C3334,$R$5:$R$304,0))&amp;"","?"))</f>
        <v/>
      </c>
      <c r="N3334" s="2" t="str">
        <f aca="false"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 t="str">
        <f aca="false">IF(OR(F3334="",G3334=""),"",IF(G3334&lt;='RETRATO 2027'!$K$5,"CONCLUÍDA",IF(F3334&lt;='RETRATO 2027'!$K$5,"EM ANDAMENTO","A INICIAR")))</f>
        <v/>
      </c>
    </row>
    <row r="3335" customFormat="false" ht="15" hidden="false" customHeight="false" outlineLevel="0" collapsed="false">
      <c r="M3335" s="2" t="str">
        <f aca="false">IF(C3335="","",IFERROR(INDEX($S$5:$S$304,MATCH(C3335,$R$5:$R$304,0))&amp;"","?"))</f>
        <v/>
      </c>
      <c r="N3335" s="2" t="str">
        <f aca="false"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 t="str">
        <f aca="false">IF(OR(F3335="",G3335=""),"",IF(G3335&lt;='RETRATO 2027'!$K$5,"CONCLUÍDA",IF(F3335&lt;='RETRATO 2027'!$K$5,"EM ANDAMENTO","A INICIAR")))</f>
        <v/>
      </c>
    </row>
    <row r="3336" customFormat="false" ht="15" hidden="false" customHeight="false" outlineLevel="0" collapsed="false">
      <c r="M3336" s="2" t="str">
        <f aca="false">IF(C3336="","",IFERROR(INDEX($S$5:$S$304,MATCH(C3336,$R$5:$R$304,0))&amp;"","?"))</f>
        <v/>
      </c>
      <c r="N3336" s="2" t="str">
        <f aca="false"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 t="str">
        <f aca="false">IF(OR(F3336="",G3336=""),"",IF(G3336&lt;='RETRATO 2027'!$K$5,"CONCLUÍDA",IF(F3336&lt;='RETRATO 2027'!$K$5,"EM ANDAMENTO","A INICIAR")))</f>
        <v/>
      </c>
    </row>
    <row r="3337" customFormat="false" ht="15" hidden="false" customHeight="false" outlineLevel="0" collapsed="false">
      <c r="M3337" s="2" t="str">
        <f aca="false">IF(C3337="","",IFERROR(INDEX($S$5:$S$304,MATCH(C3337,$R$5:$R$304,0))&amp;"","?"))</f>
        <v/>
      </c>
      <c r="N3337" s="2" t="str">
        <f aca="false"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 t="str">
        <f aca="false">IF(OR(F3337="",G3337=""),"",IF(G3337&lt;='RETRATO 2027'!$K$5,"CONCLUÍDA",IF(F3337&lt;='RETRATO 2027'!$K$5,"EM ANDAMENTO","A INICIAR")))</f>
        <v/>
      </c>
    </row>
    <row r="3338" customFormat="false" ht="15" hidden="false" customHeight="false" outlineLevel="0" collapsed="false">
      <c r="M3338" s="2" t="str">
        <f aca="false">IF(C3338="","",IFERROR(INDEX($S$5:$S$304,MATCH(C3338,$R$5:$R$304,0))&amp;"","?"))</f>
        <v/>
      </c>
      <c r="N3338" s="2" t="str">
        <f aca="false"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 t="str">
        <f aca="false">IF(OR(F3338="",G3338=""),"",IF(G3338&lt;='RETRATO 2027'!$K$5,"CONCLUÍDA",IF(F3338&lt;='RETRATO 2027'!$K$5,"EM ANDAMENTO","A INICIAR")))</f>
        <v/>
      </c>
    </row>
    <row r="3339" customFormat="false" ht="15" hidden="false" customHeight="false" outlineLevel="0" collapsed="false">
      <c r="M3339" s="2" t="str">
        <f aca="false">IF(C3339="","",IFERROR(INDEX($S$5:$S$304,MATCH(C3339,$R$5:$R$304,0))&amp;"","?"))</f>
        <v/>
      </c>
      <c r="N3339" s="2" t="str">
        <f aca="false"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 t="str">
        <f aca="false">IF(OR(F3339="",G3339=""),"",IF(G3339&lt;='RETRATO 2027'!$K$5,"CONCLUÍDA",IF(F3339&lt;='RETRATO 2027'!$K$5,"EM ANDAMENTO","A INICIAR")))</f>
        <v/>
      </c>
    </row>
    <row r="3340" customFormat="false" ht="15" hidden="false" customHeight="false" outlineLevel="0" collapsed="false">
      <c r="M3340" s="2" t="str">
        <f aca="false">IF(C3340="","",IFERROR(INDEX($S$5:$S$304,MATCH(C3340,$R$5:$R$304,0))&amp;"","?"))</f>
        <v/>
      </c>
      <c r="N3340" s="2" t="str">
        <f aca="false"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 t="str">
        <f aca="false">IF(OR(F3340="",G3340=""),"",IF(G3340&lt;='RETRATO 2027'!$K$5,"CONCLUÍDA",IF(F3340&lt;='RETRATO 2027'!$K$5,"EM ANDAMENTO","A INICIAR")))</f>
        <v/>
      </c>
    </row>
    <row r="3341" customFormat="false" ht="15" hidden="false" customHeight="false" outlineLevel="0" collapsed="false">
      <c r="M3341" s="2" t="str">
        <f aca="false">IF(C3341="","",IFERROR(INDEX($S$5:$S$304,MATCH(C3341,$R$5:$R$304,0))&amp;"","?"))</f>
        <v/>
      </c>
      <c r="N3341" s="2" t="str">
        <f aca="false"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 t="str">
        <f aca="false">IF(OR(F3341="",G3341=""),"",IF(G3341&lt;='RETRATO 2027'!$K$5,"CONCLUÍDA",IF(F3341&lt;='RETRATO 2027'!$K$5,"EM ANDAMENTO","A INICIAR")))</f>
        <v/>
      </c>
    </row>
    <row r="3342" customFormat="false" ht="15" hidden="false" customHeight="false" outlineLevel="0" collapsed="false">
      <c r="M3342" s="2" t="str">
        <f aca="false">IF(C3342="","",IFERROR(INDEX($S$5:$S$304,MATCH(C3342,$R$5:$R$304,0))&amp;"","?"))</f>
        <v/>
      </c>
      <c r="N3342" s="2" t="str">
        <f aca="false"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 t="str">
        <f aca="false">IF(OR(F3342="",G3342=""),"",IF(G3342&lt;='RETRATO 2027'!$K$5,"CONCLUÍDA",IF(F3342&lt;='RETRATO 2027'!$K$5,"EM ANDAMENTO","A INICIAR")))</f>
        <v/>
      </c>
    </row>
    <row r="3343" customFormat="false" ht="15" hidden="false" customHeight="false" outlineLevel="0" collapsed="false">
      <c r="M3343" s="2" t="str">
        <f aca="false">IF(C3343="","",IFERROR(INDEX($S$5:$S$304,MATCH(C3343,$R$5:$R$304,0))&amp;"","?"))</f>
        <v/>
      </c>
      <c r="N3343" s="2" t="str">
        <f aca="false"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 t="str">
        <f aca="false">IF(OR(F3343="",G3343=""),"",IF(G3343&lt;='RETRATO 2027'!$K$5,"CONCLUÍDA",IF(F3343&lt;='RETRATO 2027'!$K$5,"EM ANDAMENTO","A INICIAR")))</f>
        <v/>
      </c>
    </row>
    <row r="3344" customFormat="false" ht="15" hidden="false" customHeight="false" outlineLevel="0" collapsed="false">
      <c r="M3344" s="2" t="str">
        <f aca="false">IF(C3344="","",IFERROR(INDEX($S$5:$S$304,MATCH(C3344,$R$5:$R$304,0))&amp;"","?"))</f>
        <v/>
      </c>
      <c r="N3344" s="2" t="str">
        <f aca="false"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 t="str">
        <f aca="false">IF(OR(F3344="",G3344=""),"",IF(G3344&lt;='RETRATO 2027'!$K$5,"CONCLUÍDA",IF(F3344&lt;='RETRATO 2027'!$K$5,"EM ANDAMENTO","A INICIAR")))</f>
        <v/>
      </c>
    </row>
    <row r="3345" customFormat="false" ht="15" hidden="false" customHeight="false" outlineLevel="0" collapsed="false">
      <c r="M3345" s="2" t="str">
        <f aca="false">IF(C3345="","",IFERROR(INDEX($S$5:$S$304,MATCH(C3345,$R$5:$R$304,0))&amp;"","?"))</f>
        <v/>
      </c>
      <c r="N3345" s="2" t="str">
        <f aca="false"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 t="str">
        <f aca="false">IF(OR(F3345="",G3345=""),"",IF(G3345&lt;='RETRATO 2027'!$K$5,"CONCLUÍDA",IF(F3345&lt;='RETRATO 2027'!$K$5,"EM ANDAMENTO","A INICIAR")))</f>
        <v/>
      </c>
    </row>
    <row r="3346" customFormat="false" ht="15" hidden="false" customHeight="false" outlineLevel="0" collapsed="false">
      <c r="M3346" s="2" t="str">
        <f aca="false">IF(C3346="","",IFERROR(INDEX($S$5:$S$304,MATCH(C3346,$R$5:$R$304,0))&amp;"","?"))</f>
        <v/>
      </c>
      <c r="N3346" s="2" t="str">
        <f aca="false"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 t="str">
        <f aca="false">IF(OR(F3346="",G3346=""),"",IF(G3346&lt;='RETRATO 2027'!$K$5,"CONCLUÍDA",IF(F3346&lt;='RETRATO 2027'!$K$5,"EM ANDAMENTO","A INICIAR")))</f>
        <v/>
      </c>
    </row>
    <row r="3347" customFormat="false" ht="15" hidden="false" customHeight="false" outlineLevel="0" collapsed="false">
      <c r="M3347" s="2" t="str">
        <f aca="false">IF(C3347="","",IFERROR(INDEX($S$5:$S$304,MATCH(C3347,$R$5:$R$304,0))&amp;"","?"))</f>
        <v/>
      </c>
      <c r="N3347" s="2" t="str">
        <f aca="false"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 t="str">
        <f aca="false">IF(OR(F3347="",G3347=""),"",IF(G3347&lt;='RETRATO 2027'!$K$5,"CONCLUÍDA",IF(F3347&lt;='RETRATO 2027'!$K$5,"EM ANDAMENTO","A INICIAR")))</f>
        <v/>
      </c>
    </row>
    <row r="3348" customFormat="false" ht="15" hidden="false" customHeight="false" outlineLevel="0" collapsed="false">
      <c r="M3348" s="2" t="str">
        <f aca="false">IF(C3348="","",IFERROR(INDEX($S$5:$S$304,MATCH(C3348,$R$5:$R$304,0))&amp;"","?"))</f>
        <v/>
      </c>
      <c r="N3348" s="2" t="str">
        <f aca="false"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 t="str">
        <f aca="false">IF(OR(F3348="",G3348=""),"",IF(G3348&lt;='RETRATO 2027'!$K$5,"CONCLUÍDA",IF(F3348&lt;='RETRATO 2027'!$K$5,"EM ANDAMENTO","A INICIAR")))</f>
        <v/>
      </c>
    </row>
    <row r="3349" customFormat="false" ht="15" hidden="false" customHeight="false" outlineLevel="0" collapsed="false">
      <c r="M3349" s="2" t="str">
        <f aca="false">IF(C3349="","",IFERROR(INDEX($S$5:$S$304,MATCH(C3349,$R$5:$R$304,0))&amp;"","?"))</f>
        <v/>
      </c>
      <c r="N3349" s="2" t="str">
        <f aca="false"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 t="str">
        <f aca="false">IF(OR(F3349="",G3349=""),"",IF(G3349&lt;='RETRATO 2027'!$K$5,"CONCLUÍDA",IF(F3349&lt;='RETRATO 2027'!$K$5,"EM ANDAMENTO","A INICIAR")))</f>
        <v/>
      </c>
    </row>
    <row r="3350" customFormat="false" ht="15" hidden="false" customHeight="false" outlineLevel="0" collapsed="false">
      <c r="M3350" s="2" t="str">
        <f aca="false">IF(C3350="","",IFERROR(INDEX($S$5:$S$304,MATCH(C3350,$R$5:$R$304,0))&amp;"","?"))</f>
        <v/>
      </c>
      <c r="N3350" s="2" t="str">
        <f aca="false"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 t="str">
        <f aca="false">IF(OR(F3350="",G3350=""),"",IF(G3350&lt;='RETRATO 2027'!$K$5,"CONCLUÍDA",IF(F3350&lt;='RETRATO 2027'!$K$5,"EM ANDAMENTO","A INICIAR")))</f>
        <v/>
      </c>
    </row>
    <row r="3351" customFormat="false" ht="15" hidden="false" customHeight="false" outlineLevel="0" collapsed="false">
      <c r="M3351" s="2" t="str">
        <f aca="false">IF(C3351="","",IFERROR(INDEX($S$5:$S$304,MATCH(C3351,$R$5:$R$304,0))&amp;"","?"))</f>
        <v/>
      </c>
      <c r="N3351" s="2" t="str">
        <f aca="false"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 t="str">
        <f aca="false">IF(OR(F3351="",G3351=""),"",IF(G3351&lt;='RETRATO 2027'!$K$5,"CONCLUÍDA",IF(F3351&lt;='RETRATO 2027'!$K$5,"EM ANDAMENTO","A INICIAR")))</f>
        <v/>
      </c>
    </row>
    <row r="3352" customFormat="false" ht="15" hidden="false" customHeight="false" outlineLevel="0" collapsed="false">
      <c r="M3352" s="2" t="str">
        <f aca="false">IF(C3352="","",IFERROR(INDEX($S$5:$S$304,MATCH(C3352,$R$5:$R$304,0))&amp;"","?"))</f>
        <v/>
      </c>
      <c r="N3352" s="2" t="str">
        <f aca="false"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 t="str">
        <f aca="false">IF(OR(F3352="",G3352=""),"",IF(G3352&lt;='RETRATO 2027'!$K$5,"CONCLUÍDA",IF(F3352&lt;='RETRATO 2027'!$K$5,"EM ANDAMENTO","A INICIAR")))</f>
        <v/>
      </c>
    </row>
    <row r="3353" customFormat="false" ht="15" hidden="false" customHeight="false" outlineLevel="0" collapsed="false">
      <c r="M3353" s="2" t="str">
        <f aca="false">IF(C3353="","",IFERROR(INDEX($S$5:$S$304,MATCH(C3353,$R$5:$R$304,0))&amp;"","?"))</f>
        <v/>
      </c>
      <c r="N3353" s="2" t="str">
        <f aca="false"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 t="str">
        <f aca="false">IF(OR(F3353="",G3353=""),"",IF(G3353&lt;='RETRATO 2027'!$K$5,"CONCLUÍDA",IF(F3353&lt;='RETRATO 2027'!$K$5,"EM ANDAMENTO","A INICIAR")))</f>
        <v/>
      </c>
    </row>
    <row r="3354" customFormat="false" ht="15" hidden="false" customHeight="false" outlineLevel="0" collapsed="false">
      <c r="M3354" s="2" t="str">
        <f aca="false">IF(C3354="","",IFERROR(INDEX($S$5:$S$304,MATCH(C3354,$R$5:$R$304,0))&amp;"","?"))</f>
        <v/>
      </c>
      <c r="N3354" s="2" t="str">
        <f aca="false"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 t="str">
        <f aca="false">IF(OR(F3354="",G3354=""),"",IF(G3354&lt;='RETRATO 2027'!$K$5,"CONCLUÍDA",IF(F3354&lt;='RETRATO 2027'!$K$5,"EM ANDAMENTO","A INICIAR")))</f>
        <v/>
      </c>
    </row>
    <row r="3355" customFormat="false" ht="15" hidden="false" customHeight="false" outlineLevel="0" collapsed="false">
      <c r="M3355" s="2" t="str">
        <f aca="false">IF(C3355="","",IFERROR(INDEX($S$5:$S$304,MATCH(C3355,$R$5:$R$304,0))&amp;"","?"))</f>
        <v/>
      </c>
      <c r="N3355" s="2" t="str">
        <f aca="false"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 t="str">
        <f aca="false">IF(OR(F3355="",G3355=""),"",IF(G3355&lt;='RETRATO 2027'!$K$5,"CONCLUÍDA",IF(F3355&lt;='RETRATO 2027'!$K$5,"EM ANDAMENTO","A INICIAR")))</f>
        <v/>
      </c>
    </row>
    <row r="3356" customFormat="false" ht="15" hidden="false" customHeight="false" outlineLevel="0" collapsed="false">
      <c r="M3356" s="2" t="str">
        <f aca="false">IF(C3356="","",IFERROR(INDEX($S$5:$S$304,MATCH(C3356,$R$5:$R$304,0))&amp;"","?"))</f>
        <v/>
      </c>
      <c r="N3356" s="2" t="str">
        <f aca="false"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 t="str">
        <f aca="false">IF(OR(F3356="",G3356=""),"",IF(G3356&lt;='RETRATO 2027'!$K$5,"CONCLUÍDA",IF(F3356&lt;='RETRATO 2027'!$K$5,"EM ANDAMENTO","A INICIAR")))</f>
        <v/>
      </c>
    </row>
    <row r="3357" customFormat="false" ht="15" hidden="false" customHeight="false" outlineLevel="0" collapsed="false">
      <c r="M3357" s="2" t="str">
        <f aca="false">IF(C3357="","",IFERROR(INDEX($S$5:$S$304,MATCH(C3357,$R$5:$R$304,0))&amp;"","?"))</f>
        <v/>
      </c>
      <c r="N3357" s="2" t="str">
        <f aca="false"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 t="str">
        <f aca="false">IF(OR(F3357="",G3357=""),"",IF(G3357&lt;='RETRATO 2027'!$K$5,"CONCLUÍDA",IF(F3357&lt;='RETRATO 2027'!$K$5,"EM ANDAMENTO","A INICIAR")))</f>
        <v/>
      </c>
    </row>
    <row r="3358" customFormat="false" ht="15" hidden="false" customHeight="false" outlineLevel="0" collapsed="false">
      <c r="M3358" s="2" t="str">
        <f aca="false">IF(C3358="","",IFERROR(INDEX($S$5:$S$304,MATCH(C3358,$R$5:$R$304,0))&amp;"","?"))</f>
        <v/>
      </c>
      <c r="N3358" s="2" t="str">
        <f aca="false"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 t="str">
        <f aca="false">IF(OR(F3358="",G3358=""),"",IF(G3358&lt;='RETRATO 2027'!$K$5,"CONCLUÍDA",IF(F3358&lt;='RETRATO 2027'!$K$5,"EM ANDAMENTO","A INICIAR")))</f>
        <v/>
      </c>
    </row>
    <row r="3359" customFormat="false" ht="15" hidden="false" customHeight="false" outlineLevel="0" collapsed="false">
      <c r="M3359" s="2" t="str">
        <f aca="false">IF(C3359="","",IFERROR(INDEX($S$5:$S$304,MATCH(C3359,$R$5:$R$304,0))&amp;"","?"))</f>
        <v/>
      </c>
      <c r="N3359" s="2" t="str">
        <f aca="false"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 t="str">
        <f aca="false">IF(OR(F3359="",G3359=""),"",IF(G3359&lt;='RETRATO 2027'!$K$5,"CONCLUÍDA",IF(F3359&lt;='RETRATO 2027'!$K$5,"EM ANDAMENTO","A INICIAR")))</f>
        <v/>
      </c>
    </row>
    <row r="3360" customFormat="false" ht="15" hidden="false" customHeight="false" outlineLevel="0" collapsed="false">
      <c r="M3360" s="2" t="str">
        <f aca="false">IF(C3360="","",IFERROR(INDEX($S$5:$S$304,MATCH(C3360,$R$5:$R$304,0))&amp;"","?"))</f>
        <v/>
      </c>
      <c r="N3360" s="2" t="str">
        <f aca="false"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 t="str">
        <f aca="false">IF(OR(F3360="",G3360=""),"",IF(G3360&lt;='RETRATO 2027'!$K$5,"CONCLUÍDA",IF(F3360&lt;='RETRATO 2027'!$K$5,"EM ANDAMENTO","A INICIAR")))</f>
        <v/>
      </c>
    </row>
    <row r="3361" customFormat="false" ht="15" hidden="false" customHeight="false" outlineLevel="0" collapsed="false">
      <c r="M3361" s="2" t="str">
        <f aca="false">IF(C3361="","",IFERROR(INDEX($S$5:$S$304,MATCH(C3361,$R$5:$R$304,0))&amp;"","?"))</f>
        <v/>
      </c>
      <c r="N3361" s="2" t="str">
        <f aca="false"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 t="str">
        <f aca="false">IF(OR(F3361="",G3361=""),"",IF(G3361&lt;='RETRATO 2027'!$K$5,"CONCLUÍDA",IF(F3361&lt;='RETRATO 2027'!$K$5,"EM ANDAMENTO","A INICIAR")))</f>
        <v/>
      </c>
    </row>
    <row r="3362" customFormat="false" ht="15" hidden="false" customHeight="false" outlineLevel="0" collapsed="false">
      <c r="M3362" s="2" t="str">
        <f aca="false">IF(C3362="","",IFERROR(INDEX($S$5:$S$304,MATCH(C3362,$R$5:$R$304,0))&amp;"","?"))</f>
        <v/>
      </c>
      <c r="N3362" s="2" t="str">
        <f aca="false"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 t="str">
        <f aca="false">IF(OR(F3362="",G3362=""),"",IF(G3362&lt;='RETRATO 2027'!$K$5,"CONCLUÍDA",IF(F3362&lt;='RETRATO 2027'!$K$5,"EM ANDAMENTO","A INICIAR")))</f>
        <v/>
      </c>
    </row>
    <row r="3363" customFormat="false" ht="15" hidden="false" customHeight="false" outlineLevel="0" collapsed="false">
      <c r="M3363" s="2" t="str">
        <f aca="false">IF(C3363="","",IFERROR(INDEX($S$5:$S$304,MATCH(C3363,$R$5:$R$304,0))&amp;"","?"))</f>
        <v/>
      </c>
      <c r="N3363" s="2" t="str">
        <f aca="false"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 t="str">
        <f aca="false">IF(OR(F3363="",G3363=""),"",IF(G3363&lt;='RETRATO 2027'!$K$5,"CONCLUÍDA",IF(F3363&lt;='RETRATO 2027'!$K$5,"EM ANDAMENTO","A INICIAR")))</f>
        <v/>
      </c>
    </row>
    <row r="3364" customFormat="false" ht="15" hidden="false" customHeight="false" outlineLevel="0" collapsed="false">
      <c r="M3364" s="2" t="str">
        <f aca="false">IF(C3364="","",IFERROR(INDEX($S$5:$S$304,MATCH(C3364,$R$5:$R$304,0))&amp;"","?"))</f>
        <v/>
      </c>
      <c r="N3364" s="2" t="str">
        <f aca="false"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 t="str">
        <f aca="false">IF(OR(F3364="",G3364=""),"",IF(G3364&lt;='RETRATO 2027'!$K$5,"CONCLUÍDA",IF(F3364&lt;='RETRATO 2027'!$K$5,"EM ANDAMENTO","A INICIAR")))</f>
        <v/>
      </c>
    </row>
    <row r="3365" customFormat="false" ht="15" hidden="false" customHeight="false" outlineLevel="0" collapsed="false">
      <c r="M3365" s="2" t="str">
        <f aca="false">IF(C3365="","",IFERROR(INDEX($S$5:$S$304,MATCH(C3365,$R$5:$R$304,0))&amp;"","?"))</f>
        <v/>
      </c>
      <c r="N3365" s="2" t="str">
        <f aca="false"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 t="str">
        <f aca="false">IF(OR(F3365="",G3365=""),"",IF(G3365&lt;='RETRATO 2027'!$K$5,"CONCLUÍDA",IF(F3365&lt;='RETRATO 2027'!$K$5,"EM ANDAMENTO","A INICIAR")))</f>
        <v/>
      </c>
    </row>
    <row r="3366" customFormat="false" ht="15" hidden="false" customHeight="false" outlineLevel="0" collapsed="false">
      <c r="M3366" s="2" t="str">
        <f aca="false">IF(C3366="","",IFERROR(INDEX($S$5:$S$304,MATCH(C3366,$R$5:$R$304,0))&amp;"","?"))</f>
        <v/>
      </c>
      <c r="N3366" s="2" t="str">
        <f aca="false"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 t="str">
        <f aca="false">IF(OR(F3366="",G3366=""),"",IF(G3366&lt;='RETRATO 2027'!$K$5,"CONCLUÍDA",IF(F3366&lt;='RETRATO 2027'!$K$5,"EM ANDAMENTO","A INICIAR")))</f>
        <v/>
      </c>
    </row>
    <row r="3367" customFormat="false" ht="15" hidden="false" customHeight="false" outlineLevel="0" collapsed="false">
      <c r="M3367" s="2" t="str">
        <f aca="false">IF(C3367="","",IFERROR(INDEX($S$5:$S$304,MATCH(C3367,$R$5:$R$304,0))&amp;"","?"))</f>
        <v/>
      </c>
      <c r="N3367" s="2" t="str">
        <f aca="false"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 t="str">
        <f aca="false">IF(OR(F3367="",G3367=""),"",IF(G3367&lt;='RETRATO 2027'!$K$5,"CONCLUÍDA",IF(F3367&lt;='RETRATO 2027'!$K$5,"EM ANDAMENTO","A INICIAR")))</f>
        <v/>
      </c>
    </row>
    <row r="3368" customFormat="false" ht="15" hidden="false" customHeight="false" outlineLevel="0" collapsed="false">
      <c r="M3368" s="2" t="str">
        <f aca="false">IF(C3368="","",IFERROR(INDEX($S$5:$S$304,MATCH(C3368,$R$5:$R$304,0))&amp;"","?"))</f>
        <v/>
      </c>
      <c r="N3368" s="2" t="str">
        <f aca="false"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 t="str">
        <f aca="false">IF(OR(F3368="",G3368=""),"",IF(G3368&lt;='RETRATO 2027'!$K$5,"CONCLUÍDA",IF(F3368&lt;='RETRATO 2027'!$K$5,"EM ANDAMENTO","A INICIAR")))</f>
        <v/>
      </c>
    </row>
    <row r="3369" customFormat="false" ht="15" hidden="false" customHeight="false" outlineLevel="0" collapsed="false">
      <c r="M3369" s="2" t="str">
        <f aca="false">IF(C3369="","",IFERROR(INDEX($S$5:$S$304,MATCH(C3369,$R$5:$R$304,0))&amp;"","?"))</f>
        <v/>
      </c>
      <c r="N3369" s="2" t="str">
        <f aca="false"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 t="str">
        <f aca="false">IF(OR(F3369="",G3369=""),"",IF(G3369&lt;='RETRATO 2027'!$K$5,"CONCLUÍDA",IF(F3369&lt;='RETRATO 2027'!$K$5,"EM ANDAMENTO","A INICIAR")))</f>
        <v/>
      </c>
    </row>
    <row r="3370" customFormat="false" ht="15" hidden="false" customHeight="false" outlineLevel="0" collapsed="false">
      <c r="M3370" s="2" t="str">
        <f aca="false">IF(C3370="","",IFERROR(INDEX($S$5:$S$304,MATCH(C3370,$R$5:$R$304,0))&amp;"","?"))</f>
        <v/>
      </c>
      <c r="N3370" s="2" t="str">
        <f aca="false"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 t="str">
        <f aca="false">IF(OR(F3370="",G3370=""),"",IF(G3370&lt;='RETRATO 2027'!$K$5,"CONCLUÍDA",IF(F3370&lt;='RETRATO 2027'!$K$5,"EM ANDAMENTO","A INICIAR")))</f>
        <v/>
      </c>
    </row>
    <row r="3371" customFormat="false" ht="15" hidden="false" customHeight="false" outlineLevel="0" collapsed="false">
      <c r="M3371" s="2" t="str">
        <f aca="false">IF(C3371="","",IFERROR(INDEX($S$5:$S$304,MATCH(C3371,$R$5:$R$304,0))&amp;"","?"))</f>
        <v/>
      </c>
      <c r="N3371" s="2" t="str">
        <f aca="false"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 t="str">
        <f aca="false">IF(OR(F3371="",G3371=""),"",IF(G3371&lt;='RETRATO 2027'!$K$5,"CONCLUÍDA",IF(F3371&lt;='RETRATO 2027'!$K$5,"EM ANDAMENTO","A INICIAR")))</f>
        <v/>
      </c>
    </row>
    <row r="3372" customFormat="false" ht="15" hidden="false" customHeight="false" outlineLevel="0" collapsed="false">
      <c r="M3372" s="2" t="str">
        <f aca="false">IF(C3372="","",IFERROR(INDEX($S$5:$S$304,MATCH(C3372,$R$5:$R$304,0))&amp;"","?"))</f>
        <v/>
      </c>
      <c r="N3372" s="2" t="str">
        <f aca="false"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 t="str">
        <f aca="false">IF(OR(F3372="",G3372=""),"",IF(G3372&lt;='RETRATO 2027'!$K$5,"CONCLUÍDA",IF(F3372&lt;='RETRATO 2027'!$K$5,"EM ANDAMENTO","A INICIAR")))</f>
        <v/>
      </c>
    </row>
    <row r="3373" customFormat="false" ht="15" hidden="false" customHeight="false" outlineLevel="0" collapsed="false">
      <c r="M3373" s="2" t="str">
        <f aca="false">IF(C3373="","",IFERROR(INDEX($S$5:$S$304,MATCH(C3373,$R$5:$R$304,0))&amp;"","?"))</f>
        <v/>
      </c>
      <c r="N3373" s="2" t="str">
        <f aca="false"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 t="str">
        <f aca="false">IF(OR(F3373="",G3373=""),"",IF(G3373&lt;='RETRATO 2027'!$K$5,"CONCLUÍDA",IF(F3373&lt;='RETRATO 2027'!$K$5,"EM ANDAMENTO","A INICIAR")))</f>
        <v/>
      </c>
    </row>
    <row r="3374" customFormat="false" ht="15" hidden="false" customHeight="false" outlineLevel="0" collapsed="false">
      <c r="M3374" s="2" t="str">
        <f aca="false">IF(C3374="","",IFERROR(INDEX($S$5:$S$304,MATCH(C3374,$R$5:$R$304,0))&amp;"","?"))</f>
        <v/>
      </c>
      <c r="N3374" s="2" t="str">
        <f aca="false"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 t="str">
        <f aca="false">IF(OR(F3374="",G3374=""),"",IF(G3374&lt;='RETRATO 2027'!$K$5,"CONCLUÍDA",IF(F3374&lt;='RETRATO 2027'!$K$5,"EM ANDAMENTO","A INICIAR")))</f>
        <v/>
      </c>
    </row>
    <row r="3375" customFormat="false" ht="15" hidden="false" customHeight="false" outlineLevel="0" collapsed="false">
      <c r="M3375" s="2" t="str">
        <f aca="false">IF(C3375="","",IFERROR(INDEX($S$5:$S$304,MATCH(C3375,$R$5:$R$304,0))&amp;"","?"))</f>
        <v/>
      </c>
      <c r="N3375" s="2" t="str">
        <f aca="false"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 t="str">
        <f aca="false">IF(OR(F3375="",G3375=""),"",IF(G3375&lt;='RETRATO 2027'!$K$5,"CONCLUÍDA",IF(F3375&lt;='RETRATO 2027'!$K$5,"EM ANDAMENTO","A INICIAR")))</f>
        <v/>
      </c>
    </row>
    <row r="3376" customFormat="false" ht="15" hidden="false" customHeight="false" outlineLevel="0" collapsed="false">
      <c r="M3376" s="2" t="str">
        <f aca="false">IF(C3376="","",IFERROR(INDEX($S$5:$S$304,MATCH(C3376,$R$5:$R$304,0))&amp;"","?"))</f>
        <v/>
      </c>
      <c r="N3376" s="2" t="str">
        <f aca="false"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 t="str">
        <f aca="false">IF(OR(F3376="",G3376=""),"",IF(G3376&lt;='RETRATO 2027'!$K$5,"CONCLUÍDA",IF(F3376&lt;='RETRATO 2027'!$K$5,"EM ANDAMENTO","A INICIAR")))</f>
        <v/>
      </c>
    </row>
    <row r="3377" customFormat="false" ht="15" hidden="false" customHeight="false" outlineLevel="0" collapsed="false">
      <c r="M3377" s="2" t="str">
        <f aca="false">IF(C3377="","",IFERROR(INDEX($S$5:$S$304,MATCH(C3377,$R$5:$R$304,0))&amp;"","?"))</f>
        <v/>
      </c>
      <c r="N3377" s="2" t="str">
        <f aca="false"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 t="str">
        <f aca="false">IF(OR(F3377="",G3377=""),"",IF(G3377&lt;='RETRATO 2027'!$K$5,"CONCLUÍDA",IF(F3377&lt;='RETRATO 2027'!$K$5,"EM ANDAMENTO","A INICIAR")))</f>
        <v/>
      </c>
    </row>
    <row r="3378" customFormat="false" ht="15" hidden="false" customHeight="false" outlineLevel="0" collapsed="false">
      <c r="M3378" s="2" t="str">
        <f aca="false">IF(C3378="","",IFERROR(INDEX($S$5:$S$304,MATCH(C3378,$R$5:$R$304,0))&amp;"","?"))</f>
        <v/>
      </c>
      <c r="N3378" s="2" t="str">
        <f aca="false"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 t="str">
        <f aca="false">IF(OR(F3378="",G3378=""),"",IF(G3378&lt;='RETRATO 2027'!$K$5,"CONCLUÍDA",IF(F3378&lt;='RETRATO 2027'!$K$5,"EM ANDAMENTO","A INICIAR")))</f>
        <v/>
      </c>
    </row>
    <row r="3379" customFormat="false" ht="15" hidden="false" customHeight="false" outlineLevel="0" collapsed="false">
      <c r="M3379" s="2" t="str">
        <f aca="false">IF(C3379="","",IFERROR(INDEX($S$5:$S$304,MATCH(C3379,$R$5:$R$304,0))&amp;"","?"))</f>
        <v/>
      </c>
      <c r="N3379" s="2" t="str">
        <f aca="false"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 t="str">
        <f aca="false">IF(OR(F3379="",G3379=""),"",IF(G3379&lt;='RETRATO 2027'!$K$5,"CONCLUÍDA",IF(F3379&lt;='RETRATO 2027'!$K$5,"EM ANDAMENTO","A INICIAR")))</f>
        <v/>
      </c>
    </row>
    <row r="3380" customFormat="false" ht="15" hidden="false" customHeight="false" outlineLevel="0" collapsed="false">
      <c r="M3380" s="2" t="str">
        <f aca="false">IF(C3380="","",IFERROR(INDEX($S$5:$S$304,MATCH(C3380,$R$5:$R$304,0))&amp;"","?"))</f>
        <v/>
      </c>
      <c r="N3380" s="2" t="str">
        <f aca="false"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 t="str">
        <f aca="false">IF(OR(F3380="",G3380=""),"",IF(G3380&lt;='RETRATO 2027'!$K$5,"CONCLUÍDA",IF(F3380&lt;='RETRATO 2027'!$K$5,"EM ANDAMENTO","A INICIAR")))</f>
        <v/>
      </c>
    </row>
    <row r="3381" customFormat="false" ht="15" hidden="false" customHeight="false" outlineLevel="0" collapsed="false">
      <c r="M3381" s="2" t="str">
        <f aca="false">IF(C3381="","",IFERROR(INDEX($S$5:$S$304,MATCH(C3381,$R$5:$R$304,0))&amp;"","?"))</f>
        <v/>
      </c>
      <c r="N3381" s="2" t="str">
        <f aca="false"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 t="str">
        <f aca="false">IF(OR(F3381="",G3381=""),"",IF(G3381&lt;='RETRATO 2027'!$K$5,"CONCLUÍDA",IF(F3381&lt;='RETRATO 2027'!$K$5,"EM ANDAMENTO","A INICIAR")))</f>
        <v/>
      </c>
    </row>
    <row r="3382" customFormat="false" ht="15" hidden="false" customHeight="false" outlineLevel="0" collapsed="false">
      <c r="M3382" s="2" t="str">
        <f aca="false">IF(C3382="","",IFERROR(INDEX($S$5:$S$304,MATCH(C3382,$R$5:$R$304,0))&amp;"","?"))</f>
        <v/>
      </c>
      <c r="N3382" s="2" t="str">
        <f aca="false"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 t="str">
        <f aca="false">IF(OR(F3382="",G3382=""),"",IF(G3382&lt;='RETRATO 2027'!$K$5,"CONCLUÍDA",IF(F3382&lt;='RETRATO 2027'!$K$5,"EM ANDAMENTO","A INICIAR")))</f>
        <v/>
      </c>
    </row>
    <row r="3383" customFormat="false" ht="15" hidden="false" customHeight="false" outlineLevel="0" collapsed="false">
      <c r="M3383" s="2" t="str">
        <f aca="false">IF(C3383="","",IFERROR(INDEX($S$5:$S$304,MATCH(C3383,$R$5:$R$304,0))&amp;"","?"))</f>
        <v/>
      </c>
      <c r="N3383" s="2" t="str">
        <f aca="false"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 t="str">
        <f aca="false">IF(OR(F3383="",G3383=""),"",IF(G3383&lt;='RETRATO 2027'!$K$5,"CONCLUÍDA",IF(F3383&lt;='RETRATO 2027'!$K$5,"EM ANDAMENTO","A INICIAR")))</f>
        <v/>
      </c>
    </row>
    <row r="3384" customFormat="false" ht="15" hidden="false" customHeight="false" outlineLevel="0" collapsed="false">
      <c r="M3384" s="2" t="str">
        <f aca="false">IF(C3384="","",IFERROR(INDEX($S$5:$S$304,MATCH(C3384,$R$5:$R$304,0))&amp;"","?"))</f>
        <v/>
      </c>
      <c r="N3384" s="2" t="str">
        <f aca="false"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 t="str">
        <f aca="false">IF(OR(F3384="",G3384=""),"",IF(G3384&lt;='RETRATO 2027'!$K$5,"CONCLUÍDA",IF(F3384&lt;='RETRATO 2027'!$K$5,"EM ANDAMENTO","A INICIAR")))</f>
        <v/>
      </c>
    </row>
    <row r="3385" customFormat="false" ht="15" hidden="false" customHeight="false" outlineLevel="0" collapsed="false">
      <c r="M3385" s="2" t="str">
        <f aca="false">IF(C3385="","",IFERROR(INDEX($S$5:$S$304,MATCH(C3385,$R$5:$R$304,0))&amp;"","?"))</f>
        <v/>
      </c>
      <c r="N3385" s="2" t="str">
        <f aca="false"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 t="str">
        <f aca="false">IF(OR(F3385="",G3385=""),"",IF(G3385&lt;='RETRATO 2027'!$K$5,"CONCLUÍDA",IF(F3385&lt;='RETRATO 2027'!$K$5,"EM ANDAMENTO","A INICIAR")))</f>
        <v/>
      </c>
    </row>
    <row r="3386" customFormat="false" ht="15" hidden="false" customHeight="false" outlineLevel="0" collapsed="false">
      <c r="M3386" s="2" t="str">
        <f aca="false">IF(C3386="","",IFERROR(INDEX($S$5:$S$304,MATCH(C3386,$R$5:$R$304,0))&amp;"","?"))</f>
        <v/>
      </c>
      <c r="N3386" s="2" t="str">
        <f aca="false"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 t="str">
        <f aca="false">IF(OR(F3386="",G3386=""),"",IF(G3386&lt;='RETRATO 2027'!$K$5,"CONCLUÍDA",IF(F3386&lt;='RETRATO 2027'!$K$5,"EM ANDAMENTO","A INICIAR")))</f>
        <v/>
      </c>
    </row>
    <row r="3387" customFormat="false" ht="15" hidden="false" customHeight="false" outlineLevel="0" collapsed="false">
      <c r="M3387" s="2" t="str">
        <f aca="false">IF(C3387="","",IFERROR(INDEX($S$5:$S$304,MATCH(C3387,$R$5:$R$304,0))&amp;"","?"))</f>
        <v/>
      </c>
      <c r="N3387" s="2" t="str">
        <f aca="false"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 t="str">
        <f aca="false">IF(OR(F3387="",G3387=""),"",IF(G3387&lt;='RETRATO 2027'!$K$5,"CONCLUÍDA",IF(F3387&lt;='RETRATO 2027'!$K$5,"EM ANDAMENTO","A INICIAR")))</f>
        <v/>
      </c>
    </row>
    <row r="3388" customFormat="false" ht="15" hidden="false" customHeight="false" outlineLevel="0" collapsed="false">
      <c r="M3388" s="2" t="str">
        <f aca="false">IF(C3388="","",IFERROR(INDEX($S$5:$S$304,MATCH(C3388,$R$5:$R$304,0))&amp;"","?"))</f>
        <v/>
      </c>
      <c r="N3388" s="2" t="str">
        <f aca="false"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 t="str">
        <f aca="false">IF(OR(F3388="",G3388=""),"",IF(G3388&lt;='RETRATO 2027'!$K$5,"CONCLUÍDA",IF(F3388&lt;='RETRATO 2027'!$K$5,"EM ANDAMENTO","A INICIAR")))</f>
        <v/>
      </c>
    </row>
    <row r="3389" customFormat="false" ht="15" hidden="false" customHeight="false" outlineLevel="0" collapsed="false">
      <c r="M3389" s="2" t="str">
        <f aca="false">IF(C3389="","",IFERROR(INDEX($S$5:$S$304,MATCH(C3389,$R$5:$R$304,0))&amp;"","?"))</f>
        <v/>
      </c>
      <c r="N3389" s="2" t="str">
        <f aca="false"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 t="str">
        <f aca="false">IF(OR(F3389="",G3389=""),"",IF(G3389&lt;='RETRATO 2027'!$K$5,"CONCLUÍDA",IF(F3389&lt;='RETRATO 2027'!$K$5,"EM ANDAMENTO","A INICIAR")))</f>
        <v/>
      </c>
    </row>
    <row r="3390" customFormat="false" ht="15" hidden="false" customHeight="false" outlineLevel="0" collapsed="false">
      <c r="M3390" s="2" t="str">
        <f aca="false">IF(C3390="","",IFERROR(INDEX($S$5:$S$304,MATCH(C3390,$R$5:$R$304,0))&amp;"","?"))</f>
        <v/>
      </c>
      <c r="N3390" s="2" t="str">
        <f aca="false"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 t="str">
        <f aca="false">IF(OR(F3390="",G3390=""),"",IF(G3390&lt;='RETRATO 2027'!$K$5,"CONCLUÍDA",IF(F3390&lt;='RETRATO 2027'!$K$5,"EM ANDAMENTO","A INICIAR")))</f>
        <v/>
      </c>
    </row>
    <row r="3391" customFormat="false" ht="15" hidden="false" customHeight="false" outlineLevel="0" collapsed="false">
      <c r="M3391" s="2" t="str">
        <f aca="false">IF(C3391="","",IFERROR(INDEX($S$5:$S$304,MATCH(C3391,$R$5:$R$304,0))&amp;"","?"))</f>
        <v/>
      </c>
      <c r="N3391" s="2" t="str">
        <f aca="false"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 t="str">
        <f aca="false">IF(OR(F3391="",G3391=""),"",IF(G3391&lt;='RETRATO 2027'!$K$5,"CONCLUÍDA",IF(F3391&lt;='RETRATO 2027'!$K$5,"EM ANDAMENTO","A INICIAR")))</f>
        <v/>
      </c>
    </row>
    <row r="3392" customFormat="false" ht="15" hidden="false" customHeight="false" outlineLevel="0" collapsed="false">
      <c r="M3392" s="2" t="str">
        <f aca="false">IF(C3392="","",IFERROR(INDEX($S$5:$S$304,MATCH(C3392,$R$5:$R$304,0))&amp;"","?"))</f>
        <v/>
      </c>
      <c r="N3392" s="2" t="str">
        <f aca="false"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 t="str">
        <f aca="false">IF(OR(F3392="",G3392=""),"",IF(G3392&lt;='RETRATO 2027'!$K$5,"CONCLUÍDA",IF(F3392&lt;='RETRATO 2027'!$K$5,"EM ANDAMENTO","A INICIAR")))</f>
        <v/>
      </c>
    </row>
    <row r="3393" customFormat="false" ht="15" hidden="false" customHeight="false" outlineLevel="0" collapsed="false">
      <c r="M3393" s="2" t="str">
        <f aca="false">IF(C3393="","",IFERROR(INDEX($S$5:$S$304,MATCH(C3393,$R$5:$R$304,0))&amp;"","?"))</f>
        <v/>
      </c>
      <c r="N3393" s="2" t="str">
        <f aca="false"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 t="str">
        <f aca="false">IF(OR(F3393="",G3393=""),"",IF(G3393&lt;='RETRATO 2027'!$K$5,"CONCLUÍDA",IF(F3393&lt;='RETRATO 2027'!$K$5,"EM ANDAMENTO","A INICIAR")))</f>
        <v/>
      </c>
    </row>
    <row r="3394" customFormat="false" ht="15" hidden="false" customHeight="false" outlineLevel="0" collapsed="false">
      <c r="M3394" s="2" t="str">
        <f aca="false">IF(C3394="","",IFERROR(INDEX($S$5:$S$304,MATCH(C3394,$R$5:$R$304,0))&amp;"","?"))</f>
        <v/>
      </c>
      <c r="N3394" s="2" t="str">
        <f aca="false"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 t="str">
        <f aca="false">IF(OR(F3394="",G3394=""),"",IF(G3394&lt;='RETRATO 2027'!$K$5,"CONCLUÍDA",IF(F3394&lt;='RETRATO 2027'!$K$5,"EM ANDAMENTO","A INICIAR")))</f>
        <v/>
      </c>
    </row>
    <row r="3395" customFormat="false" ht="15" hidden="false" customHeight="false" outlineLevel="0" collapsed="false">
      <c r="M3395" s="2" t="str">
        <f aca="false">IF(C3395="","",IFERROR(INDEX($S$5:$S$304,MATCH(C3395,$R$5:$R$304,0))&amp;"","?"))</f>
        <v/>
      </c>
      <c r="N3395" s="2" t="str">
        <f aca="false"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 t="str">
        <f aca="false">IF(OR(F3395="",G3395=""),"",IF(G3395&lt;='RETRATO 2027'!$K$5,"CONCLUÍDA",IF(F3395&lt;='RETRATO 2027'!$K$5,"EM ANDAMENTO","A INICIAR")))</f>
        <v/>
      </c>
    </row>
    <row r="3396" customFormat="false" ht="15" hidden="false" customHeight="false" outlineLevel="0" collapsed="false">
      <c r="M3396" s="2" t="str">
        <f aca="false">IF(C3396="","",IFERROR(INDEX($S$5:$S$304,MATCH(C3396,$R$5:$R$304,0))&amp;"","?"))</f>
        <v/>
      </c>
      <c r="N3396" s="2" t="str">
        <f aca="false"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 t="str">
        <f aca="false">IF(OR(F3396="",G3396=""),"",IF(G3396&lt;='RETRATO 2027'!$K$5,"CONCLUÍDA",IF(F3396&lt;='RETRATO 2027'!$K$5,"EM ANDAMENTO","A INICIAR")))</f>
        <v/>
      </c>
    </row>
    <row r="3397" customFormat="false" ht="15" hidden="false" customHeight="false" outlineLevel="0" collapsed="false">
      <c r="M3397" s="2" t="str">
        <f aca="false">IF(C3397="","",IFERROR(INDEX($S$5:$S$304,MATCH(C3397,$R$5:$R$304,0))&amp;"","?"))</f>
        <v/>
      </c>
      <c r="N3397" s="2" t="str">
        <f aca="false"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 t="str">
        <f aca="false">IF(OR(F3397="",G3397=""),"",IF(G3397&lt;='RETRATO 2027'!$K$5,"CONCLUÍDA",IF(F3397&lt;='RETRATO 2027'!$K$5,"EM ANDAMENTO","A INICIAR")))</f>
        <v/>
      </c>
    </row>
    <row r="3398" customFormat="false" ht="15" hidden="false" customHeight="false" outlineLevel="0" collapsed="false">
      <c r="M3398" s="2" t="str">
        <f aca="false">IF(C3398="","",IFERROR(INDEX($S$5:$S$304,MATCH(C3398,$R$5:$R$304,0))&amp;"","?"))</f>
        <v/>
      </c>
      <c r="N3398" s="2" t="str">
        <f aca="false"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 t="str">
        <f aca="false">IF(OR(F3398="",G3398=""),"",IF(G3398&lt;='RETRATO 2027'!$K$5,"CONCLUÍDA",IF(F3398&lt;='RETRATO 2027'!$K$5,"EM ANDAMENTO","A INICIAR")))</f>
        <v/>
      </c>
    </row>
    <row r="3399" customFormat="false" ht="15" hidden="false" customHeight="false" outlineLevel="0" collapsed="false">
      <c r="M3399" s="2" t="str">
        <f aca="false">IF(C3399="","",IFERROR(INDEX($S$5:$S$304,MATCH(C3399,$R$5:$R$304,0))&amp;"","?"))</f>
        <v/>
      </c>
      <c r="N3399" s="2" t="str">
        <f aca="false"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 t="str">
        <f aca="false">IF(OR(F3399="",G3399=""),"",IF(G3399&lt;='RETRATO 2027'!$K$5,"CONCLUÍDA",IF(F3399&lt;='RETRATO 2027'!$K$5,"EM ANDAMENTO","A INICIAR")))</f>
        <v/>
      </c>
    </row>
    <row r="3400" customFormat="false" ht="15" hidden="false" customHeight="false" outlineLevel="0" collapsed="false">
      <c r="M3400" s="2" t="str">
        <f aca="false">IF(C3400="","",IFERROR(INDEX($S$5:$S$304,MATCH(C3400,$R$5:$R$304,0))&amp;"","?"))</f>
        <v/>
      </c>
      <c r="N3400" s="2" t="str">
        <f aca="false"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 t="str">
        <f aca="false">IF(OR(F3400="",G3400=""),"",IF(G3400&lt;='RETRATO 2027'!$K$5,"CONCLUÍDA",IF(F3400&lt;='RETRATO 2027'!$K$5,"EM ANDAMENTO","A INICIAR")))</f>
        <v/>
      </c>
    </row>
    <row r="3401" customFormat="false" ht="15" hidden="false" customHeight="false" outlineLevel="0" collapsed="false">
      <c r="M3401" s="2" t="str">
        <f aca="false">IF(C3401="","",IFERROR(INDEX($S$5:$S$304,MATCH(C3401,$R$5:$R$304,0))&amp;"","?"))</f>
        <v/>
      </c>
      <c r="N3401" s="2" t="str">
        <f aca="false"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 t="str">
        <f aca="false">IF(OR(F3401="",G3401=""),"",IF(G3401&lt;='RETRATO 2027'!$K$5,"CONCLUÍDA",IF(F3401&lt;='RETRATO 2027'!$K$5,"EM ANDAMENTO","A INICIAR")))</f>
        <v/>
      </c>
    </row>
    <row r="3402" customFormat="false" ht="15" hidden="false" customHeight="false" outlineLevel="0" collapsed="false">
      <c r="M3402" s="2" t="str">
        <f aca="false">IF(C3402="","",IFERROR(INDEX($S$5:$S$304,MATCH(C3402,$R$5:$R$304,0))&amp;"","?"))</f>
        <v/>
      </c>
      <c r="N3402" s="2" t="str">
        <f aca="false"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 t="str">
        <f aca="false">IF(OR(F3402="",G3402=""),"",IF(G3402&lt;='RETRATO 2027'!$K$5,"CONCLUÍDA",IF(F3402&lt;='RETRATO 2027'!$K$5,"EM ANDAMENTO","A INICIAR")))</f>
        <v/>
      </c>
    </row>
    <row r="3403" customFormat="false" ht="15" hidden="false" customHeight="false" outlineLevel="0" collapsed="false">
      <c r="M3403" s="2" t="str">
        <f aca="false">IF(C3403="","",IFERROR(INDEX($S$5:$S$304,MATCH(C3403,$R$5:$R$304,0))&amp;"","?"))</f>
        <v/>
      </c>
      <c r="N3403" s="2" t="str">
        <f aca="false"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 t="str">
        <f aca="false">IF(OR(F3403="",G3403=""),"",IF(G3403&lt;='RETRATO 2027'!$K$5,"CONCLUÍDA",IF(F3403&lt;='RETRATO 2027'!$K$5,"EM ANDAMENTO","A INICIAR")))</f>
        <v/>
      </c>
    </row>
    <row r="3404" customFormat="false" ht="15" hidden="false" customHeight="false" outlineLevel="0" collapsed="false">
      <c r="M3404" s="2" t="str">
        <f aca="false">IF(C3404="","",IFERROR(INDEX($S$5:$S$304,MATCH(C3404,$R$5:$R$304,0))&amp;"","?"))</f>
        <v/>
      </c>
      <c r="N3404" s="2" t="str">
        <f aca="false"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 t="str">
        <f aca="false">IF(OR(F3404="",G3404=""),"",IF(G3404&lt;='RETRATO 2027'!$K$5,"CONCLUÍDA",IF(F3404&lt;='RETRATO 2027'!$K$5,"EM ANDAMENTO","A INICIAR")))</f>
        <v/>
      </c>
    </row>
    <row r="3405" customFormat="false" ht="15" hidden="false" customHeight="false" outlineLevel="0" collapsed="false">
      <c r="M3405" s="2" t="str">
        <f aca="false">IF(C3405="","",IFERROR(INDEX($S$5:$S$304,MATCH(C3405,$R$5:$R$304,0))&amp;"","?"))</f>
        <v/>
      </c>
      <c r="N3405" s="2" t="str">
        <f aca="false"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 t="str">
        <f aca="false">IF(OR(F3405="",G3405=""),"",IF(G3405&lt;='RETRATO 2027'!$K$5,"CONCLUÍDA",IF(F3405&lt;='RETRATO 2027'!$K$5,"EM ANDAMENTO","A INICIAR")))</f>
        <v/>
      </c>
    </row>
    <row r="3406" customFormat="false" ht="15" hidden="false" customHeight="false" outlineLevel="0" collapsed="false">
      <c r="M3406" s="2" t="str">
        <f aca="false">IF(C3406="","",IFERROR(INDEX($S$5:$S$304,MATCH(C3406,$R$5:$R$304,0))&amp;"","?"))</f>
        <v/>
      </c>
      <c r="N3406" s="2" t="str">
        <f aca="false"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 t="str">
        <f aca="false">IF(OR(F3406="",G3406=""),"",IF(G3406&lt;='RETRATO 2027'!$K$5,"CONCLUÍDA",IF(F3406&lt;='RETRATO 2027'!$K$5,"EM ANDAMENTO","A INICIAR")))</f>
        <v/>
      </c>
    </row>
    <row r="3407" customFormat="false" ht="15" hidden="false" customHeight="false" outlineLevel="0" collapsed="false">
      <c r="M3407" s="2" t="str">
        <f aca="false">IF(C3407="","",IFERROR(INDEX($S$5:$S$304,MATCH(C3407,$R$5:$R$304,0))&amp;"","?"))</f>
        <v/>
      </c>
      <c r="N3407" s="2" t="str">
        <f aca="false"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 t="str">
        <f aca="false">IF(OR(F3407="",G3407=""),"",IF(G3407&lt;='RETRATO 2027'!$K$5,"CONCLUÍDA",IF(F3407&lt;='RETRATO 2027'!$K$5,"EM ANDAMENTO","A INICIAR")))</f>
        <v/>
      </c>
    </row>
    <row r="3408" customFormat="false" ht="15" hidden="false" customHeight="false" outlineLevel="0" collapsed="false">
      <c r="M3408" s="2" t="str">
        <f aca="false">IF(C3408="","",IFERROR(INDEX($S$5:$S$304,MATCH(C3408,$R$5:$R$304,0))&amp;"","?"))</f>
        <v/>
      </c>
      <c r="N3408" s="2" t="str">
        <f aca="false"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 t="str">
        <f aca="false">IF(OR(F3408="",G3408=""),"",IF(G3408&lt;='RETRATO 2027'!$K$5,"CONCLUÍDA",IF(F3408&lt;='RETRATO 2027'!$K$5,"EM ANDAMENTO","A INICIAR")))</f>
        <v/>
      </c>
    </row>
    <row r="3409" customFormat="false" ht="15" hidden="false" customHeight="false" outlineLevel="0" collapsed="false">
      <c r="M3409" s="2" t="str">
        <f aca="false">IF(C3409="","",IFERROR(INDEX($S$5:$S$304,MATCH(C3409,$R$5:$R$304,0))&amp;"","?"))</f>
        <v/>
      </c>
      <c r="N3409" s="2" t="str">
        <f aca="false"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 t="str">
        <f aca="false">IF(OR(F3409="",G3409=""),"",IF(G3409&lt;='RETRATO 2027'!$K$5,"CONCLUÍDA",IF(F3409&lt;='RETRATO 2027'!$K$5,"EM ANDAMENTO","A INICIAR")))</f>
        <v/>
      </c>
    </row>
    <row r="3410" customFormat="false" ht="15" hidden="false" customHeight="false" outlineLevel="0" collapsed="false">
      <c r="M3410" s="2" t="str">
        <f aca="false">IF(C3410="","",IFERROR(INDEX($S$5:$S$304,MATCH(C3410,$R$5:$R$304,0))&amp;"","?"))</f>
        <v/>
      </c>
      <c r="N3410" s="2" t="str">
        <f aca="false"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 t="str">
        <f aca="false">IF(OR(F3410="",G3410=""),"",IF(G3410&lt;='RETRATO 2027'!$K$5,"CONCLUÍDA",IF(F3410&lt;='RETRATO 2027'!$K$5,"EM ANDAMENTO","A INICIAR")))</f>
        <v/>
      </c>
    </row>
    <row r="3411" customFormat="false" ht="15" hidden="false" customHeight="false" outlineLevel="0" collapsed="false">
      <c r="M3411" s="2" t="str">
        <f aca="false">IF(C3411="","",IFERROR(INDEX($S$5:$S$304,MATCH(C3411,$R$5:$R$304,0))&amp;"","?"))</f>
        <v/>
      </c>
      <c r="N3411" s="2" t="str">
        <f aca="false"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 t="str">
        <f aca="false">IF(OR(F3411="",G3411=""),"",IF(G3411&lt;='RETRATO 2027'!$K$5,"CONCLUÍDA",IF(F3411&lt;='RETRATO 2027'!$K$5,"EM ANDAMENTO","A INICIAR")))</f>
        <v/>
      </c>
    </row>
    <row r="3412" customFormat="false" ht="15" hidden="false" customHeight="false" outlineLevel="0" collapsed="false">
      <c r="M3412" s="2" t="str">
        <f aca="false">IF(C3412="","",IFERROR(INDEX($S$5:$S$304,MATCH(C3412,$R$5:$R$304,0))&amp;"","?"))</f>
        <v/>
      </c>
      <c r="N3412" s="2" t="str">
        <f aca="false"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 t="str">
        <f aca="false">IF(OR(F3412="",G3412=""),"",IF(G3412&lt;='RETRATO 2027'!$K$5,"CONCLUÍDA",IF(F3412&lt;='RETRATO 2027'!$K$5,"EM ANDAMENTO","A INICIAR")))</f>
        <v/>
      </c>
    </row>
    <row r="3413" customFormat="false" ht="15" hidden="false" customHeight="false" outlineLevel="0" collapsed="false">
      <c r="M3413" s="2" t="str">
        <f aca="false">IF(C3413="","",IFERROR(INDEX($S$5:$S$304,MATCH(C3413,$R$5:$R$304,0))&amp;"","?"))</f>
        <v/>
      </c>
      <c r="N3413" s="2" t="str">
        <f aca="false"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 t="str">
        <f aca="false">IF(OR(F3413="",G3413=""),"",IF(G3413&lt;='RETRATO 2027'!$K$5,"CONCLUÍDA",IF(F3413&lt;='RETRATO 2027'!$K$5,"EM ANDAMENTO","A INICIAR")))</f>
        <v/>
      </c>
    </row>
    <row r="3414" customFormat="false" ht="15" hidden="false" customHeight="false" outlineLevel="0" collapsed="false">
      <c r="M3414" s="2" t="str">
        <f aca="false">IF(C3414="","",IFERROR(INDEX($S$5:$S$304,MATCH(C3414,$R$5:$R$304,0))&amp;"","?"))</f>
        <v/>
      </c>
      <c r="N3414" s="2" t="str">
        <f aca="false"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 t="str">
        <f aca="false">IF(OR(F3414="",G3414=""),"",IF(G3414&lt;='RETRATO 2027'!$K$5,"CONCLUÍDA",IF(F3414&lt;='RETRATO 2027'!$K$5,"EM ANDAMENTO","A INICIAR")))</f>
        <v/>
      </c>
    </row>
    <row r="3415" customFormat="false" ht="15" hidden="false" customHeight="false" outlineLevel="0" collapsed="false">
      <c r="M3415" s="2" t="str">
        <f aca="false">IF(C3415="","",IFERROR(INDEX($S$5:$S$304,MATCH(C3415,$R$5:$R$304,0))&amp;"","?"))</f>
        <v/>
      </c>
      <c r="N3415" s="2" t="str">
        <f aca="false"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 t="str">
        <f aca="false">IF(OR(F3415="",G3415=""),"",IF(G3415&lt;='RETRATO 2027'!$K$5,"CONCLUÍDA",IF(F3415&lt;='RETRATO 2027'!$K$5,"EM ANDAMENTO","A INICIAR")))</f>
        <v/>
      </c>
    </row>
    <row r="3416" customFormat="false" ht="15" hidden="false" customHeight="false" outlineLevel="0" collapsed="false">
      <c r="M3416" s="2" t="str">
        <f aca="false">IF(C3416="","",IFERROR(INDEX($S$5:$S$304,MATCH(C3416,$R$5:$R$304,0))&amp;"","?"))</f>
        <v/>
      </c>
      <c r="N3416" s="2" t="str">
        <f aca="false"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 t="str">
        <f aca="false">IF(OR(F3416="",G3416=""),"",IF(G3416&lt;='RETRATO 2027'!$K$5,"CONCLUÍDA",IF(F3416&lt;='RETRATO 2027'!$K$5,"EM ANDAMENTO","A INICIAR")))</f>
        <v/>
      </c>
    </row>
    <row r="3417" customFormat="false" ht="15" hidden="false" customHeight="false" outlineLevel="0" collapsed="false">
      <c r="M3417" s="2" t="str">
        <f aca="false">IF(C3417="","",IFERROR(INDEX($S$5:$S$304,MATCH(C3417,$R$5:$R$304,0))&amp;"","?"))</f>
        <v/>
      </c>
      <c r="N3417" s="2" t="str">
        <f aca="false"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 t="str">
        <f aca="false">IF(OR(F3417="",G3417=""),"",IF(G3417&lt;='RETRATO 2027'!$K$5,"CONCLUÍDA",IF(F3417&lt;='RETRATO 2027'!$K$5,"EM ANDAMENTO","A INICIAR")))</f>
        <v/>
      </c>
    </row>
    <row r="3418" customFormat="false" ht="15" hidden="false" customHeight="false" outlineLevel="0" collapsed="false">
      <c r="M3418" s="2" t="str">
        <f aca="false">IF(C3418="","",IFERROR(INDEX($S$5:$S$304,MATCH(C3418,$R$5:$R$304,0))&amp;"","?"))</f>
        <v/>
      </c>
      <c r="N3418" s="2" t="str">
        <f aca="false"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 t="str">
        <f aca="false">IF(OR(F3418="",G3418=""),"",IF(G3418&lt;='RETRATO 2027'!$K$5,"CONCLUÍDA",IF(F3418&lt;='RETRATO 2027'!$K$5,"EM ANDAMENTO","A INICIAR")))</f>
        <v/>
      </c>
    </row>
    <row r="3419" customFormat="false" ht="15" hidden="false" customHeight="false" outlineLevel="0" collapsed="false">
      <c r="M3419" s="2" t="str">
        <f aca="false">IF(C3419="","",IFERROR(INDEX($S$5:$S$304,MATCH(C3419,$R$5:$R$304,0))&amp;"","?"))</f>
        <v/>
      </c>
      <c r="N3419" s="2" t="str">
        <f aca="false"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 t="str">
        <f aca="false">IF(OR(F3419="",G3419=""),"",IF(G3419&lt;='RETRATO 2027'!$K$5,"CONCLUÍDA",IF(F3419&lt;='RETRATO 2027'!$K$5,"EM ANDAMENTO","A INICIAR")))</f>
        <v/>
      </c>
    </row>
    <row r="3420" customFormat="false" ht="15" hidden="false" customHeight="false" outlineLevel="0" collapsed="false">
      <c r="M3420" s="2" t="str">
        <f aca="false">IF(C3420="","",IFERROR(INDEX($S$5:$S$304,MATCH(C3420,$R$5:$R$304,0))&amp;"","?"))</f>
        <v/>
      </c>
      <c r="N3420" s="2" t="str">
        <f aca="false"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 t="str">
        <f aca="false">IF(OR(F3420="",G3420=""),"",IF(G3420&lt;='RETRATO 2027'!$K$5,"CONCLUÍDA",IF(F3420&lt;='RETRATO 2027'!$K$5,"EM ANDAMENTO","A INICIAR")))</f>
        <v/>
      </c>
    </row>
    <row r="3421" customFormat="false" ht="15" hidden="false" customHeight="false" outlineLevel="0" collapsed="false">
      <c r="M3421" s="2" t="str">
        <f aca="false">IF(C3421="","",IFERROR(INDEX($S$5:$S$304,MATCH(C3421,$R$5:$R$304,0))&amp;"","?"))</f>
        <v/>
      </c>
      <c r="N3421" s="2" t="str">
        <f aca="false"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 t="str">
        <f aca="false">IF(OR(F3421="",G3421=""),"",IF(G3421&lt;='RETRATO 2027'!$K$5,"CONCLUÍDA",IF(F3421&lt;='RETRATO 2027'!$K$5,"EM ANDAMENTO","A INICIAR")))</f>
        <v/>
      </c>
    </row>
    <row r="3422" customFormat="false" ht="15" hidden="false" customHeight="false" outlineLevel="0" collapsed="false">
      <c r="M3422" s="2" t="str">
        <f aca="false">IF(C3422="","",IFERROR(INDEX($S$5:$S$304,MATCH(C3422,$R$5:$R$304,0))&amp;"","?"))</f>
        <v/>
      </c>
      <c r="N3422" s="2" t="str">
        <f aca="false"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 t="str">
        <f aca="false">IF(OR(F3422="",G3422=""),"",IF(G3422&lt;='RETRATO 2027'!$K$5,"CONCLUÍDA",IF(F3422&lt;='RETRATO 2027'!$K$5,"EM ANDAMENTO","A INICIAR")))</f>
        <v/>
      </c>
    </row>
    <row r="3423" customFormat="false" ht="15" hidden="false" customHeight="false" outlineLevel="0" collapsed="false">
      <c r="M3423" s="2" t="str">
        <f aca="false">IF(C3423="","",IFERROR(INDEX($S$5:$S$304,MATCH(C3423,$R$5:$R$304,0))&amp;"","?"))</f>
        <v/>
      </c>
      <c r="N3423" s="2" t="str">
        <f aca="false"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 t="str">
        <f aca="false">IF(OR(F3423="",G3423=""),"",IF(G3423&lt;='RETRATO 2027'!$K$5,"CONCLUÍDA",IF(F3423&lt;='RETRATO 2027'!$K$5,"EM ANDAMENTO","A INICIAR")))</f>
        <v/>
      </c>
    </row>
    <row r="3424" customFormat="false" ht="15" hidden="false" customHeight="false" outlineLevel="0" collapsed="false">
      <c r="M3424" s="2" t="str">
        <f aca="false">IF(C3424="","",IFERROR(INDEX($S$5:$S$304,MATCH(C3424,$R$5:$R$304,0))&amp;"","?"))</f>
        <v/>
      </c>
      <c r="N3424" s="2" t="str">
        <f aca="false"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 t="str">
        <f aca="false">IF(OR(F3424="",G3424=""),"",IF(G3424&lt;='RETRATO 2027'!$K$5,"CONCLUÍDA",IF(F3424&lt;='RETRATO 2027'!$K$5,"EM ANDAMENTO","A INICIAR")))</f>
        <v/>
      </c>
    </row>
    <row r="3425" customFormat="false" ht="15" hidden="false" customHeight="false" outlineLevel="0" collapsed="false">
      <c r="M3425" s="2" t="str">
        <f aca="false">IF(C3425="","",IFERROR(INDEX($S$5:$S$304,MATCH(C3425,$R$5:$R$304,0))&amp;"","?"))</f>
        <v/>
      </c>
      <c r="N3425" s="2" t="str">
        <f aca="false"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 t="str">
        <f aca="false">IF(OR(F3425="",G3425=""),"",IF(G3425&lt;='RETRATO 2027'!$K$5,"CONCLUÍDA",IF(F3425&lt;='RETRATO 2027'!$K$5,"EM ANDAMENTO","A INICIAR")))</f>
        <v/>
      </c>
    </row>
    <row r="3426" customFormat="false" ht="15" hidden="false" customHeight="false" outlineLevel="0" collapsed="false">
      <c r="M3426" s="2" t="str">
        <f aca="false">IF(C3426="","",IFERROR(INDEX($S$5:$S$304,MATCH(C3426,$R$5:$R$304,0))&amp;"","?"))</f>
        <v/>
      </c>
      <c r="N3426" s="2" t="str">
        <f aca="false"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 t="str">
        <f aca="false">IF(OR(F3426="",G3426=""),"",IF(G3426&lt;='RETRATO 2027'!$K$5,"CONCLUÍDA",IF(F3426&lt;='RETRATO 2027'!$K$5,"EM ANDAMENTO","A INICIAR")))</f>
        <v/>
      </c>
    </row>
    <row r="3427" customFormat="false" ht="15" hidden="false" customHeight="false" outlineLevel="0" collapsed="false">
      <c r="M3427" s="2" t="str">
        <f aca="false">IF(C3427="","",IFERROR(INDEX($S$5:$S$304,MATCH(C3427,$R$5:$R$304,0))&amp;"","?"))</f>
        <v/>
      </c>
      <c r="N3427" s="2" t="str">
        <f aca="false"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 t="str">
        <f aca="false">IF(OR(F3427="",G3427=""),"",IF(G3427&lt;='RETRATO 2027'!$K$5,"CONCLUÍDA",IF(F3427&lt;='RETRATO 2027'!$K$5,"EM ANDAMENTO","A INICIAR")))</f>
        <v/>
      </c>
    </row>
    <row r="3428" customFormat="false" ht="15" hidden="false" customHeight="false" outlineLevel="0" collapsed="false">
      <c r="M3428" s="2" t="str">
        <f aca="false">IF(C3428="","",IFERROR(INDEX($S$5:$S$304,MATCH(C3428,$R$5:$R$304,0))&amp;"","?"))</f>
        <v/>
      </c>
      <c r="N3428" s="2" t="str">
        <f aca="false"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 t="str">
        <f aca="false">IF(OR(F3428="",G3428=""),"",IF(G3428&lt;='RETRATO 2027'!$K$5,"CONCLUÍDA",IF(F3428&lt;='RETRATO 2027'!$K$5,"EM ANDAMENTO","A INICIAR")))</f>
        <v/>
      </c>
    </row>
    <row r="3429" customFormat="false" ht="15" hidden="false" customHeight="false" outlineLevel="0" collapsed="false">
      <c r="M3429" s="2" t="str">
        <f aca="false">IF(C3429="","",IFERROR(INDEX($S$5:$S$304,MATCH(C3429,$R$5:$R$304,0))&amp;"","?"))</f>
        <v/>
      </c>
      <c r="N3429" s="2" t="str">
        <f aca="false"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 t="str">
        <f aca="false">IF(OR(F3429="",G3429=""),"",IF(G3429&lt;='RETRATO 2027'!$K$5,"CONCLUÍDA",IF(F3429&lt;='RETRATO 2027'!$K$5,"EM ANDAMENTO","A INICIAR")))</f>
        <v/>
      </c>
    </row>
    <row r="3430" customFormat="false" ht="15" hidden="false" customHeight="false" outlineLevel="0" collapsed="false">
      <c r="M3430" s="2" t="str">
        <f aca="false">IF(C3430="","",IFERROR(INDEX($S$5:$S$304,MATCH(C3430,$R$5:$R$304,0))&amp;"","?"))</f>
        <v/>
      </c>
      <c r="N3430" s="2" t="str">
        <f aca="false"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 t="str">
        <f aca="false">IF(OR(F3430="",G3430=""),"",IF(G3430&lt;='RETRATO 2027'!$K$5,"CONCLUÍDA",IF(F3430&lt;='RETRATO 2027'!$K$5,"EM ANDAMENTO","A INICIAR")))</f>
        <v/>
      </c>
    </row>
    <row r="3431" customFormat="false" ht="15" hidden="false" customHeight="false" outlineLevel="0" collapsed="false">
      <c r="M3431" s="2" t="str">
        <f aca="false">IF(C3431="","",IFERROR(INDEX($S$5:$S$304,MATCH(C3431,$R$5:$R$304,0))&amp;"","?"))</f>
        <v/>
      </c>
      <c r="N3431" s="2" t="str">
        <f aca="false"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 t="str">
        <f aca="false">IF(OR(F3431="",G3431=""),"",IF(G3431&lt;='RETRATO 2027'!$K$5,"CONCLUÍDA",IF(F3431&lt;='RETRATO 2027'!$K$5,"EM ANDAMENTO","A INICIAR")))</f>
        <v/>
      </c>
    </row>
    <row r="3432" customFormat="false" ht="15" hidden="false" customHeight="false" outlineLevel="0" collapsed="false">
      <c r="M3432" s="2" t="str">
        <f aca="false">IF(C3432="","",IFERROR(INDEX($S$5:$S$304,MATCH(C3432,$R$5:$R$304,0))&amp;"","?"))</f>
        <v/>
      </c>
      <c r="N3432" s="2" t="str">
        <f aca="false"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 t="str">
        <f aca="false">IF(OR(F3432="",G3432=""),"",IF(G3432&lt;='RETRATO 2027'!$K$5,"CONCLUÍDA",IF(F3432&lt;='RETRATO 2027'!$K$5,"EM ANDAMENTO","A INICIAR")))</f>
        <v/>
      </c>
    </row>
    <row r="3433" customFormat="false" ht="15" hidden="false" customHeight="false" outlineLevel="0" collapsed="false">
      <c r="M3433" s="2" t="str">
        <f aca="false">IF(C3433="","",IFERROR(INDEX($S$5:$S$304,MATCH(C3433,$R$5:$R$304,0))&amp;"","?"))</f>
        <v/>
      </c>
      <c r="N3433" s="2" t="str">
        <f aca="false"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 t="str">
        <f aca="false">IF(OR(F3433="",G3433=""),"",IF(G3433&lt;='RETRATO 2027'!$K$5,"CONCLUÍDA",IF(F3433&lt;='RETRATO 2027'!$K$5,"EM ANDAMENTO","A INICIAR")))</f>
        <v/>
      </c>
    </row>
    <row r="3434" customFormat="false" ht="15" hidden="false" customHeight="false" outlineLevel="0" collapsed="false">
      <c r="M3434" s="2" t="str">
        <f aca="false">IF(C3434="","",IFERROR(INDEX($S$5:$S$304,MATCH(C3434,$R$5:$R$304,0))&amp;"","?"))</f>
        <v/>
      </c>
      <c r="N3434" s="2" t="str">
        <f aca="false"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 t="str">
        <f aca="false">IF(OR(F3434="",G3434=""),"",IF(G3434&lt;='RETRATO 2027'!$K$5,"CONCLUÍDA",IF(F3434&lt;='RETRATO 2027'!$K$5,"EM ANDAMENTO","A INICIAR")))</f>
        <v/>
      </c>
    </row>
    <row r="3435" customFormat="false" ht="15" hidden="false" customHeight="false" outlineLevel="0" collapsed="false">
      <c r="M3435" s="2" t="str">
        <f aca="false">IF(C3435="","",IFERROR(INDEX($S$5:$S$304,MATCH(C3435,$R$5:$R$304,0))&amp;"","?"))</f>
        <v/>
      </c>
      <c r="N3435" s="2" t="str">
        <f aca="false"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 t="str">
        <f aca="false">IF(OR(F3435="",G3435=""),"",IF(G3435&lt;='RETRATO 2027'!$K$5,"CONCLUÍDA",IF(F3435&lt;='RETRATO 2027'!$K$5,"EM ANDAMENTO","A INICIAR")))</f>
        <v/>
      </c>
    </row>
    <row r="3436" customFormat="false" ht="15" hidden="false" customHeight="false" outlineLevel="0" collapsed="false">
      <c r="M3436" s="2" t="str">
        <f aca="false">IF(C3436="","",IFERROR(INDEX($S$5:$S$304,MATCH(C3436,$R$5:$R$304,0))&amp;"","?"))</f>
        <v/>
      </c>
      <c r="N3436" s="2" t="str">
        <f aca="false"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 t="str">
        <f aca="false">IF(OR(F3436="",G3436=""),"",IF(G3436&lt;='RETRATO 2027'!$K$5,"CONCLUÍDA",IF(F3436&lt;='RETRATO 2027'!$K$5,"EM ANDAMENTO","A INICIAR")))</f>
        <v/>
      </c>
    </row>
    <row r="3437" customFormat="false" ht="15" hidden="false" customHeight="false" outlineLevel="0" collapsed="false">
      <c r="M3437" s="2" t="str">
        <f aca="false">IF(C3437="","",IFERROR(INDEX($S$5:$S$304,MATCH(C3437,$R$5:$R$304,0))&amp;"","?"))</f>
        <v/>
      </c>
      <c r="N3437" s="2" t="str">
        <f aca="false"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 t="str">
        <f aca="false">IF(OR(F3437="",G3437=""),"",IF(G3437&lt;='RETRATO 2027'!$K$5,"CONCLUÍDA",IF(F3437&lt;='RETRATO 2027'!$K$5,"EM ANDAMENTO","A INICIAR")))</f>
        <v/>
      </c>
    </row>
    <row r="3438" customFormat="false" ht="15" hidden="false" customHeight="false" outlineLevel="0" collapsed="false">
      <c r="M3438" s="2" t="str">
        <f aca="false">IF(C3438="","",IFERROR(INDEX($S$5:$S$304,MATCH(C3438,$R$5:$R$304,0))&amp;"","?"))</f>
        <v/>
      </c>
      <c r="N3438" s="2" t="str">
        <f aca="false"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 t="str">
        <f aca="false">IF(OR(F3438="",G3438=""),"",IF(G3438&lt;='RETRATO 2027'!$K$5,"CONCLUÍDA",IF(F3438&lt;='RETRATO 2027'!$K$5,"EM ANDAMENTO","A INICIAR")))</f>
        <v/>
      </c>
    </row>
    <row r="3439" customFormat="false" ht="15" hidden="false" customHeight="false" outlineLevel="0" collapsed="false">
      <c r="M3439" s="2" t="str">
        <f aca="false">IF(C3439="","",IFERROR(INDEX($S$5:$S$304,MATCH(C3439,$R$5:$R$304,0))&amp;"","?"))</f>
        <v/>
      </c>
      <c r="N3439" s="2" t="str">
        <f aca="false"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 t="str">
        <f aca="false">IF(OR(F3439="",G3439=""),"",IF(G3439&lt;='RETRATO 2027'!$K$5,"CONCLUÍDA",IF(F3439&lt;='RETRATO 2027'!$K$5,"EM ANDAMENTO","A INICIAR")))</f>
        <v/>
      </c>
    </row>
    <row r="3440" customFormat="false" ht="15" hidden="false" customHeight="false" outlineLevel="0" collapsed="false">
      <c r="M3440" s="2" t="str">
        <f aca="false">IF(C3440="","",IFERROR(INDEX($S$5:$S$304,MATCH(C3440,$R$5:$R$304,0))&amp;"","?"))</f>
        <v/>
      </c>
      <c r="N3440" s="2" t="str">
        <f aca="false"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 t="str">
        <f aca="false">IF(OR(F3440="",G3440=""),"",IF(G3440&lt;='RETRATO 2027'!$K$5,"CONCLUÍDA",IF(F3440&lt;='RETRATO 2027'!$K$5,"EM ANDAMENTO","A INICIAR")))</f>
        <v/>
      </c>
    </row>
    <row r="3441" customFormat="false" ht="15" hidden="false" customHeight="false" outlineLevel="0" collapsed="false">
      <c r="M3441" s="2" t="str">
        <f aca="false">IF(C3441="","",IFERROR(INDEX($S$5:$S$304,MATCH(C3441,$R$5:$R$304,0))&amp;"","?"))</f>
        <v/>
      </c>
      <c r="N3441" s="2" t="str">
        <f aca="false"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 t="str">
        <f aca="false">IF(OR(F3441="",G3441=""),"",IF(G3441&lt;='RETRATO 2027'!$K$5,"CONCLUÍDA",IF(F3441&lt;='RETRATO 2027'!$K$5,"EM ANDAMENTO","A INICIAR")))</f>
        <v/>
      </c>
    </row>
    <row r="3442" customFormat="false" ht="15" hidden="false" customHeight="false" outlineLevel="0" collapsed="false">
      <c r="M3442" s="2" t="str">
        <f aca="false">IF(C3442="","",IFERROR(INDEX($S$5:$S$304,MATCH(C3442,$R$5:$R$304,0))&amp;"","?"))</f>
        <v/>
      </c>
      <c r="N3442" s="2" t="str">
        <f aca="false"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 t="str">
        <f aca="false">IF(OR(F3442="",G3442=""),"",IF(G3442&lt;='RETRATO 2027'!$K$5,"CONCLUÍDA",IF(F3442&lt;='RETRATO 2027'!$K$5,"EM ANDAMENTO","A INICIAR")))</f>
        <v/>
      </c>
    </row>
    <row r="3443" customFormat="false" ht="15" hidden="false" customHeight="false" outlineLevel="0" collapsed="false">
      <c r="M3443" s="2" t="str">
        <f aca="false">IF(C3443="","",IFERROR(INDEX($S$5:$S$304,MATCH(C3443,$R$5:$R$304,0))&amp;"","?"))</f>
        <v/>
      </c>
      <c r="N3443" s="2" t="str">
        <f aca="false"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 t="str">
        <f aca="false">IF(OR(F3443="",G3443=""),"",IF(G3443&lt;='RETRATO 2027'!$K$5,"CONCLUÍDA",IF(F3443&lt;='RETRATO 2027'!$K$5,"EM ANDAMENTO","A INICIAR")))</f>
        <v/>
      </c>
    </row>
    <row r="3444" customFormat="false" ht="15" hidden="false" customHeight="false" outlineLevel="0" collapsed="false">
      <c r="M3444" s="2" t="str">
        <f aca="false">IF(C3444="","",IFERROR(INDEX($S$5:$S$304,MATCH(C3444,$R$5:$R$304,0))&amp;"","?"))</f>
        <v/>
      </c>
      <c r="N3444" s="2" t="str">
        <f aca="false"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 t="str">
        <f aca="false">IF(OR(F3444="",G3444=""),"",IF(G3444&lt;='RETRATO 2027'!$K$5,"CONCLUÍDA",IF(F3444&lt;='RETRATO 2027'!$K$5,"EM ANDAMENTO","A INICIAR")))</f>
        <v/>
      </c>
    </row>
    <row r="3445" customFormat="false" ht="15" hidden="false" customHeight="false" outlineLevel="0" collapsed="false">
      <c r="M3445" s="2" t="str">
        <f aca="false">IF(C3445="","",IFERROR(INDEX($S$5:$S$304,MATCH(C3445,$R$5:$R$304,0))&amp;"","?"))</f>
        <v/>
      </c>
      <c r="N3445" s="2" t="str">
        <f aca="false"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 t="str">
        <f aca="false">IF(OR(F3445="",G3445=""),"",IF(G3445&lt;='RETRATO 2027'!$K$5,"CONCLUÍDA",IF(F3445&lt;='RETRATO 2027'!$K$5,"EM ANDAMENTO","A INICIAR")))</f>
        <v/>
      </c>
    </row>
    <row r="3446" customFormat="false" ht="15" hidden="false" customHeight="false" outlineLevel="0" collapsed="false">
      <c r="M3446" s="2" t="str">
        <f aca="false">IF(C3446="","",IFERROR(INDEX($S$5:$S$304,MATCH(C3446,$R$5:$R$304,0))&amp;"","?"))</f>
        <v/>
      </c>
      <c r="N3446" s="2" t="str">
        <f aca="false"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 t="str">
        <f aca="false">IF(OR(F3446="",G3446=""),"",IF(G3446&lt;='RETRATO 2027'!$K$5,"CONCLUÍDA",IF(F3446&lt;='RETRATO 2027'!$K$5,"EM ANDAMENTO","A INICIAR")))</f>
        <v/>
      </c>
    </row>
    <row r="3447" customFormat="false" ht="15" hidden="false" customHeight="false" outlineLevel="0" collapsed="false">
      <c r="M3447" s="2" t="str">
        <f aca="false">IF(C3447="","",IFERROR(INDEX($S$5:$S$304,MATCH(C3447,$R$5:$R$304,0))&amp;"","?"))</f>
        <v/>
      </c>
      <c r="N3447" s="2" t="str">
        <f aca="false"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 t="str">
        <f aca="false">IF(OR(F3447="",G3447=""),"",IF(G3447&lt;='RETRATO 2027'!$K$5,"CONCLUÍDA",IF(F3447&lt;='RETRATO 2027'!$K$5,"EM ANDAMENTO","A INICIAR")))</f>
        <v/>
      </c>
    </row>
    <row r="3448" customFormat="false" ht="15" hidden="false" customHeight="false" outlineLevel="0" collapsed="false">
      <c r="M3448" s="2" t="str">
        <f aca="false">IF(C3448="","",IFERROR(INDEX($S$5:$S$304,MATCH(C3448,$R$5:$R$304,0))&amp;"","?"))</f>
        <v/>
      </c>
      <c r="N3448" s="2" t="str">
        <f aca="false"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 t="str">
        <f aca="false">IF(OR(F3448="",G3448=""),"",IF(G3448&lt;='RETRATO 2027'!$K$5,"CONCLUÍDA",IF(F3448&lt;='RETRATO 2027'!$K$5,"EM ANDAMENTO","A INICIAR")))</f>
        <v/>
      </c>
    </row>
    <row r="3449" customFormat="false" ht="15" hidden="false" customHeight="false" outlineLevel="0" collapsed="false">
      <c r="M3449" s="2" t="str">
        <f aca="false">IF(C3449="","",IFERROR(INDEX($S$5:$S$304,MATCH(C3449,$R$5:$R$304,0))&amp;"","?"))</f>
        <v/>
      </c>
      <c r="N3449" s="2" t="str">
        <f aca="false"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 t="str">
        <f aca="false">IF(OR(F3449="",G3449=""),"",IF(G3449&lt;='RETRATO 2027'!$K$5,"CONCLUÍDA",IF(F3449&lt;='RETRATO 2027'!$K$5,"EM ANDAMENTO","A INICIAR")))</f>
        <v/>
      </c>
    </row>
    <row r="3450" customFormat="false" ht="15" hidden="false" customHeight="false" outlineLevel="0" collapsed="false">
      <c r="M3450" s="2" t="str">
        <f aca="false">IF(C3450="","",IFERROR(INDEX($S$5:$S$304,MATCH(C3450,$R$5:$R$304,0))&amp;"","?"))</f>
        <v/>
      </c>
      <c r="N3450" s="2" t="str">
        <f aca="false"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 t="str">
        <f aca="false">IF(OR(F3450="",G3450=""),"",IF(G3450&lt;='RETRATO 2027'!$K$5,"CONCLUÍDA",IF(F3450&lt;='RETRATO 2027'!$K$5,"EM ANDAMENTO","A INICIAR")))</f>
        <v/>
      </c>
    </row>
    <row r="3451" customFormat="false" ht="15" hidden="false" customHeight="false" outlineLevel="0" collapsed="false">
      <c r="M3451" s="2" t="str">
        <f aca="false">IF(C3451="","",IFERROR(INDEX($S$5:$S$304,MATCH(C3451,$R$5:$R$304,0))&amp;"","?"))</f>
        <v/>
      </c>
      <c r="N3451" s="2" t="str">
        <f aca="false"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 t="str">
        <f aca="false">IF(OR(F3451="",G3451=""),"",IF(G3451&lt;='RETRATO 2027'!$K$5,"CONCLUÍDA",IF(F3451&lt;='RETRATO 2027'!$K$5,"EM ANDAMENTO","A INICIAR")))</f>
        <v/>
      </c>
    </row>
    <row r="3452" customFormat="false" ht="15" hidden="false" customHeight="false" outlineLevel="0" collapsed="false">
      <c r="M3452" s="2" t="str">
        <f aca="false">IF(C3452="","",IFERROR(INDEX($S$5:$S$304,MATCH(C3452,$R$5:$R$304,0))&amp;"","?"))</f>
        <v/>
      </c>
      <c r="N3452" s="2" t="str">
        <f aca="false"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 t="str">
        <f aca="false">IF(OR(F3452="",G3452=""),"",IF(G3452&lt;='RETRATO 2027'!$K$5,"CONCLUÍDA",IF(F3452&lt;='RETRATO 2027'!$K$5,"EM ANDAMENTO","A INICIAR")))</f>
        <v/>
      </c>
    </row>
    <row r="3453" customFormat="false" ht="15" hidden="false" customHeight="false" outlineLevel="0" collapsed="false">
      <c r="M3453" s="2" t="str">
        <f aca="false">IF(C3453="","",IFERROR(INDEX($S$5:$S$304,MATCH(C3453,$R$5:$R$304,0))&amp;"","?"))</f>
        <v/>
      </c>
      <c r="N3453" s="2" t="str">
        <f aca="false"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 t="str">
        <f aca="false">IF(OR(F3453="",G3453=""),"",IF(G3453&lt;='RETRATO 2027'!$K$5,"CONCLUÍDA",IF(F3453&lt;='RETRATO 2027'!$K$5,"EM ANDAMENTO","A INICIAR")))</f>
        <v/>
      </c>
    </row>
    <row r="3454" customFormat="false" ht="15" hidden="false" customHeight="false" outlineLevel="0" collapsed="false">
      <c r="M3454" s="2" t="str">
        <f aca="false">IF(C3454="","",IFERROR(INDEX($S$5:$S$304,MATCH(C3454,$R$5:$R$304,0))&amp;"","?"))</f>
        <v/>
      </c>
      <c r="N3454" s="2" t="str">
        <f aca="false"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 t="str">
        <f aca="false">IF(OR(F3454="",G3454=""),"",IF(G3454&lt;='RETRATO 2027'!$K$5,"CONCLUÍDA",IF(F3454&lt;='RETRATO 2027'!$K$5,"EM ANDAMENTO","A INICIAR")))</f>
        <v/>
      </c>
    </row>
    <row r="3455" customFormat="false" ht="15" hidden="false" customHeight="false" outlineLevel="0" collapsed="false">
      <c r="M3455" s="2" t="str">
        <f aca="false">IF(C3455="","",IFERROR(INDEX($S$5:$S$304,MATCH(C3455,$R$5:$R$304,0))&amp;"","?"))</f>
        <v/>
      </c>
      <c r="N3455" s="2" t="str">
        <f aca="false"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 t="str">
        <f aca="false">IF(OR(F3455="",G3455=""),"",IF(G3455&lt;='RETRATO 2027'!$K$5,"CONCLUÍDA",IF(F3455&lt;='RETRATO 2027'!$K$5,"EM ANDAMENTO","A INICIAR")))</f>
        <v/>
      </c>
    </row>
    <row r="3456" customFormat="false" ht="15" hidden="false" customHeight="false" outlineLevel="0" collapsed="false">
      <c r="M3456" s="2" t="str">
        <f aca="false">IF(C3456="","",IFERROR(INDEX($S$5:$S$304,MATCH(C3456,$R$5:$R$304,0))&amp;"","?"))</f>
        <v/>
      </c>
      <c r="N3456" s="2" t="str">
        <f aca="false"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 t="str">
        <f aca="false">IF(OR(F3456="",G3456=""),"",IF(G3456&lt;='RETRATO 2027'!$K$5,"CONCLUÍDA",IF(F3456&lt;='RETRATO 2027'!$K$5,"EM ANDAMENTO","A INICIAR")))</f>
        <v/>
      </c>
    </row>
    <row r="3457" customFormat="false" ht="15" hidden="false" customHeight="false" outlineLevel="0" collapsed="false">
      <c r="M3457" s="2" t="str">
        <f aca="false">IF(C3457="","",IFERROR(INDEX($S$5:$S$304,MATCH(C3457,$R$5:$R$304,0))&amp;"","?"))</f>
        <v/>
      </c>
      <c r="N3457" s="2" t="str">
        <f aca="false"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 t="str">
        <f aca="false">IF(OR(F3457="",G3457=""),"",IF(G3457&lt;='RETRATO 2027'!$K$5,"CONCLUÍDA",IF(F3457&lt;='RETRATO 2027'!$K$5,"EM ANDAMENTO","A INICIAR")))</f>
        <v/>
      </c>
    </row>
    <row r="3458" customFormat="false" ht="15" hidden="false" customHeight="false" outlineLevel="0" collapsed="false">
      <c r="M3458" s="2" t="str">
        <f aca="false">IF(C3458="","",IFERROR(INDEX($S$5:$S$304,MATCH(C3458,$R$5:$R$304,0))&amp;"","?"))</f>
        <v/>
      </c>
      <c r="N3458" s="2" t="str">
        <f aca="false"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 t="str">
        <f aca="false">IF(OR(F3458="",G3458=""),"",IF(G3458&lt;='RETRATO 2027'!$K$5,"CONCLUÍDA",IF(F3458&lt;='RETRATO 2027'!$K$5,"EM ANDAMENTO","A INICIAR")))</f>
        <v/>
      </c>
    </row>
    <row r="3459" customFormat="false" ht="15" hidden="false" customHeight="false" outlineLevel="0" collapsed="false">
      <c r="M3459" s="2" t="str">
        <f aca="false">IF(C3459="","",IFERROR(INDEX($S$5:$S$304,MATCH(C3459,$R$5:$R$304,0))&amp;"","?"))</f>
        <v/>
      </c>
      <c r="N3459" s="2" t="str">
        <f aca="false"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 t="str">
        <f aca="false">IF(OR(F3459="",G3459=""),"",IF(G3459&lt;='RETRATO 2027'!$K$5,"CONCLUÍDA",IF(F3459&lt;='RETRATO 2027'!$K$5,"EM ANDAMENTO","A INICIAR")))</f>
        <v/>
      </c>
    </row>
    <row r="3460" customFormat="false" ht="15" hidden="false" customHeight="false" outlineLevel="0" collapsed="false">
      <c r="M3460" s="2" t="str">
        <f aca="false">IF(C3460="","",IFERROR(INDEX($S$5:$S$304,MATCH(C3460,$R$5:$R$304,0))&amp;"","?"))</f>
        <v/>
      </c>
      <c r="N3460" s="2" t="str">
        <f aca="false"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 t="str">
        <f aca="false">IF(OR(F3460="",G3460=""),"",IF(G3460&lt;='RETRATO 2027'!$K$5,"CONCLUÍDA",IF(F3460&lt;='RETRATO 2027'!$K$5,"EM ANDAMENTO","A INICIAR")))</f>
        <v/>
      </c>
    </row>
    <row r="3461" customFormat="false" ht="15" hidden="false" customHeight="false" outlineLevel="0" collapsed="false">
      <c r="M3461" s="2" t="str">
        <f aca="false">IF(C3461="","",IFERROR(INDEX($S$5:$S$304,MATCH(C3461,$R$5:$R$304,0))&amp;"","?"))</f>
        <v/>
      </c>
      <c r="N3461" s="2" t="str">
        <f aca="false"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 t="str">
        <f aca="false">IF(OR(F3461="",G3461=""),"",IF(G3461&lt;='RETRATO 2027'!$K$5,"CONCLUÍDA",IF(F3461&lt;='RETRATO 2027'!$K$5,"EM ANDAMENTO","A INICIAR")))</f>
        <v/>
      </c>
    </row>
    <row r="3462" customFormat="false" ht="15" hidden="false" customHeight="false" outlineLevel="0" collapsed="false">
      <c r="M3462" s="2" t="str">
        <f aca="false">IF(C3462="","",IFERROR(INDEX($S$5:$S$304,MATCH(C3462,$R$5:$R$304,0))&amp;"","?"))</f>
        <v/>
      </c>
      <c r="N3462" s="2" t="str">
        <f aca="false"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 t="str">
        <f aca="false">IF(OR(F3462="",G3462=""),"",IF(G3462&lt;='RETRATO 2027'!$K$5,"CONCLUÍDA",IF(F3462&lt;='RETRATO 2027'!$K$5,"EM ANDAMENTO","A INICIAR")))</f>
        <v/>
      </c>
    </row>
    <row r="3463" customFormat="false" ht="15" hidden="false" customHeight="false" outlineLevel="0" collapsed="false">
      <c r="M3463" s="2" t="str">
        <f aca="false">IF(C3463="","",IFERROR(INDEX($S$5:$S$304,MATCH(C3463,$R$5:$R$304,0))&amp;"","?"))</f>
        <v/>
      </c>
      <c r="N3463" s="2" t="str">
        <f aca="false"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 t="str">
        <f aca="false">IF(OR(F3463="",G3463=""),"",IF(G3463&lt;='RETRATO 2027'!$K$5,"CONCLUÍDA",IF(F3463&lt;='RETRATO 2027'!$K$5,"EM ANDAMENTO","A INICIAR")))</f>
        <v/>
      </c>
    </row>
    <row r="3464" customFormat="false" ht="15" hidden="false" customHeight="false" outlineLevel="0" collapsed="false">
      <c r="M3464" s="2" t="str">
        <f aca="false">IF(C3464="","",IFERROR(INDEX($S$5:$S$304,MATCH(C3464,$R$5:$R$304,0))&amp;"","?"))</f>
        <v/>
      </c>
      <c r="N3464" s="2" t="str">
        <f aca="false"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 t="str">
        <f aca="false">IF(OR(F3464="",G3464=""),"",IF(G3464&lt;='RETRATO 2027'!$K$5,"CONCLUÍDA",IF(F3464&lt;='RETRATO 2027'!$K$5,"EM ANDAMENTO","A INICIAR")))</f>
        <v/>
      </c>
    </row>
    <row r="3465" customFormat="false" ht="15" hidden="false" customHeight="false" outlineLevel="0" collapsed="false">
      <c r="M3465" s="2" t="str">
        <f aca="false">IF(C3465="","",IFERROR(INDEX($S$5:$S$304,MATCH(C3465,$R$5:$R$304,0))&amp;"","?"))</f>
        <v/>
      </c>
      <c r="N3465" s="2" t="str">
        <f aca="false"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 t="str">
        <f aca="false">IF(OR(F3465="",G3465=""),"",IF(G3465&lt;='RETRATO 2027'!$K$5,"CONCLUÍDA",IF(F3465&lt;='RETRATO 2027'!$K$5,"EM ANDAMENTO","A INICIAR")))</f>
        <v/>
      </c>
    </row>
    <row r="3466" customFormat="false" ht="15" hidden="false" customHeight="false" outlineLevel="0" collapsed="false">
      <c r="M3466" s="2" t="str">
        <f aca="false">IF(C3466="","",IFERROR(INDEX($S$5:$S$304,MATCH(C3466,$R$5:$R$304,0))&amp;"","?"))</f>
        <v/>
      </c>
      <c r="N3466" s="2" t="str">
        <f aca="false"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 t="str">
        <f aca="false">IF(OR(F3466="",G3466=""),"",IF(G3466&lt;='RETRATO 2027'!$K$5,"CONCLUÍDA",IF(F3466&lt;='RETRATO 2027'!$K$5,"EM ANDAMENTO","A INICIAR")))</f>
        <v/>
      </c>
    </row>
    <row r="3467" customFormat="false" ht="15" hidden="false" customHeight="false" outlineLevel="0" collapsed="false">
      <c r="M3467" s="2" t="str">
        <f aca="false">IF(C3467="","",IFERROR(INDEX($S$5:$S$304,MATCH(C3467,$R$5:$R$304,0))&amp;"","?"))</f>
        <v/>
      </c>
      <c r="N3467" s="2" t="str">
        <f aca="false"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 t="str">
        <f aca="false">IF(OR(F3467="",G3467=""),"",IF(G3467&lt;='RETRATO 2027'!$K$5,"CONCLUÍDA",IF(F3467&lt;='RETRATO 2027'!$K$5,"EM ANDAMENTO","A INICIAR")))</f>
        <v/>
      </c>
    </row>
    <row r="3468" customFormat="false" ht="15" hidden="false" customHeight="false" outlineLevel="0" collapsed="false">
      <c r="M3468" s="2" t="str">
        <f aca="false">IF(C3468="","",IFERROR(INDEX($S$5:$S$304,MATCH(C3468,$R$5:$R$304,0))&amp;"","?"))</f>
        <v/>
      </c>
      <c r="N3468" s="2" t="str">
        <f aca="false"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 t="str">
        <f aca="false">IF(OR(F3468="",G3468=""),"",IF(G3468&lt;='RETRATO 2027'!$K$5,"CONCLUÍDA",IF(F3468&lt;='RETRATO 2027'!$K$5,"EM ANDAMENTO","A INICIAR")))</f>
        <v/>
      </c>
    </row>
    <row r="3469" customFormat="false" ht="15" hidden="false" customHeight="false" outlineLevel="0" collapsed="false">
      <c r="M3469" s="2" t="str">
        <f aca="false">IF(C3469="","",IFERROR(INDEX($S$5:$S$304,MATCH(C3469,$R$5:$R$304,0))&amp;"","?"))</f>
        <v/>
      </c>
      <c r="N3469" s="2" t="str">
        <f aca="false"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 t="str">
        <f aca="false">IF(OR(F3469="",G3469=""),"",IF(G3469&lt;='RETRATO 2027'!$K$5,"CONCLUÍDA",IF(F3469&lt;='RETRATO 2027'!$K$5,"EM ANDAMENTO","A INICIAR")))</f>
        <v/>
      </c>
    </row>
    <row r="3470" customFormat="false" ht="15" hidden="false" customHeight="false" outlineLevel="0" collapsed="false">
      <c r="M3470" s="2" t="str">
        <f aca="false">IF(C3470="","",IFERROR(INDEX($S$5:$S$304,MATCH(C3470,$R$5:$R$304,0))&amp;"","?"))</f>
        <v/>
      </c>
      <c r="N3470" s="2" t="str">
        <f aca="false"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 t="str">
        <f aca="false">IF(OR(F3470="",G3470=""),"",IF(G3470&lt;='RETRATO 2027'!$K$5,"CONCLUÍDA",IF(F3470&lt;='RETRATO 2027'!$K$5,"EM ANDAMENTO","A INICIAR")))</f>
        <v/>
      </c>
    </row>
    <row r="3471" customFormat="false" ht="15" hidden="false" customHeight="false" outlineLevel="0" collapsed="false">
      <c r="M3471" s="2" t="str">
        <f aca="false">IF(C3471="","",IFERROR(INDEX($S$5:$S$304,MATCH(C3471,$R$5:$R$304,0))&amp;"","?"))</f>
        <v/>
      </c>
      <c r="N3471" s="2" t="str">
        <f aca="false"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 t="str">
        <f aca="false">IF(OR(F3471="",G3471=""),"",IF(G3471&lt;='RETRATO 2027'!$K$5,"CONCLUÍDA",IF(F3471&lt;='RETRATO 2027'!$K$5,"EM ANDAMENTO","A INICIAR")))</f>
        <v/>
      </c>
    </row>
    <row r="3472" customFormat="false" ht="15" hidden="false" customHeight="false" outlineLevel="0" collapsed="false">
      <c r="M3472" s="2" t="str">
        <f aca="false">IF(C3472="","",IFERROR(INDEX($S$5:$S$304,MATCH(C3472,$R$5:$R$304,0))&amp;"","?"))</f>
        <v/>
      </c>
      <c r="N3472" s="2" t="str">
        <f aca="false"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 t="str">
        <f aca="false">IF(OR(F3472="",G3472=""),"",IF(G3472&lt;='RETRATO 2027'!$K$5,"CONCLUÍDA",IF(F3472&lt;='RETRATO 2027'!$K$5,"EM ANDAMENTO","A INICIAR")))</f>
        <v/>
      </c>
    </row>
    <row r="3473" customFormat="false" ht="15" hidden="false" customHeight="false" outlineLevel="0" collapsed="false">
      <c r="M3473" s="2" t="str">
        <f aca="false">IF(C3473="","",IFERROR(INDEX($S$5:$S$304,MATCH(C3473,$R$5:$R$304,0))&amp;"","?"))</f>
        <v/>
      </c>
      <c r="N3473" s="2" t="str">
        <f aca="false"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 t="str">
        <f aca="false">IF(OR(F3473="",G3473=""),"",IF(G3473&lt;='RETRATO 2027'!$K$5,"CONCLUÍDA",IF(F3473&lt;='RETRATO 2027'!$K$5,"EM ANDAMENTO","A INICIAR")))</f>
        <v/>
      </c>
    </row>
    <row r="3474" customFormat="false" ht="15" hidden="false" customHeight="false" outlineLevel="0" collapsed="false">
      <c r="M3474" s="2" t="str">
        <f aca="false">IF(C3474="","",IFERROR(INDEX($S$5:$S$304,MATCH(C3474,$R$5:$R$304,0))&amp;"","?"))</f>
        <v/>
      </c>
      <c r="N3474" s="2" t="str">
        <f aca="false"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 t="str">
        <f aca="false">IF(OR(F3474="",G3474=""),"",IF(G3474&lt;='RETRATO 2027'!$K$5,"CONCLUÍDA",IF(F3474&lt;='RETRATO 2027'!$K$5,"EM ANDAMENTO","A INICIAR")))</f>
        <v/>
      </c>
    </row>
    <row r="3475" customFormat="false" ht="15" hidden="false" customHeight="false" outlineLevel="0" collapsed="false">
      <c r="M3475" s="2" t="str">
        <f aca="false">IF(C3475="","",IFERROR(INDEX($S$5:$S$304,MATCH(C3475,$R$5:$R$304,0))&amp;"","?"))</f>
        <v/>
      </c>
      <c r="N3475" s="2" t="str">
        <f aca="false"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 t="str">
        <f aca="false">IF(OR(F3475="",G3475=""),"",IF(G3475&lt;='RETRATO 2027'!$K$5,"CONCLUÍDA",IF(F3475&lt;='RETRATO 2027'!$K$5,"EM ANDAMENTO","A INICIAR")))</f>
        <v/>
      </c>
    </row>
    <row r="3476" customFormat="false" ht="15" hidden="false" customHeight="false" outlineLevel="0" collapsed="false">
      <c r="M3476" s="2" t="str">
        <f aca="false">IF(C3476="","",IFERROR(INDEX($S$5:$S$304,MATCH(C3476,$R$5:$R$304,0))&amp;"","?"))</f>
        <v/>
      </c>
      <c r="N3476" s="2" t="str">
        <f aca="false"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 t="str">
        <f aca="false">IF(OR(F3476="",G3476=""),"",IF(G3476&lt;='RETRATO 2027'!$K$5,"CONCLUÍDA",IF(F3476&lt;='RETRATO 2027'!$K$5,"EM ANDAMENTO","A INICIAR")))</f>
        <v/>
      </c>
    </row>
    <row r="3477" customFormat="false" ht="15" hidden="false" customHeight="false" outlineLevel="0" collapsed="false">
      <c r="M3477" s="2" t="str">
        <f aca="false">IF(C3477="","",IFERROR(INDEX($S$5:$S$304,MATCH(C3477,$R$5:$R$304,0))&amp;"","?"))</f>
        <v/>
      </c>
      <c r="N3477" s="2" t="str">
        <f aca="false"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 t="str">
        <f aca="false">IF(OR(F3477="",G3477=""),"",IF(G3477&lt;='RETRATO 2027'!$K$5,"CONCLUÍDA",IF(F3477&lt;='RETRATO 2027'!$K$5,"EM ANDAMENTO","A INICIAR")))</f>
        <v/>
      </c>
    </row>
    <row r="3478" customFormat="false" ht="15" hidden="false" customHeight="false" outlineLevel="0" collapsed="false">
      <c r="M3478" s="2" t="str">
        <f aca="false">IF(C3478="","",IFERROR(INDEX($S$5:$S$304,MATCH(C3478,$R$5:$R$304,0))&amp;"","?"))</f>
        <v/>
      </c>
      <c r="N3478" s="2" t="str">
        <f aca="false"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 t="str">
        <f aca="false">IF(OR(F3478="",G3478=""),"",IF(G3478&lt;='RETRATO 2027'!$K$5,"CONCLUÍDA",IF(F3478&lt;='RETRATO 2027'!$K$5,"EM ANDAMENTO","A INICIAR")))</f>
        <v/>
      </c>
    </row>
    <row r="3479" customFormat="false" ht="15" hidden="false" customHeight="false" outlineLevel="0" collapsed="false">
      <c r="M3479" s="2" t="str">
        <f aca="false">IF(C3479="","",IFERROR(INDEX($S$5:$S$304,MATCH(C3479,$R$5:$R$304,0))&amp;"","?"))</f>
        <v/>
      </c>
      <c r="N3479" s="2" t="str">
        <f aca="false"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 t="str">
        <f aca="false">IF(OR(F3479="",G3479=""),"",IF(G3479&lt;='RETRATO 2027'!$K$5,"CONCLUÍDA",IF(F3479&lt;='RETRATO 2027'!$K$5,"EM ANDAMENTO","A INICIAR")))</f>
        <v/>
      </c>
    </row>
    <row r="3480" customFormat="false" ht="15" hidden="false" customHeight="false" outlineLevel="0" collapsed="false">
      <c r="M3480" s="2" t="str">
        <f aca="false">IF(C3480="","",IFERROR(INDEX($S$5:$S$304,MATCH(C3480,$R$5:$R$304,0))&amp;"","?"))</f>
        <v/>
      </c>
      <c r="N3480" s="2" t="str">
        <f aca="false"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 t="str">
        <f aca="false">IF(OR(F3480="",G3480=""),"",IF(G3480&lt;='RETRATO 2027'!$K$5,"CONCLUÍDA",IF(F3480&lt;='RETRATO 2027'!$K$5,"EM ANDAMENTO","A INICIAR")))</f>
        <v/>
      </c>
    </row>
    <row r="3481" customFormat="false" ht="15" hidden="false" customHeight="false" outlineLevel="0" collapsed="false">
      <c r="M3481" s="2" t="str">
        <f aca="false">IF(C3481="","",IFERROR(INDEX($S$5:$S$304,MATCH(C3481,$R$5:$R$304,0))&amp;"","?"))</f>
        <v/>
      </c>
      <c r="N3481" s="2" t="str">
        <f aca="false"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 t="str">
        <f aca="false">IF(OR(F3481="",G3481=""),"",IF(G3481&lt;='RETRATO 2027'!$K$5,"CONCLUÍDA",IF(F3481&lt;='RETRATO 2027'!$K$5,"EM ANDAMENTO","A INICIAR")))</f>
        <v/>
      </c>
    </row>
    <row r="3482" customFormat="false" ht="15" hidden="false" customHeight="false" outlineLevel="0" collapsed="false">
      <c r="M3482" s="2" t="str">
        <f aca="false">IF(C3482="","",IFERROR(INDEX($S$5:$S$304,MATCH(C3482,$R$5:$R$304,0))&amp;"","?"))</f>
        <v/>
      </c>
      <c r="N3482" s="2" t="str">
        <f aca="false"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 t="str">
        <f aca="false">IF(OR(F3482="",G3482=""),"",IF(G3482&lt;='RETRATO 2027'!$K$5,"CONCLUÍDA",IF(F3482&lt;='RETRATO 2027'!$K$5,"EM ANDAMENTO","A INICIAR")))</f>
        <v/>
      </c>
    </row>
    <row r="3483" customFormat="false" ht="15" hidden="false" customHeight="false" outlineLevel="0" collapsed="false">
      <c r="M3483" s="2" t="str">
        <f aca="false">IF(C3483="","",IFERROR(INDEX($S$5:$S$304,MATCH(C3483,$R$5:$R$304,0))&amp;"","?"))</f>
        <v/>
      </c>
      <c r="N3483" s="2" t="str">
        <f aca="false"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 t="str">
        <f aca="false">IF(OR(F3483="",G3483=""),"",IF(G3483&lt;='RETRATO 2027'!$K$5,"CONCLUÍDA",IF(F3483&lt;='RETRATO 2027'!$K$5,"EM ANDAMENTO","A INICIAR")))</f>
        <v/>
      </c>
    </row>
    <row r="3484" customFormat="false" ht="15" hidden="false" customHeight="false" outlineLevel="0" collapsed="false">
      <c r="M3484" s="2" t="str">
        <f aca="false">IF(C3484="","",IFERROR(INDEX($S$5:$S$304,MATCH(C3484,$R$5:$R$304,0))&amp;"","?"))</f>
        <v/>
      </c>
      <c r="N3484" s="2" t="str">
        <f aca="false"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 t="str">
        <f aca="false">IF(OR(F3484="",G3484=""),"",IF(G3484&lt;='RETRATO 2027'!$K$5,"CONCLUÍDA",IF(F3484&lt;='RETRATO 2027'!$K$5,"EM ANDAMENTO","A INICIAR")))</f>
        <v/>
      </c>
    </row>
    <row r="3485" customFormat="false" ht="15" hidden="false" customHeight="false" outlineLevel="0" collapsed="false">
      <c r="M3485" s="2" t="str">
        <f aca="false">IF(C3485="","",IFERROR(INDEX($S$5:$S$304,MATCH(C3485,$R$5:$R$304,0))&amp;"","?"))</f>
        <v/>
      </c>
      <c r="N3485" s="2" t="str">
        <f aca="false"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 t="str">
        <f aca="false">IF(OR(F3485="",G3485=""),"",IF(G3485&lt;='RETRATO 2027'!$K$5,"CONCLUÍDA",IF(F3485&lt;='RETRATO 2027'!$K$5,"EM ANDAMENTO","A INICIAR")))</f>
        <v/>
      </c>
    </row>
    <row r="3486" customFormat="false" ht="15" hidden="false" customHeight="false" outlineLevel="0" collapsed="false">
      <c r="M3486" s="2" t="str">
        <f aca="false">IF(C3486="","",IFERROR(INDEX($S$5:$S$304,MATCH(C3486,$R$5:$R$304,0))&amp;"","?"))</f>
        <v/>
      </c>
      <c r="N3486" s="2" t="str">
        <f aca="false"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 t="str">
        <f aca="false">IF(OR(F3486="",G3486=""),"",IF(G3486&lt;='RETRATO 2027'!$K$5,"CONCLUÍDA",IF(F3486&lt;='RETRATO 2027'!$K$5,"EM ANDAMENTO","A INICIAR")))</f>
        <v/>
      </c>
    </row>
    <row r="3487" customFormat="false" ht="15" hidden="false" customHeight="false" outlineLevel="0" collapsed="false">
      <c r="M3487" s="2" t="str">
        <f aca="false">IF(C3487="","",IFERROR(INDEX($S$5:$S$304,MATCH(C3487,$R$5:$R$304,0))&amp;"","?"))</f>
        <v/>
      </c>
      <c r="N3487" s="2" t="str">
        <f aca="false"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 t="str">
        <f aca="false">IF(OR(F3487="",G3487=""),"",IF(G3487&lt;='RETRATO 2027'!$K$5,"CONCLUÍDA",IF(F3487&lt;='RETRATO 2027'!$K$5,"EM ANDAMENTO","A INICIAR")))</f>
        <v/>
      </c>
    </row>
    <row r="3488" customFormat="false" ht="15" hidden="false" customHeight="false" outlineLevel="0" collapsed="false">
      <c r="M3488" s="2" t="str">
        <f aca="false">IF(C3488="","",IFERROR(INDEX($S$5:$S$304,MATCH(C3488,$R$5:$R$304,0))&amp;"","?"))</f>
        <v/>
      </c>
      <c r="N3488" s="2" t="str">
        <f aca="false"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 t="str">
        <f aca="false">IF(OR(F3488="",G3488=""),"",IF(G3488&lt;='RETRATO 2027'!$K$5,"CONCLUÍDA",IF(F3488&lt;='RETRATO 2027'!$K$5,"EM ANDAMENTO","A INICIAR")))</f>
        <v/>
      </c>
    </row>
    <row r="3489" customFormat="false" ht="15" hidden="false" customHeight="false" outlineLevel="0" collapsed="false">
      <c r="M3489" s="2" t="str">
        <f aca="false">IF(C3489="","",IFERROR(INDEX($S$5:$S$304,MATCH(C3489,$R$5:$R$304,0))&amp;"","?"))</f>
        <v/>
      </c>
      <c r="N3489" s="2" t="str">
        <f aca="false"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 t="str">
        <f aca="false">IF(OR(F3489="",G3489=""),"",IF(G3489&lt;='RETRATO 2027'!$K$5,"CONCLUÍDA",IF(F3489&lt;='RETRATO 2027'!$K$5,"EM ANDAMENTO","A INICIAR")))</f>
        <v/>
      </c>
    </row>
    <row r="3490" customFormat="false" ht="15" hidden="false" customHeight="false" outlineLevel="0" collapsed="false">
      <c r="M3490" s="2" t="str">
        <f aca="false">IF(C3490="","",IFERROR(INDEX($S$5:$S$304,MATCH(C3490,$R$5:$R$304,0))&amp;"","?"))</f>
        <v/>
      </c>
      <c r="N3490" s="2" t="str">
        <f aca="false"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 t="str">
        <f aca="false">IF(OR(F3490="",G3490=""),"",IF(G3490&lt;='RETRATO 2027'!$K$5,"CONCLUÍDA",IF(F3490&lt;='RETRATO 2027'!$K$5,"EM ANDAMENTO","A INICIAR")))</f>
        <v/>
      </c>
    </row>
    <row r="3491" customFormat="false" ht="15" hidden="false" customHeight="false" outlineLevel="0" collapsed="false">
      <c r="M3491" s="2" t="str">
        <f aca="false">IF(C3491="","",IFERROR(INDEX($S$5:$S$304,MATCH(C3491,$R$5:$R$304,0))&amp;"","?"))</f>
        <v/>
      </c>
      <c r="N3491" s="2" t="str">
        <f aca="false"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 t="str">
        <f aca="false">IF(OR(F3491="",G3491=""),"",IF(G3491&lt;='RETRATO 2027'!$K$5,"CONCLUÍDA",IF(F3491&lt;='RETRATO 2027'!$K$5,"EM ANDAMENTO","A INICIAR")))</f>
        <v/>
      </c>
    </row>
    <row r="3492" customFormat="false" ht="15" hidden="false" customHeight="false" outlineLevel="0" collapsed="false">
      <c r="M3492" s="2" t="str">
        <f aca="false">IF(C3492="","",IFERROR(INDEX($S$5:$S$304,MATCH(C3492,$R$5:$R$304,0))&amp;"","?"))</f>
        <v/>
      </c>
      <c r="N3492" s="2" t="str">
        <f aca="false"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 t="str">
        <f aca="false">IF(OR(F3492="",G3492=""),"",IF(G3492&lt;='RETRATO 2027'!$K$5,"CONCLUÍDA",IF(F3492&lt;='RETRATO 2027'!$K$5,"EM ANDAMENTO","A INICIAR")))</f>
        <v/>
      </c>
    </row>
    <row r="3493" customFormat="false" ht="15" hidden="false" customHeight="false" outlineLevel="0" collapsed="false">
      <c r="M3493" s="2" t="str">
        <f aca="false">IF(C3493="","",IFERROR(INDEX($S$5:$S$304,MATCH(C3493,$R$5:$R$304,0))&amp;"","?"))</f>
        <v/>
      </c>
      <c r="N3493" s="2" t="str">
        <f aca="false"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 t="str">
        <f aca="false">IF(OR(F3493="",G3493=""),"",IF(G3493&lt;='RETRATO 2027'!$K$5,"CONCLUÍDA",IF(F3493&lt;='RETRATO 2027'!$K$5,"EM ANDAMENTO","A INICIAR")))</f>
        <v/>
      </c>
    </row>
    <row r="3494" customFormat="false" ht="15" hidden="false" customHeight="false" outlineLevel="0" collapsed="false">
      <c r="M3494" s="2" t="str">
        <f aca="false">IF(C3494="","",IFERROR(INDEX($S$5:$S$304,MATCH(C3494,$R$5:$R$304,0))&amp;"","?"))</f>
        <v/>
      </c>
      <c r="N3494" s="2" t="str">
        <f aca="false"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 t="str">
        <f aca="false">IF(OR(F3494="",G3494=""),"",IF(G3494&lt;='RETRATO 2027'!$K$5,"CONCLUÍDA",IF(F3494&lt;='RETRATO 2027'!$K$5,"EM ANDAMENTO","A INICIAR")))</f>
        <v/>
      </c>
    </row>
    <row r="3495" customFormat="false" ht="15" hidden="false" customHeight="false" outlineLevel="0" collapsed="false">
      <c r="M3495" s="2" t="str">
        <f aca="false">IF(C3495="","",IFERROR(INDEX($S$5:$S$304,MATCH(C3495,$R$5:$R$304,0))&amp;"","?"))</f>
        <v/>
      </c>
      <c r="N3495" s="2" t="str">
        <f aca="false"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 t="str">
        <f aca="false">IF(OR(F3495="",G3495=""),"",IF(G3495&lt;='RETRATO 2027'!$K$5,"CONCLUÍDA",IF(F3495&lt;='RETRATO 2027'!$K$5,"EM ANDAMENTO","A INICIAR")))</f>
        <v/>
      </c>
    </row>
    <row r="3496" customFormat="false" ht="15" hidden="false" customHeight="false" outlineLevel="0" collapsed="false">
      <c r="M3496" s="2" t="str">
        <f aca="false">IF(C3496="","",IFERROR(INDEX($S$5:$S$304,MATCH(C3496,$R$5:$R$304,0))&amp;"","?"))</f>
        <v/>
      </c>
      <c r="N3496" s="2" t="str">
        <f aca="false"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 t="str">
        <f aca="false">IF(OR(F3496="",G3496=""),"",IF(G3496&lt;='RETRATO 2027'!$K$5,"CONCLUÍDA",IF(F3496&lt;='RETRATO 2027'!$K$5,"EM ANDAMENTO","A INICIAR")))</f>
        <v/>
      </c>
    </row>
    <row r="3497" customFormat="false" ht="15" hidden="false" customHeight="false" outlineLevel="0" collapsed="false">
      <c r="M3497" s="2" t="str">
        <f aca="false">IF(C3497="","",IFERROR(INDEX($S$5:$S$304,MATCH(C3497,$R$5:$R$304,0))&amp;"","?"))</f>
        <v/>
      </c>
      <c r="N3497" s="2" t="str">
        <f aca="false"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 t="str">
        <f aca="false">IF(OR(F3497="",G3497=""),"",IF(G3497&lt;='RETRATO 2027'!$K$5,"CONCLUÍDA",IF(F3497&lt;='RETRATO 2027'!$K$5,"EM ANDAMENTO","A INICIAR")))</f>
        <v/>
      </c>
    </row>
    <row r="3498" customFormat="false" ht="15" hidden="false" customHeight="false" outlineLevel="0" collapsed="false">
      <c r="M3498" s="2" t="str">
        <f aca="false">IF(C3498="","",IFERROR(INDEX($S$5:$S$304,MATCH(C3498,$R$5:$R$304,0))&amp;"","?"))</f>
        <v/>
      </c>
      <c r="N3498" s="2" t="str">
        <f aca="false"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 t="str">
        <f aca="false">IF(OR(F3498="",G3498=""),"",IF(G3498&lt;='RETRATO 2027'!$K$5,"CONCLUÍDA",IF(F3498&lt;='RETRATO 2027'!$K$5,"EM ANDAMENTO","A INICIAR")))</f>
        <v/>
      </c>
    </row>
    <row r="3499" customFormat="false" ht="15" hidden="false" customHeight="false" outlineLevel="0" collapsed="false">
      <c r="M3499" s="2" t="str">
        <f aca="false">IF(C3499="","",IFERROR(INDEX($S$5:$S$304,MATCH(C3499,$R$5:$R$304,0))&amp;"","?"))</f>
        <v/>
      </c>
      <c r="N3499" s="2" t="str">
        <f aca="false"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 t="str">
        <f aca="false">IF(OR(F3499="",G3499=""),"",IF(G3499&lt;='RETRATO 2027'!$K$5,"CONCLUÍDA",IF(F3499&lt;='RETRATO 2027'!$K$5,"EM ANDAMENTO","A INICIAR")))</f>
        <v/>
      </c>
    </row>
    <row r="3500" customFormat="false" ht="15" hidden="false" customHeight="false" outlineLevel="0" collapsed="false">
      <c r="M3500" s="2" t="str">
        <f aca="false">IF(C3500="","",IFERROR(INDEX($S$5:$S$304,MATCH(C3500,$R$5:$R$304,0))&amp;"","?"))</f>
        <v/>
      </c>
      <c r="N3500" s="2" t="str">
        <f aca="false"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 t="str">
        <f aca="false">IF(OR(F3500="",G3500=""),"",IF(G3500&lt;='RETRATO 2027'!$K$5,"CONCLUÍDA",IF(F3500&lt;='RETRATO 2027'!$K$5,"EM ANDAMENTO","A INICIAR")))</f>
        <v/>
      </c>
    </row>
    <row r="3501" customFormat="false" ht="15" hidden="false" customHeight="false" outlineLevel="0" collapsed="false">
      <c r="M3501" s="2" t="str">
        <f aca="false">IF(C3501="","",IFERROR(INDEX($S$5:$S$304,MATCH(C3501,$R$5:$R$304,0))&amp;"","?"))</f>
        <v/>
      </c>
      <c r="N3501" s="2" t="str">
        <f aca="false"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 t="str">
        <f aca="false">IF(OR(F3501="",G3501=""),"",IF(G3501&lt;='RETRATO 2027'!$K$5,"CONCLUÍDA",IF(F3501&lt;='RETRATO 2027'!$K$5,"EM ANDAMENTO","A INICIAR")))</f>
        <v/>
      </c>
    </row>
    <row r="3502" customFormat="false" ht="15" hidden="false" customHeight="false" outlineLevel="0" collapsed="false">
      <c r="M3502" s="2" t="str">
        <f aca="false">IF(C3502="","",IFERROR(INDEX($S$5:$S$304,MATCH(C3502,$R$5:$R$304,0))&amp;"","?"))</f>
        <v/>
      </c>
      <c r="N3502" s="2" t="str">
        <f aca="false"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 t="str">
        <f aca="false">IF(OR(F3502="",G3502=""),"",IF(G3502&lt;='RETRATO 2027'!$K$5,"CONCLUÍDA",IF(F3502&lt;='RETRATO 2027'!$K$5,"EM ANDAMENTO","A INICIAR")))</f>
        <v/>
      </c>
    </row>
    <row r="3503" customFormat="false" ht="15" hidden="false" customHeight="false" outlineLevel="0" collapsed="false">
      <c r="M3503" s="2" t="str">
        <f aca="false">IF(C3503="","",IFERROR(INDEX($S$5:$S$304,MATCH(C3503,$R$5:$R$304,0))&amp;"","?"))</f>
        <v/>
      </c>
      <c r="N3503" s="2" t="str">
        <f aca="false"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 t="str">
        <f aca="false">IF(OR(F3503="",G3503=""),"",IF(G3503&lt;='RETRATO 2027'!$K$5,"CONCLUÍDA",IF(F3503&lt;='RETRATO 2027'!$K$5,"EM ANDAMENTO","A INICIAR")))</f>
        <v/>
      </c>
    </row>
    <row r="3504" customFormat="false" ht="15" hidden="false" customHeight="false" outlineLevel="0" collapsed="false">
      <c r="M3504" s="2" t="str">
        <f aca="false">IF(C3504="","",IFERROR(INDEX($S$5:$S$304,MATCH(C3504,$R$5:$R$304,0))&amp;"","?"))</f>
        <v/>
      </c>
      <c r="N3504" s="2" t="str">
        <f aca="false"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 t="str">
        <f aca="false">IF(OR(F3504="",G3504=""),"",IF(G3504&lt;='RETRATO 2027'!$K$5,"CONCLUÍDA",IF(F3504&lt;='RETRATO 2027'!$K$5,"EM ANDAMENTO","A INICIAR")))</f>
        <v/>
      </c>
    </row>
    <row r="3505" customFormat="false" ht="15" hidden="false" customHeight="false" outlineLevel="0" collapsed="false">
      <c r="M3505" s="2" t="str">
        <f aca="false">IF(C3505="","",IFERROR(INDEX($S$5:$S$304,MATCH(C3505,$R$5:$R$304,0))&amp;"","?"))</f>
        <v/>
      </c>
      <c r="N3505" s="2" t="str">
        <f aca="false"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 t="str">
        <f aca="false">IF(OR(F3505="",G3505=""),"",IF(G3505&lt;='RETRATO 2027'!$K$5,"CONCLUÍDA",IF(F3505&lt;='RETRATO 2027'!$K$5,"EM ANDAMENTO","A INICIAR")))</f>
        <v/>
      </c>
    </row>
    <row r="3506" customFormat="false" ht="15" hidden="false" customHeight="false" outlineLevel="0" collapsed="false">
      <c r="M3506" s="2" t="str">
        <f aca="false">IF(C3506="","",IFERROR(INDEX($S$5:$S$304,MATCH(C3506,$R$5:$R$304,0))&amp;"","?"))</f>
        <v/>
      </c>
      <c r="N3506" s="2" t="str">
        <f aca="false"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 t="str">
        <f aca="false">IF(OR(F3506="",G3506=""),"",IF(G3506&lt;='RETRATO 2027'!$K$5,"CONCLUÍDA",IF(F3506&lt;='RETRATO 2027'!$K$5,"EM ANDAMENTO","A INICIAR")))</f>
        <v/>
      </c>
    </row>
    <row r="3507" customFormat="false" ht="15" hidden="false" customHeight="false" outlineLevel="0" collapsed="false">
      <c r="M3507" s="2" t="str">
        <f aca="false">IF(C3507="","",IFERROR(INDEX($S$5:$S$304,MATCH(C3507,$R$5:$R$304,0))&amp;"","?"))</f>
        <v/>
      </c>
      <c r="N3507" s="2" t="str">
        <f aca="false"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 t="str">
        <f aca="false">IF(OR(F3507="",G3507=""),"",IF(G3507&lt;='RETRATO 2027'!$K$5,"CONCLUÍDA",IF(F3507&lt;='RETRATO 2027'!$K$5,"EM ANDAMENTO","A INICIAR")))</f>
        <v/>
      </c>
    </row>
    <row r="3508" customFormat="false" ht="15" hidden="false" customHeight="false" outlineLevel="0" collapsed="false">
      <c r="M3508" s="2" t="str">
        <f aca="false">IF(C3508="","",IFERROR(INDEX($S$5:$S$304,MATCH(C3508,$R$5:$R$304,0))&amp;"","?"))</f>
        <v/>
      </c>
      <c r="N3508" s="2" t="str">
        <f aca="false"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 t="str">
        <f aca="false">IF(OR(F3508="",G3508=""),"",IF(G3508&lt;='RETRATO 2027'!$K$5,"CONCLUÍDA",IF(F3508&lt;='RETRATO 2027'!$K$5,"EM ANDAMENTO","A INICIAR")))</f>
        <v/>
      </c>
    </row>
    <row r="3509" customFormat="false" ht="15" hidden="false" customHeight="false" outlineLevel="0" collapsed="false">
      <c r="M3509" s="2" t="str">
        <f aca="false">IF(C3509="","",IFERROR(INDEX($S$5:$S$304,MATCH(C3509,$R$5:$R$304,0))&amp;"","?"))</f>
        <v/>
      </c>
      <c r="N3509" s="2" t="str">
        <f aca="false"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 t="str">
        <f aca="false">IF(OR(F3509="",G3509=""),"",IF(G3509&lt;='RETRATO 2027'!$K$5,"CONCLUÍDA",IF(F3509&lt;='RETRATO 2027'!$K$5,"EM ANDAMENTO","A INICIAR")))</f>
        <v/>
      </c>
    </row>
    <row r="3510" customFormat="false" ht="15" hidden="false" customHeight="false" outlineLevel="0" collapsed="false">
      <c r="M3510" s="2" t="str">
        <f aca="false">IF(C3510="","",IFERROR(INDEX($S$5:$S$304,MATCH(C3510,$R$5:$R$304,0))&amp;"","?"))</f>
        <v/>
      </c>
      <c r="N3510" s="2" t="str">
        <f aca="false"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 t="str">
        <f aca="false">IF(OR(F3510="",G3510=""),"",IF(G3510&lt;='RETRATO 2027'!$K$5,"CONCLUÍDA",IF(F3510&lt;='RETRATO 2027'!$K$5,"EM ANDAMENTO","A INICIAR")))</f>
        <v/>
      </c>
    </row>
    <row r="3511" customFormat="false" ht="15" hidden="false" customHeight="false" outlineLevel="0" collapsed="false">
      <c r="M3511" s="2" t="str">
        <f aca="false">IF(C3511="","",IFERROR(INDEX($S$5:$S$304,MATCH(C3511,$R$5:$R$304,0))&amp;"","?"))</f>
        <v/>
      </c>
      <c r="N3511" s="2" t="str">
        <f aca="false"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 t="str">
        <f aca="false">IF(OR(F3511="",G3511=""),"",IF(G3511&lt;='RETRATO 2027'!$K$5,"CONCLUÍDA",IF(F3511&lt;='RETRATO 2027'!$K$5,"EM ANDAMENTO","A INICIAR")))</f>
        <v/>
      </c>
    </row>
    <row r="3512" customFormat="false" ht="15" hidden="false" customHeight="false" outlineLevel="0" collapsed="false">
      <c r="M3512" s="2" t="str">
        <f aca="false">IF(C3512="","",IFERROR(INDEX($S$5:$S$304,MATCH(C3512,$R$5:$R$304,0))&amp;"","?"))</f>
        <v/>
      </c>
      <c r="N3512" s="2" t="str">
        <f aca="false"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 t="str">
        <f aca="false">IF(OR(F3512="",G3512=""),"",IF(G3512&lt;='RETRATO 2027'!$K$5,"CONCLUÍDA",IF(F3512&lt;='RETRATO 2027'!$K$5,"EM ANDAMENTO","A INICIAR")))</f>
        <v/>
      </c>
    </row>
    <row r="3513" customFormat="false" ht="15" hidden="false" customHeight="false" outlineLevel="0" collapsed="false">
      <c r="M3513" s="2" t="str">
        <f aca="false">IF(C3513="","",IFERROR(INDEX($S$5:$S$304,MATCH(C3513,$R$5:$R$304,0))&amp;"","?"))</f>
        <v/>
      </c>
      <c r="N3513" s="2" t="str">
        <f aca="false"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 t="str">
        <f aca="false">IF(OR(F3513="",G3513=""),"",IF(G3513&lt;='RETRATO 2027'!$K$5,"CONCLUÍDA",IF(F3513&lt;='RETRATO 2027'!$K$5,"EM ANDAMENTO","A INICIAR")))</f>
        <v/>
      </c>
    </row>
    <row r="3514" customFormat="false" ht="15" hidden="false" customHeight="false" outlineLevel="0" collapsed="false">
      <c r="M3514" s="2" t="str">
        <f aca="false">IF(C3514="","",IFERROR(INDEX($S$5:$S$304,MATCH(C3514,$R$5:$R$304,0))&amp;"","?"))</f>
        <v/>
      </c>
      <c r="N3514" s="2" t="str">
        <f aca="false"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 t="str">
        <f aca="false">IF(OR(F3514="",G3514=""),"",IF(G3514&lt;='RETRATO 2027'!$K$5,"CONCLUÍDA",IF(F3514&lt;='RETRATO 2027'!$K$5,"EM ANDAMENTO","A INICIAR")))</f>
        <v/>
      </c>
    </row>
    <row r="3515" customFormat="false" ht="15" hidden="false" customHeight="false" outlineLevel="0" collapsed="false">
      <c r="M3515" s="2" t="str">
        <f aca="false">IF(C3515="","",IFERROR(INDEX($S$5:$S$304,MATCH(C3515,$R$5:$R$304,0))&amp;"","?"))</f>
        <v/>
      </c>
      <c r="N3515" s="2" t="str">
        <f aca="false"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 t="str">
        <f aca="false">IF(OR(F3515="",G3515=""),"",IF(G3515&lt;='RETRATO 2027'!$K$5,"CONCLUÍDA",IF(F3515&lt;='RETRATO 2027'!$K$5,"EM ANDAMENTO","A INICIAR")))</f>
        <v/>
      </c>
    </row>
    <row r="3516" customFormat="false" ht="15" hidden="false" customHeight="false" outlineLevel="0" collapsed="false">
      <c r="M3516" s="2" t="str">
        <f aca="false">IF(C3516="","",IFERROR(INDEX($S$5:$S$304,MATCH(C3516,$R$5:$R$304,0))&amp;"","?"))</f>
        <v/>
      </c>
      <c r="N3516" s="2" t="str">
        <f aca="false"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 t="str">
        <f aca="false">IF(OR(F3516="",G3516=""),"",IF(G3516&lt;='RETRATO 2027'!$K$5,"CONCLUÍDA",IF(F3516&lt;='RETRATO 2027'!$K$5,"EM ANDAMENTO","A INICIAR")))</f>
        <v/>
      </c>
    </row>
    <row r="3517" customFormat="false" ht="15" hidden="false" customHeight="false" outlineLevel="0" collapsed="false">
      <c r="M3517" s="2" t="str">
        <f aca="false">IF(C3517="","",IFERROR(INDEX($S$5:$S$304,MATCH(C3517,$R$5:$R$304,0))&amp;"","?"))</f>
        <v/>
      </c>
      <c r="N3517" s="2" t="str">
        <f aca="false"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 t="str">
        <f aca="false">IF(OR(F3517="",G3517=""),"",IF(G3517&lt;='RETRATO 2027'!$K$5,"CONCLUÍDA",IF(F3517&lt;='RETRATO 2027'!$K$5,"EM ANDAMENTO","A INICIAR")))</f>
        <v/>
      </c>
    </row>
    <row r="3518" customFormat="false" ht="15" hidden="false" customHeight="false" outlineLevel="0" collapsed="false">
      <c r="M3518" s="2" t="str">
        <f aca="false">IF(C3518="","",IFERROR(INDEX($S$5:$S$304,MATCH(C3518,$R$5:$R$304,0))&amp;"","?"))</f>
        <v/>
      </c>
      <c r="N3518" s="2" t="str">
        <f aca="false"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 t="str">
        <f aca="false">IF(OR(F3518="",G3518=""),"",IF(G3518&lt;='RETRATO 2027'!$K$5,"CONCLUÍDA",IF(F3518&lt;='RETRATO 2027'!$K$5,"EM ANDAMENTO","A INICIAR")))</f>
        <v/>
      </c>
    </row>
    <row r="3519" customFormat="false" ht="15" hidden="false" customHeight="false" outlineLevel="0" collapsed="false">
      <c r="M3519" s="2" t="str">
        <f aca="false">IF(C3519="","",IFERROR(INDEX($S$5:$S$304,MATCH(C3519,$R$5:$R$304,0))&amp;"","?"))</f>
        <v/>
      </c>
      <c r="N3519" s="2" t="str">
        <f aca="false"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 t="str">
        <f aca="false">IF(OR(F3519="",G3519=""),"",IF(G3519&lt;='RETRATO 2027'!$K$5,"CONCLUÍDA",IF(F3519&lt;='RETRATO 2027'!$K$5,"EM ANDAMENTO","A INICIAR")))</f>
        <v/>
      </c>
    </row>
    <row r="3520" customFormat="false" ht="15" hidden="false" customHeight="false" outlineLevel="0" collapsed="false">
      <c r="M3520" s="2" t="str">
        <f aca="false">IF(C3520="","",IFERROR(INDEX($S$5:$S$304,MATCH(C3520,$R$5:$R$304,0))&amp;"","?"))</f>
        <v/>
      </c>
      <c r="N3520" s="2" t="str">
        <f aca="false"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 t="str">
        <f aca="false">IF(OR(F3520="",G3520=""),"",IF(G3520&lt;='RETRATO 2027'!$K$5,"CONCLUÍDA",IF(F3520&lt;='RETRATO 2027'!$K$5,"EM ANDAMENTO","A INICIAR")))</f>
        <v/>
      </c>
    </row>
    <row r="3521" customFormat="false" ht="15" hidden="false" customHeight="false" outlineLevel="0" collapsed="false">
      <c r="M3521" s="2" t="str">
        <f aca="false">IF(C3521="","",IFERROR(INDEX($S$5:$S$304,MATCH(C3521,$R$5:$R$304,0))&amp;"","?"))</f>
        <v/>
      </c>
      <c r="N3521" s="2" t="str">
        <f aca="false"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 t="str">
        <f aca="false">IF(OR(F3521="",G3521=""),"",IF(G3521&lt;='RETRATO 2027'!$K$5,"CONCLUÍDA",IF(F3521&lt;='RETRATO 2027'!$K$5,"EM ANDAMENTO","A INICIAR")))</f>
        <v/>
      </c>
    </row>
    <row r="3522" customFormat="false" ht="15" hidden="false" customHeight="false" outlineLevel="0" collapsed="false">
      <c r="M3522" s="2" t="str">
        <f aca="false">IF(C3522="","",IFERROR(INDEX($S$5:$S$304,MATCH(C3522,$R$5:$R$304,0))&amp;"","?"))</f>
        <v/>
      </c>
      <c r="N3522" s="2" t="str">
        <f aca="false"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 t="str">
        <f aca="false">IF(OR(F3522="",G3522=""),"",IF(G3522&lt;='RETRATO 2027'!$K$5,"CONCLUÍDA",IF(F3522&lt;='RETRATO 2027'!$K$5,"EM ANDAMENTO","A INICIAR")))</f>
        <v/>
      </c>
    </row>
    <row r="3523" customFormat="false" ht="15" hidden="false" customHeight="false" outlineLevel="0" collapsed="false">
      <c r="M3523" s="2" t="str">
        <f aca="false">IF(C3523="","",IFERROR(INDEX($S$5:$S$304,MATCH(C3523,$R$5:$R$304,0))&amp;"","?"))</f>
        <v/>
      </c>
      <c r="N3523" s="2" t="str">
        <f aca="false"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 t="str">
        <f aca="false">IF(OR(F3523="",G3523=""),"",IF(G3523&lt;='RETRATO 2027'!$K$5,"CONCLUÍDA",IF(F3523&lt;='RETRATO 2027'!$K$5,"EM ANDAMENTO","A INICIAR")))</f>
        <v/>
      </c>
    </row>
    <row r="3524" customFormat="false" ht="15" hidden="false" customHeight="false" outlineLevel="0" collapsed="false">
      <c r="M3524" s="2" t="str">
        <f aca="false">IF(C3524="","",IFERROR(INDEX($S$5:$S$304,MATCH(C3524,$R$5:$R$304,0))&amp;"","?"))</f>
        <v/>
      </c>
      <c r="N3524" s="2" t="str">
        <f aca="false"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 t="str">
        <f aca="false">IF(OR(F3524="",G3524=""),"",IF(G3524&lt;='RETRATO 2027'!$K$5,"CONCLUÍDA",IF(F3524&lt;='RETRATO 2027'!$K$5,"EM ANDAMENTO","A INICIAR")))</f>
        <v/>
      </c>
    </row>
    <row r="3525" customFormat="false" ht="15" hidden="false" customHeight="false" outlineLevel="0" collapsed="false">
      <c r="M3525" s="2" t="str">
        <f aca="false">IF(C3525="","",IFERROR(INDEX($S$5:$S$304,MATCH(C3525,$R$5:$R$304,0))&amp;"","?"))</f>
        <v/>
      </c>
      <c r="N3525" s="2" t="str">
        <f aca="false"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 t="str">
        <f aca="false">IF(OR(F3525="",G3525=""),"",IF(G3525&lt;='RETRATO 2027'!$K$5,"CONCLUÍDA",IF(F3525&lt;='RETRATO 2027'!$K$5,"EM ANDAMENTO","A INICIAR")))</f>
        <v/>
      </c>
    </row>
    <row r="3526" customFormat="false" ht="15" hidden="false" customHeight="false" outlineLevel="0" collapsed="false">
      <c r="M3526" s="2" t="str">
        <f aca="false">IF(C3526="","",IFERROR(INDEX($S$5:$S$304,MATCH(C3526,$R$5:$R$304,0))&amp;"","?"))</f>
        <v/>
      </c>
      <c r="N3526" s="2" t="str">
        <f aca="false"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 t="str">
        <f aca="false">IF(OR(F3526="",G3526=""),"",IF(G3526&lt;='RETRATO 2027'!$K$5,"CONCLUÍDA",IF(F3526&lt;='RETRATO 2027'!$K$5,"EM ANDAMENTO","A INICIAR")))</f>
        <v/>
      </c>
    </row>
    <row r="3527" customFormat="false" ht="15" hidden="false" customHeight="false" outlineLevel="0" collapsed="false">
      <c r="M3527" s="2" t="str">
        <f aca="false">IF(C3527="","",IFERROR(INDEX($S$5:$S$304,MATCH(C3527,$R$5:$R$304,0))&amp;"","?"))</f>
        <v/>
      </c>
      <c r="N3527" s="2" t="str">
        <f aca="false"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 t="str">
        <f aca="false">IF(OR(F3527="",G3527=""),"",IF(G3527&lt;='RETRATO 2027'!$K$5,"CONCLUÍDA",IF(F3527&lt;='RETRATO 2027'!$K$5,"EM ANDAMENTO","A INICIAR")))</f>
        <v/>
      </c>
    </row>
    <row r="3528" customFormat="false" ht="15" hidden="false" customHeight="false" outlineLevel="0" collapsed="false">
      <c r="M3528" s="2" t="str">
        <f aca="false">IF(C3528="","",IFERROR(INDEX($S$5:$S$304,MATCH(C3528,$R$5:$R$304,0))&amp;"","?"))</f>
        <v/>
      </c>
      <c r="N3528" s="2" t="str">
        <f aca="false"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 t="str">
        <f aca="false">IF(OR(F3528="",G3528=""),"",IF(G3528&lt;='RETRATO 2027'!$K$5,"CONCLUÍDA",IF(F3528&lt;='RETRATO 2027'!$K$5,"EM ANDAMENTO","A INICIAR")))</f>
        <v/>
      </c>
    </row>
    <row r="3529" customFormat="false" ht="15" hidden="false" customHeight="false" outlineLevel="0" collapsed="false">
      <c r="M3529" s="2" t="str">
        <f aca="false">IF(C3529="","",IFERROR(INDEX($S$5:$S$304,MATCH(C3529,$R$5:$R$304,0))&amp;"","?"))</f>
        <v/>
      </c>
      <c r="N3529" s="2" t="str">
        <f aca="false"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 t="str">
        <f aca="false">IF(OR(F3529="",G3529=""),"",IF(G3529&lt;='RETRATO 2027'!$K$5,"CONCLUÍDA",IF(F3529&lt;='RETRATO 2027'!$K$5,"EM ANDAMENTO","A INICIAR")))</f>
        <v/>
      </c>
    </row>
    <row r="3530" customFormat="false" ht="15" hidden="false" customHeight="false" outlineLevel="0" collapsed="false">
      <c r="M3530" s="2" t="str">
        <f aca="false">IF(C3530="","",IFERROR(INDEX($S$5:$S$304,MATCH(C3530,$R$5:$R$304,0))&amp;"","?"))</f>
        <v/>
      </c>
      <c r="N3530" s="2" t="str">
        <f aca="false"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 t="str">
        <f aca="false">IF(OR(F3530="",G3530=""),"",IF(G3530&lt;='RETRATO 2027'!$K$5,"CONCLUÍDA",IF(F3530&lt;='RETRATO 2027'!$K$5,"EM ANDAMENTO","A INICIAR")))</f>
        <v/>
      </c>
    </row>
    <row r="3531" customFormat="false" ht="15" hidden="false" customHeight="false" outlineLevel="0" collapsed="false">
      <c r="M3531" s="2" t="str">
        <f aca="false">IF(C3531="","",IFERROR(INDEX($S$5:$S$304,MATCH(C3531,$R$5:$R$304,0))&amp;"","?"))</f>
        <v/>
      </c>
      <c r="N3531" s="2" t="str">
        <f aca="false"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 t="str">
        <f aca="false">IF(OR(F3531="",G3531=""),"",IF(G3531&lt;='RETRATO 2027'!$K$5,"CONCLUÍDA",IF(F3531&lt;='RETRATO 2027'!$K$5,"EM ANDAMENTO","A INICIAR")))</f>
        <v/>
      </c>
    </row>
    <row r="3532" customFormat="false" ht="15" hidden="false" customHeight="false" outlineLevel="0" collapsed="false">
      <c r="M3532" s="2" t="str">
        <f aca="false">IF(C3532="","",IFERROR(INDEX($S$5:$S$304,MATCH(C3532,$R$5:$R$304,0))&amp;"","?"))</f>
        <v/>
      </c>
      <c r="N3532" s="2" t="str">
        <f aca="false"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 t="str">
        <f aca="false">IF(OR(F3532="",G3532=""),"",IF(G3532&lt;='RETRATO 2027'!$K$5,"CONCLUÍDA",IF(F3532&lt;='RETRATO 2027'!$K$5,"EM ANDAMENTO","A INICIAR")))</f>
        <v/>
      </c>
    </row>
    <row r="3533" customFormat="false" ht="15" hidden="false" customHeight="false" outlineLevel="0" collapsed="false">
      <c r="M3533" s="2" t="str">
        <f aca="false">IF(C3533="","",IFERROR(INDEX($S$5:$S$304,MATCH(C3533,$R$5:$R$304,0))&amp;"","?"))</f>
        <v/>
      </c>
      <c r="N3533" s="2" t="str">
        <f aca="false"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 t="str">
        <f aca="false">IF(OR(F3533="",G3533=""),"",IF(G3533&lt;='RETRATO 2027'!$K$5,"CONCLUÍDA",IF(F3533&lt;='RETRATO 2027'!$K$5,"EM ANDAMENTO","A INICIAR")))</f>
        <v/>
      </c>
    </row>
    <row r="3534" customFormat="false" ht="15" hidden="false" customHeight="false" outlineLevel="0" collapsed="false">
      <c r="M3534" s="2" t="str">
        <f aca="false">IF(C3534="","",IFERROR(INDEX($S$5:$S$304,MATCH(C3534,$R$5:$R$304,0))&amp;"","?"))</f>
        <v/>
      </c>
      <c r="N3534" s="2" t="str">
        <f aca="false"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 t="str">
        <f aca="false">IF(OR(F3534="",G3534=""),"",IF(G3534&lt;='RETRATO 2027'!$K$5,"CONCLUÍDA",IF(F3534&lt;='RETRATO 2027'!$K$5,"EM ANDAMENTO","A INICIAR")))</f>
        <v/>
      </c>
    </row>
    <row r="3535" customFormat="false" ht="15" hidden="false" customHeight="false" outlineLevel="0" collapsed="false">
      <c r="M3535" s="2" t="str">
        <f aca="false">IF(C3535="","",IFERROR(INDEX($S$5:$S$304,MATCH(C3535,$R$5:$R$304,0))&amp;"","?"))</f>
        <v/>
      </c>
      <c r="N3535" s="2" t="str">
        <f aca="false"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 t="str">
        <f aca="false">IF(OR(F3535="",G3535=""),"",IF(G3535&lt;='RETRATO 2027'!$K$5,"CONCLUÍDA",IF(F3535&lt;='RETRATO 2027'!$K$5,"EM ANDAMENTO","A INICIAR")))</f>
        <v/>
      </c>
    </row>
    <row r="3536" customFormat="false" ht="15" hidden="false" customHeight="false" outlineLevel="0" collapsed="false">
      <c r="M3536" s="2" t="str">
        <f aca="false">IF(C3536="","",IFERROR(INDEX($S$5:$S$304,MATCH(C3536,$R$5:$R$304,0))&amp;"","?"))</f>
        <v/>
      </c>
      <c r="N3536" s="2" t="str">
        <f aca="false"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 t="str">
        <f aca="false">IF(OR(F3536="",G3536=""),"",IF(G3536&lt;='RETRATO 2027'!$K$5,"CONCLUÍDA",IF(F3536&lt;='RETRATO 2027'!$K$5,"EM ANDAMENTO","A INICIAR")))</f>
        <v/>
      </c>
    </row>
    <row r="3537" customFormat="false" ht="15" hidden="false" customHeight="false" outlineLevel="0" collapsed="false">
      <c r="M3537" s="2" t="str">
        <f aca="false">IF(C3537="","",IFERROR(INDEX($S$5:$S$304,MATCH(C3537,$R$5:$R$304,0))&amp;"","?"))</f>
        <v/>
      </c>
      <c r="N3537" s="2" t="str">
        <f aca="false"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 t="str">
        <f aca="false">IF(OR(F3537="",G3537=""),"",IF(G3537&lt;='RETRATO 2027'!$K$5,"CONCLUÍDA",IF(F3537&lt;='RETRATO 2027'!$K$5,"EM ANDAMENTO","A INICIAR")))</f>
        <v/>
      </c>
    </row>
    <row r="3538" customFormat="false" ht="15" hidden="false" customHeight="false" outlineLevel="0" collapsed="false">
      <c r="M3538" s="2" t="str">
        <f aca="false">IF(C3538="","",IFERROR(INDEX($S$5:$S$304,MATCH(C3538,$R$5:$R$304,0))&amp;"","?"))</f>
        <v/>
      </c>
      <c r="N3538" s="2" t="str">
        <f aca="false"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 t="str">
        <f aca="false">IF(OR(F3538="",G3538=""),"",IF(G3538&lt;='RETRATO 2027'!$K$5,"CONCLUÍDA",IF(F3538&lt;='RETRATO 2027'!$K$5,"EM ANDAMENTO","A INICIAR")))</f>
        <v/>
      </c>
    </row>
    <row r="3539" customFormat="false" ht="15" hidden="false" customHeight="false" outlineLevel="0" collapsed="false">
      <c r="M3539" s="2" t="str">
        <f aca="false">IF(C3539="","",IFERROR(INDEX($S$5:$S$304,MATCH(C3539,$R$5:$R$304,0))&amp;"","?"))</f>
        <v/>
      </c>
      <c r="N3539" s="2" t="str">
        <f aca="false"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 t="str">
        <f aca="false">IF(OR(F3539="",G3539=""),"",IF(G3539&lt;='RETRATO 2027'!$K$5,"CONCLUÍDA",IF(F3539&lt;='RETRATO 2027'!$K$5,"EM ANDAMENTO","A INICIAR")))</f>
        <v/>
      </c>
    </row>
    <row r="3540" customFormat="false" ht="15" hidden="false" customHeight="false" outlineLevel="0" collapsed="false">
      <c r="M3540" s="2" t="str">
        <f aca="false">IF(C3540="","",IFERROR(INDEX($S$5:$S$304,MATCH(C3540,$R$5:$R$304,0))&amp;"","?"))</f>
        <v/>
      </c>
      <c r="N3540" s="2" t="str">
        <f aca="false"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 t="str">
        <f aca="false">IF(OR(F3540="",G3540=""),"",IF(G3540&lt;='RETRATO 2027'!$K$5,"CONCLUÍDA",IF(F3540&lt;='RETRATO 2027'!$K$5,"EM ANDAMENTO","A INICIAR")))</f>
        <v/>
      </c>
    </row>
    <row r="3541" customFormat="false" ht="15" hidden="false" customHeight="false" outlineLevel="0" collapsed="false">
      <c r="M3541" s="2" t="str">
        <f aca="false">IF(C3541="","",IFERROR(INDEX($S$5:$S$304,MATCH(C3541,$R$5:$R$304,0))&amp;"","?"))</f>
        <v/>
      </c>
      <c r="N3541" s="2" t="str">
        <f aca="false"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 t="str">
        <f aca="false">IF(OR(F3541="",G3541=""),"",IF(G3541&lt;='RETRATO 2027'!$K$5,"CONCLUÍDA",IF(F3541&lt;='RETRATO 2027'!$K$5,"EM ANDAMENTO","A INICIAR")))</f>
        <v/>
      </c>
    </row>
    <row r="3542" customFormat="false" ht="15" hidden="false" customHeight="false" outlineLevel="0" collapsed="false">
      <c r="M3542" s="2" t="str">
        <f aca="false">IF(C3542="","",IFERROR(INDEX($S$5:$S$304,MATCH(C3542,$R$5:$R$304,0))&amp;"","?"))</f>
        <v/>
      </c>
      <c r="N3542" s="2" t="str">
        <f aca="false"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 t="str">
        <f aca="false">IF(OR(F3542="",G3542=""),"",IF(G3542&lt;='RETRATO 2027'!$K$5,"CONCLUÍDA",IF(F3542&lt;='RETRATO 2027'!$K$5,"EM ANDAMENTO","A INICIAR")))</f>
        <v/>
      </c>
    </row>
    <row r="3543" customFormat="false" ht="15" hidden="false" customHeight="false" outlineLevel="0" collapsed="false">
      <c r="M3543" s="2" t="str">
        <f aca="false">IF(C3543="","",IFERROR(INDEX($S$5:$S$304,MATCH(C3543,$R$5:$R$304,0))&amp;"","?"))</f>
        <v/>
      </c>
      <c r="N3543" s="2" t="str">
        <f aca="false"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 t="str">
        <f aca="false">IF(OR(F3543="",G3543=""),"",IF(G3543&lt;='RETRATO 2027'!$K$5,"CONCLUÍDA",IF(F3543&lt;='RETRATO 2027'!$K$5,"EM ANDAMENTO","A INICIAR")))</f>
        <v/>
      </c>
    </row>
    <row r="3544" customFormat="false" ht="15" hidden="false" customHeight="false" outlineLevel="0" collapsed="false">
      <c r="M3544" s="2" t="str">
        <f aca="false">IF(C3544="","",IFERROR(INDEX($S$5:$S$304,MATCH(C3544,$R$5:$R$304,0))&amp;"","?"))</f>
        <v/>
      </c>
      <c r="N3544" s="2" t="str">
        <f aca="false"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 t="str">
        <f aca="false">IF(OR(F3544="",G3544=""),"",IF(G3544&lt;='RETRATO 2027'!$K$5,"CONCLUÍDA",IF(F3544&lt;='RETRATO 2027'!$K$5,"EM ANDAMENTO","A INICIAR")))</f>
        <v/>
      </c>
    </row>
    <row r="3545" customFormat="false" ht="15" hidden="false" customHeight="false" outlineLevel="0" collapsed="false">
      <c r="M3545" s="2" t="str">
        <f aca="false">IF(C3545="","",IFERROR(INDEX($S$5:$S$304,MATCH(C3545,$R$5:$R$304,0))&amp;"","?"))</f>
        <v/>
      </c>
      <c r="N3545" s="2" t="str">
        <f aca="false"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 t="str">
        <f aca="false">IF(OR(F3545="",G3545=""),"",IF(G3545&lt;='RETRATO 2027'!$K$5,"CONCLUÍDA",IF(F3545&lt;='RETRATO 2027'!$K$5,"EM ANDAMENTO","A INICIAR")))</f>
        <v/>
      </c>
    </row>
    <row r="3546" customFormat="false" ht="15" hidden="false" customHeight="false" outlineLevel="0" collapsed="false">
      <c r="M3546" s="2" t="str">
        <f aca="false">IF(C3546="","",IFERROR(INDEX($S$5:$S$304,MATCH(C3546,$R$5:$R$304,0))&amp;"","?"))</f>
        <v/>
      </c>
      <c r="N3546" s="2" t="str">
        <f aca="false"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 t="str">
        <f aca="false">IF(OR(F3546="",G3546=""),"",IF(G3546&lt;='RETRATO 2027'!$K$5,"CONCLUÍDA",IF(F3546&lt;='RETRATO 2027'!$K$5,"EM ANDAMENTO","A INICIAR")))</f>
        <v/>
      </c>
    </row>
    <row r="3547" customFormat="false" ht="15" hidden="false" customHeight="false" outlineLevel="0" collapsed="false">
      <c r="M3547" s="2" t="str">
        <f aca="false">IF(C3547="","",IFERROR(INDEX($S$5:$S$304,MATCH(C3547,$R$5:$R$304,0))&amp;"","?"))</f>
        <v/>
      </c>
      <c r="N3547" s="2" t="str">
        <f aca="false"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 t="str">
        <f aca="false">IF(OR(F3547="",G3547=""),"",IF(G3547&lt;='RETRATO 2027'!$K$5,"CONCLUÍDA",IF(F3547&lt;='RETRATO 2027'!$K$5,"EM ANDAMENTO","A INICIAR")))</f>
        <v/>
      </c>
    </row>
    <row r="3548" customFormat="false" ht="15" hidden="false" customHeight="false" outlineLevel="0" collapsed="false">
      <c r="M3548" s="2" t="str">
        <f aca="false">IF(C3548="","",IFERROR(INDEX($S$5:$S$304,MATCH(C3548,$R$5:$R$304,0))&amp;"","?"))</f>
        <v/>
      </c>
      <c r="N3548" s="2" t="str">
        <f aca="false"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 t="str">
        <f aca="false">IF(OR(F3548="",G3548=""),"",IF(G3548&lt;='RETRATO 2027'!$K$5,"CONCLUÍDA",IF(F3548&lt;='RETRATO 2027'!$K$5,"EM ANDAMENTO","A INICIAR")))</f>
        <v/>
      </c>
    </row>
    <row r="3549" customFormat="false" ht="15" hidden="false" customHeight="false" outlineLevel="0" collapsed="false">
      <c r="M3549" s="2" t="str">
        <f aca="false">IF(C3549="","",IFERROR(INDEX($S$5:$S$304,MATCH(C3549,$R$5:$R$304,0))&amp;"","?"))</f>
        <v/>
      </c>
      <c r="N3549" s="2" t="str">
        <f aca="false"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 t="str">
        <f aca="false">IF(OR(F3549="",G3549=""),"",IF(G3549&lt;='RETRATO 2027'!$K$5,"CONCLUÍDA",IF(F3549&lt;='RETRATO 2027'!$K$5,"EM ANDAMENTO","A INICIAR")))</f>
        <v/>
      </c>
    </row>
    <row r="3550" customFormat="false" ht="15" hidden="false" customHeight="false" outlineLevel="0" collapsed="false">
      <c r="M3550" s="2" t="str">
        <f aca="false">IF(C3550="","",IFERROR(INDEX($S$5:$S$304,MATCH(C3550,$R$5:$R$304,0))&amp;"","?"))</f>
        <v/>
      </c>
      <c r="N3550" s="2" t="str">
        <f aca="false"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 t="str">
        <f aca="false">IF(OR(F3550="",G3550=""),"",IF(G3550&lt;='RETRATO 2027'!$K$5,"CONCLUÍDA",IF(F3550&lt;='RETRATO 2027'!$K$5,"EM ANDAMENTO","A INICIAR")))</f>
        <v/>
      </c>
    </row>
    <row r="3551" customFormat="false" ht="15" hidden="false" customHeight="false" outlineLevel="0" collapsed="false">
      <c r="M3551" s="2" t="str">
        <f aca="false">IF(C3551="","",IFERROR(INDEX($S$5:$S$304,MATCH(C3551,$R$5:$R$304,0))&amp;"","?"))</f>
        <v/>
      </c>
      <c r="N3551" s="2" t="str">
        <f aca="false"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 t="str">
        <f aca="false">IF(OR(F3551="",G3551=""),"",IF(G3551&lt;='RETRATO 2027'!$K$5,"CONCLUÍDA",IF(F3551&lt;='RETRATO 2027'!$K$5,"EM ANDAMENTO","A INICIAR")))</f>
        <v/>
      </c>
    </row>
    <row r="3552" customFormat="false" ht="15" hidden="false" customHeight="false" outlineLevel="0" collapsed="false">
      <c r="M3552" s="2" t="str">
        <f aca="false">IF(C3552="","",IFERROR(INDEX($S$5:$S$304,MATCH(C3552,$R$5:$R$304,0))&amp;"","?"))</f>
        <v/>
      </c>
      <c r="N3552" s="2" t="str">
        <f aca="false"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 t="str">
        <f aca="false">IF(OR(F3552="",G3552=""),"",IF(G3552&lt;='RETRATO 2027'!$K$5,"CONCLUÍDA",IF(F3552&lt;='RETRATO 2027'!$K$5,"EM ANDAMENTO","A INICIAR")))</f>
        <v/>
      </c>
    </row>
    <row r="3553" customFormat="false" ht="15" hidden="false" customHeight="false" outlineLevel="0" collapsed="false">
      <c r="M3553" s="2" t="str">
        <f aca="false">IF(C3553="","",IFERROR(INDEX($S$5:$S$304,MATCH(C3553,$R$5:$R$304,0))&amp;"","?"))</f>
        <v/>
      </c>
      <c r="N3553" s="2" t="str">
        <f aca="false"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 t="str">
        <f aca="false">IF(OR(F3553="",G3553=""),"",IF(G3553&lt;='RETRATO 2027'!$K$5,"CONCLUÍDA",IF(F3553&lt;='RETRATO 2027'!$K$5,"EM ANDAMENTO","A INICIAR")))</f>
        <v/>
      </c>
    </row>
    <row r="3554" customFormat="false" ht="15" hidden="false" customHeight="false" outlineLevel="0" collapsed="false">
      <c r="M3554" s="2" t="str">
        <f aca="false">IF(C3554="","",IFERROR(INDEX($S$5:$S$304,MATCH(C3554,$R$5:$R$304,0))&amp;"","?"))</f>
        <v/>
      </c>
      <c r="N3554" s="2" t="str">
        <f aca="false"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 t="str">
        <f aca="false">IF(OR(F3554="",G3554=""),"",IF(G3554&lt;='RETRATO 2027'!$K$5,"CONCLUÍDA",IF(F3554&lt;='RETRATO 2027'!$K$5,"EM ANDAMENTO","A INICIAR")))</f>
        <v/>
      </c>
    </row>
    <row r="3555" customFormat="false" ht="15" hidden="false" customHeight="false" outlineLevel="0" collapsed="false">
      <c r="M3555" s="2" t="str">
        <f aca="false">IF(C3555="","",IFERROR(INDEX($S$5:$S$304,MATCH(C3555,$R$5:$R$304,0))&amp;"","?"))</f>
        <v/>
      </c>
      <c r="N3555" s="2" t="str">
        <f aca="false"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 t="str">
        <f aca="false">IF(OR(F3555="",G3555=""),"",IF(G3555&lt;='RETRATO 2027'!$K$5,"CONCLUÍDA",IF(F3555&lt;='RETRATO 2027'!$K$5,"EM ANDAMENTO","A INICIAR")))</f>
        <v/>
      </c>
    </row>
    <row r="3556" customFormat="false" ht="15" hidden="false" customHeight="false" outlineLevel="0" collapsed="false">
      <c r="M3556" s="2" t="str">
        <f aca="false">IF(C3556="","",IFERROR(INDEX($S$5:$S$304,MATCH(C3556,$R$5:$R$304,0))&amp;"","?"))</f>
        <v/>
      </c>
      <c r="N3556" s="2" t="str">
        <f aca="false"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 t="str">
        <f aca="false">IF(OR(F3556="",G3556=""),"",IF(G3556&lt;='RETRATO 2027'!$K$5,"CONCLUÍDA",IF(F3556&lt;='RETRATO 2027'!$K$5,"EM ANDAMENTO","A INICIAR")))</f>
        <v/>
      </c>
    </row>
    <row r="3557" customFormat="false" ht="15" hidden="false" customHeight="false" outlineLevel="0" collapsed="false">
      <c r="M3557" s="2" t="str">
        <f aca="false">IF(C3557="","",IFERROR(INDEX($S$5:$S$304,MATCH(C3557,$R$5:$R$304,0))&amp;"","?"))</f>
        <v/>
      </c>
      <c r="N3557" s="2" t="str">
        <f aca="false"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 t="str">
        <f aca="false">IF(OR(F3557="",G3557=""),"",IF(G3557&lt;='RETRATO 2027'!$K$5,"CONCLUÍDA",IF(F3557&lt;='RETRATO 2027'!$K$5,"EM ANDAMENTO","A INICIAR")))</f>
        <v/>
      </c>
    </row>
    <row r="3558" customFormat="false" ht="15" hidden="false" customHeight="false" outlineLevel="0" collapsed="false">
      <c r="M3558" s="2" t="str">
        <f aca="false">IF(C3558="","",IFERROR(INDEX($S$5:$S$304,MATCH(C3558,$R$5:$R$304,0))&amp;"","?"))</f>
        <v/>
      </c>
      <c r="N3558" s="2" t="str">
        <f aca="false"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 t="str">
        <f aca="false">IF(OR(F3558="",G3558=""),"",IF(G3558&lt;='RETRATO 2027'!$K$5,"CONCLUÍDA",IF(F3558&lt;='RETRATO 2027'!$K$5,"EM ANDAMENTO","A INICIAR")))</f>
        <v/>
      </c>
    </row>
    <row r="3559" customFormat="false" ht="15" hidden="false" customHeight="false" outlineLevel="0" collapsed="false">
      <c r="M3559" s="2" t="str">
        <f aca="false">IF(C3559="","",IFERROR(INDEX($S$5:$S$304,MATCH(C3559,$R$5:$R$304,0))&amp;"","?"))</f>
        <v/>
      </c>
      <c r="N3559" s="2" t="str">
        <f aca="false"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 t="str">
        <f aca="false">IF(OR(F3559="",G3559=""),"",IF(G3559&lt;='RETRATO 2027'!$K$5,"CONCLUÍDA",IF(F3559&lt;='RETRATO 2027'!$K$5,"EM ANDAMENTO","A INICIAR")))</f>
        <v/>
      </c>
    </row>
    <row r="3560" customFormat="false" ht="15" hidden="false" customHeight="false" outlineLevel="0" collapsed="false">
      <c r="M3560" s="2" t="str">
        <f aca="false">IF(C3560="","",IFERROR(INDEX($S$5:$S$304,MATCH(C3560,$R$5:$R$304,0))&amp;"","?"))</f>
        <v/>
      </c>
      <c r="N3560" s="2" t="str">
        <f aca="false"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 t="str">
        <f aca="false">IF(OR(F3560="",G3560=""),"",IF(G3560&lt;='RETRATO 2027'!$K$5,"CONCLUÍDA",IF(F3560&lt;='RETRATO 2027'!$K$5,"EM ANDAMENTO","A INICIAR")))</f>
        <v/>
      </c>
    </row>
    <row r="3561" customFormat="false" ht="15" hidden="false" customHeight="false" outlineLevel="0" collapsed="false">
      <c r="M3561" s="2" t="str">
        <f aca="false">IF(C3561="","",IFERROR(INDEX($S$5:$S$304,MATCH(C3561,$R$5:$R$304,0))&amp;"","?"))</f>
        <v/>
      </c>
      <c r="N3561" s="2" t="str">
        <f aca="false"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 t="str">
        <f aca="false">IF(OR(F3561="",G3561=""),"",IF(G3561&lt;='RETRATO 2027'!$K$5,"CONCLUÍDA",IF(F3561&lt;='RETRATO 2027'!$K$5,"EM ANDAMENTO","A INICIAR")))</f>
        <v/>
      </c>
    </row>
    <row r="3562" customFormat="false" ht="15" hidden="false" customHeight="false" outlineLevel="0" collapsed="false">
      <c r="M3562" s="2" t="str">
        <f aca="false">IF(C3562="","",IFERROR(INDEX($S$5:$S$304,MATCH(C3562,$R$5:$R$304,0))&amp;"","?"))</f>
        <v/>
      </c>
      <c r="N3562" s="2" t="str">
        <f aca="false"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 t="str">
        <f aca="false">IF(OR(F3562="",G3562=""),"",IF(G3562&lt;='RETRATO 2027'!$K$5,"CONCLUÍDA",IF(F3562&lt;='RETRATO 2027'!$K$5,"EM ANDAMENTO","A INICIAR")))</f>
        <v/>
      </c>
    </row>
    <row r="3563" customFormat="false" ht="15" hidden="false" customHeight="false" outlineLevel="0" collapsed="false">
      <c r="M3563" s="2" t="str">
        <f aca="false">IF(C3563="","",IFERROR(INDEX($S$5:$S$304,MATCH(C3563,$R$5:$R$304,0))&amp;"","?"))</f>
        <v/>
      </c>
      <c r="N3563" s="2" t="str">
        <f aca="false"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 t="str">
        <f aca="false">IF(OR(F3563="",G3563=""),"",IF(G3563&lt;='RETRATO 2027'!$K$5,"CONCLUÍDA",IF(F3563&lt;='RETRATO 2027'!$K$5,"EM ANDAMENTO","A INICIAR")))</f>
        <v/>
      </c>
    </row>
    <row r="3564" customFormat="false" ht="15" hidden="false" customHeight="false" outlineLevel="0" collapsed="false">
      <c r="M3564" s="2" t="str">
        <f aca="false">IF(C3564="","",IFERROR(INDEX($S$5:$S$304,MATCH(C3564,$R$5:$R$304,0))&amp;"","?"))</f>
        <v/>
      </c>
      <c r="N3564" s="2" t="str">
        <f aca="false"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 t="str">
        <f aca="false">IF(OR(F3564="",G3564=""),"",IF(G3564&lt;='RETRATO 2027'!$K$5,"CONCLUÍDA",IF(F3564&lt;='RETRATO 2027'!$K$5,"EM ANDAMENTO","A INICIAR")))</f>
        <v/>
      </c>
    </row>
    <row r="3565" customFormat="false" ht="15" hidden="false" customHeight="false" outlineLevel="0" collapsed="false">
      <c r="M3565" s="2" t="str">
        <f aca="false">IF(C3565="","",IFERROR(INDEX($S$5:$S$304,MATCH(C3565,$R$5:$R$304,0))&amp;"","?"))</f>
        <v/>
      </c>
      <c r="N3565" s="2" t="str">
        <f aca="false"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 t="str">
        <f aca="false">IF(OR(F3565="",G3565=""),"",IF(G3565&lt;='RETRATO 2027'!$K$5,"CONCLUÍDA",IF(F3565&lt;='RETRATO 2027'!$K$5,"EM ANDAMENTO","A INICIAR")))</f>
        <v/>
      </c>
    </row>
    <row r="3566" customFormat="false" ht="15" hidden="false" customHeight="false" outlineLevel="0" collapsed="false">
      <c r="M3566" s="2" t="str">
        <f aca="false">IF(C3566="","",IFERROR(INDEX($S$5:$S$304,MATCH(C3566,$R$5:$R$304,0))&amp;"","?"))</f>
        <v/>
      </c>
      <c r="N3566" s="2" t="str">
        <f aca="false"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 t="str">
        <f aca="false">IF(OR(F3566="",G3566=""),"",IF(G3566&lt;='RETRATO 2027'!$K$5,"CONCLUÍDA",IF(F3566&lt;='RETRATO 2027'!$K$5,"EM ANDAMENTO","A INICIAR")))</f>
        <v/>
      </c>
    </row>
    <row r="3567" customFormat="false" ht="15" hidden="false" customHeight="false" outlineLevel="0" collapsed="false">
      <c r="M3567" s="2" t="str">
        <f aca="false">IF(C3567="","",IFERROR(INDEX($S$5:$S$304,MATCH(C3567,$R$5:$R$304,0))&amp;"","?"))</f>
        <v/>
      </c>
      <c r="N3567" s="2" t="str">
        <f aca="false"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 t="str">
        <f aca="false">IF(OR(F3567="",G3567=""),"",IF(G3567&lt;='RETRATO 2027'!$K$5,"CONCLUÍDA",IF(F3567&lt;='RETRATO 2027'!$K$5,"EM ANDAMENTO","A INICIAR")))</f>
        <v/>
      </c>
    </row>
    <row r="3568" customFormat="false" ht="15" hidden="false" customHeight="false" outlineLevel="0" collapsed="false">
      <c r="M3568" s="2" t="str">
        <f aca="false">IF(C3568="","",IFERROR(INDEX($S$5:$S$304,MATCH(C3568,$R$5:$R$304,0))&amp;"","?"))</f>
        <v/>
      </c>
      <c r="N3568" s="2" t="str">
        <f aca="false"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 t="str">
        <f aca="false">IF(OR(F3568="",G3568=""),"",IF(G3568&lt;='RETRATO 2027'!$K$5,"CONCLUÍDA",IF(F3568&lt;='RETRATO 2027'!$K$5,"EM ANDAMENTO","A INICIAR")))</f>
        <v/>
      </c>
    </row>
    <row r="3569" customFormat="false" ht="15" hidden="false" customHeight="false" outlineLevel="0" collapsed="false">
      <c r="M3569" s="2" t="str">
        <f aca="false">IF(C3569="","",IFERROR(INDEX($S$5:$S$304,MATCH(C3569,$R$5:$R$304,0))&amp;"","?"))</f>
        <v/>
      </c>
      <c r="N3569" s="2" t="str">
        <f aca="false"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 t="str">
        <f aca="false">IF(OR(F3569="",G3569=""),"",IF(G3569&lt;='RETRATO 2027'!$K$5,"CONCLUÍDA",IF(F3569&lt;='RETRATO 2027'!$K$5,"EM ANDAMENTO","A INICIAR")))</f>
        <v/>
      </c>
    </row>
    <row r="3570" customFormat="false" ht="15" hidden="false" customHeight="false" outlineLevel="0" collapsed="false">
      <c r="M3570" s="2" t="str">
        <f aca="false">IF(C3570="","",IFERROR(INDEX($S$5:$S$304,MATCH(C3570,$R$5:$R$304,0))&amp;"","?"))</f>
        <v/>
      </c>
      <c r="N3570" s="2" t="str">
        <f aca="false"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 t="str">
        <f aca="false">IF(OR(F3570="",G3570=""),"",IF(G3570&lt;='RETRATO 2027'!$K$5,"CONCLUÍDA",IF(F3570&lt;='RETRATO 2027'!$K$5,"EM ANDAMENTO","A INICIAR")))</f>
        <v/>
      </c>
    </row>
    <row r="3571" customFormat="false" ht="15" hidden="false" customHeight="false" outlineLevel="0" collapsed="false">
      <c r="M3571" s="2" t="str">
        <f aca="false">IF(C3571="","",IFERROR(INDEX($S$5:$S$304,MATCH(C3571,$R$5:$R$304,0))&amp;"","?"))</f>
        <v/>
      </c>
      <c r="N3571" s="2" t="str">
        <f aca="false"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 t="str">
        <f aca="false">IF(OR(F3571="",G3571=""),"",IF(G3571&lt;='RETRATO 2027'!$K$5,"CONCLUÍDA",IF(F3571&lt;='RETRATO 2027'!$K$5,"EM ANDAMENTO","A INICIAR")))</f>
        <v/>
      </c>
    </row>
    <row r="3572" customFormat="false" ht="15" hidden="false" customHeight="false" outlineLevel="0" collapsed="false">
      <c r="M3572" s="2" t="str">
        <f aca="false">IF(C3572="","",IFERROR(INDEX($S$5:$S$304,MATCH(C3572,$R$5:$R$304,0))&amp;"","?"))</f>
        <v/>
      </c>
      <c r="N3572" s="2" t="str">
        <f aca="false"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 t="str">
        <f aca="false">IF(OR(F3572="",G3572=""),"",IF(G3572&lt;='RETRATO 2027'!$K$5,"CONCLUÍDA",IF(F3572&lt;='RETRATO 2027'!$K$5,"EM ANDAMENTO","A INICIAR")))</f>
        <v/>
      </c>
    </row>
    <row r="3573" customFormat="false" ht="15" hidden="false" customHeight="false" outlineLevel="0" collapsed="false">
      <c r="M3573" s="2" t="str">
        <f aca="false">IF(C3573="","",IFERROR(INDEX($S$5:$S$304,MATCH(C3573,$R$5:$R$304,0))&amp;"","?"))</f>
        <v/>
      </c>
      <c r="N3573" s="2" t="str">
        <f aca="false"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 t="str">
        <f aca="false">IF(OR(F3573="",G3573=""),"",IF(G3573&lt;='RETRATO 2027'!$K$5,"CONCLUÍDA",IF(F3573&lt;='RETRATO 2027'!$K$5,"EM ANDAMENTO","A INICIAR")))</f>
        <v/>
      </c>
    </row>
    <row r="3574" customFormat="false" ht="15" hidden="false" customHeight="false" outlineLevel="0" collapsed="false">
      <c r="M3574" s="2" t="str">
        <f aca="false">IF(C3574="","",IFERROR(INDEX($S$5:$S$304,MATCH(C3574,$R$5:$R$304,0))&amp;"","?"))</f>
        <v/>
      </c>
      <c r="N3574" s="2" t="str">
        <f aca="false"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 t="str">
        <f aca="false">IF(OR(F3574="",G3574=""),"",IF(G3574&lt;='RETRATO 2027'!$K$5,"CONCLUÍDA",IF(F3574&lt;='RETRATO 2027'!$K$5,"EM ANDAMENTO","A INICIAR")))</f>
        <v/>
      </c>
    </row>
    <row r="3575" customFormat="false" ht="15" hidden="false" customHeight="false" outlineLevel="0" collapsed="false">
      <c r="M3575" s="2" t="str">
        <f aca="false">IF(C3575="","",IFERROR(INDEX($S$5:$S$304,MATCH(C3575,$R$5:$R$304,0))&amp;"","?"))</f>
        <v/>
      </c>
      <c r="N3575" s="2" t="str">
        <f aca="false"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 t="str">
        <f aca="false">IF(OR(F3575="",G3575=""),"",IF(G3575&lt;='RETRATO 2027'!$K$5,"CONCLUÍDA",IF(F3575&lt;='RETRATO 2027'!$K$5,"EM ANDAMENTO","A INICIAR")))</f>
        <v/>
      </c>
    </row>
    <row r="3576" customFormat="false" ht="15" hidden="false" customHeight="false" outlineLevel="0" collapsed="false">
      <c r="M3576" s="2" t="str">
        <f aca="false">IF(C3576="","",IFERROR(INDEX($S$5:$S$304,MATCH(C3576,$R$5:$R$304,0))&amp;"","?"))</f>
        <v/>
      </c>
      <c r="N3576" s="2" t="str">
        <f aca="false"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 t="str">
        <f aca="false">IF(OR(F3576="",G3576=""),"",IF(G3576&lt;='RETRATO 2027'!$K$5,"CONCLUÍDA",IF(F3576&lt;='RETRATO 2027'!$K$5,"EM ANDAMENTO","A INICIAR")))</f>
        <v/>
      </c>
    </row>
    <row r="3577" customFormat="false" ht="15" hidden="false" customHeight="false" outlineLevel="0" collapsed="false">
      <c r="M3577" s="2" t="str">
        <f aca="false">IF(C3577="","",IFERROR(INDEX($S$5:$S$304,MATCH(C3577,$R$5:$R$304,0))&amp;"","?"))</f>
        <v/>
      </c>
      <c r="N3577" s="2" t="str">
        <f aca="false"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 t="str">
        <f aca="false">IF(OR(F3577="",G3577=""),"",IF(G3577&lt;='RETRATO 2027'!$K$5,"CONCLUÍDA",IF(F3577&lt;='RETRATO 2027'!$K$5,"EM ANDAMENTO","A INICIAR")))</f>
        <v/>
      </c>
    </row>
    <row r="3578" customFormat="false" ht="15" hidden="false" customHeight="false" outlineLevel="0" collapsed="false">
      <c r="M3578" s="2" t="str">
        <f aca="false">IF(C3578="","",IFERROR(INDEX($S$5:$S$304,MATCH(C3578,$R$5:$R$304,0))&amp;"","?"))</f>
        <v/>
      </c>
      <c r="N3578" s="2" t="str">
        <f aca="false"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 t="str">
        <f aca="false">IF(OR(F3578="",G3578=""),"",IF(G3578&lt;='RETRATO 2027'!$K$5,"CONCLUÍDA",IF(F3578&lt;='RETRATO 2027'!$K$5,"EM ANDAMENTO","A INICIAR")))</f>
        <v/>
      </c>
    </row>
    <row r="3579" customFormat="false" ht="15" hidden="false" customHeight="false" outlineLevel="0" collapsed="false">
      <c r="M3579" s="2" t="str">
        <f aca="false">IF(C3579="","",IFERROR(INDEX($S$5:$S$304,MATCH(C3579,$R$5:$R$304,0))&amp;"","?"))</f>
        <v/>
      </c>
      <c r="N3579" s="2" t="str">
        <f aca="false"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 t="str">
        <f aca="false">IF(OR(F3579="",G3579=""),"",IF(G3579&lt;='RETRATO 2027'!$K$5,"CONCLUÍDA",IF(F3579&lt;='RETRATO 2027'!$K$5,"EM ANDAMENTO","A INICIAR")))</f>
        <v/>
      </c>
    </row>
    <row r="3580" customFormat="false" ht="15" hidden="false" customHeight="false" outlineLevel="0" collapsed="false">
      <c r="M3580" s="2" t="str">
        <f aca="false">IF(C3580="","",IFERROR(INDEX($S$5:$S$304,MATCH(C3580,$R$5:$R$304,0))&amp;"","?"))</f>
        <v/>
      </c>
      <c r="N3580" s="2" t="str">
        <f aca="false"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 t="str">
        <f aca="false">IF(OR(F3580="",G3580=""),"",IF(G3580&lt;='RETRATO 2027'!$K$5,"CONCLUÍDA",IF(F3580&lt;='RETRATO 2027'!$K$5,"EM ANDAMENTO","A INICIAR")))</f>
        <v/>
      </c>
    </row>
    <row r="3581" customFormat="false" ht="15" hidden="false" customHeight="false" outlineLevel="0" collapsed="false">
      <c r="M3581" s="2" t="str">
        <f aca="false">IF(C3581="","",IFERROR(INDEX($S$5:$S$304,MATCH(C3581,$R$5:$R$304,0))&amp;"","?"))</f>
        <v/>
      </c>
      <c r="N3581" s="2" t="str">
        <f aca="false"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 t="str">
        <f aca="false">IF(OR(F3581="",G3581=""),"",IF(G3581&lt;='RETRATO 2027'!$K$5,"CONCLUÍDA",IF(F3581&lt;='RETRATO 2027'!$K$5,"EM ANDAMENTO","A INICIAR")))</f>
        <v/>
      </c>
    </row>
    <row r="3582" customFormat="false" ht="15" hidden="false" customHeight="false" outlineLevel="0" collapsed="false">
      <c r="M3582" s="2" t="str">
        <f aca="false">IF(C3582="","",IFERROR(INDEX($S$5:$S$304,MATCH(C3582,$R$5:$R$304,0))&amp;"","?"))</f>
        <v/>
      </c>
      <c r="N3582" s="2" t="str">
        <f aca="false"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 t="str">
        <f aca="false">IF(OR(F3582="",G3582=""),"",IF(G3582&lt;='RETRATO 2027'!$K$5,"CONCLUÍDA",IF(F3582&lt;='RETRATO 2027'!$K$5,"EM ANDAMENTO","A INICIAR")))</f>
        <v/>
      </c>
    </row>
    <row r="3583" customFormat="false" ht="15" hidden="false" customHeight="false" outlineLevel="0" collapsed="false">
      <c r="M3583" s="2" t="str">
        <f aca="false">IF(C3583="","",IFERROR(INDEX($S$5:$S$304,MATCH(C3583,$R$5:$R$304,0))&amp;"","?"))</f>
        <v/>
      </c>
      <c r="N3583" s="2" t="str">
        <f aca="false"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 t="str">
        <f aca="false">IF(OR(F3583="",G3583=""),"",IF(G3583&lt;='RETRATO 2027'!$K$5,"CONCLUÍDA",IF(F3583&lt;='RETRATO 2027'!$K$5,"EM ANDAMENTO","A INICIAR")))</f>
        <v/>
      </c>
    </row>
    <row r="3584" customFormat="false" ht="15" hidden="false" customHeight="false" outlineLevel="0" collapsed="false">
      <c r="M3584" s="2" t="str">
        <f aca="false">IF(C3584="","",IFERROR(INDEX($S$5:$S$304,MATCH(C3584,$R$5:$R$304,0))&amp;"","?"))</f>
        <v/>
      </c>
      <c r="N3584" s="2" t="str">
        <f aca="false"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 t="str">
        <f aca="false">IF(OR(F3584="",G3584=""),"",IF(G3584&lt;='RETRATO 2027'!$K$5,"CONCLUÍDA",IF(F3584&lt;='RETRATO 2027'!$K$5,"EM ANDAMENTO","A INICIAR")))</f>
        <v/>
      </c>
    </row>
    <row r="3585" customFormat="false" ht="15" hidden="false" customHeight="false" outlineLevel="0" collapsed="false">
      <c r="M3585" s="2" t="str">
        <f aca="false">IF(C3585="","",IFERROR(INDEX($S$5:$S$304,MATCH(C3585,$R$5:$R$304,0))&amp;"","?"))</f>
        <v/>
      </c>
      <c r="N3585" s="2" t="str">
        <f aca="false"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 t="str">
        <f aca="false">IF(OR(F3585="",G3585=""),"",IF(G3585&lt;='RETRATO 2027'!$K$5,"CONCLUÍDA",IF(F3585&lt;='RETRATO 2027'!$K$5,"EM ANDAMENTO","A INICIAR")))</f>
        <v/>
      </c>
    </row>
    <row r="3586" customFormat="false" ht="15" hidden="false" customHeight="false" outlineLevel="0" collapsed="false">
      <c r="M3586" s="2" t="str">
        <f aca="false">IF(C3586="","",IFERROR(INDEX($S$5:$S$304,MATCH(C3586,$R$5:$R$304,0))&amp;"","?"))</f>
        <v/>
      </c>
      <c r="N3586" s="2" t="str">
        <f aca="false"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 t="str">
        <f aca="false">IF(OR(F3586="",G3586=""),"",IF(G3586&lt;='RETRATO 2027'!$K$5,"CONCLUÍDA",IF(F3586&lt;='RETRATO 2027'!$K$5,"EM ANDAMENTO","A INICIAR")))</f>
        <v/>
      </c>
    </row>
    <row r="3587" customFormat="false" ht="15" hidden="false" customHeight="false" outlineLevel="0" collapsed="false">
      <c r="M3587" s="2" t="str">
        <f aca="false">IF(C3587="","",IFERROR(INDEX($S$5:$S$304,MATCH(C3587,$R$5:$R$304,0))&amp;"","?"))</f>
        <v/>
      </c>
      <c r="N3587" s="2" t="str">
        <f aca="false"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 t="str">
        <f aca="false">IF(OR(F3587="",G3587=""),"",IF(G3587&lt;='RETRATO 2027'!$K$5,"CONCLUÍDA",IF(F3587&lt;='RETRATO 2027'!$K$5,"EM ANDAMENTO","A INICIAR")))</f>
        <v/>
      </c>
    </row>
    <row r="3588" customFormat="false" ht="15" hidden="false" customHeight="false" outlineLevel="0" collapsed="false">
      <c r="M3588" s="2" t="str">
        <f aca="false">IF(C3588="","",IFERROR(INDEX($S$5:$S$304,MATCH(C3588,$R$5:$R$304,0))&amp;"","?"))</f>
        <v/>
      </c>
      <c r="N3588" s="2" t="str">
        <f aca="false"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 t="str">
        <f aca="false">IF(OR(F3588="",G3588=""),"",IF(G3588&lt;='RETRATO 2027'!$K$5,"CONCLUÍDA",IF(F3588&lt;='RETRATO 2027'!$K$5,"EM ANDAMENTO","A INICIAR")))</f>
        <v/>
      </c>
    </row>
    <row r="3589" customFormat="false" ht="15" hidden="false" customHeight="false" outlineLevel="0" collapsed="false">
      <c r="M3589" s="2" t="str">
        <f aca="false">IF(C3589="","",IFERROR(INDEX($S$5:$S$304,MATCH(C3589,$R$5:$R$304,0))&amp;"","?"))</f>
        <v/>
      </c>
      <c r="N3589" s="2" t="str">
        <f aca="false"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 t="str">
        <f aca="false">IF(OR(F3589="",G3589=""),"",IF(G3589&lt;='RETRATO 2027'!$K$5,"CONCLUÍDA",IF(F3589&lt;='RETRATO 2027'!$K$5,"EM ANDAMENTO","A INICIAR")))</f>
        <v/>
      </c>
    </row>
    <row r="3590" customFormat="false" ht="15" hidden="false" customHeight="false" outlineLevel="0" collapsed="false">
      <c r="M3590" s="2" t="str">
        <f aca="false">IF(C3590="","",IFERROR(INDEX($S$5:$S$304,MATCH(C3590,$R$5:$R$304,0))&amp;"","?"))</f>
        <v/>
      </c>
      <c r="N3590" s="2" t="str">
        <f aca="false"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 t="str">
        <f aca="false">IF(OR(F3590="",G3590=""),"",IF(G3590&lt;='RETRATO 2027'!$K$5,"CONCLUÍDA",IF(F3590&lt;='RETRATO 2027'!$K$5,"EM ANDAMENTO","A INICIAR")))</f>
        <v/>
      </c>
    </row>
    <row r="3591" customFormat="false" ht="15" hidden="false" customHeight="false" outlineLevel="0" collapsed="false">
      <c r="M3591" s="2" t="str">
        <f aca="false">IF(C3591="","",IFERROR(INDEX($S$5:$S$304,MATCH(C3591,$R$5:$R$304,0))&amp;"","?"))</f>
        <v/>
      </c>
      <c r="N3591" s="2" t="str">
        <f aca="false"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 t="str">
        <f aca="false">IF(OR(F3591="",G3591=""),"",IF(G3591&lt;='RETRATO 2027'!$K$5,"CONCLUÍDA",IF(F3591&lt;='RETRATO 2027'!$K$5,"EM ANDAMENTO","A INICIAR")))</f>
        <v/>
      </c>
    </row>
    <row r="3592" customFormat="false" ht="15" hidden="false" customHeight="false" outlineLevel="0" collapsed="false">
      <c r="M3592" s="2" t="str">
        <f aca="false">IF(C3592="","",IFERROR(INDEX($S$5:$S$304,MATCH(C3592,$R$5:$R$304,0))&amp;"","?"))</f>
        <v/>
      </c>
      <c r="N3592" s="2" t="str">
        <f aca="false"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 t="str">
        <f aca="false">IF(OR(F3592="",G3592=""),"",IF(G3592&lt;='RETRATO 2027'!$K$5,"CONCLUÍDA",IF(F3592&lt;='RETRATO 2027'!$K$5,"EM ANDAMENTO","A INICIAR")))</f>
        <v/>
      </c>
    </row>
    <row r="3593" customFormat="false" ht="15" hidden="false" customHeight="false" outlineLevel="0" collapsed="false">
      <c r="M3593" s="2" t="str">
        <f aca="false">IF(C3593="","",IFERROR(INDEX($S$5:$S$304,MATCH(C3593,$R$5:$R$304,0))&amp;"","?"))</f>
        <v/>
      </c>
      <c r="N3593" s="2" t="str">
        <f aca="false"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 t="str">
        <f aca="false">IF(OR(F3593="",G3593=""),"",IF(G3593&lt;='RETRATO 2027'!$K$5,"CONCLUÍDA",IF(F3593&lt;='RETRATO 2027'!$K$5,"EM ANDAMENTO","A INICIAR")))</f>
        <v/>
      </c>
    </row>
    <row r="3594" customFormat="false" ht="15" hidden="false" customHeight="false" outlineLevel="0" collapsed="false">
      <c r="M3594" s="2" t="str">
        <f aca="false">IF(C3594="","",IFERROR(INDEX($S$5:$S$304,MATCH(C3594,$R$5:$R$304,0))&amp;"","?"))</f>
        <v/>
      </c>
      <c r="N3594" s="2" t="str">
        <f aca="false"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 t="str">
        <f aca="false">IF(OR(F3594="",G3594=""),"",IF(G3594&lt;='RETRATO 2027'!$K$5,"CONCLUÍDA",IF(F3594&lt;='RETRATO 2027'!$K$5,"EM ANDAMENTO","A INICIAR")))</f>
        <v/>
      </c>
    </row>
    <row r="3595" customFormat="false" ht="15" hidden="false" customHeight="false" outlineLevel="0" collapsed="false">
      <c r="M3595" s="2" t="str">
        <f aca="false">IF(C3595="","",IFERROR(INDEX($S$5:$S$304,MATCH(C3595,$R$5:$R$304,0))&amp;"","?"))</f>
        <v/>
      </c>
      <c r="N3595" s="2" t="str">
        <f aca="false"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 t="str">
        <f aca="false">IF(OR(F3595="",G3595=""),"",IF(G3595&lt;='RETRATO 2027'!$K$5,"CONCLUÍDA",IF(F3595&lt;='RETRATO 2027'!$K$5,"EM ANDAMENTO","A INICIAR")))</f>
        <v/>
      </c>
    </row>
    <row r="3596" customFormat="false" ht="15" hidden="false" customHeight="false" outlineLevel="0" collapsed="false">
      <c r="M3596" s="2" t="str">
        <f aca="false">IF(C3596="","",IFERROR(INDEX($S$5:$S$304,MATCH(C3596,$R$5:$R$304,0))&amp;"","?"))</f>
        <v/>
      </c>
      <c r="N3596" s="2" t="str">
        <f aca="false"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 t="str">
        <f aca="false">IF(OR(F3596="",G3596=""),"",IF(G3596&lt;='RETRATO 2027'!$K$5,"CONCLUÍDA",IF(F3596&lt;='RETRATO 2027'!$K$5,"EM ANDAMENTO","A INICIAR")))</f>
        <v/>
      </c>
    </row>
    <row r="3597" customFormat="false" ht="15" hidden="false" customHeight="false" outlineLevel="0" collapsed="false">
      <c r="M3597" s="2" t="str">
        <f aca="false">IF(C3597="","",IFERROR(INDEX($S$5:$S$304,MATCH(C3597,$R$5:$R$304,0))&amp;"","?"))</f>
        <v/>
      </c>
      <c r="N3597" s="2" t="str">
        <f aca="false"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 t="str">
        <f aca="false">IF(OR(F3597="",G3597=""),"",IF(G3597&lt;='RETRATO 2027'!$K$5,"CONCLUÍDA",IF(F3597&lt;='RETRATO 2027'!$K$5,"EM ANDAMENTO","A INICIAR")))</f>
        <v/>
      </c>
    </row>
    <row r="3598" customFormat="false" ht="15" hidden="false" customHeight="false" outlineLevel="0" collapsed="false">
      <c r="M3598" s="2" t="str">
        <f aca="false">IF(C3598="","",IFERROR(INDEX($S$5:$S$304,MATCH(C3598,$R$5:$R$304,0))&amp;"","?"))</f>
        <v/>
      </c>
      <c r="N3598" s="2" t="str">
        <f aca="false"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 t="str">
        <f aca="false">IF(OR(F3598="",G3598=""),"",IF(G3598&lt;='RETRATO 2027'!$K$5,"CONCLUÍDA",IF(F3598&lt;='RETRATO 2027'!$K$5,"EM ANDAMENTO","A INICIAR")))</f>
        <v/>
      </c>
    </row>
    <row r="3599" customFormat="false" ht="15" hidden="false" customHeight="false" outlineLevel="0" collapsed="false">
      <c r="M3599" s="2" t="str">
        <f aca="false">IF(C3599="","",IFERROR(INDEX($S$5:$S$304,MATCH(C3599,$R$5:$R$304,0))&amp;"","?"))</f>
        <v/>
      </c>
      <c r="N3599" s="2" t="str">
        <f aca="false"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 t="str">
        <f aca="false">IF(OR(F3599="",G3599=""),"",IF(G3599&lt;='RETRATO 2027'!$K$5,"CONCLUÍDA",IF(F3599&lt;='RETRATO 2027'!$K$5,"EM ANDAMENTO","A INICIAR")))</f>
        <v/>
      </c>
    </row>
    <row r="3600" customFormat="false" ht="15" hidden="false" customHeight="false" outlineLevel="0" collapsed="false">
      <c r="M3600" s="2" t="str">
        <f aca="false">IF(C3600="","",IFERROR(INDEX($S$5:$S$304,MATCH(C3600,$R$5:$R$304,0))&amp;"","?"))</f>
        <v/>
      </c>
      <c r="N3600" s="2" t="str">
        <f aca="false"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 t="str">
        <f aca="false">IF(OR(F3600="",G3600=""),"",IF(G3600&lt;='RETRATO 2027'!$K$5,"CONCLUÍDA",IF(F3600&lt;='RETRATO 2027'!$K$5,"EM ANDAMENTO","A INICIAR")))</f>
        <v/>
      </c>
    </row>
    <row r="3601" customFormat="false" ht="15" hidden="false" customHeight="false" outlineLevel="0" collapsed="false">
      <c r="M3601" s="2" t="str">
        <f aca="false">IF(C3601="","",IFERROR(INDEX($S$5:$S$304,MATCH(C3601,$R$5:$R$304,0))&amp;"","?"))</f>
        <v/>
      </c>
      <c r="N3601" s="2" t="str">
        <f aca="false"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 t="str">
        <f aca="false">IF(OR(F3601="",G3601=""),"",IF(G3601&lt;='RETRATO 2027'!$K$5,"CONCLUÍDA",IF(F3601&lt;='RETRATO 2027'!$K$5,"EM ANDAMENTO","A INICIAR")))</f>
        <v/>
      </c>
    </row>
    <row r="3602" customFormat="false" ht="15" hidden="false" customHeight="false" outlineLevel="0" collapsed="false">
      <c r="M3602" s="2" t="str">
        <f aca="false">IF(C3602="","",IFERROR(INDEX($S$5:$S$304,MATCH(C3602,$R$5:$R$304,0))&amp;"","?"))</f>
        <v/>
      </c>
      <c r="N3602" s="2" t="str">
        <f aca="false"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 t="str">
        <f aca="false">IF(OR(F3602="",G3602=""),"",IF(G3602&lt;='RETRATO 2027'!$K$5,"CONCLUÍDA",IF(F3602&lt;='RETRATO 2027'!$K$5,"EM ANDAMENTO","A INICIAR")))</f>
        <v/>
      </c>
    </row>
    <row r="3603" customFormat="false" ht="15" hidden="false" customHeight="false" outlineLevel="0" collapsed="false">
      <c r="M3603" s="2" t="str">
        <f aca="false">IF(C3603="","",IFERROR(INDEX($S$5:$S$304,MATCH(C3603,$R$5:$R$304,0))&amp;"","?"))</f>
        <v/>
      </c>
      <c r="N3603" s="2" t="str">
        <f aca="false"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 t="str">
        <f aca="false">IF(OR(F3603="",G3603=""),"",IF(G3603&lt;='RETRATO 2027'!$K$5,"CONCLUÍDA",IF(F3603&lt;='RETRATO 2027'!$K$5,"EM ANDAMENTO","A INICIAR")))</f>
        <v/>
      </c>
    </row>
    <row r="3604" customFormat="false" ht="15" hidden="false" customHeight="false" outlineLevel="0" collapsed="false">
      <c r="M3604" s="2" t="str">
        <f aca="false">IF(C3604="","",IFERROR(INDEX($S$5:$S$304,MATCH(C3604,$R$5:$R$304,0))&amp;"","?"))</f>
        <v/>
      </c>
      <c r="N3604" s="2" t="str">
        <f aca="false"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 t="str">
        <f aca="false">IF(OR(F3604="",G3604=""),"",IF(G3604&lt;='RETRATO 2027'!$K$5,"CONCLUÍDA",IF(F3604&lt;='RETRATO 2027'!$K$5,"EM ANDAMENTO","A INICIAR")))</f>
        <v/>
      </c>
    </row>
    <row r="3605" customFormat="false" ht="15" hidden="false" customHeight="false" outlineLevel="0" collapsed="false">
      <c r="M3605" s="2" t="str">
        <f aca="false">IF(C3605="","",IFERROR(INDEX($S$5:$S$304,MATCH(C3605,$R$5:$R$304,0))&amp;"","?"))</f>
        <v/>
      </c>
      <c r="N3605" s="2" t="str">
        <f aca="false"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 t="str">
        <f aca="false">IF(OR(F3605="",G3605=""),"",IF(G3605&lt;='RETRATO 2027'!$K$5,"CONCLUÍDA",IF(F3605&lt;='RETRATO 2027'!$K$5,"EM ANDAMENTO","A INICIAR")))</f>
        <v/>
      </c>
    </row>
    <row r="3606" customFormat="false" ht="15" hidden="false" customHeight="false" outlineLevel="0" collapsed="false">
      <c r="M3606" s="2" t="str">
        <f aca="false">IF(C3606="","",IFERROR(INDEX($S$5:$S$304,MATCH(C3606,$R$5:$R$304,0))&amp;"","?"))</f>
        <v/>
      </c>
      <c r="N3606" s="2" t="str">
        <f aca="false"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 t="str">
        <f aca="false">IF(OR(F3606="",G3606=""),"",IF(G3606&lt;='RETRATO 2027'!$K$5,"CONCLUÍDA",IF(F3606&lt;='RETRATO 2027'!$K$5,"EM ANDAMENTO","A INICIAR")))</f>
        <v/>
      </c>
    </row>
    <row r="3607" customFormat="false" ht="15" hidden="false" customHeight="false" outlineLevel="0" collapsed="false">
      <c r="M3607" s="2" t="str">
        <f aca="false">IF(C3607="","",IFERROR(INDEX($S$5:$S$304,MATCH(C3607,$R$5:$R$304,0))&amp;"","?"))</f>
        <v/>
      </c>
      <c r="N3607" s="2" t="str">
        <f aca="false"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 t="str">
        <f aca="false">IF(OR(F3607="",G3607=""),"",IF(G3607&lt;='RETRATO 2027'!$K$5,"CONCLUÍDA",IF(F3607&lt;='RETRATO 2027'!$K$5,"EM ANDAMENTO","A INICIAR")))</f>
        <v/>
      </c>
    </row>
    <row r="3608" customFormat="false" ht="15" hidden="false" customHeight="false" outlineLevel="0" collapsed="false">
      <c r="M3608" s="2" t="str">
        <f aca="false">IF(C3608="","",IFERROR(INDEX($S$5:$S$304,MATCH(C3608,$R$5:$R$304,0))&amp;"","?"))</f>
        <v/>
      </c>
      <c r="N3608" s="2" t="str">
        <f aca="false"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 t="str">
        <f aca="false">IF(OR(F3608="",G3608=""),"",IF(G3608&lt;='RETRATO 2027'!$K$5,"CONCLUÍDA",IF(F3608&lt;='RETRATO 2027'!$K$5,"EM ANDAMENTO","A INICIAR")))</f>
        <v/>
      </c>
    </row>
    <row r="3609" customFormat="false" ht="15" hidden="false" customHeight="false" outlineLevel="0" collapsed="false">
      <c r="M3609" s="2" t="str">
        <f aca="false">IF(C3609="","",IFERROR(INDEX($S$5:$S$304,MATCH(C3609,$R$5:$R$304,0))&amp;"","?"))</f>
        <v/>
      </c>
      <c r="N3609" s="2" t="str">
        <f aca="false"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 t="str">
        <f aca="false">IF(OR(F3609="",G3609=""),"",IF(G3609&lt;='RETRATO 2027'!$K$5,"CONCLUÍDA",IF(F3609&lt;='RETRATO 2027'!$K$5,"EM ANDAMENTO","A INICIAR")))</f>
        <v/>
      </c>
    </row>
    <row r="3610" customFormat="false" ht="15" hidden="false" customHeight="false" outlineLevel="0" collapsed="false">
      <c r="M3610" s="2" t="str">
        <f aca="false">IF(C3610="","",IFERROR(INDEX($S$5:$S$304,MATCH(C3610,$R$5:$R$304,0))&amp;"","?"))</f>
        <v/>
      </c>
      <c r="N3610" s="2" t="str">
        <f aca="false"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 t="str">
        <f aca="false">IF(OR(F3610="",G3610=""),"",IF(G3610&lt;='RETRATO 2027'!$K$5,"CONCLUÍDA",IF(F3610&lt;='RETRATO 2027'!$K$5,"EM ANDAMENTO","A INICIAR")))</f>
        <v/>
      </c>
    </row>
    <row r="3611" customFormat="false" ht="15" hidden="false" customHeight="false" outlineLevel="0" collapsed="false">
      <c r="M3611" s="2" t="str">
        <f aca="false">IF(C3611="","",IFERROR(INDEX($S$5:$S$304,MATCH(C3611,$R$5:$R$304,0))&amp;"","?"))</f>
        <v/>
      </c>
      <c r="N3611" s="2" t="str">
        <f aca="false"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 t="str">
        <f aca="false">IF(OR(F3611="",G3611=""),"",IF(G3611&lt;='RETRATO 2027'!$K$5,"CONCLUÍDA",IF(F3611&lt;='RETRATO 2027'!$K$5,"EM ANDAMENTO","A INICIAR")))</f>
        <v/>
      </c>
    </row>
    <row r="3612" customFormat="false" ht="15" hidden="false" customHeight="false" outlineLevel="0" collapsed="false">
      <c r="M3612" s="2" t="str">
        <f aca="false">IF(C3612="","",IFERROR(INDEX($S$5:$S$304,MATCH(C3612,$R$5:$R$304,0))&amp;"","?"))</f>
        <v/>
      </c>
      <c r="N3612" s="2" t="str">
        <f aca="false"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 t="str">
        <f aca="false">IF(OR(F3612="",G3612=""),"",IF(G3612&lt;='RETRATO 2027'!$K$5,"CONCLUÍDA",IF(F3612&lt;='RETRATO 2027'!$K$5,"EM ANDAMENTO","A INICIAR")))</f>
        <v/>
      </c>
    </row>
    <row r="3613" customFormat="false" ht="15" hidden="false" customHeight="false" outlineLevel="0" collapsed="false">
      <c r="M3613" s="2" t="str">
        <f aca="false">IF(C3613="","",IFERROR(INDEX($S$5:$S$304,MATCH(C3613,$R$5:$R$304,0))&amp;"","?"))</f>
        <v/>
      </c>
      <c r="N3613" s="2" t="str">
        <f aca="false"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 t="str">
        <f aca="false">IF(OR(F3613="",G3613=""),"",IF(G3613&lt;='RETRATO 2027'!$K$5,"CONCLUÍDA",IF(F3613&lt;='RETRATO 2027'!$K$5,"EM ANDAMENTO","A INICIAR")))</f>
        <v/>
      </c>
    </row>
    <row r="3614" customFormat="false" ht="15" hidden="false" customHeight="false" outlineLevel="0" collapsed="false">
      <c r="M3614" s="2" t="str">
        <f aca="false">IF(C3614="","",IFERROR(INDEX($S$5:$S$304,MATCH(C3614,$R$5:$R$304,0))&amp;"","?"))</f>
        <v/>
      </c>
      <c r="N3614" s="2" t="str">
        <f aca="false"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 t="str">
        <f aca="false">IF(OR(F3614="",G3614=""),"",IF(G3614&lt;='RETRATO 2027'!$K$5,"CONCLUÍDA",IF(F3614&lt;='RETRATO 2027'!$K$5,"EM ANDAMENTO","A INICIAR")))</f>
        <v/>
      </c>
    </row>
    <row r="3615" customFormat="false" ht="15" hidden="false" customHeight="false" outlineLevel="0" collapsed="false">
      <c r="M3615" s="2" t="str">
        <f aca="false">IF(C3615="","",IFERROR(INDEX($S$5:$S$304,MATCH(C3615,$R$5:$R$304,0))&amp;"","?"))</f>
        <v/>
      </c>
      <c r="N3615" s="2" t="str">
        <f aca="false"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 t="str">
        <f aca="false">IF(OR(F3615="",G3615=""),"",IF(G3615&lt;='RETRATO 2027'!$K$5,"CONCLUÍDA",IF(F3615&lt;='RETRATO 2027'!$K$5,"EM ANDAMENTO","A INICIAR")))</f>
        <v/>
      </c>
    </row>
    <row r="3616" customFormat="false" ht="15" hidden="false" customHeight="false" outlineLevel="0" collapsed="false">
      <c r="M3616" s="2" t="str">
        <f aca="false">IF(C3616="","",IFERROR(INDEX($S$5:$S$304,MATCH(C3616,$R$5:$R$304,0))&amp;"","?"))</f>
        <v/>
      </c>
      <c r="N3616" s="2" t="str">
        <f aca="false"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 t="str">
        <f aca="false">IF(OR(F3616="",G3616=""),"",IF(G3616&lt;='RETRATO 2027'!$K$5,"CONCLUÍDA",IF(F3616&lt;='RETRATO 2027'!$K$5,"EM ANDAMENTO","A INICIAR")))</f>
        <v/>
      </c>
    </row>
    <row r="3617" customFormat="false" ht="15" hidden="false" customHeight="false" outlineLevel="0" collapsed="false">
      <c r="M3617" s="2" t="str">
        <f aca="false">IF(C3617="","",IFERROR(INDEX($S$5:$S$304,MATCH(C3617,$R$5:$R$304,0))&amp;"","?"))</f>
        <v/>
      </c>
      <c r="N3617" s="2" t="str">
        <f aca="false"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 t="str">
        <f aca="false">IF(OR(F3617="",G3617=""),"",IF(G3617&lt;='RETRATO 2027'!$K$5,"CONCLUÍDA",IF(F3617&lt;='RETRATO 2027'!$K$5,"EM ANDAMENTO","A INICIAR")))</f>
        <v/>
      </c>
    </row>
    <row r="3618" customFormat="false" ht="15" hidden="false" customHeight="false" outlineLevel="0" collapsed="false">
      <c r="M3618" s="2" t="str">
        <f aca="false">IF(C3618="","",IFERROR(INDEX($S$5:$S$304,MATCH(C3618,$R$5:$R$304,0))&amp;"","?"))</f>
        <v/>
      </c>
      <c r="N3618" s="2" t="str">
        <f aca="false"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 t="str">
        <f aca="false">IF(OR(F3618="",G3618=""),"",IF(G3618&lt;='RETRATO 2027'!$K$5,"CONCLUÍDA",IF(F3618&lt;='RETRATO 2027'!$K$5,"EM ANDAMENTO","A INICIAR")))</f>
        <v/>
      </c>
    </row>
    <row r="3619" customFormat="false" ht="15" hidden="false" customHeight="false" outlineLevel="0" collapsed="false">
      <c r="M3619" s="2" t="str">
        <f aca="false">IF(C3619="","",IFERROR(INDEX($S$5:$S$304,MATCH(C3619,$R$5:$R$304,0))&amp;"","?"))</f>
        <v/>
      </c>
      <c r="N3619" s="2" t="str">
        <f aca="false"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 t="str">
        <f aca="false">IF(OR(F3619="",G3619=""),"",IF(G3619&lt;='RETRATO 2027'!$K$5,"CONCLUÍDA",IF(F3619&lt;='RETRATO 2027'!$K$5,"EM ANDAMENTO","A INICIAR")))</f>
        <v/>
      </c>
    </row>
    <row r="3620" customFormat="false" ht="15" hidden="false" customHeight="false" outlineLevel="0" collapsed="false">
      <c r="M3620" s="2" t="str">
        <f aca="false">IF(C3620="","",IFERROR(INDEX($S$5:$S$304,MATCH(C3620,$R$5:$R$304,0))&amp;"","?"))</f>
        <v/>
      </c>
      <c r="N3620" s="2" t="str">
        <f aca="false"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 t="str">
        <f aca="false">IF(OR(F3620="",G3620=""),"",IF(G3620&lt;='RETRATO 2027'!$K$5,"CONCLUÍDA",IF(F3620&lt;='RETRATO 2027'!$K$5,"EM ANDAMENTO","A INICIAR")))</f>
        <v/>
      </c>
    </row>
    <row r="3621" customFormat="false" ht="15" hidden="false" customHeight="false" outlineLevel="0" collapsed="false">
      <c r="M3621" s="2" t="str">
        <f aca="false">IF(C3621="","",IFERROR(INDEX($S$5:$S$304,MATCH(C3621,$R$5:$R$304,0))&amp;"","?"))</f>
        <v/>
      </c>
      <c r="N3621" s="2" t="str">
        <f aca="false"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 t="str">
        <f aca="false">IF(OR(F3621="",G3621=""),"",IF(G3621&lt;='RETRATO 2027'!$K$5,"CONCLUÍDA",IF(F3621&lt;='RETRATO 2027'!$K$5,"EM ANDAMENTO","A INICIAR")))</f>
        <v/>
      </c>
    </row>
    <row r="3622" customFormat="false" ht="15" hidden="false" customHeight="false" outlineLevel="0" collapsed="false">
      <c r="M3622" s="2" t="str">
        <f aca="false">IF(C3622="","",IFERROR(INDEX($S$5:$S$304,MATCH(C3622,$R$5:$R$304,0))&amp;"","?"))</f>
        <v/>
      </c>
      <c r="N3622" s="2" t="str">
        <f aca="false"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 t="str">
        <f aca="false">IF(OR(F3622="",G3622=""),"",IF(G3622&lt;='RETRATO 2027'!$K$5,"CONCLUÍDA",IF(F3622&lt;='RETRATO 2027'!$K$5,"EM ANDAMENTO","A INICIAR")))</f>
        <v/>
      </c>
    </row>
    <row r="3623" customFormat="false" ht="15" hidden="false" customHeight="false" outlineLevel="0" collapsed="false">
      <c r="M3623" s="2" t="str">
        <f aca="false">IF(C3623="","",IFERROR(INDEX($S$5:$S$304,MATCH(C3623,$R$5:$R$304,0))&amp;"","?"))</f>
        <v/>
      </c>
      <c r="N3623" s="2" t="str">
        <f aca="false"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 t="str">
        <f aca="false">IF(OR(F3623="",G3623=""),"",IF(G3623&lt;='RETRATO 2027'!$K$5,"CONCLUÍDA",IF(F3623&lt;='RETRATO 2027'!$K$5,"EM ANDAMENTO","A INICIAR")))</f>
        <v/>
      </c>
    </row>
    <row r="3624" customFormat="false" ht="15" hidden="false" customHeight="false" outlineLevel="0" collapsed="false">
      <c r="M3624" s="2" t="str">
        <f aca="false">IF(C3624="","",IFERROR(INDEX($S$5:$S$304,MATCH(C3624,$R$5:$R$304,0))&amp;"","?"))</f>
        <v/>
      </c>
      <c r="N3624" s="2" t="str">
        <f aca="false"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 t="str">
        <f aca="false">IF(OR(F3624="",G3624=""),"",IF(G3624&lt;='RETRATO 2027'!$K$5,"CONCLUÍDA",IF(F3624&lt;='RETRATO 2027'!$K$5,"EM ANDAMENTO","A INICIAR")))</f>
        <v/>
      </c>
    </row>
    <row r="3625" customFormat="false" ht="15" hidden="false" customHeight="false" outlineLevel="0" collapsed="false">
      <c r="M3625" s="2" t="str">
        <f aca="false">IF(C3625="","",IFERROR(INDEX($S$5:$S$304,MATCH(C3625,$R$5:$R$304,0))&amp;"","?"))</f>
        <v/>
      </c>
      <c r="N3625" s="2" t="str">
        <f aca="false"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 t="str">
        <f aca="false">IF(OR(F3625="",G3625=""),"",IF(G3625&lt;='RETRATO 2027'!$K$5,"CONCLUÍDA",IF(F3625&lt;='RETRATO 2027'!$K$5,"EM ANDAMENTO","A INICIAR")))</f>
        <v/>
      </c>
    </row>
    <row r="3626" customFormat="false" ht="15" hidden="false" customHeight="false" outlineLevel="0" collapsed="false">
      <c r="M3626" s="2" t="str">
        <f aca="false">IF(C3626="","",IFERROR(INDEX($S$5:$S$304,MATCH(C3626,$R$5:$R$304,0))&amp;"","?"))</f>
        <v/>
      </c>
      <c r="N3626" s="2" t="str">
        <f aca="false"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 t="str">
        <f aca="false">IF(OR(F3626="",G3626=""),"",IF(G3626&lt;='RETRATO 2027'!$K$5,"CONCLUÍDA",IF(F3626&lt;='RETRATO 2027'!$K$5,"EM ANDAMENTO","A INICIAR")))</f>
        <v/>
      </c>
    </row>
    <row r="3627" customFormat="false" ht="15" hidden="false" customHeight="false" outlineLevel="0" collapsed="false">
      <c r="M3627" s="2" t="str">
        <f aca="false">IF(C3627="","",IFERROR(INDEX($S$5:$S$304,MATCH(C3627,$R$5:$R$304,0))&amp;"","?"))</f>
        <v/>
      </c>
      <c r="N3627" s="2" t="str">
        <f aca="false"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 t="str">
        <f aca="false">IF(OR(F3627="",G3627=""),"",IF(G3627&lt;='RETRATO 2027'!$K$5,"CONCLUÍDA",IF(F3627&lt;='RETRATO 2027'!$K$5,"EM ANDAMENTO","A INICIAR")))</f>
        <v/>
      </c>
    </row>
    <row r="3628" customFormat="false" ht="15" hidden="false" customHeight="false" outlineLevel="0" collapsed="false">
      <c r="M3628" s="2" t="str">
        <f aca="false">IF(C3628="","",IFERROR(INDEX($S$5:$S$304,MATCH(C3628,$R$5:$R$304,0))&amp;"","?"))</f>
        <v/>
      </c>
      <c r="N3628" s="2" t="str">
        <f aca="false"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 t="str">
        <f aca="false">IF(OR(F3628="",G3628=""),"",IF(G3628&lt;='RETRATO 2027'!$K$5,"CONCLUÍDA",IF(F3628&lt;='RETRATO 2027'!$K$5,"EM ANDAMENTO","A INICIAR")))</f>
        <v/>
      </c>
    </row>
    <row r="3629" customFormat="false" ht="15" hidden="false" customHeight="false" outlineLevel="0" collapsed="false">
      <c r="M3629" s="2" t="str">
        <f aca="false">IF(C3629="","",IFERROR(INDEX($S$5:$S$304,MATCH(C3629,$R$5:$R$304,0))&amp;"","?"))</f>
        <v/>
      </c>
      <c r="N3629" s="2" t="str">
        <f aca="false"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 t="str">
        <f aca="false">IF(OR(F3629="",G3629=""),"",IF(G3629&lt;='RETRATO 2027'!$K$5,"CONCLUÍDA",IF(F3629&lt;='RETRATO 2027'!$K$5,"EM ANDAMENTO","A INICIAR")))</f>
        <v/>
      </c>
    </row>
    <row r="3630" customFormat="false" ht="15" hidden="false" customHeight="false" outlineLevel="0" collapsed="false">
      <c r="M3630" s="2" t="str">
        <f aca="false">IF(C3630="","",IFERROR(INDEX($S$5:$S$304,MATCH(C3630,$R$5:$R$304,0))&amp;"","?"))</f>
        <v/>
      </c>
      <c r="N3630" s="2" t="str">
        <f aca="false"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 t="str">
        <f aca="false">IF(OR(F3630="",G3630=""),"",IF(G3630&lt;='RETRATO 2027'!$K$5,"CONCLUÍDA",IF(F3630&lt;='RETRATO 2027'!$K$5,"EM ANDAMENTO","A INICIAR")))</f>
        <v/>
      </c>
    </row>
    <row r="3631" customFormat="false" ht="15" hidden="false" customHeight="false" outlineLevel="0" collapsed="false">
      <c r="M3631" s="2" t="str">
        <f aca="false">IF(C3631="","",IFERROR(INDEX($S$5:$S$304,MATCH(C3631,$R$5:$R$304,0))&amp;"","?"))</f>
        <v/>
      </c>
      <c r="N3631" s="2" t="str">
        <f aca="false"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 t="str">
        <f aca="false">IF(OR(F3631="",G3631=""),"",IF(G3631&lt;='RETRATO 2027'!$K$5,"CONCLUÍDA",IF(F3631&lt;='RETRATO 2027'!$K$5,"EM ANDAMENTO","A INICIAR")))</f>
        <v/>
      </c>
    </row>
    <row r="3632" customFormat="false" ht="15" hidden="false" customHeight="false" outlineLevel="0" collapsed="false">
      <c r="M3632" s="2" t="str">
        <f aca="false">IF(C3632="","",IFERROR(INDEX($S$5:$S$304,MATCH(C3632,$R$5:$R$304,0))&amp;"","?"))</f>
        <v/>
      </c>
      <c r="N3632" s="2" t="str">
        <f aca="false"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 t="str">
        <f aca="false">IF(OR(F3632="",G3632=""),"",IF(G3632&lt;='RETRATO 2027'!$K$5,"CONCLUÍDA",IF(F3632&lt;='RETRATO 2027'!$K$5,"EM ANDAMENTO","A INICIAR")))</f>
        <v/>
      </c>
    </row>
    <row r="3633" customFormat="false" ht="15" hidden="false" customHeight="false" outlineLevel="0" collapsed="false">
      <c r="M3633" s="2" t="str">
        <f aca="false">IF(C3633="","",IFERROR(INDEX($S$5:$S$304,MATCH(C3633,$R$5:$R$304,0))&amp;"","?"))</f>
        <v/>
      </c>
      <c r="N3633" s="2" t="str">
        <f aca="false"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 t="str">
        <f aca="false">IF(OR(F3633="",G3633=""),"",IF(G3633&lt;='RETRATO 2027'!$K$5,"CONCLUÍDA",IF(F3633&lt;='RETRATO 2027'!$K$5,"EM ANDAMENTO","A INICIAR")))</f>
        <v/>
      </c>
    </row>
    <row r="3634" customFormat="false" ht="15" hidden="false" customHeight="false" outlineLevel="0" collapsed="false">
      <c r="M3634" s="2" t="str">
        <f aca="false">IF(C3634="","",IFERROR(INDEX($S$5:$S$304,MATCH(C3634,$R$5:$R$304,0))&amp;"","?"))</f>
        <v/>
      </c>
      <c r="N3634" s="2" t="str">
        <f aca="false"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 t="str">
        <f aca="false">IF(OR(F3634="",G3634=""),"",IF(G3634&lt;='RETRATO 2027'!$K$5,"CONCLUÍDA",IF(F3634&lt;='RETRATO 2027'!$K$5,"EM ANDAMENTO","A INICIAR")))</f>
        <v/>
      </c>
    </row>
    <row r="3635" customFormat="false" ht="15" hidden="false" customHeight="false" outlineLevel="0" collapsed="false">
      <c r="M3635" s="2" t="str">
        <f aca="false">IF(C3635="","",IFERROR(INDEX($S$5:$S$304,MATCH(C3635,$R$5:$R$304,0))&amp;"","?"))</f>
        <v/>
      </c>
      <c r="N3635" s="2" t="str">
        <f aca="false"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 t="str">
        <f aca="false">IF(OR(F3635="",G3635=""),"",IF(G3635&lt;='RETRATO 2027'!$K$5,"CONCLUÍDA",IF(F3635&lt;='RETRATO 2027'!$K$5,"EM ANDAMENTO","A INICIAR")))</f>
        <v/>
      </c>
    </row>
    <row r="3636" customFormat="false" ht="15" hidden="false" customHeight="false" outlineLevel="0" collapsed="false">
      <c r="M3636" s="2" t="str">
        <f aca="false">IF(C3636="","",IFERROR(INDEX($S$5:$S$304,MATCH(C3636,$R$5:$R$304,0))&amp;"","?"))</f>
        <v/>
      </c>
      <c r="N3636" s="2" t="str">
        <f aca="false"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 t="str">
        <f aca="false">IF(OR(F3636="",G3636=""),"",IF(G3636&lt;='RETRATO 2027'!$K$5,"CONCLUÍDA",IF(F3636&lt;='RETRATO 2027'!$K$5,"EM ANDAMENTO","A INICIAR")))</f>
        <v/>
      </c>
    </row>
    <row r="3637" customFormat="false" ht="15" hidden="false" customHeight="false" outlineLevel="0" collapsed="false">
      <c r="M3637" s="2" t="str">
        <f aca="false">IF(C3637="","",IFERROR(INDEX($S$5:$S$304,MATCH(C3637,$R$5:$R$304,0))&amp;"","?"))</f>
        <v/>
      </c>
      <c r="N3637" s="2" t="str">
        <f aca="false"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 t="str">
        <f aca="false">IF(OR(F3637="",G3637=""),"",IF(G3637&lt;='RETRATO 2027'!$K$5,"CONCLUÍDA",IF(F3637&lt;='RETRATO 2027'!$K$5,"EM ANDAMENTO","A INICIAR")))</f>
        <v/>
      </c>
    </row>
    <row r="3638" customFormat="false" ht="15" hidden="false" customHeight="false" outlineLevel="0" collapsed="false">
      <c r="M3638" s="2" t="str">
        <f aca="false">IF(C3638="","",IFERROR(INDEX($S$5:$S$304,MATCH(C3638,$R$5:$R$304,0))&amp;"","?"))</f>
        <v/>
      </c>
      <c r="N3638" s="2" t="str">
        <f aca="false"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 t="str">
        <f aca="false">IF(OR(F3638="",G3638=""),"",IF(G3638&lt;='RETRATO 2027'!$K$5,"CONCLUÍDA",IF(F3638&lt;='RETRATO 2027'!$K$5,"EM ANDAMENTO","A INICIAR")))</f>
        <v/>
      </c>
    </row>
    <row r="3639" customFormat="false" ht="15" hidden="false" customHeight="false" outlineLevel="0" collapsed="false">
      <c r="M3639" s="2" t="str">
        <f aca="false">IF(C3639="","",IFERROR(INDEX($S$5:$S$304,MATCH(C3639,$R$5:$R$304,0))&amp;"","?"))</f>
        <v/>
      </c>
      <c r="N3639" s="2" t="str">
        <f aca="false"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 t="str">
        <f aca="false">IF(OR(F3639="",G3639=""),"",IF(G3639&lt;='RETRATO 2027'!$K$5,"CONCLUÍDA",IF(F3639&lt;='RETRATO 2027'!$K$5,"EM ANDAMENTO","A INICIAR")))</f>
        <v/>
      </c>
    </row>
    <row r="3640" customFormat="false" ht="15" hidden="false" customHeight="false" outlineLevel="0" collapsed="false">
      <c r="M3640" s="2" t="str">
        <f aca="false">IF(C3640="","",IFERROR(INDEX($S$5:$S$304,MATCH(C3640,$R$5:$R$304,0))&amp;"","?"))</f>
        <v/>
      </c>
      <c r="N3640" s="2" t="str">
        <f aca="false"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 t="str">
        <f aca="false">IF(OR(F3640="",G3640=""),"",IF(G3640&lt;='RETRATO 2027'!$K$5,"CONCLUÍDA",IF(F3640&lt;='RETRATO 2027'!$K$5,"EM ANDAMENTO","A INICIAR")))</f>
        <v/>
      </c>
    </row>
    <row r="3641" customFormat="false" ht="15" hidden="false" customHeight="false" outlineLevel="0" collapsed="false">
      <c r="M3641" s="2" t="str">
        <f aca="false">IF(C3641="","",IFERROR(INDEX($S$5:$S$304,MATCH(C3641,$R$5:$R$304,0))&amp;"","?"))</f>
        <v/>
      </c>
      <c r="N3641" s="2" t="str">
        <f aca="false"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 t="str">
        <f aca="false">IF(OR(F3641="",G3641=""),"",IF(G3641&lt;='RETRATO 2027'!$K$5,"CONCLUÍDA",IF(F3641&lt;='RETRATO 2027'!$K$5,"EM ANDAMENTO","A INICIAR")))</f>
        <v/>
      </c>
    </row>
    <row r="3642" customFormat="false" ht="15" hidden="false" customHeight="false" outlineLevel="0" collapsed="false">
      <c r="M3642" s="2" t="str">
        <f aca="false">IF(C3642="","",IFERROR(INDEX($S$5:$S$304,MATCH(C3642,$R$5:$R$304,0))&amp;"","?"))</f>
        <v/>
      </c>
      <c r="N3642" s="2" t="str">
        <f aca="false"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 t="str">
        <f aca="false">IF(OR(F3642="",G3642=""),"",IF(G3642&lt;='RETRATO 2027'!$K$5,"CONCLUÍDA",IF(F3642&lt;='RETRATO 2027'!$K$5,"EM ANDAMENTO","A INICIAR")))</f>
        <v/>
      </c>
    </row>
    <row r="3643" customFormat="false" ht="15" hidden="false" customHeight="false" outlineLevel="0" collapsed="false">
      <c r="M3643" s="2" t="str">
        <f aca="false">IF(C3643="","",IFERROR(INDEX($S$5:$S$304,MATCH(C3643,$R$5:$R$304,0))&amp;"","?"))</f>
        <v/>
      </c>
      <c r="N3643" s="2" t="str">
        <f aca="false"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 t="str">
        <f aca="false">IF(OR(F3643="",G3643=""),"",IF(G3643&lt;='RETRATO 2027'!$K$5,"CONCLUÍDA",IF(F3643&lt;='RETRATO 2027'!$K$5,"EM ANDAMENTO","A INICIAR")))</f>
        <v/>
      </c>
    </row>
    <row r="3644" customFormat="false" ht="15" hidden="false" customHeight="false" outlineLevel="0" collapsed="false">
      <c r="M3644" s="2" t="str">
        <f aca="false">IF(C3644="","",IFERROR(INDEX($S$5:$S$304,MATCH(C3644,$R$5:$R$304,0))&amp;"","?"))</f>
        <v/>
      </c>
      <c r="N3644" s="2" t="str">
        <f aca="false"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 t="str">
        <f aca="false">IF(OR(F3644="",G3644=""),"",IF(G3644&lt;='RETRATO 2027'!$K$5,"CONCLUÍDA",IF(F3644&lt;='RETRATO 2027'!$K$5,"EM ANDAMENTO","A INICIAR")))</f>
        <v/>
      </c>
    </row>
    <row r="3645" customFormat="false" ht="15" hidden="false" customHeight="false" outlineLevel="0" collapsed="false">
      <c r="M3645" s="2" t="str">
        <f aca="false">IF(C3645="","",IFERROR(INDEX($S$5:$S$304,MATCH(C3645,$R$5:$R$304,0))&amp;"","?"))</f>
        <v/>
      </c>
      <c r="N3645" s="2" t="str">
        <f aca="false"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 t="str">
        <f aca="false">IF(OR(F3645="",G3645=""),"",IF(G3645&lt;='RETRATO 2027'!$K$5,"CONCLUÍDA",IF(F3645&lt;='RETRATO 2027'!$K$5,"EM ANDAMENTO","A INICIAR")))</f>
        <v/>
      </c>
    </row>
    <row r="3646" customFormat="false" ht="15" hidden="false" customHeight="false" outlineLevel="0" collapsed="false">
      <c r="M3646" s="2" t="str">
        <f aca="false">IF(C3646="","",IFERROR(INDEX($S$5:$S$304,MATCH(C3646,$R$5:$R$304,0))&amp;"","?"))</f>
        <v/>
      </c>
      <c r="N3646" s="2" t="str">
        <f aca="false"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 t="str">
        <f aca="false">IF(OR(F3646="",G3646=""),"",IF(G3646&lt;='RETRATO 2027'!$K$5,"CONCLUÍDA",IF(F3646&lt;='RETRATO 2027'!$K$5,"EM ANDAMENTO","A INICIAR")))</f>
        <v/>
      </c>
    </row>
    <row r="3647" customFormat="false" ht="15" hidden="false" customHeight="false" outlineLevel="0" collapsed="false">
      <c r="M3647" s="2" t="str">
        <f aca="false">IF(C3647="","",IFERROR(INDEX($S$5:$S$304,MATCH(C3647,$R$5:$R$304,0))&amp;"","?"))</f>
        <v/>
      </c>
      <c r="N3647" s="2" t="str">
        <f aca="false"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 t="str">
        <f aca="false">IF(OR(F3647="",G3647=""),"",IF(G3647&lt;='RETRATO 2027'!$K$5,"CONCLUÍDA",IF(F3647&lt;='RETRATO 2027'!$K$5,"EM ANDAMENTO","A INICIAR")))</f>
        <v/>
      </c>
    </row>
    <row r="3648" customFormat="false" ht="15" hidden="false" customHeight="false" outlineLevel="0" collapsed="false">
      <c r="M3648" s="2" t="str">
        <f aca="false">IF(C3648="","",IFERROR(INDEX($S$5:$S$304,MATCH(C3648,$R$5:$R$304,0))&amp;"","?"))</f>
        <v/>
      </c>
      <c r="N3648" s="2" t="str">
        <f aca="false"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 t="str">
        <f aca="false">IF(OR(F3648="",G3648=""),"",IF(G3648&lt;='RETRATO 2027'!$K$5,"CONCLUÍDA",IF(F3648&lt;='RETRATO 2027'!$K$5,"EM ANDAMENTO","A INICIAR")))</f>
        <v/>
      </c>
    </row>
    <row r="3649" customFormat="false" ht="15" hidden="false" customHeight="false" outlineLevel="0" collapsed="false">
      <c r="M3649" s="2" t="str">
        <f aca="false">IF(C3649="","",IFERROR(INDEX($S$5:$S$304,MATCH(C3649,$R$5:$R$304,0))&amp;"","?"))</f>
        <v/>
      </c>
      <c r="N3649" s="2" t="str">
        <f aca="false"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 t="str">
        <f aca="false">IF(OR(F3649="",G3649=""),"",IF(G3649&lt;='RETRATO 2027'!$K$5,"CONCLUÍDA",IF(F3649&lt;='RETRATO 2027'!$K$5,"EM ANDAMENTO","A INICIAR")))</f>
        <v/>
      </c>
    </row>
    <row r="3650" customFormat="false" ht="15" hidden="false" customHeight="false" outlineLevel="0" collapsed="false">
      <c r="M3650" s="2" t="str">
        <f aca="false">IF(C3650="","",IFERROR(INDEX($S$5:$S$304,MATCH(C3650,$R$5:$R$304,0))&amp;"","?"))</f>
        <v/>
      </c>
      <c r="N3650" s="2" t="str">
        <f aca="false"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 t="str">
        <f aca="false">IF(OR(F3650="",G3650=""),"",IF(G3650&lt;='RETRATO 2027'!$K$5,"CONCLUÍDA",IF(F3650&lt;='RETRATO 2027'!$K$5,"EM ANDAMENTO","A INICIAR")))</f>
        <v/>
      </c>
    </row>
    <row r="3651" customFormat="false" ht="15" hidden="false" customHeight="false" outlineLevel="0" collapsed="false">
      <c r="M3651" s="2" t="str">
        <f aca="false">IF(C3651="","",IFERROR(INDEX($S$5:$S$304,MATCH(C3651,$R$5:$R$304,0))&amp;"","?"))</f>
        <v/>
      </c>
      <c r="N3651" s="2" t="str">
        <f aca="false"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 t="str">
        <f aca="false">IF(OR(F3651="",G3651=""),"",IF(G3651&lt;='RETRATO 2027'!$K$5,"CONCLUÍDA",IF(F3651&lt;='RETRATO 2027'!$K$5,"EM ANDAMENTO","A INICIAR")))</f>
        <v/>
      </c>
    </row>
    <row r="3652" customFormat="false" ht="15" hidden="false" customHeight="false" outlineLevel="0" collapsed="false">
      <c r="M3652" s="2" t="str">
        <f aca="false">IF(C3652="","",IFERROR(INDEX($S$5:$S$304,MATCH(C3652,$R$5:$R$304,0))&amp;"","?"))</f>
        <v/>
      </c>
      <c r="N3652" s="2" t="str">
        <f aca="false"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 t="str">
        <f aca="false">IF(OR(F3652="",G3652=""),"",IF(G3652&lt;='RETRATO 2027'!$K$5,"CONCLUÍDA",IF(F3652&lt;='RETRATO 2027'!$K$5,"EM ANDAMENTO","A INICIAR")))</f>
        <v/>
      </c>
    </row>
    <row r="3653" customFormat="false" ht="15" hidden="false" customHeight="false" outlineLevel="0" collapsed="false">
      <c r="M3653" s="2" t="str">
        <f aca="false">IF(C3653="","",IFERROR(INDEX($S$5:$S$304,MATCH(C3653,$R$5:$R$304,0))&amp;"","?"))</f>
        <v/>
      </c>
      <c r="N3653" s="2" t="str">
        <f aca="false"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 t="str">
        <f aca="false">IF(OR(F3653="",G3653=""),"",IF(G3653&lt;='RETRATO 2027'!$K$5,"CONCLUÍDA",IF(F3653&lt;='RETRATO 2027'!$K$5,"EM ANDAMENTO","A INICIAR")))</f>
        <v/>
      </c>
    </row>
    <row r="3654" customFormat="false" ht="15" hidden="false" customHeight="false" outlineLevel="0" collapsed="false">
      <c r="M3654" s="2" t="str">
        <f aca="false">IF(C3654="","",IFERROR(INDEX($S$5:$S$304,MATCH(C3654,$R$5:$R$304,0))&amp;"","?"))</f>
        <v/>
      </c>
      <c r="N3654" s="2" t="str">
        <f aca="false"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 t="str">
        <f aca="false">IF(OR(F3654="",G3654=""),"",IF(G3654&lt;='RETRATO 2027'!$K$5,"CONCLUÍDA",IF(F3654&lt;='RETRATO 2027'!$K$5,"EM ANDAMENTO","A INICIAR")))</f>
        <v/>
      </c>
    </row>
    <row r="3655" customFormat="false" ht="15" hidden="false" customHeight="false" outlineLevel="0" collapsed="false">
      <c r="M3655" s="2" t="str">
        <f aca="false">IF(C3655="","",IFERROR(INDEX($S$5:$S$304,MATCH(C3655,$R$5:$R$304,0))&amp;"","?"))</f>
        <v/>
      </c>
      <c r="N3655" s="2" t="str">
        <f aca="false"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 t="str">
        <f aca="false">IF(OR(F3655="",G3655=""),"",IF(G3655&lt;='RETRATO 2027'!$K$5,"CONCLUÍDA",IF(F3655&lt;='RETRATO 2027'!$K$5,"EM ANDAMENTO","A INICIAR")))</f>
        <v/>
      </c>
    </row>
    <row r="3656" customFormat="false" ht="15" hidden="false" customHeight="false" outlineLevel="0" collapsed="false">
      <c r="M3656" s="2" t="str">
        <f aca="false">IF(C3656="","",IFERROR(INDEX($S$5:$S$304,MATCH(C3656,$R$5:$R$304,0))&amp;"","?"))</f>
        <v/>
      </c>
      <c r="N3656" s="2" t="str">
        <f aca="false"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 t="str">
        <f aca="false">IF(OR(F3656="",G3656=""),"",IF(G3656&lt;='RETRATO 2027'!$K$5,"CONCLUÍDA",IF(F3656&lt;='RETRATO 2027'!$K$5,"EM ANDAMENTO","A INICIAR")))</f>
        <v/>
      </c>
    </row>
    <row r="3657" customFormat="false" ht="15" hidden="false" customHeight="false" outlineLevel="0" collapsed="false">
      <c r="M3657" s="2" t="str">
        <f aca="false">IF(C3657="","",IFERROR(INDEX($S$5:$S$304,MATCH(C3657,$R$5:$R$304,0))&amp;"","?"))</f>
        <v/>
      </c>
      <c r="N3657" s="2" t="str">
        <f aca="false"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 t="str">
        <f aca="false">IF(OR(F3657="",G3657=""),"",IF(G3657&lt;='RETRATO 2027'!$K$5,"CONCLUÍDA",IF(F3657&lt;='RETRATO 2027'!$K$5,"EM ANDAMENTO","A INICIAR")))</f>
        <v/>
      </c>
    </row>
    <row r="3658" customFormat="false" ht="15" hidden="false" customHeight="false" outlineLevel="0" collapsed="false">
      <c r="M3658" s="2" t="str">
        <f aca="false">IF(C3658="","",IFERROR(INDEX($S$5:$S$304,MATCH(C3658,$R$5:$R$304,0))&amp;"","?"))</f>
        <v/>
      </c>
      <c r="N3658" s="2" t="str">
        <f aca="false"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 t="str">
        <f aca="false">IF(OR(F3658="",G3658=""),"",IF(G3658&lt;='RETRATO 2027'!$K$5,"CONCLUÍDA",IF(F3658&lt;='RETRATO 2027'!$K$5,"EM ANDAMENTO","A INICIAR")))</f>
        <v/>
      </c>
    </row>
    <row r="3659" customFormat="false" ht="15" hidden="false" customHeight="false" outlineLevel="0" collapsed="false">
      <c r="M3659" s="2" t="str">
        <f aca="false">IF(C3659="","",IFERROR(INDEX($S$5:$S$304,MATCH(C3659,$R$5:$R$304,0))&amp;"","?"))</f>
        <v/>
      </c>
      <c r="N3659" s="2" t="str">
        <f aca="false"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 t="str">
        <f aca="false">IF(OR(F3659="",G3659=""),"",IF(G3659&lt;='RETRATO 2027'!$K$5,"CONCLUÍDA",IF(F3659&lt;='RETRATO 2027'!$K$5,"EM ANDAMENTO","A INICIAR")))</f>
        <v/>
      </c>
    </row>
    <row r="3660" customFormat="false" ht="15" hidden="false" customHeight="false" outlineLevel="0" collapsed="false">
      <c r="M3660" s="2" t="str">
        <f aca="false">IF(C3660="","",IFERROR(INDEX($S$5:$S$304,MATCH(C3660,$R$5:$R$304,0))&amp;"","?"))</f>
        <v/>
      </c>
      <c r="N3660" s="2" t="str">
        <f aca="false"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 t="str">
        <f aca="false">IF(OR(F3660="",G3660=""),"",IF(G3660&lt;='RETRATO 2027'!$K$5,"CONCLUÍDA",IF(F3660&lt;='RETRATO 2027'!$K$5,"EM ANDAMENTO","A INICIAR")))</f>
        <v/>
      </c>
    </row>
    <row r="3661" customFormat="false" ht="15" hidden="false" customHeight="false" outlineLevel="0" collapsed="false">
      <c r="M3661" s="2" t="str">
        <f aca="false">IF(C3661="","",IFERROR(INDEX($S$5:$S$304,MATCH(C3661,$R$5:$R$304,0))&amp;"","?"))</f>
        <v/>
      </c>
      <c r="N3661" s="2" t="str">
        <f aca="false"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 t="str">
        <f aca="false">IF(OR(F3661="",G3661=""),"",IF(G3661&lt;='RETRATO 2027'!$K$5,"CONCLUÍDA",IF(F3661&lt;='RETRATO 2027'!$K$5,"EM ANDAMENTO","A INICIAR")))</f>
        <v/>
      </c>
    </row>
    <row r="3662" customFormat="false" ht="15" hidden="false" customHeight="false" outlineLevel="0" collapsed="false">
      <c r="M3662" s="2" t="str">
        <f aca="false">IF(C3662="","",IFERROR(INDEX($S$5:$S$304,MATCH(C3662,$R$5:$R$304,0))&amp;"","?"))</f>
        <v/>
      </c>
      <c r="N3662" s="2" t="str">
        <f aca="false"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 t="str">
        <f aca="false">IF(OR(F3662="",G3662=""),"",IF(G3662&lt;='RETRATO 2027'!$K$5,"CONCLUÍDA",IF(F3662&lt;='RETRATO 2027'!$K$5,"EM ANDAMENTO","A INICIAR")))</f>
        <v/>
      </c>
    </row>
    <row r="3663" customFormat="false" ht="15" hidden="false" customHeight="false" outlineLevel="0" collapsed="false">
      <c r="M3663" s="2" t="str">
        <f aca="false">IF(C3663="","",IFERROR(INDEX($S$5:$S$304,MATCH(C3663,$R$5:$R$304,0))&amp;"","?"))</f>
        <v/>
      </c>
      <c r="N3663" s="2" t="str">
        <f aca="false"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 t="str">
        <f aca="false">IF(OR(F3663="",G3663=""),"",IF(G3663&lt;='RETRATO 2027'!$K$5,"CONCLUÍDA",IF(F3663&lt;='RETRATO 2027'!$K$5,"EM ANDAMENTO","A INICIAR")))</f>
        <v/>
      </c>
    </row>
    <row r="3664" customFormat="false" ht="15" hidden="false" customHeight="false" outlineLevel="0" collapsed="false">
      <c r="M3664" s="2" t="str">
        <f aca="false">IF(C3664="","",IFERROR(INDEX($S$5:$S$304,MATCH(C3664,$R$5:$R$304,0))&amp;"","?"))</f>
        <v/>
      </c>
      <c r="N3664" s="2" t="str">
        <f aca="false"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 t="str">
        <f aca="false">IF(OR(F3664="",G3664=""),"",IF(G3664&lt;='RETRATO 2027'!$K$5,"CONCLUÍDA",IF(F3664&lt;='RETRATO 2027'!$K$5,"EM ANDAMENTO","A INICIAR")))</f>
        <v/>
      </c>
    </row>
    <row r="3665" customFormat="false" ht="15" hidden="false" customHeight="false" outlineLevel="0" collapsed="false">
      <c r="M3665" s="2" t="str">
        <f aca="false">IF(C3665="","",IFERROR(INDEX($S$5:$S$304,MATCH(C3665,$R$5:$R$304,0))&amp;"","?"))</f>
        <v/>
      </c>
      <c r="N3665" s="2" t="str">
        <f aca="false"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 t="str">
        <f aca="false">IF(OR(F3665="",G3665=""),"",IF(G3665&lt;='RETRATO 2027'!$K$5,"CONCLUÍDA",IF(F3665&lt;='RETRATO 2027'!$K$5,"EM ANDAMENTO","A INICIAR")))</f>
        <v/>
      </c>
    </row>
    <row r="3666" customFormat="false" ht="15" hidden="false" customHeight="false" outlineLevel="0" collapsed="false">
      <c r="M3666" s="2" t="str">
        <f aca="false">IF(C3666="","",IFERROR(INDEX($S$5:$S$304,MATCH(C3666,$R$5:$R$304,0))&amp;"","?"))</f>
        <v/>
      </c>
      <c r="N3666" s="2" t="str">
        <f aca="false"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 t="str">
        <f aca="false">IF(OR(F3666="",G3666=""),"",IF(G3666&lt;='RETRATO 2027'!$K$5,"CONCLUÍDA",IF(F3666&lt;='RETRATO 2027'!$K$5,"EM ANDAMENTO","A INICIAR")))</f>
        <v/>
      </c>
    </row>
    <row r="3667" customFormat="false" ht="15" hidden="false" customHeight="false" outlineLevel="0" collapsed="false">
      <c r="M3667" s="2" t="str">
        <f aca="false">IF(C3667="","",IFERROR(INDEX($S$5:$S$304,MATCH(C3667,$R$5:$R$304,0))&amp;"","?"))</f>
        <v/>
      </c>
      <c r="N3667" s="2" t="str">
        <f aca="false"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 t="str">
        <f aca="false">IF(OR(F3667="",G3667=""),"",IF(G3667&lt;='RETRATO 2027'!$K$5,"CONCLUÍDA",IF(F3667&lt;='RETRATO 2027'!$K$5,"EM ANDAMENTO","A INICIAR")))</f>
        <v/>
      </c>
    </row>
    <row r="3668" customFormat="false" ht="15" hidden="false" customHeight="false" outlineLevel="0" collapsed="false">
      <c r="M3668" s="2" t="str">
        <f aca="false">IF(C3668="","",IFERROR(INDEX($S$5:$S$304,MATCH(C3668,$R$5:$R$304,0))&amp;"","?"))</f>
        <v/>
      </c>
      <c r="N3668" s="2" t="str">
        <f aca="false"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 t="str">
        <f aca="false">IF(OR(F3668="",G3668=""),"",IF(G3668&lt;='RETRATO 2027'!$K$5,"CONCLUÍDA",IF(F3668&lt;='RETRATO 2027'!$K$5,"EM ANDAMENTO","A INICIAR")))</f>
        <v/>
      </c>
    </row>
    <row r="3669" customFormat="false" ht="15" hidden="false" customHeight="false" outlineLevel="0" collapsed="false">
      <c r="M3669" s="2" t="str">
        <f aca="false">IF(C3669="","",IFERROR(INDEX($S$5:$S$304,MATCH(C3669,$R$5:$R$304,0))&amp;"","?"))</f>
        <v/>
      </c>
      <c r="N3669" s="2" t="str">
        <f aca="false"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 t="str">
        <f aca="false">IF(OR(F3669="",G3669=""),"",IF(G3669&lt;='RETRATO 2027'!$K$5,"CONCLUÍDA",IF(F3669&lt;='RETRATO 2027'!$K$5,"EM ANDAMENTO","A INICIAR")))</f>
        <v/>
      </c>
    </row>
    <row r="3670" customFormat="false" ht="15" hidden="false" customHeight="false" outlineLevel="0" collapsed="false">
      <c r="M3670" s="2" t="str">
        <f aca="false">IF(C3670="","",IFERROR(INDEX($S$5:$S$304,MATCH(C3670,$R$5:$R$304,0))&amp;"","?"))</f>
        <v/>
      </c>
      <c r="N3670" s="2" t="str">
        <f aca="false"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 t="str">
        <f aca="false">IF(OR(F3670="",G3670=""),"",IF(G3670&lt;='RETRATO 2027'!$K$5,"CONCLUÍDA",IF(F3670&lt;='RETRATO 2027'!$K$5,"EM ANDAMENTO","A INICIAR")))</f>
        <v/>
      </c>
    </row>
    <row r="3671" customFormat="false" ht="15" hidden="false" customHeight="false" outlineLevel="0" collapsed="false">
      <c r="M3671" s="2" t="str">
        <f aca="false">IF(C3671="","",IFERROR(INDEX($S$5:$S$304,MATCH(C3671,$R$5:$R$304,0))&amp;"","?"))</f>
        <v/>
      </c>
      <c r="N3671" s="2" t="str">
        <f aca="false"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 t="str">
        <f aca="false">IF(OR(F3671="",G3671=""),"",IF(G3671&lt;='RETRATO 2027'!$K$5,"CONCLUÍDA",IF(F3671&lt;='RETRATO 2027'!$K$5,"EM ANDAMENTO","A INICIAR")))</f>
        <v/>
      </c>
    </row>
    <row r="3672" customFormat="false" ht="15" hidden="false" customHeight="false" outlineLevel="0" collapsed="false">
      <c r="M3672" s="2" t="str">
        <f aca="false">IF(C3672="","",IFERROR(INDEX($S$5:$S$304,MATCH(C3672,$R$5:$R$304,0))&amp;"","?"))</f>
        <v/>
      </c>
      <c r="N3672" s="2" t="str">
        <f aca="false"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 t="str">
        <f aca="false">IF(OR(F3672="",G3672=""),"",IF(G3672&lt;='RETRATO 2027'!$K$5,"CONCLUÍDA",IF(F3672&lt;='RETRATO 2027'!$K$5,"EM ANDAMENTO","A INICIAR")))</f>
        <v/>
      </c>
    </row>
    <row r="3673" customFormat="false" ht="15" hidden="false" customHeight="false" outlineLevel="0" collapsed="false">
      <c r="M3673" s="2" t="str">
        <f aca="false">IF(C3673="","",IFERROR(INDEX($S$5:$S$304,MATCH(C3673,$R$5:$R$304,0))&amp;"","?"))</f>
        <v/>
      </c>
      <c r="N3673" s="2" t="str">
        <f aca="false"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 t="str">
        <f aca="false">IF(OR(F3673="",G3673=""),"",IF(G3673&lt;='RETRATO 2027'!$K$5,"CONCLUÍDA",IF(F3673&lt;='RETRATO 2027'!$K$5,"EM ANDAMENTO","A INICIAR")))</f>
        <v/>
      </c>
    </row>
    <row r="3674" customFormat="false" ht="15" hidden="false" customHeight="false" outlineLevel="0" collapsed="false">
      <c r="M3674" s="2" t="str">
        <f aca="false">IF(C3674="","",IFERROR(INDEX($S$5:$S$304,MATCH(C3674,$R$5:$R$304,0))&amp;"","?"))</f>
        <v/>
      </c>
      <c r="N3674" s="2" t="str">
        <f aca="false"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 t="str">
        <f aca="false">IF(OR(F3674="",G3674=""),"",IF(G3674&lt;='RETRATO 2027'!$K$5,"CONCLUÍDA",IF(F3674&lt;='RETRATO 2027'!$K$5,"EM ANDAMENTO","A INICIAR")))</f>
        <v/>
      </c>
    </row>
    <row r="3675" customFormat="false" ht="15" hidden="false" customHeight="false" outlineLevel="0" collapsed="false">
      <c r="M3675" s="2" t="str">
        <f aca="false">IF(C3675="","",IFERROR(INDEX($S$5:$S$304,MATCH(C3675,$R$5:$R$304,0))&amp;"","?"))</f>
        <v/>
      </c>
      <c r="N3675" s="2" t="str">
        <f aca="false"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 t="str">
        <f aca="false">IF(OR(F3675="",G3675=""),"",IF(G3675&lt;='RETRATO 2027'!$K$5,"CONCLUÍDA",IF(F3675&lt;='RETRATO 2027'!$K$5,"EM ANDAMENTO","A INICIAR")))</f>
        <v/>
      </c>
    </row>
    <row r="3676" customFormat="false" ht="15" hidden="false" customHeight="false" outlineLevel="0" collapsed="false">
      <c r="M3676" s="2" t="str">
        <f aca="false">IF(C3676="","",IFERROR(INDEX($S$5:$S$304,MATCH(C3676,$R$5:$R$304,0))&amp;"","?"))</f>
        <v/>
      </c>
      <c r="N3676" s="2" t="str">
        <f aca="false"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 t="str">
        <f aca="false">IF(OR(F3676="",G3676=""),"",IF(G3676&lt;='RETRATO 2027'!$K$5,"CONCLUÍDA",IF(F3676&lt;='RETRATO 2027'!$K$5,"EM ANDAMENTO","A INICIAR")))</f>
        <v/>
      </c>
    </row>
    <row r="3677" customFormat="false" ht="15" hidden="false" customHeight="false" outlineLevel="0" collapsed="false">
      <c r="M3677" s="2" t="str">
        <f aca="false">IF(C3677="","",IFERROR(INDEX($S$5:$S$304,MATCH(C3677,$R$5:$R$304,0))&amp;"","?"))</f>
        <v/>
      </c>
      <c r="N3677" s="2" t="str">
        <f aca="false"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 t="str">
        <f aca="false">IF(OR(F3677="",G3677=""),"",IF(G3677&lt;='RETRATO 2027'!$K$5,"CONCLUÍDA",IF(F3677&lt;='RETRATO 2027'!$K$5,"EM ANDAMENTO","A INICIAR")))</f>
        <v/>
      </c>
    </row>
    <row r="3678" customFormat="false" ht="15" hidden="false" customHeight="false" outlineLevel="0" collapsed="false">
      <c r="M3678" s="2" t="str">
        <f aca="false">IF(C3678="","",IFERROR(INDEX($S$5:$S$304,MATCH(C3678,$R$5:$R$304,0))&amp;"","?"))</f>
        <v/>
      </c>
      <c r="N3678" s="2" t="str">
        <f aca="false"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 t="str">
        <f aca="false">IF(OR(F3678="",G3678=""),"",IF(G3678&lt;='RETRATO 2027'!$K$5,"CONCLUÍDA",IF(F3678&lt;='RETRATO 2027'!$K$5,"EM ANDAMENTO","A INICIAR")))</f>
        <v/>
      </c>
    </row>
    <row r="3679" customFormat="false" ht="15" hidden="false" customHeight="false" outlineLevel="0" collapsed="false">
      <c r="M3679" s="2" t="str">
        <f aca="false">IF(C3679="","",IFERROR(INDEX($S$5:$S$304,MATCH(C3679,$R$5:$R$304,0))&amp;"","?"))</f>
        <v/>
      </c>
      <c r="N3679" s="2" t="str">
        <f aca="false"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 t="str">
        <f aca="false">IF(OR(F3679="",G3679=""),"",IF(G3679&lt;='RETRATO 2027'!$K$5,"CONCLUÍDA",IF(F3679&lt;='RETRATO 2027'!$K$5,"EM ANDAMENTO","A INICIAR")))</f>
        <v/>
      </c>
    </row>
    <row r="3680" customFormat="false" ht="15" hidden="false" customHeight="false" outlineLevel="0" collapsed="false">
      <c r="M3680" s="2" t="str">
        <f aca="false">IF(C3680="","",IFERROR(INDEX($S$5:$S$304,MATCH(C3680,$R$5:$R$304,0))&amp;"","?"))</f>
        <v/>
      </c>
      <c r="N3680" s="2" t="str">
        <f aca="false"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 t="str">
        <f aca="false">IF(OR(F3680="",G3680=""),"",IF(G3680&lt;='RETRATO 2027'!$K$5,"CONCLUÍDA",IF(F3680&lt;='RETRATO 2027'!$K$5,"EM ANDAMENTO","A INICIAR")))</f>
        <v/>
      </c>
    </row>
    <row r="3681" customFormat="false" ht="15" hidden="false" customHeight="false" outlineLevel="0" collapsed="false">
      <c r="M3681" s="2" t="str">
        <f aca="false">IF(C3681="","",IFERROR(INDEX($S$5:$S$304,MATCH(C3681,$R$5:$R$304,0))&amp;"","?"))</f>
        <v/>
      </c>
      <c r="N3681" s="2" t="str">
        <f aca="false"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 t="str">
        <f aca="false">IF(OR(F3681="",G3681=""),"",IF(G3681&lt;='RETRATO 2027'!$K$5,"CONCLUÍDA",IF(F3681&lt;='RETRATO 2027'!$K$5,"EM ANDAMENTO","A INICIAR")))</f>
        <v/>
      </c>
    </row>
    <row r="3682" customFormat="false" ht="15" hidden="false" customHeight="false" outlineLevel="0" collapsed="false">
      <c r="M3682" s="2" t="str">
        <f aca="false">IF(C3682="","",IFERROR(INDEX($S$5:$S$304,MATCH(C3682,$R$5:$R$304,0))&amp;"","?"))</f>
        <v/>
      </c>
      <c r="N3682" s="2" t="str">
        <f aca="false"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 t="str">
        <f aca="false">IF(OR(F3682="",G3682=""),"",IF(G3682&lt;='RETRATO 2027'!$K$5,"CONCLUÍDA",IF(F3682&lt;='RETRATO 2027'!$K$5,"EM ANDAMENTO","A INICIAR")))</f>
        <v/>
      </c>
    </row>
    <row r="3683" customFormat="false" ht="15" hidden="false" customHeight="false" outlineLevel="0" collapsed="false">
      <c r="M3683" s="2" t="str">
        <f aca="false">IF(C3683="","",IFERROR(INDEX($S$5:$S$304,MATCH(C3683,$R$5:$R$304,0))&amp;"","?"))</f>
        <v/>
      </c>
      <c r="N3683" s="2" t="str">
        <f aca="false"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 t="str">
        <f aca="false">IF(OR(F3683="",G3683=""),"",IF(G3683&lt;='RETRATO 2027'!$K$5,"CONCLUÍDA",IF(F3683&lt;='RETRATO 2027'!$K$5,"EM ANDAMENTO","A INICIAR")))</f>
        <v/>
      </c>
    </row>
    <row r="3684" customFormat="false" ht="15" hidden="false" customHeight="false" outlineLevel="0" collapsed="false">
      <c r="M3684" s="2" t="str">
        <f aca="false">IF(C3684="","",IFERROR(INDEX($S$5:$S$304,MATCH(C3684,$R$5:$R$304,0))&amp;"","?"))</f>
        <v/>
      </c>
      <c r="N3684" s="2" t="str">
        <f aca="false"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 t="str">
        <f aca="false">IF(OR(F3684="",G3684=""),"",IF(G3684&lt;='RETRATO 2027'!$K$5,"CONCLUÍDA",IF(F3684&lt;='RETRATO 2027'!$K$5,"EM ANDAMENTO","A INICIAR")))</f>
        <v/>
      </c>
    </row>
    <row r="3685" customFormat="false" ht="15" hidden="false" customHeight="false" outlineLevel="0" collapsed="false">
      <c r="M3685" s="2" t="str">
        <f aca="false">IF(C3685="","",IFERROR(INDEX($S$5:$S$304,MATCH(C3685,$R$5:$R$304,0))&amp;"","?"))</f>
        <v/>
      </c>
      <c r="N3685" s="2" t="str">
        <f aca="false"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 t="str">
        <f aca="false">IF(OR(F3685="",G3685=""),"",IF(G3685&lt;='RETRATO 2027'!$K$5,"CONCLUÍDA",IF(F3685&lt;='RETRATO 2027'!$K$5,"EM ANDAMENTO","A INICIAR")))</f>
        <v/>
      </c>
    </row>
    <row r="3686" customFormat="false" ht="15" hidden="false" customHeight="false" outlineLevel="0" collapsed="false">
      <c r="M3686" s="2" t="str">
        <f aca="false">IF(C3686="","",IFERROR(INDEX($S$5:$S$304,MATCH(C3686,$R$5:$R$304,0))&amp;"","?"))</f>
        <v/>
      </c>
      <c r="N3686" s="2" t="str">
        <f aca="false"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 t="str">
        <f aca="false">IF(OR(F3686="",G3686=""),"",IF(G3686&lt;='RETRATO 2027'!$K$5,"CONCLUÍDA",IF(F3686&lt;='RETRATO 2027'!$K$5,"EM ANDAMENTO","A INICIAR")))</f>
        <v/>
      </c>
    </row>
    <row r="3687" customFormat="false" ht="15" hidden="false" customHeight="false" outlineLevel="0" collapsed="false">
      <c r="M3687" s="2" t="str">
        <f aca="false">IF(C3687="","",IFERROR(INDEX($S$5:$S$304,MATCH(C3687,$R$5:$R$304,0))&amp;"","?"))</f>
        <v/>
      </c>
      <c r="N3687" s="2" t="str">
        <f aca="false"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 t="str">
        <f aca="false">IF(OR(F3687="",G3687=""),"",IF(G3687&lt;='RETRATO 2027'!$K$5,"CONCLUÍDA",IF(F3687&lt;='RETRATO 2027'!$K$5,"EM ANDAMENTO","A INICIAR")))</f>
        <v/>
      </c>
    </row>
    <row r="3688" customFormat="false" ht="15" hidden="false" customHeight="false" outlineLevel="0" collapsed="false">
      <c r="M3688" s="2" t="str">
        <f aca="false">IF(C3688="","",IFERROR(INDEX($S$5:$S$304,MATCH(C3688,$R$5:$R$304,0))&amp;"","?"))</f>
        <v/>
      </c>
      <c r="N3688" s="2" t="str">
        <f aca="false"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 t="str">
        <f aca="false">IF(OR(F3688="",G3688=""),"",IF(G3688&lt;='RETRATO 2027'!$K$5,"CONCLUÍDA",IF(F3688&lt;='RETRATO 2027'!$K$5,"EM ANDAMENTO","A INICIAR")))</f>
        <v/>
      </c>
    </row>
    <row r="3689" customFormat="false" ht="15" hidden="false" customHeight="false" outlineLevel="0" collapsed="false">
      <c r="M3689" s="2" t="str">
        <f aca="false">IF(C3689="","",IFERROR(INDEX($S$5:$S$304,MATCH(C3689,$R$5:$R$304,0))&amp;"","?"))</f>
        <v/>
      </c>
      <c r="N3689" s="2" t="str">
        <f aca="false"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 t="str">
        <f aca="false">IF(OR(F3689="",G3689=""),"",IF(G3689&lt;='RETRATO 2027'!$K$5,"CONCLUÍDA",IF(F3689&lt;='RETRATO 2027'!$K$5,"EM ANDAMENTO","A INICIAR")))</f>
        <v/>
      </c>
    </row>
    <row r="3690" customFormat="false" ht="15" hidden="false" customHeight="false" outlineLevel="0" collapsed="false">
      <c r="M3690" s="2" t="str">
        <f aca="false">IF(C3690="","",IFERROR(INDEX($S$5:$S$304,MATCH(C3690,$R$5:$R$304,0))&amp;"","?"))</f>
        <v/>
      </c>
      <c r="N3690" s="2" t="str">
        <f aca="false"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 t="str">
        <f aca="false">IF(OR(F3690="",G3690=""),"",IF(G3690&lt;='RETRATO 2027'!$K$5,"CONCLUÍDA",IF(F3690&lt;='RETRATO 2027'!$K$5,"EM ANDAMENTO","A INICIAR")))</f>
        <v/>
      </c>
    </row>
    <row r="3691" customFormat="false" ht="15" hidden="false" customHeight="false" outlineLevel="0" collapsed="false">
      <c r="M3691" s="2" t="str">
        <f aca="false">IF(C3691="","",IFERROR(INDEX($S$5:$S$304,MATCH(C3691,$R$5:$R$304,0))&amp;"","?"))</f>
        <v/>
      </c>
      <c r="N3691" s="2" t="str">
        <f aca="false"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 t="str">
        <f aca="false">IF(OR(F3691="",G3691=""),"",IF(G3691&lt;='RETRATO 2027'!$K$5,"CONCLUÍDA",IF(F3691&lt;='RETRATO 2027'!$K$5,"EM ANDAMENTO","A INICIAR")))</f>
        <v/>
      </c>
    </row>
    <row r="3692" customFormat="false" ht="15" hidden="false" customHeight="false" outlineLevel="0" collapsed="false">
      <c r="M3692" s="2" t="str">
        <f aca="false">IF(C3692="","",IFERROR(INDEX($S$5:$S$304,MATCH(C3692,$R$5:$R$304,0))&amp;"","?"))</f>
        <v/>
      </c>
      <c r="N3692" s="2" t="str">
        <f aca="false"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 t="str">
        <f aca="false">IF(OR(F3692="",G3692=""),"",IF(G3692&lt;='RETRATO 2027'!$K$5,"CONCLUÍDA",IF(F3692&lt;='RETRATO 2027'!$K$5,"EM ANDAMENTO","A INICIAR")))</f>
        <v/>
      </c>
    </row>
    <row r="3693" customFormat="false" ht="15" hidden="false" customHeight="false" outlineLevel="0" collapsed="false">
      <c r="M3693" s="2" t="str">
        <f aca="false">IF(C3693="","",IFERROR(INDEX($S$5:$S$304,MATCH(C3693,$R$5:$R$304,0))&amp;"","?"))</f>
        <v/>
      </c>
      <c r="N3693" s="2" t="str">
        <f aca="false"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 t="str">
        <f aca="false">IF(OR(F3693="",G3693=""),"",IF(G3693&lt;='RETRATO 2027'!$K$5,"CONCLUÍDA",IF(F3693&lt;='RETRATO 2027'!$K$5,"EM ANDAMENTO","A INICIAR")))</f>
        <v/>
      </c>
    </row>
    <row r="3694" customFormat="false" ht="15" hidden="false" customHeight="false" outlineLevel="0" collapsed="false">
      <c r="M3694" s="2" t="str">
        <f aca="false">IF(C3694="","",IFERROR(INDEX($S$5:$S$304,MATCH(C3694,$R$5:$R$304,0))&amp;"","?"))</f>
        <v/>
      </c>
      <c r="N3694" s="2" t="str">
        <f aca="false"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 t="str">
        <f aca="false">IF(OR(F3694="",G3694=""),"",IF(G3694&lt;='RETRATO 2027'!$K$5,"CONCLUÍDA",IF(F3694&lt;='RETRATO 2027'!$K$5,"EM ANDAMENTO","A INICIAR")))</f>
        <v/>
      </c>
    </row>
    <row r="3695" customFormat="false" ht="15" hidden="false" customHeight="false" outlineLevel="0" collapsed="false">
      <c r="M3695" s="2" t="str">
        <f aca="false">IF(C3695="","",IFERROR(INDEX($S$5:$S$304,MATCH(C3695,$R$5:$R$304,0))&amp;"","?"))</f>
        <v/>
      </c>
      <c r="N3695" s="2" t="str">
        <f aca="false"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 t="str">
        <f aca="false">IF(OR(F3695="",G3695=""),"",IF(G3695&lt;='RETRATO 2027'!$K$5,"CONCLUÍDA",IF(F3695&lt;='RETRATO 2027'!$K$5,"EM ANDAMENTO","A INICIAR")))</f>
        <v/>
      </c>
    </row>
    <row r="3696" customFormat="false" ht="15" hidden="false" customHeight="false" outlineLevel="0" collapsed="false">
      <c r="M3696" s="2" t="str">
        <f aca="false">IF(C3696="","",IFERROR(INDEX($S$5:$S$304,MATCH(C3696,$R$5:$R$304,0))&amp;"","?"))</f>
        <v/>
      </c>
      <c r="N3696" s="2" t="str">
        <f aca="false"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 t="str">
        <f aca="false">IF(OR(F3696="",G3696=""),"",IF(G3696&lt;='RETRATO 2027'!$K$5,"CONCLUÍDA",IF(F3696&lt;='RETRATO 2027'!$K$5,"EM ANDAMENTO","A INICIAR")))</f>
        <v/>
      </c>
    </row>
    <row r="3697" customFormat="false" ht="15" hidden="false" customHeight="false" outlineLevel="0" collapsed="false">
      <c r="M3697" s="2" t="str">
        <f aca="false">IF(C3697="","",IFERROR(INDEX($S$5:$S$304,MATCH(C3697,$R$5:$R$304,0))&amp;"","?"))</f>
        <v/>
      </c>
      <c r="N3697" s="2" t="str">
        <f aca="false"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 t="str">
        <f aca="false">IF(OR(F3697="",G3697=""),"",IF(G3697&lt;='RETRATO 2027'!$K$5,"CONCLUÍDA",IF(F3697&lt;='RETRATO 2027'!$K$5,"EM ANDAMENTO","A INICIAR")))</f>
        <v/>
      </c>
    </row>
    <row r="3698" customFormat="false" ht="15" hidden="false" customHeight="false" outlineLevel="0" collapsed="false">
      <c r="M3698" s="2" t="str">
        <f aca="false">IF(C3698="","",IFERROR(INDEX($S$5:$S$304,MATCH(C3698,$R$5:$R$304,0))&amp;"","?"))</f>
        <v/>
      </c>
      <c r="N3698" s="2" t="str">
        <f aca="false"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 t="str">
        <f aca="false">IF(OR(F3698="",G3698=""),"",IF(G3698&lt;='RETRATO 2027'!$K$5,"CONCLUÍDA",IF(F3698&lt;='RETRATO 2027'!$K$5,"EM ANDAMENTO","A INICIAR")))</f>
        <v/>
      </c>
    </row>
    <row r="3699" customFormat="false" ht="15" hidden="false" customHeight="false" outlineLevel="0" collapsed="false">
      <c r="M3699" s="2" t="str">
        <f aca="false">IF(C3699="","",IFERROR(INDEX($S$5:$S$304,MATCH(C3699,$R$5:$R$304,0))&amp;"","?"))</f>
        <v/>
      </c>
      <c r="N3699" s="2" t="str">
        <f aca="false"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 t="str">
        <f aca="false">IF(OR(F3699="",G3699=""),"",IF(G3699&lt;='RETRATO 2027'!$K$5,"CONCLUÍDA",IF(F3699&lt;='RETRATO 2027'!$K$5,"EM ANDAMENTO","A INICIAR")))</f>
        <v/>
      </c>
    </row>
    <row r="3700" customFormat="false" ht="15" hidden="false" customHeight="false" outlineLevel="0" collapsed="false">
      <c r="M3700" s="2" t="str">
        <f aca="false">IF(C3700="","",IFERROR(INDEX($S$5:$S$304,MATCH(C3700,$R$5:$R$304,0))&amp;"","?"))</f>
        <v/>
      </c>
      <c r="N3700" s="2" t="str">
        <f aca="false"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 t="str">
        <f aca="false">IF(OR(F3700="",G3700=""),"",IF(G3700&lt;='RETRATO 2027'!$K$5,"CONCLUÍDA",IF(F3700&lt;='RETRATO 2027'!$K$5,"EM ANDAMENTO","A INICIAR")))</f>
        <v/>
      </c>
    </row>
    <row r="3701" customFormat="false" ht="15" hidden="false" customHeight="false" outlineLevel="0" collapsed="false">
      <c r="M3701" s="2" t="str">
        <f aca="false">IF(C3701="","",IFERROR(INDEX($S$5:$S$304,MATCH(C3701,$R$5:$R$304,0))&amp;"","?"))</f>
        <v/>
      </c>
      <c r="N3701" s="2" t="str">
        <f aca="false"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 t="str">
        <f aca="false">IF(OR(F3701="",G3701=""),"",IF(G3701&lt;='RETRATO 2027'!$K$5,"CONCLUÍDA",IF(F3701&lt;='RETRATO 2027'!$K$5,"EM ANDAMENTO","A INICIAR")))</f>
        <v/>
      </c>
    </row>
    <row r="3702" customFormat="false" ht="15" hidden="false" customHeight="false" outlineLevel="0" collapsed="false">
      <c r="M3702" s="2" t="str">
        <f aca="false">IF(C3702="","",IFERROR(INDEX($S$5:$S$304,MATCH(C3702,$R$5:$R$304,0))&amp;"","?"))</f>
        <v/>
      </c>
      <c r="N3702" s="2" t="str">
        <f aca="false"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 t="str">
        <f aca="false">IF(OR(F3702="",G3702=""),"",IF(G3702&lt;='RETRATO 2027'!$K$5,"CONCLUÍDA",IF(F3702&lt;='RETRATO 2027'!$K$5,"EM ANDAMENTO","A INICIAR")))</f>
        <v/>
      </c>
    </row>
    <row r="3703" customFormat="false" ht="15" hidden="false" customHeight="false" outlineLevel="0" collapsed="false">
      <c r="M3703" s="2" t="str">
        <f aca="false">IF(C3703="","",IFERROR(INDEX($S$5:$S$304,MATCH(C3703,$R$5:$R$304,0))&amp;"","?"))</f>
        <v/>
      </c>
      <c r="N3703" s="2" t="str">
        <f aca="false"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 t="str">
        <f aca="false">IF(OR(F3703="",G3703=""),"",IF(G3703&lt;='RETRATO 2027'!$K$5,"CONCLUÍDA",IF(F3703&lt;='RETRATO 2027'!$K$5,"EM ANDAMENTO","A INICIAR")))</f>
        <v/>
      </c>
    </row>
    <row r="3704" customFormat="false" ht="15" hidden="false" customHeight="false" outlineLevel="0" collapsed="false">
      <c r="M3704" s="2" t="str">
        <f aca="false">IF(C3704="","",IFERROR(INDEX($S$5:$S$304,MATCH(C3704,$R$5:$R$304,0))&amp;"","?"))</f>
        <v/>
      </c>
      <c r="N3704" s="2" t="str">
        <f aca="false"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 t="str">
        <f aca="false">IF(OR(F3704="",G3704=""),"",IF(G3704&lt;='RETRATO 2027'!$K$5,"CONCLUÍDA",IF(F3704&lt;='RETRATO 2027'!$K$5,"EM ANDAMENTO","A INICIAR")))</f>
        <v/>
      </c>
    </row>
    <row r="3705" customFormat="false" ht="15" hidden="false" customHeight="false" outlineLevel="0" collapsed="false">
      <c r="M3705" s="2" t="str">
        <f aca="false">IF(C3705="","",IFERROR(INDEX($S$5:$S$304,MATCH(C3705,$R$5:$R$304,0))&amp;"","?"))</f>
        <v/>
      </c>
      <c r="N3705" s="2" t="str">
        <f aca="false"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 t="str">
        <f aca="false">IF(OR(F3705="",G3705=""),"",IF(G3705&lt;='RETRATO 2027'!$K$5,"CONCLUÍDA",IF(F3705&lt;='RETRATO 2027'!$K$5,"EM ANDAMENTO","A INICIAR")))</f>
        <v/>
      </c>
    </row>
    <row r="3706" customFormat="false" ht="15" hidden="false" customHeight="false" outlineLevel="0" collapsed="false">
      <c r="M3706" s="2" t="str">
        <f aca="false">IF(C3706="","",IFERROR(INDEX($S$5:$S$304,MATCH(C3706,$R$5:$R$304,0))&amp;"","?"))</f>
        <v/>
      </c>
      <c r="N3706" s="2" t="str">
        <f aca="false"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 t="str">
        <f aca="false">IF(OR(F3706="",G3706=""),"",IF(G3706&lt;='RETRATO 2027'!$K$5,"CONCLUÍDA",IF(F3706&lt;='RETRATO 2027'!$K$5,"EM ANDAMENTO","A INICIAR")))</f>
        <v/>
      </c>
    </row>
    <row r="3707" customFormat="false" ht="15" hidden="false" customHeight="false" outlineLevel="0" collapsed="false">
      <c r="M3707" s="2" t="str">
        <f aca="false">IF(C3707="","",IFERROR(INDEX($S$5:$S$304,MATCH(C3707,$R$5:$R$304,0))&amp;"","?"))</f>
        <v/>
      </c>
      <c r="N3707" s="2" t="str">
        <f aca="false"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 t="str">
        <f aca="false">IF(OR(F3707="",G3707=""),"",IF(G3707&lt;='RETRATO 2027'!$K$5,"CONCLUÍDA",IF(F3707&lt;='RETRATO 2027'!$K$5,"EM ANDAMENTO","A INICIAR")))</f>
        <v/>
      </c>
    </row>
    <row r="3708" customFormat="false" ht="15" hidden="false" customHeight="false" outlineLevel="0" collapsed="false">
      <c r="M3708" s="2" t="str">
        <f aca="false">IF(C3708="","",IFERROR(INDEX($S$5:$S$304,MATCH(C3708,$R$5:$R$304,0))&amp;"","?"))</f>
        <v/>
      </c>
      <c r="N3708" s="2" t="str">
        <f aca="false"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 t="str">
        <f aca="false">IF(OR(F3708="",G3708=""),"",IF(G3708&lt;='RETRATO 2027'!$K$5,"CONCLUÍDA",IF(F3708&lt;='RETRATO 2027'!$K$5,"EM ANDAMENTO","A INICIAR")))</f>
        <v/>
      </c>
    </row>
    <row r="3709" customFormat="false" ht="15" hidden="false" customHeight="false" outlineLevel="0" collapsed="false">
      <c r="M3709" s="2" t="str">
        <f aca="false">IF(C3709="","",IFERROR(INDEX($S$5:$S$304,MATCH(C3709,$R$5:$R$304,0))&amp;"","?"))</f>
        <v/>
      </c>
      <c r="N3709" s="2" t="str">
        <f aca="false"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 t="str">
        <f aca="false">IF(OR(F3709="",G3709=""),"",IF(G3709&lt;='RETRATO 2027'!$K$5,"CONCLUÍDA",IF(F3709&lt;='RETRATO 2027'!$K$5,"EM ANDAMENTO","A INICIAR")))</f>
        <v/>
      </c>
    </row>
    <row r="3710" customFormat="false" ht="15" hidden="false" customHeight="false" outlineLevel="0" collapsed="false">
      <c r="M3710" s="2" t="str">
        <f aca="false">IF(C3710="","",IFERROR(INDEX($S$5:$S$304,MATCH(C3710,$R$5:$R$304,0))&amp;"","?"))</f>
        <v/>
      </c>
      <c r="N3710" s="2" t="str">
        <f aca="false"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 t="str">
        <f aca="false">IF(OR(F3710="",G3710=""),"",IF(G3710&lt;='RETRATO 2027'!$K$5,"CONCLUÍDA",IF(F3710&lt;='RETRATO 2027'!$K$5,"EM ANDAMENTO","A INICIAR")))</f>
        <v/>
      </c>
    </row>
    <row r="3711" customFormat="false" ht="15" hidden="false" customHeight="false" outlineLevel="0" collapsed="false">
      <c r="M3711" s="2" t="str">
        <f aca="false">IF(C3711="","",IFERROR(INDEX($S$5:$S$304,MATCH(C3711,$R$5:$R$304,0))&amp;"","?"))</f>
        <v/>
      </c>
      <c r="N3711" s="2" t="str">
        <f aca="false"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 t="str">
        <f aca="false">IF(OR(F3711="",G3711=""),"",IF(G3711&lt;='RETRATO 2027'!$K$5,"CONCLUÍDA",IF(F3711&lt;='RETRATO 2027'!$K$5,"EM ANDAMENTO","A INICIAR")))</f>
        <v/>
      </c>
    </row>
    <row r="3712" customFormat="false" ht="15" hidden="false" customHeight="false" outlineLevel="0" collapsed="false">
      <c r="M3712" s="2" t="str">
        <f aca="false">IF(C3712="","",IFERROR(INDEX($S$5:$S$304,MATCH(C3712,$R$5:$R$304,0))&amp;"","?"))</f>
        <v/>
      </c>
      <c r="N3712" s="2" t="str">
        <f aca="false"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 t="str">
        <f aca="false">IF(OR(F3712="",G3712=""),"",IF(G3712&lt;='RETRATO 2027'!$K$5,"CONCLUÍDA",IF(F3712&lt;='RETRATO 2027'!$K$5,"EM ANDAMENTO","A INICIAR")))</f>
        <v/>
      </c>
    </row>
    <row r="3713" customFormat="false" ht="15" hidden="false" customHeight="false" outlineLevel="0" collapsed="false">
      <c r="M3713" s="2" t="str">
        <f aca="false">IF(C3713="","",IFERROR(INDEX($S$5:$S$304,MATCH(C3713,$R$5:$R$304,0))&amp;"","?"))</f>
        <v/>
      </c>
      <c r="N3713" s="2" t="str">
        <f aca="false"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 t="str">
        <f aca="false">IF(OR(F3713="",G3713=""),"",IF(G3713&lt;='RETRATO 2027'!$K$5,"CONCLUÍDA",IF(F3713&lt;='RETRATO 2027'!$K$5,"EM ANDAMENTO","A INICIAR")))</f>
        <v/>
      </c>
    </row>
    <row r="3714" customFormat="false" ht="15" hidden="false" customHeight="false" outlineLevel="0" collapsed="false">
      <c r="M3714" s="2" t="str">
        <f aca="false">IF(C3714="","",IFERROR(INDEX($S$5:$S$304,MATCH(C3714,$R$5:$R$304,0))&amp;"","?"))</f>
        <v/>
      </c>
      <c r="N3714" s="2" t="str">
        <f aca="false"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 t="str">
        <f aca="false">IF(OR(F3714="",G3714=""),"",IF(G3714&lt;='RETRATO 2027'!$K$5,"CONCLUÍDA",IF(F3714&lt;='RETRATO 2027'!$K$5,"EM ANDAMENTO","A INICIAR")))</f>
        <v/>
      </c>
    </row>
    <row r="3715" customFormat="false" ht="15" hidden="false" customHeight="false" outlineLevel="0" collapsed="false">
      <c r="M3715" s="2" t="str">
        <f aca="false">IF(C3715="","",IFERROR(INDEX($S$5:$S$304,MATCH(C3715,$R$5:$R$304,0))&amp;"","?"))</f>
        <v/>
      </c>
      <c r="N3715" s="2" t="str">
        <f aca="false"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 t="str">
        <f aca="false">IF(OR(F3715="",G3715=""),"",IF(G3715&lt;='RETRATO 2027'!$K$5,"CONCLUÍDA",IF(F3715&lt;='RETRATO 2027'!$K$5,"EM ANDAMENTO","A INICIAR")))</f>
        <v/>
      </c>
    </row>
    <row r="3716" customFormat="false" ht="15" hidden="false" customHeight="false" outlineLevel="0" collapsed="false">
      <c r="M3716" s="2" t="str">
        <f aca="false">IF(C3716="","",IFERROR(INDEX($S$5:$S$304,MATCH(C3716,$R$5:$R$304,0))&amp;"","?"))</f>
        <v/>
      </c>
      <c r="N3716" s="2" t="str">
        <f aca="false"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 t="str">
        <f aca="false">IF(OR(F3716="",G3716=""),"",IF(G3716&lt;='RETRATO 2027'!$K$5,"CONCLUÍDA",IF(F3716&lt;='RETRATO 2027'!$K$5,"EM ANDAMENTO","A INICIAR")))</f>
        <v/>
      </c>
    </row>
    <row r="3717" customFormat="false" ht="15" hidden="false" customHeight="false" outlineLevel="0" collapsed="false">
      <c r="M3717" s="2" t="str">
        <f aca="false">IF(C3717="","",IFERROR(INDEX($S$5:$S$304,MATCH(C3717,$R$5:$R$304,0))&amp;"","?"))</f>
        <v/>
      </c>
      <c r="N3717" s="2" t="str">
        <f aca="false"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 t="str">
        <f aca="false">IF(OR(F3717="",G3717=""),"",IF(G3717&lt;='RETRATO 2027'!$K$5,"CONCLUÍDA",IF(F3717&lt;='RETRATO 2027'!$K$5,"EM ANDAMENTO","A INICIAR")))</f>
        <v/>
      </c>
    </row>
    <row r="3718" customFormat="false" ht="15" hidden="false" customHeight="false" outlineLevel="0" collapsed="false">
      <c r="M3718" s="2" t="str">
        <f aca="false">IF(C3718="","",IFERROR(INDEX($S$5:$S$304,MATCH(C3718,$R$5:$R$304,0))&amp;"","?"))</f>
        <v/>
      </c>
      <c r="N3718" s="2" t="str">
        <f aca="false"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 t="str">
        <f aca="false">IF(OR(F3718="",G3718=""),"",IF(G3718&lt;='RETRATO 2027'!$K$5,"CONCLUÍDA",IF(F3718&lt;='RETRATO 2027'!$K$5,"EM ANDAMENTO","A INICIAR")))</f>
        <v/>
      </c>
    </row>
    <row r="3719" customFormat="false" ht="15" hidden="false" customHeight="false" outlineLevel="0" collapsed="false">
      <c r="M3719" s="2" t="str">
        <f aca="false">IF(C3719="","",IFERROR(INDEX($S$5:$S$304,MATCH(C3719,$R$5:$R$304,0))&amp;"","?"))</f>
        <v/>
      </c>
      <c r="N3719" s="2" t="str">
        <f aca="false"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 t="str">
        <f aca="false">IF(OR(F3719="",G3719=""),"",IF(G3719&lt;='RETRATO 2027'!$K$5,"CONCLUÍDA",IF(F3719&lt;='RETRATO 2027'!$K$5,"EM ANDAMENTO","A INICIAR")))</f>
        <v/>
      </c>
    </row>
    <row r="3720" customFormat="false" ht="15" hidden="false" customHeight="false" outlineLevel="0" collapsed="false">
      <c r="M3720" s="2" t="str">
        <f aca="false">IF(C3720="","",IFERROR(INDEX($S$5:$S$304,MATCH(C3720,$R$5:$R$304,0))&amp;"","?"))</f>
        <v/>
      </c>
      <c r="N3720" s="2" t="str">
        <f aca="false"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 t="str">
        <f aca="false">IF(OR(F3720="",G3720=""),"",IF(G3720&lt;='RETRATO 2027'!$K$5,"CONCLUÍDA",IF(F3720&lt;='RETRATO 2027'!$K$5,"EM ANDAMENTO","A INICIAR")))</f>
        <v/>
      </c>
    </row>
    <row r="3721" customFormat="false" ht="15" hidden="false" customHeight="false" outlineLevel="0" collapsed="false">
      <c r="M3721" s="2" t="str">
        <f aca="false">IF(C3721="","",IFERROR(INDEX($S$5:$S$304,MATCH(C3721,$R$5:$R$304,0))&amp;"","?"))</f>
        <v/>
      </c>
      <c r="N3721" s="2" t="str">
        <f aca="false"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 t="str">
        <f aca="false">IF(OR(F3721="",G3721=""),"",IF(G3721&lt;='RETRATO 2027'!$K$5,"CONCLUÍDA",IF(F3721&lt;='RETRATO 2027'!$K$5,"EM ANDAMENTO","A INICIAR")))</f>
        <v/>
      </c>
    </row>
    <row r="3722" customFormat="false" ht="15" hidden="false" customHeight="false" outlineLevel="0" collapsed="false">
      <c r="M3722" s="2" t="str">
        <f aca="false">IF(C3722="","",IFERROR(INDEX($S$5:$S$304,MATCH(C3722,$R$5:$R$304,0))&amp;"","?"))</f>
        <v/>
      </c>
      <c r="N3722" s="2" t="str">
        <f aca="false"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 t="str">
        <f aca="false">IF(OR(F3722="",G3722=""),"",IF(G3722&lt;='RETRATO 2027'!$K$5,"CONCLUÍDA",IF(F3722&lt;='RETRATO 2027'!$K$5,"EM ANDAMENTO","A INICIAR")))</f>
        <v/>
      </c>
    </row>
    <row r="3723" customFormat="false" ht="15" hidden="false" customHeight="false" outlineLevel="0" collapsed="false">
      <c r="M3723" s="2" t="str">
        <f aca="false">IF(C3723="","",IFERROR(INDEX($S$5:$S$304,MATCH(C3723,$R$5:$R$304,0))&amp;"","?"))</f>
        <v/>
      </c>
      <c r="N3723" s="2" t="str">
        <f aca="false"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 t="str">
        <f aca="false">IF(OR(F3723="",G3723=""),"",IF(G3723&lt;='RETRATO 2027'!$K$5,"CONCLUÍDA",IF(F3723&lt;='RETRATO 2027'!$K$5,"EM ANDAMENTO","A INICIAR")))</f>
        <v/>
      </c>
    </row>
    <row r="3724" customFormat="false" ht="15" hidden="false" customHeight="false" outlineLevel="0" collapsed="false">
      <c r="M3724" s="2" t="str">
        <f aca="false">IF(C3724="","",IFERROR(INDEX($S$5:$S$304,MATCH(C3724,$R$5:$R$304,0))&amp;"","?"))</f>
        <v/>
      </c>
      <c r="N3724" s="2" t="str">
        <f aca="false"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 t="str">
        <f aca="false">IF(OR(F3724="",G3724=""),"",IF(G3724&lt;='RETRATO 2027'!$K$5,"CONCLUÍDA",IF(F3724&lt;='RETRATO 2027'!$K$5,"EM ANDAMENTO","A INICIAR")))</f>
        <v/>
      </c>
    </row>
    <row r="3725" customFormat="false" ht="15" hidden="false" customHeight="false" outlineLevel="0" collapsed="false">
      <c r="M3725" s="2" t="str">
        <f aca="false">IF(C3725="","",IFERROR(INDEX($S$5:$S$304,MATCH(C3725,$R$5:$R$304,0))&amp;"","?"))</f>
        <v/>
      </c>
      <c r="N3725" s="2" t="str">
        <f aca="false"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 t="str">
        <f aca="false">IF(OR(F3725="",G3725=""),"",IF(G3725&lt;='RETRATO 2027'!$K$5,"CONCLUÍDA",IF(F3725&lt;='RETRATO 2027'!$K$5,"EM ANDAMENTO","A INICIAR")))</f>
        <v/>
      </c>
    </row>
    <row r="3726" customFormat="false" ht="15" hidden="false" customHeight="false" outlineLevel="0" collapsed="false">
      <c r="M3726" s="2" t="str">
        <f aca="false">IF(C3726="","",IFERROR(INDEX($S$5:$S$304,MATCH(C3726,$R$5:$R$304,0))&amp;"","?"))</f>
        <v/>
      </c>
      <c r="N3726" s="2" t="str">
        <f aca="false"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 t="str">
        <f aca="false">IF(OR(F3726="",G3726=""),"",IF(G3726&lt;='RETRATO 2027'!$K$5,"CONCLUÍDA",IF(F3726&lt;='RETRATO 2027'!$K$5,"EM ANDAMENTO","A INICIAR")))</f>
        <v/>
      </c>
    </row>
    <row r="3727" customFormat="false" ht="15" hidden="false" customHeight="false" outlineLevel="0" collapsed="false">
      <c r="M3727" s="2" t="str">
        <f aca="false">IF(C3727="","",IFERROR(INDEX($S$5:$S$304,MATCH(C3727,$R$5:$R$304,0))&amp;"","?"))</f>
        <v/>
      </c>
      <c r="N3727" s="2" t="str">
        <f aca="false"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 t="str">
        <f aca="false">IF(OR(F3727="",G3727=""),"",IF(G3727&lt;='RETRATO 2027'!$K$5,"CONCLUÍDA",IF(F3727&lt;='RETRATO 2027'!$K$5,"EM ANDAMENTO","A INICIAR")))</f>
        <v/>
      </c>
    </row>
    <row r="3728" customFormat="false" ht="15" hidden="false" customHeight="false" outlineLevel="0" collapsed="false">
      <c r="M3728" s="2" t="str">
        <f aca="false">IF(C3728="","",IFERROR(INDEX($S$5:$S$304,MATCH(C3728,$R$5:$R$304,0))&amp;"","?"))</f>
        <v/>
      </c>
      <c r="N3728" s="2" t="str">
        <f aca="false"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 t="str">
        <f aca="false">IF(OR(F3728="",G3728=""),"",IF(G3728&lt;='RETRATO 2027'!$K$5,"CONCLUÍDA",IF(F3728&lt;='RETRATO 2027'!$K$5,"EM ANDAMENTO","A INICIAR")))</f>
        <v/>
      </c>
    </row>
    <row r="3729" customFormat="false" ht="15" hidden="false" customHeight="false" outlineLevel="0" collapsed="false">
      <c r="M3729" s="2" t="str">
        <f aca="false">IF(C3729="","",IFERROR(INDEX($S$5:$S$304,MATCH(C3729,$R$5:$R$304,0))&amp;"","?"))</f>
        <v/>
      </c>
      <c r="N3729" s="2" t="str">
        <f aca="false"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 t="str">
        <f aca="false">IF(OR(F3729="",G3729=""),"",IF(G3729&lt;='RETRATO 2027'!$K$5,"CONCLUÍDA",IF(F3729&lt;='RETRATO 2027'!$K$5,"EM ANDAMENTO","A INICIAR")))</f>
        <v/>
      </c>
    </row>
    <row r="3730" customFormat="false" ht="15" hidden="false" customHeight="false" outlineLevel="0" collapsed="false">
      <c r="M3730" s="2" t="str">
        <f aca="false">IF(C3730="","",IFERROR(INDEX($S$5:$S$304,MATCH(C3730,$R$5:$R$304,0))&amp;"","?"))</f>
        <v/>
      </c>
      <c r="N3730" s="2" t="str">
        <f aca="false"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 t="str">
        <f aca="false">IF(OR(F3730="",G3730=""),"",IF(G3730&lt;='RETRATO 2027'!$K$5,"CONCLUÍDA",IF(F3730&lt;='RETRATO 2027'!$K$5,"EM ANDAMENTO","A INICIAR")))</f>
        <v/>
      </c>
    </row>
    <row r="3731" customFormat="false" ht="15" hidden="false" customHeight="false" outlineLevel="0" collapsed="false">
      <c r="M3731" s="2" t="str">
        <f aca="false">IF(C3731="","",IFERROR(INDEX($S$5:$S$304,MATCH(C3731,$R$5:$R$304,0))&amp;"","?"))</f>
        <v/>
      </c>
      <c r="N3731" s="2" t="str">
        <f aca="false"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 t="str">
        <f aca="false">IF(OR(F3731="",G3731=""),"",IF(G3731&lt;='RETRATO 2027'!$K$5,"CONCLUÍDA",IF(F3731&lt;='RETRATO 2027'!$K$5,"EM ANDAMENTO","A INICIAR")))</f>
        <v/>
      </c>
    </row>
    <row r="3732" customFormat="false" ht="15" hidden="false" customHeight="false" outlineLevel="0" collapsed="false">
      <c r="M3732" s="2" t="str">
        <f aca="false">IF(C3732="","",IFERROR(INDEX($S$5:$S$304,MATCH(C3732,$R$5:$R$304,0))&amp;"","?"))</f>
        <v/>
      </c>
      <c r="N3732" s="2" t="str">
        <f aca="false"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 t="str">
        <f aca="false">IF(OR(F3732="",G3732=""),"",IF(G3732&lt;='RETRATO 2027'!$K$5,"CONCLUÍDA",IF(F3732&lt;='RETRATO 2027'!$K$5,"EM ANDAMENTO","A INICIAR")))</f>
        <v/>
      </c>
    </row>
    <row r="3733" customFormat="false" ht="15" hidden="false" customHeight="false" outlineLevel="0" collapsed="false">
      <c r="M3733" s="2" t="str">
        <f aca="false">IF(C3733="","",IFERROR(INDEX($S$5:$S$304,MATCH(C3733,$R$5:$R$304,0))&amp;"","?"))</f>
        <v/>
      </c>
      <c r="N3733" s="2" t="str">
        <f aca="false"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 t="str">
        <f aca="false">IF(OR(F3733="",G3733=""),"",IF(G3733&lt;='RETRATO 2027'!$K$5,"CONCLUÍDA",IF(F3733&lt;='RETRATO 2027'!$K$5,"EM ANDAMENTO","A INICIAR")))</f>
        <v/>
      </c>
    </row>
    <row r="3734" customFormat="false" ht="15" hidden="false" customHeight="false" outlineLevel="0" collapsed="false">
      <c r="M3734" s="2" t="str">
        <f aca="false">IF(C3734="","",IFERROR(INDEX($S$5:$S$304,MATCH(C3734,$R$5:$R$304,0))&amp;"","?"))</f>
        <v/>
      </c>
      <c r="N3734" s="2" t="str">
        <f aca="false"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 t="str">
        <f aca="false">IF(OR(F3734="",G3734=""),"",IF(G3734&lt;='RETRATO 2027'!$K$5,"CONCLUÍDA",IF(F3734&lt;='RETRATO 2027'!$K$5,"EM ANDAMENTO","A INICIAR")))</f>
        <v/>
      </c>
    </row>
    <row r="3735" customFormat="false" ht="15" hidden="false" customHeight="false" outlineLevel="0" collapsed="false">
      <c r="M3735" s="2" t="str">
        <f aca="false">IF(C3735="","",IFERROR(INDEX($S$5:$S$304,MATCH(C3735,$R$5:$R$304,0))&amp;"","?"))</f>
        <v/>
      </c>
      <c r="N3735" s="2" t="str">
        <f aca="false"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 t="str">
        <f aca="false">IF(OR(F3735="",G3735=""),"",IF(G3735&lt;='RETRATO 2027'!$K$5,"CONCLUÍDA",IF(F3735&lt;='RETRATO 2027'!$K$5,"EM ANDAMENTO","A INICIAR")))</f>
        <v/>
      </c>
    </row>
    <row r="3736" customFormat="false" ht="15" hidden="false" customHeight="false" outlineLevel="0" collapsed="false">
      <c r="M3736" s="2" t="str">
        <f aca="false">IF(C3736="","",IFERROR(INDEX($S$5:$S$304,MATCH(C3736,$R$5:$R$304,0))&amp;"","?"))</f>
        <v/>
      </c>
      <c r="N3736" s="2" t="str">
        <f aca="false"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 t="str">
        <f aca="false">IF(OR(F3736="",G3736=""),"",IF(G3736&lt;='RETRATO 2027'!$K$5,"CONCLUÍDA",IF(F3736&lt;='RETRATO 2027'!$K$5,"EM ANDAMENTO","A INICIAR")))</f>
        <v/>
      </c>
    </row>
    <row r="3737" customFormat="false" ht="15" hidden="false" customHeight="false" outlineLevel="0" collapsed="false">
      <c r="M3737" s="2" t="str">
        <f aca="false">IF(C3737="","",IFERROR(INDEX($S$5:$S$304,MATCH(C3737,$R$5:$R$304,0))&amp;"","?"))</f>
        <v/>
      </c>
      <c r="N3737" s="2" t="str">
        <f aca="false"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 t="str">
        <f aca="false">IF(OR(F3737="",G3737=""),"",IF(G3737&lt;='RETRATO 2027'!$K$5,"CONCLUÍDA",IF(F3737&lt;='RETRATO 2027'!$K$5,"EM ANDAMENTO","A INICIAR")))</f>
        <v/>
      </c>
    </row>
    <row r="3738" customFormat="false" ht="15" hidden="false" customHeight="false" outlineLevel="0" collapsed="false">
      <c r="M3738" s="2" t="str">
        <f aca="false">IF(C3738="","",IFERROR(INDEX($S$5:$S$304,MATCH(C3738,$R$5:$R$304,0))&amp;"","?"))</f>
        <v/>
      </c>
      <c r="N3738" s="2" t="str">
        <f aca="false"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 t="str">
        <f aca="false">IF(OR(F3738="",G3738=""),"",IF(G3738&lt;='RETRATO 2027'!$K$5,"CONCLUÍDA",IF(F3738&lt;='RETRATO 2027'!$K$5,"EM ANDAMENTO","A INICIAR")))</f>
        <v/>
      </c>
    </row>
    <row r="3739" customFormat="false" ht="15" hidden="false" customHeight="false" outlineLevel="0" collapsed="false">
      <c r="M3739" s="2" t="str">
        <f aca="false">IF(C3739="","",IFERROR(INDEX($S$5:$S$304,MATCH(C3739,$R$5:$R$304,0))&amp;"","?"))</f>
        <v/>
      </c>
      <c r="N3739" s="2" t="str">
        <f aca="false"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 t="str">
        <f aca="false">IF(OR(F3739="",G3739=""),"",IF(G3739&lt;='RETRATO 2027'!$K$5,"CONCLUÍDA",IF(F3739&lt;='RETRATO 2027'!$K$5,"EM ANDAMENTO","A INICIAR")))</f>
        <v/>
      </c>
    </row>
    <row r="3740" customFormat="false" ht="15" hidden="false" customHeight="false" outlineLevel="0" collapsed="false">
      <c r="M3740" s="2" t="str">
        <f aca="false">IF(C3740="","",IFERROR(INDEX($S$5:$S$304,MATCH(C3740,$R$5:$R$304,0))&amp;"","?"))</f>
        <v/>
      </c>
      <c r="N3740" s="2" t="str">
        <f aca="false"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 t="str">
        <f aca="false">IF(OR(F3740="",G3740=""),"",IF(G3740&lt;='RETRATO 2027'!$K$5,"CONCLUÍDA",IF(F3740&lt;='RETRATO 2027'!$K$5,"EM ANDAMENTO","A INICIAR")))</f>
        <v/>
      </c>
    </row>
    <row r="3741" customFormat="false" ht="15" hidden="false" customHeight="false" outlineLevel="0" collapsed="false">
      <c r="M3741" s="2" t="str">
        <f aca="false">IF(C3741="","",IFERROR(INDEX($S$5:$S$304,MATCH(C3741,$R$5:$R$304,0))&amp;"","?"))</f>
        <v/>
      </c>
      <c r="N3741" s="2" t="str">
        <f aca="false"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 t="str">
        <f aca="false">IF(OR(F3741="",G3741=""),"",IF(G3741&lt;='RETRATO 2027'!$K$5,"CONCLUÍDA",IF(F3741&lt;='RETRATO 2027'!$K$5,"EM ANDAMENTO","A INICIAR")))</f>
        <v/>
      </c>
    </row>
    <row r="3742" customFormat="false" ht="15" hidden="false" customHeight="false" outlineLevel="0" collapsed="false">
      <c r="M3742" s="2" t="str">
        <f aca="false">IF(C3742="","",IFERROR(INDEX($S$5:$S$304,MATCH(C3742,$R$5:$R$304,0))&amp;"","?"))</f>
        <v/>
      </c>
      <c r="N3742" s="2" t="str">
        <f aca="false"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 t="str">
        <f aca="false">IF(OR(F3742="",G3742=""),"",IF(G3742&lt;='RETRATO 2027'!$K$5,"CONCLUÍDA",IF(F3742&lt;='RETRATO 2027'!$K$5,"EM ANDAMENTO","A INICIAR")))</f>
        <v/>
      </c>
    </row>
    <row r="3743" customFormat="false" ht="15" hidden="false" customHeight="false" outlineLevel="0" collapsed="false">
      <c r="M3743" s="2" t="str">
        <f aca="false">IF(C3743="","",IFERROR(INDEX($S$5:$S$304,MATCH(C3743,$R$5:$R$304,0))&amp;"","?"))</f>
        <v/>
      </c>
      <c r="N3743" s="2" t="str">
        <f aca="false"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 t="str">
        <f aca="false">IF(OR(F3743="",G3743=""),"",IF(G3743&lt;='RETRATO 2027'!$K$5,"CONCLUÍDA",IF(F3743&lt;='RETRATO 2027'!$K$5,"EM ANDAMENTO","A INICIAR")))</f>
        <v/>
      </c>
    </row>
    <row r="3744" customFormat="false" ht="15" hidden="false" customHeight="false" outlineLevel="0" collapsed="false">
      <c r="M3744" s="2" t="str">
        <f aca="false">IF(C3744="","",IFERROR(INDEX($S$5:$S$304,MATCH(C3744,$R$5:$R$304,0))&amp;"","?"))</f>
        <v/>
      </c>
      <c r="N3744" s="2" t="str">
        <f aca="false"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 t="str">
        <f aca="false">IF(OR(F3744="",G3744=""),"",IF(G3744&lt;='RETRATO 2027'!$K$5,"CONCLUÍDA",IF(F3744&lt;='RETRATO 2027'!$K$5,"EM ANDAMENTO","A INICIAR")))</f>
        <v/>
      </c>
    </row>
    <row r="3745" customFormat="false" ht="15" hidden="false" customHeight="false" outlineLevel="0" collapsed="false">
      <c r="M3745" s="2" t="str">
        <f aca="false">IF(C3745="","",IFERROR(INDEX($S$5:$S$304,MATCH(C3745,$R$5:$R$304,0))&amp;"","?"))</f>
        <v/>
      </c>
      <c r="N3745" s="2" t="str">
        <f aca="false"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 t="str">
        <f aca="false">IF(OR(F3745="",G3745=""),"",IF(G3745&lt;='RETRATO 2027'!$K$5,"CONCLUÍDA",IF(F3745&lt;='RETRATO 2027'!$K$5,"EM ANDAMENTO","A INICIAR")))</f>
        <v/>
      </c>
    </row>
    <row r="3746" customFormat="false" ht="15" hidden="false" customHeight="false" outlineLevel="0" collapsed="false">
      <c r="M3746" s="2" t="str">
        <f aca="false">IF(C3746="","",IFERROR(INDEX($S$5:$S$304,MATCH(C3746,$R$5:$R$304,0))&amp;"","?"))</f>
        <v/>
      </c>
      <c r="N3746" s="2" t="str">
        <f aca="false"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 t="str">
        <f aca="false">IF(OR(F3746="",G3746=""),"",IF(G3746&lt;='RETRATO 2027'!$K$5,"CONCLUÍDA",IF(F3746&lt;='RETRATO 2027'!$K$5,"EM ANDAMENTO","A INICIAR")))</f>
        <v/>
      </c>
    </row>
    <row r="3747" customFormat="false" ht="15" hidden="false" customHeight="false" outlineLevel="0" collapsed="false">
      <c r="M3747" s="2" t="str">
        <f aca="false">IF(C3747="","",IFERROR(INDEX($S$5:$S$304,MATCH(C3747,$R$5:$R$304,0))&amp;"","?"))</f>
        <v/>
      </c>
      <c r="N3747" s="2" t="str">
        <f aca="false"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 t="str">
        <f aca="false">IF(OR(F3747="",G3747=""),"",IF(G3747&lt;='RETRATO 2027'!$K$5,"CONCLUÍDA",IF(F3747&lt;='RETRATO 2027'!$K$5,"EM ANDAMENTO","A INICIAR")))</f>
        <v/>
      </c>
    </row>
    <row r="3748" customFormat="false" ht="15" hidden="false" customHeight="false" outlineLevel="0" collapsed="false">
      <c r="M3748" s="2" t="str">
        <f aca="false">IF(C3748="","",IFERROR(INDEX($S$5:$S$304,MATCH(C3748,$R$5:$R$304,0))&amp;"","?"))</f>
        <v/>
      </c>
      <c r="N3748" s="2" t="str">
        <f aca="false"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 t="str">
        <f aca="false">IF(OR(F3748="",G3748=""),"",IF(G3748&lt;='RETRATO 2027'!$K$5,"CONCLUÍDA",IF(F3748&lt;='RETRATO 2027'!$K$5,"EM ANDAMENTO","A INICIAR")))</f>
        <v/>
      </c>
    </row>
    <row r="3749" customFormat="false" ht="15" hidden="false" customHeight="false" outlineLevel="0" collapsed="false">
      <c r="M3749" s="2" t="str">
        <f aca="false">IF(C3749="","",IFERROR(INDEX($S$5:$S$304,MATCH(C3749,$R$5:$R$304,0))&amp;"","?"))</f>
        <v/>
      </c>
      <c r="N3749" s="2" t="str">
        <f aca="false"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 t="str">
        <f aca="false">IF(OR(F3749="",G3749=""),"",IF(G3749&lt;='RETRATO 2027'!$K$5,"CONCLUÍDA",IF(F3749&lt;='RETRATO 2027'!$K$5,"EM ANDAMENTO","A INICIAR")))</f>
        <v/>
      </c>
    </row>
    <row r="3750" customFormat="false" ht="15" hidden="false" customHeight="false" outlineLevel="0" collapsed="false">
      <c r="M3750" s="2" t="str">
        <f aca="false">IF(C3750="","",IFERROR(INDEX($S$5:$S$304,MATCH(C3750,$R$5:$R$304,0))&amp;"","?"))</f>
        <v/>
      </c>
      <c r="N3750" s="2" t="str">
        <f aca="false"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 t="str">
        <f aca="false">IF(OR(F3750="",G3750=""),"",IF(G3750&lt;='RETRATO 2027'!$K$5,"CONCLUÍDA",IF(F3750&lt;='RETRATO 2027'!$K$5,"EM ANDAMENTO","A INICIAR")))</f>
        <v/>
      </c>
    </row>
    <row r="3751" customFormat="false" ht="15" hidden="false" customHeight="false" outlineLevel="0" collapsed="false">
      <c r="M3751" s="2" t="str">
        <f aca="false">IF(C3751="","",IFERROR(INDEX($S$5:$S$304,MATCH(C3751,$R$5:$R$304,0))&amp;"","?"))</f>
        <v/>
      </c>
      <c r="N3751" s="2" t="str">
        <f aca="false"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 t="str">
        <f aca="false">IF(OR(F3751="",G3751=""),"",IF(G3751&lt;='RETRATO 2027'!$K$5,"CONCLUÍDA",IF(F3751&lt;='RETRATO 2027'!$K$5,"EM ANDAMENTO","A INICIAR")))</f>
        <v/>
      </c>
    </row>
    <row r="3752" customFormat="false" ht="15" hidden="false" customHeight="false" outlineLevel="0" collapsed="false">
      <c r="M3752" s="2" t="str">
        <f aca="false">IF(C3752="","",IFERROR(INDEX($S$5:$S$304,MATCH(C3752,$R$5:$R$304,0))&amp;"","?"))</f>
        <v/>
      </c>
      <c r="N3752" s="2" t="str">
        <f aca="false"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 t="str">
        <f aca="false">IF(OR(F3752="",G3752=""),"",IF(G3752&lt;='RETRATO 2027'!$K$5,"CONCLUÍDA",IF(F3752&lt;='RETRATO 2027'!$K$5,"EM ANDAMENTO","A INICIAR")))</f>
        <v/>
      </c>
    </row>
    <row r="3753" customFormat="false" ht="15" hidden="false" customHeight="false" outlineLevel="0" collapsed="false">
      <c r="M3753" s="2" t="str">
        <f aca="false">IF(C3753="","",IFERROR(INDEX($S$5:$S$304,MATCH(C3753,$R$5:$R$304,0))&amp;"","?"))</f>
        <v/>
      </c>
      <c r="N3753" s="2" t="str">
        <f aca="false"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 t="str">
        <f aca="false">IF(OR(F3753="",G3753=""),"",IF(G3753&lt;='RETRATO 2027'!$K$5,"CONCLUÍDA",IF(F3753&lt;='RETRATO 2027'!$K$5,"EM ANDAMENTO","A INICIAR")))</f>
        <v/>
      </c>
    </row>
    <row r="3754" customFormat="false" ht="15" hidden="false" customHeight="false" outlineLevel="0" collapsed="false">
      <c r="M3754" s="2" t="str">
        <f aca="false">IF(C3754="","",IFERROR(INDEX($S$5:$S$304,MATCH(C3754,$R$5:$R$304,0))&amp;"","?"))</f>
        <v/>
      </c>
      <c r="N3754" s="2" t="str">
        <f aca="false"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 t="str">
        <f aca="false">IF(OR(F3754="",G3754=""),"",IF(G3754&lt;='RETRATO 2027'!$K$5,"CONCLUÍDA",IF(F3754&lt;='RETRATO 2027'!$K$5,"EM ANDAMENTO","A INICIAR")))</f>
        <v/>
      </c>
    </row>
    <row r="3755" customFormat="false" ht="15" hidden="false" customHeight="false" outlineLevel="0" collapsed="false">
      <c r="M3755" s="2" t="str">
        <f aca="false">IF(C3755="","",IFERROR(INDEX($S$5:$S$304,MATCH(C3755,$R$5:$R$304,0))&amp;"","?"))</f>
        <v/>
      </c>
      <c r="N3755" s="2" t="str">
        <f aca="false"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 t="str">
        <f aca="false">IF(OR(F3755="",G3755=""),"",IF(G3755&lt;='RETRATO 2027'!$K$5,"CONCLUÍDA",IF(F3755&lt;='RETRATO 2027'!$K$5,"EM ANDAMENTO","A INICIAR")))</f>
        <v/>
      </c>
    </row>
    <row r="3756" customFormat="false" ht="15" hidden="false" customHeight="false" outlineLevel="0" collapsed="false">
      <c r="M3756" s="2" t="str">
        <f aca="false">IF(C3756="","",IFERROR(INDEX($S$5:$S$304,MATCH(C3756,$R$5:$R$304,0))&amp;"","?"))</f>
        <v/>
      </c>
      <c r="N3756" s="2" t="str">
        <f aca="false"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 t="str">
        <f aca="false">IF(OR(F3756="",G3756=""),"",IF(G3756&lt;='RETRATO 2027'!$K$5,"CONCLUÍDA",IF(F3756&lt;='RETRATO 2027'!$K$5,"EM ANDAMENTO","A INICIAR")))</f>
        <v/>
      </c>
    </row>
    <row r="3757" customFormat="false" ht="15" hidden="false" customHeight="false" outlineLevel="0" collapsed="false">
      <c r="M3757" s="2" t="str">
        <f aca="false">IF(C3757="","",IFERROR(INDEX($S$5:$S$304,MATCH(C3757,$R$5:$R$304,0))&amp;"","?"))</f>
        <v/>
      </c>
      <c r="N3757" s="2" t="str">
        <f aca="false"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 t="str">
        <f aca="false">IF(OR(F3757="",G3757=""),"",IF(G3757&lt;='RETRATO 2027'!$K$5,"CONCLUÍDA",IF(F3757&lt;='RETRATO 2027'!$K$5,"EM ANDAMENTO","A INICIAR")))</f>
        <v/>
      </c>
    </row>
    <row r="3758" customFormat="false" ht="15" hidden="false" customHeight="false" outlineLevel="0" collapsed="false">
      <c r="M3758" s="2" t="str">
        <f aca="false">IF(C3758="","",IFERROR(INDEX($S$5:$S$304,MATCH(C3758,$R$5:$R$304,0))&amp;"","?"))</f>
        <v/>
      </c>
      <c r="N3758" s="2" t="str">
        <f aca="false"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 t="str">
        <f aca="false">IF(OR(F3758="",G3758=""),"",IF(G3758&lt;='RETRATO 2027'!$K$5,"CONCLUÍDA",IF(F3758&lt;='RETRATO 2027'!$K$5,"EM ANDAMENTO","A INICIAR")))</f>
        <v/>
      </c>
    </row>
    <row r="3759" customFormat="false" ht="15" hidden="false" customHeight="false" outlineLevel="0" collapsed="false">
      <c r="M3759" s="2" t="str">
        <f aca="false">IF(C3759="","",IFERROR(INDEX($S$5:$S$304,MATCH(C3759,$R$5:$R$304,0))&amp;"","?"))</f>
        <v/>
      </c>
      <c r="N3759" s="2" t="str">
        <f aca="false"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 t="str">
        <f aca="false">IF(OR(F3759="",G3759=""),"",IF(G3759&lt;='RETRATO 2027'!$K$5,"CONCLUÍDA",IF(F3759&lt;='RETRATO 2027'!$K$5,"EM ANDAMENTO","A INICIAR")))</f>
        <v/>
      </c>
    </row>
    <row r="3760" customFormat="false" ht="15" hidden="false" customHeight="false" outlineLevel="0" collapsed="false">
      <c r="M3760" s="2" t="str">
        <f aca="false">IF(C3760="","",IFERROR(INDEX($S$5:$S$304,MATCH(C3760,$R$5:$R$304,0))&amp;"","?"))</f>
        <v/>
      </c>
      <c r="N3760" s="2" t="str">
        <f aca="false"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 t="str">
        <f aca="false">IF(OR(F3760="",G3760=""),"",IF(G3760&lt;='RETRATO 2027'!$K$5,"CONCLUÍDA",IF(F3760&lt;='RETRATO 2027'!$K$5,"EM ANDAMENTO","A INICIAR")))</f>
        <v/>
      </c>
    </row>
    <row r="3761" customFormat="false" ht="15" hidden="false" customHeight="false" outlineLevel="0" collapsed="false">
      <c r="M3761" s="2" t="str">
        <f aca="false">IF(C3761="","",IFERROR(INDEX($S$5:$S$304,MATCH(C3761,$R$5:$R$304,0))&amp;"","?"))</f>
        <v/>
      </c>
      <c r="N3761" s="2" t="str">
        <f aca="false"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 t="str">
        <f aca="false">IF(OR(F3761="",G3761=""),"",IF(G3761&lt;='RETRATO 2027'!$K$5,"CONCLUÍDA",IF(F3761&lt;='RETRATO 2027'!$K$5,"EM ANDAMENTO","A INICIAR")))</f>
        <v/>
      </c>
    </row>
    <row r="3762" customFormat="false" ht="15" hidden="false" customHeight="false" outlineLevel="0" collapsed="false">
      <c r="M3762" s="2" t="str">
        <f aca="false">IF(C3762="","",IFERROR(INDEX($S$5:$S$304,MATCH(C3762,$R$5:$R$304,0))&amp;"","?"))</f>
        <v/>
      </c>
      <c r="N3762" s="2" t="str">
        <f aca="false"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 t="str">
        <f aca="false">IF(OR(F3762="",G3762=""),"",IF(G3762&lt;='RETRATO 2027'!$K$5,"CONCLUÍDA",IF(F3762&lt;='RETRATO 2027'!$K$5,"EM ANDAMENTO","A INICIAR")))</f>
        <v/>
      </c>
    </row>
    <row r="3763" customFormat="false" ht="15" hidden="false" customHeight="false" outlineLevel="0" collapsed="false">
      <c r="M3763" s="2" t="str">
        <f aca="false">IF(C3763="","",IFERROR(INDEX($S$5:$S$304,MATCH(C3763,$R$5:$R$304,0))&amp;"","?"))</f>
        <v/>
      </c>
      <c r="N3763" s="2" t="str">
        <f aca="false"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 t="str">
        <f aca="false">IF(OR(F3763="",G3763=""),"",IF(G3763&lt;='RETRATO 2027'!$K$5,"CONCLUÍDA",IF(F3763&lt;='RETRATO 2027'!$K$5,"EM ANDAMENTO","A INICIAR")))</f>
        <v/>
      </c>
    </row>
    <row r="3764" customFormat="false" ht="15" hidden="false" customHeight="false" outlineLevel="0" collapsed="false">
      <c r="M3764" s="2" t="str">
        <f aca="false">IF(C3764="","",IFERROR(INDEX($S$5:$S$304,MATCH(C3764,$R$5:$R$304,0))&amp;"","?"))</f>
        <v/>
      </c>
      <c r="N3764" s="2" t="str">
        <f aca="false"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 t="str">
        <f aca="false">IF(OR(F3764="",G3764=""),"",IF(G3764&lt;='RETRATO 2027'!$K$5,"CONCLUÍDA",IF(F3764&lt;='RETRATO 2027'!$K$5,"EM ANDAMENTO","A INICIAR")))</f>
        <v/>
      </c>
    </row>
    <row r="3765" customFormat="false" ht="15" hidden="false" customHeight="false" outlineLevel="0" collapsed="false">
      <c r="M3765" s="2" t="str">
        <f aca="false">IF(C3765="","",IFERROR(INDEX($S$5:$S$304,MATCH(C3765,$R$5:$R$304,0))&amp;"","?"))</f>
        <v/>
      </c>
      <c r="N3765" s="2" t="str">
        <f aca="false"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 t="str">
        <f aca="false">IF(OR(F3765="",G3765=""),"",IF(G3765&lt;='RETRATO 2027'!$K$5,"CONCLUÍDA",IF(F3765&lt;='RETRATO 2027'!$K$5,"EM ANDAMENTO","A INICIAR")))</f>
        <v/>
      </c>
    </row>
    <row r="3766" customFormat="false" ht="15" hidden="false" customHeight="false" outlineLevel="0" collapsed="false">
      <c r="M3766" s="2" t="str">
        <f aca="false">IF(C3766="","",IFERROR(INDEX($S$5:$S$304,MATCH(C3766,$R$5:$R$304,0))&amp;"","?"))</f>
        <v/>
      </c>
      <c r="N3766" s="2" t="str">
        <f aca="false"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 t="str">
        <f aca="false">IF(OR(F3766="",G3766=""),"",IF(G3766&lt;='RETRATO 2027'!$K$5,"CONCLUÍDA",IF(F3766&lt;='RETRATO 2027'!$K$5,"EM ANDAMENTO","A INICIAR")))</f>
        <v/>
      </c>
    </row>
    <row r="3767" customFormat="false" ht="15" hidden="false" customHeight="false" outlineLevel="0" collapsed="false">
      <c r="M3767" s="2" t="str">
        <f aca="false">IF(C3767="","",IFERROR(INDEX($S$5:$S$304,MATCH(C3767,$R$5:$R$304,0))&amp;"","?"))</f>
        <v/>
      </c>
      <c r="N3767" s="2" t="str">
        <f aca="false"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 t="str">
        <f aca="false">IF(OR(F3767="",G3767=""),"",IF(G3767&lt;='RETRATO 2027'!$K$5,"CONCLUÍDA",IF(F3767&lt;='RETRATO 2027'!$K$5,"EM ANDAMENTO","A INICIAR")))</f>
        <v/>
      </c>
    </row>
    <row r="3768" customFormat="false" ht="15" hidden="false" customHeight="false" outlineLevel="0" collapsed="false">
      <c r="M3768" s="2" t="str">
        <f aca="false">IF(C3768="","",IFERROR(INDEX($S$5:$S$304,MATCH(C3768,$R$5:$R$304,0))&amp;"","?"))</f>
        <v/>
      </c>
      <c r="N3768" s="2" t="str">
        <f aca="false"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 t="str">
        <f aca="false">IF(OR(F3768="",G3768=""),"",IF(G3768&lt;='RETRATO 2027'!$K$5,"CONCLUÍDA",IF(F3768&lt;='RETRATO 2027'!$K$5,"EM ANDAMENTO","A INICIAR")))</f>
        <v/>
      </c>
    </row>
    <row r="3769" customFormat="false" ht="15" hidden="false" customHeight="false" outlineLevel="0" collapsed="false">
      <c r="M3769" s="2" t="str">
        <f aca="false">IF(C3769="","",IFERROR(INDEX($S$5:$S$304,MATCH(C3769,$R$5:$R$304,0))&amp;"","?"))</f>
        <v/>
      </c>
      <c r="N3769" s="2" t="str">
        <f aca="false"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 t="str">
        <f aca="false">IF(OR(F3769="",G3769=""),"",IF(G3769&lt;='RETRATO 2027'!$K$5,"CONCLUÍDA",IF(F3769&lt;='RETRATO 2027'!$K$5,"EM ANDAMENTO","A INICIAR")))</f>
        <v/>
      </c>
    </row>
    <row r="3770" customFormat="false" ht="15" hidden="false" customHeight="false" outlineLevel="0" collapsed="false">
      <c r="M3770" s="2" t="str">
        <f aca="false">IF(C3770="","",IFERROR(INDEX($S$5:$S$304,MATCH(C3770,$R$5:$R$304,0))&amp;"","?"))</f>
        <v/>
      </c>
      <c r="N3770" s="2" t="str">
        <f aca="false"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 t="str">
        <f aca="false">IF(OR(F3770="",G3770=""),"",IF(G3770&lt;='RETRATO 2027'!$K$5,"CONCLUÍDA",IF(F3770&lt;='RETRATO 2027'!$K$5,"EM ANDAMENTO","A INICIAR")))</f>
        <v/>
      </c>
    </row>
    <row r="3771" customFormat="false" ht="15" hidden="false" customHeight="false" outlineLevel="0" collapsed="false">
      <c r="M3771" s="2" t="str">
        <f aca="false">IF(C3771="","",IFERROR(INDEX($S$5:$S$304,MATCH(C3771,$R$5:$R$304,0))&amp;"","?"))</f>
        <v/>
      </c>
      <c r="N3771" s="2" t="str">
        <f aca="false"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 t="str">
        <f aca="false">IF(OR(F3771="",G3771=""),"",IF(G3771&lt;='RETRATO 2027'!$K$5,"CONCLUÍDA",IF(F3771&lt;='RETRATO 2027'!$K$5,"EM ANDAMENTO","A INICIAR")))</f>
        <v/>
      </c>
    </row>
    <row r="3772" customFormat="false" ht="15" hidden="false" customHeight="false" outlineLevel="0" collapsed="false">
      <c r="M3772" s="2" t="str">
        <f aca="false">IF(C3772="","",IFERROR(INDEX($S$5:$S$304,MATCH(C3772,$R$5:$R$304,0))&amp;"","?"))</f>
        <v/>
      </c>
      <c r="N3772" s="2" t="str">
        <f aca="false"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 t="str">
        <f aca="false">IF(OR(F3772="",G3772=""),"",IF(G3772&lt;='RETRATO 2027'!$K$5,"CONCLUÍDA",IF(F3772&lt;='RETRATO 2027'!$K$5,"EM ANDAMENTO","A INICIAR")))</f>
        <v/>
      </c>
    </row>
    <row r="3773" customFormat="false" ht="15" hidden="false" customHeight="false" outlineLevel="0" collapsed="false">
      <c r="M3773" s="2" t="str">
        <f aca="false">IF(C3773="","",IFERROR(INDEX($S$5:$S$304,MATCH(C3773,$R$5:$R$304,0))&amp;"","?"))</f>
        <v/>
      </c>
      <c r="N3773" s="2" t="str">
        <f aca="false"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 t="str">
        <f aca="false">IF(OR(F3773="",G3773=""),"",IF(G3773&lt;='RETRATO 2027'!$K$5,"CONCLUÍDA",IF(F3773&lt;='RETRATO 2027'!$K$5,"EM ANDAMENTO","A INICIAR")))</f>
        <v/>
      </c>
    </row>
    <row r="3774" customFormat="false" ht="15" hidden="false" customHeight="false" outlineLevel="0" collapsed="false">
      <c r="M3774" s="2" t="str">
        <f aca="false">IF(C3774="","",IFERROR(INDEX($S$5:$S$304,MATCH(C3774,$R$5:$R$304,0))&amp;"","?"))</f>
        <v/>
      </c>
      <c r="N3774" s="2" t="str">
        <f aca="false"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 t="str">
        <f aca="false">IF(OR(F3774="",G3774=""),"",IF(G3774&lt;='RETRATO 2027'!$K$5,"CONCLUÍDA",IF(F3774&lt;='RETRATO 2027'!$K$5,"EM ANDAMENTO","A INICIAR")))</f>
        <v/>
      </c>
    </row>
    <row r="3775" customFormat="false" ht="15" hidden="false" customHeight="false" outlineLevel="0" collapsed="false">
      <c r="M3775" s="2" t="str">
        <f aca="false">IF(C3775="","",IFERROR(INDEX($S$5:$S$304,MATCH(C3775,$R$5:$R$304,0))&amp;"","?"))</f>
        <v/>
      </c>
      <c r="N3775" s="2" t="str">
        <f aca="false"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 t="str">
        <f aca="false">IF(OR(F3775="",G3775=""),"",IF(G3775&lt;='RETRATO 2027'!$K$5,"CONCLUÍDA",IF(F3775&lt;='RETRATO 2027'!$K$5,"EM ANDAMENTO","A INICIAR")))</f>
        <v/>
      </c>
    </row>
    <row r="3776" customFormat="false" ht="15" hidden="false" customHeight="false" outlineLevel="0" collapsed="false">
      <c r="M3776" s="2" t="str">
        <f aca="false">IF(C3776="","",IFERROR(INDEX($S$5:$S$304,MATCH(C3776,$R$5:$R$304,0))&amp;"","?"))</f>
        <v/>
      </c>
      <c r="N3776" s="2" t="str">
        <f aca="false"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 t="str">
        <f aca="false">IF(OR(F3776="",G3776=""),"",IF(G3776&lt;='RETRATO 2027'!$K$5,"CONCLUÍDA",IF(F3776&lt;='RETRATO 2027'!$K$5,"EM ANDAMENTO","A INICIAR")))</f>
        <v/>
      </c>
    </row>
    <row r="3777" customFormat="false" ht="15" hidden="false" customHeight="false" outlineLevel="0" collapsed="false">
      <c r="M3777" s="2" t="str">
        <f aca="false">IF(C3777="","",IFERROR(INDEX($S$5:$S$304,MATCH(C3777,$R$5:$R$304,0))&amp;"","?"))</f>
        <v/>
      </c>
      <c r="N3777" s="2" t="str">
        <f aca="false"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 t="str">
        <f aca="false">IF(OR(F3777="",G3777=""),"",IF(G3777&lt;='RETRATO 2027'!$K$5,"CONCLUÍDA",IF(F3777&lt;='RETRATO 2027'!$K$5,"EM ANDAMENTO","A INICIAR")))</f>
        <v/>
      </c>
    </row>
    <row r="3778" customFormat="false" ht="15" hidden="false" customHeight="false" outlineLevel="0" collapsed="false">
      <c r="M3778" s="2" t="str">
        <f aca="false">IF(C3778="","",IFERROR(INDEX($S$5:$S$304,MATCH(C3778,$R$5:$R$304,0))&amp;"","?"))</f>
        <v/>
      </c>
      <c r="N3778" s="2" t="str">
        <f aca="false"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 t="str">
        <f aca="false">IF(OR(F3778="",G3778=""),"",IF(G3778&lt;='RETRATO 2027'!$K$5,"CONCLUÍDA",IF(F3778&lt;='RETRATO 2027'!$K$5,"EM ANDAMENTO","A INICIAR")))</f>
        <v/>
      </c>
    </row>
    <row r="3779" customFormat="false" ht="15" hidden="false" customHeight="false" outlineLevel="0" collapsed="false">
      <c r="M3779" s="2" t="str">
        <f aca="false">IF(C3779="","",IFERROR(INDEX($S$5:$S$304,MATCH(C3779,$R$5:$R$304,0))&amp;"","?"))</f>
        <v/>
      </c>
      <c r="N3779" s="2" t="str">
        <f aca="false"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 t="str">
        <f aca="false">IF(OR(F3779="",G3779=""),"",IF(G3779&lt;='RETRATO 2027'!$K$5,"CONCLUÍDA",IF(F3779&lt;='RETRATO 2027'!$K$5,"EM ANDAMENTO","A INICIAR")))</f>
        <v/>
      </c>
    </row>
    <row r="3780" customFormat="false" ht="15" hidden="false" customHeight="false" outlineLevel="0" collapsed="false">
      <c r="M3780" s="2" t="str">
        <f aca="false">IF(C3780="","",IFERROR(INDEX($S$5:$S$304,MATCH(C3780,$R$5:$R$304,0))&amp;"","?"))</f>
        <v/>
      </c>
      <c r="N3780" s="2" t="str">
        <f aca="false"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 t="str">
        <f aca="false">IF(OR(F3780="",G3780=""),"",IF(G3780&lt;='RETRATO 2027'!$K$5,"CONCLUÍDA",IF(F3780&lt;='RETRATO 2027'!$K$5,"EM ANDAMENTO","A INICIAR")))</f>
        <v/>
      </c>
    </row>
    <row r="3781" customFormat="false" ht="15" hidden="false" customHeight="false" outlineLevel="0" collapsed="false">
      <c r="M3781" s="2" t="str">
        <f aca="false">IF(C3781="","",IFERROR(INDEX($S$5:$S$304,MATCH(C3781,$R$5:$R$304,0))&amp;"","?"))</f>
        <v/>
      </c>
      <c r="N3781" s="2" t="str">
        <f aca="false"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 t="str">
        <f aca="false">IF(OR(F3781="",G3781=""),"",IF(G3781&lt;='RETRATO 2027'!$K$5,"CONCLUÍDA",IF(F3781&lt;='RETRATO 2027'!$K$5,"EM ANDAMENTO","A INICIAR")))</f>
        <v/>
      </c>
    </row>
    <row r="3782" customFormat="false" ht="15" hidden="false" customHeight="false" outlineLevel="0" collapsed="false">
      <c r="M3782" s="2" t="str">
        <f aca="false">IF(C3782="","",IFERROR(INDEX($S$5:$S$304,MATCH(C3782,$R$5:$R$304,0))&amp;"","?"))</f>
        <v/>
      </c>
      <c r="N3782" s="2" t="str">
        <f aca="false"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 t="str">
        <f aca="false">IF(OR(F3782="",G3782=""),"",IF(G3782&lt;='RETRATO 2027'!$K$5,"CONCLUÍDA",IF(F3782&lt;='RETRATO 2027'!$K$5,"EM ANDAMENTO","A INICIAR")))</f>
        <v/>
      </c>
    </row>
    <row r="3783" customFormat="false" ht="15" hidden="false" customHeight="false" outlineLevel="0" collapsed="false">
      <c r="M3783" s="2" t="str">
        <f aca="false">IF(C3783="","",IFERROR(INDEX($S$5:$S$304,MATCH(C3783,$R$5:$R$304,0))&amp;"","?"))</f>
        <v/>
      </c>
      <c r="N3783" s="2" t="str">
        <f aca="false"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 t="str">
        <f aca="false">IF(OR(F3783="",G3783=""),"",IF(G3783&lt;='RETRATO 2027'!$K$5,"CONCLUÍDA",IF(F3783&lt;='RETRATO 2027'!$K$5,"EM ANDAMENTO","A INICIAR")))</f>
        <v/>
      </c>
    </row>
    <row r="3784" customFormat="false" ht="15" hidden="false" customHeight="false" outlineLevel="0" collapsed="false">
      <c r="M3784" s="2" t="str">
        <f aca="false">IF(C3784="","",IFERROR(INDEX($S$5:$S$304,MATCH(C3784,$R$5:$R$304,0))&amp;"","?"))</f>
        <v/>
      </c>
      <c r="N3784" s="2" t="str">
        <f aca="false"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 t="str">
        <f aca="false">IF(OR(F3784="",G3784=""),"",IF(G3784&lt;='RETRATO 2027'!$K$5,"CONCLUÍDA",IF(F3784&lt;='RETRATO 2027'!$K$5,"EM ANDAMENTO","A INICIAR")))</f>
        <v/>
      </c>
    </row>
    <row r="3785" customFormat="false" ht="15" hidden="false" customHeight="false" outlineLevel="0" collapsed="false">
      <c r="M3785" s="2" t="str">
        <f aca="false">IF(C3785="","",IFERROR(INDEX($S$5:$S$304,MATCH(C3785,$R$5:$R$304,0))&amp;"","?"))</f>
        <v/>
      </c>
      <c r="N3785" s="2" t="str">
        <f aca="false"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 t="str">
        <f aca="false">IF(OR(F3785="",G3785=""),"",IF(G3785&lt;='RETRATO 2027'!$K$5,"CONCLUÍDA",IF(F3785&lt;='RETRATO 2027'!$K$5,"EM ANDAMENTO","A INICIAR")))</f>
        <v/>
      </c>
    </row>
    <row r="3786" customFormat="false" ht="15" hidden="false" customHeight="false" outlineLevel="0" collapsed="false">
      <c r="M3786" s="2" t="str">
        <f aca="false">IF(C3786="","",IFERROR(INDEX($S$5:$S$304,MATCH(C3786,$R$5:$R$304,0))&amp;"","?"))</f>
        <v/>
      </c>
      <c r="N3786" s="2" t="str">
        <f aca="false"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 t="str">
        <f aca="false">IF(OR(F3786="",G3786=""),"",IF(G3786&lt;='RETRATO 2027'!$K$5,"CONCLUÍDA",IF(F3786&lt;='RETRATO 2027'!$K$5,"EM ANDAMENTO","A INICIAR")))</f>
        <v/>
      </c>
    </row>
    <row r="3787" customFormat="false" ht="15" hidden="false" customHeight="false" outlineLevel="0" collapsed="false">
      <c r="M3787" s="2" t="str">
        <f aca="false">IF(C3787="","",IFERROR(INDEX($S$5:$S$304,MATCH(C3787,$R$5:$R$304,0))&amp;"","?"))</f>
        <v/>
      </c>
      <c r="N3787" s="2" t="str">
        <f aca="false"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 t="str">
        <f aca="false">IF(OR(F3787="",G3787=""),"",IF(G3787&lt;='RETRATO 2027'!$K$5,"CONCLUÍDA",IF(F3787&lt;='RETRATO 2027'!$K$5,"EM ANDAMENTO","A INICIAR")))</f>
        <v/>
      </c>
    </row>
    <row r="3788" customFormat="false" ht="15" hidden="false" customHeight="false" outlineLevel="0" collapsed="false">
      <c r="M3788" s="2" t="str">
        <f aca="false">IF(C3788="","",IFERROR(INDEX($S$5:$S$304,MATCH(C3788,$R$5:$R$304,0))&amp;"","?"))</f>
        <v/>
      </c>
      <c r="N3788" s="2" t="str">
        <f aca="false"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 t="str">
        <f aca="false">IF(OR(F3788="",G3788=""),"",IF(G3788&lt;='RETRATO 2027'!$K$5,"CONCLUÍDA",IF(F3788&lt;='RETRATO 2027'!$K$5,"EM ANDAMENTO","A INICIAR")))</f>
        <v/>
      </c>
    </row>
    <row r="3789" customFormat="false" ht="15" hidden="false" customHeight="false" outlineLevel="0" collapsed="false">
      <c r="M3789" s="2" t="str">
        <f aca="false">IF(C3789="","",IFERROR(INDEX($S$5:$S$304,MATCH(C3789,$R$5:$R$304,0))&amp;"","?"))</f>
        <v/>
      </c>
      <c r="N3789" s="2" t="str">
        <f aca="false"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 t="str">
        <f aca="false">IF(OR(F3789="",G3789=""),"",IF(G3789&lt;='RETRATO 2027'!$K$5,"CONCLUÍDA",IF(F3789&lt;='RETRATO 2027'!$K$5,"EM ANDAMENTO","A INICIAR")))</f>
        <v/>
      </c>
    </row>
    <row r="3790" customFormat="false" ht="15" hidden="false" customHeight="false" outlineLevel="0" collapsed="false">
      <c r="M3790" s="2" t="str">
        <f aca="false">IF(C3790="","",IFERROR(INDEX($S$5:$S$304,MATCH(C3790,$R$5:$R$304,0))&amp;"","?"))</f>
        <v/>
      </c>
      <c r="N3790" s="2" t="str">
        <f aca="false"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 t="str">
        <f aca="false">IF(OR(F3790="",G3790=""),"",IF(G3790&lt;='RETRATO 2027'!$K$5,"CONCLUÍDA",IF(F3790&lt;='RETRATO 2027'!$K$5,"EM ANDAMENTO","A INICIAR")))</f>
        <v/>
      </c>
    </row>
    <row r="3791" customFormat="false" ht="15" hidden="false" customHeight="false" outlineLevel="0" collapsed="false">
      <c r="M3791" s="2" t="str">
        <f aca="false">IF(C3791="","",IFERROR(INDEX($S$5:$S$304,MATCH(C3791,$R$5:$R$304,0))&amp;"","?"))</f>
        <v/>
      </c>
      <c r="N3791" s="2" t="str">
        <f aca="false"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 t="str">
        <f aca="false">IF(OR(F3791="",G3791=""),"",IF(G3791&lt;='RETRATO 2027'!$K$5,"CONCLUÍDA",IF(F3791&lt;='RETRATO 2027'!$K$5,"EM ANDAMENTO","A INICIAR")))</f>
        <v/>
      </c>
    </row>
    <row r="3792" customFormat="false" ht="15" hidden="false" customHeight="false" outlineLevel="0" collapsed="false">
      <c r="M3792" s="2" t="str">
        <f aca="false">IF(C3792="","",IFERROR(INDEX($S$5:$S$304,MATCH(C3792,$R$5:$R$304,0))&amp;"","?"))</f>
        <v/>
      </c>
      <c r="N3792" s="2" t="str">
        <f aca="false"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 t="str">
        <f aca="false">IF(OR(F3792="",G3792=""),"",IF(G3792&lt;='RETRATO 2027'!$K$5,"CONCLUÍDA",IF(F3792&lt;='RETRATO 2027'!$K$5,"EM ANDAMENTO","A INICIAR")))</f>
        <v/>
      </c>
    </row>
    <row r="3793" customFormat="false" ht="15" hidden="false" customHeight="false" outlineLevel="0" collapsed="false">
      <c r="M3793" s="2" t="str">
        <f aca="false">IF(C3793="","",IFERROR(INDEX($S$5:$S$304,MATCH(C3793,$R$5:$R$304,0))&amp;"","?"))</f>
        <v/>
      </c>
      <c r="N3793" s="2" t="str">
        <f aca="false"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 t="str">
        <f aca="false">IF(OR(F3793="",G3793=""),"",IF(G3793&lt;='RETRATO 2027'!$K$5,"CONCLUÍDA",IF(F3793&lt;='RETRATO 2027'!$K$5,"EM ANDAMENTO","A INICIAR")))</f>
        <v/>
      </c>
    </row>
    <row r="3794" customFormat="false" ht="15" hidden="false" customHeight="false" outlineLevel="0" collapsed="false">
      <c r="M3794" s="2" t="str">
        <f aca="false">IF(C3794="","",IFERROR(INDEX($S$5:$S$304,MATCH(C3794,$R$5:$R$304,0))&amp;"","?"))</f>
        <v/>
      </c>
      <c r="N3794" s="2" t="str">
        <f aca="false"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 t="str">
        <f aca="false">IF(OR(F3794="",G3794=""),"",IF(G3794&lt;='RETRATO 2027'!$K$5,"CONCLUÍDA",IF(F3794&lt;='RETRATO 2027'!$K$5,"EM ANDAMENTO","A INICIAR")))</f>
        <v/>
      </c>
    </row>
    <row r="3795" customFormat="false" ht="15" hidden="false" customHeight="false" outlineLevel="0" collapsed="false">
      <c r="M3795" s="2" t="str">
        <f aca="false">IF(C3795="","",IFERROR(INDEX($S$5:$S$304,MATCH(C3795,$R$5:$R$304,0))&amp;"","?"))</f>
        <v/>
      </c>
      <c r="N3795" s="2" t="str">
        <f aca="false"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 t="str">
        <f aca="false">IF(OR(F3795="",G3795=""),"",IF(G3795&lt;='RETRATO 2027'!$K$5,"CONCLUÍDA",IF(F3795&lt;='RETRATO 2027'!$K$5,"EM ANDAMENTO","A INICIAR")))</f>
        <v/>
      </c>
    </row>
    <row r="3796" customFormat="false" ht="15" hidden="false" customHeight="false" outlineLevel="0" collapsed="false">
      <c r="M3796" s="2" t="str">
        <f aca="false">IF(C3796="","",IFERROR(INDEX($S$5:$S$304,MATCH(C3796,$R$5:$R$304,0))&amp;"","?"))</f>
        <v/>
      </c>
      <c r="N3796" s="2" t="str">
        <f aca="false"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 t="str">
        <f aca="false">IF(OR(F3796="",G3796=""),"",IF(G3796&lt;='RETRATO 2027'!$K$5,"CONCLUÍDA",IF(F3796&lt;='RETRATO 2027'!$K$5,"EM ANDAMENTO","A INICIAR")))</f>
        <v/>
      </c>
    </row>
    <row r="3797" customFormat="false" ht="15" hidden="false" customHeight="false" outlineLevel="0" collapsed="false">
      <c r="M3797" s="2" t="str">
        <f aca="false">IF(C3797="","",IFERROR(INDEX($S$5:$S$304,MATCH(C3797,$R$5:$R$304,0))&amp;"","?"))</f>
        <v/>
      </c>
      <c r="N3797" s="2" t="str">
        <f aca="false"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 t="str">
        <f aca="false">IF(OR(F3797="",G3797=""),"",IF(G3797&lt;='RETRATO 2027'!$K$5,"CONCLUÍDA",IF(F3797&lt;='RETRATO 2027'!$K$5,"EM ANDAMENTO","A INICIAR")))</f>
        <v/>
      </c>
    </row>
    <row r="3798" customFormat="false" ht="15" hidden="false" customHeight="false" outlineLevel="0" collapsed="false">
      <c r="M3798" s="2" t="str">
        <f aca="false">IF(C3798="","",IFERROR(INDEX($S$5:$S$304,MATCH(C3798,$R$5:$R$304,0))&amp;"","?"))</f>
        <v/>
      </c>
      <c r="N3798" s="2" t="str">
        <f aca="false"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 t="str">
        <f aca="false">IF(OR(F3798="",G3798=""),"",IF(G3798&lt;='RETRATO 2027'!$K$5,"CONCLUÍDA",IF(F3798&lt;='RETRATO 2027'!$K$5,"EM ANDAMENTO","A INICIAR")))</f>
        <v/>
      </c>
    </row>
    <row r="3799" customFormat="false" ht="15" hidden="false" customHeight="false" outlineLevel="0" collapsed="false">
      <c r="M3799" s="2" t="str">
        <f aca="false">IF(C3799="","",IFERROR(INDEX($S$5:$S$304,MATCH(C3799,$R$5:$R$304,0))&amp;"","?"))</f>
        <v/>
      </c>
      <c r="N3799" s="2" t="str">
        <f aca="false"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 t="str">
        <f aca="false">IF(OR(F3799="",G3799=""),"",IF(G3799&lt;='RETRATO 2027'!$K$5,"CONCLUÍDA",IF(F3799&lt;='RETRATO 2027'!$K$5,"EM ANDAMENTO","A INICIAR")))</f>
        <v/>
      </c>
    </row>
    <row r="3800" customFormat="false" ht="15" hidden="false" customHeight="false" outlineLevel="0" collapsed="false">
      <c r="M3800" s="2" t="str">
        <f aca="false">IF(C3800="","",IFERROR(INDEX($S$5:$S$304,MATCH(C3800,$R$5:$R$304,0))&amp;"","?"))</f>
        <v/>
      </c>
      <c r="N3800" s="2" t="str">
        <f aca="false"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 t="str">
        <f aca="false">IF(OR(F3800="",G3800=""),"",IF(G3800&lt;='RETRATO 2027'!$K$5,"CONCLUÍDA",IF(F3800&lt;='RETRATO 2027'!$K$5,"EM ANDAMENTO","A INICIAR")))</f>
        <v/>
      </c>
    </row>
    <row r="3801" customFormat="false" ht="15" hidden="false" customHeight="false" outlineLevel="0" collapsed="false">
      <c r="M3801" s="2" t="str">
        <f aca="false">IF(C3801="","",IFERROR(INDEX($S$5:$S$304,MATCH(C3801,$R$5:$R$304,0))&amp;"","?"))</f>
        <v/>
      </c>
      <c r="N3801" s="2" t="str">
        <f aca="false"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 t="str">
        <f aca="false">IF(OR(F3801="",G3801=""),"",IF(G3801&lt;='RETRATO 2027'!$K$5,"CONCLUÍDA",IF(F3801&lt;='RETRATO 2027'!$K$5,"EM ANDAMENTO","A INICIAR")))</f>
        <v/>
      </c>
    </row>
    <row r="3802" customFormat="false" ht="15" hidden="false" customHeight="false" outlineLevel="0" collapsed="false">
      <c r="M3802" s="2" t="str">
        <f aca="false">IF(C3802="","",IFERROR(INDEX($S$5:$S$304,MATCH(C3802,$R$5:$R$304,0))&amp;"","?"))</f>
        <v/>
      </c>
      <c r="N3802" s="2" t="str">
        <f aca="false"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 t="str">
        <f aca="false">IF(OR(F3802="",G3802=""),"",IF(G3802&lt;='RETRATO 2027'!$K$5,"CONCLUÍDA",IF(F3802&lt;='RETRATO 2027'!$K$5,"EM ANDAMENTO","A INICIAR")))</f>
        <v/>
      </c>
    </row>
    <row r="3803" customFormat="false" ht="15" hidden="false" customHeight="false" outlineLevel="0" collapsed="false">
      <c r="M3803" s="2" t="str">
        <f aca="false">IF(C3803="","",IFERROR(INDEX($S$5:$S$304,MATCH(C3803,$R$5:$R$304,0))&amp;"","?"))</f>
        <v/>
      </c>
      <c r="N3803" s="2" t="str">
        <f aca="false"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 t="str">
        <f aca="false">IF(OR(F3803="",G3803=""),"",IF(G3803&lt;='RETRATO 2027'!$K$5,"CONCLUÍDA",IF(F3803&lt;='RETRATO 2027'!$K$5,"EM ANDAMENTO","A INICIAR")))</f>
        <v/>
      </c>
    </row>
    <row r="3804" customFormat="false" ht="15" hidden="false" customHeight="false" outlineLevel="0" collapsed="false">
      <c r="M3804" s="2" t="str">
        <f aca="false">IF(C3804="","",IFERROR(INDEX($S$5:$S$304,MATCH(C3804,$R$5:$R$304,0))&amp;"","?"))</f>
        <v/>
      </c>
      <c r="N3804" s="2" t="str">
        <f aca="false"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 t="str">
        <f aca="false">IF(OR(F3804="",G3804=""),"",IF(G3804&lt;='RETRATO 2027'!$K$5,"CONCLUÍDA",IF(F3804&lt;='RETRATO 2027'!$K$5,"EM ANDAMENTO","A INICIAR")))</f>
        <v/>
      </c>
    </row>
    <row r="3805" customFormat="false" ht="15" hidden="false" customHeight="false" outlineLevel="0" collapsed="false">
      <c r="M3805" s="2" t="str">
        <f aca="false">IF(C3805="","",IFERROR(INDEX($S$5:$S$304,MATCH(C3805,$R$5:$R$304,0))&amp;"","?"))</f>
        <v/>
      </c>
      <c r="N3805" s="2" t="str">
        <f aca="false"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 t="str">
        <f aca="false">IF(OR(F3805="",G3805=""),"",IF(G3805&lt;='RETRATO 2027'!$K$5,"CONCLUÍDA",IF(F3805&lt;='RETRATO 2027'!$K$5,"EM ANDAMENTO","A INICIAR")))</f>
        <v/>
      </c>
    </row>
    <row r="3806" customFormat="false" ht="15" hidden="false" customHeight="false" outlineLevel="0" collapsed="false">
      <c r="M3806" s="2" t="str">
        <f aca="false">IF(C3806="","",IFERROR(INDEX($S$5:$S$304,MATCH(C3806,$R$5:$R$304,0))&amp;"","?"))</f>
        <v/>
      </c>
      <c r="N3806" s="2" t="str">
        <f aca="false"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 t="str">
        <f aca="false">IF(OR(F3806="",G3806=""),"",IF(G3806&lt;='RETRATO 2027'!$K$5,"CONCLUÍDA",IF(F3806&lt;='RETRATO 2027'!$K$5,"EM ANDAMENTO","A INICIAR")))</f>
        <v/>
      </c>
    </row>
    <row r="3807" customFormat="false" ht="15" hidden="false" customHeight="false" outlineLevel="0" collapsed="false">
      <c r="M3807" s="2" t="str">
        <f aca="false">IF(C3807="","",IFERROR(INDEX($S$5:$S$304,MATCH(C3807,$R$5:$R$304,0))&amp;"","?"))</f>
        <v/>
      </c>
      <c r="N3807" s="2" t="str">
        <f aca="false"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 t="str">
        <f aca="false">IF(OR(F3807="",G3807=""),"",IF(G3807&lt;='RETRATO 2027'!$K$5,"CONCLUÍDA",IF(F3807&lt;='RETRATO 2027'!$K$5,"EM ANDAMENTO","A INICIAR")))</f>
        <v/>
      </c>
    </row>
    <row r="3808" customFormat="false" ht="15" hidden="false" customHeight="false" outlineLevel="0" collapsed="false">
      <c r="M3808" s="2" t="str">
        <f aca="false">IF(C3808="","",IFERROR(INDEX($S$5:$S$304,MATCH(C3808,$R$5:$R$304,0))&amp;"","?"))</f>
        <v/>
      </c>
      <c r="N3808" s="2" t="str">
        <f aca="false"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 t="str">
        <f aca="false">IF(OR(F3808="",G3808=""),"",IF(G3808&lt;='RETRATO 2027'!$K$5,"CONCLUÍDA",IF(F3808&lt;='RETRATO 2027'!$K$5,"EM ANDAMENTO","A INICIAR")))</f>
        <v/>
      </c>
    </row>
    <row r="3809" customFormat="false" ht="15" hidden="false" customHeight="false" outlineLevel="0" collapsed="false">
      <c r="M3809" s="2" t="str">
        <f aca="false">IF(C3809="","",IFERROR(INDEX($S$5:$S$304,MATCH(C3809,$R$5:$R$304,0))&amp;"","?"))</f>
        <v/>
      </c>
      <c r="N3809" s="2" t="str">
        <f aca="false"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 t="str">
        <f aca="false">IF(OR(F3809="",G3809=""),"",IF(G3809&lt;='RETRATO 2027'!$K$5,"CONCLUÍDA",IF(F3809&lt;='RETRATO 2027'!$K$5,"EM ANDAMENTO","A INICIAR")))</f>
        <v/>
      </c>
    </row>
    <row r="3810" customFormat="false" ht="15" hidden="false" customHeight="false" outlineLevel="0" collapsed="false">
      <c r="M3810" s="2" t="str">
        <f aca="false">IF(C3810="","",IFERROR(INDEX($S$5:$S$304,MATCH(C3810,$R$5:$R$304,0))&amp;"","?"))</f>
        <v/>
      </c>
      <c r="N3810" s="2" t="str">
        <f aca="false"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 t="str">
        <f aca="false">IF(OR(F3810="",G3810=""),"",IF(G3810&lt;='RETRATO 2027'!$K$5,"CONCLUÍDA",IF(F3810&lt;='RETRATO 2027'!$K$5,"EM ANDAMENTO","A INICIAR")))</f>
        <v/>
      </c>
    </row>
    <row r="3811" customFormat="false" ht="15" hidden="false" customHeight="false" outlineLevel="0" collapsed="false">
      <c r="M3811" s="2" t="str">
        <f aca="false">IF(C3811="","",IFERROR(INDEX($S$5:$S$304,MATCH(C3811,$R$5:$R$304,0))&amp;"","?"))</f>
        <v/>
      </c>
      <c r="N3811" s="2" t="str">
        <f aca="false"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 t="str">
        <f aca="false">IF(OR(F3811="",G3811=""),"",IF(G3811&lt;='RETRATO 2027'!$K$5,"CONCLUÍDA",IF(F3811&lt;='RETRATO 2027'!$K$5,"EM ANDAMENTO","A INICIAR")))</f>
        <v/>
      </c>
    </row>
    <row r="3812" customFormat="false" ht="15" hidden="false" customHeight="false" outlineLevel="0" collapsed="false">
      <c r="M3812" s="2" t="str">
        <f aca="false">IF(C3812="","",IFERROR(INDEX($S$5:$S$304,MATCH(C3812,$R$5:$R$304,0))&amp;"","?"))</f>
        <v/>
      </c>
      <c r="N3812" s="2" t="str">
        <f aca="false"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 t="str">
        <f aca="false">IF(OR(F3812="",G3812=""),"",IF(G3812&lt;='RETRATO 2027'!$K$5,"CONCLUÍDA",IF(F3812&lt;='RETRATO 2027'!$K$5,"EM ANDAMENTO","A INICIAR")))</f>
        <v/>
      </c>
    </row>
    <row r="3813" customFormat="false" ht="15" hidden="false" customHeight="false" outlineLevel="0" collapsed="false">
      <c r="M3813" s="2" t="str">
        <f aca="false">IF(C3813="","",IFERROR(INDEX($S$5:$S$304,MATCH(C3813,$R$5:$R$304,0))&amp;"","?"))</f>
        <v/>
      </c>
      <c r="N3813" s="2" t="str">
        <f aca="false"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 t="str">
        <f aca="false">IF(OR(F3813="",G3813=""),"",IF(G3813&lt;='RETRATO 2027'!$K$5,"CONCLUÍDA",IF(F3813&lt;='RETRATO 2027'!$K$5,"EM ANDAMENTO","A INICIAR")))</f>
        <v/>
      </c>
    </row>
    <row r="3814" customFormat="false" ht="15" hidden="false" customHeight="false" outlineLevel="0" collapsed="false">
      <c r="M3814" s="2" t="str">
        <f aca="false">IF(C3814="","",IFERROR(INDEX($S$5:$S$304,MATCH(C3814,$R$5:$R$304,0))&amp;"","?"))</f>
        <v/>
      </c>
      <c r="N3814" s="2" t="str">
        <f aca="false"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 t="str">
        <f aca="false">IF(OR(F3814="",G3814=""),"",IF(G3814&lt;='RETRATO 2027'!$K$5,"CONCLUÍDA",IF(F3814&lt;='RETRATO 2027'!$K$5,"EM ANDAMENTO","A INICIAR")))</f>
        <v/>
      </c>
    </row>
    <row r="3815" customFormat="false" ht="15" hidden="false" customHeight="false" outlineLevel="0" collapsed="false">
      <c r="M3815" s="2" t="str">
        <f aca="false">IF(C3815="","",IFERROR(INDEX($S$5:$S$304,MATCH(C3815,$R$5:$R$304,0))&amp;"","?"))</f>
        <v/>
      </c>
      <c r="N3815" s="2" t="str">
        <f aca="false"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 t="str">
        <f aca="false">IF(OR(F3815="",G3815=""),"",IF(G3815&lt;='RETRATO 2027'!$K$5,"CONCLUÍDA",IF(F3815&lt;='RETRATO 2027'!$K$5,"EM ANDAMENTO","A INICIAR")))</f>
        <v/>
      </c>
    </row>
    <row r="3816" customFormat="false" ht="15" hidden="false" customHeight="false" outlineLevel="0" collapsed="false">
      <c r="M3816" s="2" t="str">
        <f aca="false">IF(C3816="","",IFERROR(INDEX($S$5:$S$304,MATCH(C3816,$R$5:$R$304,0))&amp;"","?"))</f>
        <v/>
      </c>
      <c r="N3816" s="2" t="str">
        <f aca="false"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 t="str">
        <f aca="false">IF(OR(F3816="",G3816=""),"",IF(G3816&lt;='RETRATO 2027'!$K$5,"CONCLUÍDA",IF(F3816&lt;='RETRATO 2027'!$K$5,"EM ANDAMENTO","A INICIAR")))</f>
        <v/>
      </c>
    </row>
    <row r="3817" customFormat="false" ht="15" hidden="false" customHeight="false" outlineLevel="0" collapsed="false">
      <c r="M3817" s="2" t="str">
        <f aca="false">IF(C3817="","",IFERROR(INDEX($S$5:$S$304,MATCH(C3817,$R$5:$R$304,0))&amp;"","?"))</f>
        <v/>
      </c>
      <c r="N3817" s="2" t="str">
        <f aca="false"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 t="str">
        <f aca="false">IF(OR(F3817="",G3817=""),"",IF(G3817&lt;='RETRATO 2027'!$K$5,"CONCLUÍDA",IF(F3817&lt;='RETRATO 2027'!$K$5,"EM ANDAMENTO","A INICIAR")))</f>
        <v/>
      </c>
    </row>
    <row r="3818" customFormat="false" ht="15" hidden="false" customHeight="false" outlineLevel="0" collapsed="false">
      <c r="M3818" s="2" t="str">
        <f aca="false">IF(C3818="","",IFERROR(INDEX($S$5:$S$304,MATCH(C3818,$R$5:$R$304,0))&amp;"","?"))</f>
        <v/>
      </c>
      <c r="N3818" s="2" t="str">
        <f aca="false"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 t="str">
        <f aca="false">IF(OR(F3818="",G3818=""),"",IF(G3818&lt;='RETRATO 2027'!$K$5,"CONCLUÍDA",IF(F3818&lt;='RETRATO 2027'!$K$5,"EM ANDAMENTO","A INICIAR")))</f>
        <v/>
      </c>
    </row>
    <row r="3819" customFormat="false" ht="15" hidden="false" customHeight="false" outlineLevel="0" collapsed="false">
      <c r="M3819" s="2" t="str">
        <f aca="false">IF(C3819="","",IFERROR(INDEX($S$5:$S$304,MATCH(C3819,$R$5:$R$304,0))&amp;"","?"))</f>
        <v/>
      </c>
      <c r="N3819" s="2" t="str">
        <f aca="false"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 t="str">
        <f aca="false">IF(OR(F3819="",G3819=""),"",IF(G3819&lt;='RETRATO 2027'!$K$5,"CONCLUÍDA",IF(F3819&lt;='RETRATO 2027'!$K$5,"EM ANDAMENTO","A INICIAR")))</f>
        <v/>
      </c>
    </row>
    <row r="3820" customFormat="false" ht="15" hidden="false" customHeight="false" outlineLevel="0" collapsed="false">
      <c r="M3820" s="2" t="str">
        <f aca="false">IF(C3820="","",IFERROR(INDEX($S$5:$S$304,MATCH(C3820,$R$5:$R$304,0))&amp;"","?"))</f>
        <v/>
      </c>
      <c r="N3820" s="2" t="str">
        <f aca="false"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 t="str">
        <f aca="false">IF(OR(F3820="",G3820=""),"",IF(G3820&lt;='RETRATO 2027'!$K$5,"CONCLUÍDA",IF(F3820&lt;='RETRATO 2027'!$K$5,"EM ANDAMENTO","A INICIAR")))</f>
        <v/>
      </c>
    </row>
    <row r="3821" customFormat="false" ht="15" hidden="false" customHeight="false" outlineLevel="0" collapsed="false">
      <c r="M3821" s="2" t="str">
        <f aca="false">IF(C3821="","",IFERROR(INDEX($S$5:$S$304,MATCH(C3821,$R$5:$R$304,0))&amp;"","?"))</f>
        <v/>
      </c>
      <c r="N3821" s="2" t="str">
        <f aca="false"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 t="str">
        <f aca="false">IF(OR(F3821="",G3821=""),"",IF(G3821&lt;='RETRATO 2027'!$K$5,"CONCLUÍDA",IF(F3821&lt;='RETRATO 2027'!$K$5,"EM ANDAMENTO","A INICIAR")))</f>
        <v/>
      </c>
    </row>
    <row r="3822" customFormat="false" ht="15" hidden="false" customHeight="false" outlineLevel="0" collapsed="false">
      <c r="M3822" s="2" t="str">
        <f aca="false">IF(C3822="","",IFERROR(INDEX($S$5:$S$304,MATCH(C3822,$R$5:$R$304,0))&amp;"","?"))</f>
        <v/>
      </c>
      <c r="N3822" s="2" t="str">
        <f aca="false"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 t="str">
        <f aca="false">IF(OR(F3822="",G3822=""),"",IF(G3822&lt;='RETRATO 2027'!$K$5,"CONCLUÍDA",IF(F3822&lt;='RETRATO 2027'!$K$5,"EM ANDAMENTO","A INICIAR")))</f>
        <v/>
      </c>
    </row>
    <row r="3823" customFormat="false" ht="15" hidden="false" customHeight="false" outlineLevel="0" collapsed="false">
      <c r="M3823" s="2" t="str">
        <f aca="false">IF(C3823="","",IFERROR(INDEX($S$5:$S$304,MATCH(C3823,$R$5:$R$304,0))&amp;"","?"))</f>
        <v/>
      </c>
      <c r="N3823" s="2" t="str">
        <f aca="false"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 t="str">
        <f aca="false">IF(OR(F3823="",G3823=""),"",IF(G3823&lt;='RETRATO 2027'!$K$5,"CONCLUÍDA",IF(F3823&lt;='RETRATO 2027'!$K$5,"EM ANDAMENTO","A INICIAR")))</f>
        <v/>
      </c>
    </row>
    <row r="3824" customFormat="false" ht="15" hidden="false" customHeight="false" outlineLevel="0" collapsed="false">
      <c r="M3824" s="2" t="str">
        <f aca="false">IF(C3824="","",IFERROR(INDEX($S$5:$S$304,MATCH(C3824,$R$5:$R$304,0))&amp;"","?"))</f>
        <v/>
      </c>
      <c r="N3824" s="2" t="str">
        <f aca="false"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 t="str">
        <f aca="false">IF(OR(F3824="",G3824=""),"",IF(G3824&lt;='RETRATO 2027'!$K$5,"CONCLUÍDA",IF(F3824&lt;='RETRATO 2027'!$K$5,"EM ANDAMENTO","A INICIAR")))</f>
        <v/>
      </c>
    </row>
    <row r="3825" customFormat="false" ht="15" hidden="false" customHeight="false" outlineLevel="0" collapsed="false">
      <c r="M3825" s="2" t="str">
        <f aca="false">IF(C3825="","",IFERROR(INDEX($S$5:$S$304,MATCH(C3825,$R$5:$R$304,0))&amp;"","?"))</f>
        <v/>
      </c>
      <c r="N3825" s="2" t="str">
        <f aca="false"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 t="str">
        <f aca="false">IF(OR(F3825="",G3825=""),"",IF(G3825&lt;='RETRATO 2027'!$K$5,"CONCLUÍDA",IF(F3825&lt;='RETRATO 2027'!$K$5,"EM ANDAMENTO","A INICIAR")))</f>
        <v/>
      </c>
    </row>
    <row r="3826" customFormat="false" ht="15" hidden="false" customHeight="false" outlineLevel="0" collapsed="false">
      <c r="M3826" s="2" t="str">
        <f aca="false">IF(C3826="","",IFERROR(INDEX($S$5:$S$304,MATCH(C3826,$R$5:$R$304,0))&amp;"","?"))</f>
        <v/>
      </c>
      <c r="N3826" s="2" t="str">
        <f aca="false"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 t="str">
        <f aca="false">IF(OR(F3826="",G3826=""),"",IF(G3826&lt;='RETRATO 2027'!$K$5,"CONCLUÍDA",IF(F3826&lt;='RETRATO 2027'!$K$5,"EM ANDAMENTO","A INICIAR")))</f>
        <v/>
      </c>
    </row>
    <row r="3827" customFormat="false" ht="15" hidden="false" customHeight="false" outlineLevel="0" collapsed="false">
      <c r="M3827" s="2" t="str">
        <f aca="false">IF(C3827="","",IFERROR(INDEX($S$5:$S$304,MATCH(C3827,$R$5:$R$304,0))&amp;"","?"))</f>
        <v/>
      </c>
      <c r="N3827" s="2" t="str">
        <f aca="false"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 t="str">
        <f aca="false">IF(OR(F3827="",G3827=""),"",IF(G3827&lt;='RETRATO 2027'!$K$5,"CONCLUÍDA",IF(F3827&lt;='RETRATO 2027'!$K$5,"EM ANDAMENTO","A INICIAR")))</f>
        <v/>
      </c>
    </row>
    <row r="3828" customFormat="false" ht="15" hidden="false" customHeight="false" outlineLevel="0" collapsed="false">
      <c r="M3828" s="2" t="str">
        <f aca="false">IF(C3828="","",IFERROR(INDEX($S$5:$S$304,MATCH(C3828,$R$5:$R$304,0))&amp;"","?"))</f>
        <v/>
      </c>
      <c r="N3828" s="2" t="str">
        <f aca="false"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 t="str">
        <f aca="false">IF(OR(F3828="",G3828=""),"",IF(G3828&lt;='RETRATO 2027'!$K$5,"CONCLUÍDA",IF(F3828&lt;='RETRATO 2027'!$K$5,"EM ANDAMENTO","A INICIAR")))</f>
        <v/>
      </c>
    </row>
    <row r="3829" customFormat="false" ht="15" hidden="false" customHeight="false" outlineLevel="0" collapsed="false">
      <c r="M3829" s="2" t="str">
        <f aca="false">IF(C3829="","",IFERROR(INDEX($S$5:$S$304,MATCH(C3829,$R$5:$R$304,0))&amp;"","?"))</f>
        <v/>
      </c>
      <c r="N3829" s="2" t="str">
        <f aca="false"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 t="str">
        <f aca="false">IF(OR(F3829="",G3829=""),"",IF(G3829&lt;='RETRATO 2027'!$K$5,"CONCLUÍDA",IF(F3829&lt;='RETRATO 2027'!$K$5,"EM ANDAMENTO","A INICIAR")))</f>
        <v/>
      </c>
    </row>
    <row r="3830" customFormat="false" ht="15" hidden="false" customHeight="false" outlineLevel="0" collapsed="false">
      <c r="M3830" s="2" t="str">
        <f aca="false">IF(C3830="","",IFERROR(INDEX($S$5:$S$304,MATCH(C3830,$R$5:$R$304,0))&amp;"","?"))</f>
        <v/>
      </c>
      <c r="N3830" s="2" t="str">
        <f aca="false"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 t="str">
        <f aca="false">IF(OR(F3830="",G3830=""),"",IF(G3830&lt;='RETRATO 2027'!$K$5,"CONCLUÍDA",IF(F3830&lt;='RETRATO 2027'!$K$5,"EM ANDAMENTO","A INICIAR")))</f>
        <v/>
      </c>
    </row>
    <row r="3831" customFormat="false" ht="15" hidden="false" customHeight="false" outlineLevel="0" collapsed="false">
      <c r="M3831" s="2" t="str">
        <f aca="false">IF(C3831="","",IFERROR(INDEX($S$5:$S$304,MATCH(C3831,$R$5:$R$304,0))&amp;"","?"))</f>
        <v/>
      </c>
      <c r="N3831" s="2" t="str">
        <f aca="false"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 t="str">
        <f aca="false">IF(OR(F3831="",G3831=""),"",IF(G3831&lt;='RETRATO 2027'!$K$5,"CONCLUÍDA",IF(F3831&lt;='RETRATO 2027'!$K$5,"EM ANDAMENTO","A INICIAR")))</f>
        <v/>
      </c>
    </row>
    <row r="3832" customFormat="false" ht="15" hidden="false" customHeight="false" outlineLevel="0" collapsed="false">
      <c r="M3832" s="2" t="str">
        <f aca="false">IF(C3832="","",IFERROR(INDEX($S$5:$S$304,MATCH(C3832,$R$5:$R$304,0))&amp;"","?"))</f>
        <v/>
      </c>
      <c r="N3832" s="2" t="str">
        <f aca="false"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 t="str">
        <f aca="false">IF(OR(F3832="",G3832=""),"",IF(G3832&lt;='RETRATO 2027'!$K$5,"CONCLUÍDA",IF(F3832&lt;='RETRATO 2027'!$K$5,"EM ANDAMENTO","A INICIAR")))</f>
        <v/>
      </c>
    </row>
    <row r="3833" customFormat="false" ht="15" hidden="false" customHeight="false" outlineLevel="0" collapsed="false">
      <c r="M3833" s="2" t="str">
        <f aca="false">IF(C3833="","",IFERROR(INDEX($S$5:$S$304,MATCH(C3833,$R$5:$R$304,0))&amp;"","?"))</f>
        <v/>
      </c>
      <c r="N3833" s="2" t="str">
        <f aca="false"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 t="str">
        <f aca="false">IF(OR(F3833="",G3833=""),"",IF(G3833&lt;='RETRATO 2027'!$K$5,"CONCLUÍDA",IF(F3833&lt;='RETRATO 2027'!$K$5,"EM ANDAMENTO","A INICIAR")))</f>
        <v/>
      </c>
    </row>
    <row r="3834" customFormat="false" ht="15" hidden="false" customHeight="false" outlineLevel="0" collapsed="false">
      <c r="M3834" s="2" t="str">
        <f aca="false">IF(C3834="","",IFERROR(INDEX($S$5:$S$304,MATCH(C3834,$R$5:$R$304,0))&amp;"","?"))</f>
        <v/>
      </c>
      <c r="N3834" s="2" t="str">
        <f aca="false"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 t="str">
        <f aca="false">IF(OR(F3834="",G3834=""),"",IF(G3834&lt;='RETRATO 2027'!$K$5,"CONCLUÍDA",IF(F3834&lt;='RETRATO 2027'!$K$5,"EM ANDAMENTO","A INICIAR")))</f>
        <v/>
      </c>
    </row>
    <row r="3835" customFormat="false" ht="15" hidden="false" customHeight="false" outlineLevel="0" collapsed="false">
      <c r="M3835" s="2" t="str">
        <f aca="false">IF(C3835="","",IFERROR(INDEX($S$5:$S$304,MATCH(C3835,$R$5:$R$304,0))&amp;"","?"))</f>
        <v/>
      </c>
      <c r="N3835" s="2" t="str">
        <f aca="false"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 t="str">
        <f aca="false">IF(OR(F3835="",G3835=""),"",IF(G3835&lt;='RETRATO 2027'!$K$5,"CONCLUÍDA",IF(F3835&lt;='RETRATO 2027'!$K$5,"EM ANDAMENTO","A INICIAR")))</f>
        <v/>
      </c>
    </row>
    <row r="3836" customFormat="false" ht="15" hidden="false" customHeight="false" outlineLevel="0" collapsed="false">
      <c r="M3836" s="2" t="str">
        <f aca="false">IF(C3836="","",IFERROR(INDEX($S$5:$S$304,MATCH(C3836,$R$5:$R$304,0))&amp;"","?"))</f>
        <v/>
      </c>
      <c r="N3836" s="2" t="str">
        <f aca="false"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 t="str">
        <f aca="false">IF(OR(F3836="",G3836=""),"",IF(G3836&lt;='RETRATO 2027'!$K$5,"CONCLUÍDA",IF(F3836&lt;='RETRATO 2027'!$K$5,"EM ANDAMENTO","A INICIAR")))</f>
        <v/>
      </c>
    </row>
    <row r="3837" customFormat="false" ht="15" hidden="false" customHeight="false" outlineLevel="0" collapsed="false">
      <c r="M3837" s="2" t="str">
        <f aca="false">IF(C3837="","",IFERROR(INDEX($S$5:$S$304,MATCH(C3837,$R$5:$R$304,0))&amp;"","?"))</f>
        <v/>
      </c>
      <c r="N3837" s="2" t="str">
        <f aca="false"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 t="str">
        <f aca="false">IF(OR(F3837="",G3837=""),"",IF(G3837&lt;='RETRATO 2027'!$K$5,"CONCLUÍDA",IF(F3837&lt;='RETRATO 2027'!$K$5,"EM ANDAMENTO","A INICIAR")))</f>
        <v/>
      </c>
    </row>
    <row r="3838" customFormat="false" ht="15" hidden="false" customHeight="false" outlineLevel="0" collapsed="false">
      <c r="M3838" s="2" t="str">
        <f aca="false">IF(C3838="","",IFERROR(INDEX($S$5:$S$304,MATCH(C3838,$R$5:$R$304,0))&amp;"","?"))</f>
        <v/>
      </c>
      <c r="N3838" s="2" t="str">
        <f aca="false"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 t="str">
        <f aca="false">IF(OR(F3838="",G3838=""),"",IF(G3838&lt;='RETRATO 2027'!$K$5,"CONCLUÍDA",IF(F3838&lt;='RETRATO 2027'!$K$5,"EM ANDAMENTO","A INICIAR")))</f>
        <v/>
      </c>
    </row>
    <row r="3839" customFormat="false" ht="15" hidden="false" customHeight="false" outlineLevel="0" collapsed="false">
      <c r="M3839" s="2" t="str">
        <f aca="false">IF(C3839="","",IFERROR(INDEX($S$5:$S$304,MATCH(C3839,$R$5:$R$304,0))&amp;"","?"))</f>
        <v/>
      </c>
      <c r="N3839" s="2" t="str">
        <f aca="false"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 t="str">
        <f aca="false">IF(OR(F3839="",G3839=""),"",IF(G3839&lt;='RETRATO 2027'!$K$5,"CONCLUÍDA",IF(F3839&lt;='RETRATO 2027'!$K$5,"EM ANDAMENTO","A INICIAR")))</f>
        <v/>
      </c>
    </row>
    <row r="3840" customFormat="false" ht="15" hidden="false" customHeight="false" outlineLevel="0" collapsed="false">
      <c r="M3840" s="2" t="str">
        <f aca="false">IF(C3840="","",IFERROR(INDEX($S$5:$S$304,MATCH(C3840,$R$5:$R$304,0))&amp;"","?"))</f>
        <v/>
      </c>
      <c r="N3840" s="2" t="str">
        <f aca="false"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 t="str">
        <f aca="false">IF(OR(F3840="",G3840=""),"",IF(G3840&lt;='RETRATO 2027'!$K$5,"CONCLUÍDA",IF(F3840&lt;='RETRATO 2027'!$K$5,"EM ANDAMENTO","A INICIAR")))</f>
        <v/>
      </c>
    </row>
    <row r="3841" customFormat="false" ht="15" hidden="false" customHeight="false" outlineLevel="0" collapsed="false">
      <c r="M3841" s="2" t="str">
        <f aca="false">IF(C3841="","",IFERROR(INDEX($S$5:$S$304,MATCH(C3841,$R$5:$R$304,0))&amp;"","?"))</f>
        <v/>
      </c>
      <c r="N3841" s="2" t="str">
        <f aca="false"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 t="str">
        <f aca="false">IF(OR(F3841="",G3841=""),"",IF(G3841&lt;='RETRATO 2027'!$K$5,"CONCLUÍDA",IF(F3841&lt;='RETRATO 2027'!$K$5,"EM ANDAMENTO","A INICIAR")))</f>
        <v/>
      </c>
    </row>
    <row r="3842" customFormat="false" ht="15" hidden="false" customHeight="false" outlineLevel="0" collapsed="false">
      <c r="M3842" s="2" t="str">
        <f aca="false">IF(C3842="","",IFERROR(INDEX($S$5:$S$304,MATCH(C3842,$R$5:$R$304,0))&amp;"","?"))</f>
        <v/>
      </c>
      <c r="N3842" s="2" t="str">
        <f aca="false"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 t="str">
        <f aca="false">IF(OR(F3842="",G3842=""),"",IF(G3842&lt;='RETRATO 2027'!$K$5,"CONCLUÍDA",IF(F3842&lt;='RETRATO 2027'!$K$5,"EM ANDAMENTO","A INICIAR")))</f>
        <v/>
      </c>
    </row>
    <row r="3843" customFormat="false" ht="15" hidden="false" customHeight="false" outlineLevel="0" collapsed="false">
      <c r="M3843" s="2" t="str">
        <f aca="false">IF(C3843="","",IFERROR(INDEX($S$5:$S$304,MATCH(C3843,$R$5:$R$304,0))&amp;"","?"))</f>
        <v/>
      </c>
      <c r="N3843" s="2" t="str">
        <f aca="false"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 t="str">
        <f aca="false">IF(OR(F3843="",G3843=""),"",IF(G3843&lt;='RETRATO 2027'!$K$5,"CONCLUÍDA",IF(F3843&lt;='RETRATO 2027'!$K$5,"EM ANDAMENTO","A INICIAR")))</f>
        <v/>
      </c>
    </row>
    <row r="3844" customFormat="false" ht="15" hidden="false" customHeight="false" outlineLevel="0" collapsed="false">
      <c r="M3844" s="2" t="str">
        <f aca="false">IF(C3844="","",IFERROR(INDEX($S$5:$S$304,MATCH(C3844,$R$5:$R$304,0))&amp;"","?"))</f>
        <v/>
      </c>
      <c r="N3844" s="2" t="str">
        <f aca="false"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 t="str">
        <f aca="false">IF(OR(F3844="",G3844=""),"",IF(G3844&lt;='RETRATO 2027'!$K$5,"CONCLUÍDA",IF(F3844&lt;='RETRATO 2027'!$K$5,"EM ANDAMENTO","A INICIAR")))</f>
        <v/>
      </c>
    </row>
    <row r="3845" customFormat="false" ht="15" hidden="false" customHeight="false" outlineLevel="0" collapsed="false">
      <c r="M3845" s="2" t="str">
        <f aca="false">IF(C3845="","",IFERROR(INDEX($S$5:$S$304,MATCH(C3845,$R$5:$R$304,0))&amp;"","?"))</f>
        <v/>
      </c>
      <c r="N3845" s="2" t="str">
        <f aca="false"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 t="str">
        <f aca="false">IF(OR(F3845="",G3845=""),"",IF(G3845&lt;='RETRATO 2027'!$K$5,"CONCLUÍDA",IF(F3845&lt;='RETRATO 2027'!$K$5,"EM ANDAMENTO","A INICIAR")))</f>
        <v/>
      </c>
    </row>
    <row r="3846" customFormat="false" ht="15" hidden="false" customHeight="false" outlineLevel="0" collapsed="false">
      <c r="M3846" s="2" t="str">
        <f aca="false">IF(C3846="","",IFERROR(INDEX($S$5:$S$304,MATCH(C3846,$R$5:$R$304,0))&amp;"","?"))</f>
        <v/>
      </c>
      <c r="N3846" s="2" t="str">
        <f aca="false"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 t="str">
        <f aca="false">IF(OR(F3846="",G3846=""),"",IF(G3846&lt;='RETRATO 2027'!$K$5,"CONCLUÍDA",IF(F3846&lt;='RETRATO 2027'!$K$5,"EM ANDAMENTO","A INICIAR")))</f>
        <v/>
      </c>
    </row>
    <row r="3847" customFormat="false" ht="15" hidden="false" customHeight="false" outlineLevel="0" collapsed="false">
      <c r="M3847" s="2" t="str">
        <f aca="false">IF(C3847="","",IFERROR(INDEX($S$5:$S$304,MATCH(C3847,$R$5:$R$304,0))&amp;"","?"))</f>
        <v/>
      </c>
      <c r="N3847" s="2" t="str">
        <f aca="false"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 t="str">
        <f aca="false">IF(OR(F3847="",G3847=""),"",IF(G3847&lt;='RETRATO 2027'!$K$5,"CONCLUÍDA",IF(F3847&lt;='RETRATO 2027'!$K$5,"EM ANDAMENTO","A INICIAR")))</f>
        <v/>
      </c>
    </row>
    <row r="3848" customFormat="false" ht="15" hidden="false" customHeight="false" outlineLevel="0" collapsed="false">
      <c r="M3848" s="2" t="str">
        <f aca="false">IF(C3848="","",IFERROR(INDEX($S$5:$S$304,MATCH(C3848,$R$5:$R$304,0))&amp;"","?"))</f>
        <v/>
      </c>
      <c r="N3848" s="2" t="str">
        <f aca="false"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 t="str">
        <f aca="false">IF(OR(F3848="",G3848=""),"",IF(G3848&lt;='RETRATO 2027'!$K$5,"CONCLUÍDA",IF(F3848&lt;='RETRATO 2027'!$K$5,"EM ANDAMENTO","A INICIAR")))</f>
        <v/>
      </c>
    </row>
    <row r="3849" customFormat="false" ht="15" hidden="false" customHeight="false" outlineLevel="0" collapsed="false">
      <c r="M3849" s="2" t="str">
        <f aca="false">IF(C3849="","",IFERROR(INDEX($S$5:$S$304,MATCH(C3849,$R$5:$R$304,0))&amp;"","?"))</f>
        <v/>
      </c>
      <c r="N3849" s="2" t="str">
        <f aca="false"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 t="str">
        <f aca="false">IF(OR(F3849="",G3849=""),"",IF(G3849&lt;='RETRATO 2027'!$K$5,"CONCLUÍDA",IF(F3849&lt;='RETRATO 2027'!$K$5,"EM ANDAMENTO","A INICIAR")))</f>
        <v/>
      </c>
    </row>
    <row r="3850" customFormat="false" ht="15" hidden="false" customHeight="false" outlineLevel="0" collapsed="false">
      <c r="M3850" s="2" t="str">
        <f aca="false">IF(C3850="","",IFERROR(INDEX($S$5:$S$304,MATCH(C3850,$R$5:$R$304,0))&amp;"","?"))</f>
        <v/>
      </c>
      <c r="N3850" s="2" t="str">
        <f aca="false"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 t="str">
        <f aca="false">IF(OR(F3850="",G3850=""),"",IF(G3850&lt;='RETRATO 2027'!$K$5,"CONCLUÍDA",IF(F3850&lt;='RETRATO 2027'!$K$5,"EM ANDAMENTO","A INICIAR")))</f>
        <v/>
      </c>
    </row>
    <row r="3851" customFormat="false" ht="15" hidden="false" customHeight="false" outlineLevel="0" collapsed="false">
      <c r="M3851" s="2" t="str">
        <f aca="false">IF(C3851="","",IFERROR(INDEX($S$5:$S$304,MATCH(C3851,$R$5:$R$304,0))&amp;"","?"))</f>
        <v/>
      </c>
      <c r="N3851" s="2" t="str">
        <f aca="false"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 t="str">
        <f aca="false">IF(OR(F3851="",G3851=""),"",IF(G3851&lt;='RETRATO 2027'!$K$5,"CONCLUÍDA",IF(F3851&lt;='RETRATO 2027'!$K$5,"EM ANDAMENTO","A INICIAR")))</f>
        <v/>
      </c>
    </row>
    <row r="3852" customFormat="false" ht="15" hidden="false" customHeight="false" outlineLevel="0" collapsed="false">
      <c r="M3852" s="2" t="str">
        <f aca="false">IF(C3852="","",IFERROR(INDEX($S$5:$S$304,MATCH(C3852,$R$5:$R$304,0))&amp;"","?"))</f>
        <v/>
      </c>
      <c r="N3852" s="2" t="str">
        <f aca="false"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 t="str">
        <f aca="false">IF(OR(F3852="",G3852=""),"",IF(G3852&lt;='RETRATO 2027'!$K$5,"CONCLUÍDA",IF(F3852&lt;='RETRATO 2027'!$K$5,"EM ANDAMENTO","A INICIAR")))</f>
        <v/>
      </c>
    </row>
    <row r="3853" customFormat="false" ht="15" hidden="false" customHeight="false" outlineLevel="0" collapsed="false">
      <c r="M3853" s="2" t="str">
        <f aca="false">IF(C3853="","",IFERROR(INDEX($S$5:$S$304,MATCH(C3853,$R$5:$R$304,0))&amp;"","?"))</f>
        <v/>
      </c>
      <c r="N3853" s="2" t="str">
        <f aca="false"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 t="str">
        <f aca="false">IF(OR(F3853="",G3853=""),"",IF(G3853&lt;='RETRATO 2027'!$K$5,"CONCLUÍDA",IF(F3853&lt;='RETRATO 2027'!$K$5,"EM ANDAMENTO","A INICIAR")))</f>
        <v/>
      </c>
    </row>
    <row r="3854" customFormat="false" ht="15" hidden="false" customHeight="false" outlineLevel="0" collapsed="false">
      <c r="M3854" s="2" t="str">
        <f aca="false">IF(C3854="","",IFERROR(INDEX($S$5:$S$304,MATCH(C3854,$R$5:$R$304,0))&amp;"","?"))</f>
        <v/>
      </c>
      <c r="N3854" s="2" t="str">
        <f aca="false"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 t="str">
        <f aca="false">IF(OR(F3854="",G3854=""),"",IF(G3854&lt;='RETRATO 2027'!$K$5,"CONCLUÍDA",IF(F3854&lt;='RETRATO 2027'!$K$5,"EM ANDAMENTO","A INICIAR")))</f>
        <v/>
      </c>
    </row>
    <row r="3855" customFormat="false" ht="15" hidden="false" customHeight="false" outlineLevel="0" collapsed="false">
      <c r="M3855" s="2" t="str">
        <f aca="false">IF(C3855="","",IFERROR(INDEX($S$5:$S$304,MATCH(C3855,$R$5:$R$304,0))&amp;"","?"))</f>
        <v/>
      </c>
      <c r="N3855" s="2" t="str">
        <f aca="false"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 t="str">
        <f aca="false">IF(OR(F3855="",G3855=""),"",IF(G3855&lt;='RETRATO 2027'!$K$5,"CONCLUÍDA",IF(F3855&lt;='RETRATO 2027'!$K$5,"EM ANDAMENTO","A INICIAR")))</f>
        <v/>
      </c>
    </row>
    <row r="3856" customFormat="false" ht="15" hidden="false" customHeight="false" outlineLevel="0" collapsed="false">
      <c r="M3856" s="2" t="str">
        <f aca="false">IF(C3856="","",IFERROR(INDEX($S$5:$S$304,MATCH(C3856,$R$5:$R$304,0))&amp;"","?"))</f>
        <v/>
      </c>
      <c r="N3856" s="2" t="str">
        <f aca="false"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 t="str">
        <f aca="false">IF(OR(F3856="",G3856=""),"",IF(G3856&lt;='RETRATO 2027'!$K$5,"CONCLUÍDA",IF(F3856&lt;='RETRATO 2027'!$K$5,"EM ANDAMENTO","A INICIAR")))</f>
        <v/>
      </c>
    </row>
    <row r="3857" customFormat="false" ht="15" hidden="false" customHeight="false" outlineLevel="0" collapsed="false">
      <c r="M3857" s="2" t="str">
        <f aca="false">IF(C3857="","",IFERROR(INDEX($S$5:$S$304,MATCH(C3857,$R$5:$R$304,0))&amp;"","?"))</f>
        <v/>
      </c>
      <c r="N3857" s="2" t="str">
        <f aca="false"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 t="str">
        <f aca="false">IF(OR(F3857="",G3857=""),"",IF(G3857&lt;='RETRATO 2027'!$K$5,"CONCLUÍDA",IF(F3857&lt;='RETRATO 2027'!$K$5,"EM ANDAMENTO","A INICIAR")))</f>
        <v/>
      </c>
    </row>
    <row r="3858" customFormat="false" ht="15" hidden="false" customHeight="false" outlineLevel="0" collapsed="false">
      <c r="M3858" s="2" t="str">
        <f aca="false">IF(C3858="","",IFERROR(INDEX($S$5:$S$304,MATCH(C3858,$R$5:$R$304,0))&amp;"","?"))</f>
        <v/>
      </c>
      <c r="N3858" s="2" t="str">
        <f aca="false"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 t="str">
        <f aca="false">IF(OR(F3858="",G3858=""),"",IF(G3858&lt;='RETRATO 2027'!$K$5,"CONCLUÍDA",IF(F3858&lt;='RETRATO 2027'!$K$5,"EM ANDAMENTO","A INICIAR")))</f>
        <v/>
      </c>
    </row>
    <row r="3859" customFormat="false" ht="15" hidden="false" customHeight="false" outlineLevel="0" collapsed="false">
      <c r="M3859" s="2" t="str">
        <f aca="false">IF(C3859="","",IFERROR(INDEX($S$5:$S$304,MATCH(C3859,$R$5:$R$304,0))&amp;"","?"))</f>
        <v/>
      </c>
      <c r="N3859" s="2" t="str">
        <f aca="false"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 t="str">
        <f aca="false">IF(OR(F3859="",G3859=""),"",IF(G3859&lt;='RETRATO 2027'!$K$5,"CONCLUÍDA",IF(F3859&lt;='RETRATO 2027'!$K$5,"EM ANDAMENTO","A INICIAR")))</f>
        <v/>
      </c>
    </row>
    <row r="3860" customFormat="false" ht="15" hidden="false" customHeight="false" outlineLevel="0" collapsed="false">
      <c r="M3860" s="2" t="str">
        <f aca="false">IF(C3860="","",IFERROR(INDEX($S$5:$S$304,MATCH(C3860,$R$5:$R$304,0))&amp;"","?"))</f>
        <v/>
      </c>
      <c r="N3860" s="2" t="str">
        <f aca="false"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 t="str">
        <f aca="false">IF(OR(F3860="",G3860=""),"",IF(G3860&lt;='RETRATO 2027'!$K$5,"CONCLUÍDA",IF(F3860&lt;='RETRATO 2027'!$K$5,"EM ANDAMENTO","A INICIAR")))</f>
        <v/>
      </c>
    </row>
    <row r="3861" customFormat="false" ht="15" hidden="false" customHeight="false" outlineLevel="0" collapsed="false">
      <c r="M3861" s="2" t="str">
        <f aca="false">IF(C3861="","",IFERROR(INDEX($S$5:$S$304,MATCH(C3861,$R$5:$R$304,0))&amp;"","?"))</f>
        <v/>
      </c>
      <c r="N3861" s="2" t="str">
        <f aca="false"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 t="str">
        <f aca="false">IF(OR(F3861="",G3861=""),"",IF(G3861&lt;='RETRATO 2027'!$K$5,"CONCLUÍDA",IF(F3861&lt;='RETRATO 2027'!$K$5,"EM ANDAMENTO","A INICIAR")))</f>
        <v/>
      </c>
    </row>
    <row r="3862" customFormat="false" ht="15" hidden="false" customHeight="false" outlineLevel="0" collapsed="false">
      <c r="M3862" s="2" t="str">
        <f aca="false">IF(C3862="","",IFERROR(INDEX($S$5:$S$304,MATCH(C3862,$R$5:$R$304,0))&amp;"","?"))</f>
        <v/>
      </c>
      <c r="N3862" s="2" t="str">
        <f aca="false"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 t="str">
        <f aca="false">IF(OR(F3862="",G3862=""),"",IF(G3862&lt;='RETRATO 2027'!$K$5,"CONCLUÍDA",IF(F3862&lt;='RETRATO 2027'!$K$5,"EM ANDAMENTO","A INICIAR")))</f>
        <v/>
      </c>
    </row>
    <row r="3863" customFormat="false" ht="15" hidden="false" customHeight="false" outlineLevel="0" collapsed="false">
      <c r="M3863" s="2" t="str">
        <f aca="false">IF(C3863="","",IFERROR(INDEX($S$5:$S$304,MATCH(C3863,$R$5:$R$304,0))&amp;"","?"))</f>
        <v/>
      </c>
      <c r="N3863" s="2" t="str">
        <f aca="false"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 t="str">
        <f aca="false">IF(OR(F3863="",G3863=""),"",IF(G3863&lt;='RETRATO 2027'!$K$5,"CONCLUÍDA",IF(F3863&lt;='RETRATO 2027'!$K$5,"EM ANDAMENTO","A INICIAR")))</f>
        <v/>
      </c>
    </row>
    <row r="3864" customFormat="false" ht="15" hidden="false" customHeight="false" outlineLevel="0" collapsed="false">
      <c r="M3864" s="2" t="str">
        <f aca="false">IF(C3864="","",IFERROR(INDEX($S$5:$S$304,MATCH(C3864,$R$5:$R$304,0))&amp;"","?"))</f>
        <v/>
      </c>
      <c r="N3864" s="2" t="str">
        <f aca="false"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 t="str">
        <f aca="false">IF(OR(F3864="",G3864=""),"",IF(G3864&lt;='RETRATO 2027'!$K$5,"CONCLUÍDA",IF(F3864&lt;='RETRATO 2027'!$K$5,"EM ANDAMENTO","A INICIAR")))</f>
        <v/>
      </c>
    </row>
    <row r="3865" customFormat="false" ht="15" hidden="false" customHeight="false" outlineLevel="0" collapsed="false">
      <c r="M3865" s="2" t="str">
        <f aca="false">IF(C3865="","",IFERROR(INDEX($S$5:$S$304,MATCH(C3865,$R$5:$R$304,0))&amp;"","?"))</f>
        <v/>
      </c>
      <c r="N3865" s="2" t="str">
        <f aca="false"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 t="str">
        <f aca="false">IF(OR(F3865="",G3865=""),"",IF(G3865&lt;='RETRATO 2027'!$K$5,"CONCLUÍDA",IF(F3865&lt;='RETRATO 2027'!$K$5,"EM ANDAMENTO","A INICIAR")))</f>
        <v/>
      </c>
    </row>
    <row r="3866" customFormat="false" ht="15" hidden="false" customHeight="false" outlineLevel="0" collapsed="false">
      <c r="M3866" s="2" t="str">
        <f aca="false">IF(C3866="","",IFERROR(INDEX($S$5:$S$304,MATCH(C3866,$R$5:$R$304,0))&amp;"","?"))</f>
        <v/>
      </c>
      <c r="N3866" s="2" t="str">
        <f aca="false"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 t="str">
        <f aca="false">IF(OR(F3866="",G3866=""),"",IF(G3866&lt;='RETRATO 2027'!$K$5,"CONCLUÍDA",IF(F3866&lt;='RETRATO 2027'!$K$5,"EM ANDAMENTO","A INICIAR")))</f>
        <v/>
      </c>
    </row>
    <row r="3867" customFormat="false" ht="15" hidden="false" customHeight="false" outlineLevel="0" collapsed="false">
      <c r="M3867" s="2" t="str">
        <f aca="false">IF(C3867="","",IFERROR(INDEX($S$5:$S$304,MATCH(C3867,$R$5:$R$304,0))&amp;"","?"))</f>
        <v/>
      </c>
      <c r="N3867" s="2" t="str">
        <f aca="false"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 t="str">
        <f aca="false">IF(OR(F3867="",G3867=""),"",IF(G3867&lt;='RETRATO 2027'!$K$5,"CONCLUÍDA",IF(F3867&lt;='RETRATO 2027'!$K$5,"EM ANDAMENTO","A INICIAR")))</f>
        <v/>
      </c>
    </row>
    <row r="3868" customFormat="false" ht="15" hidden="false" customHeight="false" outlineLevel="0" collapsed="false">
      <c r="M3868" s="2" t="str">
        <f aca="false">IF(C3868="","",IFERROR(INDEX($S$5:$S$304,MATCH(C3868,$R$5:$R$304,0))&amp;"","?"))</f>
        <v/>
      </c>
      <c r="N3868" s="2" t="str">
        <f aca="false"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 t="str">
        <f aca="false">IF(OR(F3868="",G3868=""),"",IF(G3868&lt;='RETRATO 2027'!$K$5,"CONCLUÍDA",IF(F3868&lt;='RETRATO 2027'!$K$5,"EM ANDAMENTO","A INICIAR")))</f>
        <v/>
      </c>
    </row>
    <row r="3869" customFormat="false" ht="15" hidden="false" customHeight="false" outlineLevel="0" collapsed="false">
      <c r="M3869" s="2" t="str">
        <f aca="false">IF(C3869="","",IFERROR(INDEX($S$5:$S$304,MATCH(C3869,$R$5:$R$304,0))&amp;"","?"))</f>
        <v/>
      </c>
      <c r="N3869" s="2" t="str">
        <f aca="false"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 t="str">
        <f aca="false">IF(OR(F3869="",G3869=""),"",IF(G3869&lt;='RETRATO 2027'!$K$5,"CONCLUÍDA",IF(F3869&lt;='RETRATO 2027'!$K$5,"EM ANDAMENTO","A INICIAR")))</f>
        <v/>
      </c>
    </row>
    <row r="3870" customFormat="false" ht="15" hidden="false" customHeight="false" outlineLevel="0" collapsed="false">
      <c r="M3870" s="2" t="str">
        <f aca="false">IF(C3870="","",IFERROR(INDEX($S$5:$S$304,MATCH(C3870,$R$5:$R$304,0))&amp;"","?"))</f>
        <v/>
      </c>
      <c r="N3870" s="2" t="str">
        <f aca="false"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 t="str">
        <f aca="false">IF(OR(F3870="",G3870=""),"",IF(G3870&lt;='RETRATO 2027'!$K$5,"CONCLUÍDA",IF(F3870&lt;='RETRATO 2027'!$K$5,"EM ANDAMENTO","A INICIAR")))</f>
        <v/>
      </c>
    </row>
    <row r="3871" customFormat="false" ht="15" hidden="false" customHeight="false" outlineLevel="0" collapsed="false">
      <c r="M3871" s="2" t="str">
        <f aca="false">IF(C3871="","",IFERROR(INDEX($S$5:$S$304,MATCH(C3871,$R$5:$R$304,0))&amp;"","?"))</f>
        <v/>
      </c>
      <c r="N3871" s="2" t="str">
        <f aca="false"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 t="str">
        <f aca="false">IF(OR(F3871="",G3871=""),"",IF(G3871&lt;='RETRATO 2027'!$K$5,"CONCLUÍDA",IF(F3871&lt;='RETRATO 2027'!$K$5,"EM ANDAMENTO","A INICIAR")))</f>
        <v/>
      </c>
    </row>
    <row r="3872" customFormat="false" ht="15" hidden="false" customHeight="false" outlineLevel="0" collapsed="false">
      <c r="M3872" s="2" t="str">
        <f aca="false">IF(C3872="","",IFERROR(INDEX($S$5:$S$304,MATCH(C3872,$R$5:$R$304,0))&amp;"","?"))</f>
        <v/>
      </c>
      <c r="N3872" s="2" t="str">
        <f aca="false"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 t="str">
        <f aca="false">IF(OR(F3872="",G3872=""),"",IF(G3872&lt;='RETRATO 2027'!$K$5,"CONCLUÍDA",IF(F3872&lt;='RETRATO 2027'!$K$5,"EM ANDAMENTO","A INICIAR")))</f>
        <v/>
      </c>
    </row>
    <row r="3873" customFormat="false" ht="15" hidden="false" customHeight="false" outlineLevel="0" collapsed="false">
      <c r="M3873" s="2" t="str">
        <f aca="false">IF(C3873="","",IFERROR(INDEX($S$5:$S$304,MATCH(C3873,$R$5:$R$304,0))&amp;"","?"))</f>
        <v/>
      </c>
      <c r="N3873" s="2" t="str">
        <f aca="false"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 t="str">
        <f aca="false">IF(OR(F3873="",G3873=""),"",IF(G3873&lt;='RETRATO 2027'!$K$5,"CONCLUÍDA",IF(F3873&lt;='RETRATO 2027'!$K$5,"EM ANDAMENTO","A INICIAR")))</f>
        <v/>
      </c>
    </row>
    <row r="3874" customFormat="false" ht="15" hidden="false" customHeight="false" outlineLevel="0" collapsed="false">
      <c r="M3874" s="2" t="str">
        <f aca="false">IF(C3874="","",IFERROR(INDEX($S$5:$S$304,MATCH(C3874,$R$5:$R$304,0))&amp;"","?"))</f>
        <v/>
      </c>
      <c r="N3874" s="2" t="str">
        <f aca="false"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 t="str">
        <f aca="false">IF(OR(F3874="",G3874=""),"",IF(G3874&lt;='RETRATO 2027'!$K$5,"CONCLUÍDA",IF(F3874&lt;='RETRATO 2027'!$K$5,"EM ANDAMENTO","A INICIAR")))</f>
        <v/>
      </c>
    </row>
    <row r="3875" customFormat="false" ht="15" hidden="false" customHeight="false" outlineLevel="0" collapsed="false">
      <c r="M3875" s="2" t="str">
        <f aca="false">IF(C3875="","",IFERROR(INDEX($S$5:$S$304,MATCH(C3875,$R$5:$R$304,0))&amp;"","?"))</f>
        <v/>
      </c>
      <c r="N3875" s="2" t="str">
        <f aca="false"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 t="str">
        <f aca="false">IF(OR(F3875="",G3875=""),"",IF(G3875&lt;='RETRATO 2027'!$K$5,"CONCLUÍDA",IF(F3875&lt;='RETRATO 2027'!$K$5,"EM ANDAMENTO","A INICIAR")))</f>
        <v/>
      </c>
    </row>
    <row r="3876" customFormat="false" ht="15" hidden="false" customHeight="false" outlineLevel="0" collapsed="false">
      <c r="M3876" s="2" t="str">
        <f aca="false">IF(C3876="","",IFERROR(INDEX($S$5:$S$304,MATCH(C3876,$R$5:$R$304,0))&amp;"","?"))</f>
        <v/>
      </c>
      <c r="N3876" s="2" t="str">
        <f aca="false"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 t="str">
        <f aca="false">IF(OR(F3876="",G3876=""),"",IF(G3876&lt;='RETRATO 2027'!$K$5,"CONCLUÍDA",IF(F3876&lt;='RETRATO 2027'!$K$5,"EM ANDAMENTO","A INICIAR")))</f>
        <v/>
      </c>
    </row>
    <row r="3877" customFormat="false" ht="15" hidden="false" customHeight="false" outlineLevel="0" collapsed="false">
      <c r="M3877" s="2" t="str">
        <f aca="false">IF(C3877="","",IFERROR(INDEX($S$5:$S$304,MATCH(C3877,$R$5:$R$304,0))&amp;"","?"))</f>
        <v/>
      </c>
      <c r="N3877" s="2" t="str">
        <f aca="false"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 t="str">
        <f aca="false">IF(OR(F3877="",G3877=""),"",IF(G3877&lt;='RETRATO 2027'!$K$5,"CONCLUÍDA",IF(F3877&lt;='RETRATO 2027'!$K$5,"EM ANDAMENTO","A INICIAR")))</f>
        <v/>
      </c>
    </row>
    <row r="3878" customFormat="false" ht="15" hidden="false" customHeight="false" outlineLevel="0" collapsed="false">
      <c r="M3878" s="2" t="str">
        <f aca="false">IF(C3878="","",IFERROR(INDEX($S$5:$S$304,MATCH(C3878,$R$5:$R$304,0))&amp;"","?"))</f>
        <v/>
      </c>
      <c r="N3878" s="2" t="str">
        <f aca="false"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 t="str">
        <f aca="false">IF(OR(F3878="",G3878=""),"",IF(G3878&lt;='RETRATO 2027'!$K$5,"CONCLUÍDA",IF(F3878&lt;='RETRATO 2027'!$K$5,"EM ANDAMENTO","A INICIAR")))</f>
        <v/>
      </c>
    </row>
    <row r="3879" customFormat="false" ht="15" hidden="false" customHeight="false" outlineLevel="0" collapsed="false">
      <c r="M3879" s="2" t="str">
        <f aca="false">IF(C3879="","",IFERROR(INDEX($S$5:$S$304,MATCH(C3879,$R$5:$R$304,0))&amp;"","?"))</f>
        <v/>
      </c>
      <c r="N3879" s="2" t="str">
        <f aca="false"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 t="str">
        <f aca="false">IF(OR(F3879="",G3879=""),"",IF(G3879&lt;='RETRATO 2027'!$K$5,"CONCLUÍDA",IF(F3879&lt;='RETRATO 2027'!$K$5,"EM ANDAMENTO","A INICIAR")))</f>
        <v/>
      </c>
    </row>
    <row r="3880" customFormat="false" ht="15" hidden="false" customHeight="false" outlineLevel="0" collapsed="false">
      <c r="M3880" s="2" t="str">
        <f aca="false">IF(C3880="","",IFERROR(INDEX($S$5:$S$304,MATCH(C3880,$R$5:$R$304,0))&amp;"","?"))</f>
        <v/>
      </c>
      <c r="N3880" s="2" t="str">
        <f aca="false"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 t="str">
        <f aca="false">IF(OR(F3880="",G3880=""),"",IF(G3880&lt;='RETRATO 2027'!$K$5,"CONCLUÍDA",IF(F3880&lt;='RETRATO 2027'!$K$5,"EM ANDAMENTO","A INICIAR")))</f>
        <v/>
      </c>
    </row>
    <row r="3881" customFormat="false" ht="15" hidden="false" customHeight="false" outlineLevel="0" collapsed="false">
      <c r="M3881" s="2" t="str">
        <f aca="false">IF(C3881="","",IFERROR(INDEX($S$5:$S$304,MATCH(C3881,$R$5:$R$304,0))&amp;"","?"))</f>
        <v/>
      </c>
      <c r="N3881" s="2" t="str">
        <f aca="false"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 t="str">
        <f aca="false">IF(OR(F3881="",G3881=""),"",IF(G3881&lt;='RETRATO 2027'!$K$5,"CONCLUÍDA",IF(F3881&lt;='RETRATO 2027'!$K$5,"EM ANDAMENTO","A INICIAR")))</f>
        <v/>
      </c>
    </row>
    <row r="3882" customFormat="false" ht="15" hidden="false" customHeight="false" outlineLevel="0" collapsed="false">
      <c r="M3882" s="2" t="str">
        <f aca="false">IF(C3882="","",IFERROR(INDEX($S$5:$S$304,MATCH(C3882,$R$5:$R$304,0))&amp;"","?"))</f>
        <v/>
      </c>
      <c r="N3882" s="2" t="str">
        <f aca="false"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 t="str">
        <f aca="false">IF(OR(F3882="",G3882=""),"",IF(G3882&lt;='RETRATO 2027'!$K$5,"CONCLUÍDA",IF(F3882&lt;='RETRATO 2027'!$K$5,"EM ANDAMENTO","A INICIAR")))</f>
        <v/>
      </c>
    </row>
    <row r="3883" customFormat="false" ht="15" hidden="false" customHeight="false" outlineLevel="0" collapsed="false">
      <c r="M3883" s="2" t="str">
        <f aca="false">IF(C3883="","",IFERROR(INDEX($S$5:$S$304,MATCH(C3883,$R$5:$R$304,0))&amp;"","?"))</f>
        <v/>
      </c>
      <c r="N3883" s="2" t="str">
        <f aca="false"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 t="str">
        <f aca="false">IF(OR(F3883="",G3883=""),"",IF(G3883&lt;='RETRATO 2027'!$K$5,"CONCLUÍDA",IF(F3883&lt;='RETRATO 2027'!$K$5,"EM ANDAMENTO","A INICIAR")))</f>
        <v/>
      </c>
    </row>
    <row r="3884" customFormat="false" ht="15" hidden="false" customHeight="false" outlineLevel="0" collapsed="false">
      <c r="M3884" s="2" t="str">
        <f aca="false">IF(C3884="","",IFERROR(INDEX($S$5:$S$304,MATCH(C3884,$R$5:$R$304,0))&amp;"","?"))</f>
        <v/>
      </c>
      <c r="N3884" s="2" t="str">
        <f aca="false"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 t="str">
        <f aca="false">IF(OR(F3884="",G3884=""),"",IF(G3884&lt;='RETRATO 2027'!$K$5,"CONCLUÍDA",IF(F3884&lt;='RETRATO 2027'!$K$5,"EM ANDAMENTO","A INICIAR")))</f>
        <v/>
      </c>
    </row>
    <row r="3885" customFormat="false" ht="15" hidden="false" customHeight="false" outlineLevel="0" collapsed="false">
      <c r="M3885" s="2" t="str">
        <f aca="false">IF(C3885="","",IFERROR(INDEX($S$5:$S$304,MATCH(C3885,$R$5:$R$304,0))&amp;"","?"))</f>
        <v/>
      </c>
      <c r="N3885" s="2" t="str">
        <f aca="false"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 t="str">
        <f aca="false">IF(OR(F3885="",G3885=""),"",IF(G3885&lt;='RETRATO 2027'!$K$5,"CONCLUÍDA",IF(F3885&lt;='RETRATO 2027'!$K$5,"EM ANDAMENTO","A INICIAR")))</f>
        <v/>
      </c>
    </row>
    <row r="3886" customFormat="false" ht="15" hidden="false" customHeight="false" outlineLevel="0" collapsed="false">
      <c r="M3886" s="2" t="str">
        <f aca="false">IF(C3886="","",IFERROR(INDEX($S$5:$S$304,MATCH(C3886,$R$5:$R$304,0))&amp;"","?"))</f>
        <v/>
      </c>
      <c r="N3886" s="2" t="str">
        <f aca="false"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 t="str">
        <f aca="false">IF(OR(F3886="",G3886=""),"",IF(G3886&lt;='RETRATO 2027'!$K$5,"CONCLUÍDA",IF(F3886&lt;='RETRATO 2027'!$K$5,"EM ANDAMENTO","A INICIAR")))</f>
        <v/>
      </c>
    </row>
    <row r="3887" customFormat="false" ht="15" hidden="false" customHeight="false" outlineLevel="0" collapsed="false">
      <c r="M3887" s="2" t="str">
        <f aca="false">IF(C3887="","",IFERROR(INDEX($S$5:$S$304,MATCH(C3887,$R$5:$R$304,0))&amp;"","?"))</f>
        <v/>
      </c>
      <c r="N3887" s="2" t="str">
        <f aca="false"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 t="str">
        <f aca="false">IF(OR(F3887="",G3887=""),"",IF(G3887&lt;='RETRATO 2027'!$K$5,"CONCLUÍDA",IF(F3887&lt;='RETRATO 2027'!$K$5,"EM ANDAMENTO","A INICIAR")))</f>
        <v/>
      </c>
    </row>
    <row r="3888" customFormat="false" ht="15" hidden="false" customHeight="false" outlineLevel="0" collapsed="false">
      <c r="M3888" s="2" t="str">
        <f aca="false">IF(C3888="","",IFERROR(INDEX($S$5:$S$304,MATCH(C3888,$R$5:$R$304,0))&amp;"","?"))</f>
        <v/>
      </c>
      <c r="N3888" s="2" t="str">
        <f aca="false"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 t="str">
        <f aca="false">IF(OR(F3888="",G3888=""),"",IF(G3888&lt;='RETRATO 2027'!$K$5,"CONCLUÍDA",IF(F3888&lt;='RETRATO 2027'!$K$5,"EM ANDAMENTO","A INICIAR")))</f>
        <v/>
      </c>
    </row>
    <row r="3889" customFormat="false" ht="15" hidden="false" customHeight="false" outlineLevel="0" collapsed="false">
      <c r="M3889" s="2" t="str">
        <f aca="false">IF(C3889="","",IFERROR(INDEX($S$5:$S$304,MATCH(C3889,$R$5:$R$304,0))&amp;"","?"))</f>
        <v/>
      </c>
      <c r="N3889" s="2" t="str">
        <f aca="false"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 t="str">
        <f aca="false">IF(OR(F3889="",G3889=""),"",IF(G3889&lt;='RETRATO 2027'!$K$5,"CONCLUÍDA",IF(F3889&lt;='RETRATO 2027'!$K$5,"EM ANDAMENTO","A INICIAR")))</f>
        <v/>
      </c>
    </row>
    <row r="3890" customFormat="false" ht="15" hidden="false" customHeight="false" outlineLevel="0" collapsed="false">
      <c r="M3890" s="2" t="str">
        <f aca="false">IF(C3890="","",IFERROR(INDEX($S$5:$S$304,MATCH(C3890,$R$5:$R$304,0))&amp;"","?"))</f>
        <v/>
      </c>
      <c r="N3890" s="2" t="str">
        <f aca="false"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 t="str">
        <f aca="false">IF(OR(F3890="",G3890=""),"",IF(G3890&lt;='RETRATO 2027'!$K$5,"CONCLUÍDA",IF(F3890&lt;='RETRATO 2027'!$K$5,"EM ANDAMENTO","A INICIAR")))</f>
        <v/>
      </c>
    </row>
    <row r="3891" customFormat="false" ht="15" hidden="false" customHeight="false" outlineLevel="0" collapsed="false">
      <c r="M3891" s="2" t="str">
        <f aca="false">IF(C3891="","",IFERROR(INDEX($S$5:$S$304,MATCH(C3891,$R$5:$R$304,0))&amp;"","?"))</f>
        <v/>
      </c>
      <c r="N3891" s="2" t="str">
        <f aca="false"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 t="str">
        <f aca="false">IF(OR(F3891="",G3891=""),"",IF(G3891&lt;='RETRATO 2027'!$K$5,"CONCLUÍDA",IF(F3891&lt;='RETRATO 2027'!$K$5,"EM ANDAMENTO","A INICIAR")))</f>
        <v/>
      </c>
    </row>
    <row r="3892" customFormat="false" ht="15" hidden="false" customHeight="false" outlineLevel="0" collapsed="false">
      <c r="M3892" s="2" t="str">
        <f aca="false">IF(C3892="","",IFERROR(INDEX($S$5:$S$304,MATCH(C3892,$R$5:$R$304,0))&amp;"","?"))</f>
        <v/>
      </c>
      <c r="N3892" s="2" t="str">
        <f aca="false"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 t="str">
        <f aca="false">IF(OR(F3892="",G3892=""),"",IF(G3892&lt;='RETRATO 2027'!$K$5,"CONCLUÍDA",IF(F3892&lt;='RETRATO 2027'!$K$5,"EM ANDAMENTO","A INICIAR")))</f>
        <v/>
      </c>
    </row>
    <row r="3893" customFormat="false" ht="15" hidden="false" customHeight="false" outlineLevel="0" collapsed="false">
      <c r="M3893" s="2" t="str">
        <f aca="false">IF(C3893="","",IFERROR(INDEX($S$5:$S$304,MATCH(C3893,$R$5:$R$304,0))&amp;"","?"))</f>
        <v/>
      </c>
      <c r="N3893" s="2" t="str">
        <f aca="false"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 t="str">
        <f aca="false">IF(OR(F3893="",G3893=""),"",IF(G3893&lt;='RETRATO 2027'!$K$5,"CONCLUÍDA",IF(F3893&lt;='RETRATO 2027'!$K$5,"EM ANDAMENTO","A INICIAR")))</f>
        <v/>
      </c>
    </row>
    <row r="3894" customFormat="false" ht="15" hidden="false" customHeight="false" outlineLevel="0" collapsed="false">
      <c r="M3894" s="2" t="str">
        <f aca="false">IF(C3894="","",IFERROR(INDEX($S$5:$S$304,MATCH(C3894,$R$5:$R$304,0))&amp;"","?"))</f>
        <v/>
      </c>
      <c r="N3894" s="2" t="str">
        <f aca="false"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 t="str">
        <f aca="false">IF(OR(F3894="",G3894=""),"",IF(G3894&lt;='RETRATO 2027'!$K$5,"CONCLUÍDA",IF(F3894&lt;='RETRATO 2027'!$K$5,"EM ANDAMENTO","A INICIAR")))</f>
        <v/>
      </c>
    </row>
    <row r="3895" customFormat="false" ht="15" hidden="false" customHeight="false" outlineLevel="0" collapsed="false">
      <c r="M3895" s="2" t="str">
        <f aca="false">IF(C3895="","",IFERROR(INDEX($S$5:$S$304,MATCH(C3895,$R$5:$R$304,0))&amp;"","?"))</f>
        <v/>
      </c>
      <c r="N3895" s="2" t="str">
        <f aca="false"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 t="str">
        <f aca="false">IF(OR(F3895="",G3895=""),"",IF(G3895&lt;='RETRATO 2027'!$K$5,"CONCLUÍDA",IF(F3895&lt;='RETRATO 2027'!$K$5,"EM ANDAMENTO","A INICIAR")))</f>
        <v/>
      </c>
    </row>
    <row r="3896" customFormat="false" ht="15" hidden="false" customHeight="false" outlineLevel="0" collapsed="false">
      <c r="M3896" s="2" t="str">
        <f aca="false">IF(C3896="","",IFERROR(INDEX($S$5:$S$304,MATCH(C3896,$R$5:$R$304,0))&amp;"","?"))</f>
        <v/>
      </c>
      <c r="N3896" s="2" t="str">
        <f aca="false"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 t="str">
        <f aca="false">IF(OR(F3896="",G3896=""),"",IF(G3896&lt;='RETRATO 2027'!$K$5,"CONCLUÍDA",IF(F3896&lt;='RETRATO 2027'!$K$5,"EM ANDAMENTO","A INICIAR")))</f>
        <v/>
      </c>
    </row>
    <row r="3897" customFormat="false" ht="15" hidden="false" customHeight="false" outlineLevel="0" collapsed="false">
      <c r="M3897" s="2" t="str">
        <f aca="false">IF(C3897="","",IFERROR(INDEX($S$5:$S$304,MATCH(C3897,$R$5:$R$304,0))&amp;"","?"))</f>
        <v/>
      </c>
      <c r="N3897" s="2" t="str">
        <f aca="false"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 t="str">
        <f aca="false">IF(OR(F3897="",G3897=""),"",IF(G3897&lt;='RETRATO 2027'!$K$5,"CONCLUÍDA",IF(F3897&lt;='RETRATO 2027'!$K$5,"EM ANDAMENTO","A INICIAR")))</f>
        <v/>
      </c>
    </row>
    <row r="3898" customFormat="false" ht="15" hidden="false" customHeight="false" outlineLevel="0" collapsed="false">
      <c r="M3898" s="2" t="str">
        <f aca="false">IF(C3898="","",IFERROR(INDEX($S$5:$S$304,MATCH(C3898,$R$5:$R$304,0))&amp;"","?"))</f>
        <v/>
      </c>
      <c r="N3898" s="2" t="str">
        <f aca="false"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 t="str">
        <f aca="false">IF(OR(F3898="",G3898=""),"",IF(G3898&lt;='RETRATO 2027'!$K$5,"CONCLUÍDA",IF(F3898&lt;='RETRATO 2027'!$K$5,"EM ANDAMENTO","A INICIAR")))</f>
        <v/>
      </c>
    </row>
    <row r="3899" customFormat="false" ht="15" hidden="false" customHeight="false" outlineLevel="0" collapsed="false">
      <c r="M3899" s="2" t="str">
        <f aca="false">IF(C3899="","",IFERROR(INDEX($S$5:$S$304,MATCH(C3899,$R$5:$R$304,0))&amp;"","?"))</f>
        <v/>
      </c>
      <c r="N3899" s="2" t="str">
        <f aca="false"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 t="str">
        <f aca="false">IF(OR(F3899="",G3899=""),"",IF(G3899&lt;='RETRATO 2027'!$K$5,"CONCLUÍDA",IF(F3899&lt;='RETRATO 2027'!$K$5,"EM ANDAMENTO","A INICIAR")))</f>
        <v/>
      </c>
    </row>
    <row r="3900" customFormat="false" ht="15" hidden="false" customHeight="false" outlineLevel="0" collapsed="false">
      <c r="M3900" s="2" t="str">
        <f aca="false">IF(C3900="","",IFERROR(INDEX($S$5:$S$304,MATCH(C3900,$R$5:$R$304,0))&amp;"","?"))</f>
        <v/>
      </c>
      <c r="N3900" s="2" t="str">
        <f aca="false"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 t="str">
        <f aca="false">IF(OR(F3900="",G3900=""),"",IF(G3900&lt;='RETRATO 2027'!$K$5,"CONCLUÍDA",IF(F3900&lt;='RETRATO 2027'!$K$5,"EM ANDAMENTO","A INICIAR")))</f>
        <v/>
      </c>
    </row>
    <row r="3901" customFormat="false" ht="15" hidden="false" customHeight="false" outlineLevel="0" collapsed="false">
      <c r="M3901" s="2" t="str">
        <f aca="false">IF(C3901="","",IFERROR(INDEX($S$5:$S$304,MATCH(C3901,$R$5:$R$304,0))&amp;"","?"))</f>
        <v/>
      </c>
      <c r="N3901" s="2" t="str">
        <f aca="false"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 t="str">
        <f aca="false">IF(OR(F3901="",G3901=""),"",IF(G3901&lt;='RETRATO 2027'!$K$5,"CONCLUÍDA",IF(F3901&lt;='RETRATO 2027'!$K$5,"EM ANDAMENTO","A INICIAR")))</f>
        <v/>
      </c>
    </row>
    <row r="3902" customFormat="false" ht="15" hidden="false" customHeight="false" outlineLevel="0" collapsed="false">
      <c r="M3902" s="2" t="str">
        <f aca="false">IF(C3902="","",IFERROR(INDEX($S$5:$S$304,MATCH(C3902,$R$5:$R$304,0))&amp;"","?"))</f>
        <v/>
      </c>
      <c r="N3902" s="2" t="str">
        <f aca="false"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 t="str">
        <f aca="false">IF(OR(F3902="",G3902=""),"",IF(G3902&lt;='RETRATO 2027'!$K$5,"CONCLUÍDA",IF(F3902&lt;='RETRATO 2027'!$K$5,"EM ANDAMENTO","A INICIAR")))</f>
        <v/>
      </c>
    </row>
    <row r="3903" customFormat="false" ht="15" hidden="false" customHeight="false" outlineLevel="0" collapsed="false">
      <c r="M3903" s="2" t="str">
        <f aca="false">IF(C3903="","",IFERROR(INDEX($S$5:$S$304,MATCH(C3903,$R$5:$R$304,0))&amp;"","?"))</f>
        <v/>
      </c>
      <c r="N3903" s="2" t="str">
        <f aca="false"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 t="str">
        <f aca="false">IF(OR(F3903="",G3903=""),"",IF(G3903&lt;='RETRATO 2027'!$K$5,"CONCLUÍDA",IF(F3903&lt;='RETRATO 2027'!$K$5,"EM ANDAMENTO","A INICIAR")))</f>
        <v/>
      </c>
    </row>
    <row r="3904" customFormat="false" ht="15" hidden="false" customHeight="false" outlineLevel="0" collapsed="false">
      <c r="M3904" s="2" t="str">
        <f aca="false">IF(C3904="","",IFERROR(INDEX($S$5:$S$304,MATCH(C3904,$R$5:$R$304,0))&amp;"","?"))</f>
        <v/>
      </c>
      <c r="N3904" s="2" t="str">
        <f aca="false"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 t="str">
        <f aca="false">IF(OR(F3904="",G3904=""),"",IF(G3904&lt;='RETRATO 2027'!$K$5,"CONCLUÍDA",IF(F3904&lt;='RETRATO 2027'!$K$5,"EM ANDAMENTO","A INICIAR")))</f>
        <v/>
      </c>
    </row>
    <row r="3905" customFormat="false" ht="15" hidden="false" customHeight="false" outlineLevel="0" collapsed="false">
      <c r="M3905" s="2" t="str">
        <f aca="false">IF(C3905="","",IFERROR(INDEX($S$5:$S$304,MATCH(C3905,$R$5:$R$304,0))&amp;"","?"))</f>
        <v/>
      </c>
      <c r="N3905" s="2" t="str">
        <f aca="false"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 t="str">
        <f aca="false">IF(OR(F3905="",G3905=""),"",IF(G3905&lt;='RETRATO 2027'!$K$5,"CONCLUÍDA",IF(F3905&lt;='RETRATO 2027'!$K$5,"EM ANDAMENTO","A INICIAR")))</f>
        <v/>
      </c>
    </row>
    <row r="3906" customFormat="false" ht="15" hidden="false" customHeight="false" outlineLevel="0" collapsed="false">
      <c r="M3906" s="2" t="str">
        <f aca="false">IF(C3906="","",IFERROR(INDEX($S$5:$S$304,MATCH(C3906,$R$5:$R$304,0))&amp;"","?"))</f>
        <v/>
      </c>
      <c r="N3906" s="2" t="str">
        <f aca="false"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 t="str">
        <f aca="false">IF(OR(F3906="",G3906=""),"",IF(G3906&lt;='RETRATO 2027'!$K$5,"CONCLUÍDA",IF(F3906&lt;='RETRATO 2027'!$K$5,"EM ANDAMENTO","A INICIAR")))</f>
        <v/>
      </c>
    </row>
    <row r="3907" customFormat="false" ht="15" hidden="false" customHeight="false" outlineLevel="0" collapsed="false">
      <c r="M3907" s="2" t="str">
        <f aca="false">IF(C3907="","",IFERROR(INDEX($S$5:$S$304,MATCH(C3907,$R$5:$R$304,0))&amp;"","?"))</f>
        <v/>
      </c>
      <c r="N3907" s="2" t="str">
        <f aca="false"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 t="str">
        <f aca="false">IF(OR(F3907="",G3907=""),"",IF(G3907&lt;='RETRATO 2027'!$K$5,"CONCLUÍDA",IF(F3907&lt;='RETRATO 2027'!$K$5,"EM ANDAMENTO","A INICIAR")))</f>
        <v/>
      </c>
    </row>
    <row r="3908" customFormat="false" ht="15" hidden="false" customHeight="false" outlineLevel="0" collapsed="false">
      <c r="M3908" s="2" t="str">
        <f aca="false">IF(C3908="","",IFERROR(INDEX($S$5:$S$304,MATCH(C3908,$R$5:$R$304,0))&amp;"","?"))</f>
        <v/>
      </c>
      <c r="N3908" s="2" t="str">
        <f aca="false"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 t="str">
        <f aca="false">IF(OR(F3908="",G3908=""),"",IF(G3908&lt;='RETRATO 2027'!$K$5,"CONCLUÍDA",IF(F3908&lt;='RETRATO 2027'!$K$5,"EM ANDAMENTO","A INICIAR")))</f>
        <v/>
      </c>
    </row>
    <row r="3909" customFormat="false" ht="15" hidden="false" customHeight="false" outlineLevel="0" collapsed="false">
      <c r="M3909" s="2" t="str">
        <f aca="false">IF(C3909="","",IFERROR(INDEX($S$5:$S$304,MATCH(C3909,$R$5:$R$304,0))&amp;"","?"))</f>
        <v/>
      </c>
      <c r="N3909" s="2" t="str">
        <f aca="false"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 t="str">
        <f aca="false">IF(OR(F3909="",G3909=""),"",IF(G3909&lt;='RETRATO 2027'!$K$5,"CONCLUÍDA",IF(F3909&lt;='RETRATO 2027'!$K$5,"EM ANDAMENTO","A INICIAR")))</f>
        <v/>
      </c>
    </row>
    <row r="3910" customFormat="false" ht="15" hidden="false" customHeight="false" outlineLevel="0" collapsed="false">
      <c r="M3910" s="2" t="str">
        <f aca="false">IF(C3910="","",IFERROR(INDEX($S$5:$S$304,MATCH(C3910,$R$5:$R$304,0))&amp;"","?"))</f>
        <v/>
      </c>
      <c r="N3910" s="2" t="str">
        <f aca="false"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 t="str">
        <f aca="false">IF(OR(F3910="",G3910=""),"",IF(G3910&lt;='RETRATO 2027'!$K$5,"CONCLUÍDA",IF(F3910&lt;='RETRATO 2027'!$K$5,"EM ANDAMENTO","A INICIAR")))</f>
        <v/>
      </c>
    </row>
    <row r="3911" customFormat="false" ht="15" hidden="false" customHeight="false" outlineLevel="0" collapsed="false">
      <c r="M3911" s="2" t="str">
        <f aca="false">IF(C3911="","",IFERROR(INDEX($S$5:$S$304,MATCH(C3911,$R$5:$R$304,0))&amp;"","?"))</f>
        <v/>
      </c>
      <c r="N3911" s="2" t="str">
        <f aca="false"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 t="str">
        <f aca="false">IF(OR(F3911="",G3911=""),"",IF(G3911&lt;='RETRATO 2027'!$K$5,"CONCLUÍDA",IF(F3911&lt;='RETRATO 2027'!$K$5,"EM ANDAMENTO","A INICIAR")))</f>
        <v/>
      </c>
    </row>
    <row r="3912" customFormat="false" ht="15" hidden="false" customHeight="false" outlineLevel="0" collapsed="false">
      <c r="M3912" s="2" t="str">
        <f aca="false">IF(C3912="","",IFERROR(INDEX($S$5:$S$304,MATCH(C3912,$R$5:$R$304,0))&amp;"","?"))</f>
        <v/>
      </c>
      <c r="N3912" s="2" t="str">
        <f aca="false"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 t="str">
        <f aca="false">IF(OR(F3912="",G3912=""),"",IF(G3912&lt;='RETRATO 2027'!$K$5,"CONCLUÍDA",IF(F3912&lt;='RETRATO 2027'!$K$5,"EM ANDAMENTO","A INICIAR")))</f>
        <v/>
      </c>
    </row>
    <row r="3913" customFormat="false" ht="15" hidden="false" customHeight="false" outlineLevel="0" collapsed="false">
      <c r="M3913" s="2" t="str">
        <f aca="false">IF(C3913="","",IFERROR(INDEX($S$5:$S$304,MATCH(C3913,$R$5:$R$304,0))&amp;"","?"))</f>
        <v/>
      </c>
      <c r="N3913" s="2" t="str">
        <f aca="false"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 t="str">
        <f aca="false">IF(OR(F3913="",G3913=""),"",IF(G3913&lt;='RETRATO 2027'!$K$5,"CONCLUÍDA",IF(F3913&lt;='RETRATO 2027'!$K$5,"EM ANDAMENTO","A INICIAR")))</f>
        <v/>
      </c>
    </row>
    <row r="3914" customFormat="false" ht="15" hidden="false" customHeight="false" outlineLevel="0" collapsed="false">
      <c r="M3914" s="2" t="str">
        <f aca="false">IF(C3914="","",IFERROR(INDEX($S$5:$S$304,MATCH(C3914,$R$5:$R$304,0))&amp;"","?"))</f>
        <v/>
      </c>
      <c r="N3914" s="2" t="str">
        <f aca="false"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 t="str">
        <f aca="false">IF(OR(F3914="",G3914=""),"",IF(G3914&lt;='RETRATO 2027'!$K$5,"CONCLUÍDA",IF(F3914&lt;='RETRATO 2027'!$K$5,"EM ANDAMENTO","A INICIAR")))</f>
        <v/>
      </c>
    </row>
    <row r="3915" customFormat="false" ht="15" hidden="false" customHeight="false" outlineLevel="0" collapsed="false">
      <c r="M3915" s="2" t="str">
        <f aca="false">IF(C3915="","",IFERROR(INDEX($S$5:$S$304,MATCH(C3915,$R$5:$R$304,0))&amp;"","?"))</f>
        <v/>
      </c>
      <c r="N3915" s="2" t="str">
        <f aca="false"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 t="str">
        <f aca="false">IF(OR(F3915="",G3915=""),"",IF(G3915&lt;='RETRATO 2027'!$K$5,"CONCLUÍDA",IF(F3915&lt;='RETRATO 2027'!$K$5,"EM ANDAMENTO","A INICIAR")))</f>
        <v/>
      </c>
    </row>
    <row r="3916" customFormat="false" ht="15" hidden="false" customHeight="false" outlineLevel="0" collapsed="false">
      <c r="M3916" s="2" t="str">
        <f aca="false">IF(C3916="","",IFERROR(INDEX($S$5:$S$304,MATCH(C3916,$R$5:$R$304,0))&amp;"","?"))</f>
        <v/>
      </c>
      <c r="N3916" s="2" t="str">
        <f aca="false"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 t="str">
        <f aca="false">IF(OR(F3916="",G3916=""),"",IF(G3916&lt;='RETRATO 2027'!$K$5,"CONCLUÍDA",IF(F3916&lt;='RETRATO 2027'!$K$5,"EM ANDAMENTO","A INICIAR")))</f>
        <v/>
      </c>
    </row>
    <row r="3917" customFormat="false" ht="15" hidden="false" customHeight="false" outlineLevel="0" collapsed="false">
      <c r="M3917" s="2" t="str">
        <f aca="false">IF(C3917="","",IFERROR(INDEX($S$5:$S$304,MATCH(C3917,$R$5:$R$304,0))&amp;"","?"))</f>
        <v/>
      </c>
      <c r="N3917" s="2" t="str">
        <f aca="false"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 t="str">
        <f aca="false">IF(OR(F3917="",G3917=""),"",IF(G3917&lt;='RETRATO 2027'!$K$5,"CONCLUÍDA",IF(F3917&lt;='RETRATO 2027'!$K$5,"EM ANDAMENTO","A INICIAR")))</f>
        <v/>
      </c>
    </row>
    <row r="3918" customFormat="false" ht="15" hidden="false" customHeight="false" outlineLevel="0" collapsed="false">
      <c r="M3918" s="2" t="str">
        <f aca="false">IF(C3918="","",IFERROR(INDEX($S$5:$S$304,MATCH(C3918,$R$5:$R$304,0))&amp;"","?"))</f>
        <v/>
      </c>
      <c r="N3918" s="2" t="str">
        <f aca="false"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 t="str">
        <f aca="false">IF(OR(F3918="",G3918=""),"",IF(G3918&lt;='RETRATO 2027'!$K$5,"CONCLUÍDA",IF(F3918&lt;='RETRATO 2027'!$K$5,"EM ANDAMENTO","A INICIAR")))</f>
        <v/>
      </c>
    </row>
    <row r="3919" customFormat="false" ht="15" hidden="false" customHeight="false" outlineLevel="0" collapsed="false">
      <c r="M3919" s="2" t="str">
        <f aca="false">IF(C3919="","",IFERROR(INDEX($S$5:$S$304,MATCH(C3919,$R$5:$R$304,0))&amp;"","?"))</f>
        <v/>
      </c>
      <c r="N3919" s="2" t="str">
        <f aca="false"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 t="str">
        <f aca="false">IF(OR(F3919="",G3919=""),"",IF(G3919&lt;='RETRATO 2027'!$K$5,"CONCLUÍDA",IF(F3919&lt;='RETRATO 2027'!$K$5,"EM ANDAMENTO","A INICIAR")))</f>
        <v/>
      </c>
    </row>
    <row r="3920" customFormat="false" ht="15" hidden="false" customHeight="false" outlineLevel="0" collapsed="false">
      <c r="M3920" s="2" t="str">
        <f aca="false">IF(C3920="","",IFERROR(INDEX($S$5:$S$304,MATCH(C3920,$R$5:$R$304,0))&amp;"","?"))</f>
        <v/>
      </c>
      <c r="N3920" s="2" t="str">
        <f aca="false"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 t="str">
        <f aca="false">IF(OR(F3920="",G3920=""),"",IF(G3920&lt;='RETRATO 2027'!$K$5,"CONCLUÍDA",IF(F3920&lt;='RETRATO 2027'!$K$5,"EM ANDAMENTO","A INICIAR")))</f>
        <v/>
      </c>
    </row>
    <row r="3921" customFormat="false" ht="15" hidden="false" customHeight="false" outlineLevel="0" collapsed="false">
      <c r="M3921" s="2" t="str">
        <f aca="false">IF(C3921="","",IFERROR(INDEX($S$5:$S$304,MATCH(C3921,$R$5:$R$304,0))&amp;"","?"))</f>
        <v/>
      </c>
      <c r="N3921" s="2" t="str">
        <f aca="false"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 t="str">
        <f aca="false">IF(OR(F3921="",G3921=""),"",IF(G3921&lt;='RETRATO 2027'!$K$5,"CONCLUÍDA",IF(F3921&lt;='RETRATO 2027'!$K$5,"EM ANDAMENTO","A INICIAR")))</f>
        <v/>
      </c>
    </row>
    <row r="3922" customFormat="false" ht="15" hidden="false" customHeight="false" outlineLevel="0" collapsed="false">
      <c r="M3922" s="2" t="str">
        <f aca="false">IF(C3922="","",IFERROR(INDEX($S$5:$S$304,MATCH(C3922,$R$5:$R$304,0))&amp;"","?"))</f>
        <v/>
      </c>
      <c r="N3922" s="2" t="str">
        <f aca="false"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 t="str">
        <f aca="false">IF(OR(F3922="",G3922=""),"",IF(G3922&lt;='RETRATO 2027'!$K$5,"CONCLUÍDA",IF(F3922&lt;='RETRATO 2027'!$K$5,"EM ANDAMENTO","A INICIAR")))</f>
        <v/>
      </c>
    </row>
    <row r="3923" customFormat="false" ht="15" hidden="false" customHeight="false" outlineLevel="0" collapsed="false">
      <c r="M3923" s="2" t="str">
        <f aca="false">IF(C3923="","",IFERROR(INDEX($S$5:$S$304,MATCH(C3923,$R$5:$R$304,0))&amp;"","?"))</f>
        <v/>
      </c>
      <c r="N3923" s="2" t="str">
        <f aca="false"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 t="str">
        <f aca="false">IF(OR(F3923="",G3923=""),"",IF(G3923&lt;='RETRATO 2027'!$K$5,"CONCLUÍDA",IF(F3923&lt;='RETRATO 2027'!$K$5,"EM ANDAMENTO","A INICIAR")))</f>
        <v/>
      </c>
    </row>
    <row r="3924" customFormat="false" ht="15" hidden="false" customHeight="false" outlineLevel="0" collapsed="false">
      <c r="M3924" s="2" t="str">
        <f aca="false">IF(C3924="","",IFERROR(INDEX($S$5:$S$304,MATCH(C3924,$R$5:$R$304,0))&amp;"","?"))</f>
        <v/>
      </c>
      <c r="N3924" s="2" t="str">
        <f aca="false"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 t="str">
        <f aca="false">IF(OR(F3924="",G3924=""),"",IF(G3924&lt;='RETRATO 2027'!$K$5,"CONCLUÍDA",IF(F3924&lt;='RETRATO 2027'!$K$5,"EM ANDAMENTO","A INICIAR")))</f>
        <v/>
      </c>
    </row>
    <row r="3925" customFormat="false" ht="15" hidden="false" customHeight="false" outlineLevel="0" collapsed="false">
      <c r="M3925" s="2" t="str">
        <f aca="false">IF(C3925="","",IFERROR(INDEX($S$5:$S$304,MATCH(C3925,$R$5:$R$304,0))&amp;"","?"))</f>
        <v/>
      </c>
      <c r="N3925" s="2" t="str">
        <f aca="false"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 t="str">
        <f aca="false">IF(OR(F3925="",G3925=""),"",IF(G3925&lt;='RETRATO 2027'!$K$5,"CONCLUÍDA",IF(F3925&lt;='RETRATO 2027'!$K$5,"EM ANDAMENTO","A INICIAR")))</f>
        <v/>
      </c>
    </row>
    <row r="3926" customFormat="false" ht="15" hidden="false" customHeight="false" outlineLevel="0" collapsed="false">
      <c r="M3926" s="2" t="str">
        <f aca="false">IF(C3926="","",IFERROR(INDEX($S$5:$S$304,MATCH(C3926,$R$5:$R$304,0))&amp;"","?"))</f>
        <v/>
      </c>
      <c r="N3926" s="2" t="str">
        <f aca="false"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 t="str">
        <f aca="false">IF(OR(F3926="",G3926=""),"",IF(G3926&lt;='RETRATO 2027'!$K$5,"CONCLUÍDA",IF(F3926&lt;='RETRATO 2027'!$K$5,"EM ANDAMENTO","A INICIAR")))</f>
        <v/>
      </c>
    </row>
    <row r="3927" customFormat="false" ht="15" hidden="false" customHeight="false" outlineLevel="0" collapsed="false">
      <c r="M3927" s="2" t="str">
        <f aca="false">IF(C3927="","",IFERROR(INDEX($S$5:$S$304,MATCH(C3927,$R$5:$R$304,0))&amp;"","?"))</f>
        <v/>
      </c>
      <c r="N3927" s="2" t="str">
        <f aca="false"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 t="str">
        <f aca="false">IF(OR(F3927="",G3927=""),"",IF(G3927&lt;='RETRATO 2027'!$K$5,"CONCLUÍDA",IF(F3927&lt;='RETRATO 2027'!$K$5,"EM ANDAMENTO","A INICIAR")))</f>
        <v/>
      </c>
    </row>
    <row r="3928" customFormat="false" ht="15" hidden="false" customHeight="false" outlineLevel="0" collapsed="false">
      <c r="M3928" s="2" t="str">
        <f aca="false">IF(C3928="","",IFERROR(INDEX($S$5:$S$304,MATCH(C3928,$R$5:$R$304,0))&amp;"","?"))</f>
        <v/>
      </c>
      <c r="N3928" s="2" t="str">
        <f aca="false"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 t="str">
        <f aca="false">IF(OR(F3928="",G3928=""),"",IF(G3928&lt;='RETRATO 2027'!$K$5,"CONCLUÍDA",IF(F3928&lt;='RETRATO 2027'!$K$5,"EM ANDAMENTO","A INICIAR")))</f>
        <v/>
      </c>
    </row>
    <row r="3929" customFormat="false" ht="15" hidden="false" customHeight="false" outlineLevel="0" collapsed="false">
      <c r="M3929" s="2" t="str">
        <f aca="false">IF(C3929="","",IFERROR(INDEX($S$5:$S$304,MATCH(C3929,$R$5:$R$304,0))&amp;"","?"))</f>
        <v/>
      </c>
      <c r="N3929" s="2" t="str">
        <f aca="false"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 t="str">
        <f aca="false">IF(OR(F3929="",G3929=""),"",IF(G3929&lt;='RETRATO 2027'!$K$5,"CONCLUÍDA",IF(F3929&lt;='RETRATO 2027'!$K$5,"EM ANDAMENTO","A INICIAR")))</f>
        <v/>
      </c>
    </row>
    <row r="3930" customFormat="false" ht="15" hidden="false" customHeight="false" outlineLevel="0" collapsed="false">
      <c r="M3930" s="2" t="str">
        <f aca="false">IF(C3930="","",IFERROR(INDEX($S$5:$S$304,MATCH(C3930,$R$5:$R$304,0))&amp;"","?"))</f>
        <v/>
      </c>
      <c r="N3930" s="2" t="str">
        <f aca="false"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 t="str">
        <f aca="false">IF(OR(F3930="",G3930=""),"",IF(G3930&lt;='RETRATO 2027'!$K$5,"CONCLUÍDA",IF(F3930&lt;='RETRATO 2027'!$K$5,"EM ANDAMENTO","A INICIAR")))</f>
        <v/>
      </c>
    </row>
    <row r="3931" customFormat="false" ht="15" hidden="false" customHeight="false" outlineLevel="0" collapsed="false">
      <c r="M3931" s="2" t="str">
        <f aca="false">IF(C3931="","",IFERROR(INDEX($S$5:$S$304,MATCH(C3931,$R$5:$R$304,0))&amp;"","?"))</f>
        <v/>
      </c>
      <c r="N3931" s="2" t="str">
        <f aca="false"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 t="str">
        <f aca="false">IF(OR(F3931="",G3931=""),"",IF(G3931&lt;='RETRATO 2027'!$K$5,"CONCLUÍDA",IF(F3931&lt;='RETRATO 2027'!$K$5,"EM ANDAMENTO","A INICIAR")))</f>
        <v/>
      </c>
    </row>
    <row r="3932" customFormat="false" ht="15" hidden="false" customHeight="false" outlineLevel="0" collapsed="false">
      <c r="M3932" s="2" t="str">
        <f aca="false">IF(C3932="","",IFERROR(INDEX($S$5:$S$304,MATCH(C3932,$R$5:$R$304,0))&amp;"","?"))</f>
        <v/>
      </c>
      <c r="N3932" s="2" t="str">
        <f aca="false"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 t="str">
        <f aca="false">IF(OR(F3932="",G3932=""),"",IF(G3932&lt;='RETRATO 2027'!$K$5,"CONCLUÍDA",IF(F3932&lt;='RETRATO 2027'!$K$5,"EM ANDAMENTO","A INICIAR")))</f>
        <v/>
      </c>
    </row>
    <row r="3933" customFormat="false" ht="15" hidden="false" customHeight="false" outlineLevel="0" collapsed="false">
      <c r="M3933" s="2" t="str">
        <f aca="false">IF(C3933="","",IFERROR(INDEX($S$5:$S$304,MATCH(C3933,$R$5:$R$304,0))&amp;"","?"))</f>
        <v/>
      </c>
      <c r="N3933" s="2" t="str">
        <f aca="false"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 t="str">
        <f aca="false">IF(OR(F3933="",G3933=""),"",IF(G3933&lt;='RETRATO 2027'!$K$5,"CONCLUÍDA",IF(F3933&lt;='RETRATO 2027'!$K$5,"EM ANDAMENTO","A INICIAR")))</f>
        <v/>
      </c>
    </row>
    <row r="3934" customFormat="false" ht="15" hidden="false" customHeight="false" outlineLevel="0" collapsed="false">
      <c r="M3934" s="2" t="str">
        <f aca="false">IF(C3934="","",IFERROR(INDEX($S$5:$S$304,MATCH(C3934,$R$5:$R$304,0))&amp;"","?"))</f>
        <v/>
      </c>
      <c r="N3934" s="2" t="str">
        <f aca="false"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 t="str">
        <f aca="false">IF(OR(F3934="",G3934=""),"",IF(G3934&lt;='RETRATO 2027'!$K$5,"CONCLUÍDA",IF(F3934&lt;='RETRATO 2027'!$K$5,"EM ANDAMENTO","A INICIAR")))</f>
        <v/>
      </c>
    </row>
    <row r="3935" customFormat="false" ht="15" hidden="false" customHeight="false" outlineLevel="0" collapsed="false">
      <c r="M3935" s="2" t="str">
        <f aca="false">IF(C3935="","",IFERROR(INDEX($S$5:$S$304,MATCH(C3935,$R$5:$R$304,0))&amp;"","?"))</f>
        <v/>
      </c>
      <c r="N3935" s="2" t="str">
        <f aca="false"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 t="str">
        <f aca="false">IF(OR(F3935="",G3935=""),"",IF(G3935&lt;='RETRATO 2027'!$K$5,"CONCLUÍDA",IF(F3935&lt;='RETRATO 2027'!$K$5,"EM ANDAMENTO","A INICIAR")))</f>
        <v/>
      </c>
    </row>
    <row r="3936" customFormat="false" ht="15" hidden="false" customHeight="false" outlineLevel="0" collapsed="false">
      <c r="M3936" s="2" t="str">
        <f aca="false">IF(C3936="","",IFERROR(INDEX($S$5:$S$304,MATCH(C3936,$R$5:$R$304,0))&amp;"","?"))</f>
        <v/>
      </c>
      <c r="N3936" s="2" t="str">
        <f aca="false"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 t="str">
        <f aca="false">IF(OR(F3936="",G3936=""),"",IF(G3936&lt;='RETRATO 2027'!$K$5,"CONCLUÍDA",IF(F3936&lt;='RETRATO 2027'!$K$5,"EM ANDAMENTO","A INICIAR")))</f>
        <v/>
      </c>
    </row>
    <row r="3937" customFormat="false" ht="15" hidden="false" customHeight="false" outlineLevel="0" collapsed="false">
      <c r="M3937" s="2" t="str">
        <f aca="false">IF(C3937="","",IFERROR(INDEX($S$5:$S$304,MATCH(C3937,$R$5:$R$304,0))&amp;"","?"))</f>
        <v/>
      </c>
      <c r="N3937" s="2" t="str">
        <f aca="false"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 t="str">
        <f aca="false">IF(OR(F3937="",G3937=""),"",IF(G3937&lt;='RETRATO 2027'!$K$5,"CONCLUÍDA",IF(F3937&lt;='RETRATO 2027'!$K$5,"EM ANDAMENTO","A INICIAR")))</f>
        <v/>
      </c>
    </row>
    <row r="3938" customFormat="false" ht="15" hidden="false" customHeight="false" outlineLevel="0" collapsed="false">
      <c r="M3938" s="2" t="str">
        <f aca="false">IF(C3938="","",IFERROR(INDEX($S$5:$S$304,MATCH(C3938,$R$5:$R$304,0))&amp;"","?"))</f>
        <v/>
      </c>
      <c r="N3938" s="2" t="str">
        <f aca="false"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 t="str">
        <f aca="false">IF(OR(F3938="",G3938=""),"",IF(G3938&lt;='RETRATO 2027'!$K$5,"CONCLUÍDA",IF(F3938&lt;='RETRATO 2027'!$K$5,"EM ANDAMENTO","A INICIAR")))</f>
        <v/>
      </c>
    </row>
    <row r="3939" customFormat="false" ht="15" hidden="false" customHeight="false" outlineLevel="0" collapsed="false">
      <c r="M3939" s="2" t="str">
        <f aca="false">IF(C3939="","",IFERROR(INDEX($S$5:$S$304,MATCH(C3939,$R$5:$R$304,0))&amp;"","?"))</f>
        <v/>
      </c>
      <c r="N3939" s="2" t="str">
        <f aca="false"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 t="str">
        <f aca="false">IF(OR(F3939="",G3939=""),"",IF(G3939&lt;='RETRATO 2027'!$K$5,"CONCLUÍDA",IF(F3939&lt;='RETRATO 2027'!$K$5,"EM ANDAMENTO","A INICIAR")))</f>
        <v/>
      </c>
    </row>
    <row r="3940" customFormat="false" ht="15" hidden="false" customHeight="false" outlineLevel="0" collapsed="false">
      <c r="M3940" s="2" t="str">
        <f aca="false">IF(C3940="","",IFERROR(INDEX($S$5:$S$304,MATCH(C3940,$R$5:$R$304,0))&amp;"","?"))</f>
        <v/>
      </c>
      <c r="N3940" s="2" t="str">
        <f aca="false"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 t="str">
        <f aca="false">IF(OR(F3940="",G3940=""),"",IF(G3940&lt;='RETRATO 2027'!$K$5,"CONCLUÍDA",IF(F3940&lt;='RETRATO 2027'!$K$5,"EM ANDAMENTO","A INICIAR")))</f>
        <v/>
      </c>
    </row>
    <row r="3941" customFormat="false" ht="15" hidden="false" customHeight="false" outlineLevel="0" collapsed="false">
      <c r="M3941" s="2" t="str">
        <f aca="false">IF(C3941="","",IFERROR(INDEX($S$5:$S$304,MATCH(C3941,$R$5:$R$304,0))&amp;"","?"))</f>
        <v/>
      </c>
      <c r="N3941" s="2" t="str">
        <f aca="false"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 t="str">
        <f aca="false">IF(OR(F3941="",G3941=""),"",IF(G3941&lt;='RETRATO 2027'!$K$5,"CONCLUÍDA",IF(F3941&lt;='RETRATO 2027'!$K$5,"EM ANDAMENTO","A INICIAR")))</f>
        <v/>
      </c>
    </row>
    <row r="3942" customFormat="false" ht="15" hidden="false" customHeight="false" outlineLevel="0" collapsed="false">
      <c r="M3942" s="2" t="str">
        <f aca="false">IF(C3942="","",IFERROR(INDEX($S$5:$S$304,MATCH(C3942,$R$5:$R$304,0))&amp;"","?"))</f>
        <v/>
      </c>
      <c r="N3942" s="2" t="str">
        <f aca="false"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 t="str">
        <f aca="false">IF(OR(F3942="",G3942=""),"",IF(G3942&lt;='RETRATO 2027'!$K$5,"CONCLUÍDA",IF(F3942&lt;='RETRATO 2027'!$K$5,"EM ANDAMENTO","A INICIAR")))</f>
        <v/>
      </c>
    </row>
    <row r="3943" customFormat="false" ht="15" hidden="false" customHeight="false" outlineLevel="0" collapsed="false">
      <c r="M3943" s="2" t="str">
        <f aca="false">IF(C3943="","",IFERROR(INDEX($S$5:$S$304,MATCH(C3943,$R$5:$R$304,0))&amp;"","?"))</f>
        <v/>
      </c>
      <c r="N3943" s="2" t="str">
        <f aca="false"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 t="str">
        <f aca="false">IF(OR(F3943="",G3943=""),"",IF(G3943&lt;='RETRATO 2027'!$K$5,"CONCLUÍDA",IF(F3943&lt;='RETRATO 2027'!$K$5,"EM ANDAMENTO","A INICIAR")))</f>
        <v/>
      </c>
    </row>
    <row r="3944" customFormat="false" ht="15" hidden="false" customHeight="false" outlineLevel="0" collapsed="false">
      <c r="M3944" s="2" t="str">
        <f aca="false">IF(C3944="","",IFERROR(INDEX($S$5:$S$304,MATCH(C3944,$R$5:$R$304,0))&amp;"","?"))</f>
        <v/>
      </c>
      <c r="N3944" s="2" t="str">
        <f aca="false"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 t="str">
        <f aca="false">IF(OR(F3944="",G3944=""),"",IF(G3944&lt;='RETRATO 2027'!$K$5,"CONCLUÍDA",IF(F3944&lt;='RETRATO 2027'!$K$5,"EM ANDAMENTO","A INICIAR")))</f>
        <v/>
      </c>
    </row>
    <row r="3945" customFormat="false" ht="15" hidden="false" customHeight="false" outlineLevel="0" collapsed="false">
      <c r="M3945" s="2" t="str">
        <f aca="false">IF(C3945="","",IFERROR(INDEX($S$5:$S$304,MATCH(C3945,$R$5:$R$304,0))&amp;"","?"))</f>
        <v/>
      </c>
      <c r="N3945" s="2" t="str">
        <f aca="false"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 t="str">
        <f aca="false">IF(OR(F3945="",G3945=""),"",IF(G3945&lt;='RETRATO 2027'!$K$5,"CONCLUÍDA",IF(F3945&lt;='RETRATO 2027'!$K$5,"EM ANDAMENTO","A INICIAR")))</f>
        <v/>
      </c>
    </row>
    <row r="3946" customFormat="false" ht="15" hidden="false" customHeight="false" outlineLevel="0" collapsed="false">
      <c r="M3946" s="2" t="str">
        <f aca="false">IF(C3946="","",IFERROR(INDEX($S$5:$S$304,MATCH(C3946,$R$5:$R$304,0))&amp;"","?"))</f>
        <v/>
      </c>
      <c r="N3946" s="2" t="str">
        <f aca="false"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 t="str">
        <f aca="false">IF(OR(F3946="",G3946=""),"",IF(G3946&lt;='RETRATO 2027'!$K$5,"CONCLUÍDA",IF(F3946&lt;='RETRATO 2027'!$K$5,"EM ANDAMENTO","A INICIAR")))</f>
        <v/>
      </c>
    </row>
    <row r="3947" customFormat="false" ht="15" hidden="false" customHeight="false" outlineLevel="0" collapsed="false">
      <c r="M3947" s="2" t="str">
        <f aca="false">IF(C3947="","",IFERROR(INDEX($S$5:$S$304,MATCH(C3947,$R$5:$R$304,0))&amp;"","?"))</f>
        <v/>
      </c>
      <c r="N3947" s="2" t="str">
        <f aca="false"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 t="str">
        <f aca="false">IF(OR(F3947="",G3947=""),"",IF(G3947&lt;='RETRATO 2027'!$K$5,"CONCLUÍDA",IF(F3947&lt;='RETRATO 2027'!$K$5,"EM ANDAMENTO","A INICIAR")))</f>
        <v/>
      </c>
    </row>
    <row r="3948" customFormat="false" ht="15" hidden="false" customHeight="false" outlineLevel="0" collapsed="false">
      <c r="M3948" s="2" t="str">
        <f aca="false">IF(C3948="","",IFERROR(INDEX($S$5:$S$304,MATCH(C3948,$R$5:$R$304,0))&amp;"","?"))</f>
        <v/>
      </c>
      <c r="N3948" s="2" t="str">
        <f aca="false"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 t="str">
        <f aca="false">IF(OR(F3948="",G3948=""),"",IF(G3948&lt;='RETRATO 2027'!$K$5,"CONCLUÍDA",IF(F3948&lt;='RETRATO 2027'!$K$5,"EM ANDAMENTO","A INICIAR")))</f>
        <v/>
      </c>
    </row>
    <row r="3949" customFormat="false" ht="15" hidden="false" customHeight="false" outlineLevel="0" collapsed="false">
      <c r="M3949" s="2" t="str">
        <f aca="false">IF(C3949="","",IFERROR(INDEX($S$5:$S$304,MATCH(C3949,$R$5:$R$304,0))&amp;"","?"))</f>
        <v/>
      </c>
      <c r="N3949" s="2" t="str">
        <f aca="false"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 t="str">
        <f aca="false">IF(OR(F3949="",G3949=""),"",IF(G3949&lt;='RETRATO 2027'!$K$5,"CONCLUÍDA",IF(F3949&lt;='RETRATO 2027'!$K$5,"EM ANDAMENTO","A INICIAR")))</f>
        <v/>
      </c>
    </row>
    <row r="3950" customFormat="false" ht="15" hidden="false" customHeight="false" outlineLevel="0" collapsed="false">
      <c r="M3950" s="2" t="str">
        <f aca="false">IF(C3950="","",IFERROR(INDEX($S$5:$S$304,MATCH(C3950,$R$5:$R$304,0))&amp;"","?"))</f>
        <v/>
      </c>
      <c r="N3950" s="2" t="str">
        <f aca="false"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 t="str">
        <f aca="false">IF(OR(F3950="",G3950=""),"",IF(G3950&lt;='RETRATO 2027'!$K$5,"CONCLUÍDA",IF(F3950&lt;='RETRATO 2027'!$K$5,"EM ANDAMENTO","A INICIAR")))</f>
        <v/>
      </c>
    </row>
    <row r="3951" customFormat="false" ht="15" hidden="false" customHeight="false" outlineLevel="0" collapsed="false">
      <c r="M3951" s="2" t="str">
        <f aca="false">IF(C3951="","",IFERROR(INDEX($S$5:$S$304,MATCH(C3951,$R$5:$R$304,0))&amp;"","?"))</f>
        <v/>
      </c>
      <c r="N3951" s="2" t="str">
        <f aca="false"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 t="str">
        <f aca="false">IF(OR(F3951="",G3951=""),"",IF(G3951&lt;='RETRATO 2027'!$K$5,"CONCLUÍDA",IF(F3951&lt;='RETRATO 2027'!$K$5,"EM ANDAMENTO","A INICIAR")))</f>
        <v/>
      </c>
    </row>
    <row r="3952" customFormat="false" ht="15" hidden="false" customHeight="false" outlineLevel="0" collapsed="false">
      <c r="M3952" s="2" t="str">
        <f aca="false">IF(C3952="","",IFERROR(INDEX($S$5:$S$304,MATCH(C3952,$R$5:$R$304,0))&amp;"","?"))</f>
        <v/>
      </c>
      <c r="N3952" s="2" t="str">
        <f aca="false"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 t="str">
        <f aca="false">IF(OR(F3952="",G3952=""),"",IF(G3952&lt;='RETRATO 2027'!$K$5,"CONCLUÍDA",IF(F3952&lt;='RETRATO 2027'!$K$5,"EM ANDAMENTO","A INICIAR")))</f>
        <v/>
      </c>
    </row>
    <row r="3953" customFormat="false" ht="15" hidden="false" customHeight="false" outlineLevel="0" collapsed="false">
      <c r="M3953" s="2" t="str">
        <f aca="false">IF(C3953="","",IFERROR(INDEX($S$5:$S$304,MATCH(C3953,$R$5:$R$304,0))&amp;"","?"))</f>
        <v/>
      </c>
      <c r="N3953" s="2" t="str">
        <f aca="false"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 t="str">
        <f aca="false">IF(OR(F3953="",G3953=""),"",IF(G3953&lt;='RETRATO 2027'!$K$5,"CONCLUÍDA",IF(F3953&lt;='RETRATO 2027'!$K$5,"EM ANDAMENTO","A INICIAR")))</f>
        <v/>
      </c>
    </row>
    <row r="3954" customFormat="false" ht="15" hidden="false" customHeight="false" outlineLevel="0" collapsed="false">
      <c r="M3954" s="2" t="str">
        <f aca="false">IF(C3954="","",IFERROR(INDEX($S$5:$S$304,MATCH(C3954,$R$5:$R$304,0))&amp;"","?"))</f>
        <v/>
      </c>
      <c r="N3954" s="2" t="str">
        <f aca="false"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 t="str">
        <f aca="false">IF(OR(F3954="",G3954=""),"",IF(G3954&lt;='RETRATO 2027'!$K$5,"CONCLUÍDA",IF(F3954&lt;='RETRATO 2027'!$K$5,"EM ANDAMENTO","A INICIAR")))</f>
        <v/>
      </c>
    </row>
    <row r="3955" customFormat="false" ht="15" hidden="false" customHeight="false" outlineLevel="0" collapsed="false">
      <c r="M3955" s="2" t="str">
        <f aca="false">IF(C3955="","",IFERROR(INDEX($S$5:$S$304,MATCH(C3955,$R$5:$R$304,0))&amp;"","?"))</f>
        <v/>
      </c>
      <c r="N3955" s="2" t="str">
        <f aca="false"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 t="str">
        <f aca="false">IF(OR(F3955="",G3955=""),"",IF(G3955&lt;='RETRATO 2027'!$K$5,"CONCLUÍDA",IF(F3955&lt;='RETRATO 2027'!$K$5,"EM ANDAMENTO","A INICIAR")))</f>
        <v/>
      </c>
    </row>
    <row r="3956" customFormat="false" ht="15" hidden="false" customHeight="false" outlineLevel="0" collapsed="false">
      <c r="M3956" s="2" t="str">
        <f aca="false">IF(C3956="","",IFERROR(INDEX($S$5:$S$304,MATCH(C3956,$R$5:$R$304,0))&amp;"","?"))</f>
        <v/>
      </c>
      <c r="N3956" s="2" t="str">
        <f aca="false"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 t="str">
        <f aca="false">IF(OR(F3956="",G3956=""),"",IF(G3956&lt;='RETRATO 2027'!$K$5,"CONCLUÍDA",IF(F3956&lt;='RETRATO 2027'!$K$5,"EM ANDAMENTO","A INICIAR")))</f>
        <v/>
      </c>
    </row>
    <row r="3957" customFormat="false" ht="15" hidden="false" customHeight="false" outlineLevel="0" collapsed="false">
      <c r="M3957" s="2" t="str">
        <f aca="false">IF(C3957="","",IFERROR(INDEX($S$5:$S$304,MATCH(C3957,$R$5:$R$304,0))&amp;"","?"))</f>
        <v/>
      </c>
      <c r="N3957" s="2" t="str">
        <f aca="false"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 t="str">
        <f aca="false">IF(OR(F3957="",G3957=""),"",IF(G3957&lt;='RETRATO 2027'!$K$5,"CONCLUÍDA",IF(F3957&lt;='RETRATO 2027'!$K$5,"EM ANDAMENTO","A INICIAR")))</f>
        <v/>
      </c>
    </row>
    <row r="3958" customFormat="false" ht="15" hidden="false" customHeight="false" outlineLevel="0" collapsed="false">
      <c r="M3958" s="2" t="str">
        <f aca="false">IF(C3958="","",IFERROR(INDEX($S$5:$S$304,MATCH(C3958,$R$5:$R$304,0))&amp;"","?"))</f>
        <v/>
      </c>
      <c r="N3958" s="2" t="str">
        <f aca="false"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 t="str">
        <f aca="false">IF(OR(F3958="",G3958=""),"",IF(G3958&lt;='RETRATO 2027'!$K$5,"CONCLUÍDA",IF(F3958&lt;='RETRATO 2027'!$K$5,"EM ANDAMENTO","A INICIAR")))</f>
        <v/>
      </c>
    </row>
    <row r="3959" customFormat="false" ht="15" hidden="false" customHeight="false" outlineLevel="0" collapsed="false">
      <c r="M3959" s="2" t="str">
        <f aca="false">IF(C3959="","",IFERROR(INDEX($S$5:$S$304,MATCH(C3959,$R$5:$R$304,0))&amp;"","?"))</f>
        <v/>
      </c>
      <c r="N3959" s="2" t="str">
        <f aca="false"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 t="str">
        <f aca="false">IF(OR(F3959="",G3959=""),"",IF(G3959&lt;='RETRATO 2027'!$K$5,"CONCLUÍDA",IF(F3959&lt;='RETRATO 2027'!$K$5,"EM ANDAMENTO","A INICIAR")))</f>
        <v/>
      </c>
    </row>
    <row r="3960" customFormat="false" ht="15" hidden="false" customHeight="false" outlineLevel="0" collapsed="false">
      <c r="M3960" s="2" t="str">
        <f aca="false">IF(C3960="","",IFERROR(INDEX($S$5:$S$304,MATCH(C3960,$R$5:$R$304,0))&amp;"","?"))</f>
        <v/>
      </c>
      <c r="N3960" s="2" t="str">
        <f aca="false"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 t="str">
        <f aca="false">IF(OR(F3960="",G3960=""),"",IF(G3960&lt;='RETRATO 2027'!$K$5,"CONCLUÍDA",IF(F3960&lt;='RETRATO 2027'!$K$5,"EM ANDAMENTO","A INICIAR")))</f>
        <v/>
      </c>
    </row>
    <row r="3961" customFormat="false" ht="15" hidden="false" customHeight="false" outlineLevel="0" collapsed="false">
      <c r="M3961" s="2" t="str">
        <f aca="false">IF(C3961="","",IFERROR(INDEX($S$5:$S$304,MATCH(C3961,$R$5:$R$304,0))&amp;"","?"))</f>
        <v/>
      </c>
      <c r="N3961" s="2" t="str">
        <f aca="false"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 t="str">
        <f aca="false">IF(OR(F3961="",G3961=""),"",IF(G3961&lt;='RETRATO 2027'!$K$5,"CONCLUÍDA",IF(F3961&lt;='RETRATO 2027'!$K$5,"EM ANDAMENTO","A INICIAR")))</f>
        <v/>
      </c>
    </row>
    <row r="3962" customFormat="false" ht="15" hidden="false" customHeight="false" outlineLevel="0" collapsed="false">
      <c r="M3962" s="2" t="str">
        <f aca="false">IF(C3962="","",IFERROR(INDEX($S$5:$S$304,MATCH(C3962,$R$5:$R$304,0))&amp;"","?"))</f>
        <v/>
      </c>
      <c r="N3962" s="2" t="str">
        <f aca="false"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 t="str">
        <f aca="false">IF(OR(F3962="",G3962=""),"",IF(G3962&lt;='RETRATO 2027'!$K$5,"CONCLUÍDA",IF(F3962&lt;='RETRATO 2027'!$K$5,"EM ANDAMENTO","A INICIAR")))</f>
        <v/>
      </c>
    </row>
    <row r="3963" customFormat="false" ht="15" hidden="false" customHeight="false" outlineLevel="0" collapsed="false">
      <c r="M3963" s="2" t="str">
        <f aca="false">IF(C3963="","",IFERROR(INDEX($S$5:$S$304,MATCH(C3963,$R$5:$R$304,0))&amp;"","?"))</f>
        <v/>
      </c>
      <c r="N3963" s="2" t="str">
        <f aca="false"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 t="str">
        <f aca="false">IF(OR(F3963="",G3963=""),"",IF(G3963&lt;='RETRATO 2027'!$K$5,"CONCLUÍDA",IF(F3963&lt;='RETRATO 2027'!$K$5,"EM ANDAMENTO","A INICIAR")))</f>
        <v/>
      </c>
    </row>
    <row r="3964" customFormat="false" ht="15" hidden="false" customHeight="false" outlineLevel="0" collapsed="false">
      <c r="M3964" s="2" t="str">
        <f aca="false">IF(C3964="","",IFERROR(INDEX($S$5:$S$304,MATCH(C3964,$R$5:$R$304,0))&amp;"","?"))</f>
        <v/>
      </c>
      <c r="N3964" s="2" t="str">
        <f aca="false"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 t="str">
        <f aca="false">IF(OR(F3964="",G3964=""),"",IF(G3964&lt;='RETRATO 2027'!$K$5,"CONCLUÍDA",IF(F3964&lt;='RETRATO 2027'!$K$5,"EM ANDAMENTO","A INICIAR")))</f>
        <v/>
      </c>
    </row>
    <row r="3965" customFormat="false" ht="15" hidden="false" customHeight="false" outlineLevel="0" collapsed="false">
      <c r="M3965" s="2" t="str">
        <f aca="false">IF(C3965="","",IFERROR(INDEX($S$5:$S$304,MATCH(C3965,$R$5:$R$304,0))&amp;"","?"))</f>
        <v/>
      </c>
      <c r="N3965" s="2" t="str">
        <f aca="false"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 t="str">
        <f aca="false">IF(OR(F3965="",G3965=""),"",IF(G3965&lt;='RETRATO 2027'!$K$5,"CONCLUÍDA",IF(F3965&lt;='RETRATO 2027'!$K$5,"EM ANDAMENTO","A INICIAR")))</f>
        <v/>
      </c>
    </row>
    <row r="3966" customFormat="false" ht="15" hidden="false" customHeight="false" outlineLevel="0" collapsed="false">
      <c r="M3966" s="2" t="str">
        <f aca="false">IF(C3966="","",IFERROR(INDEX($S$5:$S$304,MATCH(C3966,$R$5:$R$304,0))&amp;"","?"))</f>
        <v/>
      </c>
      <c r="N3966" s="2" t="str">
        <f aca="false"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 t="str">
        <f aca="false">IF(OR(F3966="",G3966=""),"",IF(G3966&lt;='RETRATO 2027'!$K$5,"CONCLUÍDA",IF(F3966&lt;='RETRATO 2027'!$K$5,"EM ANDAMENTO","A INICIAR")))</f>
        <v/>
      </c>
    </row>
    <row r="3967" customFormat="false" ht="15" hidden="false" customHeight="false" outlineLevel="0" collapsed="false">
      <c r="M3967" s="2" t="str">
        <f aca="false">IF(C3967="","",IFERROR(INDEX($S$5:$S$304,MATCH(C3967,$R$5:$R$304,0))&amp;"","?"))</f>
        <v/>
      </c>
      <c r="N3967" s="2" t="str">
        <f aca="false"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 t="str">
        <f aca="false">IF(OR(F3967="",G3967=""),"",IF(G3967&lt;='RETRATO 2027'!$K$5,"CONCLUÍDA",IF(F3967&lt;='RETRATO 2027'!$K$5,"EM ANDAMENTO","A INICIAR")))</f>
        <v/>
      </c>
    </row>
    <row r="3968" customFormat="false" ht="15" hidden="false" customHeight="false" outlineLevel="0" collapsed="false">
      <c r="M3968" s="2" t="str">
        <f aca="false">IF(C3968="","",IFERROR(INDEX($S$5:$S$304,MATCH(C3968,$R$5:$R$304,0))&amp;"","?"))</f>
        <v/>
      </c>
      <c r="N3968" s="2" t="str">
        <f aca="false"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 t="str">
        <f aca="false">IF(OR(F3968="",G3968=""),"",IF(G3968&lt;='RETRATO 2027'!$K$5,"CONCLUÍDA",IF(F3968&lt;='RETRATO 2027'!$K$5,"EM ANDAMENTO","A INICIAR")))</f>
        <v/>
      </c>
    </row>
    <row r="3969" customFormat="false" ht="15" hidden="false" customHeight="false" outlineLevel="0" collapsed="false">
      <c r="M3969" s="2" t="str">
        <f aca="false">IF(C3969="","",IFERROR(INDEX($S$5:$S$304,MATCH(C3969,$R$5:$R$304,0))&amp;"","?"))</f>
        <v/>
      </c>
      <c r="N3969" s="2" t="str">
        <f aca="false"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 t="str">
        <f aca="false">IF(OR(F3969="",G3969=""),"",IF(G3969&lt;='RETRATO 2027'!$K$5,"CONCLUÍDA",IF(F3969&lt;='RETRATO 2027'!$K$5,"EM ANDAMENTO","A INICIAR")))</f>
        <v/>
      </c>
    </row>
    <row r="3970" customFormat="false" ht="15" hidden="false" customHeight="false" outlineLevel="0" collapsed="false">
      <c r="M3970" s="2" t="str">
        <f aca="false">IF(C3970="","",IFERROR(INDEX($S$5:$S$304,MATCH(C3970,$R$5:$R$304,0))&amp;"","?"))</f>
        <v/>
      </c>
      <c r="N3970" s="2" t="str">
        <f aca="false"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 t="str">
        <f aca="false">IF(OR(F3970="",G3970=""),"",IF(G3970&lt;='RETRATO 2027'!$K$5,"CONCLUÍDA",IF(F3970&lt;='RETRATO 2027'!$K$5,"EM ANDAMENTO","A INICIAR")))</f>
        <v/>
      </c>
    </row>
    <row r="3971" customFormat="false" ht="15" hidden="false" customHeight="false" outlineLevel="0" collapsed="false">
      <c r="M3971" s="2" t="str">
        <f aca="false">IF(C3971="","",IFERROR(INDEX($S$5:$S$304,MATCH(C3971,$R$5:$R$304,0))&amp;"","?"))</f>
        <v/>
      </c>
      <c r="N3971" s="2" t="str">
        <f aca="false"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 t="str">
        <f aca="false">IF(OR(F3971="",G3971=""),"",IF(G3971&lt;='RETRATO 2027'!$K$5,"CONCLUÍDA",IF(F3971&lt;='RETRATO 2027'!$K$5,"EM ANDAMENTO","A INICIAR")))</f>
        <v/>
      </c>
    </row>
    <row r="3972" customFormat="false" ht="15" hidden="false" customHeight="false" outlineLevel="0" collapsed="false">
      <c r="M3972" s="2" t="str">
        <f aca="false">IF(C3972="","",IFERROR(INDEX($S$5:$S$304,MATCH(C3972,$R$5:$R$304,0))&amp;"","?"))</f>
        <v/>
      </c>
      <c r="N3972" s="2" t="str">
        <f aca="false"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 t="str">
        <f aca="false">IF(OR(F3972="",G3972=""),"",IF(G3972&lt;='RETRATO 2027'!$K$5,"CONCLUÍDA",IF(F3972&lt;='RETRATO 2027'!$K$5,"EM ANDAMENTO","A INICIAR")))</f>
        <v/>
      </c>
    </row>
    <row r="3973" customFormat="false" ht="15" hidden="false" customHeight="false" outlineLevel="0" collapsed="false">
      <c r="M3973" s="2" t="str">
        <f aca="false">IF(C3973="","",IFERROR(INDEX($S$5:$S$304,MATCH(C3973,$R$5:$R$304,0))&amp;"","?"))</f>
        <v/>
      </c>
      <c r="N3973" s="2" t="str">
        <f aca="false"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 t="str">
        <f aca="false">IF(OR(F3973="",G3973=""),"",IF(G3973&lt;='RETRATO 2027'!$K$5,"CONCLUÍDA",IF(F3973&lt;='RETRATO 2027'!$K$5,"EM ANDAMENTO","A INICIAR")))</f>
        <v/>
      </c>
    </row>
    <row r="3974" customFormat="false" ht="15" hidden="false" customHeight="false" outlineLevel="0" collapsed="false">
      <c r="M3974" s="2" t="str">
        <f aca="false">IF(C3974="","",IFERROR(INDEX($S$5:$S$304,MATCH(C3974,$R$5:$R$304,0))&amp;"","?"))</f>
        <v/>
      </c>
      <c r="N3974" s="2" t="str">
        <f aca="false"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 t="str">
        <f aca="false">IF(OR(F3974="",G3974=""),"",IF(G3974&lt;='RETRATO 2027'!$K$5,"CONCLUÍDA",IF(F3974&lt;='RETRATO 2027'!$K$5,"EM ANDAMENTO","A INICIAR")))</f>
        <v/>
      </c>
    </row>
    <row r="3975" customFormat="false" ht="15" hidden="false" customHeight="false" outlineLevel="0" collapsed="false">
      <c r="M3975" s="2" t="str">
        <f aca="false">IF(C3975="","",IFERROR(INDEX($S$5:$S$304,MATCH(C3975,$R$5:$R$304,0))&amp;"","?"))</f>
        <v/>
      </c>
      <c r="N3975" s="2" t="str">
        <f aca="false"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 t="str">
        <f aca="false">IF(OR(F3975="",G3975=""),"",IF(G3975&lt;='RETRATO 2027'!$K$5,"CONCLUÍDA",IF(F3975&lt;='RETRATO 2027'!$K$5,"EM ANDAMENTO","A INICIAR")))</f>
        <v/>
      </c>
    </row>
    <row r="3976" customFormat="false" ht="15" hidden="false" customHeight="false" outlineLevel="0" collapsed="false">
      <c r="M3976" s="2" t="str">
        <f aca="false">IF(C3976="","",IFERROR(INDEX($S$5:$S$304,MATCH(C3976,$R$5:$R$304,0))&amp;"","?"))</f>
        <v/>
      </c>
      <c r="N3976" s="2" t="str">
        <f aca="false"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 t="str">
        <f aca="false">IF(OR(F3976="",G3976=""),"",IF(G3976&lt;='RETRATO 2027'!$K$5,"CONCLUÍDA",IF(F3976&lt;='RETRATO 2027'!$K$5,"EM ANDAMENTO","A INICIAR")))</f>
        <v/>
      </c>
    </row>
    <row r="3977" customFormat="false" ht="15" hidden="false" customHeight="false" outlineLevel="0" collapsed="false">
      <c r="M3977" s="2" t="str">
        <f aca="false">IF(C3977="","",IFERROR(INDEX($S$5:$S$304,MATCH(C3977,$R$5:$R$304,0))&amp;"","?"))</f>
        <v/>
      </c>
      <c r="N3977" s="2" t="str">
        <f aca="false"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 t="str">
        <f aca="false">IF(OR(F3977="",G3977=""),"",IF(G3977&lt;='RETRATO 2027'!$K$5,"CONCLUÍDA",IF(F3977&lt;='RETRATO 2027'!$K$5,"EM ANDAMENTO","A INICIAR")))</f>
        <v/>
      </c>
    </row>
    <row r="3978" customFormat="false" ht="15" hidden="false" customHeight="false" outlineLevel="0" collapsed="false">
      <c r="M3978" s="2" t="str">
        <f aca="false">IF(C3978="","",IFERROR(INDEX($S$5:$S$304,MATCH(C3978,$R$5:$R$304,0))&amp;"","?"))</f>
        <v/>
      </c>
      <c r="N3978" s="2" t="str">
        <f aca="false"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 t="str">
        <f aca="false">IF(OR(F3978="",G3978=""),"",IF(G3978&lt;='RETRATO 2027'!$K$5,"CONCLUÍDA",IF(F3978&lt;='RETRATO 2027'!$K$5,"EM ANDAMENTO","A INICIAR")))</f>
        <v/>
      </c>
    </row>
    <row r="3979" customFormat="false" ht="15" hidden="false" customHeight="false" outlineLevel="0" collapsed="false">
      <c r="M3979" s="2" t="str">
        <f aca="false">IF(C3979="","",IFERROR(INDEX($S$5:$S$304,MATCH(C3979,$R$5:$R$304,0))&amp;"","?"))</f>
        <v/>
      </c>
      <c r="N3979" s="2" t="str">
        <f aca="false"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 t="str">
        <f aca="false">IF(OR(F3979="",G3979=""),"",IF(G3979&lt;='RETRATO 2027'!$K$5,"CONCLUÍDA",IF(F3979&lt;='RETRATO 2027'!$K$5,"EM ANDAMENTO","A INICIAR")))</f>
        <v/>
      </c>
    </row>
    <row r="3980" customFormat="false" ht="15" hidden="false" customHeight="false" outlineLevel="0" collapsed="false">
      <c r="M3980" s="2" t="str">
        <f aca="false">IF(C3980="","",IFERROR(INDEX($S$5:$S$304,MATCH(C3980,$R$5:$R$304,0))&amp;"","?"))</f>
        <v/>
      </c>
      <c r="N3980" s="2" t="str">
        <f aca="false"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 t="str">
        <f aca="false">IF(OR(F3980="",G3980=""),"",IF(G3980&lt;='RETRATO 2027'!$K$5,"CONCLUÍDA",IF(F3980&lt;='RETRATO 2027'!$K$5,"EM ANDAMENTO","A INICIAR")))</f>
        <v/>
      </c>
    </row>
    <row r="3981" customFormat="false" ht="15" hidden="false" customHeight="false" outlineLevel="0" collapsed="false">
      <c r="M3981" s="2" t="str">
        <f aca="false">IF(C3981="","",IFERROR(INDEX($S$5:$S$304,MATCH(C3981,$R$5:$R$304,0))&amp;"","?"))</f>
        <v/>
      </c>
      <c r="N3981" s="2" t="str">
        <f aca="false"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 t="str">
        <f aca="false">IF(OR(F3981="",G3981=""),"",IF(G3981&lt;='RETRATO 2027'!$K$5,"CONCLUÍDA",IF(F3981&lt;='RETRATO 2027'!$K$5,"EM ANDAMENTO","A INICIAR")))</f>
        <v/>
      </c>
    </row>
    <row r="3982" customFormat="false" ht="15" hidden="false" customHeight="false" outlineLevel="0" collapsed="false">
      <c r="M3982" s="2" t="str">
        <f aca="false">IF(C3982="","",IFERROR(INDEX($S$5:$S$304,MATCH(C3982,$R$5:$R$304,0))&amp;"","?"))</f>
        <v/>
      </c>
      <c r="N3982" s="2" t="str">
        <f aca="false"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 t="str">
        <f aca="false">IF(OR(F3982="",G3982=""),"",IF(G3982&lt;='RETRATO 2027'!$K$5,"CONCLUÍDA",IF(F3982&lt;='RETRATO 2027'!$K$5,"EM ANDAMENTO","A INICIAR")))</f>
        <v/>
      </c>
    </row>
    <row r="3983" customFormat="false" ht="15" hidden="false" customHeight="false" outlineLevel="0" collapsed="false">
      <c r="M3983" s="2" t="str">
        <f aca="false">IF(C3983="","",IFERROR(INDEX($S$5:$S$304,MATCH(C3983,$R$5:$R$304,0))&amp;"","?"))</f>
        <v/>
      </c>
      <c r="N3983" s="2" t="str">
        <f aca="false"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 t="str">
        <f aca="false">IF(OR(F3983="",G3983=""),"",IF(G3983&lt;='RETRATO 2027'!$K$5,"CONCLUÍDA",IF(F3983&lt;='RETRATO 2027'!$K$5,"EM ANDAMENTO","A INICIAR")))</f>
        <v/>
      </c>
    </row>
    <row r="3984" customFormat="false" ht="15" hidden="false" customHeight="false" outlineLevel="0" collapsed="false">
      <c r="M3984" s="2" t="str">
        <f aca="false">IF(C3984="","",IFERROR(INDEX($S$5:$S$304,MATCH(C3984,$R$5:$R$304,0))&amp;"","?"))</f>
        <v/>
      </c>
      <c r="N3984" s="2" t="str">
        <f aca="false"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 t="str">
        <f aca="false">IF(OR(F3984="",G3984=""),"",IF(G3984&lt;='RETRATO 2027'!$K$5,"CONCLUÍDA",IF(F3984&lt;='RETRATO 2027'!$K$5,"EM ANDAMENTO","A INICIAR")))</f>
        <v/>
      </c>
    </row>
    <row r="3985" customFormat="false" ht="15" hidden="false" customHeight="false" outlineLevel="0" collapsed="false">
      <c r="M3985" s="2" t="str">
        <f aca="false">IF(C3985="","",IFERROR(INDEX($S$5:$S$304,MATCH(C3985,$R$5:$R$304,0))&amp;"","?"))</f>
        <v/>
      </c>
      <c r="N3985" s="2" t="str">
        <f aca="false"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 t="str">
        <f aca="false">IF(OR(F3985="",G3985=""),"",IF(G3985&lt;='RETRATO 2027'!$K$5,"CONCLUÍDA",IF(F3985&lt;='RETRATO 2027'!$K$5,"EM ANDAMENTO","A INICIAR")))</f>
        <v/>
      </c>
    </row>
    <row r="3986" customFormat="false" ht="15" hidden="false" customHeight="false" outlineLevel="0" collapsed="false">
      <c r="M3986" s="2" t="str">
        <f aca="false">IF(C3986="","",IFERROR(INDEX($S$5:$S$304,MATCH(C3986,$R$5:$R$304,0))&amp;"","?"))</f>
        <v/>
      </c>
      <c r="N3986" s="2" t="str">
        <f aca="false"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 t="str">
        <f aca="false">IF(OR(F3986="",G3986=""),"",IF(G3986&lt;='RETRATO 2027'!$K$5,"CONCLUÍDA",IF(F3986&lt;='RETRATO 2027'!$K$5,"EM ANDAMENTO","A INICIAR")))</f>
        <v/>
      </c>
    </row>
    <row r="3987" customFormat="false" ht="15" hidden="false" customHeight="false" outlineLevel="0" collapsed="false">
      <c r="M3987" s="2" t="str">
        <f aca="false">IF(C3987="","",IFERROR(INDEX($S$5:$S$304,MATCH(C3987,$R$5:$R$304,0))&amp;"","?"))</f>
        <v/>
      </c>
      <c r="N3987" s="2" t="str">
        <f aca="false"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 t="str">
        <f aca="false">IF(OR(F3987="",G3987=""),"",IF(G3987&lt;='RETRATO 2027'!$K$5,"CONCLUÍDA",IF(F3987&lt;='RETRATO 2027'!$K$5,"EM ANDAMENTO","A INICIAR")))</f>
        <v/>
      </c>
    </row>
    <row r="3988" customFormat="false" ht="15" hidden="false" customHeight="false" outlineLevel="0" collapsed="false">
      <c r="M3988" s="2" t="str">
        <f aca="false">IF(C3988="","",IFERROR(INDEX($S$5:$S$304,MATCH(C3988,$R$5:$R$304,0))&amp;"","?"))</f>
        <v/>
      </c>
      <c r="N3988" s="2" t="str">
        <f aca="false"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 t="str">
        <f aca="false">IF(OR(F3988="",G3988=""),"",IF(G3988&lt;='RETRATO 2027'!$K$5,"CONCLUÍDA",IF(F3988&lt;='RETRATO 2027'!$K$5,"EM ANDAMENTO","A INICIAR")))</f>
        <v/>
      </c>
    </row>
    <row r="3989" customFormat="false" ht="15" hidden="false" customHeight="false" outlineLevel="0" collapsed="false">
      <c r="M3989" s="2" t="str">
        <f aca="false">IF(C3989="","",IFERROR(INDEX($S$5:$S$304,MATCH(C3989,$R$5:$R$304,0))&amp;"","?"))</f>
        <v/>
      </c>
      <c r="N3989" s="2" t="str">
        <f aca="false"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 t="str">
        <f aca="false">IF(OR(F3989="",G3989=""),"",IF(G3989&lt;='RETRATO 2027'!$K$5,"CONCLUÍDA",IF(F3989&lt;='RETRATO 2027'!$K$5,"EM ANDAMENTO","A INICIAR")))</f>
        <v/>
      </c>
    </row>
    <row r="3990" customFormat="false" ht="15" hidden="false" customHeight="false" outlineLevel="0" collapsed="false">
      <c r="M3990" s="2" t="str">
        <f aca="false">IF(C3990="","",IFERROR(INDEX($S$5:$S$304,MATCH(C3990,$R$5:$R$304,0))&amp;"","?"))</f>
        <v/>
      </c>
      <c r="N3990" s="2" t="str">
        <f aca="false"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 t="str">
        <f aca="false">IF(OR(F3990="",G3990=""),"",IF(G3990&lt;='RETRATO 2027'!$K$5,"CONCLUÍDA",IF(F3990&lt;='RETRATO 2027'!$K$5,"EM ANDAMENTO","A INICIAR")))</f>
        <v/>
      </c>
    </row>
    <row r="3991" customFormat="false" ht="15" hidden="false" customHeight="false" outlineLevel="0" collapsed="false">
      <c r="M3991" s="2" t="str">
        <f aca="false">IF(C3991="","",IFERROR(INDEX($S$5:$S$304,MATCH(C3991,$R$5:$R$304,0))&amp;"","?"))</f>
        <v/>
      </c>
      <c r="N3991" s="2" t="str">
        <f aca="false"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 t="str">
        <f aca="false">IF(OR(F3991="",G3991=""),"",IF(G3991&lt;='RETRATO 2027'!$K$5,"CONCLUÍDA",IF(F3991&lt;='RETRATO 2027'!$K$5,"EM ANDAMENTO","A INICIAR")))</f>
        <v/>
      </c>
    </row>
    <row r="3992" customFormat="false" ht="15" hidden="false" customHeight="false" outlineLevel="0" collapsed="false">
      <c r="M3992" s="2" t="str">
        <f aca="false">IF(C3992="","",IFERROR(INDEX($S$5:$S$304,MATCH(C3992,$R$5:$R$304,0))&amp;"","?"))</f>
        <v/>
      </c>
      <c r="N3992" s="2" t="str">
        <f aca="false"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 t="str">
        <f aca="false">IF(OR(F3992="",G3992=""),"",IF(G3992&lt;='RETRATO 2027'!$K$5,"CONCLUÍDA",IF(F3992&lt;='RETRATO 2027'!$K$5,"EM ANDAMENTO","A INICIAR")))</f>
        <v/>
      </c>
    </row>
    <row r="3993" customFormat="false" ht="15" hidden="false" customHeight="false" outlineLevel="0" collapsed="false">
      <c r="M3993" s="2" t="str">
        <f aca="false">IF(C3993="","",IFERROR(INDEX($S$5:$S$304,MATCH(C3993,$R$5:$R$304,0))&amp;"","?"))</f>
        <v/>
      </c>
      <c r="N3993" s="2" t="str">
        <f aca="false"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 t="str">
        <f aca="false">IF(OR(F3993="",G3993=""),"",IF(G3993&lt;='RETRATO 2027'!$K$5,"CONCLUÍDA",IF(F3993&lt;='RETRATO 2027'!$K$5,"EM ANDAMENTO","A INICIAR")))</f>
        <v/>
      </c>
    </row>
    <row r="3994" customFormat="false" ht="15" hidden="false" customHeight="false" outlineLevel="0" collapsed="false">
      <c r="M3994" s="2" t="str">
        <f aca="false">IF(C3994="","",IFERROR(INDEX($S$5:$S$304,MATCH(C3994,$R$5:$R$304,0))&amp;"","?"))</f>
        <v/>
      </c>
      <c r="N3994" s="2" t="str">
        <f aca="false"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 t="str">
        <f aca="false">IF(OR(F3994="",G3994=""),"",IF(G3994&lt;='RETRATO 2027'!$K$5,"CONCLUÍDA",IF(F3994&lt;='RETRATO 2027'!$K$5,"EM ANDAMENTO","A INICIAR")))</f>
        <v/>
      </c>
    </row>
    <row r="3995" customFormat="false" ht="15" hidden="false" customHeight="false" outlineLevel="0" collapsed="false">
      <c r="M3995" s="2" t="str">
        <f aca="false">IF(C3995="","",IFERROR(INDEX($S$5:$S$304,MATCH(C3995,$R$5:$R$304,0))&amp;"","?"))</f>
        <v/>
      </c>
      <c r="N3995" s="2" t="str">
        <f aca="false"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 t="str">
        <f aca="false">IF(OR(F3995="",G3995=""),"",IF(G3995&lt;='RETRATO 2027'!$K$5,"CONCLUÍDA",IF(F3995&lt;='RETRATO 2027'!$K$5,"EM ANDAMENTO","A INICIAR")))</f>
        <v/>
      </c>
    </row>
    <row r="3996" customFormat="false" ht="15" hidden="false" customHeight="false" outlineLevel="0" collapsed="false">
      <c r="M3996" s="2" t="str">
        <f aca="false">IF(C3996="","",IFERROR(INDEX($S$5:$S$304,MATCH(C3996,$R$5:$R$304,0))&amp;"","?"))</f>
        <v/>
      </c>
      <c r="N3996" s="2" t="str">
        <f aca="false"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 t="str">
        <f aca="false">IF(OR(F3996="",G3996=""),"",IF(G3996&lt;='RETRATO 2027'!$K$5,"CONCLUÍDA",IF(F3996&lt;='RETRATO 2027'!$K$5,"EM ANDAMENTO","A INICIAR")))</f>
        <v/>
      </c>
    </row>
    <row r="3997" customFormat="false" ht="15" hidden="false" customHeight="false" outlineLevel="0" collapsed="false">
      <c r="M3997" s="2" t="str">
        <f aca="false">IF(C3997="","",IFERROR(INDEX($S$5:$S$304,MATCH(C3997,$R$5:$R$304,0))&amp;"","?"))</f>
        <v/>
      </c>
      <c r="N3997" s="2" t="str">
        <f aca="false"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 t="str">
        <f aca="false">IF(OR(F3997="",G3997=""),"",IF(G3997&lt;='RETRATO 2027'!$K$5,"CONCLUÍDA",IF(F3997&lt;='RETRATO 2027'!$K$5,"EM ANDAMENTO","A INICIAR")))</f>
        <v/>
      </c>
    </row>
    <row r="3998" customFormat="false" ht="15" hidden="false" customHeight="false" outlineLevel="0" collapsed="false">
      <c r="M3998" s="2" t="str">
        <f aca="false">IF(C3998="","",IFERROR(INDEX($S$5:$S$304,MATCH(C3998,$R$5:$R$304,0))&amp;"","?"))</f>
        <v/>
      </c>
      <c r="N3998" s="2" t="str">
        <f aca="false"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 t="str">
        <f aca="false">IF(OR(F3998="",G3998=""),"",IF(G3998&lt;='RETRATO 2027'!$K$5,"CONCLUÍDA",IF(F3998&lt;='RETRATO 2027'!$K$5,"EM ANDAMENTO","A INICIAR")))</f>
        <v/>
      </c>
    </row>
    <row r="3999" customFormat="false" ht="15" hidden="false" customHeight="false" outlineLevel="0" collapsed="false">
      <c r="M3999" s="2" t="str">
        <f aca="false">IF(C3999="","",IFERROR(INDEX($S$5:$S$304,MATCH(C3999,$R$5:$R$304,0))&amp;"","?"))</f>
        <v/>
      </c>
      <c r="N3999" s="2" t="str">
        <f aca="false"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 t="str">
        <f aca="false">IF(OR(F3999="",G3999=""),"",IF(G3999&lt;='RETRATO 2027'!$K$5,"CONCLUÍDA",IF(F3999&lt;='RETRATO 2027'!$K$5,"EM ANDAMENTO","A INICIAR")))</f>
        <v/>
      </c>
    </row>
    <row r="4000" customFormat="false" ht="15" hidden="false" customHeight="false" outlineLevel="0" collapsed="false">
      <c r="M4000" s="2" t="str">
        <f aca="false">IF(C4000="","",IFERROR(INDEX($S$5:$S$304,MATCH(C4000,$R$5:$R$304,0))&amp;"","?"))</f>
        <v/>
      </c>
      <c r="N4000" s="2" t="str">
        <f aca="false"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 t="str">
        <f aca="false">IF(OR(F4000="",G4000=""),"",IF(G4000&lt;='RETRATO 2027'!$K$5,"CONCLUÍDA",IF(F4000&lt;='RETRATO 2027'!$K$5,"EM ANDAMENTO","A INICIAR")))</f>
        <v/>
      </c>
    </row>
    <row r="4001" customFormat="false" ht="15" hidden="false" customHeight="false" outlineLevel="0" collapsed="false">
      <c r="M4001" s="2" t="str">
        <f aca="false">IF(C4001="","",IFERROR(INDEX($S$5:$S$304,MATCH(C4001,$R$5:$R$304,0))&amp;"","?"))</f>
        <v/>
      </c>
      <c r="N4001" s="2" t="str">
        <f aca="false"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 t="str">
        <f aca="false">IF(OR(F4001="",G4001=""),"",IF(G4001&lt;='RETRATO 2027'!$K$5,"CONCLUÍDA",IF(F4001&lt;='RETRATO 2027'!$K$5,"EM ANDAMENTO","A INICIAR")))</f>
        <v/>
      </c>
    </row>
    <row r="4002" customFormat="false" ht="15" hidden="false" customHeight="false" outlineLevel="0" collapsed="false">
      <c r="M4002" s="2" t="str">
        <f aca="false">IF(C4002="","",IFERROR(INDEX($S$5:$S$304,MATCH(C4002,$R$5:$R$304,0))&amp;"","?"))</f>
        <v/>
      </c>
      <c r="N4002" s="2" t="str">
        <f aca="false"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 t="str">
        <f aca="false">IF(OR(F4002="",G4002=""),"",IF(G4002&lt;='RETRATO 2027'!$K$5,"CONCLUÍDA",IF(F4002&lt;='RETRATO 2027'!$K$5,"EM ANDAMENTO","A INICIAR")))</f>
        <v/>
      </c>
    </row>
    <row r="4003" customFormat="false" ht="15" hidden="false" customHeight="false" outlineLevel="0" collapsed="false">
      <c r="M4003" s="2" t="str">
        <f aca="false">IF(C4003="","",IFERROR(INDEX($S$5:$S$304,MATCH(C4003,$R$5:$R$304,0))&amp;"","?"))</f>
        <v/>
      </c>
      <c r="N4003" s="2" t="str">
        <f aca="false"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 t="str">
        <f aca="false">IF(OR(F4003="",G4003=""),"",IF(G4003&lt;='RETRATO 2027'!$K$5,"CONCLUÍDA",IF(F4003&lt;='RETRATO 2027'!$K$5,"EM ANDAMENTO","A INICIAR")))</f>
        <v/>
      </c>
    </row>
    <row r="4004" customFormat="false" ht="15" hidden="false" customHeight="false" outlineLevel="0" collapsed="false">
      <c r="M4004" s="2" t="str">
        <f aca="false">IF(C4004="","",IFERROR(INDEX($S$5:$S$304,MATCH(C4004,$R$5:$R$304,0))&amp;"","?"))</f>
        <v/>
      </c>
      <c r="N4004" s="2" t="str">
        <f aca="false"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 t="str">
        <f aca="false">IF(OR(F4004="",G4004=""),"",IF(G4004&lt;='RETRATO 2027'!$K$5,"CONCLUÍDA",IF(F4004&lt;='RETRATO 2027'!$K$5,"EM ANDAMENTO","A INICIAR")))</f>
        <v/>
      </c>
    </row>
    <row r="4005" customFormat="false" ht="15" hidden="false" customHeight="false" outlineLevel="0" collapsed="false">
      <c r="M4005" s="2" t="str">
        <f aca="false">IF(C4005="","",IFERROR(INDEX($S$5:$S$304,MATCH(C4005,$R$5:$R$304,0))&amp;"","?"))</f>
        <v/>
      </c>
      <c r="N4005" s="2" t="str">
        <f aca="false"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 t="str">
        <f aca="false">IF(OR(F4005="",G4005=""),"",IF(G4005&lt;='RETRATO 2027'!$K$5,"CONCLUÍDA",IF(F4005&lt;='RETRATO 2027'!$K$5,"EM ANDAMENTO","A INICIAR")))</f>
        <v/>
      </c>
    </row>
    <row r="4006" customFormat="false" ht="15" hidden="false" customHeight="false" outlineLevel="0" collapsed="false">
      <c r="M4006" s="2" t="str">
        <f aca="false">IF(C4006="","",IFERROR(INDEX($S$5:$S$304,MATCH(C4006,$R$5:$R$304,0))&amp;"","?"))</f>
        <v/>
      </c>
      <c r="N4006" s="2" t="str">
        <f aca="false"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 t="str">
        <f aca="false">IF(OR(F4006="",G4006=""),"",IF(G4006&lt;='RETRATO 2027'!$K$5,"CONCLUÍDA",IF(F4006&lt;='RETRATO 2027'!$K$5,"EM ANDAMENTO","A INICIAR")))</f>
        <v/>
      </c>
    </row>
    <row r="4007" customFormat="false" ht="15" hidden="false" customHeight="false" outlineLevel="0" collapsed="false">
      <c r="M4007" s="2" t="str">
        <f aca="false">IF(C4007="","",IFERROR(INDEX($S$5:$S$304,MATCH(C4007,$R$5:$R$304,0))&amp;"","?"))</f>
        <v/>
      </c>
      <c r="N4007" s="2" t="str">
        <f aca="false"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 t="str">
        <f aca="false">IF(OR(F4007="",G4007=""),"",IF(G4007&lt;='RETRATO 2027'!$K$5,"CONCLUÍDA",IF(F4007&lt;='RETRATO 2027'!$K$5,"EM ANDAMENTO","A INICIAR")))</f>
        <v/>
      </c>
    </row>
    <row r="4008" customFormat="false" ht="15" hidden="false" customHeight="false" outlineLevel="0" collapsed="false">
      <c r="M4008" s="2" t="str">
        <f aca="false">IF(C4008="","",IFERROR(INDEX($S$5:$S$304,MATCH(C4008,$R$5:$R$304,0))&amp;"","?"))</f>
        <v/>
      </c>
      <c r="N4008" s="2" t="str">
        <f aca="false"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 t="str">
        <f aca="false">IF(OR(F4008="",G4008=""),"",IF(G4008&lt;='RETRATO 2027'!$K$5,"CONCLUÍDA",IF(F4008&lt;='RETRATO 2027'!$K$5,"EM ANDAMENTO","A INICIAR")))</f>
        <v/>
      </c>
    </row>
    <row r="4009" customFormat="false" ht="15" hidden="false" customHeight="false" outlineLevel="0" collapsed="false">
      <c r="M4009" s="2" t="str">
        <f aca="false">IF(C4009="","",IFERROR(INDEX($S$5:$S$304,MATCH(C4009,$R$5:$R$304,0))&amp;"","?"))</f>
        <v/>
      </c>
      <c r="N4009" s="2" t="str">
        <f aca="false"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 t="str">
        <f aca="false">IF(OR(F4009="",G4009=""),"",IF(G4009&lt;='RETRATO 2027'!$K$5,"CONCLUÍDA",IF(F4009&lt;='RETRATO 2027'!$K$5,"EM ANDAMENTO","A INICIAR")))</f>
        <v/>
      </c>
    </row>
    <row r="4010" customFormat="false" ht="15" hidden="false" customHeight="false" outlineLevel="0" collapsed="false">
      <c r="M4010" s="2" t="str">
        <f aca="false">IF(C4010="","",IFERROR(INDEX($S$5:$S$304,MATCH(C4010,$R$5:$R$304,0))&amp;"","?"))</f>
        <v/>
      </c>
      <c r="N4010" s="2" t="str">
        <f aca="false"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 t="str">
        <f aca="false">IF(OR(F4010="",G4010=""),"",IF(G4010&lt;='RETRATO 2027'!$K$5,"CONCLUÍDA",IF(F4010&lt;='RETRATO 2027'!$K$5,"EM ANDAMENTO","A INICIAR")))</f>
        <v/>
      </c>
    </row>
    <row r="4011" customFormat="false" ht="15" hidden="false" customHeight="false" outlineLevel="0" collapsed="false">
      <c r="M4011" s="2" t="str">
        <f aca="false">IF(C4011="","",IFERROR(INDEX($S$5:$S$304,MATCH(C4011,$R$5:$R$304,0))&amp;"","?"))</f>
        <v/>
      </c>
      <c r="N4011" s="2" t="str">
        <f aca="false"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 t="str">
        <f aca="false">IF(OR(F4011="",G4011=""),"",IF(G4011&lt;='RETRATO 2027'!$K$5,"CONCLUÍDA",IF(F4011&lt;='RETRATO 2027'!$K$5,"EM ANDAMENTO","A INICIAR")))</f>
        <v/>
      </c>
    </row>
    <row r="4012" customFormat="false" ht="15" hidden="false" customHeight="false" outlineLevel="0" collapsed="false">
      <c r="M4012" s="2" t="str">
        <f aca="false">IF(C4012="","",IFERROR(INDEX($S$5:$S$304,MATCH(C4012,$R$5:$R$304,0))&amp;"","?"))</f>
        <v/>
      </c>
      <c r="N4012" s="2" t="str">
        <f aca="false"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 t="str">
        <f aca="false">IF(OR(F4012="",G4012=""),"",IF(G4012&lt;='RETRATO 2027'!$K$5,"CONCLUÍDA",IF(F4012&lt;='RETRATO 2027'!$K$5,"EM ANDAMENTO","A INICIAR")))</f>
        <v/>
      </c>
    </row>
    <row r="4013" customFormat="false" ht="15" hidden="false" customHeight="false" outlineLevel="0" collapsed="false">
      <c r="M4013" s="2" t="str">
        <f aca="false">IF(C4013="","",IFERROR(INDEX($S$5:$S$304,MATCH(C4013,$R$5:$R$304,0))&amp;"","?"))</f>
        <v/>
      </c>
      <c r="N4013" s="2" t="str">
        <f aca="false"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 t="str">
        <f aca="false">IF(OR(F4013="",G4013=""),"",IF(G4013&lt;='RETRATO 2027'!$K$5,"CONCLUÍDA",IF(F4013&lt;='RETRATO 2027'!$K$5,"EM ANDAMENTO","A INICIAR")))</f>
        <v/>
      </c>
    </row>
    <row r="4014" customFormat="false" ht="15" hidden="false" customHeight="false" outlineLevel="0" collapsed="false">
      <c r="M4014" s="2" t="str">
        <f aca="false">IF(C4014="","",IFERROR(INDEX($S$5:$S$304,MATCH(C4014,$R$5:$R$304,0))&amp;"","?"))</f>
        <v/>
      </c>
      <c r="N4014" s="2" t="str">
        <f aca="false"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 t="str">
        <f aca="false">IF(OR(F4014="",G4014=""),"",IF(G4014&lt;='RETRATO 2027'!$K$5,"CONCLUÍDA",IF(F4014&lt;='RETRATO 2027'!$K$5,"EM ANDAMENTO","A INICIAR")))</f>
        <v/>
      </c>
    </row>
    <row r="4015" customFormat="false" ht="15" hidden="false" customHeight="false" outlineLevel="0" collapsed="false">
      <c r="M4015" s="2" t="str">
        <f aca="false">IF(C4015="","",IFERROR(INDEX($S$5:$S$304,MATCH(C4015,$R$5:$R$304,0))&amp;"","?"))</f>
        <v/>
      </c>
      <c r="N4015" s="2" t="str">
        <f aca="false"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 t="str">
        <f aca="false">IF(OR(F4015="",G4015=""),"",IF(G4015&lt;='RETRATO 2027'!$K$5,"CONCLUÍDA",IF(F4015&lt;='RETRATO 2027'!$K$5,"EM ANDAMENTO","A INICIAR")))</f>
        <v/>
      </c>
    </row>
    <row r="4016" customFormat="false" ht="15" hidden="false" customHeight="false" outlineLevel="0" collapsed="false">
      <c r="M4016" s="2" t="str">
        <f aca="false">IF(C4016="","",IFERROR(INDEX($S$5:$S$304,MATCH(C4016,$R$5:$R$304,0))&amp;"","?"))</f>
        <v/>
      </c>
      <c r="N4016" s="2" t="str">
        <f aca="false"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 t="str">
        <f aca="false">IF(OR(F4016="",G4016=""),"",IF(G4016&lt;='RETRATO 2027'!$K$5,"CONCLUÍDA",IF(F4016&lt;='RETRATO 2027'!$K$5,"EM ANDAMENTO","A INICIAR")))</f>
        <v/>
      </c>
    </row>
    <row r="4017" customFormat="false" ht="15" hidden="false" customHeight="false" outlineLevel="0" collapsed="false">
      <c r="M4017" s="2" t="str">
        <f aca="false">IF(C4017="","",IFERROR(INDEX($S$5:$S$304,MATCH(C4017,$R$5:$R$304,0))&amp;"","?"))</f>
        <v/>
      </c>
      <c r="N4017" s="2" t="str">
        <f aca="false"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 t="str">
        <f aca="false">IF(OR(F4017="",G4017=""),"",IF(G4017&lt;='RETRATO 2027'!$K$5,"CONCLUÍDA",IF(F4017&lt;='RETRATO 2027'!$K$5,"EM ANDAMENTO","A INICIAR")))</f>
        <v/>
      </c>
    </row>
    <row r="4018" customFormat="false" ht="15" hidden="false" customHeight="false" outlineLevel="0" collapsed="false">
      <c r="M4018" s="2" t="str">
        <f aca="false">IF(C4018="","",IFERROR(INDEX($S$5:$S$304,MATCH(C4018,$R$5:$R$304,0))&amp;"","?"))</f>
        <v/>
      </c>
      <c r="N4018" s="2" t="str">
        <f aca="false"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 t="str">
        <f aca="false">IF(OR(F4018="",G4018=""),"",IF(G4018&lt;='RETRATO 2027'!$K$5,"CONCLUÍDA",IF(F4018&lt;='RETRATO 2027'!$K$5,"EM ANDAMENTO","A INICIAR")))</f>
        <v/>
      </c>
    </row>
    <row r="4019" customFormat="false" ht="15" hidden="false" customHeight="false" outlineLevel="0" collapsed="false">
      <c r="M4019" s="2" t="str">
        <f aca="false">IF(C4019="","",IFERROR(INDEX($S$5:$S$304,MATCH(C4019,$R$5:$R$304,0))&amp;"","?"))</f>
        <v/>
      </c>
      <c r="N4019" s="2" t="str">
        <f aca="false"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 t="str">
        <f aca="false">IF(OR(F4019="",G4019=""),"",IF(G4019&lt;='RETRATO 2027'!$K$5,"CONCLUÍDA",IF(F4019&lt;='RETRATO 2027'!$K$5,"EM ANDAMENTO","A INICIAR")))</f>
        <v/>
      </c>
    </row>
    <row r="4020" customFormat="false" ht="15" hidden="false" customHeight="false" outlineLevel="0" collapsed="false">
      <c r="M4020" s="2" t="str">
        <f aca="false">IF(C4020="","",IFERROR(INDEX($S$5:$S$304,MATCH(C4020,$R$5:$R$304,0))&amp;"","?"))</f>
        <v/>
      </c>
      <c r="N4020" s="2" t="str">
        <f aca="false"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 t="str">
        <f aca="false">IF(OR(F4020="",G4020=""),"",IF(G4020&lt;='RETRATO 2027'!$K$5,"CONCLUÍDA",IF(F4020&lt;='RETRATO 2027'!$K$5,"EM ANDAMENTO","A INICIAR")))</f>
        <v/>
      </c>
    </row>
    <row r="4021" customFormat="false" ht="15" hidden="false" customHeight="false" outlineLevel="0" collapsed="false">
      <c r="M4021" s="2" t="str">
        <f aca="false">IF(C4021="","",IFERROR(INDEX($S$5:$S$304,MATCH(C4021,$R$5:$R$304,0))&amp;"","?"))</f>
        <v/>
      </c>
      <c r="N4021" s="2" t="str">
        <f aca="false"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 t="str">
        <f aca="false">IF(OR(F4021="",G4021=""),"",IF(G4021&lt;='RETRATO 2027'!$K$5,"CONCLUÍDA",IF(F4021&lt;='RETRATO 2027'!$K$5,"EM ANDAMENTO","A INICIAR")))</f>
        <v/>
      </c>
    </row>
    <row r="4022" customFormat="false" ht="15" hidden="false" customHeight="false" outlineLevel="0" collapsed="false">
      <c r="M4022" s="2" t="str">
        <f aca="false">IF(C4022="","",IFERROR(INDEX($S$5:$S$304,MATCH(C4022,$R$5:$R$304,0))&amp;"","?"))</f>
        <v/>
      </c>
      <c r="N4022" s="2" t="str">
        <f aca="false"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 t="str">
        <f aca="false">IF(OR(F4022="",G4022=""),"",IF(G4022&lt;='RETRATO 2027'!$K$5,"CONCLUÍDA",IF(F4022&lt;='RETRATO 2027'!$K$5,"EM ANDAMENTO","A INICIAR")))</f>
        <v/>
      </c>
    </row>
    <row r="4023" customFormat="false" ht="15" hidden="false" customHeight="false" outlineLevel="0" collapsed="false">
      <c r="M4023" s="2" t="str">
        <f aca="false">IF(C4023="","",IFERROR(INDEX($S$5:$S$304,MATCH(C4023,$R$5:$R$304,0))&amp;"","?"))</f>
        <v/>
      </c>
      <c r="N4023" s="2" t="str">
        <f aca="false"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 t="str">
        <f aca="false">IF(OR(F4023="",G4023=""),"",IF(G4023&lt;='RETRATO 2027'!$K$5,"CONCLUÍDA",IF(F4023&lt;='RETRATO 2027'!$K$5,"EM ANDAMENTO","A INICIAR")))</f>
        <v/>
      </c>
    </row>
    <row r="4024" customFormat="false" ht="15" hidden="false" customHeight="false" outlineLevel="0" collapsed="false">
      <c r="M4024" s="2" t="str">
        <f aca="false">IF(C4024="","",IFERROR(INDEX($S$5:$S$304,MATCH(C4024,$R$5:$R$304,0))&amp;"","?"))</f>
        <v/>
      </c>
      <c r="N4024" s="2" t="str">
        <f aca="false"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 t="str">
        <f aca="false">IF(OR(F4024="",G4024=""),"",IF(G4024&lt;='RETRATO 2027'!$K$5,"CONCLUÍDA",IF(F4024&lt;='RETRATO 2027'!$K$5,"EM ANDAMENTO","A INICIAR")))</f>
        <v/>
      </c>
    </row>
    <row r="4025" customFormat="false" ht="15" hidden="false" customHeight="false" outlineLevel="0" collapsed="false">
      <c r="M4025" s="2" t="str">
        <f aca="false">IF(C4025="","",IFERROR(INDEX($S$5:$S$304,MATCH(C4025,$R$5:$R$304,0))&amp;"","?"))</f>
        <v/>
      </c>
      <c r="N4025" s="2" t="str">
        <f aca="false"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 t="str">
        <f aca="false">IF(OR(F4025="",G4025=""),"",IF(G4025&lt;='RETRATO 2027'!$K$5,"CONCLUÍDA",IF(F4025&lt;='RETRATO 2027'!$K$5,"EM ANDAMENTO","A INICIAR")))</f>
        <v/>
      </c>
    </row>
    <row r="4026" customFormat="false" ht="15" hidden="false" customHeight="false" outlineLevel="0" collapsed="false">
      <c r="M4026" s="2" t="str">
        <f aca="false">IF(C4026="","",IFERROR(INDEX($S$5:$S$304,MATCH(C4026,$R$5:$R$304,0))&amp;"","?"))</f>
        <v/>
      </c>
      <c r="N4026" s="2" t="str">
        <f aca="false"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 t="str">
        <f aca="false">IF(OR(F4026="",G4026=""),"",IF(G4026&lt;='RETRATO 2027'!$K$5,"CONCLUÍDA",IF(F4026&lt;='RETRATO 2027'!$K$5,"EM ANDAMENTO","A INICIAR")))</f>
        <v/>
      </c>
    </row>
    <row r="4027" customFormat="false" ht="15" hidden="false" customHeight="false" outlineLevel="0" collapsed="false">
      <c r="M4027" s="2" t="str">
        <f aca="false">IF(C4027="","",IFERROR(INDEX($S$5:$S$304,MATCH(C4027,$R$5:$R$304,0))&amp;"","?"))</f>
        <v/>
      </c>
      <c r="N4027" s="2" t="str">
        <f aca="false"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 t="str">
        <f aca="false">IF(OR(F4027="",G4027=""),"",IF(G4027&lt;='RETRATO 2027'!$K$5,"CONCLUÍDA",IF(F4027&lt;='RETRATO 2027'!$K$5,"EM ANDAMENTO","A INICIAR")))</f>
        <v/>
      </c>
    </row>
    <row r="4028" customFormat="false" ht="15" hidden="false" customHeight="false" outlineLevel="0" collapsed="false">
      <c r="M4028" s="2" t="str">
        <f aca="false">IF(C4028="","",IFERROR(INDEX($S$5:$S$304,MATCH(C4028,$R$5:$R$304,0))&amp;"","?"))</f>
        <v/>
      </c>
      <c r="N4028" s="2" t="str">
        <f aca="false"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 t="str">
        <f aca="false">IF(OR(F4028="",G4028=""),"",IF(G4028&lt;='RETRATO 2027'!$K$5,"CONCLUÍDA",IF(F4028&lt;='RETRATO 2027'!$K$5,"EM ANDAMENTO","A INICIAR")))</f>
        <v/>
      </c>
    </row>
    <row r="4029" customFormat="false" ht="15" hidden="false" customHeight="false" outlineLevel="0" collapsed="false">
      <c r="M4029" s="2" t="str">
        <f aca="false">IF(C4029="","",IFERROR(INDEX($S$5:$S$304,MATCH(C4029,$R$5:$R$304,0))&amp;"","?"))</f>
        <v/>
      </c>
      <c r="N4029" s="2" t="str">
        <f aca="false"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 t="str">
        <f aca="false">IF(OR(F4029="",G4029=""),"",IF(G4029&lt;='RETRATO 2027'!$K$5,"CONCLUÍDA",IF(F4029&lt;='RETRATO 2027'!$K$5,"EM ANDAMENTO","A INICIAR")))</f>
        <v/>
      </c>
    </row>
    <row r="4030" customFormat="false" ht="15" hidden="false" customHeight="false" outlineLevel="0" collapsed="false">
      <c r="M4030" s="2" t="str">
        <f aca="false">IF(C4030="","",IFERROR(INDEX($S$5:$S$304,MATCH(C4030,$R$5:$R$304,0))&amp;"","?"))</f>
        <v/>
      </c>
      <c r="N4030" s="2" t="str">
        <f aca="false"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 t="str">
        <f aca="false">IF(OR(F4030="",G4030=""),"",IF(G4030&lt;='RETRATO 2027'!$K$5,"CONCLUÍDA",IF(F4030&lt;='RETRATO 2027'!$K$5,"EM ANDAMENTO","A INICIAR")))</f>
        <v/>
      </c>
    </row>
    <row r="4031" customFormat="false" ht="15" hidden="false" customHeight="false" outlineLevel="0" collapsed="false">
      <c r="M4031" s="2" t="str">
        <f aca="false">IF(C4031="","",IFERROR(INDEX($S$5:$S$304,MATCH(C4031,$R$5:$R$304,0))&amp;"","?"))</f>
        <v/>
      </c>
      <c r="N4031" s="2" t="str">
        <f aca="false"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 t="str">
        <f aca="false">IF(OR(F4031="",G4031=""),"",IF(G4031&lt;='RETRATO 2027'!$K$5,"CONCLUÍDA",IF(F4031&lt;='RETRATO 2027'!$K$5,"EM ANDAMENTO","A INICIAR")))</f>
        <v/>
      </c>
    </row>
    <row r="4032" customFormat="false" ht="15" hidden="false" customHeight="false" outlineLevel="0" collapsed="false">
      <c r="M4032" s="2" t="str">
        <f aca="false">IF(C4032="","",IFERROR(INDEX($S$5:$S$304,MATCH(C4032,$R$5:$R$304,0))&amp;"","?"))</f>
        <v/>
      </c>
      <c r="N4032" s="2" t="str">
        <f aca="false"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 t="str">
        <f aca="false">IF(OR(F4032="",G4032=""),"",IF(G4032&lt;='RETRATO 2027'!$K$5,"CONCLUÍDA",IF(F4032&lt;='RETRATO 2027'!$K$5,"EM ANDAMENTO","A INICIAR")))</f>
        <v/>
      </c>
    </row>
    <row r="4033" customFormat="false" ht="15" hidden="false" customHeight="false" outlineLevel="0" collapsed="false">
      <c r="M4033" s="2" t="str">
        <f aca="false">IF(C4033="","",IFERROR(INDEX($S$5:$S$304,MATCH(C4033,$R$5:$R$304,0))&amp;"","?"))</f>
        <v/>
      </c>
      <c r="N4033" s="2" t="str">
        <f aca="false"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 t="str">
        <f aca="false">IF(OR(F4033="",G4033=""),"",IF(G4033&lt;='RETRATO 2027'!$K$5,"CONCLUÍDA",IF(F4033&lt;='RETRATO 2027'!$K$5,"EM ANDAMENTO","A INICIAR")))</f>
        <v/>
      </c>
    </row>
    <row r="4034" customFormat="false" ht="15" hidden="false" customHeight="false" outlineLevel="0" collapsed="false">
      <c r="M4034" s="2" t="str">
        <f aca="false">IF(C4034="","",IFERROR(INDEX($S$5:$S$304,MATCH(C4034,$R$5:$R$304,0))&amp;"","?"))</f>
        <v/>
      </c>
      <c r="N4034" s="2" t="str">
        <f aca="false"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 t="str">
        <f aca="false">IF(OR(F4034="",G4034=""),"",IF(G4034&lt;='RETRATO 2027'!$K$5,"CONCLUÍDA",IF(F4034&lt;='RETRATO 2027'!$K$5,"EM ANDAMENTO","A INICIAR")))</f>
        <v/>
      </c>
    </row>
    <row r="4035" customFormat="false" ht="15" hidden="false" customHeight="false" outlineLevel="0" collapsed="false">
      <c r="M4035" s="2" t="str">
        <f aca="false">IF(C4035="","",IFERROR(INDEX($S$5:$S$304,MATCH(C4035,$R$5:$R$304,0))&amp;"","?"))</f>
        <v/>
      </c>
      <c r="N4035" s="2" t="str">
        <f aca="false"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 t="str">
        <f aca="false">IF(OR(F4035="",G4035=""),"",IF(G4035&lt;='RETRATO 2027'!$K$5,"CONCLUÍDA",IF(F4035&lt;='RETRATO 2027'!$K$5,"EM ANDAMENTO","A INICIAR")))</f>
        <v/>
      </c>
    </row>
    <row r="4036" customFormat="false" ht="15" hidden="false" customHeight="false" outlineLevel="0" collapsed="false">
      <c r="M4036" s="2" t="str">
        <f aca="false">IF(C4036="","",IFERROR(INDEX($S$5:$S$304,MATCH(C4036,$R$5:$R$304,0))&amp;"","?"))</f>
        <v/>
      </c>
      <c r="N4036" s="2" t="str">
        <f aca="false"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 t="str">
        <f aca="false">IF(OR(F4036="",G4036=""),"",IF(G4036&lt;='RETRATO 2027'!$K$5,"CONCLUÍDA",IF(F4036&lt;='RETRATO 2027'!$K$5,"EM ANDAMENTO","A INICIAR")))</f>
        <v/>
      </c>
    </row>
    <row r="4037" customFormat="false" ht="15" hidden="false" customHeight="false" outlineLevel="0" collapsed="false">
      <c r="M4037" s="2" t="str">
        <f aca="false">IF(C4037="","",IFERROR(INDEX($S$5:$S$304,MATCH(C4037,$R$5:$R$304,0))&amp;"","?"))</f>
        <v/>
      </c>
      <c r="N4037" s="2" t="str">
        <f aca="false"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 t="str">
        <f aca="false">IF(OR(F4037="",G4037=""),"",IF(G4037&lt;='RETRATO 2027'!$K$5,"CONCLUÍDA",IF(F4037&lt;='RETRATO 2027'!$K$5,"EM ANDAMENTO","A INICIAR")))</f>
        <v/>
      </c>
    </row>
    <row r="4038" customFormat="false" ht="15" hidden="false" customHeight="false" outlineLevel="0" collapsed="false">
      <c r="M4038" s="2" t="str">
        <f aca="false">IF(C4038="","",IFERROR(INDEX($S$5:$S$304,MATCH(C4038,$R$5:$R$304,0))&amp;"","?"))</f>
        <v/>
      </c>
      <c r="N4038" s="2" t="str">
        <f aca="false"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 t="str">
        <f aca="false">IF(OR(F4038="",G4038=""),"",IF(G4038&lt;='RETRATO 2027'!$K$5,"CONCLUÍDA",IF(F4038&lt;='RETRATO 2027'!$K$5,"EM ANDAMENTO","A INICIAR")))</f>
        <v/>
      </c>
    </row>
    <row r="4039" customFormat="false" ht="15" hidden="false" customHeight="false" outlineLevel="0" collapsed="false">
      <c r="M4039" s="2" t="str">
        <f aca="false">IF(C4039="","",IFERROR(INDEX($S$5:$S$304,MATCH(C4039,$R$5:$R$304,0))&amp;"","?"))</f>
        <v/>
      </c>
      <c r="N4039" s="2" t="str">
        <f aca="false"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 t="str">
        <f aca="false">IF(OR(F4039="",G4039=""),"",IF(G4039&lt;='RETRATO 2027'!$K$5,"CONCLUÍDA",IF(F4039&lt;='RETRATO 2027'!$K$5,"EM ANDAMENTO","A INICIAR")))</f>
        <v/>
      </c>
    </row>
    <row r="4040" customFormat="false" ht="15" hidden="false" customHeight="false" outlineLevel="0" collapsed="false">
      <c r="M4040" s="2" t="str">
        <f aca="false">IF(C4040="","",IFERROR(INDEX($S$5:$S$304,MATCH(C4040,$R$5:$R$304,0))&amp;"","?"))</f>
        <v/>
      </c>
      <c r="N4040" s="2" t="str">
        <f aca="false"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 t="str">
        <f aca="false">IF(OR(F4040="",G4040=""),"",IF(G4040&lt;='RETRATO 2027'!$K$5,"CONCLUÍDA",IF(F4040&lt;='RETRATO 2027'!$K$5,"EM ANDAMENTO","A INICIAR")))</f>
        <v/>
      </c>
    </row>
    <row r="4041" customFormat="false" ht="15" hidden="false" customHeight="false" outlineLevel="0" collapsed="false">
      <c r="M4041" s="2" t="str">
        <f aca="false">IF(C4041="","",IFERROR(INDEX($S$5:$S$304,MATCH(C4041,$R$5:$R$304,0))&amp;"","?"))</f>
        <v/>
      </c>
      <c r="N4041" s="2" t="str">
        <f aca="false"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 t="str">
        <f aca="false">IF(OR(F4041="",G4041=""),"",IF(G4041&lt;='RETRATO 2027'!$K$5,"CONCLUÍDA",IF(F4041&lt;='RETRATO 2027'!$K$5,"EM ANDAMENTO","A INICIAR")))</f>
        <v/>
      </c>
    </row>
    <row r="4042" customFormat="false" ht="15" hidden="false" customHeight="false" outlineLevel="0" collapsed="false">
      <c r="M4042" s="2" t="str">
        <f aca="false">IF(C4042="","",IFERROR(INDEX($S$5:$S$304,MATCH(C4042,$R$5:$R$304,0))&amp;"","?"))</f>
        <v/>
      </c>
      <c r="N4042" s="2" t="str">
        <f aca="false"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 t="str">
        <f aca="false">IF(OR(F4042="",G4042=""),"",IF(G4042&lt;='RETRATO 2027'!$K$5,"CONCLUÍDA",IF(F4042&lt;='RETRATO 2027'!$K$5,"EM ANDAMENTO","A INICIAR")))</f>
        <v/>
      </c>
    </row>
    <row r="4043" customFormat="false" ht="15" hidden="false" customHeight="false" outlineLevel="0" collapsed="false">
      <c r="M4043" s="2" t="str">
        <f aca="false">IF(C4043="","",IFERROR(INDEX($S$5:$S$304,MATCH(C4043,$R$5:$R$304,0))&amp;"","?"))</f>
        <v/>
      </c>
      <c r="N4043" s="2" t="str">
        <f aca="false"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 t="str">
        <f aca="false">IF(OR(F4043="",G4043=""),"",IF(G4043&lt;='RETRATO 2027'!$K$5,"CONCLUÍDA",IF(F4043&lt;='RETRATO 2027'!$K$5,"EM ANDAMENTO","A INICIAR")))</f>
        <v/>
      </c>
    </row>
    <row r="4044" customFormat="false" ht="15" hidden="false" customHeight="false" outlineLevel="0" collapsed="false">
      <c r="M4044" s="2" t="str">
        <f aca="false">IF(C4044="","",IFERROR(INDEX($S$5:$S$304,MATCH(C4044,$R$5:$R$304,0))&amp;"","?"))</f>
        <v/>
      </c>
      <c r="N4044" s="2" t="str">
        <f aca="false"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 t="str">
        <f aca="false">IF(OR(F4044="",G4044=""),"",IF(G4044&lt;='RETRATO 2027'!$K$5,"CONCLUÍDA",IF(F4044&lt;='RETRATO 2027'!$K$5,"EM ANDAMENTO","A INICIAR")))</f>
        <v/>
      </c>
    </row>
    <row r="4045" customFormat="false" ht="15" hidden="false" customHeight="false" outlineLevel="0" collapsed="false">
      <c r="M4045" s="2" t="str">
        <f aca="false">IF(C4045="","",IFERROR(INDEX($S$5:$S$304,MATCH(C4045,$R$5:$R$304,0))&amp;"","?"))</f>
        <v/>
      </c>
      <c r="N4045" s="2" t="str">
        <f aca="false"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 t="str">
        <f aca="false">IF(OR(F4045="",G4045=""),"",IF(G4045&lt;='RETRATO 2027'!$K$5,"CONCLUÍDA",IF(F4045&lt;='RETRATO 2027'!$K$5,"EM ANDAMENTO","A INICIAR")))</f>
        <v/>
      </c>
    </row>
    <row r="4046" customFormat="false" ht="15" hidden="false" customHeight="false" outlineLevel="0" collapsed="false">
      <c r="M4046" s="2" t="str">
        <f aca="false">IF(C4046="","",IFERROR(INDEX($S$5:$S$304,MATCH(C4046,$R$5:$R$304,0))&amp;"","?"))</f>
        <v/>
      </c>
      <c r="N4046" s="2" t="str">
        <f aca="false"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 t="str">
        <f aca="false">IF(OR(F4046="",G4046=""),"",IF(G4046&lt;='RETRATO 2027'!$K$5,"CONCLUÍDA",IF(F4046&lt;='RETRATO 2027'!$K$5,"EM ANDAMENTO","A INICIAR")))</f>
        <v/>
      </c>
    </row>
    <row r="4047" customFormat="false" ht="15" hidden="false" customHeight="false" outlineLevel="0" collapsed="false">
      <c r="M4047" s="2" t="str">
        <f aca="false">IF(C4047="","",IFERROR(INDEX($S$5:$S$304,MATCH(C4047,$R$5:$R$304,0))&amp;"","?"))</f>
        <v/>
      </c>
      <c r="N4047" s="2" t="str">
        <f aca="false"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 t="str">
        <f aca="false">IF(OR(F4047="",G4047=""),"",IF(G4047&lt;='RETRATO 2027'!$K$5,"CONCLUÍDA",IF(F4047&lt;='RETRATO 2027'!$K$5,"EM ANDAMENTO","A INICIAR")))</f>
        <v/>
      </c>
    </row>
    <row r="4048" customFormat="false" ht="15" hidden="false" customHeight="false" outlineLevel="0" collapsed="false">
      <c r="M4048" s="2" t="str">
        <f aca="false">IF(C4048="","",IFERROR(INDEX($S$5:$S$304,MATCH(C4048,$R$5:$R$304,0))&amp;"","?"))</f>
        <v/>
      </c>
      <c r="N4048" s="2" t="str">
        <f aca="false"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 t="str">
        <f aca="false">IF(OR(F4048="",G4048=""),"",IF(G4048&lt;='RETRATO 2027'!$K$5,"CONCLUÍDA",IF(F4048&lt;='RETRATO 2027'!$K$5,"EM ANDAMENTO","A INICIAR")))</f>
        <v/>
      </c>
    </row>
    <row r="4049" customFormat="false" ht="15" hidden="false" customHeight="false" outlineLevel="0" collapsed="false">
      <c r="M4049" s="2" t="str">
        <f aca="false">IF(C4049="","",IFERROR(INDEX($S$5:$S$304,MATCH(C4049,$R$5:$R$304,0))&amp;"","?"))</f>
        <v/>
      </c>
      <c r="N4049" s="2" t="str">
        <f aca="false"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 t="str">
        <f aca="false">IF(OR(F4049="",G4049=""),"",IF(G4049&lt;='RETRATO 2027'!$K$5,"CONCLUÍDA",IF(F4049&lt;='RETRATO 2027'!$K$5,"EM ANDAMENTO","A INICIAR")))</f>
        <v/>
      </c>
    </row>
    <row r="4050" customFormat="false" ht="15" hidden="false" customHeight="false" outlineLevel="0" collapsed="false">
      <c r="M4050" s="2" t="str">
        <f aca="false">IF(C4050="","",IFERROR(INDEX($S$5:$S$304,MATCH(C4050,$R$5:$R$304,0))&amp;"","?"))</f>
        <v/>
      </c>
      <c r="N4050" s="2" t="str">
        <f aca="false"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 t="str">
        <f aca="false">IF(OR(F4050="",G4050=""),"",IF(G4050&lt;='RETRATO 2027'!$K$5,"CONCLUÍDA",IF(F4050&lt;='RETRATO 2027'!$K$5,"EM ANDAMENTO","A INICIAR")))</f>
        <v/>
      </c>
    </row>
    <row r="4051" customFormat="false" ht="15" hidden="false" customHeight="false" outlineLevel="0" collapsed="false">
      <c r="M4051" s="2" t="str">
        <f aca="false">IF(C4051="","",IFERROR(INDEX($S$5:$S$304,MATCH(C4051,$R$5:$R$304,0))&amp;"","?"))</f>
        <v/>
      </c>
      <c r="N4051" s="2" t="str">
        <f aca="false"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 t="str">
        <f aca="false">IF(OR(F4051="",G4051=""),"",IF(G4051&lt;='RETRATO 2027'!$K$5,"CONCLUÍDA",IF(F4051&lt;='RETRATO 2027'!$K$5,"EM ANDAMENTO","A INICIAR")))</f>
        <v/>
      </c>
    </row>
    <row r="4052" customFormat="false" ht="15" hidden="false" customHeight="false" outlineLevel="0" collapsed="false">
      <c r="M4052" s="2" t="str">
        <f aca="false">IF(C4052="","",IFERROR(INDEX($S$5:$S$304,MATCH(C4052,$R$5:$R$304,0))&amp;"","?"))</f>
        <v/>
      </c>
      <c r="N4052" s="2" t="str">
        <f aca="false"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 t="str">
        <f aca="false">IF(OR(F4052="",G4052=""),"",IF(G4052&lt;='RETRATO 2027'!$K$5,"CONCLUÍDA",IF(F4052&lt;='RETRATO 2027'!$K$5,"EM ANDAMENTO","A INICIAR")))</f>
        <v/>
      </c>
    </row>
    <row r="4053" customFormat="false" ht="15" hidden="false" customHeight="false" outlineLevel="0" collapsed="false">
      <c r="M4053" s="2" t="str">
        <f aca="false">IF(C4053="","",IFERROR(INDEX($S$5:$S$304,MATCH(C4053,$R$5:$R$304,0))&amp;"","?"))</f>
        <v/>
      </c>
      <c r="N4053" s="2" t="str">
        <f aca="false"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 t="str">
        <f aca="false">IF(OR(F4053="",G4053=""),"",IF(G4053&lt;='RETRATO 2027'!$K$5,"CONCLUÍDA",IF(F4053&lt;='RETRATO 2027'!$K$5,"EM ANDAMENTO","A INICIAR")))</f>
        <v/>
      </c>
    </row>
    <row r="4054" customFormat="false" ht="15" hidden="false" customHeight="false" outlineLevel="0" collapsed="false">
      <c r="M4054" s="2" t="str">
        <f aca="false">IF(C4054="","",IFERROR(INDEX($S$5:$S$304,MATCH(C4054,$R$5:$R$304,0))&amp;"","?"))</f>
        <v/>
      </c>
      <c r="N4054" s="2" t="str">
        <f aca="false"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 t="str">
        <f aca="false">IF(OR(F4054="",G4054=""),"",IF(G4054&lt;='RETRATO 2027'!$K$5,"CONCLUÍDA",IF(F4054&lt;='RETRATO 2027'!$K$5,"EM ANDAMENTO","A INICIAR")))</f>
        <v/>
      </c>
    </row>
    <row r="4055" customFormat="false" ht="15" hidden="false" customHeight="false" outlineLevel="0" collapsed="false">
      <c r="M4055" s="2" t="str">
        <f aca="false">IF(C4055="","",IFERROR(INDEX($S$5:$S$304,MATCH(C4055,$R$5:$R$304,0))&amp;"","?"))</f>
        <v/>
      </c>
      <c r="N4055" s="2" t="str">
        <f aca="false"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 t="str">
        <f aca="false">IF(OR(F4055="",G4055=""),"",IF(G4055&lt;='RETRATO 2027'!$K$5,"CONCLUÍDA",IF(F4055&lt;='RETRATO 2027'!$K$5,"EM ANDAMENTO","A INICIAR")))</f>
        <v/>
      </c>
    </row>
    <row r="4056" customFormat="false" ht="15" hidden="false" customHeight="false" outlineLevel="0" collapsed="false">
      <c r="M4056" s="2" t="str">
        <f aca="false">IF(C4056="","",IFERROR(INDEX($S$5:$S$304,MATCH(C4056,$R$5:$R$304,0))&amp;"","?"))</f>
        <v/>
      </c>
      <c r="N4056" s="2" t="str">
        <f aca="false"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 t="str">
        <f aca="false">IF(OR(F4056="",G4056=""),"",IF(G4056&lt;='RETRATO 2027'!$K$5,"CONCLUÍDA",IF(F4056&lt;='RETRATO 2027'!$K$5,"EM ANDAMENTO","A INICIAR")))</f>
        <v/>
      </c>
    </row>
    <row r="4057" customFormat="false" ht="15" hidden="false" customHeight="false" outlineLevel="0" collapsed="false">
      <c r="M4057" s="2" t="str">
        <f aca="false">IF(C4057="","",IFERROR(INDEX($S$5:$S$304,MATCH(C4057,$R$5:$R$304,0))&amp;"","?"))</f>
        <v/>
      </c>
      <c r="N4057" s="2" t="str">
        <f aca="false"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 t="str">
        <f aca="false">IF(OR(F4057="",G4057=""),"",IF(G4057&lt;='RETRATO 2027'!$K$5,"CONCLUÍDA",IF(F4057&lt;='RETRATO 2027'!$K$5,"EM ANDAMENTO","A INICIAR")))</f>
        <v/>
      </c>
    </row>
    <row r="4058" customFormat="false" ht="15" hidden="false" customHeight="false" outlineLevel="0" collapsed="false">
      <c r="M4058" s="2" t="str">
        <f aca="false">IF(C4058="","",IFERROR(INDEX($S$5:$S$304,MATCH(C4058,$R$5:$R$304,0))&amp;"","?"))</f>
        <v/>
      </c>
      <c r="N4058" s="2" t="str">
        <f aca="false"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 t="str">
        <f aca="false">IF(OR(F4058="",G4058=""),"",IF(G4058&lt;='RETRATO 2027'!$K$5,"CONCLUÍDA",IF(F4058&lt;='RETRATO 2027'!$K$5,"EM ANDAMENTO","A INICIAR")))</f>
        <v/>
      </c>
    </row>
    <row r="4059" customFormat="false" ht="15" hidden="false" customHeight="false" outlineLevel="0" collapsed="false">
      <c r="M4059" s="2" t="str">
        <f aca="false">IF(C4059="","",IFERROR(INDEX($S$5:$S$304,MATCH(C4059,$R$5:$R$304,0))&amp;"","?"))</f>
        <v/>
      </c>
      <c r="N4059" s="2" t="str">
        <f aca="false"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 t="str">
        <f aca="false">IF(OR(F4059="",G4059=""),"",IF(G4059&lt;='RETRATO 2027'!$K$5,"CONCLUÍDA",IF(F4059&lt;='RETRATO 2027'!$K$5,"EM ANDAMENTO","A INICIAR")))</f>
        <v/>
      </c>
    </row>
    <row r="4060" customFormat="false" ht="15" hidden="false" customHeight="false" outlineLevel="0" collapsed="false">
      <c r="M4060" s="2" t="str">
        <f aca="false">IF(C4060="","",IFERROR(INDEX($S$5:$S$304,MATCH(C4060,$R$5:$R$304,0))&amp;"","?"))</f>
        <v/>
      </c>
      <c r="N4060" s="2" t="str">
        <f aca="false"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 t="str">
        <f aca="false">IF(OR(F4060="",G4060=""),"",IF(G4060&lt;='RETRATO 2027'!$K$5,"CONCLUÍDA",IF(F4060&lt;='RETRATO 2027'!$K$5,"EM ANDAMENTO","A INICIAR")))</f>
        <v/>
      </c>
    </row>
    <row r="4061" customFormat="false" ht="15" hidden="false" customHeight="false" outlineLevel="0" collapsed="false">
      <c r="M4061" s="2" t="str">
        <f aca="false">IF(C4061="","",IFERROR(INDEX($S$5:$S$304,MATCH(C4061,$R$5:$R$304,0))&amp;"","?"))</f>
        <v/>
      </c>
      <c r="N4061" s="2" t="str">
        <f aca="false"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 t="str">
        <f aca="false">IF(OR(F4061="",G4061=""),"",IF(G4061&lt;='RETRATO 2027'!$K$5,"CONCLUÍDA",IF(F4061&lt;='RETRATO 2027'!$K$5,"EM ANDAMENTO","A INICIAR")))</f>
        <v/>
      </c>
    </row>
    <row r="4062" customFormat="false" ht="15" hidden="false" customHeight="false" outlineLevel="0" collapsed="false">
      <c r="M4062" s="2" t="str">
        <f aca="false">IF(C4062="","",IFERROR(INDEX($S$5:$S$304,MATCH(C4062,$R$5:$R$304,0))&amp;"","?"))</f>
        <v/>
      </c>
      <c r="N4062" s="2" t="str">
        <f aca="false"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 t="str">
        <f aca="false">IF(OR(F4062="",G4062=""),"",IF(G4062&lt;='RETRATO 2027'!$K$5,"CONCLUÍDA",IF(F4062&lt;='RETRATO 2027'!$K$5,"EM ANDAMENTO","A INICIAR")))</f>
        <v/>
      </c>
    </row>
    <row r="4063" customFormat="false" ht="15" hidden="false" customHeight="false" outlineLevel="0" collapsed="false">
      <c r="M4063" s="2" t="str">
        <f aca="false">IF(C4063="","",IFERROR(INDEX($S$5:$S$304,MATCH(C4063,$R$5:$R$304,0))&amp;"","?"))</f>
        <v/>
      </c>
      <c r="N4063" s="2" t="str">
        <f aca="false"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 t="str">
        <f aca="false">IF(OR(F4063="",G4063=""),"",IF(G4063&lt;='RETRATO 2027'!$K$5,"CONCLUÍDA",IF(F4063&lt;='RETRATO 2027'!$K$5,"EM ANDAMENTO","A INICIAR")))</f>
        <v/>
      </c>
    </row>
    <row r="4064" customFormat="false" ht="15" hidden="false" customHeight="false" outlineLevel="0" collapsed="false">
      <c r="M4064" s="2" t="str">
        <f aca="false">IF(C4064="","",IFERROR(INDEX($S$5:$S$304,MATCH(C4064,$R$5:$R$304,0))&amp;"","?"))</f>
        <v/>
      </c>
      <c r="N4064" s="2" t="str">
        <f aca="false"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 t="str">
        <f aca="false">IF(OR(F4064="",G4064=""),"",IF(G4064&lt;='RETRATO 2027'!$K$5,"CONCLUÍDA",IF(F4064&lt;='RETRATO 2027'!$K$5,"EM ANDAMENTO","A INICIAR")))</f>
        <v/>
      </c>
    </row>
    <row r="4065" customFormat="false" ht="15" hidden="false" customHeight="false" outlineLevel="0" collapsed="false">
      <c r="M4065" s="2" t="str">
        <f aca="false">IF(C4065="","",IFERROR(INDEX($S$5:$S$304,MATCH(C4065,$R$5:$R$304,0))&amp;"","?"))</f>
        <v/>
      </c>
      <c r="N4065" s="2" t="str">
        <f aca="false"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 t="str">
        <f aca="false">IF(OR(F4065="",G4065=""),"",IF(G4065&lt;='RETRATO 2027'!$K$5,"CONCLUÍDA",IF(F4065&lt;='RETRATO 2027'!$K$5,"EM ANDAMENTO","A INICIAR")))</f>
        <v/>
      </c>
    </row>
    <row r="4066" customFormat="false" ht="15" hidden="false" customHeight="false" outlineLevel="0" collapsed="false">
      <c r="M4066" s="2" t="str">
        <f aca="false">IF(C4066="","",IFERROR(INDEX($S$5:$S$304,MATCH(C4066,$R$5:$R$304,0))&amp;"","?"))</f>
        <v/>
      </c>
      <c r="N4066" s="2" t="str">
        <f aca="false"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 t="str">
        <f aca="false">IF(OR(F4066="",G4066=""),"",IF(G4066&lt;='RETRATO 2027'!$K$5,"CONCLUÍDA",IF(F4066&lt;='RETRATO 2027'!$K$5,"EM ANDAMENTO","A INICIAR")))</f>
        <v/>
      </c>
    </row>
    <row r="4067" customFormat="false" ht="15" hidden="false" customHeight="false" outlineLevel="0" collapsed="false">
      <c r="M4067" s="2" t="str">
        <f aca="false">IF(C4067="","",IFERROR(INDEX($S$5:$S$304,MATCH(C4067,$R$5:$R$304,0))&amp;"","?"))</f>
        <v/>
      </c>
      <c r="N4067" s="2" t="str">
        <f aca="false"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 t="str">
        <f aca="false">IF(OR(F4067="",G4067=""),"",IF(G4067&lt;='RETRATO 2027'!$K$5,"CONCLUÍDA",IF(F4067&lt;='RETRATO 2027'!$K$5,"EM ANDAMENTO","A INICIAR")))</f>
        <v/>
      </c>
    </row>
    <row r="4068" customFormat="false" ht="15" hidden="false" customHeight="false" outlineLevel="0" collapsed="false">
      <c r="M4068" s="2" t="str">
        <f aca="false">IF(C4068="","",IFERROR(INDEX($S$5:$S$304,MATCH(C4068,$R$5:$R$304,0))&amp;"","?"))</f>
        <v/>
      </c>
      <c r="N4068" s="2" t="str">
        <f aca="false"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 t="str">
        <f aca="false">IF(OR(F4068="",G4068=""),"",IF(G4068&lt;='RETRATO 2027'!$K$5,"CONCLUÍDA",IF(F4068&lt;='RETRATO 2027'!$K$5,"EM ANDAMENTO","A INICIAR")))</f>
        <v/>
      </c>
    </row>
    <row r="4069" customFormat="false" ht="15" hidden="false" customHeight="false" outlineLevel="0" collapsed="false">
      <c r="M4069" s="2" t="str">
        <f aca="false">IF(C4069="","",IFERROR(INDEX($S$5:$S$304,MATCH(C4069,$R$5:$R$304,0))&amp;"","?"))</f>
        <v/>
      </c>
      <c r="N4069" s="2" t="str">
        <f aca="false"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 t="str">
        <f aca="false">IF(OR(F4069="",G4069=""),"",IF(G4069&lt;='RETRATO 2027'!$K$5,"CONCLUÍDA",IF(F4069&lt;='RETRATO 2027'!$K$5,"EM ANDAMENTO","A INICIAR")))</f>
        <v/>
      </c>
    </row>
    <row r="4070" customFormat="false" ht="15" hidden="false" customHeight="false" outlineLevel="0" collapsed="false">
      <c r="M4070" s="2" t="str">
        <f aca="false">IF(C4070="","",IFERROR(INDEX($S$5:$S$304,MATCH(C4070,$R$5:$R$304,0))&amp;"","?"))</f>
        <v/>
      </c>
      <c r="N4070" s="2" t="str">
        <f aca="false"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 t="str">
        <f aca="false">IF(OR(F4070="",G4070=""),"",IF(G4070&lt;='RETRATO 2027'!$K$5,"CONCLUÍDA",IF(F4070&lt;='RETRATO 2027'!$K$5,"EM ANDAMENTO","A INICIAR")))</f>
        <v/>
      </c>
    </row>
    <row r="4071" customFormat="false" ht="15" hidden="false" customHeight="false" outlineLevel="0" collapsed="false">
      <c r="M4071" s="2" t="str">
        <f aca="false">IF(C4071="","",IFERROR(INDEX($S$5:$S$304,MATCH(C4071,$R$5:$R$304,0))&amp;"","?"))</f>
        <v/>
      </c>
      <c r="N4071" s="2" t="str">
        <f aca="false"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 t="str">
        <f aca="false">IF(OR(F4071="",G4071=""),"",IF(G4071&lt;='RETRATO 2027'!$K$5,"CONCLUÍDA",IF(F4071&lt;='RETRATO 2027'!$K$5,"EM ANDAMENTO","A INICIAR")))</f>
        <v/>
      </c>
    </row>
    <row r="4072" customFormat="false" ht="15" hidden="false" customHeight="false" outlineLevel="0" collapsed="false">
      <c r="M4072" s="2" t="str">
        <f aca="false">IF(C4072="","",IFERROR(INDEX($S$5:$S$304,MATCH(C4072,$R$5:$R$304,0))&amp;"","?"))</f>
        <v/>
      </c>
      <c r="N4072" s="2" t="str">
        <f aca="false"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 t="str">
        <f aca="false">IF(OR(F4072="",G4072=""),"",IF(G4072&lt;='RETRATO 2027'!$K$5,"CONCLUÍDA",IF(F4072&lt;='RETRATO 2027'!$K$5,"EM ANDAMENTO","A INICIAR")))</f>
        <v/>
      </c>
    </row>
    <row r="4073" customFormat="false" ht="15" hidden="false" customHeight="false" outlineLevel="0" collapsed="false">
      <c r="M4073" s="2" t="str">
        <f aca="false">IF(C4073="","",IFERROR(INDEX($S$5:$S$304,MATCH(C4073,$R$5:$R$304,0))&amp;"","?"))</f>
        <v/>
      </c>
      <c r="N4073" s="2" t="str">
        <f aca="false"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 t="str">
        <f aca="false">IF(OR(F4073="",G4073=""),"",IF(G4073&lt;='RETRATO 2027'!$K$5,"CONCLUÍDA",IF(F4073&lt;='RETRATO 2027'!$K$5,"EM ANDAMENTO","A INICIAR")))</f>
        <v/>
      </c>
    </row>
    <row r="4074" customFormat="false" ht="15" hidden="false" customHeight="false" outlineLevel="0" collapsed="false">
      <c r="M4074" s="2" t="str">
        <f aca="false">IF(C4074="","",IFERROR(INDEX($S$5:$S$304,MATCH(C4074,$R$5:$R$304,0))&amp;"","?"))</f>
        <v/>
      </c>
      <c r="N4074" s="2" t="str">
        <f aca="false"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 t="str">
        <f aca="false">IF(OR(F4074="",G4074=""),"",IF(G4074&lt;='RETRATO 2027'!$K$5,"CONCLUÍDA",IF(F4074&lt;='RETRATO 2027'!$K$5,"EM ANDAMENTO","A INICIAR")))</f>
        <v/>
      </c>
    </row>
    <row r="4075" customFormat="false" ht="15" hidden="false" customHeight="false" outlineLevel="0" collapsed="false">
      <c r="M4075" s="2" t="str">
        <f aca="false">IF(C4075="","",IFERROR(INDEX($S$5:$S$304,MATCH(C4075,$R$5:$R$304,0))&amp;"","?"))</f>
        <v/>
      </c>
      <c r="N4075" s="2" t="str">
        <f aca="false"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 t="str">
        <f aca="false">IF(OR(F4075="",G4075=""),"",IF(G4075&lt;='RETRATO 2027'!$K$5,"CONCLUÍDA",IF(F4075&lt;='RETRATO 2027'!$K$5,"EM ANDAMENTO","A INICIAR")))</f>
        <v/>
      </c>
    </row>
    <row r="4076" customFormat="false" ht="15" hidden="false" customHeight="false" outlineLevel="0" collapsed="false">
      <c r="M4076" s="2" t="str">
        <f aca="false">IF(C4076="","",IFERROR(INDEX($S$5:$S$304,MATCH(C4076,$R$5:$R$304,0))&amp;"","?"))</f>
        <v/>
      </c>
      <c r="N4076" s="2" t="str">
        <f aca="false"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 t="str">
        <f aca="false">IF(OR(F4076="",G4076=""),"",IF(G4076&lt;='RETRATO 2027'!$K$5,"CONCLUÍDA",IF(F4076&lt;='RETRATO 2027'!$K$5,"EM ANDAMENTO","A INICIAR")))</f>
        <v/>
      </c>
    </row>
    <row r="4077" customFormat="false" ht="15" hidden="false" customHeight="false" outlineLevel="0" collapsed="false">
      <c r="M4077" s="2" t="str">
        <f aca="false">IF(C4077="","",IFERROR(INDEX($S$5:$S$304,MATCH(C4077,$R$5:$R$304,0))&amp;"","?"))</f>
        <v/>
      </c>
      <c r="N4077" s="2" t="str">
        <f aca="false"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 t="str">
        <f aca="false">IF(OR(F4077="",G4077=""),"",IF(G4077&lt;='RETRATO 2027'!$K$5,"CONCLUÍDA",IF(F4077&lt;='RETRATO 2027'!$K$5,"EM ANDAMENTO","A INICIAR")))</f>
        <v/>
      </c>
    </row>
    <row r="4078" customFormat="false" ht="15" hidden="false" customHeight="false" outlineLevel="0" collapsed="false">
      <c r="M4078" s="2" t="str">
        <f aca="false">IF(C4078="","",IFERROR(INDEX($S$5:$S$304,MATCH(C4078,$R$5:$R$304,0))&amp;"","?"))</f>
        <v/>
      </c>
      <c r="N4078" s="2" t="str">
        <f aca="false"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 t="str">
        <f aca="false">IF(OR(F4078="",G4078=""),"",IF(G4078&lt;='RETRATO 2027'!$K$5,"CONCLUÍDA",IF(F4078&lt;='RETRATO 2027'!$K$5,"EM ANDAMENTO","A INICIAR")))</f>
        <v/>
      </c>
    </row>
    <row r="4079" customFormat="false" ht="15" hidden="false" customHeight="false" outlineLevel="0" collapsed="false">
      <c r="M4079" s="2" t="str">
        <f aca="false">IF(C4079="","",IFERROR(INDEX($S$5:$S$304,MATCH(C4079,$R$5:$R$304,0))&amp;"","?"))</f>
        <v/>
      </c>
      <c r="N4079" s="2" t="str">
        <f aca="false"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 t="str">
        <f aca="false">IF(OR(F4079="",G4079=""),"",IF(G4079&lt;='RETRATO 2027'!$K$5,"CONCLUÍDA",IF(F4079&lt;='RETRATO 2027'!$K$5,"EM ANDAMENTO","A INICIAR")))</f>
        <v/>
      </c>
    </row>
    <row r="4080" customFormat="false" ht="15" hidden="false" customHeight="false" outlineLevel="0" collapsed="false">
      <c r="M4080" s="2" t="str">
        <f aca="false">IF(C4080="","",IFERROR(INDEX($S$5:$S$304,MATCH(C4080,$R$5:$R$304,0))&amp;"","?"))</f>
        <v/>
      </c>
      <c r="N4080" s="2" t="str">
        <f aca="false"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 t="str">
        <f aca="false">IF(OR(F4080="",G4080=""),"",IF(G4080&lt;='RETRATO 2027'!$K$5,"CONCLUÍDA",IF(F4080&lt;='RETRATO 2027'!$K$5,"EM ANDAMENTO","A INICIAR")))</f>
        <v/>
      </c>
    </row>
    <row r="4081" customFormat="false" ht="15" hidden="false" customHeight="false" outlineLevel="0" collapsed="false">
      <c r="M4081" s="2" t="str">
        <f aca="false">IF(C4081="","",IFERROR(INDEX($S$5:$S$304,MATCH(C4081,$R$5:$R$304,0))&amp;"","?"))</f>
        <v/>
      </c>
      <c r="N4081" s="2" t="str">
        <f aca="false"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 t="str">
        <f aca="false">IF(OR(F4081="",G4081=""),"",IF(G4081&lt;='RETRATO 2027'!$K$5,"CONCLUÍDA",IF(F4081&lt;='RETRATO 2027'!$K$5,"EM ANDAMENTO","A INICIAR")))</f>
        <v/>
      </c>
    </row>
    <row r="4082" customFormat="false" ht="15" hidden="false" customHeight="false" outlineLevel="0" collapsed="false">
      <c r="M4082" s="2" t="str">
        <f aca="false">IF(C4082="","",IFERROR(INDEX($S$5:$S$304,MATCH(C4082,$R$5:$R$304,0))&amp;"","?"))</f>
        <v/>
      </c>
      <c r="N4082" s="2" t="str">
        <f aca="false"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 t="str">
        <f aca="false">IF(OR(F4082="",G4082=""),"",IF(G4082&lt;='RETRATO 2027'!$K$5,"CONCLUÍDA",IF(F4082&lt;='RETRATO 2027'!$K$5,"EM ANDAMENTO","A INICIAR")))</f>
        <v/>
      </c>
    </row>
    <row r="4083" customFormat="false" ht="15" hidden="false" customHeight="false" outlineLevel="0" collapsed="false">
      <c r="M4083" s="2" t="str">
        <f aca="false">IF(C4083="","",IFERROR(INDEX($S$5:$S$304,MATCH(C4083,$R$5:$R$304,0))&amp;"","?"))</f>
        <v/>
      </c>
      <c r="N4083" s="2" t="str">
        <f aca="false"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 t="str">
        <f aca="false">IF(OR(F4083="",G4083=""),"",IF(G4083&lt;='RETRATO 2027'!$K$5,"CONCLUÍDA",IF(F4083&lt;='RETRATO 2027'!$K$5,"EM ANDAMENTO","A INICIAR")))</f>
        <v/>
      </c>
    </row>
    <row r="4084" customFormat="false" ht="15" hidden="false" customHeight="false" outlineLevel="0" collapsed="false">
      <c r="M4084" s="2" t="str">
        <f aca="false">IF(C4084="","",IFERROR(INDEX($S$5:$S$304,MATCH(C4084,$R$5:$R$304,0))&amp;"","?"))</f>
        <v/>
      </c>
      <c r="N4084" s="2" t="str">
        <f aca="false"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 t="str">
        <f aca="false">IF(OR(F4084="",G4084=""),"",IF(G4084&lt;='RETRATO 2027'!$K$5,"CONCLUÍDA",IF(F4084&lt;='RETRATO 2027'!$K$5,"EM ANDAMENTO","A INICIAR")))</f>
        <v/>
      </c>
    </row>
    <row r="4085" customFormat="false" ht="15" hidden="false" customHeight="false" outlineLevel="0" collapsed="false">
      <c r="M4085" s="2" t="str">
        <f aca="false">IF(C4085="","",IFERROR(INDEX($S$5:$S$304,MATCH(C4085,$R$5:$R$304,0))&amp;"","?"))</f>
        <v/>
      </c>
      <c r="N4085" s="2" t="str">
        <f aca="false"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 t="str">
        <f aca="false">IF(OR(F4085="",G4085=""),"",IF(G4085&lt;='RETRATO 2027'!$K$5,"CONCLUÍDA",IF(F4085&lt;='RETRATO 2027'!$K$5,"EM ANDAMENTO","A INICIAR")))</f>
        <v/>
      </c>
    </row>
    <row r="4086" customFormat="false" ht="15" hidden="false" customHeight="false" outlineLevel="0" collapsed="false">
      <c r="M4086" s="2" t="str">
        <f aca="false">IF(C4086="","",IFERROR(INDEX($S$5:$S$304,MATCH(C4086,$R$5:$R$304,0))&amp;"","?"))</f>
        <v/>
      </c>
      <c r="N4086" s="2" t="str">
        <f aca="false"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 t="str">
        <f aca="false">IF(OR(F4086="",G4086=""),"",IF(G4086&lt;='RETRATO 2027'!$K$5,"CONCLUÍDA",IF(F4086&lt;='RETRATO 2027'!$K$5,"EM ANDAMENTO","A INICIAR")))</f>
        <v/>
      </c>
    </row>
    <row r="4087" customFormat="false" ht="15" hidden="false" customHeight="false" outlineLevel="0" collapsed="false">
      <c r="M4087" s="2" t="str">
        <f aca="false">IF(C4087="","",IFERROR(INDEX($S$5:$S$304,MATCH(C4087,$R$5:$R$304,0))&amp;"","?"))</f>
        <v/>
      </c>
      <c r="N4087" s="2" t="str">
        <f aca="false"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 t="str">
        <f aca="false">IF(OR(F4087="",G4087=""),"",IF(G4087&lt;='RETRATO 2027'!$K$5,"CONCLUÍDA",IF(F4087&lt;='RETRATO 2027'!$K$5,"EM ANDAMENTO","A INICIAR")))</f>
        <v/>
      </c>
    </row>
    <row r="4088" customFormat="false" ht="15" hidden="false" customHeight="false" outlineLevel="0" collapsed="false">
      <c r="M4088" s="2" t="str">
        <f aca="false">IF(C4088="","",IFERROR(INDEX($S$5:$S$304,MATCH(C4088,$R$5:$R$304,0))&amp;"","?"))</f>
        <v/>
      </c>
      <c r="N4088" s="2" t="str">
        <f aca="false"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 t="str">
        <f aca="false">IF(OR(F4088="",G4088=""),"",IF(G4088&lt;='RETRATO 2027'!$K$5,"CONCLUÍDA",IF(F4088&lt;='RETRATO 2027'!$K$5,"EM ANDAMENTO","A INICIAR")))</f>
        <v/>
      </c>
    </row>
    <row r="4089" customFormat="false" ht="15" hidden="false" customHeight="false" outlineLevel="0" collapsed="false">
      <c r="M4089" s="2" t="str">
        <f aca="false">IF(C4089="","",IFERROR(INDEX($S$5:$S$304,MATCH(C4089,$R$5:$R$304,0))&amp;"","?"))</f>
        <v/>
      </c>
      <c r="N4089" s="2" t="str">
        <f aca="false"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 t="str">
        <f aca="false">IF(OR(F4089="",G4089=""),"",IF(G4089&lt;='RETRATO 2027'!$K$5,"CONCLUÍDA",IF(F4089&lt;='RETRATO 2027'!$K$5,"EM ANDAMENTO","A INICIAR")))</f>
        <v/>
      </c>
    </row>
    <row r="4090" customFormat="false" ht="15" hidden="false" customHeight="false" outlineLevel="0" collapsed="false">
      <c r="M4090" s="2" t="str">
        <f aca="false">IF(C4090="","",IFERROR(INDEX($S$5:$S$304,MATCH(C4090,$R$5:$R$304,0))&amp;"","?"))</f>
        <v/>
      </c>
      <c r="N4090" s="2" t="str">
        <f aca="false"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 t="str">
        <f aca="false">IF(OR(F4090="",G4090=""),"",IF(G4090&lt;='RETRATO 2027'!$K$5,"CONCLUÍDA",IF(F4090&lt;='RETRATO 2027'!$K$5,"EM ANDAMENTO","A INICIAR")))</f>
        <v/>
      </c>
    </row>
    <row r="4091" customFormat="false" ht="15" hidden="false" customHeight="false" outlineLevel="0" collapsed="false">
      <c r="M4091" s="2" t="str">
        <f aca="false">IF(C4091="","",IFERROR(INDEX($S$5:$S$304,MATCH(C4091,$R$5:$R$304,0))&amp;"","?"))</f>
        <v/>
      </c>
      <c r="N4091" s="2" t="str">
        <f aca="false"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 t="str">
        <f aca="false">IF(OR(F4091="",G4091=""),"",IF(G4091&lt;='RETRATO 2027'!$K$5,"CONCLUÍDA",IF(F4091&lt;='RETRATO 2027'!$K$5,"EM ANDAMENTO","A INICIAR")))</f>
        <v/>
      </c>
    </row>
    <row r="4092" customFormat="false" ht="15" hidden="false" customHeight="false" outlineLevel="0" collapsed="false">
      <c r="M4092" s="2" t="str">
        <f aca="false">IF(C4092="","",IFERROR(INDEX($S$5:$S$304,MATCH(C4092,$R$5:$R$304,0))&amp;"","?"))</f>
        <v/>
      </c>
      <c r="N4092" s="2" t="str">
        <f aca="false"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 t="str">
        <f aca="false">IF(OR(F4092="",G4092=""),"",IF(G4092&lt;='RETRATO 2027'!$K$5,"CONCLUÍDA",IF(F4092&lt;='RETRATO 2027'!$K$5,"EM ANDAMENTO","A INICIAR")))</f>
        <v/>
      </c>
    </row>
    <row r="4093" customFormat="false" ht="15" hidden="false" customHeight="false" outlineLevel="0" collapsed="false">
      <c r="M4093" s="2" t="str">
        <f aca="false">IF(C4093="","",IFERROR(INDEX($S$5:$S$304,MATCH(C4093,$R$5:$R$304,0))&amp;"","?"))</f>
        <v/>
      </c>
      <c r="N4093" s="2" t="str">
        <f aca="false"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 t="str">
        <f aca="false">IF(OR(F4093="",G4093=""),"",IF(G4093&lt;='RETRATO 2027'!$K$5,"CONCLUÍDA",IF(F4093&lt;='RETRATO 2027'!$K$5,"EM ANDAMENTO","A INICIAR")))</f>
        <v/>
      </c>
    </row>
    <row r="4094" customFormat="false" ht="15" hidden="false" customHeight="false" outlineLevel="0" collapsed="false">
      <c r="M4094" s="2" t="str">
        <f aca="false">IF(C4094="","",IFERROR(INDEX($S$5:$S$304,MATCH(C4094,$R$5:$R$304,0))&amp;"","?"))</f>
        <v/>
      </c>
      <c r="N4094" s="2" t="str">
        <f aca="false"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 t="str">
        <f aca="false">IF(OR(F4094="",G4094=""),"",IF(G4094&lt;='RETRATO 2027'!$K$5,"CONCLUÍDA",IF(F4094&lt;='RETRATO 2027'!$K$5,"EM ANDAMENTO","A INICIAR")))</f>
        <v/>
      </c>
    </row>
    <row r="4095" customFormat="false" ht="15" hidden="false" customHeight="false" outlineLevel="0" collapsed="false">
      <c r="M4095" s="2" t="str">
        <f aca="false">IF(C4095="","",IFERROR(INDEX($S$5:$S$304,MATCH(C4095,$R$5:$R$304,0))&amp;"","?"))</f>
        <v/>
      </c>
      <c r="N4095" s="2" t="str">
        <f aca="false"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 t="str">
        <f aca="false">IF(OR(F4095="",G4095=""),"",IF(G4095&lt;='RETRATO 2027'!$K$5,"CONCLUÍDA",IF(F4095&lt;='RETRATO 2027'!$K$5,"EM ANDAMENTO","A INICIAR")))</f>
        <v/>
      </c>
    </row>
    <row r="4096" customFormat="false" ht="15" hidden="false" customHeight="false" outlineLevel="0" collapsed="false">
      <c r="M4096" s="2" t="str">
        <f aca="false">IF(C4096="","",IFERROR(INDEX($S$5:$S$304,MATCH(C4096,$R$5:$R$304,0))&amp;"","?"))</f>
        <v/>
      </c>
      <c r="N4096" s="2" t="str">
        <f aca="false"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 t="str">
        <f aca="false">IF(OR(F4096="",G4096=""),"",IF(G4096&lt;='RETRATO 2027'!$K$5,"CONCLUÍDA",IF(F4096&lt;='RETRATO 2027'!$K$5,"EM ANDAMENTO","A INICIAR")))</f>
        <v/>
      </c>
    </row>
    <row r="4097" customFormat="false" ht="15" hidden="false" customHeight="false" outlineLevel="0" collapsed="false">
      <c r="M4097" s="2" t="str">
        <f aca="false">IF(C4097="","",IFERROR(INDEX($S$5:$S$304,MATCH(C4097,$R$5:$R$304,0))&amp;"","?"))</f>
        <v/>
      </c>
      <c r="N4097" s="2" t="str">
        <f aca="false"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 t="str">
        <f aca="false">IF(OR(F4097="",G4097=""),"",IF(G4097&lt;='RETRATO 2027'!$K$5,"CONCLUÍDA",IF(F4097&lt;='RETRATO 2027'!$K$5,"EM ANDAMENTO","A INICIAR")))</f>
        <v/>
      </c>
    </row>
    <row r="4098" customFormat="false" ht="15" hidden="false" customHeight="false" outlineLevel="0" collapsed="false">
      <c r="M4098" s="2" t="str">
        <f aca="false">IF(C4098="","",IFERROR(INDEX($S$5:$S$304,MATCH(C4098,$R$5:$R$304,0))&amp;"","?"))</f>
        <v/>
      </c>
      <c r="N4098" s="2" t="str">
        <f aca="false"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 t="str">
        <f aca="false">IF(OR(F4098="",G4098=""),"",IF(G4098&lt;='RETRATO 2027'!$K$5,"CONCLUÍDA",IF(F4098&lt;='RETRATO 2027'!$K$5,"EM ANDAMENTO","A INICIAR")))</f>
        <v/>
      </c>
    </row>
    <row r="4099" customFormat="false" ht="15" hidden="false" customHeight="false" outlineLevel="0" collapsed="false">
      <c r="M4099" s="2" t="str">
        <f aca="false">IF(C4099="","",IFERROR(INDEX($S$5:$S$304,MATCH(C4099,$R$5:$R$304,0))&amp;"","?"))</f>
        <v/>
      </c>
      <c r="N4099" s="2" t="str">
        <f aca="false"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 t="str">
        <f aca="false">IF(OR(F4099="",G4099=""),"",IF(G4099&lt;='RETRATO 2027'!$K$5,"CONCLUÍDA",IF(F4099&lt;='RETRATO 2027'!$K$5,"EM ANDAMENTO","A INICIAR")))</f>
        <v/>
      </c>
    </row>
    <row r="4100" customFormat="false" ht="15" hidden="false" customHeight="false" outlineLevel="0" collapsed="false">
      <c r="M4100" s="2" t="str">
        <f aca="false">IF(C4100="","",IFERROR(INDEX($S$5:$S$304,MATCH(C4100,$R$5:$R$304,0))&amp;"","?"))</f>
        <v/>
      </c>
      <c r="N4100" s="2" t="str">
        <f aca="false"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 t="str">
        <f aca="false">IF(OR(F4100="",G4100=""),"",IF(G4100&lt;='RETRATO 2027'!$K$5,"CONCLUÍDA",IF(F4100&lt;='RETRATO 2027'!$K$5,"EM ANDAMENTO","A INICIAR")))</f>
        <v/>
      </c>
    </row>
    <row r="4101" customFormat="false" ht="15" hidden="false" customHeight="false" outlineLevel="0" collapsed="false">
      <c r="M4101" s="2" t="str">
        <f aca="false">IF(C4101="","",IFERROR(INDEX($S$5:$S$304,MATCH(C4101,$R$5:$R$304,0))&amp;"","?"))</f>
        <v/>
      </c>
      <c r="N4101" s="2" t="str">
        <f aca="false"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 t="str">
        <f aca="false">IF(OR(F4101="",G4101=""),"",IF(G4101&lt;='RETRATO 2027'!$K$5,"CONCLUÍDA",IF(F4101&lt;='RETRATO 2027'!$K$5,"EM ANDAMENTO","A INICIAR")))</f>
        <v/>
      </c>
    </row>
    <row r="4102" customFormat="false" ht="15" hidden="false" customHeight="false" outlineLevel="0" collapsed="false">
      <c r="M4102" s="2" t="str">
        <f aca="false">IF(C4102="","",IFERROR(INDEX($S$5:$S$304,MATCH(C4102,$R$5:$R$304,0))&amp;"","?"))</f>
        <v/>
      </c>
      <c r="N4102" s="2" t="str">
        <f aca="false"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 t="str">
        <f aca="false">IF(OR(F4102="",G4102=""),"",IF(G4102&lt;='RETRATO 2027'!$K$5,"CONCLUÍDA",IF(F4102&lt;='RETRATO 2027'!$K$5,"EM ANDAMENTO","A INICIAR")))</f>
        <v/>
      </c>
    </row>
    <row r="4103" customFormat="false" ht="15" hidden="false" customHeight="false" outlineLevel="0" collapsed="false">
      <c r="M4103" s="2" t="str">
        <f aca="false">IF(C4103="","",IFERROR(INDEX($S$5:$S$304,MATCH(C4103,$R$5:$R$304,0))&amp;"","?"))</f>
        <v/>
      </c>
      <c r="N4103" s="2" t="str">
        <f aca="false"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 t="str">
        <f aca="false">IF(OR(F4103="",G4103=""),"",IF(G4103&lt;='RETRATO 2027'!$K$5,"CONCLUÍDA",IF(F4103&lt;='RETRATO 2027'!$K$5,"EM ANDAMENTO","A INICIAR")))</f>
        <v/>
      </c>
    </row>
    <row r="4104" customFormat="false" ht="15" hidden="false" customHeight="false" outlineLevel="0" collapsed="false">
      <c r="M4104" s="2" t="str">
        <f aca="false">IF(C4104="","",IFERROR(INDEX($S$5:$S$304,MATCH(C4104,$R$5:$R$304,0))&amp;"","?"))</f>
        <v/>
      </c>
      <c r="N4104" s="2" t="str">
        <f aca="false"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 t="str">
        <f aca="false">IF(OR(F4104="",G4104=""),"",IF(G4104&lt;='RETRATO 2027'!$K$5,"CONCLUÍDA",IF(F4104&lt;='RETRATO 2027'!$K$5,"EM ANDAMENTO","A INICIAR")))</f>
        <v/>
      </c>
    </row>
    <row r="4105" customFormat="false" ht="15" hidden="false" customHeight="false" outlineLevel="0" collapsed="false">
      <c r="M4105" s="2" t="str">
        <f aca="false">IF(C4105="","",IFERROR(INDEX($S$5:$S$304,MATCH(C4105,$R$5:$R$304,0))&amp;"","?"))</f>
        <v/>
      </c>
      <c r="N4105" s="2" t="str">
        <f aca="false"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 t="str">
        <f aca="false">IF(OR(F4105="",G4105=""),"",IF(G4105&lt;='RETRATO 2027'!$K$5,"CONCLUÍDA",IF(F4105&lt;='RETRATO 2027'!$K$5,"EM ANDAMENTO","A INICIAR")))</f>
        <v/>
      </c>
    </row>
    <row r="4106" customFormat="false" ht="15" hidden="false" customHeight="false" outlineLevel="0" collapsed="false">
      <c r="M4106" s="2" t="str">
        <f aca="false">IF(C4106="","",IFERROR(INDEX($S$5:$S$304,MATCH(C4106,$R$5:$R$304,0))&amp;"","?"))</f>
        <v/>
      </c>
      <c r="N4106" s="2" t="str">
        <f aca="false"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 t="str">
        <f aca="false">IF(OR(F4106="",G4106=""),"",IF(G4106&lt;='RETRATO 2027'!$K$5,"CONCLUÍDA",IF(F4106&lt;='RETRATO 2027'!$K$5,"EM ANDAMENTO","A INICIAR")))</f>
        <v/>
      </c>
    </row>
    <row r="4107" customFormat="false" ht="15" hidden="false" customHeight="false" outlineLevel="0" collapsed="false">
      <c r="M4107" s="2" t="str">
        <f aca="false">IF(C4107="","",IFERROR(INDEX($S$5:$S$304,MATCH(C4107,$R$5:$R$304,0))&amp;"","?"))</f>
        <v/>
      </c>
      <c r="N4107" s="2" t="str">
        <f aca="false"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 t="str">
        <f aca="false">IF(OR(F4107="",G4107=""),"",IF(G4107&lt;='RETRATO 2027'!$K$5,"CONCLUÍDA",IF(F4107&lt;='RETRATO 2027'!$K$5,"EM ANDAMENTO","A INICIAR")))</f>
        <v/>
      </c>
    </row>
    <row r="4108" customFormat="false" ht="15" hidden="false" customHeight="false" outlineLevel="0" collapsed="false">
      <c r="M4108" s="2" t="str">
        <f aca="false">IF(C4108="","",IFERROR(INDEX($S$5:$S$304,MATCH(C4108,$R$5:$R$304,0))&amp;"","?"))</f>
        <v/>
      </c>
      <c r="N4108" s="2" t="str">
        <f aca="false"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 t="str">
        <f aca="false">IF(OR(F4108="",G4108=""),"",IF(G4108&lt;='RETRATO 2027'!$K$5,"CONCLUÍDA",IF(F4108&lt;='RETRATO 2027'!$K$5,"EM ANDAMENTO","A INICIAR")))</f>
        <v/>
      </c>
    </row>
    <row r="4109" customFormat="false" ht="15" hidden="false" customHeight="false" outlineLevel="0" collapsed="false">
      <c r="M4109" s="2" t="str">
        <f aca="false">IF(C4109="","",IFERROR(INDEX($S$5:$S$304,MATCH(C4109,$R$5:$R$304,0))&amp;"","?"))</f>
        <v/>
      </c>
      <c r="N4109" s="2" t="str">
        <f aca="false"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 t="str">
        <f aca="false">IF(OR(F4109="",G4109=""),"",IF(G4109&lt;='RETRATO 2027'!$K$5,"CONCLUÍDA",IF(F4109&lt;='RETRATO 2027'!$K$5,"EM ANDAMENTO","A INICIAR")))</f>
        <v/>
      </c>
    </row>
    <row r="4110" customFormat="false" ht="15" hidden="false" customHeight="false" outlineLevel="0" collapsed="false">
      <c r="M4110" s="2" t="str">
        <f aca="false">IF(C4110="","",IFERROR(INDEX($S$5:$S$304,MATCH(C4110,$R$5:$R$304,0))&amp;"","?"))</f>
        <v/>
      </c>
      <c r="N4110" s="2" t="str">
        <f aca="false"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 t="str">
        <f aca="false">IF(OR(F4110="",G4110=""),"",IF(G4110&lt;='RETRATO 2027'!$K$5,"CONCLUÍDA",IF(F4110&lt;='RETRATO 2027'!$K$5,"EM ANDAMENTO","A INICIAR")))</f>
        <v/>
      </c>
    </row>
    <row r="4111" customFormat="false" ht="15" hidden="false" customHeight="false" outlineLevel="0" collapsed="false">
      <c r="M4111" s="2" t="str">
        <f aca="false">IF(C4111="","",IFERROR(INDEX($S$5:$S$304,MATCH(C4111,$R$5:$R$304,0))&amp;"","?"))</f>
        <v/>
      </c>
      <c r="N4111" s="2" t="str">
        <f aca="false"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 t="str">
        <f aca="false">IF(OR(F4111="",G4111=""),"",IF(G4111&lt;='RETRATO 2027'!$K$5,"CONCLUÍDA",IF(F4111&lt;='RETRATO 2027'!$K$5,"EM ANDAMENTO","A INICIAR")))</f>
        <v/>
      </c>
    </row>
    <row r="4112" customFormat="false" ht="15" hidden="false" customHeight="false" outlineLevel="0" collapsed="false">
      <c r="M4112" s="2" t="str">
        <f aca="false">IF(C4112="","",IFERROR(INDEX($S$5:$S$304,MATCH(C4112,$R$5:$R$304,0))&amp;"","?"))</f>
        <v/>
      </c>
      <c r="N4112" s="2" t="str">
        <f aca="false"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 t="str">
        <f aca="false">IF(OR(F4112="",G4112=""),"",IF(G4112&lt;='RETRATO 2027'!$K$5,"CONCLUÍDA",IF(F4112&lt;='RETRATO 2027'!$K$5,"EM ANDAMENTO","A INICIAR")))</f>
        <v/>
      </c>
    </row>
    <row r="4113" customFormat="false" ht="15" hidden="false" customHeight="false" outlineLevel="0" collapsed="false">
      <c r="M4113" s="2" t="str">
        <f aca="false">IF(C4113="","",IFERROR(INDEX($S$5:$S$304,MATCH(C4113,$R$5:$R$304,0))&amp;"","?"))</f>
        <v/>
      </c>
      <c r="N4113" s="2" t="str">
        <f aca="false"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 t="str">
        <f aca="false">IF(OR(F4113="",G4113=""),"",IF(G4113&lt;='RETRATO 2027'!$K$5,"CONCLUÍDA",IF(F4113&lt;='RETRATO 2027'!$K$5,"EM ANDAMENTO","A INICIAR")))</f>
        <v/>
      </c>
    </row>
    <row r="4114" customFormat="false" ht="15" hidden="false" customHeight="false" outlineLevel="0" collapsed="false">
      <c r="M4114" s="2" t="str">
        <f aca="false">IF(C4114="","",IFERROR(INDEX($S$5:$S$304,MATCH(C4114,$R$5:$R$304,0))&amp;"","?"))</f>
        <v/>
      </c>
      <c r="N4114" s="2" t="str">
        <f aca="false"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 t="str">
        <f aca="false">IF(OR(F4114="",G4114=""),"",IF(G4114&lt;='RETRATO 2027'!$K$5,"CONCLUÍDA",IF(F4114&lt;='RETRATO 2027'!$K$5,"EM ANDAMENTO","A INICIAR")))</f>
        <v/>
      </c>
    </row>
    <row r="4115" customFormat="false" ht="15" hidden="false" customHeight="false" outlineLevel="0" collapsed="false">
      <c r="M4115" s="2" t="str">
        <f aca="false">IF(C4115="","",IFERROR(INDEX($S$5:$S$304,MATCH(C4115,$R$5:$R$304,0))&amp;"","?"))</f>
        <v/>
      </c>
      <c r="N4115" s="2" t="str">
        <f aca="false"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 t="str">
        <f aca="false">IF(OR(F4115="",G4115=""),"",IF(G4115&lt;='RETRATO 2027'!$K$5,"CONCLUÍDA",IF(F4115&lt;='RETRATO 2027'!$K$5,"EM ANDAMENTO","A INICIAR")))</f>
        <v/>
      </c>
    </row>
    <row r="4116" customFormat="false" ht="15" hidden="false" customHeight="false" outlineLevel="0" collapsed="false">
      <c r="M4116" s="2" t="str">
        <f aca="false">IF(C4116="","",IFERROR(INDEX($S$5:$S$304,MATCH(C4116,$R$5:$R$304,0))&amp;"","?"))</f>
        <v/>
      </c>
      <c r="N4116" s="2" t="str">
        <f aca="false"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 t="str">
        <f aca="false">IF(OR(F4116="",G4116=""),"",IF(G4116&lt;='RETRATO 2027'!$K$5,"CONCLUÍDA",IF(F4116&lt;='RETRATO 2027'!$K$5,"EM ANDAMENTO","A INICIAR")))</f>
        <v/>
      </c>
    </row>
    <row r="4117" customFormat="false" ht="15" hidden="false" customHeight="false" outlineLevel="0" collapsed="false">
      <c r="M4117" s="2" t="str">
        <f aca="false">IF(C4117="","",IFERROR(INDEX($S$5:$S$304,MATCH(C4117,$R$5:$R$304,0))&amp;"","?"))</f>
        <v/>
      </c>
      <c r="N4117" s="2" t="str">
        <f aca="false"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 t="str">
        <f aca="false">IF(OR(F4117="",G4117=""),"",IF(G4117&lt;='RETRATO 2027'!$K$5,"CONCLUÍDA",IF(F4117&lt;='RETRATO 2027'!$K$5,"EM ANDAMENTO","A INICIAR")))</f>
        <v/>
      </c>
    </row>
    <row r="4118" customFormat="false" ht="15" hidden="false" customHeight="false" outlineLevel="0" collapsed="false">
      <c r="M4118" s="2" t="str">
        <f aca="false">IF(C4118="","",IFERROR(INDEX($S$5:$S$304,MATCH(C4118,$R$5:$R$304,0))&amp;"","?"))</f>
        <v/>
      </c>
      <c r="N4118" s="2" t="str">
        <f aca="false"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 t="str">
        <f aca="false">IF(OR(F4118="",G4118=""),"",IF(G4118&lt;='RETRATO 2027'!$K$5,"CONCLUÍDA",IF(F4118&lt;='RETRATO 2027'!$K$5,"EM ANDAMENTO","A INICIAR")))</f>
        <v/>
      </c>
    </row>
    <row r="4119" customFormat="false" ht="15" hidden="false" customHeight="false" outlineLevel="0" collapsed="false">
      <c r="M4119" s="2" t="str">
        <f aca="false">IF(C4119="","",IFERROR(INDEX($S$5:$S$304,MATCH(C4119,$R$5:$R$304,0))&amp;"","?"))</f>
        <v/>
      </c>
      <c r="N4119" s="2" t="str">
        <f aca="false"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 t="str">
        <f aca="false">IF(OR(F4119="",G4119=""),"",IF(G4119&lt;='RETRATO 2027'!$K$5,"CONCLUÍDA",IF(F4119&lt;='RETRATO 2027'!$K$5,"EM ANDAMENTO","A INICIAR")))</f>
        <v/>
      </c>
    </row>
    <row r="4120" customFormat="false" ht="15" hidden="false" customHeight="false" outlineLevel="0" collapsed="false">
      <c r="M4120" s="2" t="str">
        <f aca="false">IF(C4120="","",IFERROR(INDEX($S$5:$S$304,MATCH(C4120,$R$5:$R$304,0))&amp;"","?"))</f>
        <v/>
      </c>
      <c r="N4120" s="2" t="str">
        <f aca="false"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 t="str">
        <f aca="false">IF(OR(F4120="",G4120=""),"",IF(G4120&lt;='RETRATO 2027'!$K$5,"CONCLUÍDA",IF(F4120&lt;='RETRATO 2027'!$K$5,"EM ANDAMENTO","A INICIAR")))</f>
        <v/>
      </c>
    </row>
    <row r="4121" customFormat="false" ht="15" hidden="false" customHeight="false" outlineLevel="0" collapsed="false">
      <c r="M4121" s="2" t="str">
        <f aca="false">IF(C4121="","",IFERROR(INDEX($S$5:$S$304,MATCH(C4121,$R$5:$R$304,0))&amp;"","?"))</f>
        <v/>
      </c>
      <c r="N4121" s="2" t="str">
        <f aca="false"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 t="str">
        <f aca="false">IF(OR(F4121="",G4121=""),"",IF(G4121&lt;='RETRATO 2027'!$K$5,"CONCLUÍDA",IF(F4121&lt;='RETRATO 2027'!$K$5,"EM ANDAMENTO","A INICIAR")))</f>
        <v/>
      </c>
    </row>
    <row r="4122" customFormat="false" ht="15" hidden="false" customHeight="false" outlineLevel="0" collapsed="false">
      <c r="M4122" s="2" t="str">
        <f aca="false">IF(C4122="","",IFERROR(INDEX($S$5:$S$304,MATCH(C4122,$R$5:$R$304,0))&amp;"","?"))</f>
        <v/>
      </c>
      <c r="N4122" s="2" t="str">
        <f aca="false"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 t="str">
        <f aca="false">IF(OR(F4122="",G4122=""),"",IF(G4122&lt;='RETRATO 2027'!$K$5,"CONCLUÍDA",IF(F4122&lt;='RETRATO 2027'!$K$5,"EM ANDAMENTO","A INICIAR")))</f>
        <v/>
      </c>
    </row>
    <row r="4123" customFormat="false" ht="15" hidden="false" customHeight="false" outlineLevel="0" collapsed="false">
      <c r="M4123" s="2" t="str">
        <f aca="false">IF(C4123="","",IFERROR(INDEX($S$5:$S$304,MATCH(C4123,$R$5:$R$304,0))&amp;"","?"))</f>
        <v/>
      </c>
      <c r="N4123" s="2" t="str">
        <f aca="false"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 t="str">
        <f aca="false">IF(OR(F4123="",G4123=""),"",IF(G4123&lt;='RETRATO 2027'!$K$5,"CONCLUÍDA",IF(F4123&lt;='RETRATO 2027'!$K$5,"EM ANDAMENTO","A INICIAR")))</f>
        <v/>
      </c>
    </row>
    <row r="4124" customFormat="false" ht="15" hidden="false" customHeight="false" outlineLevel="0" collapsed="false">
      <c r="M4124" s="2" t="str">
        <f aca="false">IF(C4124="","",IFERROR(INDEX($S$5:$S$304,MATCH(C4124,$R$5:$R$304,0))&amp;"","?"))</f>
        <v/>
      </c>
      <c r="N4124" s="2" t="str">
        <f aca="false"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 t="str">
        <f aca="false">IF(OR(F4124="",G4124=""),"",IF(G4124&lt;='RETRATO 2027'!$K$5,"CONCLUÍDA",IF(F4124&lt;='RETRATO 2027'!$K$5,"EM ANDAMENTO","A INICIAR")))</f>
        <v/>
      </c>
    </row>
    <row r="4125" customFormat="false" ht="15" hidden="false" customHeight="false" outlineLevel="0" collapsed="false">
      <c r="M4125" s="2" t="str">
        <f aca="false">IF(C4125="","",IFERROR(INDEX($S$5:$S$304,MATCH(C4125,$R$5:$R$304,0))&amp;"","?"))</f>
        <v/>
      </c>
      <c r="N4125" s="2" t="str">
        <f aca="false"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 t="str">
        <f aca="false">IF(OR(F4125="",G4125=""),"",IF(G4125&lt;='RETRATO 2027'!$K$5,"CONCLUÍDA",IF(F4125&lt;='RETRATO 2027'!$K$5,"EM ANDAMENTO","A INICIAR")))</f>
        <v/>
      </c>
    </row>
    <row r="4126" customFormat="false" ht="15" hidden="false" customHeight="false" outlineLevel="0" collapsed="false">
      <c r="M4126" s="2" t="str">
        <f aca="false">IF(C4126="","",IFERROR(INDEX($S$5:$S$304,MATCH(C4126,$R$5:$R$304,0))&amp;"","?"))</f>
        <v/>
      </c>
      <c r="N4126" s="2" t="str">
        <f aca="false"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 t="str">
        <f aca="false">IF(OR(F4126="",G4126=""),"",IF(G4126&lt;='RETRATO 2027'!$K$5,"CONCLUÍDA",IF(F4126&lt;='RETRATO 2027'!$K$5,"EM ANDAMENTO","A INICIAR")))</f>
        <v/>
      </c>
    </row>
    <row r="4127" customFormat="false" ht="15" hidden="false" customHeight="false" outlineLevel="0" collapsed="false">
      <c r="M4127" s="2" t="str">
        <f aca="false">IF(C4127="","",IFERROR(INDEX($S$5:$S$304,MATCH(C4127,$R$5:$R$304,0))&amp;"","?"))</f>
        <v/>
      </c>
      <c r="N4127" s="2" t="str">
        <f aca="false"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 t="str">
        <f aca="false">IF(OR(F4127="",G4127=""),"",IF(G4127&lt;='RETRATO 2027'!$K$5,"CONCLUÍDA",IF(F4127&lt;='RETRATO 2027'!$K$5,"EM ANDAMENTO","A INICIAR")))</f>
        <v/>
      </c>
    </row>
    <row r="4128" customFormat="false" ht="15" hidden="false" customHeight="false" outlineLevel="0" collapsed="false">
      <c r="M4128" s="2" t="str">
        <f aca="false">IF(C4128="","",IFERROR(INDEX($S$5:$S$304,MATCH(C4128,$R$5:$R$304,0))&amp;"","?"))</f>
        <v/>
      </c>
      <c r="N4128" s="2" t="str">
        <f aca="false"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 t="str">
        <f aca="false">IF(OR(F4128="",G4128=""),"",IF(G4128&lt;='RETRATO 2027'!$K$5,"CONCLUÍDA",IF(F4128&lt;='RETRATO 2027'!$K$5,"EM ANDAMENTO","A INICIAR")))</f>
        <v/>
      </c>
    </row>
    <row r="4129" customFormat="false" ht="15" hidden="false" customHeight="false" outlineLevel="0" collapsed="false">
      <c r="M4129" s="2" t="str">
        <f aca="false">IF(C4129="","",IFERROR(INDEX($S$5:$S$304,MATCH(C4129,$R$5:$R$304,0))&amp;"","?"))</f>
        <v/>
      </c>
      <c r="N4129" s="2" t="str">
        <f aca="false"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 t="str">
        <f aca="false">IF(OR(F4129="",G4129=""),"",IF(G4129&lt;='RETRATO 2027'!$K$5,"CONCLUÍDA",IF(F4129&lt;='RETRATO 2027'!$K$5,"EM ANDAMENTO","A INICIAR")))</f>
        <v/>
      </c>
    </row>
    <row r="4130" customFormat="false" ht="15" hidden="false" customHeight="false" outlineLevel="0" collapsed="false">
      <c r="M4130" s="2" t="str">
        <f aca="false">IF(C4130="","",IFERROR(INDEX($S$5:$S$304,MATCH(C4130,$R$5:$R$304,0))&amp;"","?"))</f>
        <v/>
      </c>
      <c r="N4130" s="2" t="str">
        <f aca="false"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 t="str">
        <f aca="false">IF(OR(F4130="",G4130=""),"",IF(G4130&lt;='RETRATO 2027'!$K$5,"CONCLUÍDA",IF(F4130&lt;='RETRATO 2027'!$K$5,"EM ANDAMENTO","A INICIAR")))</f>
        <v/>
      </c>
    </row>
    <row r="4131" customFormat="false" ht="15" hidden="false" customHeight="false" outlineLevel="0" collapsed="false">
      <c r="M4131" s="2" t="str">
        <f aca="false">IF(C4131="","",IFERROR(INDEX($S$5:$S$304,MATCH(C4131,$R$5:$R$304,0))&amp;"","?"))</f>
        <v/>
      </c>
      <c r="N4131" s="2" t="str">
        <f aca="false"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 t="str">
        <f aca="false">IF(OR(F4131="",G4131=""),"",IF(G4131&lt;='RETRATO 2027'!$K$5,"CONCLUÍDA",IF(F4131&lt;='RETRATO 2027'!$K$5,"EM ANDAMENTO","A INICIAR")))</f>
        <v/>
      </c>
    </row>
    <row r="4132" customFormat="false" ht="15" hidden="false" customHeight="false" outlineLevel="0" collapsed="false">
      <c r="M4132" s="2" t="str">
        <f aca="false">IF(C4132="","",IFERROR(INDEX($S$5:$S$304,MATCH(C4132,$R$5:$R$304,0))&amp;"","?"))</f>
        <v/>
      </c>
      <c r="N4132" s="2" t="str">
        <f aca="false"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 t="str">
        <f aca="false">IF(OR(F4132="",G4132=""),"",IF(G4132&lt;='RETRATO 2027'!$K$5,"CONCLUÍDA",IF(F4132&lt;='RETRATO 2027'!$K$5,"EM ANDAMENTO","A INICIAR")))</f>
        <v/>
      </c>
    </row>
    <row r="4133" customFormat="false" ht="15" hidden="false" customHeight="false" outlineLevel="0" collapsed="false">
      <c r="M4133" s="2" t="str">
        <f aca="false">IF(C4133="","",IFERROR(INDEX($S$5:$S$304,MATCH(C4133,$R$5:$R$304,0))&amp;"","?"))</f>
        <v/>
      </c>
      <c r="N4133" s="2" t="str">
        <f aca="false"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 t="str">
        <f aca="false">IF(OR(F4133="",G4133=""),"",IF(G4133&lt;='RETRATO 2027'!$K$5,"CONCLUÍDA",IF(F4133&lt;='RETRATO 2027'!$K$5,"EM ANDAMENTO","A INICIAR")))</f>
        <v/>
      </c>
    </row>
    <row r="4134" customFormat="false" ht="15" hidden="false" customHeight="false" outlineLevel="0" collapsed="false">
      <c r="M4134" s="2" t="str">
        <f aca="false">IF(C4134="","",IFERROR(INDEX($S$5:$S$304,MATCH(C4134,$R$5:$R$304,0))&amp;"","?"))</f>
        <v/>
      </c>
      <c r="N4134" s="2" t="str">
        <f aca="false"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 t="str">
        <f aca="false">IF(OR(F4134="",G4134=""),"",IF(G4134&lt;='RETRATO 2027'!$K$5,"CONCLUÍDA",IF(F4134&lt;='RETRATO 2027'!$K$5,"EM ANDAMENTO","A INICIAR")))</f>
        <v/>
      </c>
    </row>
    <row r="4135" customFormat="false" ht="15" hidden="false" customHeight="false" outlineLevel="0" collapsed="false">
      <c r="M4135" s="2" t="str">
        <f aca="false">IF(C4135="","",IFERROR(INDEX($S$5:$S$304,MATCH(C4135,$R$5:$R$304,0))&amp;"","?"))</f>
        <v/>
      </c>
      <c r="N4135" s="2" t="str">
        <f aca="false"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 t="str">
        <f aca="false">IF(OR(F4135="",G4135=""),"",IF(G4135&lt;='RETRATO 2027'!$K$5,"CONCLUÍDA",IF(F4135&lt;='RETRATO 2027'!$K$5,"EM ANDAMENTO","A INICIAR")))</f>
        <v/>
      </c>
    </row>
    <row r="4136" customFormat="false" ht="15" hidden="false" customHeight="false" outlineLevel="0" collapsed="false">
      <c r="M4136" s="2" t="str">
        <f aca="false">IF(C4136="","",IFERROR(INDEX($S$5:$S$304,MATCH(C4136,$R$5:$R$304,0))&amp;"","?"))</f>
        <v/>
      </c>
      <c r="N4136" s="2" t="str">
        <f aca="false"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 t="str">
        <f aca="false">IF(OR(F4136="",G4136=""),"",IF(G4136&lt;='RETRATO 2027'!$K$5,"CONCLUÍDA",IF(F4136&lt;='RETRATO 2027'!$K$5,"EM ANDAMENTO","A INICIAR")))</f>
        <v/>
      </c>
    </row>
    <row r="4137" customFormat="false" ht="15" hidden="false" customHeight="false" outlineLevel="0" collapsed="false">
      <c r="M4137" s="2" t="str">
        <f aca="false">IF(C4137="","",IFERROR(INDEX($S$5:$S$304,MATCH(C4137,$R$5:$R$304,0))&amp;"","?"))</f>
        <v/>
      </c>
      <c r="N4137" s="2" t="str">
        <f aca="false"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 t="str">
        <f aca="false">IF(OR(F4137="",G4137=""),"",IF(G4137&lt;='RETRATO 2027'!$K$5,"CONCLUÍDA",IF(F4137&lt;='RETRATO 2027'!$K$5,"EM ANDAMENTO","A INICIAR")))</f>
        <v/>
      </c>
    </row>
    <row r="4138" customFormat="false" ht="15" hidden="false" customHeight="false" outlineLevel="0" collapsed="false">
      <c r="M4138" s="2" t="str">
        <f aca="false">IF(C4138="","",IFERROR(INDEX($S$5:$S$304,MATCH(C4138,$R$5:$R$304,0))&amp;"","?"))</f>
        <v/>
      </c>
      <c r="N4138" s="2" t="str">
        <f aca="false"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 t="str">
        <f aca="false">IF(OR(F4138="",G4138=""),"",IF(G4138&lt;='RETRATO 2027'!$K$5,"CONCLUÍDA",IF(F4138&lt;='RETRATO 2027'!$K$5,"EM ANDAMENTO","A INICIAR")))</f>
        <v/>
      </c>
    </row>
    <row r="4139" customFormat="false" ht="15" hidden="false" customHeight="false" outlineLevel="0" collapsed="false">
      <c r="M4139" s="2" t="str">
        <f aca="false">IF(C4139="","",IFERROR(INDEX($S$5:$S$304,MATCH(C4139,$R$5:$R$304,0))&amp;"","?"))</f>
        <v/>
      </c>
      <c r="N4139" s="2" t="str">
        <f aca="false"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 t="str">
        <f aca="false">IF(OR(F4139="",G4139=""),"",IF(G4139&lt;='RETRATO 2027'!$K$5,"CONCLUÍDA",IF(F4139&lt;='RETRATO 2027'!$K$5,"EM ANDAMENTO","A INICIAR")))</f>
        <v/>
      </c>
    </row>
    <row r="4140" customFormat="false" ht="15" hidden="false" customHeight="false" outlineLevel="0" collapsed="false">
      <c r="M4140" s="2" t="str">
        <f aca="false">IF(C4140="","",IFERROR(INDEX($S$5:$S$304,MATCH(C4140,$R$5:$R$304,0))&amp;"","?"))</f>
        <v/>
      </c>
      <c r="N4140" s="2" t="str">
        <f aca="false"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 t="str">
        <f aca="false">IF(OR(F4140="",G4140=""),"",IF(G4140&lt;='RETRATO 2027'!$K$5,"CONCLUÍDA",IF(F4140&lt;='RETRATO 2027'!$K$5,"EM ANDAMENTO","A INICIAR")))</f>
        <v/>
      </c>
    </row>
    <row r="4141" customFormat="false" ht="15" hidden="false" customHeight="false" outlineLevel="0" collapsed="false">
      <c r="M4141" s="2" t="str">
        <f aca="false">IF(C4141="","",IFERROR(INDEX($S$5:$S$304,MATCH(C4141,$R$5:$R$304,0))&amp;"","?"))</f>
        <v/>
      </c>
      <c r="N4141" s="2" t="str">
        <f aca="false"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 t="str">
        <f aca="false">IF(OR(F4141="",G4141=""),"",IF(G4141&lt;='RETRATO 2027'!$K$5,"CONCLUÍDA",IF(F4141&lt;='RETRATO 2027'!$K$5,"EM ANDAMENTO","A INICIAR")))</f>
        <v/>
      </c>
    </row>
    <row r="4142" customFormat="false" ht="15" hidden="false" customHeight="false" outlineLevel="0" collapsed="false">
      <c r="M4142" s="2" t="str">
        <f aca="false">IF(C4142="","",IFERROR(INDEX($S$5:$S$304,MATCH(C4142,$R$5:$R$304,0))&amp;"","?"))</f>
        <v/>
      </c>
      <c r="N4142" s="2" t="str">
        <f aca="false"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 t="str">
        <f aca="false">IF(OR(F4142="",G4142=""),"",IF(G4142&lt;='RETRATO 2027'!$K$5,"CONCLUÍDA",IF(F4142&lt;='RETRATO 2027'!$K$5,"EM ANDAMENTO","A INICIAR")))</f>
        <v/>
      </c>
    </row>
    <row r="4143" customFormat="false" ht="15" hidden="false" customHeight="false" outlineLevel="0" collapsed="false">
      <c r="M4143" s="2" t="str">
        <f aca="false">IF(C4143="","",IFERROR(INDEX($S$5:$S$304,MATCH(C4143,$R$5:$R$304,0))&amp;"","?"))</f>
        <v/>
      </c>
      <c r="N4143" s="2" t="str">
        <f aca="false"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 t="str">
        <f aca="false">IF(OR(F4143="",G4143=""),"",IF(G4143&lt;='RETRATO 2027'!$K$5,"CONCLUÍDA",IF(F4143&lt;='RETRATO 2027'!$K$5,"EM ANDAMENTO","A INICIAR")))</f>
        <v/>
      </c>
    </row>
    <row r="4144" customFormat="false" ht="15" hidden="false" customHeight="false" outlineLevel="0" collapsed="false">
      <c r="M4144" s="2" t="str">
        <f aca="false">IF(C4144="","",IFERROR(INDEX($S$5:$S$304,MATCH(C4144,$R$5:$R$304,0))&amp;"","?"))</f>
        <v/>
      </c>
      <c r="N4144" s="2" t="str">
        <f aca="false"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 t="str">
        <f aca="false">IF(OR(F4144="",G4144=""),"",IF(G4144&lt;='RETRATO 2027'!$K$5,"CONCLUÍDA",IF(F4144&lt;='RETRATO 2027'!$K$5,"EM ANDAMENTO","A INICIAR")))</f>
        <v/>
      </c>
    </row>
    <row r="4145" customFormat="false" ht="15" hidden="false" customHeight="false" outlineLevel="0" collapsed="false">
      <c r="M4145" s="2" t="str">
        <f aca="false">IF(C4145="","",IFERROR(INDEX($S$5:$S$304,MATCH(C4145,$R$5:$R$304,0))&amp;"","?"))</f>
        <v/>
      </c>
      <c r="N4145" s="2" t="str">
        <f aca="false"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 t="str">
        <f aca="false">IF(OR(F4145="",G4145=""),"",IF(G4145&lt;='RETRATO 2027'!$K$5,"CONCLUÍDA",IF(F4145&lt;='RETRATO 2027'!$K$5,"EM ANDAMENTO","A INICIAR")))</f>
        <v/>
      </c>
    </row>
    <row r="4146" customFormat="false" ht="15" hidden="false" customHeight="false" outlineLevel="0" collapsed="false">
      <c r="M4146" s="2" t="str">
        <f aca="false">IF(C4146="","",IFERROR(INDEX($S$5:$S$304,MATCH(C4146,$R$5:$R$304,0))&amp;"","?"))</f>
        <v/>
      </c>
      <c r="N4146" s="2" t="str">
        <f aca="false"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 t="str">
        <f aca="false">IF(OR(F4146="",G4146=""),"",IF(G4146&lt;='RETRATO 2027'!$K$5,"CONCLUÍDA",IF(F4146&lt;='RETRATO 2027'!$K$5,"EM ANDAMENTO","A INICIAR")))</f>
        <v/>
      </c>
    </row>
    <row r="4147" customFormat="false" ht="15" hidden="false" customHeight="false" outlineLevel="0" collapsed="false">
      <c r="M4147" s="2" t="str">
        <f aca="false">IF(C4147="","",IFERROR(INDEX($S$5:$S$304,MATCH(C4147,$R$5:$R$304,0))&amp;"","?"))</f>
        <v/>
      </c>
      <c r="N4147" s="2" t="str">
        <f aca="false"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 t="str">
        <f aca="false">IF(OR(F4147="",G4147=""),"",IF(G4147&lt;='RETRATO 2027'!$K$5,"CONCLUÍDA",IF(F4147&lt;='RETRATO 2027'!$K$5,"EM ANDAMENTO","A INICIAR")))</f>
        <v/>
      </c>
    </row>
    <row r="4148" customFormat="false" ht="15" hidden="false" customHeight="false" outlineLevel="0" collapsed="false">
      <c r="M4148" s="2" t="str">
        <f aca="false">IF(C4148="","",IFERROR(INDEX($S$5:$S$304,MATCH(C4148,$R$5:$R$304,0))&amp;"","?"))</f>
        <v/>
      </c>
      <c r="N4148" s="2" t="str">
        <f aca="false"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 t="str">
        <f aca="false">IF(OR(F4148="",G4148=""),"",IF(G4148&lt;='RETRATO 2027'!$K$5,"CONCLUÍDA",IF(F4148&lt;='RETRATO 2027'!$K$5,"EM ANDAMENTO","A INICIAR")))</f>
        <v/>
      </c>
    </row>
    <row r="4149" customFormat="false" ht="15" hidden="false" customHeight="false" outlineLevel="0" collapsed="false">
      <c r="M4149" s="2" t="str">
        <f aca="false">IF(C4149="","",IFERROR(INDEX($S$5:$S$304,MATCH(C4149,$R$5:$R$304,0))&amp;"","?"))</f>
        <v/>
      </c>
      <c r="N4149" s="2" t="str">
        <f aca="false"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 t="str">
        <f aca="false">IF(OR(F4149="",G4149=""),"",IF(G4149&lt;='RETRATO 2027'!$K$5,"CONCLUÍDA",IF(F4149&lt;='RETRATO 2027'!$K$5,"EM ANDAMENTO","A INICIAR")))</f>
        <v/>
      </c>
    </row>
    <row r="4150" customFormat="false" ht="15" hidden="false" customHeight="false" outlineLevel="0" collapsed="false">
      <c r="M4150" s="2" t="str">
        <f aca="false">IF(C4150="","",IFERROR(INDEX($S$5:$S$304,MATCH(C4150,$R$5:$R$304,0))&amp;"","?"))</f>
        <v/>
      </c>
      <c r="N4150" s="2" t="str">
        <f aca="false"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 t="str">
        <f aca="false">IF(OR(F4150="",G4150=""),"",IF(G4150&lt;='RETRATO 2027'!$K$5,"CONCLUÍDA",IF(F4150&lt;='RETRATO 2027'!$K$5,"EM ANDAMENTO","A INICIAR")))</f>
        <v/>
      </c>
    </row>
    <row r="4151" customFormat="false" ht="15" hidden="false" customHeight="false" outlineLevel="0" collapsed="false">
      <c r="M4151" s="2" t="str">
        <f aca="false">IF(C4151="","",IFERROR(INDEX($S$5:$S$304,MATCH(C4151,$R$5:$R$304,0))&amp;"","?"))</f>
        <v/>
      </c>
      <c r="N4151" s="2" t="str">
        <f aca="false"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 t="str">
        <f aca="false">IF(OR(F4151="",G4151=""),"",IF(G4151&lt;='RETRATO 2027'!$K$5,"CONCLUÍDA",IF(F4151&lt;='RETRATO 2027'!$K$5,"EM ANDAMENTO","A INICIAR")))</f>
        <v/>
      </c>
    </row>
    <row r="4152" customFormat="false" ht="15" hidden="false" customHeight="false" outlineLevel="0" collapsed="false">
      <c r="M4152" s="2" t="str">
        <f aca="false">IF(C4152="","",IFERROR(INDEX($S$5:$S$304,MATCH(C4152,$R$5:$R$304,0))&amp;"","?"))</f>
        <v/>
      </c>
      <c r="N4152" s="2" t="str">
        <f aca="false"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 t="str">
        <f aca="false">IF(OR(F4152="",G4152=""),"",IF(G4152&lt;='RETRATO 2027'!$K$5,"CONCLUÍDA",IF(F4152&lt;='RETRATO 2027'!$K$5,"EM ANDAMENTO","A INICIAR")))</f>
        <v/>
      </c>
    </row>
    <row r="4153" customFormat="false" ht="15" hidden="false" customHeight="false" outlineLevel="0" collapsed="false">
      <c r="M4153" s="2" t="str">
        <f aca="false">IF(C4153="","",IFERROR(INDEX($S$5:$S$304,MATCH(C4153,$R$5:$R$304,0))&amp;"","?"))</f>
        <v/>
      </c>
      <c r="N4153" s="2" t="str">
        <f aca="false"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 t="str">
        <f aca="false">IF(OR(F4153="",G4153=""),"",IF(G4153&lt;='RETRATO 2027'!$K$5,"CONCLUÍDA",IF(F4153&lt;='RETRATO 2027'!$K$5,"EM ANDAMENTO","A INICIAR")))</f>
        <v/>
      </c>
    </row>
    <row r="4154" customFormat="false" ht="15" hidden="false" customHeight="false" outlineLevel="0" collapsed="false">
      <c r="M4154" s="2" t="str">
        <f aca="false">IF(C4154="","",IFERROR(INDEX($S$5:$S$304,MATCH(C4154,$R$5:$R$304,0))&amp;"","?"))</f>
        <v/>
      </c>
      <c r="N4154" s="2" t="str">
        <f aca="false"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 t="str">
        <f aca="false">IF(OR(F4154="",G4154=""),"",IF(G4154&lt;='RETRATO 2027'!$K$5,"CONCLUÍDA",IF(F4154&lt;='RETRATO 2027'!$K$5,"EM ANDAMENTO","A INICIAR")))</f>
        <v/>
      </c>
    </row>
    <row r="4155" customFormat="false" ht="15" hidden="false" customHeight="false" outlineLevel="0" collapsed="false">
      <c r="M4155" s="2" t="str">
        <f aca="false">IF(C4155="","",IFERROR(INDEX($S$5:$S$304,MATCH(C4155,$R$5:$R$304,0))&amp;"","?"))</f>
        <v/>
      </c>
      <c r="N4155" s="2" t="str">
        <f aca="false"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 t="str">
        <f aca="false">IF(OR(F4155="",G4155=""),"",IF(G4155&lt;='RETRATO 2027'!$K$5,"CONCLUÍDA",IF(F4155&lt;='RETRATO 2027'!$K$5,"EM ANDAMENTO","A INICIAR")))</f>
        <v/>
      </c>
    </row>
    <row r="4156" customFormat="false" ht="15" hidden="false" customHeight="false" outlineLevel="0" collapsed="false">
      <c r="M4156" s="2" t="str">
        <f aca="false">IF(C4156="","",IFERROR(INDEX($S$5:$S$304,MATCH(C4156,$R$5:$R$304,0))&amp;"","?"))</f>
        <v/>
      </c>
      <c r="N4156" s="2" t="str">
        <f aca="false"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 t="str">
        <f aca="false">IF(OR(F4156="",G4156=""),"",IF(G4156&lt;='RETRATO 2027'!$K$5,"CONCLUÍDA",IF(F4156&lt;='RETRATO 2027'!$K$5,"EM ANDAMENTO","A INICIAR")))</f>
        <v/>
      </c>
    </row>
    <row r="4157" customFormat="false" ht="15" hidden="false" customHeight="false" outlineLevel="0" collapsed="false">
      <c r="M4157" s="2" t="str">
        <f aca="false">IF(C4157="","",IFERROR(INDEX($S$5:$S$304,MATCH(C4157,$R$5:$R$304,0))&amp;"","?"))</f>
        <v/>
      </c>
      <c r="N4157" s="2" t="str">
        <f aca="false"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 t="str">
        <f aca="false">IF(OR(F4157="",G4157=""),"",IF(G4157&lt;='RETRATO 2027'!$K$5,"CONCLUÍDA",IF(F4157&lt;='RETRATO 2027'!$K$5,"EM ANDAMENTO","A INICIAR")))</f>
        <v/>
      </c>
    </row>
    <row r="4158" customFormat="false" ht="15" hidden="false" customHeight="false" outlineLevel="0" collapsed="false">
      <c r="M4158" s="2" t="str">
        <f aca="false">IF(C4158="","",IFERROR(INDEX($S$5:$S$304,MATCH(C4158,$R$5:$R$304,0))&amp;"","?"))</f>
        <v/>
      </c>
      <c r="N4158" s="2" t="str">
        <f aca="false"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 t="str">
        <f aca="false">IF(OR(F4158="",G4158=""),"",IF(G4158&lt;='RETRATO 2027'!$K$5,"CONCLUÍDA",IF(F4158&lt;='RETRATO 2027'!$K$5,"EM ANDAMENTO","A INICIAR")))</f>
        <v/>
      </c>
    </row>
    <row r="4159" customFormat="false" ht="15" hidden="false" customHeight="false" outlineLevel="0" collapsed="false">
      <c r="M4159" s="2" t="str">
        <f aca="false">IF(C4159="","",IFERROR(INDEX($S$5:$S$304,MATCH(C4159,$R$5:$R$304,0))&amp;"","?"))</f>
        <v/>
      </c>
      <c r="N4159" s="2" t="str">
        <f aca="false"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 t="str">
        <f aca="false">IF(OR(F4159="",G4159=""),"",IF(G4159&lt;='RETRATO 2027'!$K$5,"CONCLUÍDA",IF(F4159&lt;='RETRATO 2027'!$K$5,"EM ANDAMENTO","A INICIAR")))</f>
        <v/>
      </c>
    </row>
    <row r="4160" customFormat="false" ht="15" hidden="false" customHeight="false" outlineLevel="0" collapsed="false">
      <c r="M4160" s="2" t="str">
        <f aca="false">IF(C4160="","",IFERROR(INDEX($S$5:$S$304,MATCH(C4160,$R$5:$R$304,0))&amp;"","?"))</f>
        <v/>
      </c>
      <c r="N4160" s="2" t="str">
        <f aca="false"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 t="str">
        <f aca="false">IF(OR(F4160="",G4160=""),"",IF(G4160&lt;='RETRATO 2027'!$K$5,"CONCLUÍDA",IF(F4160&lt;='RETRATO 2027'!$K$5,"EM ANDAMENTO","A INICIAR")))</f>
        <v/>
      </c>
    </row>
    <row r="4161" customFormat="false" ht="15" hidden="false" customHeight="false" outlineLevel="0" collapsed="false">
      <c r="M4161" s="2" t="str">
        <f aca="false">IF(C4161="","",IFERROR(INDEX($S$5:$S$304,MATCH(C4161,$R$5:$R$304,0))&amp;"","?"))</f>
        <v/>
      </c>
      <c r="N4161" s="2" t="str">
        <f aca="false"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 t="str">
        <f aca="false">IF(OR(F4161="",G4161=""),"",IF(G4161&lt;='RETRATO 2027'!$K$5,"CONCLUÍDA",IF(F4161&lt;='RETRATO 2027'!$K$5,"EM ANDAMENTO","A INICIAR")))</f>
        <v/>
      </c>
    </row>
    <row r="4162" customFormat="false" ht="15" hidden="false" customHeight="false" outlineLevel="0" collapsed="false">
      <c r="M4162" s="2" t="str">
        <f aca="false">IF(C4162="","",IFERROR(INDEX($S$5:$S$304,MATCH(C4162,$R$5:$R$304,0))&amp;"","?"))</f>
        <v/>
      </c>
      <c r="N4162" s="2" t="str">
        <f aca="false"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 t="str">
        <f aca="false">IF(OR(F4162="",G4162=""),"",IF(G4162&lt;='RETRATO 2027'!$K$5,"CONCLUÍDA",IF(F4162&lt;='RETRATO 2027'!$K$5,"EM ANDAMENTO","A INICIAR")))</f>
        <v/>
      </c>
    </row>
    <row r="4163" customFormat="false" ht="15" hidden="false" customHeight="false" outlineLevel="0" collapsed="false">
      <c r="M4163" s="2" t="str">
        <f aca="false">IF(C4163="","",IFERROR(INDEX($S$5:$S$304,MATCH(C4163,$R$5:$R$304,0))&amp;"","?"))</f>
        <v/>
      </c>
      <c r="N4163" s="2" t="str">
        <f aca="false"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 t="str">
        <f aca="false">IF(OR(F4163="",G4163=""),"",IF(G4163&lt;='RETRATO 2027'!$K$5,"CONCLUÍDA",IF(F4163&lt;='RETRATO 2027'!$K$5,"EM ANDAMENTO","A INICIAR")))</f>
        <v/>
      </c>
    </row>
    <row r="4164" customFormat="false" ht="15" hidden="false" customHeight="false" outlineLevel="0" collapsed="false">
      <c r="M4164" s="2" t="str">
        <f aca="false">IF(C4164="","",IFERROR(INDEX($S$5:$S$304,MATCH(C4164,$R$5:$R$304,0))&amp;"","?"))</f>
        <v/>
      </c>
      <c r="N4164" s="2" t="str">
        <f aca="false"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 t="str">
        <f aca="false">IF(OR(F4164="",G4164=""),"",IF(G4164&lt;='RETRATO 2027'!$K$5,"CONCLUÍDA",IF(F4164&lt;='RETRATO 2027'!$K$5,"EM ANDAMENTO","A INICIAR")))</f>
        <v/>
      </c>
    </row>
    <row r="4165" customFormat="false" ht="15" hidden="false" customHeight="false" outlineLevel="0" collapsed="false">
      <c r="M4165" s="2" t="str">
        <f aca="false">IF(C4165="","",IFERROR(INDEX($S$5:$S$304,MATCH(C4165,$R$5:$R$304,0))&amp;"","?"))</f>
        <v/>
      </c>
      <c r="N4165" s="2" t="str">
        <f aca="false"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 t="str">
        <f aca="false">IF(OR(F4165="",G4165=""),"",IF(G4165&lt;='RETRATO 2027'!$K$5,"CONCLUÍDA",IF(F4165&lt;='RETRATO 2027'!$K$5,"EM ANDAMENTO","A INICIAR")))</f>
        <v/>
      </c>
    </row>
    <row r="4166" customFormat="false" ht="15" hidden="false" customHeight="false" outlineLevel="0" collapsed="false">
      <c r="M4166" s="2" t="str">
        <f aca="false">IF(C4166="","",IFERROR(INDEX($S$5:$S$304,MATCH(C4166,$R$5:$R$304,0))&amp;"","?"))</f>
        <v/>
      </c>
      <c r="N4166" s="2" t="str">
        <f aca="false"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 t="str">
        <f aca="false">IF(OR(F4166="",G4166=""),"",IF(G4166&lt;='RETRATO 2027'!$K$5,"CONCLUÍDA",IF(F4166&lt;='RETRATO 2027'!$K$5,"EM ANDAMENTO","A INICIAR")))</f>
        <v/>
      </c>
    </row>
    <row r="4167" customFormat="false" ht="15" hidden="false" customHeight="false" outlineLevel="0" collapsed="false">
      <c r="M4167" s="2" t="str">
        <f aca="false">IF(C4167="","",IFERROR(INDEX($S$5:$S$304,MATCH(C4167,$R$5:$R$304,0))&amp;"","?"))</f>
        <v/>
      </c>
      <c r="N4167" s="2" t="str">
        <f aca="false"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 t="str">
        <f aca="false">IF(OR(F4167="",G4167=""),"",IF(G4167&lt;='RETRATO 2027'!$K$5,"CONCLUÍDA",IF(F4167&lt;='RETRATO 2027'!$K$5,"EM ANDAMENTO","A INICIAR")))</f>
        <v/>
      </c>
    </row>
    <row r="4168" customFormat="false" ht="15" hidden="false" customHeight="false" outlineLevel="0" collapsed="false">
      <c r="M4168" s="2" t="str">
        <f aca="false">IF(C4168="","",IFERROR(INDEX($S$5:$S$304,MATCH(C4168,$R$5:$R$304,0))&amp;"","?"))</f>
        <v/>
      </c>
      <c r="N4168" s="2" t="str">
        <f aca="false"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 t="str">
        <f aca="false">IF(OR(F4168="",G4168=""),"",IF(G4168&lt;='RETRATO 2027'!$K$5,"CONCLUÍDA",IF(F4168&lt;='RETRATO 2027'!$K$5,"EM ANDAMENTO","A INICIAR")))</f>
        <v/>
      </c>
    </row>
    <row r="4169" customFormat="false" ht="15" hidden="false" customHeight="false" outlineLevel="0" collapsed="false">
      <c r="M4169" s="2" t="str">
        <f aca="false">IF(C4169="","",IFERROR(INDEX($S$5:$S$304,MATCH(C4169,$R$5:$R$304,0))&amp;"","?"))</f>
        <v/>
      </c>
      <c r="N4169" s="2" t="str">
        <f aca="false"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 t="str">
        <f aca="false">IF(OR(F4169="",G4169=""),"",IF(G4169&lt;='RETRATO 2027'!$K$5,"CONCLUÍDA",IF(F4169&lt;='RETRATO 2027'!$K$5,"EM ANDAMENTO","A INICIAR")))</f>
        <v/>
      </c>
    </row>
    <row r="4170" customFormat="false" ht="15" hidden="false" customHeight="false" outlineLevel="0" collapsed="false">
      <c r="M4170" s="2" t="str">
        <f aca="false">IF(C4170="","",IFERROR(INDEX($S$5:$S$304,MATCH(C4170,$R$5:$R$304,0))&amp;"","?"))</f>
        <v/>
      </c>
      <c r="N4170" s="2" t="str">
        <f aca="false"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 t="str">
        <f aca="false">IF(OR(F4170="",G4170=""),"",IF(G4170&lt;='RETRATO 2027'!$K$5,"CONCLUÍDA",IF(F4170&lt;='RETRATO 2027'!$K$5,"EM ANDAMENTO","A INICIAR")))</f>
        <v/>
      </c>
    </row>
    <row r="4171" customFormat="false" ht="15" hidden="false" customHeight="false" outlineLevel="0" collapsed="false">
      <c r="M4171" s="2" t="str">
        <f aca="false">IF(C4171="","",IFERROR(INDEX($S$5:$S$304,MATCH(C4171,$R$5:$R$304,0))&amp;"","?"))</f>
        <v/>
      </c>
      <c r="N4171" s="2" t="str">
        <f aca="false"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 t="str">
        <f aca="false">IF(OR(F4171="",G4171=""),"",IF(G4171&lt;='RETRATO 2027'!$K$5,"CONCLUÍDA",IF(F4171&lt;='RETRATO 2027'!$K$5,"EM ANDAMENTO","A INICIAR")))</f>
        <v/>
      </c>
    </row>
    <row r="4172" customFormat="false" ht="15" hidden="false" customHeight="false" outlineLevel="0" collapsed="false">
      <c r="M4172" s="2" t="str">
        <f aca="false">IF(C4172="","",IFERROR(INDEX($S$5:$S$304,MATCH(C4172,$R$5:$R$304,0))&amp;"","?"))</f>
        <v/>
      </c>
      <c r="N4172" s="2" t="str">
        <f aca="false"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 t="str">
        <f aca="false">IF(OR(F4172="",G4172=""),"",IF(G4172&lt;='RETRATO 2027'!$K$5,"CONCLUÍDA",IF(F4172&lt;='RETRATO 2027'!$K$5,"EM ANDAMENTO","A INICIAR")))</f>
        <v/>
      </c>
    </row>
    <row r="4173" customFormat="false" ht="15" hidden="false" customHeight="false" outlineLevel="0" collapsed="false">
      <c r="M4173" s="2" t="str">
        <f aca="false">IF(C4173="","",IFERROR(INDEX($S$5:$S$304,MATCH(C4173,$R$5:$R$304,0))&amp;"","?"))</f>
        <v/>
      </c>
      <c r="N4173" s="2" t="str">
        <f aca="false"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 t="str">
        <f aca="false">IF(OR(F4173="",G4173=""),"",IF(G4173&lt;='RETRATO 2027'!$K$5,"CONCLUÍDA",IF(F4173&lt;='RETRATO 2027'!$K$5,"EM ANDAMENTO","A INICIAR")))</f>
        <v/>
      </c>
    </row>
    <row r="4174" customFormat="false" ht="15" hidden="false" customHeight="false" outlineLevel="0" collapsed="false">
      <c r="M4174" s="2" t="str">
        <f aca="false">IF(C4174="","",IFERROR(INDEX($S$5:$S$304,MATCH(C4174,$R$5:$R$304,0))&amp;"","?"))</f>
        <v/>
      </c>
      <c r="N4174" s="2" t="str">
        <f aca="false"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 t="str">
        <f aca="false">IF(OR(F4174="",G4174=""),"",IF(G4174&lt;='RETRATO 2027'!$K$5,"CONCLUÍDA",IF(F4174&lt;='RETRATO 2027'!$K$5,"EM ANDAMENTO","A INICIAR")))</f>
        <v/>
      </c>
    </row>
    <row r="4175" customFormat="false" ht="15" hidden="false" customHeight="false" outlineLevel="0" collapsed="false">
      <c r="M4175" s="2" t="str">
        <f aca="false">IF(C4175="","",IFERROR(INDEX($S$5:$S$304,MATCH(C4175,$R$5:$R$304,0))&amp;"","?"))</f>
        <v/>
      </c>
      <c r="N4175" s="2" t="str">
        <f aca="false"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 t="str">
        <f aca="false">IF(OR(F4175="",G4175=""),"",IF(G4175&lt;='RETRATO 2027'!$K$5,"CONCLUÍDA",IF(F4175&lt;='RETRATO 2027'!$K$5,"EM ANDAMENTO","A INICIAR")))</f>
        <v/>
      </c>
    </row>
    <row r="4176" customFormat="false" ht="15" hidden="false" customHeight="false" outlineLevel="0" collapsed="false">
      <c r="M4176" s="2" t="str">
        <f aca="false">IF(C4176="","",IFERROR(INDEX($S$5:$S$304,MATCH(C4176,$R$5:$R$304,0))&amp;"","?"))</f>
        <v/>
      </c>
      <c r="N4176" s="2" t="str">
        <f aca="false"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 t="str">
        <f aca="false">IF(OR(F4176="",G4176=""),"",IF(G4176&lt;='RETRATO 2027'!$K$5,"CONCLUÍDA",IF(F4176&lt;='RETRATO 2027'!$K$5,"EM ANDAMENTO","A INICIAR")))</f>
        <v/>
      </c>
    </row>
    <row r="4177" customFormat="false" ht="15" hidden="false" customHeight="false" outlineLevel="0" collapsed="false">
      <c r="M4177" s="2" t="str">
        <f aca="false">IF(C4177="","",IFERROR(INDEX($S$5:$S$304,MATCH(C4177,$R$5:$R$304,0))&amp;"","?"))</f>
        <v/>
      </c>
      <c r="N4177" s="2" t="str">
        <f aca="false"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 t="str">
        <f aca="false">IF(OR(F4177="",G4177=""),"",IF(G4177&lt;='RETRATO 2027'!$K$5,"CONCLUÍDA",IF(F4177&lt;='RETRATO 2027'!$K$5,"EM ANDAMENTO","A INICIAR")))</f>
        <v/>
      </c>
    </row>
    <row r="4178" customFormat="false" ht="15" hidden="false" customHeight="false" outlineLevel="0" collapsed="false">
      <c r="M4178" s="2" t="str">
        <f aca="false">IF(C4178="","",IFERROR(INDEX($S$5:$S$304,MATCH(C4178,$R$5:$R$304,0))&amp;"","?"))</f>
        <v/>
      </c>
      <c r="N4178" s="2" t="str">
        <f aca="false"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 t="str">
        <f aca="false">IF(OR(F4178="",G4178=""),"",IF(G4178&lt;='RETRATO 2027'!$K$5,"CONCLUÍDA",IF(F4178&lt;='RETRATO 2027'!$K$5,"EM ANDAMENTO","A INICIAR")))</f>
        <v/>
      </c>
    </row>
    <row r="4179" customFormat="false" ht="15" hidden="false" customHeight="false" outlineLevel="0" collapsed="false">
      <c r="M4179" s="2" t="str">
        <f aca="false">IF(C4179="","",IFERROR(INDEX($S$5:$S$304,MATCH(C4179,$R$5:$R$304,0))&amp;"","?"))</f>
        <v/>
      </c>
      <c r="N4179" s="2" t="str">
        <f aca="false"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 t="str">
        <f aca="false">IF(OR(F4179="",G4179=""),"",IF(G4179&lt;='RETRATO 2027'!$K$5,"CONCLUÍDA",IF(F4179&lt;='RETRATO 2027'!$K$5,"EM ANDAMENTO","A INICIAR")))</f>
        <v/>
      </c>
    </row>
    <row r="4180" customFormat="false" ht="15" hidden="false" customHeight="false" outlineLevel="0" collapsed="false">
      <c r="M4180" s="2" t="str">
        <f aca="false">IF(C4180="","",IFERROR(INDEX($S$5:$S$304,MATCH(C4180,$R$5:$R$304,0))&amp;"","?"))</f>
        <v/>
      </c>
      <c r="N4180" s="2" t="str">
        <f aca="false"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 t="str">
        <f aca="false">IF(OR(F4180="",G4180=""),"",IF(G4180&lt;='RETRATO 2027'!$K$5,"CONCLUÍDA",IF(F4180&lt;='RETRATO 2027'!$K$5,"EM ANDAMENTO","A INICIAR")))</f>
        <v/>
      </c>
    </row>
    <row r="4181" customFormat="false" ht="15" hidden="false" customHeight="false" outlineLevel="0" collapsed="false">
      <c r="M4181" s="2" t="str">
        <f aca="false">IF(C4181="","",IFERROR(INDEX($S$5:$S$304,MATCH(C4181,$R$5:$R$304,0))&amp;"","?"))</f>
        <v/>
      </c>
      <c r="N4181" s="2" t="str">
        <f aca="false"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 t="str">
        <f aca="false">IF(OR(F4181="",G4181=""),"",IF(G4181&lt;='RETRATO 2027'!$K$5,"CONCLUÍDA",IF(F4181&lt;='RETRATO 2027'!$K$5,"EM ANDAMENTO","A INICIAR")))</f>
        <v/>
      </c>
    </row>
    <row r="4182" customFormat="false" ht="15" hidden="false" customHeight="false" outlineLevel="0" collapsed="false">
      <c r="M4182" s="2" t="str">
        <f aca="false">IF(C4182="","",IFERROR(INDEX($S$5:$S$304,MATCH(C4182,$R$5:$R$304,0))&amp;"","?"))</f>
        <v/>
      </c>
      <c r="N4182" s="2" t="str">
        <f aca="false"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 t="str">
        <f aca="false">IF(OR(F4182="",G4182=""),"",IF(G4182&lt;='RETRATO 2027'!$K$5,"CONCLUÍDA",IF(F4182&lt;='RETRATO 2027'!$K$5,"EM ANDAMENTO","A INICIAR")))</f>
        <v/>
      </c>
    </row>
    <row r="4183" customFormat="false" ht="15" hidden="false" customHeight="false" outlineLevel="0" collapsed="false">
      <c r="M4183" s="2" t="str">
        <f aca="false">IF(C4183="","",IFERROR(INDEX($S$5:$S$304,MATCH(C4183,$R$5:$R$304,0))&amp;"","?"))</f>
        <v/>
      </c>
      <c r="N4183" s="2" t="str">
        <f aca="false"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 t="str">
        <f aca="false">IF(OR(F4183="",G4183=""),"",IF(G4183&lt;='RETRATO 2027'!$K$5,"CONCLUÍDA",IF(F4183&lt;='RETRATO 2027'!$K$5,"EM ANDAMENTO","A INICIAR")))</f>
        <v/>
      </c>
    </row>
    <row r="4184" customFormat="false" ht="15" hidden="false" customHeight="false" outlineLevel="0" collapsed="false">
      <c r="M4184" s="2" t="str">
        <f aca="false">IF(C4184="","",IFERROR(INDEX($S$5:$S$304,MATCH(C4184,$R$5:$R$304,0))&amp;"","?"))</f>
        <v/>
      </c>
      <c r="N4184" s="2" t="str">
        <f aca="false"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 t="str">
        <f aca="false">IF(OR(F4184="",G4184=""),"",IF(G4184&lt;='RETRATO 2027'!$K$5,"CONCLUÍDA",IF(F4184&lt;='RETRATO 2027'!$K$5,"EM ANDAMENTO","A INICIAR")))</f>
        <v/>
      </c>
    </row>
    <row r="4185" customFormat="false" ht="15" hidden="false" customHeight="false" outlineLevel="0" collapsed="false">
      <c r="M4185" s="2" t="str">
        <f aca="false">IF(C4185="","",IFERROR(INDEX($S$5:$S$304,MATCH(C4185,$R$5:$R$304,0))&amp;"","?"))</f>
        <v/>
      </c>
      <c r="N4185" s="2" t="str">
        <f aca="false"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 t="str">
        <f aca="false">IF(OR(F4185="",G4185=""),"",IF(G4185&lt;='RETRATO 2027'!$K$5,"CONCLUÍDA",IF(F4185&lt;='RETRATO 2027'!$K$5,"EM ANDAMENTO","A INICIAR")))</f>
        <v/>
      </c>
    </row>
    <row r="4186" customFormat="false" ht="15" hidden="false" customHeight="false" outlineLevel="0" collapsed="false">
      <c r="M4186" s="2" t="str">
        <f aca="false">IF(C4186="","",IFERROR(INDEX($S$5:$S$304,MATCH(C4186,$R$5:$R$304,0))&amp;"","?"))</f>
        <v/>
      </c>
      <c r="N4186" s="2" t="str">
        <f aca="false"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 t="str">
        <f aca="false">IF(OR(F4186="",G4186=""),"",IF(G4186&lt;='RETRATO 2027'!$K$5,"CONCLUÍDA",IF(F4186&lt;='RETRATO 2027'!$K$5,"EM ANDAMENTO","A INICIAR")))</f>
        <v/>
      </c>
    </row>
    <row r="4187" customFormat="false" ht="15" hidden="false" customHeight="false" outlineLevel="0" collapsed="false">
      <c r="M4187" s="2" t="str">
        <f aca="false">IF(C4187="","",IFERROR(INDEX($S$5:$S$304,MATCH(C4187,$R$5:$R$304,0))&amp;"","?"))</f>
        <v/>
      </c>
      <c r="N4187" s="2" t="str">
        <f aca="false"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 t="str">
        <f aca="false">IF(OR(F4187="",G4187=""),"",IF(G4187&lt;='RETRATO 2027'!$K$5,"CONCLUÍDA",IF(F4187&lt;='RETRATO 2027'!$K$5,"EM ANDAMENTO","A INICIAR")))</f>
        <v/>
      </c>
    </row>
    <row r="4188" customFormat="false" ht="15" hidden="false" customHeight="false" outlineLevel="0" collapsed="false">
      <c r="M4188" s="2" t="str">
        <f aca="false">IF(C4188="","",IFERROR(INDEX($S$5:$S$304,MATCH(C4188,$R$5:$R$304,0))&amp;"","?"))</f>
        <v/>
      </c>
      <c r="N4188" s="2" t="str">
        <f aca="false"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 t="str">
        <f aca="false">IF(OR(F4188="",G4188=""),"",IF(G4188&lt;='RETRATO 2027'!$K$5,"CONCLUÍDA",IF(F4188&lt;='RETRATO 2027'!$K$5,"EM ANDAMENTO","A INICIAR")))</f>
        <v/>
      </c>
    </row>
    <row r="4189" customFormat="false" ht="15" hidden="false" customHeight="false" outlineLevel="0" collapsed="false">
      <c r="M4189" s="2" t="str">
        <f aca="false">IF(C4189="","",IFERROR(INDEX($S$5:$S$304,MATCH(C4189,$R$5:$R$304,0))&amp;"","?"))</f>
        <v/>
      </c>
      <c r="N4189" s="2" t="str">
        <f aca="false"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 t="str">
        <f aca="false">IF(OR(F4189="",G4189=""),"",IF(G4189&lt;='RETRATO 2027'!$K$5,"CONCLUÍDA",IF(F4189&lt;='RETRATO 2027'!$K$5,"EM ANDAMENTO","A INICIAR")))</f>
        <v/>
      </c>
    </row>
    <row r="4190" customFormat="false" ht="15" hidden="false" customHeight="false" outlineLevel="0" collapsed="false">
      <c r="M4190" s="2" t="str">
        <f aca="false">IF(C4190="","",IFERROR(INDEX($S$5:$S$304,MATCH(C4190,$R$5:$R$304,0))&amp;"","?"))</f>
        <v/>
      </c>
      <c r="N4190" s="2" t="str">
        <f aca="false"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 t="str">
        <f aca="false">IF(OR(F4190="",G4190=""),"",IF(G4190&lt;='RETRATO 2027'!$K$5,"CONCLUÍDA",IF(F4190&lt;='RETRATO 2027'!$K$5,"EM ANDAMENTO","A INICIAR")))</f>
        <v/>
      </c>
    </row>
    <row r="4191" customFormat="false" ht="15" hidden="false" customHeight="false" outlineLevel="0" collapsed="false">
      <c r="M4191" s="2" t="str">
        <f aca="false">IF(C4191="","",IFERROR(INDEX($S$5:$S$304,MATCH(C4191,$R$5:$R$304,0))&amp;"","?"))</f>
        <v/>
      </c>
      <c r="N4191" s="2" t="str">
        <f aca="false"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 t="str">
        <f aca="false">IF(OR(F4191="",G4191=""),"",IF(G4191&lt;='RETRATO 2027'!$K$5,"CONCLUÍDA",IF(F4191&lt;='RETRATO 2027'!$K$5,"EM ANDAMENTO","A INICIAR")))</f>
        <v/>
      </c>
    </row>
    <row r="4192" customFormat="false" ht="15" hidden="false" customHeight="false" outlineLevel="0" collapsed="false">
      <c r="M4192" s="2" t="str">
        <f aca="false">IF(C4192="","",IFERROR(INDEX($S$5:$S$304,MATCH(C4192,$R$5:$R$304,0))&amp;"","?"))</f>
        <v/>
      </c>
      <c r="N4192" s="2" t="str">
        <f aca="false"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 t="str">
        <f aca="false">IF(OR(F4192="",G4192=""),"",IF(G4192&lt;='RETRATO 2027'!$K$5,"CONCLUÍDA",IF(F4192&lt;='RETRATO 2027'!$K$5,"EM ANDAMENTO","A INICIAR")))</f>
        <v/>
      </c>
    </row>
    <row r="4193" customFormat="false" ht="15" hidden="false" customHeight="false" outlineLevel="0" collapsed="false">
      <c r="M4193" s="2" t="str">
        <f aca="false">IF(C4193="","",IFERROR(INDEX($S$5:$S$304,MATCH(C4193,$R$5:$R$304,0))&amp;"","?"))</f>
        <v/>
      </c>
      <c r="N4193" s="2" t="str">
        <f aca="false"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 t="str">
        <f aca="false">IF(OR(F4193="",G4193=""),"",IF(G4193&lt;='RETRATO 2027'!$K$5,"CONCLUÍDA",IF(F4193&lt;='RETRATO 2027'!$K$5,"EM ANDAMENTO","A INICIAR")))</f>
        <v/>
      </c>
    </row>
    <row r="4194" customFormat="false" ht="15" hidden="false" customHeight="false" outlineLevel="0" collapsed="false">
      <c r="M4194" s="2" t="str">
        <f aca="false">IF(C4194="","",IFERROR(INDEX($S$5:$S$304,MATCH(C4194,$R$5:$R$304,0))&amp;"","?"))</f>
        <v/>
      </c>
      <c r="N4194" s="2" t="str">
        <f aca="false"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 t="str">
        <f aca="false">IF(OR(F4194="",G4194=""),"",IF(G4194&lt;='RETRATO 2027'!$K$5,"CONCLUÍDA",IF(F4194&lt;='RETRATO 2027'!$K$5,"EM ANDAMENTO","A INICIAR")))</f>
        <v/>
      </c>
    </row>
    <row r="4195" customFormat="false" ht="15" hidden="false" customHeight="false" outlineLevel="0" collapsed="false">
      <c r="M4195" s="2" t="str">
        <f aca="false">IF(C4195="","",IFERROR(INDEX($S$5:$S$304,MATCH(C4195,$R$5:$R$304,0))&amp;"","?"))</f>
        <v/>
      </c>
      <c r="N4195" s="2" t="str">
        <f aca="false"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 t="str">
        <f aca="false">IF(OR(F4195="",G4195=""),"",IF(G4195&lt;='RETRATO 2027'!$K$5,"CONCLUÍDA",IF(F4195&lt;='RETRATO 2027'!$K$5,"EM ANDAMENTO","A INICIAR")))</f>
        <v/>
      </c>
    </row>
    <row r="4196" customFormat="false" ht="15" hidden="false" customHeight="false" outlineLevel="0" collapsed="false">
      <c r="M4196" s="2" t="str">
        <f aca="false">IF(C4196="","",IFERROR(INDEX($S$5:$S$304,MATCH(C4196,$R$5:$R$304,0))&amp;"","?"))</f>
        <v/>
      </c>
      <c r="N4196" s="2" t="str">
        <f aca="false"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 t="str">
        <f aca="false">IF(OR(F4196="",G4196=""),"",IF(G4196&lt;='RETRATO 2027'!$K$5,"CONCLUÍDA",IF(F4196&lt;='RETRATO 2027'!$K$5,"EM ANDAMENTO","A INICIAR")))</f>
        <v/>
      </c>
    </row>
    <row r="4197" customFormat="false" ht="15" hidden="false" customHeight="false" outlineLevel="0" collapsed="false">
      <c r="M4197" s="2" t="str">
        <f aca="false">IF(C4197="","",IFERROR(INDEX($S$5:$S$304,MATCH(C4197,$R$5:$R$304,0))&amp;"","?"))</f>
        <v/>
      </c>
      <c r="N4197" s="2" t="str">
        <f aca="false"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 t="str">
        <f aca="false">IF(OR(F4197="",G4197=""),"",IF(G4197&lt;='RETRATO 2027'!$K$5,"CONCLUÍDA",IF(F4197&lt;='RETRATO 2027'!$K$5,"EM ANDAMENTO","A INICIAR")))</f>
        <v/>
      </c>
    </row>
    <row r="4198" customFormat="false" ht="15" hidden="false" customHeight="false" outlineLevel="0" collapsed="false">
      <c r="M4198" s="2" t="str">
        <f aca="false">IF(C4198="","",IFERROR(INDEX($S$5:$S$304,MATCH(C4198,$R$5:$R$304,0))&amp;"","?"))</f>
        <v/>
      </c>
      <c r="N4198" s="2" t="str">
        <f aca="false"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 t="str">
        <f aca="false">IF(OR(F4198="",G4198=""),"",IF(G4198&lt;='RETRATO 2027'!$K$5,"CONCLUÍDA",IF(F4198&lt;='RETRATO 2027'!$K$5,"EM ANDAMENTO","A INICIAR")))</f>
        <v/>
      </c>
    </row>
    <row r="4199" customFormat="false" ht="15" hidden="false" customHeight="false" outlineLevel="0" collapsed="false">
      <c r="M4199" s="2" t="str">
        <f aca="false">IF(C4199="","",IFERROR(INDEX($S$5:$S$304,MATCH(C4199,$R$5:$R$304,0))&amp;"","?"))</f>
        <v/>
      </c>
      <c r="N4199" s="2" t="str">
        <f aca="false"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 t="str">
        <f aca="false">IF(OR(F4199="",G4199=""),"",IF(G4199&lt;='RETRATO 2027'!$K$5,"CONCLUÍDA",IF(F4199&lt;='RETRATO 2027'!$K$5,"EM ANDAMENTO","A INICIAR")))</f>
        <v/>
      </c>
    </row>
    <row r="4200" customFormat="false" ht="15" hidden="false" customHeight="false" outlineLevel="0" collapsed="false">
      <c r="M4200" s="2" t="str">
        <f aca="false">IF(C4200="","",IFERROR(INDEX($S$5:$S$304,MATCH(C4200,$R$5:$R$304,0))&amp;"","?"))</f>
        <v/>
      </c>
      <c r="N4200" s="2" t="str">
        <f aca="false"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 t="str">
        <f aca="false">IF(OR(F4200="",G4200=""),"",IF(G4200&lt;='RETRATO 2027'!$K$5,"CONCLUÍDA",IF(F4200&lt;='RETRATO 2027'!$K$5,"EM ANDAMENTO","A INICIAR")))</f>
        <v/>
      </c>
    </row>
    <row r="4201" customFormat="false" ht="15" hidden="false" customHeight="false" outlineLevel="0" collapsed="false">
      <c r="M4201" s="2" t="str">
        <f aca="false">IF(C4201="","",IFERROR(INDEX($S$5:$S$304,MATCH(C4201,$R$5:$R$304,0))&amp;"","?"))</f>
        <v/>
      </c>
      <c r="N4201" s="2" t="str">
        <f aca="false"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 t="str">
        <f aca="false">IF(OR(F4201="",G4201=""),"",IF(G4201&lt;='RETRATO 2027'!$K$5,"CONCLUÍDA",IF(F4201&lt;='RETRATO 2027'!$K$5,"EM ANDAMENTO","A INICIAR")))</f>
        <v/>
      </c>
    </row>
    <row r="4202" customFormat="false" ht="15" hidden="false" customHeight="false" outlineLevel="0" collapsed="false">
      <c r="M4202" s="2" t="str">
        <f aca="false">IF(C4202="","",IFERROR(INDEX($S$5:$S$304,MATCH(C4202,$R$5:$R$304,0))&amp;"","?"))</f>
        <v/>
      </c>
      <c r="N4202" s="2" t="str">
        <f aca="false"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 t="str">
        <f aca="false">IF(OR(F4202="",G4202=""),"",IF(G4202&lt;='RETRATO 2027'!$K$5,"CONCLUÍDA",IF(F4202&lt;='RETRATO 2027'!$K$5,"EM ANDAMENTO","A INICIAR")))</f>
        <v/>
      </c>
    </row>
    <row r="4203" customFormat="false" ht="15" hidden="false" customHeight="false" outlineLevel="0" collapsed="false">
      <c r="M4203" s="2" t="str">
        <f aca="false">IF(C4203="","",IFERROR(INDEX($S$5:$S$304,MATCH(C4203,$R$5:$R$304,0))&amp;"","?"))</f>
        <v/>
      </c>
      <c r="N4203" s="2" t="str">
        <f aca="false"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 t="str">
        <f aca="false">IF(OR(F4203="",G4203=""),"",IF(G4203&lt;='RETRATO 2027'!$K$5,"CONCLUÍDA",IF(F4203&lt;='RETRATO 2027'!$K$5,"EM ANDAMENTO","A INICIAR")))</f>
        <v/>
      </c>
    </row>
    <row r="4204" customFormat="false" ht="15" hidden="false" customHeight="false" outlineLevel="0" collapsed="false">
      <c r="M4204" s="2" t="str">
        <f aca="false">IF(C4204="","",IFERROR(INDEX($S$5:$S$304,MATCH(C4204,$R$5:$R$304,0))&amp;"","?"))</f>
        <v/>
      </c>
      <c r="N4204" s="2" t="str">
        <f aca="false"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 t="str">
        <f aca="false">IF(OR(F4204="",G4204=""),"",IF(G4204&lt;='RETRATO 2027'!$K$5,"CONCLUÍDA",IF(F4204&lt;='RETRATO 2027'!$K$5,"EM ANDAMENTO","A INICIAR")))</f>
        <v/>
      </c>
    </row>
    <row r="4205" customFormat="false" ht="15" hidden="false" customHeight="false" outlineLevel="0" collapsed="false">
      <c r="M4205" s="2" t="str">
        <f aca="false">IF(C4205="","",IFERROR(INDEX($S$5:$S$304,MATCH(C4205,$R$5:$R$304,0))&amp;"","?"))</f>
        <v/>
      </c>
      <c r="N4205" s="2" t="str">
        <f aca="false"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 t="str">
        <f aca="false">IF(OR(F4205="",G4205=""),"",IF(G4205&lt;='RETRATO 2027'!$K$5,"CONCLUÍDA",IF(F4205&lt;='RETRATO 2027'!$K$5,"EM ANDAMENTO","A INICIAR")))</f>
        <v/>
      </c>
    </row>
    <row r="4206" customFormat="false" ht="15" hidden="false" customHeight="false" outlineLevel="0" collapsed="false">
      <c r="M4206" s="2" t="str">
        <f aca="false">IF(C4206="","",IFERROR(INDEX($S$5:$S$304,MATCH(C4206,$R$5:$R$304,0))&amp;"","?"))</f>
        <v/>
      </c>
      <c r="N4206" s="2" t="str">
        <f aca="false"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 t="str">
        <f aca="false">IF(OR(F4206="",G4206=""),"",IF(G4206&lt;='RETRATO 2027'!$K$5,"CONCLUÍDA",IF(F4206&lt;='RETRATO 2027'!$K$5,"EM ANDAMENTO","A INICIAR")))</f>
        <v/>
      </c>
    </row>
    <row r="4207" customFormat="false" ht="15" hidden="false" customHeight="false" outlineLevel="0" collapsed="false">
      <c r="M4207" s="2" t="str">
        <f aca="false">IF(C4207="","",IFERROR(INDEX($S$5:$S$304,MATCH(C4207,$R$5:$R$304,0))&amp;"","?"))</f>
        <v/>
      </c>
      <c r="N4207" s="2" t="str">
        <f aca="false"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 t="str">
        <f aca="false">IF(OR(F4207="",G4207=""),"",IF(G4207&lt;='RETRATO 2027'!$K$5,"CONCLUÍDA",IF(F4207&lt;='RETRATO 2027'!$K$5,"EM ANDAMENTO","A INICIAR")))</f>
        <v/>
      </c>
    </row>
    <row r="4208" customFormat="false" ht="15" hidden="false" customHeight="false" outlineLevel="0" collapsed="false">
      <c r="M4208" s="2" t="str">
        <f aca="false">IF(C4208="","",IFERROR(INDEX($S$5:$S$304,MATCH(C4208,$R$5:$R$304,0))&amp;"","?"))</f>
        <v/>
      </c>
      <c r="N4208" s="2" t="str">
        <f aca="false"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 t="str">
        <f aca="false">IF(OR(F4208="",G4208=""),"",IF(G4208&lt;='RETRATO 2027'!$K$5,"CONCLUÍDA",IF(F4208&lt;='RETRATO 2027'!$K$5,"EM ANDAMENTO","A INICIAR")))</f>
        <v/>
      </c>
    </row>
    <row r="4209" customFormat="false" ht="15" hidden="false" customHeight="false" outlineLevel="0" collapsed="false">
      <c r="M4209" s="2" t="str">
        <f aca="false">IF(C4209="","",IFERROR(INDEX($S$5:$S$304,MATCH(C4209,$R$5:$R$304,0))&amp;"","?"))</f>
        <v/>
      </c>
      <c r="N4209" s="2" t="str">
        <f aca="false"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 t="str">
        <f aca="false">IF(OR(F4209="",G4209=""),"",IF(G4209&lt;='RETRATO 2027'!$K$5,"CONCLUÍDA",IF(F4209&lt;='RETRATO 2027'!$K$5,"EM ANDAMENTO","A INICIAR")))</f>
        <v/>
      </c>
    </row>
    <row r="4210" customFormat="false" ht="15" hidden="false" customHeight="false" outlineLevel="0" collapsed="false">
      <c r="M4210" s="2" t="str">
        <f aca="false">IF(C4210="","",IFERROR(INDEX($S$5:$S$304,MATCH(C4210,$R$5:$R$304,0))&amp;"","?"))</f>
        <v/>
      </c>
      <c r="N4210" s="2" t="str">
        <f aca="false"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 t="str">
        <f aca="false">IF(OR(F4210="",G4210=""),"",IF(G4210&lt;='RETRATO 2027'!$K$5,"CONCLUÍDA",IF(F4210&lt;='RETRATO 2027'!$K$5,"EM ANDAMENTO","A INICIAR")))</f>
        <v/>
      </c>
    </row>
    <row r="4211" customFormat="false" ht="15" hidden="false" customHeight="false" outlineLevel="0" collapsed="false">
      <c r="M4211" s="2" t="str">
        <f aca="false">IF(C4211="","",IFERROR(INDEX($S$5:$S$304,MATCH(C4211,$R$5:$R$304,0))&amp;"","?"))</f>
        <v/>
      </c>
      <c r="N4211" s="2" t="str">
        <f aca="false"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 t="str">
        <f aca="false">IF(OR(F4211="",G4211=""),"",IF(G4211&lt;='RETRATO 2027'!$K$5,"CONCLUÍDA",IF(F4211&lt;='RETRATO 2027'!$K$5,"EM ANDAMENTO","A INICIAR")))</f>
        <v/>
      </c>
    </row>
    <row r="4212" customFormat="false" ht="15" hidden="false" customHeight="false" outlineLevel="0" collapsed="false">
      <c r="M4212" s="2" t="str">
        <f aca="false">IF(C4212="","",IFERROR(INDEX($S$5:$S$304,MATCH(C4212,$R$5:$R$304,0))&amp;"","?"))</f>
        <v/>
      </c>
      <c r="N4212" s="2" t="str">
        <f aca="false"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 t="str">
        <f aca="false">IF(OR(F4212="",G4212=""),"",IF(G4212&lt;='RETRATO 2027'!$K$5,"CONCLUÍDA",IF(F4212&lt;='RETRATO 2027'!$K$5,"EM ANDAMENTO","A INICIAR")))</f>
        <v/>
      </c>
    </row>
    <row r="4213" customFormat="false" ht="15" hidden="false" customHeight="false" outlineLevel="0" collapsed="false">
      <c r="M4213" s="2" t="str">
        <f aca="false">IF(C4213="","",IFERROR(INDEX($S$5:$S$304,MATCH(C4213,$R$5:$R$304,0))&amp;"","?"))</f>
        <v/>
      </c>
      <c r="N4213" s="2" t="str">
        <f aca="false"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 t="str">
        <f aca="false">IF(OR(F4213="",G4213=""),"",IF(G4213&lt;='RETRATO 2027'!$K$5,"CONCLUÍDA",IF(F4213&lt;='RETRATO 2027'!$K$5,"EM ANDAMENTO","A INICIAR")))</f>
        <v/>
      </c>
    </row>
    <row r="4214" customFormat="false" ht="15" hidden="false" customHeight="false" outlineLevel="0" collapsed="false">
      <c r="M4214" s="2" t="str">
        <f aca="false">IF(C4214="","",IFERROR(INDEX($S$5:$S$304,MATCH(C4214,$R$5:$R$304,0))&amp;"","?"))</f>
        <v/>
      </c>
      <c r="N4214" s="2" t="str">
        <f aca="false"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 t="str">
        <f aca="false">IF(OR(F4214="",G4214=""),"",IF(G4214&lt;='RETRATO 2027'!$K$5,"CONCLUÍDA",IF(F4214&lt;='RETRATO 2027'!$K$5,"EM ANDAMENTO","A INICIAR")))</f>
        <v/>
      </c>
    </row>
    <row r="4215" customFormat="false" ht="15" hidden="false" customHeight="false" outlineLevel="0" collapsed="false">
      <c r="M4215" s="2" t="str">
        <f aca="false">IF(C4215="","",IFERROR(INDEX($S$5:$S$304,MATCH(C4215,$R$5:$R$304,0))&amp;"","?"))</f>
        <v/>
      </c>
      <c r="N4215" s="2" t="str">
        <f aca="false"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 t="str">
        <f aca="false">IF(OR(F4215="",G4215=""),"",IF(G4215&lt;='RETRATO 2027'!$K$5,"CONCLUÍDA",IF(F4215&lt;='RETRATO 2027'!$K$5,"EM ANDAMENTO","A INICIAR")))</f>
        <v/>
      </c>
    </row>
    <row r="4216" customFormat="false" ht="15" hidden="false" customHeight="false" outlineLevel="0" collapsed="false">
      <c r="M4216" s="2" t="str">
        <f aca="false">IF(C4216="","",IFERROR(INDEX($S$5:$S$304,MATCH(C4216,$R$5:$R$304,0))&amp;"","?"))</f>
        <v/>
      </c>
      <c r="N4216" s="2" t="str">
        <f aca="false"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 t="str">
        <f aca="false">IF(OR(F4216="",G4216=""),"",IF(G4216&lt;='RETRATO 2027'!$K$5,"CONCLUÍDA",IF(F4216&lt;='RETRATO 2027'!$K$5,"EM ANDAMENTO","A INICIAR")))</f>
        <v/>
      </c>
    </row>
    <row r="4217" customFormat="false" ht="15" hidden="false" customHeight="false" outlineLevel="0" collapsed="false">
      <c r="M4217" s="2" t="str">
        <f aca="false">IF(C4217="","",IFERROR(INDEX($S$5:$S$304,MATCH(C4217,$R$5:$R$304,0))&amp;"","?"))</f>
        <v/>
      </c>
      <c r="N4217" s="2" t="str">
        <f aca="false"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 t="str">
        <f aca="false">IF(OR(F4217="",G4217=""),"",IF(G4217&lt;='RETRATO 2027'!$K$5,"CONCLUÍDA",IF(F4217&lt;='RETRATO 2027'!$K$5,"EM ANDAMENTO","A INICIAR")))</f>
        <v/>
      </c>
    </row>
    <row r="4218" customFormat="false" ht="15" hidden="false" customHeight="false" outlineLevel="0" collapsed="false">
      <c r="M4218" s="2" t="str">
        <f aca="false">IF(C4218="","",IFERROR(INDEX($S$5:$S$304,MATCH(C4218,$R$5:$R$304,0))&amp;"","?"))</f>
        <v/>
      </c>
      <c r="N4218" s="2" t="str">
        <f aca="false"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 t="str">
        <f aca="false">IF(OR(F4218="",G4218=""),"",IF(G4218&lt;='RETRATO 2027'!$K$5,"CONCLUÍDA",IF(F4218&lt;='RETRATO 2027'!$K$5,"EM ANDAMENTO","A INICIAR")))</f>
        <v/>
      </c>
    </row>
    <row r="4219" customFormat="false" ht="15" hidden="false" customHeight="false" outlineLevel="0" collapsed="false">
      <c r="M4219" s="2" t="str">
        <f aca="false">IF(C4219="","",IFERROR(INDEX($S$5:$S$304,MATCH(C4219,$R$5:$R$304,0))&amp;"","?"))</f>
        <v/>
      </c>
      <c r="N4219" s="2" t="str">
        <f aca="false"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 t="str">
        <f aca="false">IF(OR(F4219="",G4219=""),"",IF(G4219&lt;='RETRATO 2027'!$K$5,"CONCLUÍDA",IF(F4219&lt;='RETRATO 2027'!$K$5,"EM ANDAMENTO","A INICIAR")))</f>
        <v/>
      </c>
    </row>
    <row r="4220" customFormat="false" ht="15" hidden="false" customHeight="false" outlineLevel="0" collapsed="false">
      <c r="M4220" s="2" t="str">
        <f aca="false">IF(C4220="","",IFERROR(INDEX($S$5:$S$304,MATCH(C4220,$R$5:$R$304,0))&amp;"","?"))</f>
        <v/>
      </c>
      <c r="N4220" s="2" t="str">
        <f aca="false"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 t="str">
        <f aca="false">IF(OR(F4220="",G4220=""),"",IF(G4220&lt;='RETRATO 2027'!$K$5,"CONCLUÍDA",IF(F4220&lt;='RETRATO 2027'!$K$5,"EM ANDAMENTO","A INICIAR")))</f>
        <v/>
      </c>
    </row>
    <row r="4221" customFormat="false" ht="15" hidden="false" customHeight="false" outlineLevel="0" collapsed="false">
      <c r="M4221" s="2" t="str">
        <f aca="false">IF(C4221="","",IFERROR(INDEX($S$5:$S$304,MATCH(C4221,$R$5:$R$304,0))&amp;"","?"))</f>
        <v/>
      </c>
      <c r="N4221" s="2" t="str">
        <f aca="false"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 t="str">
        <f aca="false">IF(OR(F4221="",G4221=""),"",IF(G4221&lt;='RETRATO 2027'!$K$5,"CONCLUÍDA",IF(F4221&lt;='RETRATO 2027'!$K$5,"EM ANDAMENTO","A INICIAR")))</f>
        <v/>
      </c>
    </row>
    <row r="4222" customFormat="false" ht="15" hidden="false" customHeight="false" outlineLevel="0" collapsed="false">
      <c r="M4222" s="2" t="str">
        <f aca="false">IF(C4222="","",IFERROR(INDEX($S$5:$S$304,MATCH(C4222,$R$5:$R$304,0))&amp;"","?"))</f>
        <v/>
      </c>
      <c r="N4222" s="2" t="str">
        <f aca="false"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 t="str">
        <f aca="false">IF(OR(F4222="",G4222=""),"",IF(G4222&lt;='RETRATO 2027'!$K$5,"CONCLUÍDA",IF(F4222&lt;='RETRATO 2027'!$K$5,"EM ANDAMENTO","A INICIAR")))</f>
        <v/>
      </c>
    </row>
    <row r="4223" customFormat="false" ht="15" hidden="false" customHeight="false" outlineLevel="0" collapsed="false">
      <c r="M4223" s="2" t="str">
        <f aca="false">IF(C4223="","",IFERROR(INDEX($S$5:$S$304,MATCH(C4223,$R$5:$R$304,0))&amp;"","?"))</f>
        <v/>
      </c>
      <c r="N4223" s="2" t="str">
        <f aca="false"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 t="str">
        <f aca="false">IF(OR(F4223="",G4223=""),"",IF(G4223&lt;='RETRATO 2027'!$K$5,"CONCLUÍDA",IF(F4223&lt;='RETRATO 2027'!$K$5,"EM ANDAMENTO","A INICIAR")))</f>
        <v/>
      </c>
    </row>
    <row r="4224" customFormat="false" ht="15" hidden="false" customHeight="false" outlineLevel="0" collapsed="false">
      <c r="M4224" s="2" t="str">
        <f aca="false">IF(C4224="","",IFERROR(INDEX($S$5:$S$304,MATCH(C4224,$R$5:$R$304,0))&amp;"","?"))</f>
        <v/>
      </c>
      <c r="N4224" s="2" t="str">
        <f aca="false"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 t="str">
        <f aca="false">IF(OR(F4224="",G4224=""),"",IF(G4224&lt;='RETRATO 2027'!$K$5,"CONCLUÍDA",IF(F4224&lt;='RETRATO 2027'!$K$5,"EM ANDAMENTO","A INICIAR")))</f>
        <v/>
      </c>
    </row>
    <row r="4225" customFormat="false" ht="15" hidden="false" customHeight="false" outlineLevel="0" collapsed="false">
      <c r="M4225" s="2" t="str">
        <f aca="false">IF(C4225="","",IFERROR(INDEX($S$5:$S$304,MATCH(C4225,$R$5:$R$304,0))&amp;"","?"))</f>
        <v/>
      </c>
      <c r="N4225" s="2" t="str">
        <f aca="false"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 t="str">
        <f aca="false">IF(OR(F4225="",G4225=""),"",IF(G4225&lt;='RETRATO 2027'!$K$5,"CONCLUÍDA",IF(F4225&lt;='RETRATO 2027'!$K$5,"EM ANDAMENTO","A INICIAR")))</f>
        <v/>
      </c>
    </row>
    <row r="4226" customFormat="false" ht="15" hidden="false" customHeight="false" outlineLevel="0" collapsed="false">
      <c r="M4226" s="2" t="str">
        <f aca="false">IF(C4226="","",IFERROR(INDEX($S$5:$S$304,MATCH(C4226,$R$5:$R$304,0))&amp;"","?"))</f>
        <v/>
      </c>
      <c r="N4226" s="2" t="str">
        <f aca="false"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 t="str">
        <f aca="false">IF(OR(F4226="",G4226=""),"",IF(G4226&lt;='RETRATO 2027'!$K$5,"CONCLUÍDA",IF(F4226&lt;='RETRATO 2027'!$K$5,"EM ANDAMENTO","A INICIAR")))</f>
        <v/>
      </c>
    </row>
    <row r="4227" customFormat="false" ht="15" hidden="false" customHeight="false" outlineLevel="0" collapsed="false">
      <c r="M4227" s="2" t="str">
        <f aca="false">IF(C4227="","",IFERROR(INDEX($S$5:$S$304,MATCH(C4227,$R$5:$R$304,0))&amp;"","?"))</f>
        <v/>
      </c>
      <c r="N4227" s="2" t="str">
        <f aca="false"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 t="str">
        <f aca="false">IF(OR(F4227="",G4227=""),"",IF(G4227&lt;='RETRATO 2027'!$K$5,"CONCLUÍDA",IF(F4227&lt;='RETRATO 2027'!$K$5,"EM ANDAMENTO","A INICIAR")))</f>
        <v/>
      </c>
    </row>
    <row r="4228" customFormat="false" ht="15" hidden="false" customHeight="false" outlineLevel="0" collapsed="false">
      <c r="M4228" s="2" t="str">
        <f aca="false">IF(C4228="","",IFERROR(INDEX($S$5:$S$304,MATCH(C4228,$R$5:$R$304,0))&amp;"","?"))</f>
        <v/>
      </c>
      <c r="N4228" s="2" t="str">
        <f aca="false"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 t="str">
        <f aca="false">IF(OR(F4228="",G4228=""),"",IF(G4228&lt;='RETRATO 2027'!$K$5,"CONCLUÍDA",IF(F4228&lt;='RETRATO 2027'!$K$5,"EM ANDAMENTO","A INICIAR")))</f>
        <v/>
      </c>
    </row>
    <row r="4229" customFormat="false" ht="15" hidden="false" customHeight="false" outlineLevel="0" collapsed="false">
      <c r="M4229" s="2" t="str">
        <f aca="false">IF(C4229="","",IFERROR(INDEX($S$5:$S$304,MATCH(C4229,$R$5:$R$304,0))&amp;"","?"))</f>
        <v/>
      </c>
      <c r="N4229" s="2" t="str">
        <f aca="false"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 t="str">
        <f aca="false">IF(OR(F4229="",G4229=""),"",IF(G4229&lt;='RETRATO 2027'!$K$5,"CONCLUÍDA",IF(F4229&lt;='RETRATO 2027'!$K$5,"EM ANDAMENTO","A INICIAR")))</f>
        <v/>
      </c>
    </row>
    <row r="4230" customFormat="false" ht="15" hidden="false" customHeight="false" outlineLevel="0" collapsed="false">
      <c r="M4230" s="2" t="str">
        <f aca="false">IF(C4230="","",IFERROR(INDEX($S$5:$S$304,MATCH(C4230,$R$5:$R$304,0))&amp;"","?"))</f>
        <v/>
      </c>
      <c r="N4230" s="2" t="str">
        <f aca="false"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 t="str">
        <f aca="false">IF(OR(F4230="",G4230=""),"",IF(G4230&lt;='RETRATO 2027'!$K$5,"CONCLUÍDA",IF(F4230&lt;='RETRATO 2027'!$K$5,"EM ANDAMENTO","A INICIAR")))</f>
        <v/>
      </c>
    </row>
    <row r="4231" customFormat="false" ht="15" hidden="false" customHeight="false" outlineLevel="0" collapsed="false">
      <c r="M4231" s="2" t="str">
        <f aca="false">IF(C4231="","",IFERROR(INDEX($S$5:$S$304,MATCH(C4231,$R$5:$R$304,0))&amp;"","?"))</f>
        <v/>
      </c>
      <c r="N4231" s="2" t="str">
        <f aca="false"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 t="str">
        <f aca="false">IF(OR(F4231="",G4231=""),"",IF(G4231&lt;='RETRATO 2027'!$K$5,"CONCLUÍDA",IF(F4231&lt;='RETRATO 2027'!$K$5,"EM ANDAMENTO","A INICIAR")))</f>
        <v/>
      </c>
    </row>
    <row r="4232" customFormat="false" ht="15" hidden="false" customHeight="false" outlineLevel="0" collapsed="false">
      <c r="M4232" s="2" t="str">
        <f aca="false">IF(C4232="","",IFERROR(INDEX($S$5:$S$304,MATCH(C4232,$R$5:$R$304,0))&amp;"","?"))</f>
        <v/>
      </c>
      <c r="N4232" s="2" t="str">
        <f aca="false"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 t="str">
        <f aca="false">IF(OR(F4232="",G4232=""),"",IF(G4232&lt;='RETRATO 2027'!$K$5,"CONCLUÍDA",IF(F4232&lt;='RETRATO 2027'!$K$5,"EM ANDAMENTO","A INICIAR")))</f>
        <v/>
      </c>
    </row>
    <row r="4233" customFormat="false" ht="15" hidden="false" customHeight="false" outlineLevel="0" collapsed="false">
      <c r="M4233" s="2" t="str">
        <f aca="false">IF(C4233="","",IFERROR(INDEX($S$5:$S$304,MATCH(C4233,$R$5:$R$304,0))&amp;"","?"))</f>
        <v/>
      </c>
      <c r="N4233" s="2" t="str">
        <f aca="false"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 t="str">
        <f aca="false">IF(OR(F4233="",G4233=""),"",IF(G4233&lt;='RETRATO 2027'!$K$5,"CONCLUÍDA",IF(F4233&lt;='RETRATO 2027'!$K$5,"EM ANDAMENTO","A INICIAR")))</f>
        <v/>
      </c>
    </row>
    <row r="4234" customFormat="false" ht="15" hidden="false" customHeight="false" outlineLevel="0" collapsed="false">
      <c r="M4234" s="2" t="str">
        <f aca="false">IF(C4234="","",IFERROR(INDEX($S$5:$S$304,MATCH(C4234,$R$5:$R$304,0))&amp;"","?"))</f>
        <v/>
      </c>
      <c r="N4234" s="2" t="str">
        <f aca="false"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 t="str">
        <f aca="false">IF(OR(F4234="",G4234=""),"",IF(G4234&lt;='RETRATO 2027'!$K$5,"CONCLUÍDA",IF(F4234&lt;='RETRATO 2027'!$K$5,"EM ANDAMENTO","A INICIAR")))</f>
        <v/>
      </c>
    </row>
    <row r="4235" customFormat="false" ht="15" hidden="false" customHeight="false" outlineLevel="0" collapsed="false">
      <c r="M4235" s="2" t="str">
        <f aca="false">IF(C4235="","",IFERROR(INDEX($S$5:$S$304,MATCH(C4235,$R$5:$R$304,0))&amp;"","?"))</f>
        <v/>
      </c>
      <c r="N4235" s="2" t="str">
        <f aca="false"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 t="str">
        <f aca="false">IF(OR(F4235="",G4235=""),"",IF(G4235&lt;='RETRATO 2027'!$K$5,"CONCLUÍDA",IF(F4235&lt;='RETRATO 2027'!$K$5,"EM ANDAMENTO","A INICIAR")))</f>
        <v/>
      </c>
    </row>
    <row r="4236" customFormat="false" ht="15" hidden="false" customHeight="false" outlineLevel="0" collapsed="false">
      <c r="M4236" s="2" t="str">
        <f aca="false">IF(C4236="","",IFERROR(INDEX($S$5:$S$304,MATCH(C4236,$R$5:$R$304,0))&amp;"","?"))</f>
        <v/>
      </c>
      <c r="N4236" s="2" t="str">
        <f aca="false"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 t="str">
        <f aca="false">IF(OR(F4236="",G4236=""),"",IF(G4236&lt;='RETRATO 2027'!$K$5,"CONCLUÍDA",IF(F4236&lt;='RETRATO 2027'!$K$5,"EM ANDAMENTO","A INICIAR")))</f>
        <v/>
      </c>
    </row>
    <row r="4237" customFormat="false" ht="15" hidden="false" customHeight="false" outlineLevel="0" collapsed="false">
      <c r="M4237" s="2" t="str">
        <f aca="false">IF(C4237="","",IFERROR(INDEX($S$5:$S$304,MATCH(C4237,$R$5:$R$304,0))&amp;"","?"))</f>
        <v/>
      </c>
      <c r="N4237" s="2" t="str">
        <f aca="false"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 t="str">
        <f aca="false">IF(OR(F4237="",G4237=""),"",IF(G4237&lt;='RETRATO 2027'!$K$5,"CONCLUÍDA",IF(F4237&lt;='RETRATO 2027'!$K$5,"EM ANDAMENTO","A INICIAR")))</f>
        <v/>
      </c>
    </row>
    <row r="4238" customFormat="false" ht="15" hidden="false" customHeight="false" outlineLevel="0" collapsed="false">
      <c r="M4238" s="2" t="str">
        <f aca="false">IF(C4238="","",IFERROR(INDEX($S$5:$S$304,MATCH(C4238,$R$5:$R$304,0))&amp;"","?"))</f>
        <v/>
      </c>
      <c r="N4238" s="2" t="str">
        <f aca="false"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 t="str">
        <f aca="false">IF(OR(F4238="",G4238=""),"",IF(G4238&lt;='RETRATO 2027'!$K$5,"CONCLUÍDA",IF(F4238&lt;='RETRATO 2027'!$K$5,"EM ANDAMENTO","A INICIAR")))</f>
        <v/>
      </c>
    </row>
    <row r="4239" customFormat="false" ht="15" hidden="false" customHeight="false" outlineLevel="0" collapsed="false">
      <c r="M4239" s="2" t="str">
        <f aca="false">IF(C4239="","",IFERROR(INDEX($S$5:$S$304,MATCH(C4239,$R$5:$R$304,0))&amp;"","?"))</f>
        <v/>
      </c>
      <c r="N4239" s="2" t="str">
        <f aca="false"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 t="str">
        <f aca="false">IF(OR(F4239="",G4239=""),"",IF(G4239&lt;='RETRATO 2027'!$K$5,"CONCLUÍDA",IF(F4239&lt;='RETRATO 2027'!$K$5,"EM ANDAMENTO","A INICIAR")))</f>
        <v/>
      </c>
    </row>
    <row r="4240" customFormat="false" ht="15" hidden="false" customHeight="false" outlineLevel="0" collapsed="false">
      <c r="M4240" s="2" t="str">
        <f aca="false">IF(C4240="","",IFERROR(INDEX($S$5:$S$304,MATCH(C4240,$R$5:$R$304,0))&amp;"","?"))</f>
        <v/>
      </c>
      <c r="N4240" s="2" t="str">
        <f aca="false"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 t="str">
        <f aca="false">IF(OR(F4240="",G4240=""),"",IF(G4240&lt;='RETRATO 2027'!$K$5,"CONCLUÍDA",IF(F4240&lt;='RETRATO 2027'!$K$5,"EM ANDAMENTO","A INICIAR")))</f>
        <v/>
      </c>
    </row>
    <row r="4241" customFormat="false" ht="15" hidden="false" customHeight="false" outlineLevel="0" collapsed="false">
      <c r="M4241" s="2" t="str">
        <f aca="false">IF(C4241="","",IFERROR(INDEX($S$5:$S$304,MATCH(C4241,$R$5:$R$304,0))&amp;"","?"))</f>
        <v/>
      </c>
      <c r="N4241" s="2" t="str">
        <f aca="false"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 t="str">
        <f aca="false">IF(OR(F4241="",G4241=""),"",IF(G4241&lt;='RETRATO 2027'!$K$5,"CONCLUÍDA",IF(F4241&lt;='RETRATO 2027'!$K$5,"EM ANDAMENTO","A INICIAR")))</f>
        <v/>
      </c>
    </row>
    <row r="4242" customFormat="false" ht="15" hidden="false" customHeight="false" outlineLevel="0" collapsed="false">
      <c r="M4242" s="2" t="str">
        <f aca="false">IF(C4242="","",IFERROR(INDEX($S$5:$S$304,MATCH(C4242,$R$5:$R$304,0))&amp;"","?"))</f>
        <v/>
      </c>
      <c r="N4242" s="2" t="str">
        <f aca="false"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 t="str">
        <f aca="false">IF(OR(F4242="",G4242=""),"",IF(G4242&lt;='RETRATO 2027'!$K$5,"CONCLUÍDA",IF(F4242&lt;='RETRATO 2027'!$K$5,"EM ANDAMENTO","A INICIAR")))</f>
        <v/>
      </c>
    </row>
    <row r="4243" customFormat="false" ht="15" hidden="false" customHeight="false" outlineLevel="0" collapsed="false">
      <c r="M4243" s="2" t="str">
        <f aca="false">IF(C4243="","",IFERROR(INDEX($S$5:$S$304,MATCH(C4243,$R$5:$R$304,0))&amp;"","?"))</f>
        <v/>
      </c>
      <c r="N4243" s="2" t="str">
        <f aca="false"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 t="str">
        <f aca="false">IF(OR(F4243="",G4243=""),"",IF(G4243&lt;='RETRATO 2027'!$K$5,"CONCLUÍDA",IF(F4243&lt;='RETRATO 2027'!$K$5,"EM ANDAMENTO","A INICIAR")))</f>
        <v/>
      </c>
    </row>
    <row r="4244" customFormat="false" ht="15" hidden="false" customHeight="false" outlineLevel="0" collapsed="false">
      <c r="M4244" s="2" t="str">
        <f aca="false">IF(C4244="","",IFERROR(INDEX($S$5:$S$304,MATCH(C4244,$R$5:$R$304,0))&amp;"","?"))</f>
        <v/>
      </c>
      <c r="N4244" s="2" t="str">
        <f aca="false"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 t="str">
        <f aca="false">IF(OR(F4244="",G4244=""),"",IF(G4244&lt;='RETRATO 2027'!$K$5,"CONCLUÍDA",IF(F4244&lt;='RETRATO 2027'!$K$5,"EM ANDAMENTO","A INICIAR")))</f>
        <v/>
      </c>
    </row>
    <row r="4245" customFormat="false" ht="15" hidden="false" customHeight="false" outlineLevel="0" collapsed="false">
      <c r="M4245" s="2" t="str">
        <f aca="false">IF(C4245="","",IFERROR(INDEX($S$5:$S$304,MATCH(C4245,$R$5:$R$304,0))&amp;"","?"))</f>
        <v/>
      </c>
      <c r="N4245" s="2" t="str">
        <f aca="false"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 t="str">
        <f aca="false">IF(OR(F4245="",G4245=""),"",IF(G4245&lt;='RETRATO 2027'!$K$5,"CONCLUÍDA",IF(F4245&lt;='RETRATO 2027'!$K$5,"EM ANDAMENTO","A INICIAR")))</f>
        <v/>
      </c>
    </row>
    <row r="4246" customFormat="false" ht="15" hidden="false" customHeight="false" outlineLevel="0" collapsed="false">
      <c r="M4246" s="2" t="str">
        <f aca="false">IF(C4246="","",IFERROR(INDEX($S$5:$S$304,MATCH(C4246,$R$5:$R$304,0))&amp;"","?"))</f>
        <v/>
      </c>
      <c r="N4246" s="2" t="str">
        <f aca="false"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 t="str">
        <f aca="false">IF(OR(F4246="",G4246=""),"",IF(G4246&lt;='RETRATO 2027'!$K$5,"CONCLUÍDA",IF(F4246&lt;='RETRATO 2027'!$K$5,"EM ANDAMENTO","A INICIAR")))</f>
        <v/>
      </c>
    </row>
    <row r="4247" customFormat="false" ht="15" hidden="false" customHeight="false" outlineLevel="0" collapsed="false">
      <c r="M4247" s="2" t="str">
        <f aca="false">IF(C4247="","",IFERROR(INDEX($S$5:$S$304,MATCH(C4247,$R$5:$R$304,0))&amp;"","?"))</f>
        <v/>
      </c>
      <c r="N4247" s="2" t="str">
        <f aca="false"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 t="str">
        <f aca="false">IF(OR(F4247="",G4247=""),"",IF(G4247&lt;='RETRATO 2027'!$K$5,"CONCLUÍDA",IF(F4247&lt;='RETRATO 2027'!$K$5,"EM ANDAMENTO","A INICIAR")))</f>
        <v/>
      </c>
    </row>
    <row r="4248" customFormat="false" ht="15" hidden="false" customHeight="false" outlineLevel="0" collapsed="false">
      <c r="M4248" s="2" t="str">
        <f aca="false">IF(C4248="","",IFERROR(INDEX($S$5:$S$304,MATCH(C4248,$R$5:$R$304,0))&amp;"","?"))</f>
        <v/>
      </c>
      <c r="N4248" s="2" t="str">
        <f aca="false"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 t="str">
        <f aca="false">IF(OR(F4248="",G4248=""),"",IF(G4248&lt;='RETRATO 2027'!$K$5,"CONCLUÍDA",IF(F4248&lt;='RETRATO 2027'!$K$5,"EM ANDAMENTO","A INICIAR")))</f>
        <v/>
      </c>
    </row>
    <row r="4249" customFormat="false" ht="15" hidden="false" customHeight="false" outlineLevel="0" collapsed="false">
      <c r="M4249" s="2" t="str">
        <f aca="false">IF(C4249="","",IFERROR(INDEX($S$5:$S$304,MATCH(C4249,$R$5:$R$304,0))&amp;"","?"))</f>
        <v/>
      </c>
      <c r="N4249" s="2" t="str">
        <f aca="false"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 t="str">
        <f aca="false">IF(OR(F4249="",G4249=""),"",IF(G4249&lt;='RETRATO 2027'!$K$5,"CONCLUÍDA",IF(F4249&lt;='RETRATO 2027'!$K$5,"EM ANDAMENTO","A INICIAR")))</f>
        <v/>
      </c>
    </row>
    <row r="4250" customFormat="false" ht="15" hidden="false" customHeight="false" outlineLevel="0" collapsed="false">
      <c r="M4250" s="2" t="str">
        <f aca="false">IF(C4250="","",IFERROR(INDEX($S$5:$S$304,MATCH(C4250,$R$5:$R$304,0))&amp;"","?"))</f>
        <v/>
      </c>
      <c r="N4250" s="2" t="str">
        <f aca="false"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 t="str">
        <f aca="false">IF(OR(F4250="",G4250=""),"",IF(G4250&lt;='RETRATO 2027'!$K$5,"CONCLUÍDA",IF(F4250&lt;='RETRATO 2027'!$K$5,"EM ANDAMENTO","A INICIAR")))</f>
        <v/>
      </c>
    </row>
    <row r="4251" customFormat="false" ht="15" hidden="false" customHeight="false" outlineLevel="0" collapsed="false">
      <c r="M4251" s="2" t="str">
        <f aca="false">IF(C4251="","",IFERROR(INDEX($S$5:$S$304,MATCH(C4251,$R$5:$R$304,0))&amp;"","?"))</f>
        <v/>
      </c>
      <c r="N4251" s="2" t="str">
        <f aca="false"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 t="str">
        <f aca="false">IF(OR(F4251="",G4251=""),"",IF(G4251&lt;='RETRATO 2027'!$K$5,"CONCLUÍDA",IF(F4251&lt;='RETRATO 2027'!$K$5,"EM ANDAMENTO","A INICIAR")))</f>
        <v/>
      </c>
    </row>
    <row r="4252" customFormat="false" ht="15" hidden="false" customHeight="false" outlineLevel="0" collapsed="false">
      <c r="M4252" s="2" t="str">
        <f aca="false">IF(C4252="","",IFERROR(INDEX($S$5:$S$304,MATCH(C4252,$R$5:$R$304,0))&amp;"","?"))</f>
        <v/>
      </c>
      <c r="N4252" s="2" t="str">
        <f aca="false"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 t="str">
        <f aca="false">IF(OR(F4252="",G4252=""),"",IF(G4252&lt;='RETRATO 2027'!$K$5,"CONCLUÍDA",IF(F4252&lt;='RETRATO 2027'!$K$5,"EM ANDAMENTO","A INICIAR")))</f>
        <v/>
      </c>
    </row>
    <row r="4253" customFormat="false" ht="15" hidden="false" customHeight="false" outlineLevel="0" collapsed="false">
      <c r="M4253" s="2" t="str">
        <f aca="false">IF(C4253="","",IFERROR(INDEX($S$5:$S$304,MATCH(C4253,$R$5:$R$304,0))&amp;"","?"))</f>
        <v/>
      </c>
      <c r="N4253" s="2" t="str">
        <f aca="false"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 t="str">
        <f aca="false">IF(OR(F4253="",G4253=""),"",IF(G4253&lt;='RETRATO 2027'!$K$5,"CONCLUÍDA",IF(F4253&lt;='RETRATO 2027'!$K$5,"EM ANDAMENTO","A INICIAR")))</f>
        <v/>
      </c>
    </row>
    <row r="4254" customFormat="false" ht="15" hidden="false" customHeight="false" outlineLevel="0" collapsed="false">
      <c r="M4254" s="2" t="str">
        <f aca="false">IF(C4254="","",IFERROR(INDEX($S$5:$S$304,MATCH(C4254,$R$5:$R$304,0))&amp;"","?"))</f>
        <v/>
      </c>
      <c r="N4254" s="2" t="str">
        <f aca="false"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 t="str">
        <f aca="false">IF(OR(F4254="",G4254=""),"",IF(G4254&lt;='RETRATO 2027'!$K$5,"CONCLUÍDA",IF(F4254&lt;='RETRATO 2027'!$K$5,"EM ANDAMENTO","A INICIAR")))</f>
        <v/>
      </c>
    </row>
    <row r="4255" customFormat="false" ht="15" hidden="false" customHeight="false" outlineLevel="0" collapsed="false">
      <c r="M4255" s="2" t="str">
        <f aca="false">IF(C4255="","",IFERROR(INDEX($S$5:$S$304,MATCH(C4255,$R$5:$R$304,0))&amp;"","?"))</f>
        <v/>
      </c>
      <c r="N4255" s="2" t="str">
        <f aca="false"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 t="str">
        <f aca="false">IF(OR(F4255="",G4255=""),"",IF(G4255&lt;='RETRATO 2027'!$K$5,"CONCLUÍDA",IF(F4255&lt;='RETRATO 2027'!$K$5,"EM ANDAMENTO","A INICIAR")))</f>
        <v/>
      </c>
    </row>
    <row r="4256" customFormat="false" ht="15" hidden="false" customHeight="false" outlineLevel="0" collapsed="false">
      <c r="M4256" s="2" t="str">
        <f aca="false">IF(C4256="","",IFERROR(INDEX($S$5:$S$304,MATCH(C4256,$R$5:$R$304,0))&amp;"","?"))</f>
        <v/>
      </c>
      <c r="N4256" s="2" t="str">
        <f aca="false"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 t="str">
        <f aca="false">IF(OR(F4256="",G4256=""),"",IF(G4256&lt;='RETRATO 2027'!$K$5,"CONCLUÍDA",IF(F4256&lt;='RETRATO 2027'!$K$5,"EM ANDAMENTO","A INICIAR")))</f>
        <v/>
      </c>
    </row>
    <row r="4257" customFormat="false" ht="15" hidden="false" customHeight="false" outlineLevel="0" collapsed="false">
      <c r="M4257" s="2" t="str">
        <f aca="false">IF(C4257="","",IFERROR(INDEX($S$5:$S$304,MATCH(C4257,$R$5:$R$304,0))&amp;"","?"))</f>
        <v/>
      </c>
      <c r="N4257" s="2" t="str">
        <f aca="false"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 t="str">
        <f aca="false">IF(OR(F4257="",G4257=""),"",IF(G4257&lt;='RETRATO 2027'!$K$5,"CONCLUÍDA",IF(F4257&lt;='RETRATO 2027'!$K$5,"EM ANDAMENTO","A INICIAR")))</f>
        <v/>
      </c>
    </row>
    <row r="4258" customFormat="false" ht="15" hidden="false" customHeight="false" outlineLevel="0" collapsed="false">
      <c r="M4258" s="2" t="str">
        <f aca="false">IF(C4258="","",IFERROR(INDEX($S$5:$S$304,MATCH(C4258,$R$5:$R$304,0))&amp;"","?"))</f>
        <v/>
      </c>
      <c r="N4258" s="2" t="str">
        <f aca="false"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 t="str">
        <f aca="false">IF(OR(F4258="",G4258=""),"",IF(G4258&lt;='RETRATO 2027'!$K$5,"CONCLUÍDA",IF(F4258&lt;='RETRATO 2027'!$K$5,"EM ANDAMENTO","A INICIAR")))</f>
        <v/>
      </c>
    </row>
    <row r="4259" customFormat="false" ht="15" hidden="false" customHeight="false" outlineLevel="0" collapsed="false">
      <c r="M4259" s="2" t="str">
        <f aca="false">IF(C4259="","",IFERROR(INDEX($S$5:$S$304,MATCH(C4259,$R$5:$R$304,0))&amp;"","?"))</f>
        <v/>
      </c>
      <c r="N4259" s="2" t="str">
        <f aca="false"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 t="str">
        <f aca="false">IF(OR(F4259="",G4259=""),"",IF(G4259&lt;='RETRATO 2027'!$K$5,"CONCLUÍDA",IF(F4259&lt;='RETRATO 2027'!$K$5,"EM ANDAMENTO","A INICIAR")))</f>
        <v/>
      </c>
    </row>
    <row r="4260" customFormat="false" ht="15" hidden="false" customHeight="false" outlineLevel="0" collapsed="false">
      <c r="M4260" s="2" t="str">
        <f aca="false">IF(C4260="","",IFERROR(INDEX($S$5:$S$304,MATCH(C4260,$R$5:$R$304,0))&amp;"","?"))</f>
        <v/>
      </c>
      <c r="N4260" s="2" t="str">
        <f aca="false"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 t="str">
        <f aca="false">IF(OR(F4260="",G4260=""),"",IF(G4260&lt;='RETRATO 2027'!$K$5,"CONCLUÍDA",IF(F4260&lt;='RETRATO 2027'!$K$5,"EM ANDAMENTO","A INICIAR")))</f>
        <v/>
      </c>
    </row>
    <row r="4261" customFormat="false" ht="15" hidden="false" customHeight="false" outlineLevel="0" collapsed="false">
      <c r="M4261" s="2" t="str">
        <f aca="false">IF(C4261="","",IFERROR(INDEX($S$5:$S$304,MATCH(C4261,$R$5:$R$304,0))&amp;"","?"))</f>
        <v/>
      </c>
      <c r="N4261" s="2" t="str">
        <f aca="false"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 t="str">
        <f aca="false">IF(OR(F4261="",G4261=""),"",IF(G4261&lt;='RETRATO 2027'!$K$5,"CONCLUÍDA",IF(F4261&lt;='RETRATO 2027'!$K$5,"EM ANDAMENTO","A INICIAR")))</f>
        <v/>
      </c>
    </row>
    <row r="4262" customFormat="false" ht="15" hidden="false" customHeight="false" outlineLevel="0" collapsed="false">
      <c r="M4262" s="2" t="str">
        <f aca="false">IF(C4262="","",IFERROR(INDEX($S$5:$S$304,MATCH(C4262,$R$5:$R$304,0))&amp;"","?"))</f>
        <v/>
      </c>
      <c r="N4262" s="2" t="str">
        <f aca="false"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 t="str">
        <f aca="false">IF(OR(F4262="",G4262=""),"",IF(G4262&lt;='RETRATO 2027'!$K$5,"CONCLUÍDA",IF(F4262&lt;='RETRATO 2027'!$K$5,"EM ANDAMENTO","A INICIAR")))</f>
        <v/>
      </c>
    </row>
    <row r="4263" customFormat="false" ht="15" hidden="false" customHeight="false" outlineLevel="0" collapsed="false">
      <c r="M4263" s="2" t="str">
        <f aca="false">IF(C4263="","",IFERROR(INDEX($S$5:$S$304,MATCH(C4263,$R$5:$R$304,0))&amp;"","?"))</f>
        <v/>
      </c>
      <c r="N4263" s="2" t="str">
        <f aca="false"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 t="str">
        <f aca="false">IF(OR(F4263="",G4263=""),"",IF(G4263&lt;='RETRATO 2027'!$K$5,"CONCLUÍDA",IF(F4263&lt;='RETRATO 2027'!$K$5,"EM ANDAMENTO","A INICIAR")))</f>
        <v/>
      </c>
    </row>
    <row r="4264" customFormat="false" ht="15" hidden="false" customHeight="false" outlineLevel="0" collapsed="false">
      <c r="M4264" s="2" t="str">
        <f aca="false">IF(C4264="","",IFERROR(INDEX($S$5:$S$304,MATCH(C4264,$R$5:$R$304,0))&amp;"","?"))</f>
        <v/>
      </c>
      <c r="N4264" s="2" t="str">
        <f aca="false"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 t="str">
        <f aca="false">IF(OR(F4264="",G4264=""),"",IF(G4264&lt;='RETRATO 2027'!$K$5,"CONCLUÍDA",IF(F4264&lt;='RETRATO 2027'!$K$5,"EM ANDAMENTO","A INICIAR")))</f>
        <v/>
      </c>
    </row>
    <row r="4265" customFormat="false" ht="15" hidden="false" customHeight="false" outlineLevel="0" collapsed="false">
      <c r="M4265" s="2" t="str">
        <f aca="false">IF(C4265="","",IFERROR(INDEX($S$5:$S$304,MATCH(C4265,$R$5:$R$304,0))&amp;"","?"))</f>
        <v/>
      </c>
      <c r="N4265" s="2" t="str">
        <f aca="false"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 t="str">
        <f aca="false">IF(OR(F4265="",G4265=""),"",IF(G4265&lt;='RETRATO 2027'!$K$5,"CONCLUÍDA",IF(F4265&lt;='RETRATO 2027'!$K$5,"EM ANDAMENTO","A INICIAR")))</f>
        <v/>
      </c>
    </row>
    <row r="4266" customFormat="false" ht="15" hidden="false" customHeight="false" outlineLevel="0" collapsed="false">
      <c r="M4266" s="2" t="str">
        <f aca="false">IF(C4266="","",IFERROR(INDEX($S$5:$S$304,MATCH(C4266,$R$5:$R$304,0))&amp;"","?"))</f>
        <v/>
      </c>
      <c r="N4266" s="2" t="str">
        <f aca="false"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 t="str">
        <f aca="false">IF(OR(F4266="",G4266=""),"",IF(G4266&lt;='RETRATO 2027'!$K$5,"CONCLUÍDA",IF(F4266&lt;='RETRATO 2027'!$K$5,"EM ANDAMENTO","A INICIAR")))</f>
        <v/>
      </c>
    </row>
    <row r="4267" customFormat="false" ht="15" hidden="false" customHeight="false" outlineLevel="0" collapsed="false">
      <c r="M4267" s="2" t="str">
        <f aca="false">IF(C4267="","",IFERROR(INDEX($S$5:$S$304,MATCH(C4267,$R$5:$R$304,0))&amp;"","?"))</f>
        <v/>
      </c>
      <c r="N4267" s="2" t="str">
        <f aca="false"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 t="str">
        <f aca="false">IF(OR(F4267="",G4267=""),"",IF(G4267&lt;='RETRATO 2027'!$K$5,"CONCLUÍDA",IF(F4267&lt;='RETRATO 2027'!$K$5,"EM ANDAMENTO","A INICIAR")))</f>
        <v/>
      </c>
    </row>
    <row r="4268" customFormat="false" ht="15" hidden="false" customHeight="false" outlineLevel="0" collapsed="false">
      <c r="M4268" s="2" t="str">
        <f aca="false">IF(C4268="","",IFERROR(INDEX($S$5:$S$304,MATCH(C4268,$R$5:$R$304,0))&amp;"","?"))</f>
        <v/>
      </c>
      <c r="N4268" s="2" t="str">
        <f aca="false"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 t="str">
        <f aca="false">IF(OR(F4268="",G4268=""),"",IF(G4268&lt;='RETRATO 2027'!$K$5,"CONCLUÍDA",IF(F4268&lt;='RETRATO 2027'!$K$5,"EM ANDAMENTO","A INICIAR")))</f>
        <v/>
      </c>
    </row>
    <row r="4269" customFormat="false" ht="15" hidden="false" customHeight="false" outlineLevel="0" collapsed="false">
      <c r="M4269" s="2" t="str">
        <f aca="false">IF(C4269="","",IFERROR(INDEX($S$5:$S$304,MATCH(C4269,$R$5:$R$304,0))&amp;"","?"))</f>
        <v/>
      </c>
      <c r="N4269" s="2" t="str">
        <f aca="false"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 t="str">
        <f aca="false">IF(OR(F4269="",G4269=""),"",IF(G4269&lt;='RETRATO 2027'!$K$5,"CONCLUÍDA",IF(F4269&lt;='RETRATO 2027'!$K$5,"EM ANDAMENTO","A INICIAR")))</f>
        <v/>
      </c>
    </row>
    <row r="4270" customFormat="false" ht="15" hidden="false" customHeight="false" outlineLevel="0" collapsed="false">
      <c r="M4270" s="2" t="str">
        <f aca="false">IF(C4270="","",IFERROR(INDEX($S$5:$S$304,MATCH(C4270,$R$5:$R$304,0))&amp;"","?"))</f>
        <v/>
      </c>
      <c r="N4270" s="2" t="str">
        <f aca="false"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 t="str">
        <f aca="false">IF(OR(F4270="",G4270=""),"",IF(G4270&lt;='RETRATO 2027'!$K$5,"CONCLUÍDA",IF(F4270&lt;='RETRATO 2027'!$K$5,"EM ANDAMENTO","A INICIAR")))</f>
        <v/>
      </c>
    </row>
    <row r="4271" customFormat="false" ht="15" hidden="false" customHeight="false" outlineLevel="0" collapsed="false">
      <c r="M4271" s="2" t="str">
        <f aca="false">IF(C4271="","",IFERROR(INDEX($S$5:$S$304,MATCH(C4271,$R$5:$R$304,0))&amp;"","?"))</f>
        <v/>
      </c>
      <c r="N4271" s="2" t="str">
        <f aca="false"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 t="str">
        <f aca="false">IF(OR(F4271="",G4271=""),"",IF(G4271&lt;='RETRATO 2027'!$K$5,"CONCLUÍDA",IF(F4271&lt;='RETRATO 2027'!$K$5,"EM ANDAMENTO","A INICIAR")))</f>
        <v/>
      </c>
    </row>
    <row r="4272" customFormat="false" ht="15" hidden="false" customHeight="false" outlineLevel="0" collapsed="false">
      <c r="M4272" s="2" t="str">
        <f aca="false">IF(C4272="","",IFERROR(INDEX($S$5:$S$304,MATCH(C4272,$R$5:$R$304,0))&amp;"","?"))</f>
        <v/>
      </c>
      <c r="N4272" s="2" t="str">
        <f aca="false"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 t="str">
        <f aca="false">IF(OR(F4272="",G4272=""),"",IF(G4272&lt;='RETRATO 2027'!$K$5,"CONCLUÍDA",IF(F4272&lt;='RETRATO 2027'!$K$5,"EM ANDAMENTO","A INICIAR")))</f>
        <v/>
      </c>
    </row>
    <row r="4273" customFormat="false" ht="15" hidden="false" customHeight="false" outlineLevel="0" collapsed="false">
      <c r="M4273" s="2" t="str">
        <f aca="false">IF(C4273="","",IFERROR(INDEX($S$5:$S$304,MATCH(C4273,$R$5:$R$304,0))&amp;"","?"))</f>
        <v/>
      </c>
      <c r="N4273" s="2" t="str">
        <f aca="false"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 t="str">
        <f aca="false">IF(OR(F4273="",G4273=""),"",IF(G4273&lt;='RETRATO 2027'!$K$5,"CONCLUÍDA",IF(F4273&lt;='RETRATO 2027'!$K$5,"EM ANDAMENTO","A INICIAR")))</f>
        <v/>
      </c>
    </row>
    <row r="4274" customFormat="false" ht="15" hidden="false" customHeight="false" outlineLevel="0" collapsed="false">
      <c r="M4274" s="2" t="str">
        <f aca="false">IF(C4274="","",IFERROR(INDEX($S$5:$S$304,MATCH(C4274,$R$5:$R$304,0))&amp;"","?"))</f>
        <v/>
      </c>
      <c r="N4274" s="2" t="str">
        <f aca="false"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 t="str">
        <f aca="false">IF(OR(F4274="",G4274=""),"",IF(G4274&lt;='RETRATO 2027'!$K$5,"CONCLUÍDA",IF(F4274&lt;='RETRATO 2027'!$K$5,"EM ANDAMENTO","A INICIAR")))</f>
        <v/>
      </c>
    </row>
    <row r="4275" customFormat="false" ht="15" hidden="false" customHeight="false" outlineLevel="0" collapsed="false">
      <c r="M4275" s="2" t="str">
        <f aca="false">IF(C4275="","",IFERROR(INDEX($S$5:$S$304,MATCH(C4275,$R$5:$R$304,0))&amp;"","?"))</f>
        <v/>
      </c>
      <c r="N4275" s="2" t="str">
        <f aca="false"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 t="str">
        <f aca="false">IF(OR(F4275="",G4275=""),"",IF(G4275&lt;='RETRATO 2027'!$K$5,"CONCLUÍDA",IF(F4275&lt;='RETRATO 2027'!$K$5,"EM ANDAMENTO","A INICIAR")))</f>
        <v/>
      </c>
    </row>
    <row r="4276" customFormat="false" ht="15" hidden="false" customHeight="false" outlineLevel="0" collapsed="false">
      <c r="M4276" s="2" t="str">
        <f aca="false">IF(C4276="","",IFERROR(INDEX($S$5:$S$304,MATCH(C4276,$R$5:$R$304,0))&amp;"","?"))</f>
        <v/>
      </c>
      <c r="N4276" s="2" t="str">
        <f aca="false"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 t="str">
        <f aca="false">IF(OR(F4276="",G4276=""),"",IF(G4276&lt;='RETRATO 2027'!$K$5,"CONCLUÍDA",IF(F4276&lt;='RETRATO 2027'!$K$5,"EM ANDAMENTO","A INICIAR")))</f>
        <v/>
      </c>
    </row>
    <row r="4277" customFormat="false" ht="15" hidden="false" customHeight="false" outlineLevel="0" collapsed="false">
      <c r="M4277" s="2" t="str">
        <f aca="false">IF(C4277="","",IFERROR(INDEX($S$5:$S$304,MATCH(C4277,$R$5:$R$304,0))&amp;"","?"))</f>
        <v/>
      </c>
      <c r="N4277" s="2" t="str">
        <f aca="false"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 t="str">
        <f aca="false">IF(OR(F4277="",G4277=""),"",IF(G4277&lt;='RETRATO 2027'!$K$5,"CONCLUÍDA",IF(F4277&lt;='RETRATO 2027'!$K$5,"EM ANDAMENTO","A INICIAR")))</f>
        <v/>
      </c>
    </row>
    <row r="4278" customFormat="false" ht="15" hidden="false" customHeight="false" outlineLevel="0" collapsed="false">
      <c r="M4278" s="2" t="str">
        <f aca="false">IF(C4278="","",IFERROR(INDEX($S$5:$S$304,MATCH(C4278,$R$5:$R$304,0))&amp;"","?"))</f>
        <v/>
      </c>
      <c r="N4278" s="2" t="str">
        <f aca="false"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 t="str">
        <f aca="false">IF(OR(F4278="",G4278=""),"",IF(G4278&lt;='RETRATO 2027'!$K$5,"CONCLUÍDA",IF(F4278&lt;='RETRATO 2027'!$K$5,"EM ANDAMENTO","A INICIAR")))</f>
        <v/>
      </c>
    </row>
    <row r="4279" customFormat="false" ht="15" hidden="false" customHeight="false" outlineLevel="0" collapsed="false">
      <c r="M4279" s="2" t="str">
        <f aca="false">IF(C4279="","",IFERROR(INDEX($S$5:$S$304,MATCH(C4279,$R$5:$R$304,0))&amp;"","?"))</f>
        <v/>
      </c>
      <c r="N4279" s="2" t="str">
        <f aca="false"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 t="str">
        <f aca="false">IF(OR(F4279="",G4279=""),"",IF(G4279&lt;='RETRATO 2027'!$K$5,"CONCLUÍDA",IF(F4279&lt;='RETRATO 2027'!$K$5,"EM ANDAMENTO","A INICIAR")))</f>
        <v/>
      </c>
    </row>
    <row r="4280" customFormat="false" ht="15" hidden="false" customHeight="false" outlineLevel="0" collapsed="false">
      <c r="M4280" s="2" t="str">
        <f aca="false">IF(C4280="","",IFERROR(INDEX($S$5:$S$304,MATCH(C4280,$R$5:$R$304,0))&amp;"","?"))</f>
        <v/>
      </c>
      <c r="N4280" s="2" t="str">
        <f aca="false"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 t="str">
        <f aca="false">IF(OR(F4280="",G4280=""),"",IF(G4280&lt;='RETRATO 2027'!$K$5,"CONCLUÍDA",IF(F4280&lt;='RETRATO 2027'!$K$5,"EM ANDAMENTO","A INICIAR")))</f>
        <v/>
      </c>
    </row>
    <row r="4281" customFormat="false" ht="15" hidden="false" customHeight="false" outlineLevel="0" collapsed="false">
      <c r="M4281" s="2" t="str">
        <f aca="false">IF(C4281="","",IFERROR(INDEX($S$5:$S$304,MATCH(C4281,$R$5:$R$304,0))&amp;"","?"))</f>
        <v/>
      </c>
      <c r="N4281" s="2" t="str">
        <f aca="false"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 t="str">
        <f aca="false">IF(OR(F4281="",G4281=""),"",IF(G4281&lt;='RETRATO 2027'!$K$5,"CONCLUÍDA",IF(F4281&lt;='RETRATO 2027'!$K$5,"EM ANDAMENTO","A INICIAR")))</f>
        <v/>
      </c>
    </row>
    <row r="4282" customFormat="false" ht="15" hidden="false" customHeight="false" outlineLevel="0" collapsed="false">
      <c r="M4282" s="2" t="str">
        <f aca="false">IF(C4282="","",IFERROR(INDEX($S$5:$S$304,MATCH(C4282,$R$5:$R$304,0))&amp;"","?"))</f>
        <v/>
      </c>
      <c r="N4282" s="2" t="str">
        <f aca="false"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 t="str">
        <f aca="false">IF(OR(F4282="",G4282=""),"",IF(G4282&lt;='RETRATO 2027'!$K$5,"CONCLUÍDA",IF(F4282&lt;='RETRATO 2027'!$K$5,"EM ANDAMENTO","A INICIAR")))</f>
        <v/>
      </c>
    </row>
    <row r="4283" customFormat="false" ht="15" hidden="false" customHeight="false" outlineLevel="0" collapsed="false">
      <c r="M4283" s="2" t="str">
        <f aca="false">IF(C4283="","",IFERROR(INDEX($S$5:$S$304,MATCH(C4283,$R$5:$R$304,0))&amp;"","?"))</f>
        <v/>
      </c>
      <c r="N4283" s="2" t="str">
        <f aca="false"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 t="str">
        <f aca="false">IF(OR(F4283="",G4283=""),"",IF(G4283&lt;='RETRATO 2027'!$K$5,"CONCLUÍDA",IF(F4283&lt;='RETRATO 2027'!$K$5,"EM ANDAMENTO","A INICIAR")))</f>
        <v/>
      </c>
    </row>
    <row r="4284" customFormat="false" ht="15" hidden="false" customHeight="false" outlineLevel="0" collapsed="false">
      <c r="M4284" s="2" t="str">
        <f aca="false">IF(C4284="","",IFERROR(INDEX($S$5:$S$304,MATCH(C4284,$R$5:$R$304,0))&amp;"","?"))</f>
        <v/>
      </c>
      <c r="N4284" s="2" t="str">
        <f aca="false"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 t="str">
        <f aca="false">IF(OR(F4284="",G4284=""),"",IF(G4284&lt;='RETRATO 2027'!$K$5,"CONCLUÍDA",IF(F4284&lt;='RETRATO 2027'!$K$5,"EM ANDAMENTO","A INICIAR")))</f>
        <v/>
      </c>
    </row>
    <row r="4285" customFormat="false" ht="15" hidden="false" customHeight="false" outlineLevel="0" collapsed="false">
      <c r="M4285" s="2" t="str">
        <f aca="false">IF(C4285="","",IFERROR(INDEX($S$5:$S$304,MATCH(C4285,$R$5:$R$304,0))&amp;"","?"))</f>
        <v/>
      </c>
      <c r="N4285" s="2" t="str">
        <f aca="false"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 t="str">
        <f aca="false">IF(OR(F4285="",G4285=""),"",IF(G4285&lt;='RETRATO 2027'!$K$5,"CONCLUÍDA",IF(F4285&lt;='RETRATO 2027'!$K$5,"EM ANDAMENTO","A INICIAR")))</f>
        <v/>
      </c>
    </row>
    <row r="4286" customFormat="false" ht="15" hidden="false" customHeight="false" outlineLevel="0" collapsed="false">
      <c r="M4286" s="2" t="str">
        <f aca="false">IF(C4286="","",IFERROR(INDEX($S$5:$S$304,MATCH(C4286,$R$5:$R$304,0))&amp;"","?"))</f>
        <v/>
      </c>
      <c r="N4286" s="2" t="str">
        <f aca="false"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 t="str">
        <f aca="false">IF(OR(F4286="",G4286=""),"",IF(G4286&lt;='RETRATO 2027'!$K$5,"CONCLUÍDA",IF(F4286&lt;='RETRATO 2027'!$K$5,"EM ANDAMENTO","A INICIAR")))</f>
        <v/>
      </c>
    </row>
    <row r="4287" customFormat="false" ht="15" hidden="false" customHeight="false" outlineLevel="0" collapsed="false">
      <c r="M4287" s="2" t="str">
        <f aca="false">IF(C4287="","",IFERROR(INDEX($S$5:$S$304,MATCH(C4287,$R$5:$R$304,0))&amp;"","?"))</f>
        <v/>
      </c>
      <c r="N4287" s="2" t="str">
        <f aca="false"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 t="str">
        <f aca="false">IF(OR(F4287="",G4287=""),"",IF(G4287&lt;='RETRATO 2027'!$K$5,"CONCLUÍDA",IF(F4287&lt;='RETRATO 2027'!$K$5,"EM ANDAMENTO","A INICIAR")))</f>
        <v/>
      </c>
    </row>
    <row r="4288" customFormat="false" ht="15" hidden="false" customHeight="false" outlineLevel="0" collapsed="false">
      <c r="M4288" s="2" t="str">
        <f aca="false">IF(C4288="","",IFERROR(INDEX($S$5:$S$304,MATCH(C4288,$R$5:$R$304,0))&amp;"","?"))</f>
        <v/>
      </c>
      <c r="N4288" s="2" t="str">
        <f aca="false"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 t="str">
        <f aca="false">IF(OR(F4288="",G4288=""),"",IF(G4288&lt;='RETRATO 2027'!$K$5,"CONCLUÍDA",IF(F4288&lt;='RETRATO 2027'!$K$5,"EM ANDAMENTO","A INICIAR")))</f>
        <v/>
      </c>
    </row>
    <row r="4289" customFormat="false" ht="15" hidden="false" customHeight="false" outlineLevel="0" collapsed="false">
      <c r="M4289" s="2" t="str">
        <f aca="false">IF(C4289="","",IFERROR(INDEX($S$5:$S$304,MATCH(C4289,$R$5:$R$304,0))&amp;"","?"))</f>
        <v/>
      </c>
      <c r="N4289" s="2" t="str">
        <f aca="false"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 t="str">
        <f aca="false">IF(OR(F4289="",G4289=""),"",IF(G4289&lt;='RETRATO 2027'!$K$5,"CONCLUÍDA",IF(F4289&lt;='RETRATO 2027'!$K$5,"EM ANDAMENTO","A INICIAR")))</f>
        <v/>
      </c>
    </row>
    <row r="4290" customFormat="false" ht="15" hidden="false" customHeight="false" outlineLevel="0" collapsed="false">
      <c r="M4290" s="2" t="str">
        <f aca="false">IF(C4290="","",IFERROR(INDEX($S$5:$S$304,MATCH(C4290,$R$5:$R$304,0))&amp;"","?"))</f>
        <v/>
      </c>
      <c r="N4290" s="2" t="str">
        <f aca="false"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 t="str">
        <f aca="false">IF(OR(F4290="",G4290=""),"",IF(G4290&lt;='RETRATO 2027'!$K$5,"CONCLUÍDA",IF(F4290&lt;='RETRATO 2027'!$K$5,"EM ANDAMENTO","A INICIAR")))</f>
        <v/>
      </c>
    </row>
    <row r="4291" customFormat="false" ht="15" hidden="false" customHeight="false" outlineLevel="0" collapsed="false">
      <c r="M4291" s="2" t="str">
        <f aca="false">IF(C4291="","",IFERROR(INDEX($S$5:$S$304,MATCH(C4291,$R$5:$R$304,0))&amp;"","?"))</f>
        <v/>
      </c>
      <c r="N4291" s="2" t="str">
        <f aca="false"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 t="str">
        <f aca="false">IF(OR(F4291="",G4291=""),"",IF(G4291&lt;='RETRATO 2027'!$K$5,"CONCLUÍDA",IF(F4291&lt;='RETRATO 2027'!$K$5,"EM ANDAMENTO","A INICIAR")))</f>
        <v/>
      </c>
    </row>
    <row r="4292" customFormat="false" ht="15" hidden="false" customHeight="false" outlineLevel="0" collapsed="false">
      <c r="M4292" s="2" t="str">
        <f aca="false">IF(C4292="","",IFERROR(INDEX($S$5:$S$304,MATCH(C4292,$R$5:$R$304,0))&amp;"","?"))</f>
        <v/>
      </c>
      <c r="N4292" s="2" t="str">
        <f aca="false"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 t="str">
        <f aca="false">IF(OR(F4292="",G4292=""),"",IF(G4292&lt;='RETRATO 2027'!$K$5,"CONCLUÍDA",IF(F4292&lt;='RETRATO 2027'!$K$5,"EM ANDAMENTO","A INICIAR")))</f>
        <v/>
      </c>
    </row>
    <row r="4293" customFormat="false" ht="15" hidden="false" customHeight="false" outlineLevel="0" collapsed="false">
      <c r="M4293" s="2" t="str">
        <f aca="false">IF(C4293="","",IFERROR(INDEX($S$5:$S$304,MATCH(C4293,$R$5:$R$304,0))&amp;"","?"))</f>
        <v/>
      </c>
      <c r="N4293" s="2" t="str">
        <f aca="false"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 t="str">
        <f aca="false">IF(OR(F4293="",G4293=""),"",IF(G4293&lt;='RETRATO 2027'!$K$5,"CONCLUÍDA",IF(F4293&lt;='RETRATO 2027'!$K$5,"EM ANDAMENTO","A INICIAR")))</f>
        <v/>
      </c>
    </row>
    <row r="4294" customFormat="false" ht="15" hidden="false" customHeight="false" outlineLevel="0" collapsed="false">
      <c r="M4294" s="2" t="str">
        <f aca="false">IF(C4294="","",IFERROR(INDEX($S$5:$S$304,MATCH(C4294,$R$5:$R$304,0))&amp;"","?"))</f>
        <v/>
      </c>
      <c r="N4294" s="2" t="str">
        <f aca="false"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 t="str">
        <f aca="false">IF(OR(F4294="",G4294=""),"",IF(G4294&lt;='RETRATO 2027'!$K$5,"CONCLUÍDA",IF(F4294&lt;='RETRATO 2027'!$K$5,"EM ANDAMENTO","A INICIAR")))</f>
        <v/>
      </c>
    </row>
    <row r="4295" customFormat="false" ht="15" hidden="false" customHeight="false" outlineLevel="0" collapsed="false">
      <c r="M4295" s="2" t="str">
        <f aca="false">IF(C4295="","",IFERROR(INDEX($S$5:$S$304,MATCH(C4295,$R$5:$R$304,0))&amp;"","?"))</f>
        <v/>
      </c>
      <c r="N4295" s="2" t="str">
        <f aca="false"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 t="str">
        <f aca="false">IF(OR(F4295="",G4295=""),"",IF(G4295&lt;='RETRATO 2027'!$K$5,"CONCLUÍDA",IF(F4295&lt;='RETRATO 2027'!$K$5,"EM ANDAMENTO","A INICIAR")))</f>
        <v/>
      </c>
    </row>
    <row r="4296" customFormat="false" ht="15" hidden="false" customHeight="false" outlineLevel="0" collapsed="false">
      <c r="M4296" s="2" t="str">
        <f aca="false">IF(C4296="","",IFERROR(INDEX($S$5:$S$304,MATCH(C4296,$R$5:$R$304,0))&amp;"","?"))</f>
        <v/>
      </c>
      <c r="N4296" s="2" t="str">
        <f aca="false"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 t="str">
        <f aca="false">IF(OR(F4296="",G4296=""),"",IF(G4296&lt;='RETRATO 2027'!$K$5,"CONCLUÍDA",IF(F4296&lt;='RETRATO 2027'!$K$5,"EM ANDAMENTO","A INICIAR")))</f>
        <v/>
      </c>
    </row>
    <row r="4297" customFormat="false" ht="15" hidden="false" customHeight="false" outlineLevel="0" collapsed="false">
      <c r="M4297" s="2" t="str">
        <f aca="false">IF(C4297="","",IFERROR(INDEX($S$5:$S$304,MATCH(C4297,$R$5:$R$304,0))&amp;"","?"))</f>
        <v/>
      </c>
      <c r="N4297" s="2" t="str">
        <f aca="false"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 t="str">
        <f aca="false">IF(OR(F4297="",G4297=""),"",IF(G4297&lt;='RETRATO 2027'!$K$5,"CONCLUÍDA",IF(F4297&lt;='RETRATO 2027'!$K$5,"EM ANDAMENTO","A INICIAR")))</f>
        <v/>
      </c>
    </row>
    <row r="4298" customFormat="false" ht="15" hidden="false" customHeight="false" outlineLevel="0" collapsed="false">
      <c r="M4298" s="2" t="str">
        <f aca="false">IF(C4298="","",IFERROR(INDEX($S$5:$S$304,MATCH(C4298,$R$5:$R$304,0))&amp;"","?"))</f>
        <v/>
      </c>
      <c r="N4298" s="2" t="str">
        <f aca="false"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 t="str">
        <f aca="false">IF(OR(F4298="",G4298=""),"",IF(G4298&lt;='RETRATO 2027'!$K$5,"CONCLUÍDA",IF(F4298&lt;='RETRATO 2027'!$K$5,"EM ANDAMENTO","A INICIAR")))</f>
        <v/>
      </c>
    </row>
    <row r="4299" customFormat="false" ht="15" hidden="false" customHeight="false" outlineLevel="0" collapsed="false">
      <c r="M4299" s="2" t="str">
        <f aca="false">IF(C4299="","",IFERROR(INDEX($S$5:$S$304,MATCH(C4299,$R$5:$R$304,0))&amp;"","?"))</f>
        <v/>
      </c>
      <c r="N4299" s="2" t="str">
        <f aca="false"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 t="str">
        <f aca="false">IF(OR(F4299="",G4299=""),"",IF(G4299&lt;='RETRATO 2027'!$K$5,"CONCLUÍDA",IF(F4299&lt;='RETRATO 2027'!$K$5,"EM ANDAMENTO","A INICIAR")))</f>
        <v/>
      </c>
    </row>
    <row r="4300" customFormat="false" ht="15" hidden="false" customHeight="false" outlineLevel="0" collapsed="false">
      <c r="M4300" s="2" t="str">
        <f aca="false">IF(C4300="","",IFERROR(INDEX($S$5:$S$304,MATCH(C4300,$R$5:$R$304,0))&amp;"","?"))</f>
        <v/>
      </c>
      <c r="N4300" s="2" t="str">
        <f aca="false"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 t="str">
        <f aca="false">IF(OR(F4300="",G4300=""),"",IF(G4300&lt;='RETRATO 2027'!$K$5,"CONCLUÍDA",IF(F4300&lt;='RETRATO 2027'!$K$5,"EM ANDAMENTO","A INICIAR")))</f>
        <v/>
      </c>
    </row>
    <row r="4301" customFormat="false" ht="15" hidden="false" customHeight="false" outlineLevel="0" collapsed="false">
      <c r="M4301" s="2" t="str">
        <f aca="false">IF(C4301="","",IFERROR(INDEX($S$5:$S$304,MATCH(C4301,$R$5:$R$304,0))&amp;"","?"))</f>
        <v/>
      </c>
      <c r="N4301" s="2" t="str">
        <f aca="false"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 t="str">
        <f aca="false">IF(OR(F4301="",G4301=""),"",IF(G4301&lt;='RETRATO 2027'!$K$5,"CONCLUÍDA",IF(F4301&lt;='RETRATO 2027'!$K$5,"EM ANDAMENTO","A INICIAR")))</f>
        <v/>
      </c>
    </row>
    <row r="4302" customFormat="false" ht="15" hidden="false" customHeight="false" outlineLevel="0" collapsed="false">
      <c r="M4302" s="2" t="str">
        <f aca="false">IF(C4302="","",IFERROR(INDEX($S$5:$S$304,MATCH(C4302,$R$5:$R$304,0))&amp;"","?"))</f>
        <v/>
      </c>
      <c r="N4302" s="2" t="str">
        <f aca="false"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 t="str">
        <f aca="false">IF(OR(F4302="",G4302=""),"",IF(G4302&lt;='RETRATO 2027'!$K$5,"CONCLUÍDA",IF(F4302&lt;='RETRATO 2027'!$K$5,"EM ANDAMENTO","A INICIAR")))</f>
        <v/>
      </c>
    </row>
    <row r="4303" customFormat="false" ht="15" hidden="false" customHeight="false" outlineLevel="0" collapsed="false">
      <c r="M4303" s="2" t="str">
        <f aca="false">IF(C4303="","",IFERROR(INDEX($S$5:$S$304,MATCH(C4303,$R$5:$R$304,0))&amp;"","?"))</f>
        <v/>
      </c>
      <c r="N4303" s="2" t="str">
        <f aca="false"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 t="str">
        <f aca="false">IF(OR(F4303="",G4303=""),"",IF(G4303&lt;='RETRATO 2027'!$K$5,"CONCLUÍDA",IF(F4303&lt;='RETRATO 2027'!$K$5,"EM ANDAMENTO","A INICIAR")))</f>
        <v/>
      </c>
    </row>
    <row r="4304" customFormat="false" ht="15" hidden="false" customHeight="false" outlineLevel="0" collapsed="false">
      <c r="M4304" s="2" t="str">
        <f aca="false">IF(C4304="","",IFERROR(INDEX($S$5:$S$304,MATCH(C4304,$R$5:$R$304,0))&amp;"","?"))</f>
        <v/>
      </c>
      <c r="N4304" s="2" t="str">
        <f aca="false"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 t="str">
        <f aca="false">IF(OR(F4304="",G4304=""),"",IF(G4304&lt;='RETRATO 2027'!$K$5,"CONCLUÍDA",IF(F4304&lt;='RETRATO 2027'!$K$5,"EM ANDAMENTO","A INICIAR")))</f>
        <v/>
      </c>
    </row>
    <row r="4305" customFormat="false" ht="15" hidden="false" customHeight="false" outlineLevel="0" collapsed="false">
      <c r="M4305" s="2" t="str">
        <f aca="false">IF(C4305="","",IFERROR(INDEX($S$5:$S$304,MATCH(C4305,$R$5:$R$304,0))&amp;"","?"))</f>
        <v/>
      </c>
      <c r="N4305" s="2" t="str">
        <f aca="false"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 t="str">
        <f aca="false">IF(OR(F4305="",G4305=""),"",IF(G4305&lt;='RETRATO 2027'!$K$5,"CONCLUÍDA",IF(F4305&lt;='RETRATO 2027'!$K$5,"EM ANDAMENTO","A INICIAR")))</f>
        <v/>
      </c>
    </row>
    <row r="4306" customFormat="false" ht="15" hidden="false" customHeight="false" outlineLevel="0" collapsed="false">
      <c r="M4306" s="2" t="str">
        <f aca="false">IF(C4306="","",IFERROR(INDEX($S$5:$S$304,MATCH(C4306,$R$5:$R$304,0))&amp;"","?"))</f>
        <v/>
      </c>
      <c r="N4306" s="2" t="str">
        <f aca="false"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 t="str">
        <f aca="false">IF(OR(F4306="",G4306=""),"",IF(G4306&lt;='RETRATO 2027'!$K$5,"CONCLUÍDA",IF(F4306&lt;='RETRATO 2027'!$K$5,"EM ANDAMENTO","A INICIAR")))</f>
        <v/>
      </c>
    </row>
    <row r="4307" customFormat="false" ht="15" hidden="false" customHeight="false" outlineLevel="0" collapsed="false">
      <c r="M4307" s="2" t="str">
        <f aca="false">IF(C4307="","",IFERROR(INDEX($S$5:$S$304,MATCH(C4307,$R$5:$R$304,0))&amp;"","?"))</f>
        <v/>
      </c>
      <c r="N4307" s="2" t="str">
        <f aca="false"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 t="str">
        <f aca="false">IF(OR(F4307="",G4307=""),"",IF(G4307&lt;='RETRATO 2027'!$K$5,"CONCLUÍDA",IF(F4307&lt;='RETRATO 2027'!$K$5,"EM ANDAMENTO","A INICIAR")))</f>
        <v/>
      </c>
    </row>
    <row r="4308" customFormat="false" ht="15" hidden="false" customHeight="false" outlineLevel="0" collapsed="false">
      <c r="M4308" s="2" t="str">
        <f aca="false">IF(C4308="","",IFERROR(INDEX($S$5:$S$304,MATCH(C4308,$R$5:$R$304,0))&amp;"","?"))</f>
        <v/>
      </c>
      <c r="N4308" s="2" t="str">
        <f aca="false"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 t="str">
        <f aca="false">IF(OR(F4308="",G4308=""),"",IF(G4308&lt;='RETRATO 2027'!$K$5,"CONCLUÍDA",IF(F4308&lt;='RETRATO 2027'!$K$5,"EM ANDAMENTO","A INICIAR")))</f>
        <v/>
      </c>
    </row>
    <row r="4309" customFormat="false" ht="15" hidden="false" customHeight="false" outlineLevel="0" collapsed="false">
      <c r="M4309" s="2" t="str">
        <f aca="false">IF(C4309="","",IFERROR(INDEX($S$5:$S$304,MATCH(C4309,$R$5:$R$304,0))&amp;"","?"))</f>
        <v/>
      </c>
      <c r="N4309" s="2" t="str">
        <f aca="false"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 t="str">
        <f aca="false">IF(OR(F4309="",G4309=""),"",IF(G4309&lt;='RETRATO 2027'!$K$5,"CONCLUÍDA",IF(F4309&lt;='RETRATO 2027'!$K$5,"EM ANDAMENTO","A INICIAR")))</f>
        <v/>
      </c>
    </row>
    <row r="4310" customFormat="false" ht="15" hidden="false" customHeight="false" outlineLevel="0" collapsed="false">
      <c r="M4310" s="2" t="str">
        <f aca="false">IF(C4310="","",IFERROR(INDEX($S$5:$S$304,MATCH(C4310,$R$5:$R$304,0))&amp;"","?"))</f>
        <v/>
      </c>
      <c r="N4310" s="2" t="str">
        <f aca="false"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 t="str">
        <f aca="false">IF(OR(F4310="",G4310=""),"",IF(G4310&lt;='RETRATO 2027'!$K$5,"CONCLUÍDA",IF(F4310&lt;='RETRATO 2027'!$K$5,"EM ANDAMENTO","A INICIAR")))</f>
        <v/>
      </c>
    </row>
    <row r="4311" customFormat="false" ht="15" hidden="false" customHeight="false" outlineLevel="0" collapsed="false">
      <c r="M4311" s="2" t="str">
        <f aca="false">IF(C4311="","",IFERROR(INDEX($S$5:$S$304,MATCH(C4311,$R$5:$R$304,0))&amp;"","?"))</f>
        <v/>
      </c>
      <c r="N4311" s="2" t="str">
        <f aca="false"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 t="str">
        <f aca="false">IF(OR(F4311="",G4311=""),"",IF(G4311&lt;='RETRATO 2027'!$K$5,"CONCLUÍDA",IF(F4311&lt;='RETRATO 2027'!$K$5,"EM ANDAMENTO","A INICIAR")))</f>
        <v/>
      </c>
    </row>
    <row r="4312" customFormat="false" ht="15" hidden="false" customHeight="false" outlineLevel="0" collapsed="false">
      <c r="M4312" s="2" t="str">
        <f aca="false">IF(C4312="","",IFERROR(INDEX($S$5:$S$304,MATCH(C4312,$R$5:$R$304,0))&amp;"","?"))</f>
        <v/>
      </c>
      <c r="N4312" s="2" t="str">
        <f aca="false"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 t="str">
        <f aca="false">IF(OR(F4312="",G4312=""),"",IF(G4312&lt;='RETRATO 2027'!$K$5,"CONCLUÍDA",IF(F4312&lt;='RETRATO 2027'!$K$5,"EM ANDAMENTO","A INICIAR")))</f>
        <v/>
      </c>
    </row>
    <row r="4313" customFormat="false" ht="15" hidden="false" customHeight="false" outlineLevel="0" collapsed="false">
      <c r="M4313" s="2" t="str">
        <f aca="false">IF(C4313="","",IFERROR(INDEX($S$5:$S$304,MATCH(C4313,$R$5:$R$304,0))&amp;"","?"))</f>
        <v/>
      </c>
      <c r="N4313" s="2" t="str">
        <f aca="false"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 t="str">
        <f aca="false">IF(OR(F4313="",G4313=""),"",IF(G4313&lt;='RETRATO 2027'!$K$5,"CONCLUÍDA",IF(F4313&lt;='RETRATO 2027'!$K$5,"EM ANDAMENTO","A INICIAR")))</f>
        <v/>
      </c>
    </row>
    <row r="4314" customFormat="false" ht="15" hidden="false" customHeight="false" outlineLevel="0" collapsed="false">
      <c r="M4314" s="2" t="str">
        <f aca="false">IF(C4314="","",IFERROR(INDEX($S$5:$S$304,MATCH(C4314,$R$5:$R$304,0))&amp;"","?"))</f>
        <v/>
      </c>
      <c r="N4314" s="2" t="str">
        <f aca="false"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 t="str">
        <f aca="false">IF(OR(F4314="",G4314=""),"",IF(G4314&lt;='RETRATO 2027'!$K$5,"CONCLUÍDA",IF(F4314&lt;='RETRATO 2027'!$K$5,"EM ANDAMENTO","A INICIAR")))</f>
        <v/>
      </c>
    </row>
    <row r="4315" customFormat="false" ht="15" hidden="false" customHeight="false" outlineLevel="0" collapsed="false">
      <c r="M4315" s="2" t="str">
        <f aca="false">IF(C4315="","",IFERROR(INDEX($S$5:$S$304,MATCH(C4315,$R$5:$R$304,0))&amp;"","?"))</f>
        <v/>
      </c>
      <c r="N4315" s="2" t="str">
        <f aca="false"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 t="str">
        <f aca="false">IF(OR(F4315="",G4315=""),"",IF(G4315&lt;='RETRATO 2027'!$K$5,"CONCLUÍDA",IF(F4315&lt;='RETRATO 2027'!$K$5,"EM ANDAMENTO","A INICIAR")))</f>
        <v/>
      </c>
    </row>
    <row r="4316" customFormat="false" ht="15" hidden="false" customHeight="false" outlineLevel="0" collapsed="false">
      <c r="M4316" s="2" t="str">
        <f aca="false">IF(C4316="","",IFERROR(INDEX($S$5:$S$304,MATCH(C4316,$R$5:$R$304,0))&amp;"","?"))</f>
        <v/>
      </c>
      <c r="N4316" s="2" t="str">
        <f aca="false"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 t="str">
        <f aca="false">IF(OR(F4316="",G4316=""),"",IF(G4316&lt;='RETRATO 2027'!$K$5,"CONCLUÍDA",IF(F4316&lt;='RETRATO 2027'!$K$5,"EM ANDAMENTO","A INICIAR")))</f>
        <v/>
      </c>
    </row>
    <row r="4317" customFormat="false" ht="15" hidden="false" customHeight="false" outlineLevel="0" collapsed="false">
      <c r="M4317" s="2" t="str">
        <f aca="false">IF(C4317="","",IFERROR(INDEX($S$5:$S$304,MATCH(C4317,$R$5:$R$304,0))&amp;"","?"))</f>
        <v/>
      </c>
      <c r="N4317" s="2" t="str">
        <f aca="false"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 t="str">
        <f aca="false">IF(OR(F4317="",G4317=""),"",IF(G4317&lt;='RETRATO 2027'!$K$5,"CONCLUÍDA",IF(F4317&lt;='RETRATO 2027'!$K$5,"EM ANDAMENTO","A INICIAR")))</f>
        <v/>
      </c>
    </row>
    <row r="4318" customFormat="false" ht="15" hidden="false" customHeight="false" outlineLevel="0" collapsed="false">
      <c r="M4318" s="2" t="str">
        <f aca="false">IF(C4318="","",IFERROR(INDEX($S$5:$S$304,MATCH(C4318,$R$5:$R$304,0))&amp;"","?"))</f>
        <v/>
      </c>
      <c r="N4318" s="2" t="str">
        <f aca="false"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 t="str">
        <f aca="false">IF(OR(F4318="",G4318=""),"",IF(G4318&lt;='RETRATO 2027'!$K$5,"CONCLUÍDA",IF(F4318&lt;='RETRATO 2027'!$K$5,"EM ANDAMENTO","A INICIAR")))</f>
        <v/>
      </c>
    </row>
    <row r="4319" customFormat="false" ht="15" hidden="false" customHeight="false" outlineLevel="0" collapsed="false">
      <c r="M4319" s="2" t="str">
        <f aca="false">IF(C4319="","",IFERROR(INDEX($S$5:$S$304,MATCH(C4319,$R$5:$R$304,0))&amp;"","?"))</f>
        <v/>
      </c>
      <c r="N4319" s="2" t="str">
        <f aca="false"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 t="str">
        <f aca="false">IF(OR(F4319="",G4319=""),"",IF(G4319&lt;='RETRATO 2027'!$K$5,"CONCLUÍDA",IF(F4319&lt;='RETRATO 2027'!$K$5,"EM ANDAMENTO","A INICIAR")))</f>
        <v/>
      </c>
    </row>
    <row r="4320" customFormat="false" ht="15" hidden="false" customHeight="false" outlineLevel="0" collapsed="false">
      <c r="M4320" s="2" t="str">
        <f aca="false">IF(C4320="","",IFERROR(INDEX($S$5:$S$304,MATCH(C4320,$R$5:$R$304,0))&amp;"","?"))</f>
        <v/>
      </c>
      <c r="N4320" s="2" t="str">
        <f aca="false"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 t="str">
        <f aca="false">IF(OR(F4320="",G4320=""),"",IF(G4320&lt;='RETRATO 2027'!$K$5,"CONCLUÍDA",IF(F4320&lt;='RETRATO 2027'!$K$5,"EM ANDAMENTO","A INICIAR")))</f>
        <v/>
      </c>
    </row>
    <row r="4321" customFormat="false" ht="15" hidden="false" customHeight="false" outlineLevel="0" collapsed="false">
      <c r="M4321" s="2" t="str">
        <f aca="false">IF(C4321="","",IFERROR(INDEX($S$5:$S$304,MATCH(C4321,$R$5:$R$304,0))&amp;"","?"))</f>
        <v/>
      </c>
      <c r="N4321" s="2" t="str">
        <f aca="false"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 t="str">
        <f aca="false">IF(OR(F4321="",G4321=""),"",IF(G4321&lt;='RETRATO 2027'!$K$5,"CONCLUÍDA",IF(F4321&lt;='RETRATO 2027'!$K$5,"EM ANDAMENTO","A INICIAR")))</f>
        <v/>
      </c>
    </row>
    <row r="4322" customFormat="false" ht="15" hidden="false" customHeight="false" outlineLevel="0" collapsed="false">
      <c r="M4322" s="2" t="str">
        <f aca="false">IF(C4322="","",IFERROR(INDEX($S$5:$S$304,MATCH(C4322,$R$5:$R$304,0))&amp;"","?"))</f>
        <v/>
      </c>
      <c r="N4322" s="2" t="str">
        <f aca="false"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 t="str">
        <f aca="false">IF(OR(F4322="",G4322=""),"",IF(G4322&lt;='RETRATO 2027'!$K$5,"CONCLUÍDA",IF(F4322&lt;='RETRATO 2027'!$K$5,"EM ANDAMENTO","A INICIAR")))</f>
        <v/>
      </c>
    </row>
    <row r="4323" customFormat="false" ht="15" hidden="false" customHeight="false" outlineLevel="0" collapsed="false">
      <c r="M4323" s="2" t="str">
        <f aca="false">IF(C4323="","",IFERROR(INDEX($S$5:$S$304,MATCH(C4323,$R$5:$R$304,0))&amp;"","?"))</f>
        <v/>
      </c>
      <c r="N4323" s="2" t="str">
        <f aca="false"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 t="str">
        <f aca="false">IF(OR(F4323="",G4323=""),"",IF(G4323&lt;='RETRATO 2027'!$K$5,"CONCLUÍDA",IF(F4323&lt;='RETRATO 2027'!$K$5,"EM ANDAMENTO","A INICIAR")))</f>
        <v/>
      </c>
    </row>
    <row r="4324" customFormat="false" ht="15" hidden="false" customHeight="false" outlineLevel="0" collapsed="false">
      <c r="M4324" s="2" t="str">
        <f aca="false">IF(C4324="","",IFERROR(INDEX($S$5:$S$304,MATCH(C4324,$R$5:$R$304,0))&amp;"","?"))</f>
        <v/>
      </c>
      <c r="N4324" s="2" t="str">
        <f aca="false"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 t="str">
        <f aca="false">IF(OR(F4324="",G4324=""),"",IF(G4324&lt;='RETRATO 2027'!$K$5,"CONCLUÍDA",IF(F4324&lt;='RETRATO 2027'!$K$5,"EM ANDAMENTO","A INICIAR")))</f>
        <v/>
      </c>
    </row>
    <row r="4325" customFormat="false" ht="15" hidden="false" customHeight="false" outlineLevel="0" collapsed="false">
      <c r="M4325" s="2" t="str">
        <f aca="false">IF(C4325="","",IFERROR(INDEX($S$5:$S$304,MATCH(C4325,$R$5:$R$304,0))&amp;"","?"))</f>
        <v/>
      </c>
      <c r="N4325" s="2" t="str">
        <f aca="false"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 t="str">
        <f aca="false">IF(OR(F4325="",G4325=""),"",IF(G4325&lt;='RETRATO 2027'!$K$5,"CONCLUÍDA",IF(F4325&lt;='RETRATO 2027'!$K$5,"EM ANDAMENTO","A INICIAR")))</f>
        <v/>
      </c>
    </row>
    <row r="4326" customFormat="false" ht="15" hidden="false" customHeight="false" outlineLevel="0" collapsed="false">
      <c r="M4326" s="2" t="str">
        <f aca="false">IF(C4326="","",IFERROR(INDEX($S$5:$S$304,MATCH(C4326,$R$5:$R$304,0))&amp;"","?"))</f>
        <v/>
      </c>
      <c r="N4326" s="2" t="str">
        <f aca="false"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 t="str">
        <f aca="false">IF(OR(F4326="",G4326=""),"",IF(G4326&lt;='RETRATO 2027'!$K$5,"CONCLUÍDA",IF(F4326&lt;='RETRATO 2027'!$K$5,"EM ANDAMENTO","A INICIAR")))</f>
        <v/>
      </c>
    </row>
    <row r="4327" customFormat="false" ht="15" hidden="false" customHeight="false" outlineLevel="0" collapsed="false">
      <c r="M4327" s="2" t="str">
        <f aca="false">IF(C4327="","",IFERROR(INDEX($S$5:$S$304,MATCH(C4327,$R$5:$R$304,0))&amp;"","?"))</f>
        <v/>
      </c>
      <c r="N4327" s="2" t="str">
        <f aca="false"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 t="str">
        <f aca="false">IF(OR(F4327="",G4327=""),"",IF(G4327&lt;='RETRATO 2027'!$K$5,"CONCLUÍDA",IF(F4327&lt;='RETRATO 2027'!$K$5,"EM ANDAMENTO","A INICIAR")))</f>
        <v/>
      </c>
    </row>
    <row r="4328" customFormat="false" ht="15" hidden="false" customHeight="false" outlineLevel="0" collapsed="false">
      <c r="M4328" s="2" t="str">
        <f aca="false">IF(C4328="","",IFERROR(INDEX($S$5:$S$304,MATCH(C4328,$R$5:$R$304,0))&amp;"","?"))</f>
        <v/>
      </c>
      <c r="N4328" s="2" t="str">
        <f aca="false"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 t="str">
        <f aca="false">IF(OR(F4328="",G4328=""),"",IF(G4328&lt;='RETRATO 2027'!$K$5,"CONCLUÍDA",IF(F4328&lt;='RETRATO 2027'!$K$5,"EM ANDAMENTO","A INICIAR")))</f>
        <v/>
      </c>
    </row>
    <row r="4329" customFormat="false" ht="15" hidden="false" customHeight="false" outlineLevel="0" collapsed="false">
      <c r="M4329" s="2" t="str">
        <f aca="false">IF(C4329="","",IFERROR(INDEX($S$5:$S$304,MATCH(C4329,$R$5:$R$304,0))&amp;"","?"))</f>
        <v/>
      </c>
      <c r="N4329" s="2" t="str">
        <f aca="false"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 t="str">
        <f aca="false">IF(OR(F4329="",G4329=""),"",IF(G4329&lt;='RETRATO 2027'!$K$5,"CONCLUÍDA",IF(F4329&lt;='RETRATO 2027'!$K$5,"EM ANDAMENTO","A INICIAR")))</f>
        <v/>
      </c>
    </row>
    <row r="4330" customFormat="false" ht="15" hidden="false" customHeight="false" outlineLevel="0" collapsed="false">
      <c r="M4330" s="2" t="str">
        <f aca="false">IF(C4330="","",IFERROR(INDEX($S$5:$S$304,MATCH(C4330,$R$5:$R$304,0))&amp;"","?"))</f>
        <v/>
      </c>
      <c r="N4330" s="2" t="str">
        <f aca="false"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 t="str">
        <f aca="false">IF(OR(F4330="",G4330=""),"",IF(G4330&lt;='RETRATO 2027'!$K$5,"CONCLUÍDA",IF(F4330&lt;='RETRATO 2027'!$K$5,"EM ANDAMENTO","A INICIAR")))</f>
        <v/>
      </c>
    </row>
    <row r="4331" customFormat="false" ht="15" hidden="false" customHeight="false" outlineLevel="0" collapsed="false">
      <c r="M4331" s="2" t="str">
        <f aca="false">IF(C4331="","",IFERROR(INDEX($S$5:$S$304,MATCH(C4331,$R$5:$R$304,0))&amp;"","?"))</f>
        <v/>
      </c>
      <c r="N4331" s="2" t="str">
        <f aca="false"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 t="str">
        <f aca="false">IF(OR(F4331="",G4331=""),"",IF(G4331&lt;='RETRATO 2027'!$K$5,"CONCLUÍDA",IF(F4331&lt;='RETRATO 2027'!$K$5,"EM ANDAMENTO","A INICIAR")))</f>
        <v/>
      </c>
    </row>
    <row r="4332" customFormat="false" ht="15" hidden="false" customHeight="false" outlineLevel="0" collapsed="false">
      <c r="M4332" s="2" t="str">
        <f aca="false">IF(C4332="","",IFERROR(INDEX($S$5:$S$304,MATCH(C4332,$R$5:$R$304,0))&amp;"","?"))</f>
        <v/>
      </c>
      <c r="N4332" s="2" t="str">
        <f aca="false"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 t="str">
        <f aca="false">IF(OR(F4332="",G4332=""),"",IF(G4332&lt;='RETRATO 2027'!$K$5,"CONCLUÍDA",IF(F4332&lt;='RETRATO 2027'!$K$5,"EM ANDAMENTO","A INICIAR")))</f>
        <v/>
      </c>
    </row>
    <row r="4333" customFormat="false" ht="15" hidden="false" customHeight="false" outlineLevel="0" collapsed="false">
      <c r="M4333" s="2" t="str">
        <f aca="false">IF(C4333="","",IFERROR(INDEX($S$5:$S$304,MATCH(C4333,$R$5:$R$304,0))&amp;"","?"))</f>
        <v/>
      </c>
      <c r="N4333" s="2" t="str">
        <f aca="false"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 t="str">
        <f aca="false">IF(OR(F4333="",G4333=""),"",IF(G4333&lt;='RETRATO 2027'!$K$5,"CONCLUÍDA",IF(F4333&lt;='RETRATO 2027'!$K$5,"EM ANDAMENTO","A INICIAR")))</f>
        <v/>
      </c>
    </row>
    <row r="4334" customFormat="false" ht="15" hidden="false" customHeight="false" outlineLevel="0" collapsed="false">
      <c r="M4334" s="2" t="str">
        <f aca="false">IF(C4334="","",IFERROR(INDEX($S$5:$S$304,MATCH(C4334,$R$5:$R$304,0))&amp;"","?"))</f>
        <v/>
      </c>
      <c r="N4334" s="2" t="str">
        <f aca="false"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 t="str">
        <f aca="false">IF(OR(F4334="",G4334=""),"",IF(G4334&lt;='RETRATO 2027'!$K$5,"CONCLUÍDA",IF(F4334&lt;='RETRATO 2027'!$K$5,"EM ANDAMENTO","A INICIAR")))</f>
        <v/>
      </c>
    </row>
    <row r="4335" customFormat="false" ht="15" hidden="false" customHeight="false" outlineLevel="0" collapsed="false">
      <c r="M4335" s="2" t="str">
        <f aca="false">IF(C4335="","",IFERROR(INDEX($S$5:$S$304,MATCH(C4335,$R$5:$R$304,0))&amp;"","?"))</f>
        <v/>
      </c>
      <c r="N4335" s="2" t="str">
        <f aca="false"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 t="str">
        <f aca="false">IF(OR(F4335="",G4335=""),"",IF(G4335&lt;='RETRATO 2027'!$K$5,"CONCLUÍDA",IF(F4335&lt;='RETRATO 2027'!$K$5,"EM ANDAMENTO","A INICIAR")))</f>
        <v/>
      </c>
    </row>
    <row r="4336" customFormat="false" ht="15" hidden="false" customHeight="false" outlineLevel="0" collapsed="false">
      <c r="M4336" s="2" t="str">
        <f aca="false">IF(C4336="","",IFERROR(INDEX($S$5:$S$304,MATCH(C4336,$R$5:$R$304,0))&amp;"","?"))</f>
        <v/>
      </c>
      <c r="N4336" s="2" t="str">
        <f aca="false"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 t="str">
        <f aca="false">IF(OR(F4336="",G4336=""),"",IF(G4336&lt;='RETRATO 2027'!$K$5,"CONCLUÍDA",IF(F4336&lt;='RETRATO 2027'!$K$5,"EM ANDAMENTO","A INICIAR")))</f>
        <v/>
      </c>
    </row>
    <row r="4337" customFormat="false" ht="15" hidden="false" customHeight="false" outlineLevel="0" collapsed="false">
      <c r="M4337" s="2" t="str">
        <f aca="false">IF(C4337="","",IFERROR(INDEX($S$5:$S$304,MATCH(C4337,$R$5:$R$304,0))&amp;"","?"))</f>
        <v/>
      </c>
      <c r="N4337" s="2" t="str">
        <f aca="false"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 t="str">
        <f aca="false">IF(OR(F4337="",G4337=""),"",IF(G4337&lt;='RETRATO 2027'!$K$5,"CONCLUÍDA",IF(F4337&lt;='RETRATO 2027'!$K$5,"EM ANDAMENTO","A INICIAR")))</f>
        <v/>
      </c>
    </row>
    <row r="4338" customFormat="false" ht="15" hidden="false" customHeight="false" outlineLevel="0" collapsed="false">
      <c r="M4338" s="2" t="str">
        <f aca="false">IF(C4338="","",IFERROR(INDEX($S$5:$S$304,MATCH(C4338,$R$5:$R$304,0))&amp;"","?"))</f>
        <v/>
      </c>
      <c r="N4338" s="2" t="str">
        <f aca="false"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 t="str">
        <f aca="false">IF(OR(F4338="",G4338=""),"",IF(G4338&lt;='RETRATO 2027'!$K$5,"CONCLUÍDA",IF(F4338&lt;='RETRATO 2027'!$K$5,"EM ANDAMENTO","A INICIAR")))</f>
        <v/>
      </c>
    </row>
    <row r="4339" customFormat="false" ht="15" hidden="false" customHeight="false" outlineLevel="0" collapsed="false">
      <c r="M4339" s="2" t="str">
        <f aca="false">IF(C4339="","",IFERROR(INDEX($S$5:$S$304,MATCH(C4339,$R$5:$R$304,0))&amp;"","?"))</f>
        <v/>
      </c>
      <c r="N4339" s="2" t="str">
        <f aca="false"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 t="str">
        <f aca="false">IF(OR(F4339="",G4339=""),"",IF(G4339&lt;='RETRATO 2027'!$K$5,"CONCLUÍDA",IF(F4339&lt;='RETRATO 2027'!$K$5,"EM ANDAMENTO","A INICIAR")))</f>
        <v/>
      </c>
    </row>
    <row r="4340" customFormat="false" ht="15" hidden="false" customHeight="false" outlineLevel="0" collapsed="false">
      <c r="M4340" s="2" t="str">
        <f aca="false">IF(C4340="","",IFERROR(INDEX($S$5:$S$304,MATCH(C4340,$R$5:$R$304,0))&amp;"","?"))</f>
        <v/>
      </c>
      <c r="N4340" s="2" t="str">
        <f aca="false"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 t="str">
        <f aca="false">IF(OR(F4340="",G4340=""),"",IF(G4340&lt;='RETRATO 2027'!$K$5,"CONCLUÍDA",IF(F4340&lt;='RETRATO 2027'!$K$5,"EM ANDAMENTO","A INICIAR")))</f>
        <v/>
      </c>
    </row>
    <row r="4341" customFormat="false" ht="15" hidden="false" customHeight="false" outlineLevel="0" collapsed="false">
      <c r="M4341" s="2" t="str">
        <f aca="false">IF(C4341="","",IFERROR(INDEX($S$5:$S$304,MATCH(C4341,$R$5:$R$304,0))&amp;"","?"))</f>
        <v/>
      </c>
      <c r="N4341" s="2" t="str">
        <f aca="false"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 t="str">
        <f aca="false">IF(OR(F4341="",G4341=""),"",IF(G4341&lt;='RETRATO 2027'!$K$5,"CONCLUÍDA",IF(F4341&lt;='RETRATO 2027'!$K$5,"EM ANDAMENTO","A INICIAR")))</f>
        <v/>
      </c>
    </row>
    <row r="4342" customFormat="false" ht="15" hidden="false" customHeight="false" outlineLevel="0" collapsed="false">
      <c r="M4342" s="2" t="str">
        <f aca="false">IF(C4342="","",IFERROR(INDEX($S$5:$S$304,MATCH(C4342,$R$5:$R$304,0))&amp;"","?"))</f>
        <v/>
      </c>
      <c r="N4342" s="2" t="str">
        <f aca="false"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 t="str">
        <f aca="false">IF(OR(F4342="",G4342=""),"",IF(G4342&lt;='RETRATO 2027'!$K$5,"CONCLUÍDA",IF(F4342&lt;='RETRATO 2027'!$K$5,"EM ANDAMENTO","A INICIAR")))</f>
        <v/>
      </c>
    </row>
    <row r="4343" customFormat="false" ht="15" hidden="false" customHeight="false" outlineLevel="0" collapsed="false">
      <c r="M4343" s="2" t="str">
        <f aca="false">IF(C4343="","",IFERROR(INDEX($S$5:$S$304,MATCH(C4343,$R$5:$R$304,0))&amp;"","?"))</f>
        <v/>
      </c>
      <c r="N4343" s="2" t="str">
        <f aca="false"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 t="str">
        <f aca="false">IF(OR(F4343="",G4343=""),"",IF(G4343&lt;='RETRATO 2027'!$K$5,"CONCLUÍDA",IF(F4343&lt;='RETRATO 2027'!$K$5,"EM ANDAMENTO","A INICIAR")))</f>
        <v/>
      </c>
    </row>
    <row r="4344" customFormat="false" ht="15" hidden="false" customHeight="false" outlineLevel="0" collapsed="false">
      <c r="M4344" s="2" t="str">
        <f aca="false">IF(C4344="","",IFERROR(INDEX($S$5:$S$304,MATCH(C4344,$R$5:$R$304,0))&amp;"","?"))</f>
        <v/>
      </c>
      <c r="N4344" s="2" t="str">
        <f aca="false"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 t="str">
        <f aca="false">IF(OR(F4344="",G4344=""),"",IF(G4344&lt;='RETRATO 2027'!$K$5,"CONCLUÍDA",IF(F4344&lt;='RETRATO 2027'!$K$5,"EM ANDAMENTO","A INICIAR")))</f>
        <v/>
      </c>
    </row>
    <row r="4345" customFormat="false" ht="15" hidden="false" customHeight="false" outlineLevel="0" collapsed="false">
      <c r="M4345" s="2" t="str">
        <f aca="false">IF(C4345="","",IFERROR(INDEX($S$5:$S$304,MATCH(C4345,$R$5:$R$304,0))&amp;"","?"))</f>
        <v/>
      </c>
      <c r="N4345" s="2" t="str">
        <f aca="false"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 t="str">
        <f aca="false">IF(OR(F4345="",G4345=""),"",IF(G4345&lt;='RETRATO 2027'!$K$5,"CONCLUÍDA",IF(F4345&lt;='RETRATO 2027'!$K$5,"EM ANDAMENTO","A INICIAR")))</f>
        <v/>
      </c>
    </row>
    <row r="4346" customFormat="false" ht="15" hidden="false" customHeight="false" outlineLevel="0" collapsed="false">
      <c r="M4346" s="2" t="str">
        <f aca="false">IF(C4346="","",IFERROR(INDEX($S$5:$S$304,MATCH(C4346,$R$5:$R$304,0))&amp;"","?"))</f>
        <v/>
      </c>
      <c r="N4346" s="2" t="str">
        <f aca="false"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 t="str">
        <f aca="false">IF(OR(F4346="",G4346=""),"",IF(G4346&lt;='RETRATO 2027'!$K$5,"CONCLUÍDA",IF(F4346&lt;='RETRATO 2027'!$K$5,"EM ANDAMENTO","A INICIAR")))</f>
        <v/>
      </c>
    </row>
    <row r="4347" customFormat="false" ht="15" hidden="false" customHeight="false" outlineLevel="0" collapsed="false">
      <c r="M4347" s="2" t="str">
        <f aca="false">IF(C4347="","",IFERROR(INDEX($S$5:$S$304,MATCH(C4347,$R$5:$R$304,0))&amp;"","?"))</f>
        <v/>
      </c>
      <c r="N4347" s="2" t="str">
        <f aca="false"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 t="str">
        <f aca="false">IF(OR(F4347="",G4347=""),"",IF(G4347&lt;='RETRATO 2027'!$K$5,"CONCLUÍDA",IF(F4347&lt;='RETRATO 2027'!$K$5,"EM ANDAMENTO","A INICIAR")))</f>
        <v/>
      </c>
    </row>
    <row r="4348" customFormat="false" ht="15" hidden="false" customHeight="false" outlineLevel="0" collapsed="false">
      <c r="M4348" s="2" t="str">
        <f aca="false">IF(C4348="","",IFERROR(INDEX($S$5:$S$304,MATCH(C4348,$R$5:$R$304,0))&amp;"","?"))</f>
        <v/>
      </c>
      <c r="N4348" s="2" t="str">
        <f aca="false"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 t="str">
        <f aca="false">IF(OR(F4348="",G4348=""),"",IF(G4348&lt;='RETRATO 2027'!$K$5,"CONCLUÍDA",IF(F4348&lt;='RETRATO 2027'!$K$5,"EM ANDAMENTO","A INICIAR")))</f>
        <v/>
      </c>
    </row>
    <row r="4349" customFormat="false" ht="15" hidden="false" customHeight="false" outlineLevel="0" collapsed="false">
      <c r="M4349" s="2" t="str">
        <f aca="false">IF(C4349="","",IFERROR(INDEX($S$5:$S$304,MATCH(C4349,$R$5:$R$304,0))&amp;"","?"))</f>
        <v/>
      </c>
      <c r="N4349" s="2" t="str">
        <f aca="false"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 t="str">
        <f aca="false">IF(OR(F4349="",G4349=""),"",IF(G4349&lt;='RETRATO 2027'!$K$5,"CONCLUÍDA",IF(F4349&lt;='RETRATO 2027'!$K$5,"EM ANDAMENTO","A INICIAR")))</f>
        <v/>
      </c>
    </row>
    <row r="4350" customFormat="false" ht="15" hidden="false" customHeight="false" outlineLevel="0" collapsed="false">
      <c r="M4350" s="2" t="str">
        <f aca="false">IF(C4350="","",IFERROR(INDEX($S$5:$S$304,MATCH(C4350,$R$5:$R$304,0))&amp;"","?"))</f>
        <v/>
      </c>
      <c r="N4350" s="2" t="str">
        <f aca="false"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 t="str">
        <f aca="false">IF(OR(F4350="",G4350=""),"",IF(G4350&lt;='RETRATO 2027'!$K$5,"CONCLUÍDA",IF(F4350&lt;='RETRATO 2027'!$K$5,"EM ANDAMENTO","A INICIAR")))</f>
        <v/>
      </c>
    </row>
    <row r="4351" customFormat="false" ht="15" hidden="false" customHeight="false" outlineLevel="0" collapsed="false">
      <c r="M4351" s="2" t="str">
        <f aca="false">IF(C4351="","",IFERROR(INDEX($S$5:$S$304,MATCH(C4351,$R$5:$R$304,0))&amp;"","?"))</f>
        <v/>
      </c>
      <c r="N4351" s="2" t="str">
        <f aca="false"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 t="str">
        <f aca="false">IF(OR(F4351="",G4351=""),"",IF(G4351&lt;='RETRATO 2027'!$K$5,"CONCLUÍDA",IF(F4351&lt;='RETRATO 2027'!$K$5,"EM ANDAMENTO","A INICIAR")))</f>
        <v/>
      </c>
    </row>
    <row r="4352" customFormat="false" ht="15" hidden="false" customHeight="false" outlineLevel="0" collapsed="false">
      <c r="M4352" s="2" t="str">
        <f aca="false">IF(C4352="","",IFERROR(INDEX($S$5:$S$304,MATCH(C4352,$R$5:$R$304,0))&amp;"","?"))</f>
        <v/>
      </c>
      <c r="N4352" s="2" t="str">
        <f aca="false"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 t="str">
        <f aca="false">IF(OR(F4352="",G4352=""),"",IF(G4352&lt;='RETRATO 2027'!$K$5,"CONCLUÍDA",IF(F4352&lt;='RETRATO 2027'!$K$5,"EM ANDAMENTO","A INICIAR")))</f>
        <v/>
      </c>
    </row>
    <row r="4353" customFormat="false" ht="15" hidden="false" customHeight="false" outlineLevel="0" collapsed="false">
      <c r="M4353" s="2" t="str">
        <f aca="false">IF(C4353="","",IFERROR(INDEX($S$5:$S$304,MATCH(C4353,$R$5:$R$304,0))&amp;"","?"))</f>
        <v/>
      </c>
      <c r="N4353" s="2" t="str">
        <f aca="false"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 t="str">
        <f aca="false">IF(OR(F4353="",G4353=""),"",IF(G4353&lt;='RETRATO 2027'!$K$5,"CONCLUÍDA",IF(F4353&lt;='RETRATO 2027'!$K$5,"EM ANDAMENTO","A INICIAR")))</f>
        <v/>
      </c>
    </row>
    <row r="4354" customFormat="false" ht="15" hidden="false" customHeight="false" outlineLevel="0" collapsed="false">
      <c r="M4354" s="2" t="str">
        <f aca="false">IF(C4354="","",IFERROR(INDEX($S$5:$S$304,MATCH(C4354,$R$5:$R$304,0))&amp;"","?"))</f>
        <v/>
      </c>
      <c r="N4354" s="2" t="str">
        <f aca="false"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 t="str">
        <f aca="false">IF(OR(F4354="",G4354=""),"",IF(G4354&lt;='RETRATO 2027'!$K$5,"CONCLUÍDA",IF(F4354&lt;='RETRATO 2027'!$K$5,"EM ANDAMENTO","A INICIAR")))</f>
        <v/>
      </c>
    </row>
    <row r="4355" customFormat="false" ht="15" hidden="false" customHeight="false" outlineLevel="0" collapsed="false">
      <c r="M4355" s="2" t="str">
        <f aca="false">IF(C4355="","",IFERROR(INDEX($S$5:$S$304,MATCH(C4355,$R$5:$R$304,0))&amp;"","?"))</f>
        <v/>
      </c>
      <c r="N4355" s="2" t="str">
        <f aca="false"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 t="str">
        <f aca="false">IF(OR(F4355="",G4355=""),"",IF(G4355&lt;='RETRATO 2027'!$K$5,"CONCLUÍDA",IF(F4355&lt;='RETRATO 2027'!$K$5,"EM ANDAMENTO","A INICIAR")))</f>
        <v/>
      </c>
    </row>
    <row r="4356" customFormat="false" ht="15" hidden="false" customHeight="false" outlineLevel="0" collapsed="false">
      <c r="M4356" s="2" t="str">
        <f aca="false">IF(C4356="","",IFERROR(INDEX($S$5:$S$304,MATCH(C4356,$R$5:$R$304,0))&amp;"","?"))</f>
        <v/>
      </c>
      <c r="N4356" s="2" t="str">
        <f aca="false"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 t="str">
        <f aca="false">IF(OR(F4356="",G4356=""),"",IF(G4356&lt;='RETRATO 2027'!$K$5,"CONCLUÍDA",IF(F4356&lt;='RETRATO 2027'!$K$5,"EM ANDAMENTO","A INICIAR")))</f>
        <v/>
      </c>
    </row>
    <row r="4357" customFormat="false" ht="15" hidden="false" customHeight="false" outlineLevel="0" collapsed="false">
      <c r="M4357" s="2" t="str">
        <f aca="false">IF(C4357="","",IFERROR(INDEX($S$5:$S$304,MATCH(C4357,$R$5:$R$304,0))&amp;"","?"))</f>
        <v/>
      </c>
      <c r="N4357" s="2" t="str">
        <f aca="false"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 t="str">
        <f aca="false">IF(OR(F4357="",G4357=""),"",IF(G4357&lt;='RETRATO 2027'!$K$5,"CONCLUÍDA",IF(F4357&lt;='RETRATO 2027'!$K$5,"EM ANDAMENTO","A INICIAR")))</f>
        <v/>
      </c>
    </row>
    <row r="4358" customFormat="false" ht="15" hidden="false" customHeight="false" outlineLevel="0" collapsed="false">
      <c r="M4358" s="2" t="str">
        <f aca="false">IF(C4358="","",IFERROR(INDEX($S$5:$S$304,MATCH(C4358,$R$5:$R$304,0))&amp;"","?"))</f>
        <v/>
      </c>
      <c r="N4358" s="2" t="str">
        <f aca="false"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 t="str">
        <f aca="false">IF(OR(F4358="",G4358=""),"",IF(G4358&lt;='RETRATO 2027'!$K$5,"CONCLUÍDA",IF(F4358&lt;='RETRATO 2027'!$K$5,"EM ANDAMENTO","A INICIAR")))</f>
        <v/>
      </c>
    </row>
    <row r="4359" customFormat="false" ht="15" hidden="false" customHeight="false" outlineLevel="0" collapsed="false">
      <c r="M4359" s="2" t="str">
        <f aca="false">IF(C4359="","",IFERROR(INDEX($S$5:$S$304,MATCH(C4359,$R$5:$R$304,0))&amp;"","?"))</f>
        <v/>
      </c>
      <c r="N4359" s="2" t="str">
        <f aca="false"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 t="str">
        <f aca="false">IF(OR(F4359="",G4359=""),"",IF(G4359&lt;='RETRATO 2027'!$K$5,"CONCLUÍDA",IF(F4359&lt;='RETRATO 2027'!$K$5,"EM ANDAMENTO","A INICIAR")))</f>
        <v/>
      </c>
    </row>
    <row r="4360" customFormat="false" ht="15" hidden="false" customHeight="false" outlineLevel="0" collapsed="false">
      <c r="M4360" s="2" t="str">
        <f aca="false">IF(C4360="","",IFERROR(INDEX($S$5:$S$304,MATCH(C4360,$R$5:$R$304,0))&amp;"","?"))</f>
        <v/>
      </c>
      <c r="N4360" s="2" t="str">
        <f aca="false"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 t="str">
        <f aca="false">IF(OR(F4360="",G4360=""),"",IF(G4360&lt;='RETRATO 2027'!$K$5,"CONCLUÍDA",IF(F4360&lt;='RETRATO 2027'!$K$5,"EM ANDAMENTO","A INICIAR")))</f>
        <v/>
      </c>
    </row>
    <row r="4361" customFormat="false" ht="15" hidden="false" customHeight="false" outlineLevel="0" collapsed="false">
      <c r="M4361" s="2" t="str">
        <f aca="false">IF(C4361="","",IFERROR(INDEX($S$5:$S$304,MATCH(C4361,$R$5:$R$304,0))&amp;"","?"))</f>
        <v/>
      </c>
      <c r="N4361" s="2" t="str">
        <f aca="false"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 t="str">
        <f aca="false">IF(OR(F4361="",G4361=""),"",IF(G4361&lt;='RETRATO 2027'!$K$5,"CONCLUÍDA",IF(F4361&lt;='RETRATO 2027'!$K$5,"EM ANDAMENTO","A INICIAR")))</f>
        <v/>
      </c>
    </row>
    <row r="4362" customFormat="false" ht="15" hidden="false" customHeight="false" outlineLevel="0" collapsed="false">
      <c r="M4362" s="2" t="str">
        <f aca="false">IF(C4362="","",IFERROR(INDEX($S$5:$S$304,MATCH(C4362,$R$5:$R$304,0))&amp;"","?"))</f>
        <v/>
      </c>
      <c r="N4362" s="2" t="str">
        <f aca="false"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 t="str">
        <f aca="false">IF(OR(F4362="",G4362=""),"",IF(G4362&lt;='RETRATO 2027'!$K$5,"CONCLUÍDA",IF(F4362&lt;='RETRATO 2027'!$K$5,"EM ANDAMENTO","A INICIAR")))</f>
        <v/>
      </c>
    </row>
    <row r="4363" customFormat="false" ht="15" hidden="false" customHeight="false" outlineLevel="0" collapsed="false">
      <c r="M4363" s="2" t="str">
        <f aca="false">IF(C4363="","",IFERROR(INDEX($S$5:$S$304,MATCH(C4363,$R$5:$R$304,0))&amp;"","?"))</f>
        <v/>
      </c>
      <c r="N4363" s="2" t="str">
        <f aca="false"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 t="str">
        <f aca="false">IF(OR(F4363="",G4363=""),"",IF(G4363&lt;='RETRATO 2027'!$K$5,"CONCLUÍDA",IF(F4363&lt;='RETRATO 2027'!$K$5,"EM ANDAMENTO","A INICIAR")))</f>
        <v/>
      </c>
    </row>
    <row r="4364" customFormat="false" ht="15" hidden="false" customHeight="false" outlineLevel="0" collapsed="false">
      <c r="M4364" s="2" t="str">
        <f aca="false">IF(C4364="","",IFERROR(INDEX($S$5:$S$304,MATCH(C4364,$R$5:$R$304,0))&amp;"","?"))</f>
        <v/>
      </c>
      <c r="N4364" s="2" t="str">
        <f aca="false"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 t="str">
        <f aca="false">IF(OR(F4364="",G4364=""),"",IF(G4364&lt;='RETRATO 2027'!$K$5,"CONCLUÍDA",IF(F4364&lt;='RETRATO 2027'!$K$5,"EM ANDAMENTO","A INICIAR")))</f>
        <v/>
      </c>
    </row>
    <row r="4365" customFormat="false" ht="15" hidden="false" customHeight="false" outlineLevel="0" collapsed="false">
      <c r="M4365" s="2" t="str">
        <f aca="false">IF(C4365="","",IFERROR(INDEX($S$5:$S$304,MATCH(C4365,$R$5:$R$304,0))&amp;"","?"))</f>
        <v/>
      </c>
      <c r="N4365" s="2" t="str">
        <f aca="false"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 t="str">
        <f aca="false">IF(OR(F4365="",G4365=""),"",IF(G4365&lt;='RETRATO 2027'!$K$5,"CONCLUÍDA",IF(F4365&lt;='RETRATO 2027'!$K$5,"EM ANDAMENTO","A INICIAR")))</f>
        <v/>
      </c>
    </row>
    <row r="4366" customFormat="false" ht="15" hidden="false" customHeight="false" outlineLevel="0" collapsed="false">
      <c r="M4366" s="2" t="str">
        <f aca="false">IF(C4366="","",IFERROR(INDEX($S$5:$S$304,MATCH(C4366,$R$5:$R$304,0))&amp;"","?"))</f>
        <v/>
      </c>
      <c r="N4366" s="2" t="str">
        <f aca="false"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 t="str">
        <f aca="false">IF(OR(F4366="",G4366=""),"",IF(G4366&lt;='RETRATO 2027'!$K$5,"CONCLUÍDA",IF(F4366&lt;='RETRATO 2027'!$K$5,"EM ANDAMENTO","A INICIAR")))</f>
        <v/>
      </c>
    </row>
    <row r="4367" customFormat="false" ht="15" hidden="false" customHeight="false" outlineLevel="0" collapsed="false">
      <c r="M4367" s="2" t="str">
        <f aca="false">IF(C4367="","",IFERROR(INDEX($S$5:$S$304,MATCH(C4367,$R$5:$R$304,0))&amp;"","?"))</f>
        <v/>
      </c>
      <c r="N4367" s="2" t="str">
        <f aca="false"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 t="str">
        <f aca="false">IF(OR(F4367="",G4367=""),"",IF(G4367&lt;='RETRATO 2027'!$K$5,"CONCLUÍDA",IF(F4367&lt;='RETRATO 2027'!$K$5,"EM ANDAMENTO","A INICIAR")))</f>
        <v/>
      </c>
    </row>
    <row r="4368" customFormat="false" ht="15" hidden="false" customHeight="false" outlineLevel="0" collapsed="false">
      <c r="M4368" s="2" t="str">
        <f aca="false">IF(C4368="","",IFERROR(INDEX($S$5:$S$304,MATCH(C4368,$R$5:$R$304,0))&amp;"","?"))</f>
        <v/>
      </c>
      <c r="N4368" s="2" t="str">
        <f aca="false"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 t="str">
        <f aca="false">IF(OR(F4368="",G4368=""),"",IF(G4368&lt;='RETRATO 2027'!$K$5,"CONCLUÍDA",IF(F4368&lt;='RETRATO 2027'!$K$5,"EM ANDAMENTO","A INICIAR")))</f>
        <v/>
      </c>
    </row>
    <row r="4369" customFormat="false" ht="15" hidden="false" customHeight="false" outlineLevel="0" collapsed="false">
      <c r="M4369" s="2" t="str">
        <f aca="false">IF(C4369="","",IFERROR(INDEX($S$5:$S$304,MATCH(C4369,$R$5:$R$304,0))&amp;"","?"))</f>
        <v/>
      </c>
      <c r="N4369" s="2" t="str">
        <f aca="false"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 t="str">
        <f aca="false">IF(OR(F4369="",G4369=""),"",IF(G4369&lt;='RETRATO 2027'!$K$5,"CONCLUÍDA",IF(F4369&lt;='RETRATO 2027'!$K$5,"EM ANDAMENTO","A INICIAR")))</f>
        <v/>
      </c>
    </row>
    <row r="4370" customFormat="false" ht="15" hidden="false" customHeight="false" outlineLevel="0" collapsed="false">
      <c r="M4370" s="2" t="str">
        <f aca="false">IF(C4370="","",IFERROR(INDEX($S$5:$S$304,MATCH(C4370,$R$5:$R$304,0))&amp;"","?"))</f>
        <v/>
      </c>
      <c r="N4370" s="2" t="str">
        <f aca="false"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 t="str">
        <f aca="false">IF(OR(F4370="",G4370=""),"",IF(G4370&lt;='RETRATO 2027'!$K$5,"CONCLUÍDA",IF(F4370&lt;='RETRATO 2027'!$K$5,"EM ANDAMENTO","A INICIAR")))</f>
        <v/>
      </c>
    </row>
    <row r="4371" customFormat="false" ht="15" hidden="false" customHeight="false" outlineLevel="0" collapsed="false">
      <c r="M4371" s="2" t="str">
        <f aca="false">IF(C4371="","",IFERROR(INDEX($S$5:$S$304,MATCH(C4371,$R$5:$R$304,0))&amp;"","?"))</f>
        <v/>
      </c>
      <c r="N4371" s="2" t="str">
        <f aca="false"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 t="str">
        <f aca="false">IF(OR(F4371="",G4371=""),"",IF(G4371&lt;='RETRATO 2027'!$K$5,"CONCLUÍDA",IF(F4371&lt;='RETRATO 2027'!$K$5,"EM ANDAMENTO","A INICIAR")))</f>
        <v/>
      </c>
    </row>
    <row r="4372" customFormat="false" ht="15" hidden="false" customHeight="false" outlineLevel="0" collapsed="false">
      <c r="M4372" s="2" t="str">
        <f aca="false">IF(C4372="","",IFERROR(INDEX($S$5:$S$304,MATCH(C4372,$R$5:$R$304,0))&amp;"","?"))</f>
        <v/>
      </c>
      <c r="N4372" s="2" t="str">
        <f aca="false"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 t="str">
        <f aca="false">IF(OR(F4372="",G4372=""),"",IF(G4372&lt;='RETRATO 2027'!$K$5,"CONCLUÍDA",IF(F4372&lt;='RETRATO 2027'!$K$5,"EM ANDAMENTO","A INICIAR")))</f>
        <v/>
      </c>
    </row>
    <row r="4373" customFormat="false" ht="15" hidden="false" customHeight="false" outlineLevel="0" collapsed="false">
      <c r="M4373" s="2" t="str">
        <f aca="false">IF(C4373="","",IFERROR(INDEX($S$5:$S$304,MATCH(C4373,$R$5:$R$304,0))&amp;"","?"))</f>
        <v/>
      </c>
      <c r="N4373" s="2" t="str">
        <f aca="false"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 t="str">
        <f aca="false">IF(OR(F4373="",G4373=""),"",IF(G4373&lt;='RETRATO 2027'!$K$5,"CONCLUÍDA",IF(F4373&lt;='RETRATO 2027'!$K$5,"EM ANDAMENTO","A INICIAR")))</f>
        <v/>
      </c>
    </row>
    <row r="4374" customFormat="false" ht="15" hidden="false" customHeight="false" outlineLevel="0" collapsed="false">
      <c r="M4374" s="2" t="str">
        <f aca="false">IF(C4374="","",IFERROR(INDEX($S$5:$S$304,MATCH(C4374,$R$5:$R$304,0))&amp;"","?"))</f>
        <v/>
      </c>
      <c r="N4374" s="2" t="str">
        <f aca="false"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 t="str">
        <f aca="false">IF(OR(F4374="",G4374=""),"",IF(G4374&lt;='RETRATO 2027'!$K$5,"CONCLUÍDA",IF(F4374&lt;='RETRATO 2027'!$K$5,"EM ANDAMENTO","A INICIAR")))</f>
        <v/>
      </c>
    </row>
    <row r="4375" customFormat="false" ht="15" hidden="false" customHeight="false" outlineLevel="0" collapsed="false">
      <c r="M4375" s="2" t="str">
        <f aca="false">IF(C4375="","",IFERROR(INDEX($S$5:$S$304,MATCH(C4375,$R$5:$R$304,0))&amp;"","?"))</f>
        <v/>
      </c>
      <c r="N4375" s="2" t="str">
        <f aca="false"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 t="str">
        <f aca="false">IF(OR(F4375="",G4375=""),"",IF(G4375&lt;='RETRATO 2027'!$K$5,"CONCLUÍDA",IF(F4375&lt;='RETRATO 2027'!$K$5,"EM ANDAMENTO","A INICIAR")))</f>
        <v/>
      </c>
    </row>
    <row r="4376" customFormat="false" ht="15" hidden="false" customHeight="false" outlineLevel="0" collapsed="false">
      <c r="M4376" s="2" t="str">
        <f aca="false">IF(C4376="","",IFERROR(INDEX($S$5:$S$304,MATCH(C4376,$R$5:$R$304,0))&amp;"","?"))</f>
        <v/>
      </c>
      <c r="N4376" s="2" t="str">
        <f aca="false"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 t="str">
        <f aca="false">IF(OR(F4376="",G4376=""),"",IF(G4376&lt;='RETRATO 2027'!$K$5,"CONCLUÍDA",IF(F4376&lt;='RETRATO 2027'!$K$5,"EM ANDAMENTO","A INICIAR")))</f>
        <v/>
      </c>
    </row>
    <row r="4377" customFormat="false" ht="15" hidden="false" customHeight="false" outlineLevel="0" collapsed="false">
      <c r="M4377" s="2" t="str">
        <f aca="false">IF(C4377="","",IFERROR(INDEX($S$5:$S$304,MATCH(C4377,$R$5:$R$304,0))&amp;"","?"))</f>
        <v/>
      </c>
      <c r="N4377" s="2" t="str">
        <f aca="false"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 t="str">
        <f aca="false">IF(OR(F4377="",G4377=""),"",IF(G4377&lt;='RETRATO 2027'!$K$5,"CONCLUÍDA",IF(F4377&lt;='RETRATO 2027'!$K$5,"EM ANDAMENTO","A INICIAR")))</f>
        <v/>
      </c>
    </row>
    <row r="4378" customFormat="false" ht="15" hidden="false" customHeight="false" outlineLevel="0" collapsed="false">
      <c r="M4378" s="2" t="str">
        <f aca="false">IF(C4378="","",IFERROR(INDEX($S$5:$S$304,MATCH(C4378,$R$5:$R$304,0))&amp;"","?"))</f>
        <v/>
      </c>
      <c r="N4378" s="2" t="str">
        <f aca="false"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 t="str">
        <f aca="false">IF(OR(F4378="",G4378=""),"",IF(G4378&lt;='RETRATO 2027'!$K$5,"CONCLUÍDA",IF(F4378&lt;='RETRATO 2027'!$K$5,"EM ANDAMENTO","A INICIAR")))</f>
        <v/>
      </c>
    </row>
    <row r="4379" customFormat="false" ht="15" hidden="false" customHeight="false" outlineLevel="0" collapsed="false">
      <c r="M4379" s="2" t="str">
        <f aca="false">IF(C4379="","",IFERROR(INDEX($S$5:$S$304,MATCH(C4379,$R$5:$R$304,0))&amp;"","?"))</f>
        <v/>
      </c>
      <c r="N4379" s="2" t="str">
        <f aca="false"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 t="str">
        <f aca="false">IF(OR(F4379="",G4379=""),"",IF(G4379&lt;='RETRATO 2027'!$K$5,"CONCLUÍDA",IF(F4379&lt;='RETRATO 2027'!$K$5,"EM ANDAMENTO","A INICIAR")))</f>
        <v/>
      </c>
    </row>
    <row r="4380" customFormat="false" ht="15" hidden="false" customHeight="false" outlineLevel="0" collapsed="false">
      <c r="M4380" s="2" t="str">
        <f aca="false">IF(C4380="","",IFERROR(INDEX($S$5:$S$304,MATCH(C4380,$R$5:$R$304,0))&amp;"","?"))</f>
        <v/>
      </c>
      <c r="N4380" s="2" t="str">
        <f aca="false"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 t="str">
        <f aca="false">IF(OR(F4380="",G4380=""),"",IF(G4380&lt;='RETRATO 2027'!$K$5,"CONCLUÍDA",IF(F4380&lt;='RETRATO 2027'!$K$5,"EM ANDAMENTO","A INICIAR")))</f>
        <v/>
      </c>
    </row>
    <row r="4381" customFormat="false" ht="15" hidden="false" customHeight="false" outlineLevel="0" collapsed="false">
      <c r="M4381" s="2" t="str">
        <f aca="false">IF(C4381="","",IFERROR(INDEX($S$5:$S$304,MATCH(C4381,$R$5:$R$304,0))&amp;"","?"))</f>
        <v/>
      </c>
      <c r="N4381" s="2" t="str">
        <f aca="false"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 t="str">
        <f aca="false">IF(OR(F4381="",G4381=""),"",IF(G4381&lt;='RETRATO 2027'!$K$5,"CONCLUÍDA",IF(F4381&lt;='RETRATO 2027'!$K$5,"EM ANDAMENTO","A INICIAR")))</f>
        <v/>
      </c>
    </row>
    <row r="4382" customFormat="false" ht="15" hidden="false" customHeight="false" outlineLevel="0" collapsed="false">
      <c r="M4382" s="2" t="str">
        <f aca="false">IF(C4382="","",IFERROR(INDEX($S$5:$S$304,MATCH(C4382,$R$5:$R$304,0))&amp;"","?"))</f>
        <v/>
      </c>
      <c r="N4382" s="2" t="str">
        <f aca="false"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 t="str">
        <f aca="false">IF(OR(F4382="",G4382=""),"",IF(G4382&lt;='RETRATO 2027'!$K$5,"CONCLUÍDA",IF(F4382&lt;='RETRATO 2027'!$K$5,"EM ANDAMENTO","A INICIAR")))</f>
        <v/>
      </c>
    </row>
    <row r="4383" customFormat="false" ht="15" hidden="false" customHeight="false" outlineLevel="0" collapsed="false">
      <c r="M4383" s="2" t="str">
        <f aca="false">IF(C4383="","",IFERROR(INDEX($S$5:$S$304,MATCH(C4383,$R$5:$R$304,0))&amp;"","?"))</f>
        <v/>
      </c>
      <c r="N4383" s="2" t="str">
        <f aca="false"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 t="str">
        <f aca="false">IF(OR(F4383="",G4383=""),"",IF(G4383&lt;='RETRATO 2027'!$K$5,"CONCLUÍDA",IF(F4383&lt;='RETRATO 2027'!$K$5,"EM ANDAMENTO","A INICIAR")))</f>
        <v/>
      </c>
    </row>
    <row r="4384" customFormat="false" ht="15" hidden="false" customHeight="false" outlineLevel="0" collapsed="false">
      <c r="M4384" s="2" t="str">
        <f aca="false">IF(C4384="","",IFERROR(INDEX($S$5:$S$304,MATCH(C4384,$R$5:$R$304,0))&amp;"","?"))</f>
        <v/>
      </c>
      <c r="N4384" s="2" t="str">
        <f aca="false"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 t="str">
        <f aca="false">IF(OR(F4384="",G4384=""),"",IF(G4384&lt;='RETRATO 2027'!$K$5,"CONCLUÍDA",IF(F4384&lt;='RETRATO 2027'!$K$5,"EM ANDAMENTO","A INICIAR")))</f>
        <v/>
      </c>
    </row>
    <row r="4385" customFormat="false" ht="15" hidden="false" customHeight="false" outlineLevel="0" collapsed="false">
      <c r="M4385" s="2" t="str">
        <f aca="false">IF(C4385="","",IFERROR(INDEX($S$5:$S$304,MATCH(C4385,$R$5:$R$304,0))&amp;"","?"))</f>
        <v/>
      </c>
      <c r="N4385" s="2" t="str">
        <f aca="false"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 t="str">
        <f aca="false">IF(OR(F4385="",G4385=""),"",IF(G4385&lt;='RETRATO 2027'!$K$5,"CONCLUÍDA",IF(F4385&lt;='RETRATO 2027'!$K$5,"EM ANDAMENTO","A INICIAR")))</f>
        <v/>
      </c>
    </row>
    <row r="4386" customFormat="false" ht="15" hidden="false" customHeight="false" outlineLevel="0" collapsed="false">
      <c r="M4386" s="2" t="str">
        <f aca="false">IF(C4386="","",IFERROR(INDEX($S$5:$S$304,MATCH(C4386,$R$5:$R$304,0))&amp;"","?"))</f>
        <v/>
      </c>
      <c r="N4386" s="2" t="str">
        <f aca="false"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 t="str">
        <f aca="false">IF(OR(F4386="",G4386=""),"",IF(G4386&lt;='RETRATO 2027'!$K$5,"CONCLUÍDA",IF(F4386&lt;='RETRATO 2027'!$K$5,"EM ANDAMENTO","A INICIAR")))</f>
        <v/>
      </c>
    </row>
    <row r="4387" customFormat="false" ht="15" hidden="false" customHeight="false" outlineLevel="0" collapsed="false">
      <c r="M4387" s="2" t="str">
        <f aca="false">IF(C4387="","",IFERROR(INDEX($S$5:$S$304,MATCH(C4387,$R$5:$R$304,0))&amp;"","?"))</f>
        <v/>
      </c>
      <c r="N4387" s="2" t="str">
        <f aca="false"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 t="str">
        <f aca="false">IF(OR(F4387="",G4387=""),"",IF(G4387&lt;='RETRATO 2027'!$K$5,"CONCLUÍDA",IF(F4387&lt;='RETRATO 2027'!$K$5,"EM ANDAMENTO","A INICIAR")))</f>
        <v/>
      </c>
    </row>
    <row r="4388" customFormat="false" ht="15" hidden="false" customHeight="false" outlineLevel="0" collapsed="false">
      <c r="M4388" s="2" t="str">
        <f aca="false">IF(C4388="","",IFERROR(INDEX($S$5:$S$304,MATCH(C4388,$R$5:$R$304,0))&amp;"","?"))</f>
        <v/>
      </c>
      <c r="N4388" s="2" t="str">
        <f aca="false"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 t="str">
        <f aca="false">IF(OR(F4388="",G4388=""),"",IF(G4388&lt;='RETRATO 2027'!$K$5,"CONCLUÍDA",IF(F4388&lt;='RETRATO 2027'!$K$5,"EM ANDAMENTO","A INICIAR")))</f>
        <v/>
      </c>
    </row>
    <row r="4389" customFormat="false" ht="15" hidden="false" customHeight="false" outlineLevel="0" collapsed="false">
      <c r="M4389" s="2" t="str">
        <f aca="false">IF(C4389="","",IFERROR(INDEX($S$5:$S$304,MATCH(C4389,$R$5:$R$304,0))&amp;"","?"))</f>
        <v/>
      </c>
      <c r="N4389" s="2" t="str">
        <f aca="false"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 t="str">
        <f aca="false">IF(OR(F4389="",G4389=""),"",IF(G4389&lt;='RETRATO 2027'!$K$5,"CONCLUÍDA",IF(F4389&lt;='RETRATO 2027'!$K$5,"EM ANDAMENTO","A INICIAR")))</f>
        <v/>
      </c>
    </row>
    <row r="4390" customFormat="false" ht="15" hidden="false" customHeight="false" outlineLevel="0" collapsed="false">
      <c r="M4390" s="2" t="str">
        <f aca="false">IF(C4390="","",IFERROR(INDEX($S$5:$S$304,MATCH(C4390,$R$5:$R$304,0))&amp;"","?"))</f>
        <v/>
      </c>
      <c r="N4390" s="2" t="str">
        <f aca="false"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 t="str">
        <f aca="false">IF(OR(F4390="",G4390=""),"",IF(G4390&lt;='RETRATO 2027'!$K$5,"CONCLUÍDA",IF(F4390&lt;='RETRATO 2027'!$K$5,"EM ANDAMENTO","A INICIAR")))</f>
        <v/>
      </c>
    </row>
    <row r="4391" customFormat="false" ht="15" hidden="false" customHeight="false" outlineLevel="0" collapsed="false">
      <c r="M4391" s="2" t="str">
        <f aca="false">IF(C4391="","",IFERROR(INDEX($S$5:$S$304,MATCH(C4391,$R$5:$R$304,0))&amp;"","?"))</f>
        <v/>
      </c>
      <c r="N4391" s="2" t="str">
        <f aca="false"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 t="str">
        <f aca="false">IF(OR(F4391="",G4391=""),"",IF(G4391&lt;='RETRATO 2027'!$K$5,"CONCLUÍDA",IF(F4391&lt;='RETRATO 2027'!$K$5,"EM ANDAMENTO","A INICIAR")))</f>
        <v/>
      </c>
    </row>
    <row r="4392" customFormat="false" ht="15" hidden="false" customHeight="false" outlineLevel="0" collapsed="false">
      <c r="M4392" s="2" t="str">
        <f aca="false">IF(C4392="","",IFERROR(INDEX($S$5:$S$304,MATCH(C4392,$R$5:$R$304,0))&amp;"","?"))</f>
        <v/>
      </c>
      <c r="N4392" s="2" t="str">
        <f aca="false"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 t="str">
        <f aca="false">IF(OR(F4392="",G4392=""),"",IF(G4392&lt;='RETRATO 2027'!$K$5,"CONCLUÍDA",IF(F4392&lt;='RETRATO 2027'!$K$5,"EM ANDAMENTO","A INICIAR")))</f>
        <v/>
      </c>
    </row>
    <row r="4393" customFormat="false" ht="15" hidden="false" customHeight="false" outlineLevel="0" collapsed="false">
      <c r="M4393" s="2" t="str">
        <f aca="false">IF(C4393="","",IFERROR(INDEX($S$5:$S$304,MATCH(C4393,$R$5:$R$304,0))&amp;"","?"))</f>
        <v/>
      </c>
      <c r="N4393" s="2" t="str">
        <f aca="false"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 t="str">
        <f aca="false">IF(OR(F4393="",G4393=""),"",IF(G4393&lt;='RETRATO 2027'!$K$5,"CONCLUÍDA",IF(F4393&lt;='RETRATO 2027'!$K$5,"EM ANDAMENTO","A INICIAR")))</f>
        <v/>
      </c>
    </row>
    <row r="4394" customFormat="false" ht="15" hidden="false" customHeight="false" outlineLevel="0" collapsed="false">
      <c r="M4394" s="2" t="str">
        <f aca="false">IF(C4394="","",IFERROR(INDEX($S$5:$S$304,MATCH(C4394,$R$5:$R$304,0))&amp;"","?"))</f>
        <v/>
      </c>
      <c r="N4394" s="2" t="str">
        <f aca="false"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 t="str">
        <f aca="false">IF(OR(F4394="",G4394=""),"",IF(G4394&lt;='RETRATO 2027'!$K$5,"CONCLUÍDA",IF(F4394&lt;='RETRATO 2027'!$K$5,"EM ANDAMENTO","A INICIAR")))</f>
        <v/>
      </c>
    </row>
    <row r="4395" customFormat="false" ht="15" hidden="false" customHeight="false" outlineLevel="0" collapsed="false">
      <c r="M4395" s="2" t="str">
        <f aca="false">IF(C4395="","",IFERROR(INDEX($S$5:$S$304,MATCH(C4395,$R$5:$R$304,0))&amp;"","?"))</f>
        <v/>
      </c>
      <c r="N4395" s="2" t="str">
        <f aca="false"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 t="str">
        <f aca="false">IF(OR(F4395="",G4395=""),"",IF(G4395&lt;='RETRATO 2027'!$K$5,"CONCLUÍDA",IF(F4395&lt;='RETRATO 2027'!$K$5,"EM ANDAMENTO","A INICIAR")))</f>
        <v/>
      </c>
    </row>
    <row r="4396" customFormat="false" ht="15" hidden="false" customHeight="false" outlineLevel="0" collapsed="false">
      <c r="M4396" s="2" t="str">
        <f aca="false">IF(C4396="","",IFERROR(INDEX($S$5:$S$304,MATCH(C4396,$R$5:$R$304,0))&amp;"","?"))</f>
        <v/>
      </c>
      <c r="N4396" s="2" t="str">
        <f aca="false"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 t="str">
        <f aca="false">IF(OR(F4396="",G4396=""),"",IF(G4396&lt;='RETRATO 2027'!$K$5,"CONCLUÍDA",IF(F4396&lt;='RETRATO 2027'!$K$5,"EM ANDAMENTO","A INICIAR")))</f>
        <v/>
      </c>
    </row>
    <row r="4397" customFormat="false" ht="15" hidden="false" customHeight="false" outlineLevel="0" collapsed="false">
      <c r="M4397" s="2" t="str">
        <f aca="false">IF(C4397="","",IFERROR(INDEX($S$5:$S$304,MATCH(C4397,$R$5:$R$304,0))&amp;"","?"))</f>
        <v/>
      </c>
      <c r="N4397" s="2" t="str">
        <f aca="false"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 t="str">
        <f aca="false">IF(OR(F4397="",G4397=""),"",IF(G4397&lt;='RETRATO 2027'!$K$5,"CONCLUÍDA",IF(F4397&lt;='RETRATO 2027'!$K$5,"EM ANDAMENTO","A INICIAR")))</f>
        <v/>
      </c>
    </row>
    <row r="4398" customFormat="false" ht="15" hidden="false" customHeight="false" outlineLevel="0" collapsed="false">
      <c r="M4398" s="2" t="str">
        <f aca="false">IF(C4398="","",IFERROR(INDEX($S$5:$S$304,MATCH(C4398,$R$5:$R$304,0))&amp;"","?"))</f>
        <v/>
      </c>
      <c r="N4398" s="2" t="str">
        <f aca="false"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 t="str">
        <f aca="false">IF(OR(F4398="",G4398=""),"",IF(G4398&lt;='RETRATO 2027'!$K$5,"CONCLUÍDA",IF(F4398&lt;='RETRATO 2027'!$K$5,"EM ANDAMENTO","A INICIAR")))</f>
        <v/>
      </c>
    </row>
    <row r="4399" customFormat="false" ht="15" hidden="false" customHeight="false" outlineLevel="0" collapsed="false">
      <c r="M4399" s="2" t="str">
        <f aca="false">IF(C4399="","",IFERROR(INDEX($S$5:$S$304,MATCH(C4399,$R$5:$R$304,0))&amp;"","?"))</f>
        <v/>
      </c>
      <c r="N4399" s="2" t="str">
        <f aca="false"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 t="str">
        <f aca="false">IF(OR(F4399="",G4399=""),"",IF(G4399&lt;='RETRATO 2027'!$K$5,"CONCLUÍDA",IF(F4399&lt;='RETRATO 2027'!$K$5,"EM ANDAMENTO","A INICIAR")))</f>
        <v/>
      </c>
    </row>
    <row r="4400" customFormat="false" ht="15" hidden="false" customHeight="false" outlineLevel="0" collapsed="false">
      <c r="M4400" s="2" t="str">
        <f aca="false">IF(C4400="","",IFERROR(INDEX($S$5:$S$304,MATCH(C4400,$R$5:$R$304,0))&amp;"","?"))</f>
        <v/>
      </c>
      <c r="N4400" s="2" t="str">
        <f aca="false"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 t="str">
        <f aca="false">IF(OR(F4400="",G4400=""),"",IF(G4400&lt;='RETRATO 2027'!$K$5,"CONCLUÍDA",IF(F4400&lt;='RETRATO 2027'!$K$5,"EM ANDAMENTO","A INICIAR")))</f>
        <v/>
      </c>
    </row>
    <row r="4401" customFormat="false" ht="15" hidden="false" customHeight="false" outlineLevel="0" collapsed="false">
      <c r="M4401" s="2" t="str">
        <f aca="false">IF(C4401="","",IFERROR(INDEX($S$5:$S$304,MATCH(C4401,$R$5:$R$304,0))&amp;"","?"))</f>
        <v/>
      </c>
      <c r="N4401" s="2" t="str">
        <f aca="false"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 t="str">
        <f aca="false">IF(OR(F4401="",G4401=""),"",IF(G4401&lt;='RETRATO 2027'!$K$5,"CONCLUÍDA",IF(F4401&lt;='RETRATO 2027'!$K$5,"EM ANDAMENTO","A INICIAR")))</f>
        <v/>
      </c>
    </row>
    <row r="4402" customFormat="false" ht="15" hidden="false" customHeight="false" outlineLevel="0" collapsed="false">
      <c r="M4402" s="2" t="str">
        <f aca="false">IF(C4402="","",IFERROR(INDEX($S$5:$S$304,MATCH(C4402,$R$5:$R$304,0))&amp;"","?"))</f>
        <v/>
      </c>
      <c r="N4402" s="2" t="str">
        <f aca="false"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 t="str">
        <f aca="false">IF(OR(F4402="",G4402=""),"",IF(G4402&lt;='RETRATO 2027'!$K$5,"CONCLUÍDA",IF(F4402&lt;='RETRATO 2027'!$K$5,"EM ANDAMENTO","A INICIAR")))</f>
        <v/>
      </c>
    </row>
    <row r="4403" customFormat="false" ht="15" hidden="false" customHeight="false" outlineLevel="0" collapsed="false">
      <c r="M4403" s="2" t="str">
        <f aca="false">IF(C4403="","",IFERROR(INDEX($S$5:$S$304,MATCH(C4403,$R$5:$R$304,0))&amp;"","?"))</f>
        <v/>
      </c>
      <c r="N4403" s="2" t="str">
        <f aca="false"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 t="str">
        <f aca="false">IF(OR(F4403="",G4403=""),"",IF(G4403&lt;='RETRATO 2027'!$K$5,"CONCLUÍDA",IF(F4403&lt;='RETRATO 2027'!$K$5,"EM ANDAMENTO","A INICIAR")))</f>
        <v/>
      </c>
    </row>
    <row r="4404" customFormat="false" ht="15" hidden="false" customHeight="false" outlineLevel="0" collapsed="false">
      <c r="M4404" s="2" t="str">
        <f aca="false">IF(C4404="","",IFERROR(INDEX($S$5:$S$304,MATCH(C4404,$R$5:$R$304,0))&amp;"","?"))</f>
        <v/>
      </c>
      <c r="N4404" s="2" t="str">
        <f aca="false"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 t="str">
        <f aca="false">IF(OR(F4404="",G4404=""),"",IF(G4404&lt;='RETRATO 2027'!$K$5,"CONCLUÍDA",IF(F4404&lt;='RETRATO 2027'!$K$5,"EM ANDAMENTO","A INICIAR")))</f>
        <v/>
      </c>
    </row>
    <row r="4405" customFormat="false" ht="15" hidden="false" customHeight="false" outlineLevel="0" collapsed="false">
      <c r="M4405" s="2" t="str">
        <f aca="false">IF(C4405="","",IFERROR(INDEX($S$5:$S$304,MATCH(C4405,$R$5:$R$304,0))&amp;"","?"))</f>
        <v/>
      </c>
      <c r="N4405" s="2" t="str">
        <f aca="false"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 t="str">
        <f aca="false">IF(OR(F4405="",G4405=""),"",IF(G4405&lt;='RETRATO 2027'!$K$5,"CONCLUÍDA",IF(F4405&lt;='RETRATO 2027'!$K$5,"EM ANDAMENTO","A INICIAR")))</f>
        <v/>
      </c>
    </row>
    <row r="4406" customFormat="false" ht="15" hidden="false" customHeight="false" outlineLevel="0" collapsed="false">
      <c r="M4406" s="2" t="str">
        <f aca="false">IF(C4406="","",IFERROR(INDEX($S$5:$S$304,MATCH(C4406,$R$5:$R$304,0))&amp;"","?"))</f>
        <v/>
      </c>
      <c r="N4406" s="2" t="str">
        <f aca="false"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 t="str">
        <f aca="false">IF(OR(F4406="",G4406=""),"",IF(G4406&lt;='RETRATO 2027'!$K$5,"CONCLUÍDA",IF(F4406&lt;='RETRATO 2027'!$K$5,"EM ANDAMENTO","A INICIAR")))</f>
        <v/>
      </c>
    </row>
    <row r="4407" customFormat="false" ht="15" hidden="false" customHeight="false" outlineLevel="0" collapsed="false">
      <c r="M4407" s="2" t="str">
        <f aca="false">IF(C4407="","",IFERROR(INDEX($S$5:$S$304,MATCH(C4407,$R$5:$R$304,0))&amp;"","?"))</f>
        <v/>
      </c>
      <c r="N4407" s="2" t="str">
        <f aca="false"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 t="str">
        <f aca="false">IF(OR(F4407="",G4407=""),"",IF(G4407&lt;='RETRATO 2027'!$K$5,"CONCLUÍDA",IF(F4407&lt;='RETRATO 2027'!$K$5,"EM ANDAMENTO","A INICIAR")))</f>
        <v/>
      </c>
    </row>
    <row r="4408" customFormat="false" ht="15" hidden="false" customHeight="false" outlineLevel="0" collapsed="false">
      <c r="M4408" s="2" t="str">
        <f aca="false">IF(C4408="","",IFERROR(INDEX($S$5:$S$304,MATCH(C4408,$R$5:$R$304,0))&amp;"","?"))</f>
        <v/>
      </c>
      <c r="N4408" s="2" t="str">
        <f aca="false"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 t="str">
        <f aca="false">IF(OR(F4408="",G4408=""),"",IF(G4408&lt;='RETRATO 2027'!$K$5,"CONCLUÍDA",IF(F4408&lt;='RETRATO 2027'!$K$5,"EM ANDAMENTO","A INICIAR")))</f>
        <v/>
      </c>
    </row>
    <row r="4409" customFormat="false" ht="15" hidden="false" customHeight="false" outlineLevel="0" collapsed="false">
      <c r="M4409" s="2" t="str">
        <f aca="false">IF(C4409="","",IFERROR(INDEX($S$5:$S$304,MATCH(C4409,$R$5:$R$304,0))&amp;"","?"))</f>
        <v/>
      </c>
      <c r="N4409" s="2" t="str">
        <f aca="false"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 t="str">
        <f aca="false">IF(OR(F4409="",G4409=""),"",IF(G4409&lt;='RETRATO 2027'!$K$5,"CONCLUÍDA",IF(F4409&lt;='RETRATO 2027'!$K$5,"EM ANDAMENTO","A INICIAR")))</f>
        <v/>
      </c>
    </row>
    <row r="4410" customFormat="false" ht="15" hidden="false" customHeight="false" outlineLevel="0" collapsed="false">
      <c r="M4410" s="2" t="str">
        <f aca="false">IF(C4410="","",IFERROR(INDEX($S$5:$S$304,MATCH(C4410,$R$5:$R$304,0))&amp;"","?"))</f>
        <v/>
      </c>
      <c r="N4410" s="2" t="str">
        <f aca="false"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 t="str">
        <f aca="false">IF(OR(F4410="",G4410=""),"",IF(G4410&lt;='RETRATO 2027'!$K$5,"CONCLUÍDA",IF(F4410&lt;='RETRATO 2027'!$K$5,"EM ANDAMENTO","A INICIAR")))</f>
        <v/>
      </c>
    </row>
    <row r="4411" customFormat="false" ht="15" hidden="false" customHeight="false" outlineLevel="0" collapsed="false">
      <c r="M4411" s="2" t="str">
        <f aca="false">IF(C4411="","",IFERROR(INDEX($S$5:$S$304,MATCH(C4411,$R$5:$R$304,0))&amp;"","?"))</f>
        <v/>
      </c>
      <c r="N4411" s="2" t="str">
        <f aca="false"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 t="str">
        <f aca="false">IF(OR(F4411="",G4411=""),"",IF(G4411&lt;='RETRATO 2027'!$K$5,"CONCLUÍDA",IF(F4411&lt;='RETRATO 2027'!$K$5,"EM ANDAMENTO","A INICIAR")))</f>
        <v/>
      </c>
    </row>
    <row r="4412" customFormat="false" ht="15" hidden="false" customHeight="false" outlineLevel="0" collapsed="false">
      <c r="M4412" s="2" t="str">
        <f aca="false">IF(C4412="","",IFERROR(INDEX($S$5:$S$304,MATCH(C4412,$R$5:$R$304,0))&amp;"","?"))</f>
        <v/>
      </c>
      <c r="N4412" s="2" t="str">
        <f aca="false"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 t="str">
        <f aca="false">IF(OR(F4412="",G4412=""),"",IF(G4412&lt;='RETRATO 2027'!$K$5,"CONCLUÍDA",IF(F4412&lt;='RETRATO 2027'!$K$5,"EM ANDAMENTO","A INICIAR")))</f>
        <v/>
      </c>
    </row>
    <row r="4413" customFormat="false" ht="15" hidden="false" customHeight="false" outlineLevel="0" collapsed="false">
      <c r="M4413" s="2" t="str">
        <f aca="false">IF(C4413="","",IFERROR(INDEX($S$5:$S$304,MATCH(C4413,$R$5:$R$304,0))&amp;"","?"))</f>
        <v/>
      </c>
      <c r="N4413" s="2" t="str">
        <f aca="false"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 t="str">
        <f aca="false">IF(OR(F4413="",G4413=""),"",IF(G4413&lt;='RETRATO 2027'!$K$5,"CONCLUÍDA",IF(F4413&lt;='RETRATO 2027'!$K$5,"EM ANDAMENTO","A INICIAR")))</f>
        <v/>
      </c>
    </row>
    <row r="4414" customFormat="false" ht="15" hidden="false" customHeight="false" outlineLevel="0" collapsed="false">
      <c r="M4414" s="2" t="str">
        <f aca="false">IF(C4414="","",IFERROR(INDEX($S$5:$S$304,MATCH(C4414,$R$5:$R$304,0))&amp;"","?"))</f>
        <v/>
      </c>
      <c r="N4414" s="2" t="str">
        <f aca="false"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 t="str">
        <f aca="false">IF(OR(F4414="",G4414=""),"",IF(G4414&lt;='RETRATO 2027'!$K$5,"CONCLUÍDA",IF(F4414&lt;='RETRATO 2027'!$K$5,"EM ANDAMENTO","A INICIAR")))</f>
        <v/>
      </c>
    </row>
    <row r="4415" customFormat="false" ht="15" hidden="false" customHeight="false" outlineLevel="0" collapsed="false">
      <c r="M4415" s="2" t="str">
        <f aca="false">IF(C4415="","",IFERROR(INDEX($S$5:$S$304,MATCH(C4415,$R$5:$R$304,0))&amp;"","?"))</f>
        <v/>
      </c>
      <c r="N4415" s="2" t="str">
        <f aca="false"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 t="str">
        <f aca="false">IF(OR(F4415="",G4415=""),"",IF(G4415&lt;='RETRATO 2027'!$K$5,"CONCLUÍDA",IF(F4415&lt;='RETRATO 2027'!$K$5,"EM ANDAMENTO","A INICIAR")))</f>
        <v/>
      </c>
    </row>
    <row r="4416" customFormat="false" ht="15" hidden="false" customHeight="false" outlineLevel="0" collapsed="false">
      <c r="M4416" s="2" t="str">
        <f aca="false">IF(C4416="","",IFERROR(INDEX($S$5:$S$304,MATCH(C4416,$R$5:$R$304,0))&amp;"","?"))</f>
        <v/>
      </c>
      <c r="N4416" s="2" t="str">
        <f aca="false"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 t="str">
        <f aca="false">IF(OR(F4416="",G4416=""),"",IF(G4416&lt;='RETRATO 2027'!$K$5,"CONCLUÍDA",IF(F4416&lt;='RETRATO 2027'!$K$5,"EM ANDAMENTO","A INICIAR")))</f>
        <v/>
      </c>
    </row>
    <row r="4417" customFormat="false" ht="15" hidden="false" customHeight="false" outlineLevel="0" collapsed="false">
      <c r="M4417" s="2" t="str">
        <f aca="false">IF(C4417="","",IFERROR(INDEX($S$5:$S$304,MATCH(C4417,$R$5:$R$304,0))&amp;"","?"))</f>
        <v/>
      </c>
      <c r="N4417" s="2" t="str">
        <f aca="false"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 t="str">
        <f aca="false">IF(OR(F4417="",G4417=""),"",IF(G4417&lt;='RETRATO 2027'!$K$5,"CONCLUÍDA",IF(F4417&lt;='RETRATO 2027'!$K$5,"EM ANDAMENTO","A INICIAR")))</f>
        <v/>
      </c>
    </row>
    <row r="4418" customFormat="false" ht="15" hidden="false" customHeight="false" outlineLevel="0" collapsed="false">
      <c r="M4418" s="2" t="str">
        <f aca="false">IF(C4418="","",IFERROR(INDEX($S$5:$S$304,MATCH(C4418,$R$5:$R$304,0))&amp;"","?"))</f>
        <v/>
      </c>
      <c r="N4418" s="2" t="str">
        <f aca="false"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 t="str">
        <f aca="false">IF(OR(F4418="",G4418=""),"",IF(G4418&lt;='RETRATO 2027'!$K$5,"CONCLUÍDA",IF(F4418&lt;='RETRATO 2027'!$K$5,"EM ANDAMENTO","A INICIAR")))</f>
        <v/>
      </c>
    </row>
    <row r="4419" customFormat="false" ht="15" hidden="false" customHeight="false" outlineLevel="0" collapsed="false">
      <c r="M4419" s="2" t="str">
        <f aca="false">IF(C4419="","",IFERROR(INDEX($S$5:$S$304,MATCH(C4419,$R$5:$R$304,0))&amp;"","?"))</f>
        <v/>
      </c>
      <c r="N4419" s="2" t="str">
        <f aca="false"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 t="str">
        <f aca="false">IF(OR(F4419="",G4419=""),"",IF(G4419&lt;='RETRATO 2027'!$K$5,"CONCLUÍDA",IF(F4419&lt;='RETRATO 2027'!$K$5,"EM ANDAMENTO","A INICIAR")))</f>
        <v/>
      </c>
    </row>
    <row r="4420" customFormat="false" ht="15" hidden="false" customHeight="false" outlineLevel="0" collapsed="false">
      <c r="M4420" s="2" t="str">
        <f aca="false">IF(C4420="","",IFERROR(INDEX($S$5:$S$304,MATCH(C4420,$R$5:$R$304,0))&amp;"","?"))</f>
        <v/>
      </c>
      <c r="N4420" s="2" t="str">
        <f aca="false"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 t="str">
        <f aca="false">IF(OR(F4420="",G4420=""),"",IF(G4420&lt;='RETRATO 2027'!$K$5,"CONCLUÍDA",IF(F4420&lt;='RETRATO 2027'!$K$5,"EM ANDAMENTO","A INICIAR")))</f>
        <v/>
      </c>
    </row>
    <row r="4421" customFormat="false" ht="15" hidden="false" customHeight="false" outlineLevel="0" collapsed="false">
      <c r="M4421" s="2" t="str">
        <f aca="false">IF(C4421="","",IFERROR(INDEX($S$5:$S$304,MATCH(C4421,$R$5:$R$304,0))&amp;"","?"))</f>
        <v/>
      </c>
      <c r="N4421" s="2" t="str">
        <f aca="false"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 t="str">
        <f aca="false">IF(OR(F4421="",G4421=""),"",IF(G4421&lt;='RETRATO 2027'!$K$5,"CONCLUÍDA",IF(F4421&lt;='RETRATO 2027'!$K$5,"EM ANDAMENTO","A INICIAR")))</f>
        <v/>
      </c>
    </row>
    <row r="4422" customFormat="false" ht="15" hidden="false" customHeight="false" outlineLevel="0" collapsed="false">
      <c r="M4422" s="2" t="str">
        <f aca="false">IF(C4422="","",IFERROR(INDEX($S$5:$S$304,MATCH(C4422,$R$5:$R$304,0))&amp;"","?"))</f>
        <v/>
      </c>
      <c r="N4422" s="2" t="str">
        <f aca="false"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 t="str">
        <f aca="false">IF(OR(F4422="",G4422=""),"",IF(G4422&lt;='RETRATO 2027'!$K$5,"CONCLUÍDA",IF(F4422&lt;='RETRATO 2027'!$K$5,"EM ANDAMENTO","A INICIAR")))</f>
        <v/>
      </c>
    </row>
    <row r="4423" customFormat="false" ht="15" hidden="false" customHeight="false" outlineLevel="0" collapsed="false">
      <c r="M4423" s="2" t="str">
        <f aca="false">IF(C4423="","",IFERROR(INDEX($S$5:$S$304,MATCH(C4423,$R$5:$R$304,0))&amp;"","?"))</f>
        <v/>
      </c>
      <c r="N4423" s="2" t="str">
        <f aca="false"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 t="str">
        <f aca="false">IF(OR(F4423="",G4423=""),"",IF(G4423&lt;='RETRATO 2027'!$K$5,"CONCLUÍDA",IF(F4423&lt;='RETRATO 2027'!$K$5,"EM ANDAMENTO","A INICIAR")))</f>
        <v/>
      </c>
    </row>
    <row r="4424" customFormat="false" ht="15" hidden="false" customHeight="false" outlineLevel="0" collapsed="false">
      <c r="M4424" s="2" t="str">
        <f aca="false">IF(C4424="","",IFERROR(INDEX($S$5:$S$304,MATCH(C4424,$R$5:$R$304,0))&amp;"","?"))</f>
        <v/>
      </c>
      <c r="N4424" s="2" t="str">
        <f aca="false"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 t="str">
        <f aca="false">IF(OR(F4424="",G4424=""),"",IF(G4424&lt;='RETRATO 2027'!$K$5,"CONCLUÍDA",IF(F4424&lt;='RETRATO 2027'!$K$5,"EM ANDAMENTO","A INICIAR")))</f>
        <v/>
      </c>
    </row>
    <row r="4425" customFormat="false" ht="15" hidden="false" customHeight="false" outlineLevel="0" collapsed="false">
      <c r="M4425" s="2" t="str">
        <f aca="false">IF(C4425="","",IFERROR(INDEX($S$5:$S$304,MATCH(C4425,$R$5:$R$304,0))&amp;"","?"))</f>
        <v/>
      </c>
      <c r="N4425" s="2" t="str">
        <f aca="false"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 t="str">
        <f aca="false">IF(OR(F4425="",G4425=""),"",IF(G4425&lt;='RETRATO 2027'!$K$5,"CONCLUÍDA",IF(F4425&lt;='RETRATO 2027'!$K$5,"EM ANDAMENTO","A INICIAR")))</f>
        <v/>
      </c>
    </row>
    <row r="4426" customFormat="false" ht="15" hidden="false" customHeight="false" outlineLevel="0" collapsed="false">
      <c r="M4426" s="2" t="str">
        <f aca="false">IF(C4426="","",IFERROR(INDEX($S$5:$S$304,MATCH(C4426,$R$5:$R$304,0))&amp;"","?"))</f>
        <v/>
      </c>
      <c r="N4426" s="2" t="str">
        <f aca="false"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 t="str">
        <f aca="false">IF(OR(F4426="",G4426=""),"",IF(G4426&lt;='RETRATO 2027'!$K$5,"CONCLUÍDA",IF(F4426&lt;='RETRATO 2027'!$K$5,"EM ANDAMENTO","A INICIAR")))</f>
        <v/>
      </c>
    </row>
    <row r="4427" customFormat="false" ht="15" hidden="false" customHeight="false" outlineLevel="0" collapsed="false">
      <c r="M4427" s="2" t="str">
        <f aca="false">IF(C4427="","",IFERROR(INDEX($S$5:$S$304,MATCH(C4427,$R$5:$R$304,0))&amp;"","?"))</f>
        <v/>
      </c>
      <c r="N4427" s="2" t="str">
        <f aca="false"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 t="str">
        <f aca="false">IF(OR(F4427="",G4427=""),"",IF(G4427&lt;='RETRATO 2027'!$K$5,"CONCLUÍDA",IF(F4427&lt;='RETRATO 2027'!$K$5,"EM ANDAMENTO","A INICIAR")))</f>
        <v/>
      </c>
    </row>
    <row r="4428" customFormat="false" ht="15" hidden="false" customHeight="false" outlineLevel="0" collapsed="false">
      <c r="M4428" s="2" t="str">
        <f aca="false">IF(C4428="","",IFERROR(INDEX($S$5:$S$304,MATCH(C4428,$R$5:$R$304,0))&amp;"","?"))</f>
        <v/>
      </c>
      <c r="N4428" s="2" t="str">
        <f aca="false"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 t="str">
        <f aca="false">IF(OR(F4428="",G4428=""),"",IF(G4428&lt;='RETRATO 2027'!$K$5,"CONCLUÍDA",IF(F4428&lt;='RETRATO 2027'!$K$5,"EM ANDAMENTO","A INICIAR")))</f>
        <v/>
      </c>
    </row>
    <row r="4429" customFormat="false" ht="15" hidden="false" customHeight="false" outlineLevel="0" collapsed="false">
      <c r="M4429" s="2" t="str">
        <f aca="false">IF(C4429="","",IFERROR(INDEX($S$5:$S$304,MATCH(C4429,$R$5:$R$304,0))&amp;"","?"))</f>
        <v/>
      </c>
      <c r="N4429" s="2" t="str">
        <f aca="false"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 t="str">
        <f aca="false">IF(OR(F4429="",G4429=""),"",IF(G4429&lt;='RETRATO 2027'!$K$5,"CONCLUÍDA",IF(F4429&lt;='RETRATO 2027'!$K$5,"EM ANDAMENTO","A INICIAR")))</f>
        <v/>
      </c>
    </row>
    <row r="4430" customFormat="false" ht="15" hidden="false" customHeight="false" outlineLevel="0" collapsed="false">
      <c r="M4430" s="2" t="str">
        <f aca="false">IF(C4430="","",IFERROR(INDEX($S$5:$S$304,MATCH(C4430,$R$5:$R$304,0))&amp;"","?"))</f>
        <v/>
      </c>
      <c r="N4430" s="2" t="str">
        <f aca="false"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 t="str">
        <f aca="false">IF(OR(F4430="",G4430=""),"",IF(G4430&lt;='RETRATO 2027'!$K$5,"CONCLUÍDA",IF(F4430&lt;='RETRATO 2027'!$K$5,"EM ANDAMENTO","A INICIAR")))</f>
        <v/>
      </c>
    </row>
    <row r="4431" customFormat="false" ht="15" hidden="false" customHeight="false" outlineLevel="0" collapsed="false">
      <c r="M4431" s="2" t="str">
        <f aca="false">IF(C4431="","",IFERROR(INDEX($S$5:$S$304,MATCH(C4431,$R$5:$R$304,0))&amp;"","?"))</f>
        <v/>
      </c>
      <c r="N4431" s="2" t="str">
        <f aca="false"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 t="str">
        <f aca="false">IF(OR(F4431="",G4431=""),"",IF(G4431&lt;='RETRATO 2027'!$K$5,"CONCLUÍDA",IF(F4431&lt;='RETRATO 2027'!$K$5,"EM ANDAMENTO","A INICIAR")))</f>
        <v/>
      </c>
    </row>
    <row r="4432" customFormat="false" ht="15" hidden="false" customHeight="false" outlineLevel="0" collapsed="false">
      <c r="M4432" s="2" t="str">
        <f aca="false">IF(C4432="","",IFERROR(INDEX($S$5:$S$304,MATCH(C4432,$R$5:$R$304,0))&amp;"","?"))</f>
        <v/>
      </c>
      <c r="N4432" s="2" t="str">
        <f aca="false"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 t="str">
        <f aca="false">IF(OR(F4432="",G4432=""),"",IF(G4432&lt;='RETRATO 2027'!$K$5,"CONCLUÍDA",IF(F4432&lt;='RETRATO 2027'!$K$5,"EM ANDAMENTO","A INICIAR")))</f>
        <v/>
      </c>
    </row>
    <row r="4433" customFormat="false" ht="15" hidden="false" customHeight="false" outlineLevel="0" collapsed="false">
      <c r="M4433" s="2" t="str">
        <f aca="false">IF(C4433="","",IFERROR(INDEX($S$5:$S$304,MATCH(C4433,$R$5:$R$304,0))&amp;"","?"))</f>
        <v/>
      </c>
      <c r="N4433" s="2" t="str">
        <f aca="false"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 t="str">
        <f aca="false">IF(OR(F4433="",G4433=""),"",IF(G4433&lt;='RETRATO 2027'!$K$5,"CONCLUÍDA",IF(F4433&lt;='RETRATO 2027'!$K$5,"EM ANDAMENTO","A INICIAR")))</f>
        <v/>
      </c>
    </row>
    <row r="4434" customFormat="false" ht="15" hidden="false" customHeight="false" outlineLevel="0" collapsed="false">
      <c r="M4434" s="2" t="str">
        <f aca="false">IF(C4434="","",IFERROR(INDEX($S$5:$S$304,MATCH(C4434,$R$5:$R$304,0))&amp;"","?"))</f>
        <v/>
      </c>
      <c r="N4434" s="2" t="str">
        <f aca="false"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 t="str">
        <f aca="false">IF(OR(F4434="",G4434=""),"",IF(G4434&lt;='RETRATO 2027'!$K$5,"CONCLUÍDA",IF(F4434&lt;='RETRATO 2027'!$K$5,"EM ANDAMENTO","A INICIAR")))</f>
        <v/>
      </c>
    </row>
    <row r="4435" customFormat="false" ht="15" hidden="false" customHeight="false" outlineLevel="0" collapsed="false">
      <c r="M4435" s="2" t="str">
        <f aca="false">IF(C4435="","",IFERROR(INDEX($S$5:$S$304,MATCH(C4435,$R$5:$R$304,0))&amp;"","?"))</f>
        <v/>
      </c>
      <c r="N4435" s="2" t="str">
        <f aca="false"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 t="str">
        <f aca="false">IF(OR(F4435="",G4435=""),"",IF(G4435&lt;='RETRATO 2027'!$K$5,"CONCLUÍDA",IF(F4435&lt;='RETRATO 2027'!$K$5,"EM ANDAMENTO","A INICIAR")))</f>
        <v/>
      </c>
    </row>
    <row r="4436" customFormat="false" ht="15" hidden="false" customHeight="false" outlineLevel="0" collapsed="false">
      <c r="M4436" s="2" t="str">
        <f aca="false">IF(C4436="","",IFERROR(INDEX($S$5:$S$304,MATCH(C4436,$R$5:$R$304,0))&amp;"","?"))</f>
        <v/>
      </c>
      <c r="N4436" s="2" t="str">
        <f aca="false"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 t="str">
        <f aca="false">IF(OR(F4436="",G4436=""),"",IF(G4436&lt;='RETRATO 2027'!$K$5,"CONCLUÍDA",IF(F4436&lt;='RETRATO 2027'!$K$5,"EM ANDAMENTO","A INICIAR")))</f>
        <v/>
      </c>
    </row>
    <row r="4437" customFormat="false" ht="15" hidden="false" customHeight="false" outlineLevel="0" collapsed="false">
      <c r="M4437" s="2" t="str">
        <f aca="false">IF(C4437="","",IFERROR(INDEX($S$5:$S$304,MATCH(C4437,$R$5:$R$304,0))&amp;"","?"))</f>
        <v/>
      </c>
      <c r="N4437" s="2" t="str">
        <f aca="false"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 t="str">
        <f aca="false">IF(OR(F4437="",G4437=""),"",IF(G4437&lt;='RETRATO 2027'!$K$5,"CONCLUÍDA",IF(F4437&lt;='RETRATO 2027'!$K$5,"EM ANDAMENTO","A INICIAR")))</f>
        <v/>
      </c>
    </row>
    <row r="4438" customFormat="false" ht="15" hidden="false" customHeight="false" outlineLevel="0" collapsed="false">
      <c r="M4438" s="2" t="str">
        <f aca="false">IF(C4438="","",IFERROR(INDEX($S$5:$S$304,MATCH(C4438,$R$5:$R$304,0))&amp;"","?"))</f>
        <v/>
      </c>
      <c r="N4438" s="2" t="str">
        <f aca="false"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 t="str">
        <f aca="false">IF(OR(F4438="",G4438=""),"",IF(G4438&lt;='RETRATO 2027'!$K$5,"CONCLUÍDA",IF(F4438&lt;='RETRATO 2027'!$K$5,"EM ANDAMENTO","A INICIAR")))</f>
        <v/>
      </c>
    </row>
    <row r="4439" customFormat="false" ht="15" hidden="false" customHeight="false" outlineLevel="0" collapsed="false">
      <c r="M4439" s="2" t="str">
        <f aca="false">IF(C4439="","",IFERROR(INDEX($S$5:$S$304,MATCH(C4439,$R$5:$R$304,0))&amp;"","?"))</f>
        <v/>
      </c>
      <c r="N4439" s="2" t="str">
        <f aca="false"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 t="str">
        <f aca="false">IF(OR(F4439="",G4439=""),"",IF(G4439&lt;='RETRATO 2027'!$K$5,"CONCLUÍDA",IF(F4439&lt;='RETRATO 2027'!$K$5,"EM ANDAMENTO","A INICIAR")))</f>
        <v/>
      </c>
    </row>
    <row r="4440" customFormat="false" ht="15" hidden="false" customHeight="false" outlineLevel="0" collapsed="false">
      <c r="M4440" s="2" t="str">
        <f aca="false">IF(C4440="","",IFERROR(INDEX($S$5:$S$304,MATCH(C4440,$R$5:$R$304,0))&amp;"","?"))</f>
        <v/>
      </c>
      <c r="N4440" s="2" t="str">
        <f aca="false"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 t="str">
        <f aca="false">IF(OR(F4440="",G4440=""),"",IF(G4440&lt;='RETRATO 2027'!$K$5,"CONCLUÍDA",IF(F4440&lt;='RETRATO 2027'!$K$5,"EM ANDAMENTO","A INICIAR")))</f>
        <v/>
      </c>
    </row>
    <row r="4441" customFormat="false" ht="15" hidden="false" customHeight="false" outlineLevel="0" collapsed="false">
      <c r="M4441" s="2" t="str">
        <f aca="false">IF(C4441="","",IFERROR(INDEX($S$5:$S$304,MATCH(C4441,$R$5:$R$304,0))&amp;"","?"))</f>
        <v/>
      </c>
      <c r="N4441" s="2" t="str">
        <f aca="false"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 t="str">
        <f aca="false">IF(OR(F4441="",G4441=""),"",IF(G4441&lt;='RETRATO 2027'!$K$5,"CONCLUÍDA",IF(F4441&lt;='RETRATO 2027'!$K$5,"EM ANDAMENTO","A INICIAR")))</f>
        <v/>
      </c>
    </row>
    <row r="4442" customFormat="false" ht="15" hidden="false" customHeight="false" outlineLevel="0" collapsed="false">
      <c r="M4442" s="2" t="str">
        <f aca="false">IF(C4442="","",IFERROR(INDEX($S$5:$S$304,MATCH(C4442,$R$5:$R$304,0))&amp;"","?"))</f>
        <v/>
      </c>
      <c r="N4442" s="2" t="str">
        <f aca="false"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 t="str">
        <f aca="false">IF(OR(F4442="",G4442=""),"",IF(G4442&lt;='RETRATO 2027'!$K$5,"CONCLUÍDA",IF(F4442&lt;='RETRATO 2027'!$K$5,"EM ANDAMENTO","A INICIAR")))</f>
        <v/>
      </c>
    </row>
    <row r="4443" customFormat="false" ht="15" hidden="false" customHeight="false" outlineLevel="0" collapsed="false">
      <c r="M4443" s="2" t="str">
        <f aca="false">IF(C4443="","",IFERROR(INDEX($S$5:$S$304,MATCH(C4443,$R$5:$R$304,0))&amp;"","?"))</f>
        <v/>
      </c>
      <c r="N4443" s="2" t="str">
        <f aca="false"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 t="str">
        <f aca="false">IF(OR(F4443="",G4443=""),"",IF(G4443&lt;='RETRATO 2027'!$K$5,"CONCLUÍDA",IF(F4443&lt;='RETRATO 2027'!$K$5,"EM ANDAMENTO","A INICIAR")))</f>
        <v/>
      </c>
    </row>
    <row r="4444" customFormat="false" ht="15" hidden="false" customHeight="false" outlineLevel="0" collapsed="false">
      <c r="M4444" s="2" t="str">
        <f aca="false">IF(C4444="","",IFERROR(INDEX($S$5:$S$304,MATCH(C4444,$R$5:$R$304,0))&amp;"","?"))</f>
        <v/>
      </c>
      <c r="N4444" s="2" t="str">
        <f aca="false"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 t="str">
        <f aca="false">IF(OR(F4444="",G4444=""),"",IF(G4444&lt;='RETRATO 2027'!$K$5,"CONCLUÍDA",IF(F4444&lt;='RETRATO 2027'!$K$5,"EM ANDAMENTO","A INICIAR")))</f>
        <v/>
      </c>
    </row>
    <row r="4445" customFormat="false" ht="15" hidden="false" customHeight="false" outlineLevel="0" collapsed="false">
      <c r="M4445" s="2" t="str">
        <f aca="false">IF(C4445="","",IFERROR(INDEX($S$5:$S$304,MATCH(C4445,$R$5:$R$304,0))&amp;"","?"))</f>
        <v/>
      </c>
      <c r="N4445" s="2" t="str">
        <f aca="false"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 t="str">
        <f aca="false">IF(OR(F4445="",G4445=""),"",IF(G4445&lt;='RETRATO 2027'!$K$5,"CONCLUÍDA",IF(F4445&lt;='RETRATO 2027'!$K$5,"EM ANDAMENTO","A INICIAR")))</f>
        <v/>
      </c>
    </row>
    <row r="4446" customFormat="false" ht="15" hidden="false" customHeight="false" outlineLevel="0" collapsed="false">
      <c r="M4446" s="2" t="str">
        <f aca="false">IF(C4446="","",IFERROR(INDEX($S$5:$S$304,MATCH(C4446,$R$5:$R$304,0))&amp;"","?"))</f>
        <v/>
      </c>
      <c r="N4446" s="2" t="str">
        <f aca="false"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 t="str">
        <f aca="false">IF(OR(F4446="",G4446=""),"",IF(G4446&lt;='RETRATO 2027'!$K$5,"CONCLUÍDA",IF(F4446&lt;='RETRATO 2027'!$K$5,"EM ANDAMENTO","A INICIAR")))</f>
        <v/>
      </c>
    </row>
    <row r="4447" customFormat="false" ht="15" hidden="false" customHeight="false" outlineLevel="0" collapsed="false">
      <c r="M4447" s="2" t="str">
        <f aca="false">IF(C4447="","",IFERROR(INDEX($S$5:$S$304,MATCH(C4447,$R$5:$R$304,0))&amp;"","?"))</f>
        <v/>
      </c>
      <c r="N4447" s="2" t="str">
        <f aca="false"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 t="str">
        <f aca="false">IF(OR(F4447="",G4447=""),"",IF(G4447&lt;='RETRATO 2027'!$K$5,"CONCLUÍDA",IF(F4447&lt;='RETRATO 2027'!$K$5,"EM ANDAMENTO","A INICIAR")))</f>
        <v/>
      </c>
    </row>
    <row r="4448" customFormat="false" ht="15" hidden="false" customHeight="false" outlineLevel="0" collapsed="false">
      <c r="M4448" s="2" t="str">
        <f aca="false">IF(C4448="","",IFERROR(INDEX($S$5:$S$304,MATCH(C4448,$R$5:$R$304,0))&amp;"","?"))</f>
        <v/>
      </c>
      <c r="N4448" s="2" t="str">
        <f aca="false"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 t="str">
        <f aca="false">IF(OR(F4448="",G4448=""),"",IF(G4448&lt;='RETRATO 2027'!$K$5,"CONCLUÍDA",IF(F4448&lt;='RETRATO 2027'!$K$5,"EM ANDAMENTO","A INICIAR")))</f>
        <v/>
      </c>
    </row>
    <row r="4449" customFormat="false" ht="15" hidden="false" customHeight="false" outlineLevel="0" collapsed="false">
      <c r="M4449" s="2" t="str">
        <f aca="false">IF(C4449="","",IFERROR(INDEX($S$5:$S$304,MATCH(C4449,$R$5:$R$304,0))&amp;"","?"))</f>
        <v/>
      </c>
      <c r="N4449" s="2" t="str">
        <f aca="false"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 t="str">
        <f aca="false">IF(OR(F4449="",G4449=""),"",IF(G4449&lt;='RETRATO 2027'!$K$5,"CONCLUÍDA",IF(F4449&lt;='RETRATO 2027'!$K$5,"EM ANDAMENTO","A INICIAR")))</f>
        <v/>
      </c>
    </row>
    <row r="4450" customFormat="false" ht="15" hidden="false" customHeight="false" outlineLevel="0" collapsed="false">
      <c r="M4450" s="2" t="str">
        <f aca="false">IF(C4450="","",IFERROR(INDEX($S$5:$S$304,MATCH(C4450,$R$5:$R$304,0))&amp;"","?"))</f>
        <v/>
      </c>
      <c r="N4450" s="2" t="str">
        <f aca="false"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 t="str">
        <f aca="false">IF(OR(F4450="",G4450=""),"",IF(G4450&lt;='RETRATO 2027'!$K$5,"CONCLUÍDA",IF(F4450&lt;='RETRATO 2027'!$K$5,"EM ANDAMENTO","A INICIAR")))</f>
        <v/>
      </c>
    </row>
    <row r="4451" customFormat="false" ht="15" hidden="false" customHeight="false" outlineLevel="0" collapsed="false">
      <c r="M4451" s="2" t="str">
        <f aca="false">IF(C4451="","",IFERROR(INDEX($S$5:$S$304,MATCH(C4451,$R$5:$R$304,0))&amp;"","?"))</f>
        <v/>
      </c>
      <c r="N4451" s="2" t="str">
        <f aca="false"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 t="str">
        <f aca="false">IF(OR(F4451="",G4451=""),"",IF(G4451&lt;='RETRATO 2027'!$K$5,"CONCLUÍDA",IF(F4451&lt;='RETRATO 2027'!$K$5,"EM ANDAMENTO","A INICIAR")))</f>
        <v/>
      </c>
    </row>
    <row r="4452" customFormat="false" ht="15" hidden="false" customHeight="false" outlineLevel="0" collapsed="false">
      <c r="M4452" s="2" t="str">
        <f aca="false">IF(C4452="","",IFERROR(INDEX($S$5:$S$304,MATCH(C4452,$R$5:$R$304,0))&amp;"","?"))</f>
        <v/>
      </c>
      <c r="N4452" s="2" t="str">
        <f aca="false"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 t="str">
        <f aca="false">IF(OR(F4452="",G4452=""),"",IF(G4452&lt;='RETRATO 2027'!$K$5,"CONCLUÍDA",IF(F4452&lt;='RETRATO 2027'!$K$5,"EM ANDAMENTO","A INICIAR")))</f>
        <v/>
      </c>
    </row>
    <row r="4453" customFormat="false" ht="15" hidden="false" customHeight="false" outlineLevel="0" collapsed="false">
      <c r="M4453" s="2" t="str">
        <f aca="false">IF(C4453="","",IFERROR(INDEX($S$5:$S$304,MATCH(C4453,$R$5:$R$304,0))&amp;"","?"))</f>
        <v/>
      </c>
      <c r="N4453" s="2" t="str">
        <f aca="false"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 t="str">
        <f aca="false">IF(OR(F4453="",G4453=""),"",IF(G4453&lt;='RETRATO 2027'!$K$5,"CONCLUÍDA",IF(F4453&lt;='RETRATO 2027'!$K$5,"EM ANDAMENTO","A INICIAR")))</f>
        <v/>
      </c>
    </row>
    <row r="4454" customFormat="false" ht="15" hidden="false" customHeight="false" outlineLevel="0" collapsed="false">
      <c r="M4454" s="2" t="str">
        <f aca="false">IF(C4454="","",IFERROR(INDEX($S$5:$S$304,MATCH(C4454,$R$5:$R$304,0))&amp;"","?"))</f>
        <v/>
      </c>
      <c r="N4454" s="2" t="str">
        <f aca="false"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 t="str">
        <f aca="false">IF(OR(F4454="",G4454=""),"",IF(G4454&lt;='RETRATO 2027'!$K$5,"CONCLUÍDA",IF(F4454&lt;='RETRATO 2027'!$K$5,"EM ANDAMENTO","A INICIAR")))</f>
        <v/>
      </c>
    </row>
    <row r="4455" customFormat="false" ht="15" hidden="false" customHeight="false" outlineLevel="0" collapsed="false">
      <c r="M4455" s="2" t="str">
        <f aca="false">IF(C4455="","",IFERROR(INDEX($S$5:$S$304,MATCH(C4455,$R$5:$R$304,0))&amp;"","?"))</f>
        <v/>
      </c>
      <c r="N4455" s="2" t="str">
        <f aca="false"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 t="str">
        <f aca="false">IF(OR(F4455="",G4455=""),"",IF(G4455&lt;='RETRATO 2027'!$K$5,"CONCLUÍDA",IF(F4455&lt;='RETRATO 2027'!$K$5,"EM ANDAMENTO","A INICIAR")))</f>
        <v/>
      </c>
    </row>
    <row r="4456" customFormat="false" ht="15" hidden="false" customHeight="false" outlineLevel="0" collapsed="false">
      <c r="M4456" s="2" t="str">
        <f aca="false">IF(C4456="","",IFERROR(INDEX($S$5:$S$304,MATCH(C4456,$R$5:$R$304,0))&amp;"","?"))</f>
        <v/>
      </c>
      <c r="N4456" s="2" t="str">
        <f aca="false"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 t="str">
        <f aca="false">IF(OR(F4456="",G4456=""),"",IF(G4456&lt;='RETRATO 2027'!$K$5,"CONCLUÍDA",IF(F4456&lt;='RETRATO 2027'!$K$5,"EM ANDAMENTO","A INICIAR")))</f>
        <v/>
      </c>
    </row>
    <row r="4457" customFormat="false" ht="15" hidden="false" customHeight="false" outlineLevel="0" collapsed="false">
      <c r="M4457" s="2" t="str">
        <f aca="false">IF(C4457="","",IFERROR(INDEX($S$5:$S$304,MATCH(C4457,$R$5:$R$304,0))&amp;"","?"))</f>
        <v/>
      </c>
      <c r="N4457" s="2" t="str">
        <f aca="false"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 t="str">
        <f aca="false">IF(OR(F4457="",G4457=""),"",IF(G4457&lt;='RETRATO 2027'!$K$5,"CONCLUÍDA",IF(F4457&lt;='RETRATO 2027'!$K$5,"EM ANDAMENTO","A INICIAR")))</f>
        <v/>
      </c>
    </row>
    <row r="4458" customFormat="false" ht="15" hidden="false" customHeight="false" outlineLevel="0" collapsed="false">
      <c r="M4458" s="2" t="str">
        <f aca="false">IF(C4458="","",IFERROR(INDEX($S$5:$S$304,MATCH(C4458,$R$5:$R$304,0))&amp;"","?"))</f>
        <v/>
      </c>
      <c r="N4458" s="2" t="str">
        <f aca="false"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 t="str">
        <f aca="false">IF(OR(F4458="",G4458=""),"",IF(G4458&lt;='RETRATO 2027'!$K$5,"CONCLUÍDA",IF(F4458&lt;='RETRATO 2027'!$K$5,"EM ANDAMENTO","A INICIAR")))</f>
        <v/>
      </c>
    </row>
    <row r="4459" customFormat="false" ht="15" hidden="false" customHeight="false" outlineLevel="0" collapsed="false">
      <c r="M4459" s="2" t="str">
        <f aca="false">IF(C4459="","",IFERROR(INDEX($S$5:$S$304,MATCH(C4459,$R$5:$R$304,0))&amp;"","?"))</f>
        <v/>
      </c>
      <c r="N4459" s="2" t="str">
        <f aca="false"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 t="str">
        <f aca="false">IF(OR(F4459="",G4459=""),"",IF(G4459&lt;='RETRATO 2027'!$K$5,"CONCLUÍDA",IF(F4459&lt;='RETRATO 2027'!$K$5,"EM ANDAMENTO","A INICIAR")))</f>
        <v/>
      </c>
    </row>
    <row r="4460" customFormat="false" ht="15" hidden="false" customHeight="false" outlineLevel="0" collapsed="false">
      <c r="M4460" s="2" t="str">
        <f aca="false">IF(C4460="","",IFERROR(INDEX($S$5:$S$304,MATCH(C4460,$R$5:$R$304,0))&amp;"","?"))</f>
        <v/>
      </c>
      <c r="N4460" s="2" t="str">
        <f aca="false"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 t="str">
        <f aca="false">IF(OR(F4460="",G4460=""),"",IF(G4460&lt;='RETRATO 2027'!$K$5,"CONCLUÍDA",IF(F4460&lt;='RETRATO 2027'!$K$5,"EM ANDAMENTO","A INICIAR")))</f>
        <v/>
      </c>
    </row>
    <row r="4461" customFormat="false" ht="15" hidden="false" customHeight="false" outlineLevel="0" collapsed="false">
      <c r="M4461" s="2" t="str">
        <f aca="false">IF(C4461="","",IFERROR(INDEX($S$5:$S$304,MATCH(C4461,$R$5:$R$304,0))&amp;"","?"))</f>
        <v/>
      </c>
      <c r="N4461" s="2" t="str">
        <f aca="false"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 t="str">
        <f aca="false">IF(OR(F4461="",G4461=""),"",IF(G4461&lt;='RETRATO 2027'!$K$5,"CONCLUÍDA",IF(F4461&lt;='RETRATO 2027'!$K$5,"EM ANDAMENTO","A INICIAR")))</f>
        <v/>
      </c>
    </row>
    <row r="4462" customFormat="false" ht="15" hidden="false" customHeight="false" outlineLevel="0" collapsed="false">
      <c r="M4462" s="2" t="str">
        <f aca="false">IF(C4462="","",IFERROR(INDEX($S$5:$S$304,MATCH(C4462,$R$5:$R$304,0))&amp;"","?"))</f>
        <v/>
      </c>
      <c r="N4462" s="2" t="str">
        <f aca="false"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 t="str">
        <f aca="false">IF(OR(F4462="",G4462=""),"",IF(G4462&lt;='RETRATO 2027'!$K$5,"CONCLUÍDA",IF(F4462&lt;='RETRATO 2027'!$K$5,"EM ANDAMENTO","A INICIAR")))</f>
        <v/>
      </c>
    </row>
    <row r="4463" customFormat="false" ht="15" hidden="false" customHeight="false" outlineLevel="0" collapsed="false">
      <c r="M4463" s="2" t="str">
        <f aca="false">IF(C4463="","",IFERROR(INDEX($S$5:$S$304,MATCH(C4463,$R$5:$R$304,0))&amp;"","?"))</f>
        <v/>
      </c>
      <c r="N4463" s="2" t="str">
        <f aca="false"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 t="str">
        <f aca="false">IF(OR(F4463="",G4463=""),"",IF(G4463&lt;='RETRATO 2027'!$K$5,"CONCLUÍDA",IF(F4463&lt;='RETRATO 2027'!$K$5,"EM ANDAMENTO","A INICIAR")))</f>
        <v/>
      </c>
    </row>
    <row r="4464" customFormat="false" ht="15" hidden="false" customHeight="false" outlineLevel="0" collapsed="false">
      <c r="M4464" s="2" t="str">
        <f aca="false">IF(C4464="","",IFERROR(INDEX($S$5:$S$304,MATCH(C4464,$R$5:$R$304,0))&amp;"","?"))</f>
        <v/>
      </c>
      <c r="N4464" s="2" t="str">
        <f aca="false"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 t="str">
        <f aca="false">IF(OR(F4464="",G4464=""),"",IF(G4464&lt;='RETRATO 2027'!$K$5,"CONCLUÍDA",IF(F4464&lt;='RETRATO 2027'!$K$5,"EM ANDAMENTO","A INICIAR")))</f>
        <v/>
      </c>
    </row>
    <row r="4465" customFormat="false" ht="15" hidden="false" customHeight="false" outlineLevel="0" collapsed="false">
      <c r="M4465" s="2" t="str">
        <f aca="false">IF(C4465="","",IFERROR(INDEX($S$5:$S$304,MATCH(C4465,$R$5:$R$304,0))&amp;"","?"))</f>
        <v/>
      </c>
      <c r="N4465" s="2" t="str">
        <f aca="false"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 t="str">
        <f aca="false">IF(OR(F4465="",G4465=""),"",IF(G4465&lt;='RETRATO 2027'!$K$5,"CONCLUÍDA",IF(F4465&lt;='RETRATO 2027'!$K$5,"EM ANDAMENTO","A INICIAR")))</f>
        <v/>
      </c>
    </row>
    <row r="4466" customFormat="false" ht="15" hidden="false" customHeight="false" outlineLevel="0" collapsed="false">
      <c r="M4466" s="2" t="str">
        <f aca="false">IF(C4466="","",IFERROR(INDEX($S$5:$S$304,MATCH(C4466,$R$5:$R$304,0))&amp;"","?"))</f>
        <v/>
      </c>
      <c r="N4466" s="2" t="str">
        <f aca="false"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 t="str">
        <f aca="false">IF(OR(F4466="",G4466=""),"",IF(G4466&lt;='RETRATO 2027'!$K$5,"CONCLUÍDA",IF(F4466&lt;='RETRATO 2027'!$K$5,"EM ANDAMENTO","A INICIAR")))</f>
        <v/>
      </c>
    </row>
    <row r="4467" customFormat="false" ht="15" hidden="false" customHeight="false" outlineLevel="0" collapsed="false">
      <c r="M4467" s="2" t="str">
        <f aca="false">IF(C4467="","",IFERROR(INDEX($S$5:$S$304,MATCH(C4467,$R$5:$R$304,0))&amp;"","?"))</f>
        <v/>
      </c>
      <c r="N4467" s="2" t="str">
        <f aca="false"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 t="str">
        <f aca="false">IF(OR(F4467="",G4467=""),"",IF(G4467&lt;='RETRATO 2027'!$K$5,"CONCLUÍDA",IF(F4467&lt;='RETRATO 2027'!$K$5,"EM ANDAMENTO","A INICIAR")))</f>
        <v/>
      </c>
    </row>
    <row r="4468" customFormat="false" ht="15" hidden="false" customHeight="false" outlineLevel="0" collapsed="false">
      <c r="M4468" s="2" t="str">
        <f aca="false">IF(C4468="","",IFERROR(INDEX($S$5:$S$304,MATCH(C4468,$R$5:$R$304,0))&amp;"","?"))</f>
        <v/>
      </c>
      <c r="N4468" s="2" t="str">
        <f aca="false"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 t="str">
        <f aca="false">IF(OR(F4468="",G4468=""),"",IF(G4468&lt;='RETRATO 2027'!$K$5,"CONCLUÍDA",IF(F4468&lt;='RETRATO 2027'!$K$5,"EM ANDAMENTO","A INICIAR")))</f>
        <v/>
      </c>
    </row>
    <row r="4469" customFormat="false" ht="15" hidden="false" customHeight="false" outlineLevel="0" collapsed="false">
      <c r="M4469" s="2" t="str">
        <f aca="false">IF(C4469="","",IFERROR(INDEX($S$5:$S$304,MATCH(C4469,$R$5:$R$304,0))&amp;"","?"))</f>
        <v/>
      </c>
      <c r="N4469" s="2" t="str">
        <f aca="false"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 t="str">
        <f aca="false">IF(OR(F4469="",G4469=""),"",IF(G4469&lt;='RETRATO 2027'!$K$5,"CONCLUÍDA",IF(F4469&lt;='RETRATO 2027'!$K$5,"EM ANDAMENTO","A INICIAR")))</f>
        <v/>
      </c>
    </row>
    <row r="4470" customFormat="false" ht="15" hidden="false" customHeight="false" outlineLevel="0" collapsed="false">
      <c r="M4470" s="2" t="str">
        <f aca="false">IF(C4470="","",IFERROR(INDEX($S$5:$S$304,MATCH(C4470,$R$5:$R$304,0))&amp;"","?"))</f>
        <v/>
      </c>
      <c r="N4470" s="2" t="str">
        <f aca="false"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 t="str">
        <f aca="false">IF(OR(F4470="",G4470=""),"",IF(G4470&lt;='RETRATO 2027'!$K$5,"CONCLUÍDA",IF(F4470&lt;='RETRATO 2027'!$K$5,"EM ANDAMENTO","A INICIAR")))</f>
        <v/>
      </c>
    </row>
    <row r="4471" customFormat="false" ht="15" hidden="false" customHeight="false" outlineLevel="0" collapsed="false">
      <c r="M4471" s="2" t="str">
        <f aca="false">IF(C4471="","",IFERROR(INDEX($S$5:$S$304,MATCH(C4471,$R$5:$R$304,0))&amp;"","?"))</f>
        <v/>
      </c>
      <c r="N4471" s="2" t="str">
        <f aca="false"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 t="str">
        <f aca="false">IF(OR(F4471="",G4471=""),"",IF(G4471&lt;='RETRATO 2027'!$K$5,"CONCLUÍDA",IF(F4471&lt;='RETRATO 2027'!$K$5,"EM ANDAMENTO","A INICIAR")))</f>
        <v/>
      </c>
    </row>
    <row r="4472" customFormat="false" ht="15" hidden="false" customHeight="false" outlineLevel="0" collapsed="false">
      <c r="M4472" s="2" t="str">
        <f aca="false">IF(C4472="","",IFERROR(INDEX($S$5:$S$304,MATCH(C4472,$R$5:$R$304,0))&amp;"","?"))</f>
        <v/>
      </c>
      <c r="N4472" s="2" t="str">
        <f aca="false"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 t="str">
        <f aca="false">IF(OR(F4472="",G4472=""),"",IF(G4472&lt;='RETRATO 2027'!$K$5,"CONCLUÍDA",IF(F4472&lt;='RETRATO 2027'!$K$5,"EM ANDAMENTO","A INICIAR")))</f>
        <v/>
      </c>
    </row>
    <row r="4473" customFormat="false" ht="15" hidden="false" customHeight="false" outlineLevel="0" collapsed="false">
      <c r="M4473" s="2" t="str">
        <f aca="false">IF(C4473="","",IFERROR(INDEX($S$5:$S$304,MATCH(C4473,$R$5:$R$304,0))&amp;"","?"))</f>
        <v/>
      </c>
      <c r="N4473" s="2" t="str">
        <f aca="false"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 t="str">
        <f aca="false">IF(OR(F4473="",G4473=""),"",IF(G4473&lt;='RETRATO 2027'!$K$5,"CONCLUÍDA",IF(F4473&lt;='RETRATO 2027'!$K$5,"EM ANDAMENTO","A INICIAR")))</f>
        <v/>
      </c>
    </row>
    <row r="4474" customFormat="false" ht="15" hidden="false" customHeight="false" outlineLevel="0" collapsed="false">
      <c r="M4474" s="2" t="str">
        <f aca="false">IF(C4474="","",IFERROR(INDEX($S$5:$S$304,MATCH(C4474,$R$5:$R$304,0))&amp;"","?"))</f>
        <v/>
      </c>
      <c r="N4474" s="2" t="str">
        <f aca="false"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 t="str">
        <f aca="false">IF(OR(F4474="",G4474=""),"",IF(G4474&lt;='RETRATO 2027'!$K$5,"CONCLUÍDA",IF(F4474&lt;='RETRATO 2027'!$K$5,"EM ANDAMENTO","A INICIAR")))</f>
        <v/>
      </c>
    </row>
    <row r="4475" customFormat="false" ht="15" hidden="false" customHeight="false" outlineLevel="0" collapsed="false">
      <c r="M4475" s="2" t="str">
        <f aca="false">IF(C4475="","",IFERROR(INDEX($S$5:$S$304,MATCH(C4475,$R$5:$R$304,0))&amp;"","?"))</f>
        <v/>
      </c>
      <c r="N4475" s="2" t="str">
        <f aca="false"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 t="str">
        <f aca="false">IF(OR(F4475="",G4475=""),"",IF(G4475&lt;='RETRATO 2027'!$K$5,"CONCLUÍDA",IF(F4475&lt;='RETRATO 2027'!$K$5,"EM ANDAMENTO","A INICIAR")))</f>
        <v/>
      </c>
    </row>
    <row r="4476" customFormat="false" ht="15" hidden="false" customHeight="false" outlineLevel="0" collapsed="false">
      <c r="M4476" s="2" t="str">
        <f aca="false">IF(C4476="","",IFERROR(INDEX($S$5:$S$304,MATCH(C4476,$R$5:$R$304,0))&amp;"","?"))</f>
        <v/>
      </c>
      <c r="N4476" s="2" t="str">
        <f aca="false"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 t="str">
        <f aca="false">IF(OR(F4476="",G4476=""),"",IF(G4476&lt;='RETRATO 2027'!$K$5,"CONCLUÍDA",IF(F4476&lt;='RETRATO 2027'!$K$5,"EM ANDAMENTO","A INICIAR")))</f>
        <v/>
      </c>
    </row>
    <row r="4477" customFormat="false" ht="15" hidden="false" customHeight="false" outlineLevel="0" collapsed="false">
      <c r="M4477" s="2" t="str">
        <f aca="false">IF(C4477="","",IFERROR(INDEX($S$5:$S$304,MATCH(C4477,$R$5:$R$304,0))&amp;"","?"))</f>
        <v/>
      </c>
      <c r="N4477" s="2" t="str">
        <f aca="false"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 t="str">
        <f aca="false">IF(OR(F4477="",G4477=""),"",IF(G4477&lt;='RETRATO 2027'!$K$5,"CONCLUÍDA",IF(F4477&lt;='RETRATO 2027'!$K$5,"EM ANDAMENTO","A INICIAR")))</f>
        <v/>
      </c>
    </row>
    <row r="4478" customFormat="false" ht="15" hidden="false" customHeight="false" outlineLevel="0" collapsed="false">
      <c r="M4478" s="2" t="str">
        <f aca="false">IF(C4478="","",IFERROR(INDEX($S$5:$S$304,MATCH(C4478,$R$5:$R$304,0))&amp;"","?"))</f>
        <v/>
      </c>
      <c r="N4478" s="2" t="str">
        <f aca="false"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 t="str">
        <f aca="false">IF(OR(F4478="",G4478=""),"",IF(G4478&lt;='RETRATO 2027'!$K$5,"CONCLUÍDA",IF(F4478&lt;='RETRATO 2027'!$K$5,"EM ANDAMENTO","A INICIAR")))</f>
        <v/>
      </c>
    </row>
    <row r="4479" customFormat="false" ht="15" hidden="false" customHeight="false" outlineLevel="0" collapsed="false">
      <c r="M4479" s="2" t="str">
        <f aca="false">IF(C4479="","",IFERROR(INDEX($S$5:$S$304,MATCH(C4479,$R$5:$R$304,0))&amp;"","?"))</f>
        <v/>
      </c>
      <c r="N4479" s="2" t="str">
        <f aca="false"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 t="str">
        <f aca="false">IF(OR(F4479="",G4479=""),"",IF(G4479&lt;='RETRATO 2027'!$K$5,"CONCLUÍDA",IF(F4479&lt;='RETRATO 2027'!$K$5,"EM ANDAMENTO","A INICIAR")))</f>
        <v/>
      </c>
    </row>
    <row r="4480" customFormat="false" ht="15" hidden="false" customHeight="false" outlineLevel="0" collapsed="false">
      <c r="M4480" s="2" t="str">
        <f aca="false">IF(C4480="","",IFERROR(INDEX($S$5:$S$304,MATCH(C4480,$R$5:$R$304,0))&amp;"","?"))</f>
        <v/>
      </c>
      <c r="N4480" s="2" t="str">
        <f aca="false"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 t="str">
        <f aca="false">IF(OR(F4480="",G4480=""),"",IF(G4480&lt;='RETRATO 2027'!$K$5,"CONCLUÍDA",IF(F4480&lt;='RETRATO 2027'!$K$5,"EM ANDAMENTO","A INICIAR")))</f>
        <v/>
      </c>
    </row>
    <row r="4481" customFormat="false" ht="15" hidden="false" customHeight="false" outlineLevel="0" collapsed="false">
      <c r="M4481" s="2" t="str">
        <f aca="false">IF(C4481="","",IFERROR(INDEX($S$5:$S$304,MATCH(C4481,$R$5:$R$304,0))&amp;"","?"))</f>
        <v/>
      </c>
      <c r="N4481" s="2" t="str">
        <f aca="false"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 t="str">
        <f aca="false">IF(OR(F4481="",G4481=""),"",IF(G4481&lt;='RETRATO 2027'!$K$5,"CONCLUÍDA",IF(F4481&lt;='RETRATO 2027'!$K$5,"EM ANDAMENTO","A INICIAR")))</f>
        <v/>
      </c>
    </row>
    <row r="4482" customFormat="false" ht="15" hidden="false" customHeight="false" outlineLevel="0" collapsed="false">
      <c r="M4482" s="2" t="str">
        <f aca="false">IF(C4482="","",IFERROR(INDEX($S$5:$S$304,MATCH(C4482,$R$5:$R$304,0))&amp;"","?"))</f>
        <v/>
      </c>
      <c r="N4482" s="2" t="str">
        <f aca="false"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 t="str">
        <f aca="false">IF(OR(F4482="",G4482=""),"",IF(G4482&lt;='RETRATO 2027'!$K$5,"CONCLUÍDA",IF(F4482&lt;='RETRATO 2027'!$K$5,"EM ANDAMENTO","A INICIAR")))</f>
        <v/>
      </c>
    </row>
    <row r="4483" customFormat="false" ht="15" hidden="false" customHeight="false" outlineLevel="0" collapsed="false">
      <c r="M4483" s="2" t="str">
        <f aca="false">IF(C4483="","",IFERROR(INDEX($S$5:$S$304,MATCH(C4483,$R$5:$R$304,0))&amp;"","?"))</f>
        <v/>
      </c>
      <c r="N4483" s="2" t="str">
        <f aca="false"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 t="str">
        <f aca="false">IF(OR(F4483="",G4483=""),"",IF(G4483&lt;='RETRATO 2027'!$K$5,"CONCLUÍDA",IF(F4483&lt;='RETRATO 2027'!$K$5,"EM ANDAMENTO","A INICIAR")))</f>
        <v/>
      </c>
    </row>
    <row r="4484" customFormat="false" ht="15" hidden="false" customHeight="false" outlineLevel="0" collapsed="false">
      <c r="M4484" s="2" t="str">
        <f aca="false">IF(C4484="","",IFERROR(INDEX($S$5:$S$304,MATCH(C4484,$R$5:$R$304,0))&amp;"","?"))</f>
        <v/>
      </c>
      <c r="N4484" s="2" t="str">
        <f aca="false"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 t="str">
        <f aca="false">IF(OR(F4484="",G4484=""),"",IF(G4484&lt;='RETRATO 2027'!$K$5,"CONCLUÍDA",IF(F4484&lt;='RETRATO 2027'!$K$5,"EM ANDAMENTO","A INICIAR")))</f>
        <v/>
      </c>
    </row>
    <row r="4485" customFormat="false" ht="15" hidden="false" customHeight="false" outlineLevel="0" collapsed="false">
      <c r="M4485" s="2" t="str">
        <f aca="false">IF(C4485="","",IFERROR(INDEX($S$5:$S$304,MATCH(C4485,$R$5:$R$304,0))&amp;"","?"))</f>
        <v/>
      </c>
      <c r="N4485" s="2" t="str">
        <f aca="false"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 t="str">
        <f aca="false">IF(OR(F4485="",G4485=""),"",IF(G4485&lt;='RETRATO 2027'!$K$5,"CONCLUÍDA",IF(F4485&lt;='RETRATO 2027'!$K$5,"EM ANDAMENTO","A INICIAR")))</f>
        <v/>
      </c>
    </row>
    <row r="4486" customFormat="false" ht="15" hidden="false" customHeight="false" outlineLevel="0" collapsed="false">
      <c r="M4486" s="2" t="str">
        <f aca="false">IF(C4486="","",IFERROR(INDEX($S$5:$S$304,MATCH(C4486,$R$5:$R$304,0))&amp;"","?"))</f>
        <v/>
      </c>
      <c r="N4486" s="2" t="str">
        <f aca="false"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 t="str">
        <f aca="false">IF(OR(F4486="",G4486=""),"",IF(G4486&lt;='RETRATO 2027'!$K$5,"CONCLUÍDA",IF(F4486&lt;='RETRATO 2027'!$K$5,"EM ANDAMENTO","A INICIAR")))</f>
        <v/>
      </c>
    </row>
    <row r="4487" customFormat="false" ht="15" hidden="false" customHeight="false" outlineLevel="0" collapsed="false">
      <c r="M4487" s="2" t="str">
        <f aca="false">IF(C4487="","",IFERROR(INDEX($S$5:$S$304,MATCH(C4487,$R$5:$R$304,0))&amp;"","?"))</f>
        <v/>
      </c>
      <c r="N4487" s="2" t="str">
        <f aca="false"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 t="str">
        <f aca="false">IF(OR(F4487="",G4487=""),"",IF(G4487&lt;='RETRATO 2027'!$K$5,"CONCLUÍDA",IF(F4487&lt;='RETRATO 2027'!$K$5,"EM ANDAMENTO","A INICIAR")))</f>
        <v/>
      </c>
    </row>
    <row r="4488" customFormat="false" ht="15" hidden="false" customHeight="false" outlineLevel="0" collapsed="false">
      <c r="M4488" s="2" t="str">
        <f aca="false">IF(C4488="","",IFERROR(INDEX($S$5:$S$304,MATCH(C4488,$R$5:$R$304,0))&amp;"","?"))</f>
        <v/>
      </c>
      <c r="N4488" s="2" t="str">
        <f aca="false"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 t="str">
        <f aca="false">IF(OR(F4488="",G4488=""),"",IF(G4488&lt;='RETRATO 2027'!$K$5,"CONCLUÍDA",IF(F4488&lt;='RETRATO 2027'!$K$5,"EM ANDAMENTO","A INICIAR")))</f>
        <v/>
      </c>
    </row>
    <row r="4489" customFormat="false" ht="15" hidden="false" customHeight="false" outlineLevel="0" collapsed="false">
      <c r="M4489" s="2" t="str">
        <f aca="false">IF(C4489="","",IFERROR(INDEX($S$5:$S$304,MATCH(C4489,$R$5:$R$304,0))&amp;"","?"))</f>
        <v/>
      </c>
      <c r="N4489" s="2" t="str">
        <f aca="false"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 t="str">
        <f aca="false">IF(OR(F4489="",G4489=""),"",IF(G4489&lt;='RETRATO 2027'!$K$5,"CONCLUÍDA",IF(F4489&lt;='RETRATO 2027'!$K$5,"EM ANDAMENTO","A INICIAR")))</f>
        <v/>
      </c>
    </row>
    <row r="4490" customFormat="false" ht="15" hidden="false" customHeight="false" outlineLevel="0" collapsed="false">
      <c r="M4490" s="2" t="str">
        <f aca="false">IF(C4490="","",IFERROR(INDEX($S$5:$S$304,MATCH(C4490,$R$5:$R$304,0))&amp;"","?"))</f>
        <v/>
      </c>
      <c r="N4490" s="2" t="str">
        <f aca="false"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 t="str">
        <f aca="false">IF(OR(F4490="",G4490=""),"",IF(G4490&lt;='RETRATO 2027'!$K$5,"CONCLUÍDA",IF(F4490&lt;='RETRATO 2027'!$K$5,"EM ANDAMENTO","A INICIAR")))</f>
        <v/>
      </c>
    </row>
    <row r="4491" customFormat="false" ht="15" hidden="false" customHeight="false" outlineLevel="0" collapsed="false">
      <c r="M4491" s="2" t="str">
        <f aca="false">IF(C4491="","",IFERROR(INDEX($S$5:$S$304,MATCH(C4491,$R$5:$R$304,0))&amp;"","?"))</f>
        <v/>
      </c>
      <c r="N4491" s="2" t="str">
        <f aca="false"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 t="str">
        <f aca="false">IF(OR(F4491="",G4491=""),"",IF(G4491&lt;='RETRATO 2027'!$K$5,"CONCLUÍDA",IF(F4491&lt;='RETRATO 2027'!$K$5,"EM ANDAMENTO","A INICIAR")))</f>
        <v/>
      </c>
    </row>
    <row r="4492" customFormat="false" ht="15" hidden="false" customHeight="false" outlineLevel="0" collapsed="false">
      <c r="M4492" s="2" t="str">
        <f aca="false">IF(C4492="","",IFERROR(INDEX($S$5:$S$304,MATCH(C4492,$R$5:$R$304,0))&amp;"","?"))</f>
        <v/>
      </c>
      <c r="N4492" s="2" t="str">
        <f aca="false"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 t="str">
        <f aca="false">IF(OR(F4492="",G4492=""),"",IF(G4492&lt;='RETRATO 2027'!$K$5,"CONCLUÍDA",IF(F4492&lt;='RETRATO 2027'!$K$5,"EM ANDAMENTO","A INICIAR")))</f>
        <v/>
      </c>
    </row>
    <row r="4493" customFormat="false" ht="15" hidden="false" customHeight="false" outlineLevel="0" collapsed="false">
      <c r="M4493" s="2" t="str">
        <f aca="false">IF(C4493="","",IFERROR(INDEX($S$5:$S$304,MATCH(C4493,$R$5:$R$304,0))&amp;"","?"))</f>
        <v/>
      </c>
      <c r="N4493" s="2" t="str">
        <f aca="false"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 t="str">
        <f aca="false">IF(OR(F4493="",G4493=""),"",IF(G4493&lt;='RETRATO 2027'!$K$5,"CONCLUÍDA",IF(F4493&lt;='RETRATO 2027'!$K$5,"EM ANDAMENTO","A INICIAR")))</f>
        <v/>
      </c>
    </row>
    <row r="4494" customFormat="false" ht="15" hidden="false" customHeight="false" outlineLevel="0" collapsed="false">
      <c r="M4494" s="2" t="str">
        <f aca="false">IF(C4494="","",IFERROR(INDEX($S$5:$S$304,MATCH(C4494,$R$5:$R$304,0))&amp;"","?"))</f>
        <v/>
      </c>
      <c r="N4494" s="2" t="str">
        <f aca="false"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 t="str">
        <f aca="false">IF(OR(F4494="",G4494=""),"",IF(G4494&lt;='RETRATO 2027'!$K$5,"CONCLUÍDA",IF(F4494&lt;='RETRATO 2027'!$K$5,"EM ANDAMENTO","A INICIAR")))</f>
        <v/>
      </c>
    </row>
    <row r="4495" customFormat="false" ht="15" hidden="false" customHeight="false" outlineLevel="0" collapsed="false">
      <c r="M4495" s="2" t="str">
        <f aca="false">IF(C4495="","",IFERROR(INDEX($S$5:$S$304,MATCH(C4495,$R$5:$R$304,0))&amp;"","?"))</f>
        <v/>
      </c>
      <c r="N4495" s="2" t="str">
        <f aca="false"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 t="str">
        <f aca="false">IF(OR(F4495="",G4495=""),"",IF(G4495&lt;='RETRATO 2027'!$K$5,"CONCLUÍDA",IF(F4495&lt;='RETRATO 2027'!$K$5,"EM ANDAMENTO","A INICIAR")))</f>
        <v/>
      </c>
    </row>
    <row r="4496" customFormat="false" ht="15" hidden="false" customHeight="false" outlineLevel="0" collapsed="false">
      <c r="M4496" s="2" t="str">
        <f aca="false">IF(C4496="","",IFERROR(INDEX($S$5:$S$304,MATCH(C4496,$R$5:$R$304,0))&amp;"","?"))</f>
        <v/>
      </c>
      <c r="N4496" s="2" t="str">
        <f aca="false"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 t="str">
        <f aca="false">IF(OR(F4496="",G4496=""),"",IF(G4496&lt;='RETRATO 2027'!$K$5,"CONCLUÍDA",IF(F4496&lt;='RETRATO 2027'!$K$5,"EM ANDAMENTO","A INICIAR")))</f>
        <v/>
      </c>
    </row>
    <row r="4497" customFormat="false" ht="15" hidden="false" customHeight="false" outlineLevel="0" collapsed="false">
      <c r="M4497" s="2" t="str">
        <f aca="false">IF(C4497="","",IFERROR(INDEX($S$5:$S$304,MATCH(C4497,$R$5:$R$304,0))&amp;"","?"))</f>
        <v/>
      </c>
      <c r="N4497" s="2" t="str">
        <f aca="false"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 t="str">
        <f aca="false">IF(OR(F4497="",G4497=""),"",IF(G4497&lt;='RETRATO 2027'!$K$5,"CONCLUÍDA",IF(F4497&lt;='RETRATO 2027'!$K$5,"EM ANDAMENTO","A INICIAR")))</f>
        <v/>
      </c>
    </row>
    <row r="4498" customFormat="false" ht="15" hidden="false" customHeight="false" outlineLevel="0" collapsed="false">
      <c r="M4498" s="2" t="str">
        <f aca="false">IF(C4498="","",IFERROR(INDEX($S$5:$S$304,MATCH(C4498,$R$5:$R$304,0))&amp;"","?"))</f>
        <v/>
      </c>
      <c r="N4498" s="2" t="str">
        <f aca="false"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 t="str">
        <f aca="false">IF(OR(F4498="",G4498=""),"",IF(G4498&lt;='RETRATO 2027'!$K$5,"CONCLUÍDA",IF(F4498&lt;='RETRATO 2027'!$K$5,"EM ANDAMENTO","A INICIAR")))</f>
        <v/>
      </c>
    </row>
    <row r="4499" customFormat="false" ht="15" hidden="false" customHeight="false" outlineLevel="0" collapsed="false">
      <c r="M4499" s="2" t="str">
        <f aca="false">IF(C4499="","",IFERROR(INDEX($S$5:$S$304,MATCH(C4499,$R$5:$R$304,0))&amp;"","?"))</f>
        <v/>
      </c>
      <c r="N4499" s="2" t="str">
        <f aca="false"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 t="str">
        <f aca="false">IF(OR(F4499="",G4499=""),"",IF(G4499&lt;='RETRATO 2027'!$K$5,"CONCLUÍDA",IF(F4499&lt;='RETRATO 2027'!$K$5,"EM ANDAMENTO","A INICIAR")))</f>
        <v/>
      </c>
    </row>
    <row r="4500" customFormat="false" ht="15" hidden="false" customHeight="false" outlineLevel="0" collapsed="false">
      <c r="M4500" s="2" t="str">
        <f aca="false">IF(C4500="","",IFERROR(INDEX($S$5:$S$304,MATCH(C4500,$R$5:$R$304,0))&amp;"","?"))</f>
        <v/>
      </c>
      <c r="N4500" s="2" t="str">
        <f aca="false"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 t="str">
        <f aca="false">IF(OR(F4500="",G4500=""),"",IF(G4500&lt;='RETRATO 2027'!$K$5,"CONCLUÍDA",IF(F4500&lt;='RETRATO 2027'!$K$5,"EM ANDAMENTO","A INICIAR")))</f>
        <v/>
      </c>
    </row>
    <row r="4501" customFormat="false" ht="15" hidden="false" customHeight="false" outlineLevel="0" collapsed="false">
      <c r="M4501" s="2" t="str">
        <f aca="false">IF(C4501="","",IFERROR(INDEX($S$5:$S$304,MATCH(C4501,$R$5:$R$304,0))&amp;"","?"))</f>
        <v/>
      </c>
      <c r="N4501" s="2" t="str">
        <f aca="false"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 t="str">
        <f aca="false">IF(OR(F4501="",G4501=""),"",IF(G4501&lt;='RETRATO 2027'!$K$5,"CONCLUÍDA",IF(F4501&lt;='RETRATO 2027'!$K$5,"EM ANDAMENTO","A INICIAR")))</f>
        <v/>
      </c>
    </row>
    <row r="4502" customFormat="false" ht="15" hidden="false" customHeight="false" outlineLevel="0" collapsed="false">
      <c r="M4502" s="2" t="str">
        <f aca="false">IF(C4502="","",IFERROR(INDEX($S$5:$S$304,MATCH(C4502,$R$5:$R$304,0))&amp;"","?"))</f>
        <v/>
      </c>
      <c r="N4502" s="2" t="str">
        <f aca="false"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 t="str">
        <f aca="false">IF(OR(F4502="",G4502=""),"",IF(G4502&lt;='RETRATO 2027'!$K$5,"CONCLUÍDA",IF(F4502&lt;='RETRATO 2027'!$K$5,"EM ANDAMENTO","A INICIAR")))</f>
        <v/>
      </c>
    </row>
    <row r="4503" customFormat="false" ht="15" hidden="false" customHeight="false" outlineLevel="0" collapsed="false">
      <c r="M4503" s="2" t="str">
        <f aca="false">IF(C4503="","",IFERROR(INDEX($S$5:$S$304,MATCH(C4503,$R$5:$R$304,0))&amp;"","?"))</f>
        <v/>
      </c>
      <c r="N4503" s="2" t="str">
        <f aca="false"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 t="str">
        <f aca="false">IF(OR(F4503="",G4503=""),"",IF(G4503&lt;='RETRATO 2027'!$K$5,"CONCLUÍDA",IF(F4503&lt;='RETRATO 2027'!$K$5,"EM ANDAMENTO","A INICIAR")))</f>
        <v/>
      </c>
    </row>
    <row r="4504" customFormat="false" ht="15" hidden="false" customHeight="false" outlineLevel="0" collapsed="false">
      <c r="M4504" s="2" t="str">
        <f aca="false">IF(C4504="","",IFERROR(INDEX($S$5:$S$304,MATCH(C4504,$R$5:$R$304,0))&amp;"","?"))</f>
        <v/>
      </c>
      <c r="N4504" s="2" t="str">
        <f aca="false"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 t="str">
        <f aca="false">IF(OR(F4504="",G4504=""),"",IF(G4504&lt;='RETRATO 2027'!$K$5,"CONCLUÍDA",IF(F4504&lt;='RETRATO 2027'!$K$5,"EM ANDAMENTO","A INICIAR")))</f>
        <v/>
      </c>
    </row>
    <row r="4505" customFormat="false" ht="15" hidden="false" customHeight="false" outlineLevel="0" collapsed="false">
      <c r="M4505" s="2" t="str">
        <f aca="false">IF(C4505="","",IFERROR(INDEX($S$5:$S$304,MATCH(C4505,$R$5:$R$304,0))&amp;"","?"))</f>
        <v/>
      </c>
      <c r="N4505" s="2" t="str">
        <f aca="false"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 t="str">
        <f aca="false">IF(OR(F4505="",G4505=""),"",IF(G4505&lt;='RETRATO 2027'!$K$5,"CONCLUÍDA",IF(F4505&lt;='RETRATO 2027'!$K$5,"EM ANDAMENTO","A INICIAR")))</f>
        <v/>
      </c>
    </row>
    <row r="4506" customFormat="false" ht="15" hidden="false" customHeight="false" outlineLevel="0" collapsed="false">
      <c r="M4506" s="2" t="str">
        <f aca="false">IF(C4506="","",IFERROR(INDEX($S$5:$S$304,MATCH(C4506,$R$5:$R$304,0))&amp;"","?"))</f>
        <v/>
      </c>
      <c r="N4506" s="2" t="str">
        <f aca="false"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 t="str">
        <f aca="false">IF(OR(F4506="",G4506=""),"",IF(G4506&lt;='RETRATO 2027'!$K$5,"CONCLUÍDA",IF(F4506&lt;='RETRATO 2027'!$K$5,"EM ANDAMENTO","A INICIAR")))</f>
        <v/>
      </c>
    </row>
    <row r="4507" customFormat="false" ht="15" hidden="false" customHeight="false" outlineLevel="0" collapsed="false">
      <c r="M4507" s="2" t="str">
        <f aca="false">IF(C4507="","",IFERROR(INDEX($S$5:$S$304,MATCH(C4507,$R$5:$R$304,0))&amp;"","?"))</f>
        <v/>
      </c>
      <c r="N4507" s="2" t="str">
        <f aca="false"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 t="str">
        <f aca="false">IF(OR(F4507="",G4507=""),"",IF(G4507&lt;='RETRATO 2027'!$K$5,"CONCLUÍDA",IF(F4507&lt;='RETRATO 2027'!$K$5,"EM ANDAMENTO","A INICIAR")))</f>
        <v/>
      </c>
    </row>
    <row r="4508" customFormat="false" ht="15" hidden="false" customHeight="false" outlineLevel="0" collapsed="false">
      <c r="M4508" s="2" t="str">
        <f aca="false">IF(C4508="","",IFERROR(INDEX($S$5:$S$304,MATCH(C4508,$R$5:$R$304,0))&amp;"","?"))</f>
        <v/>
      </c>
      <c r="N4508" s="2" t="str">
        <f aca="false"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 t="str">
        <f aca="false">IF(OR(F4508="",G4508=""),"",IF(G4508&lt;='RETRATO 2027'!$K$5,"CONCLUÍDA",IF(F4508&lt;='RETRATO 2027'!$K$5,"EM ANDAMENTO","A INICIAR")))</f>
        <v/>
      </c>
    </row>
    <row r="4509" customFormat="false" ht="15" hidden="false" customHeight="false" outlineLevel="0" collapsed="false">
      <c r="M4509" s="2" t="str">
        <f aca="false">IF(C4509="","",IFERROR(INDEX($S$5:$S$304,MATCH(C4509,$R$5:$R$304,0))&amp;"","?"))</f>
        <v/>
      </c>
      <c r="N4509" s="2" t="str">
        <f aca="false"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 t="str">
        <f aca="false">IF(OR(F4509="",G4509=""),"",IF(G4509&lt;='RETRATO 2027'!$K$5,"CONCLUÍDA",IF(F4509&lt;='RETRATO 2027'!$K$5,"EM ANDAMENTO","A INICIAR")))</f>
        <v/>
      </c>
    </row>
    <row r="4510" customFormat="false" ht="15" hidden="false" customHeight="false" outlineLevel="0" collapsed="false">
      <c r="M4510" s="2" t="str">
        <f aca="false">IF(C4510="","",IFERROR(INDEX($S$5:$S$304,MATCH(C4510,$R$5:$R$304,0))&amp;"","?"))</f>
        <v/>
      </c>
      <c r="N4510" s="2" t="str">
        <f aca="false"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 t="str">
        <f aca="false">IF(OR(F4510="",G4510=""),"",IF(G4510&lt;='RETRATO 2027'!$K$5,"CONCLUÍDA",IF(F4510&lt;='RETRATO 2027'!$K$5,"EM ANDAMENTO","A INICIAR")))</f>
        <v/>
      </c>
    </row>
    <row r="4511" customFormat="false" ht="15" hidden="false" customHeight="false" outlineLevel="0" collapsed="false">
      <c r="M4511" s="2" t="str">
        <f aca="false">IF(C4511="","",IFERROR(INDEX($S$5:$S$304,MATCH(C4511,$R$5:$R$304,0))&amp;"","?"))</f>
        <v/>
      </c>
      <c r="N4511" s="2" t="str">
        <f aca="false"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 t="str">
        <f aca="false">IF(OR(F4511="",G4511=""),"",IF(G4511&lt;='RETRATO 2027'!$K$5,"CONCLUÍDA",IF(F4511&lt;='RETRATO 2027'!$K$5,"EM ANDAMENTO","A INICIAR")))</f>
        <v/>
      </c>
    </row>
    <row r="4512" customFormat="false" ht="15" hidden="false" customHeight="false" outlineLevel="0" collapsed="false">
      <c r="M4512" s="2" t="str">
        <f aca="false">IF(C4512="","",IFERROR(INDEX($S$5:$S$304,MATCH(C4512,$R$5:$R$304,0))&amp;"","?"))</f>
        <v/>
      </c>
      <c r="N4512" s="2" t="str">
        <f aca="false"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 t="str">
        <f aca="false">IF(OR(F4512="",G4512=""),"",IF(G4512&lt;='RETRATO 2027'!$K$5,"CONCLUÍDA",IF(F4512&lt;='RETRATO 2027'!$K$5,"EM ANDAMENTO","A INICIAR")))</f>
        <v/>
      </c>
    </row>
    <row r="4513" customFormat="false" ht="15" hidden="false" customHeight="false" outlineLevel="0" collapsed="false">
      <c r="M4513" s="2" t="str">
        <f aca="false">IF(C4513="","",IFERROR(INDEX($S$5:$S$304,MATCH(C4513,$R$5:$R$304,0))&amp;"","?"))</f>
        <v/>
      </c>
      <c r="N4513" s="2" t="str">
        <f aca="false"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 t="str">
        <f aca="false">IF(OR(F4513="",G4513=""),"",IF(G4513&lt;='RETRATO 2027'!$K$5,"CONCLUÍDA",IF(F4513&lt;='RETRATO 2027'!$K$5,"EM ANDAMENTO","A INICIAR")))</f>
        <v/>
      </c>
    </row>
    <row r="4514" customFormat="false" ht="15" hidden="false" customHeight="false" outlineLevel="0" collapsed="false">
      <c r="M4514" s="2" t="str">
        <f aca="false">IF(C4514="","",IFERROR(INDEX($S$5:$S$304,MATCH(C4514,$R$5:$R$304,0))&amp;"","?"))</f>
        <v/>
      </c>
      <c r="N4514" s="2" t="str">
        <f aca="false"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 t="str">
        <f aca="false">IF(OR(F4514="",G4514=""),"",IF(G4514&lt;='RETRATO 2027'!$K$5,"CONCLUÍDA",IF(F4514&lt;='RETRATO 2027'!$K$5,"EM ANDAMENTO","A INICIAR")))</f>
        <v/>
      </c>
    </row>
    <row r="4515" customFormat="false" ht="15" hidden="false" customHeight="false" outlineLevel="0" collapsed="false">
      <c r="M4515" s="2" t="str">
        <f aca="false">IF(C4515="","",IFERROR(INDEX($S$5:$S$304,MATCH(C4515,$R$5:$R$304,0))&amp;"","?"))</f>
        <v/>
      </c>
      <c r="N4515" s="2" t="str">
        <f aca="false"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 t="str">
        <f aca="false">IF(OR(F4515="",G4515=""),"",IF(G4515&lt;='RETRATO 2027'!$K$5,"CONCLUÍDA",IF(F4515&lt;='RETRATO 2027'!$K$5,"EM ANDAMENTO","A INICIAR")))</f>
        <v/>
      </c>
    </row>
    <row r="4516" customFormat="false" ht="15" hidden="false" customHeight="false" outlineLevel="0" collapsed="false">
      <c r="M4516" s="2" t="str">
        <f aca="false">IF(C4516="","",IFERROR(INDEX($S$5:$S$304,MATCH(C4516,$R$5:$R$304,0))&amp;"","?"))</f>
        <v/>
      </c>
      <c r="N4516" s="2" t="str">
        <f aca="false"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 t="str">
        <f aca="false">IF(OR(F4516="",G4516=""),"",IF(G4516&lt;='RETRATO 2027'!$K$5,"CONCLUÍDA",IF(F4516&lt;='RETRATO 2027'!$K$5,"EM ANDAMENTO","A INICIAR")))</f>
        <v/>
      </c>
    </row>
    <row r="4517" customFormat="false" ht="15" hidden="false" customHeight="false" outlineLevel="0" collapsed="false">
      <c r="M4517" s="2" t="str">
        <f aca="false">IF(C4517="","",IFERROR(INDEX($S$5:$S$304,MATCH(C4517,$R$5:$R$304,0))&amp;"","?"))</f>
        <v/>
      </c>
      <c r="N4517" s="2" t="str">
        <f aca="false"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 t="str">
        <f aca="false">IF(OR(F4517="",G4517=""),"",IF(G4517&lt;='RETRATO 2027'!$K$5,"CONCLUÍDA",IF(F4517&lt;='RETRATO 2027'!$K$5,"EM ANDAMENTO","A INICIAR")))</f>
        <v/>
      </c>
    </row>
    <row r="4518" customFormat="false" ht="15" hidden="false" customHeight="false" outlineLevel="0" collapsed="false">
      <c r="M4518" s="2" t="str">
        <f aca="false">IF(C4518="","",IFERROR(INDEX($S$5:$S$304,MATCH(C4518,$R$5:$R$304,0))&amp;"","?"))</f>
        <v/>
      </c>
      <c r="N4518" s="2" t="str">
        <f aca="false"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 t="str">
        <f aca="false">IF(OR(F4518="",G4518=""),"",IF(G4518&lt;='RETRATO 2027'!$K$5,"CONCLUÍDA",IF(F4518&lt;='RETRATO 2027'!$K$5,"EM ANDAMENTO","A INICIAR")))</f>
        <v/>
      </c>
    </row>
    <row r="4519" customFormat="false" ht="15" hidden="false" customHeight="false" outlineLevel="0" collapsed="false">
      <c r="M4519" s="2" t="str">
        <f aca="false">IF(C4519="","",IFERROR(INDEX($S$5:$S$304,MATCH(C4519,$R$5:$R$304,0))&amp;"","?"))</f>
        <v/>
      </c>
      <c r="N4519" s="2" t="str">
        <f aca="false"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 t="str">
        <f aca="false">IF(OR(F4519="",G4519=""),"",IF(G4519&lt;='RETRATO 2027'!$K$5,"CONCLUÍDA",IF(F4519&lt;='RETRATO 2027'!$K$5,"EM ANDAMENTO","A INICIAR")))</f>
        <v/>
      </c>
    </row>
    <row r="4520" customFormat="false" ht="15" hidden="false" customHeight="false" outlineLevel="0" collapsed="false">
      <c r="M4520" s="2" t="str">
        <f aca="false">IF(C4520="","",IFERROR(INDEX($S$5:$S$304,MATCH(C4520,$R$5:$R$304,0))&amp;"","?"))</f>
        <v/>
      </c>
      <c r="N4520" s="2" t="str">
        <f aca="false"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 t="str">
        <f aca="false">IF(OR(F4520="",G4520=""),"",IF(G4520&lt;='RETRATO 2027'!$K$5,"CONCLUÍDA",IF(F4520&lt;='RETRATO 2027'!$K$5,"EM ANDAMENTO","A INICIAR")))</f>
        <v/>
      </c>
    </row>
    <row r="4521" customFormat="false" ht="15" hidden="false" customHeight="false" outlineLevel="0" collapsed="false">
      <c r="M4521" s="2" t="str">
        <f aca="false">IF(C4521="","",IFERROR(INDEX($S$5:$S$304,MATCH(C4521,$R$5:$R$304,0))&amp;"","?"))</f>
        <v/>
      </c>
      <c r="N4521" s="2" t="str">
        <f aca="false"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 t="str">
        <f aca="false">IF(OR(F4521="",G4521=""),"",IF(G4521&lt;='RETRATO 2027'!$K$5,"CONCLUÍDA",IF(F4521&lt;='RETRATO 2027'!$K$5,"EM ANDAMENTO","A INICIAR")))</f>
        <v/>
      </c>
    </row>
    <row r="4522" customFormat="false" ht="15" hidden="false" customHeight="false" outlineLevel="0" collapsed="false">
      <c r="M4522" s="2" t="str">
        <f aca="false">IF(C4522="","",IFERROR(INDEX($S$5:$S$304,MATCH(C4522,$R$5:$R$304,0))&amp;"","?"))</f>
        <v/>
      </c>
      <c r="N4522" s="2" t="str">
        <f aca="false"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 t="str">
        <f aca="false">IF(OR(F4522="",G4522=""),"",IF(G4522&lt;='RETRATO 2027'!$K$5,"CONCLUÍDA",IF(F4522&lt;='RETRATO 2027'!$K$5,"EM ANDAMENTO","A INICIAR")))</f>
        <v/>
      </c>
    </row>
    <row r="4523" customFormat="false" ht="15" hidden="false" customHeight="false" outlineLevel="0" collapsed="false">
      <c r="M4523" s="2" t="str">
        <f aca="false">IF(C4523="","",IFERROR(INDEX($S$5:$S$304,MATCH(C4523,$R$5:$R$304,0))&amp;"","?"))</f>
        <v/>
      </c>
      <c r="N4523" s="2" t="str">
        <f aca="false"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 t="str">
        <f aca="false">IF(OR(F4523="",G4523=""),"",IF(G4523&lt;='RETRATO 2027'!$K$5,"CONCLUÍDA",IF(F4523&lt;='RETRATO 2027'!$K$5,"EM ANDAMENTO","A INICIAR")))</f>
        <v/>
      </c>
    </row>
    <row r="4524" customFormat="false" ht="15" hidden="false" customHeight="false" outlineLevel="0" collapsed="false">
      <c r="M4524" s="2" t="str">
        <f aca="false">IF(C4524="","",IFERROR(INDEX($S$5:$S$304,MATCH(C4524,$R$5:$R$304,0))&amp;"","?"))</f>
        <v/>
      </c>
      <c r="N4524" s="2" t="str">
        <f aca="false"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 t="str">
        <f aca="false">IF(OR(F4524="",G4524=""),"",IF(G4524&lt;='RETRATO 2027'!$K$5,"CONCLUÍDA",IF(F4524&lt;='RETRATO 2027'!$K$5,"EM ANDAMENTO","A INICIAR")))</f>
        <v/>
      </c>
    </row>
    <row r="4525" customFormat="false" ht="15" hidden="false" customHeight="false" outlineLevel="0" collapsed="false">
      <c r="M4525" s="2" t="str">
        <f aca="false">IF(C4525="","",IFERROR(INDEX($S$5:$S$304,MATCH(C4525,$R$5:$R$304,0))&amp;"","?"))</f>
        <v/>
      </c>
      <c r="N4525" s="2" t="str">
        <f aca="false"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 t="str">
        <f aca="false">IF(OR(F4525="",G4525=""),"",IF(G4525&lt;='RETRATO 2027'!$K$5,"CONCLUÍDA",IF(F4525&lt;='RETRATO 2027'!$K$5,"EM ANDAMENTO","A INICIAR")))</f>
        <v/>
      </c>
    </row>
    <row r="4526" customFormat="false" ht="15" hidden="false" customHeight="false" outlineLevel="0" collapsed="false">
      <c r="M4526" s="2" t="str">
        <f aca="false">IF(C4526="","",IFERROR(INDEX($S$5:$S$304,MATCH(C4526,$R$5:$R$304,0))&amp;"","?"))</f>
        <v/>
      </c>
      <c r="N4526" s="2" t="str">
        <f aca="false"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 t="str">
        <f aca="false">IF(OR(F4526="",G4526=""),"",IF(G4526&lt;='RETRATO 2027'!$K$5,"CONCLUÍDA",IF(F4526&lt;='RETRATO 2027'!$K$5,"EM ANDAMENTO","A INICIAR")))</f>
        <v/>
      </c>
    </row>
    <row r="4527" customFormat="false" ht="15" hidden="false" customHeight="false" outlineLevel="0" collapsed="false">
      <c r="M4527" s="2" t="str">
        <f aca="false">IF(C4527="","",IFERROR(INDEX($S$5:$S$304,MATCH(C4527,$R$5:$R$304,0))&amp;"","?"))</f>
        <v/>
      </c>
      <c r="N4527" s="2" t="str">
        <f aca="false"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 t="str">
        <f aca="false">IF(OR(F4527="",G4527=""),"",IF(G4527&lt;='RETRATO 2027'!$K$5,"CONCLUÍDA",IF(F4527&lt;='RETRATO 2027'!$K$5,"EM ANDAMENTO","A INICIAR")))</f>
        <v/>
      </c>
    </row>
    <row r="4528" customFormat="false" ht="15" hidden="false" customHeight="false" outlineLevel="0" collapsed="false">
      <c r="M4528" s="2" t="str">
        <f aca="false">IF(C4528="","",IFERROR(INDEX($S$5:$S$304,MATCH(C4528,$R$5:$R$304,0))&amp;"","?"))</f>
        <v/>
      </c>
      <c r="N4528" s="2" t="str">
        <f aca="false"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 t="str">
        <f aca="false">IF(OR(F4528="",G4528=""),"",IF(G4528&lt;='RETRATO 2027'!$K$5,"CONCLUÍDA",IF(F4528&lt;='RETRATO 2027'!$K$5,"EM ANDAMENTO","A INICIAR")))</f>
        <v/>
      </c>
    </row>
    <row r="4529" customFormat="false" ht="15" hidden="false" customHeight="false" outlineLevel="0" collapsed="false">
      <c r="M4529" s="2" t="str">
        <f aca="false">IF(C4529="","",IFERROR(INDEX($S$5:$S$304,MATCH(C4529,$R$5:$R$304,0))&amp;"","?"))</f>
        <v/>
      </c>
      <c r="N4529" s="2" t="str">
        <f aca="false"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 t="str">
        <f aca="false">IF(OR(F4529="",G4529=""),"",IF(G4529&lt;='RETRATO 2027'!$K$5,"CONCLUÍDA",IF(F4529&lt;='RETRATO 2027'!$K$5,"EM ANDAMENTO","A INICIAR")))</f>
        <v/>
      </c>
    </row>
    <row r="4530" customFormat="false" ht="15" hidden="false" customHeight="false" outlineLevel="0" collapsed="false">
      <c r="M4530" s="2" t="str">
        <f aca="false">IF(C4530="","",IFERROR(INDEX($S$5:$S$304,MATCH(C4530,$R$5:$R$304,0))&amp;"","?"))</f>
        <v/>
      </c>
      <c r="N4530" s="2" t="str">
        <f aca="false"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 t="str">
        <f aca="false">IF(OR(F4530="",G4530=""),"",IF(G4530&lt;='RETRATO 2027'!$K$5,"CONCLUÍDA",IF(F4530&lt;='RETRATO 2027'!$K$5,"EM ANDAMENTO","A INICIAR")))</f>
        <v/>
      </c>
    </row>
    <row r="4531" customFormat="false" ht="15" hidden="false" customHeight="false" outlineLevel="0" collapsed="false">
      <c r="M4531" s="2" t="str">
        <f aca="false">IF(C4531="","",IFERROR(INDEX($S$5:$S$304,MATCH(C4531,$R$5:$R$304,0))&amp;"","?"))</f>
        <v/>
      </c>
      <c r="N4531" s="2" t="str">
        <f aca="false"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 t="str">
        <f aca="false">IF(OR(F4531="",G4531=""),"",IF(G4531&lt;='RETRATO 2027'!$K$5,"CONCLUÍDA",IF(F4531&lt;='RETRATO 2027'!$K$5,"EM ANDAMENTO","A INICIAR")))</f>
        <v/>
      </c>
    </row>
    <row r="4532" customFormat="false" ht="15" hidden="false" customHeight="false" outlineLevel="0" collapsed="false">
      <c r="M4532" s="2" t="str">
        <f aca="false">IF(C4532="","",IFERROR(INDEX($S$5:$S$304,MATCH(C4532,$R$5:$R$304,0))&amp;"","?"))</f>
        <v/>
      </c>
      <c r="N4532" s="2" t="str">
        <f aca="false"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 t="str">
        <f aca="false">IF(OR(F4532="",G4532=""),"",IF(G4532&lt;='RETRATO 2027'!$K$5,"CONCLUÍDA",IF(F4532&lt;='RETRATO 2027'!$K$5,"EM ANDAMENTO","A INICIAR")))</f>
        <v/>
      </c>
    </row>
    <row r="4533" customFormat="false" ht="15" hidden="false" customHeight="false" outlineLevel="0" collapsed="false">
      <c r="M4533" s="2" t="str">
        <f aca="false">IF(C4533="","",IFERROR(INDEX($S$5:$S$304,MATCH(C4533,$R$5:$R$304,0))&amp;"","?"))</f>
        <v/>
      </c>
      <c r="N4533" s="2" t="str">
        <f aca="false"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 t="str">
        <f aca="false">IF(OR(F4533="",G4533=""),"",IF(G4533&lt;='RETRATO 2027'!$K$5,"CONCLUÍDA",IF(F4533&lt;='RETRATO 2027'!$K$5,"EM ANDAMENTO","A INICIAR")))</f>
        <v/>
      </c>
    </row>
    <row r="4534" customFormat="false" ht="15" hidden="false" customHeight="false" outlineLevel="0" collapsed="false">
      <c r="M4534" s="2" t="str">
        <f aca="false">IF(C4534="","",IFERROR(INDEX($S$5:$S$304,MATCH(C4534,$R$5:$R$304,0))&amp;"","?"))</f>
        <v/>
      </c>
      <c r="N4534" s="2" t="str">
        <f aca="false"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 t="str">
        <f aca="false">IF(OR(F4534="",G4534=""),"",IF(G4534&lt;='RETRATO 2027'!$K$5,"CONCLUÍDA",IF(F4534&lt;='RETRATO 2027'!$K$5,"EM ANDAMENTO","A INICIAR")))</f>
        <v/>
      </c>
    </row>
    <row r="4535" customFormat="false" ht="15" hidden="false" customHeight="false" outlineLevel="0" collapsed="false">
      <c r="M4535" s="2" t="str">
        <f aca="false">IF(C4535="","",IFERROR(INDEX($S$5:$S$304,MATCH(C4535,$R$5:$R$304,0))&amp;"","?"))</f>
        <v/>
      </c>
      <c r="N4535" s="2" t="str">
        <f aca="false"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 t="str">
        <f aca="false">IF(OR(F4535="",G4535=""),"",IF(G4535&lt;='RETRATO 2027'!$K$5,"CONCLUÍDA",IF(F4535&lt;='RETRATO 2027'!$K$5,"EM ANDAMENTO","A INICIAR")))</f>
        <v/>
      </c>
    </row>
    <row r="4536" customFormat="false" ht="15" hidden="false" customHeight="false" outlineLevel="0" collapsed="false">
      <c r="M4536" s="2" t="str">
        <f aca="false">IF(C4536="","",IFERROR(INDEX($S$5:$S$304,MATCH(C4536,$R$5:$R$304,0))&amp;"","?"))</f>
        <v/>
      </c>
      <c r="N4536" s="2" t="str">
        <f aca="false"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 t="str">
        <f aca="false">IF(OR(F4536="",G4536=""),"",IF(G4536&lt;='RETRATO 2027'!$K$5,"CONCLUÍDA",IF(F4536&lt;='RETRATO 2027'!$K$5,"EM ANDAMENTO","A INICIAR")))</f>
        <v/>
      </c>
    </row>
    <row r="4537" customFormat="false" ht="15" hidden="false" customHeight="false" outlineLevel="0" collapsed="false">
      <c r="M4537" s="2" t="str">
        <f aca="false">IF(C4537="","",IFERROR(INDEX($S$5:$S$304,MATCH(C4537,$R$5:$R$304,0))&amp;"","?"))</f>
        <v/>
      </c>
      <c r="N4537" s="2" t="str">
        <f aca="false"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 t="str">
        <f aca="false">IF(OR(F4537="",G4537=""),"",IF(G4537&lt;='RETRATO 2027'!$K$5,"CONCLUÍDA",IF(F4537&lt;='RETRATO 2027'!$K$5,"EM ANDAMENTO","A INICIAR")))</f>
        <v/>
      </c>
    </row>
    <row r="4538" customFormat="false" ht="15" hidden="false" customHeight="false" outlineLevel="0" collapsed="false">
      <c r="M4538" s="2" t="str">
        <f aca="false">IF(C4538="","",IFERROR(INDEX($S$5:$S$304,MATCH(C4538,$R$5:$R$304,0))&amp;"","?"))</f>
        <v/>
      </c>
      <c r="N4538" s="2" t="str">
        <f aca="false"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 t="str">
        <f aca="false">IF(OR(F4538="",G4538=""),"",IF(G4538&lt;='RETRATO 2027'!$K$5,"CONCLUÍDA",IF(F4538&lt;='RETRATO 2027'!$K$5,"EM ANDAMENTO","A INICIAR")))</f>
        <v/>
      </c>
    </row>
    <row r="4539" customFormat="false" ht="15" hidden="false" customHeight="false" outlineLevel="0" collapsed="false">
      <c r="M4539" s="2" t="str">
        <f aca="false">IF(C4539="","",IFERROR(INDEX($S$5:$S$304,MATCH(C4539,$R$5:$R$304,0))&amp;"","?"))</f>
        <v/>
      </c>
      <c r="N4539" s="2" t="str">
        <f aca="false"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 t="str">
        <f aca="false">IF(OR(F4539="",G4539=""),"",IF(G4539&lt;='RETRATO 2027'!$K$5,"CONCLUÍDA",IF(F4539&lt;='RETRATO 2027'!$K$5,"EM ANDAMENTO","A INICIAR")))</f>
        <v/>
      </c>
    </row>
    <row r="4540" customFormat="false" ht="15" hidden="false" customHeight="false" outlineLevel="0" collapsed="false">
      <c r="M4540" s="2" t="str">
        <f aca="false">IF(C4540="","",IFERROR(INDEX($S$5:$S$304,MATCH(C4540,$R$5:$R$304,0))&amp;"","?"))</f>
        <v/>
      </c>
      <c r="N4540" s="2" t="str">
        <f aca="false"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 t="str">
        <f aca="false">IF(OR(F4540="",G4540=""),"",IF(G4540&lt;='RETRATO 2027'!$K$5,"CONCLUÍDA",IF(F4540&lt;='RETRATO 2027'!$K$5,"EM ANDAMENTO","A INICIAR")))</f>
        <v/>
      </c>
    </row>
    <row r="4541" customFormat="false" ht="15" hidden="false" customHeight="false" outlineLevel="0" collapsed="false">
      <c r="M4541" s="2" t="str">
        <f aca="false">IF(C4541="","",IFERROR(INDEX($S$5:$S$304,MATCH(C4541,$R$5:$R$304,0))&amp;"","?"))</f>
        <v/>
      </c>
      <c r="N4541" s="2" t="str">
        <f aca="false"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 t="str">
        <f aca="false">IF(OR(F4541="",G4541=""),"",IF(G4541&lt;='RETRATO 2027'!$K$5,"CONCLUÍDA",IF(F4541&lt;='RETRATO 2027'!$K$5,"EM ANDAMENTO","A INICIAR")))</f>
        <v/>
      </c>
    </row>
    <row r="4542" customFormat="false" ht="15" hidden="false" customHeight="false" outlineLevel="0" collapsed="false">
      <c r="M4542" s="2" t="str">
        <f aca="false">IF(C4542="","",IFERROR(INDEX($S$5:$S$304,MATCH(C4542,$R$5:$R$304,0))&amp;"","?"))</f>
        <v/>
      </c>
      <c r="N4542" s="2" t="str">
        <f aca="false"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 t="str">
        <f aca="false">IF(OR(F4542="",G4542=""),"",IF(G4542&lt;='RETRATO 2027'!$K$5,"CONCLUÍDA",IF(F4542&lt;='RETRATO 2027'!$K$5,"EM ANDAMENTO","A INICIAR")))</f>
        <v/>
      </c>
    </row>
    <row r="4543" customFormat="false" ht="15" hidden="false" customHeight="false" outlineLevel="0" collapsed="false">
      <c r="M4543" s="2" t="str">
        <f aca="false">IF(C4543="","",IFERROR(INDEX($S$5:$S$304,MATCH(C4543,$R$5:$R$304,0))&amp;"","?"))</f>
        <v/>
      </c>
      <c r="N4543" s="2" t="str">
        <f aca="false"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 t="str">
        <f aca="false">IF(OR(F4543="",G4543=""),"",IF(G4543&lt;='RETRATO 2027'!$K$5,"CONCLUÍDA",IF(F4543&lt;='RETRATO 2027'!$K$5,"EM ANDAMENTO","A INICIAR")))</f>
        <v/>
      </c>
    </row>
    <row r="4544" customFormat="false" ht="15" hidden="false" customHeight="false" outlineLevel="0" collapsed="false">
      <c r="M4544" s="2" t="str">
        <f aca="false">IF(C4544="","",IFERROR(INDEX($S$5:$S$304,MATCH(C4544,$R$5:$R$304,0))&amp;"","?"))</f>
        <v/>
      </c>
      <c r="N4544" s="2" t="str">
        <f aca="false"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 t="str">
        <f aca="false">IF(OR(F4544="",G4544=""),"",IF(G4544&lt;='RETRATO 2027'!$K$5,"CONCLUÍDA",IF(F4544&lt;='RETRATO 2027'!$K$5,"EM ANDAMENTO","A INICIAR")))</f>
        <v/>
      </c>
    </row>
    <row r="4545" customFormat="false" ht="15" hidden="false" customHeight="false" outlineLevel="0" collapsed="false">
      <c r="M4545" s="2" t="str">
        <f aca="false">IF(C4545="","",IFERROR(INDEX($S$5:$S$304,MATCH(C4545,$R$5:$R$304,0))&amp;"","?"))</f>
        <v/>
      </c>
      <c r="N4545" s="2" t="str">
        <f aca="false"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 t="str">
        <f aca="false">IF(OR(F4545="",G4545=""),"",IF(G4545&lt;='RETRATO 2027'!$K$5,"CONCLUÍDA",IF(F4545&lt;='RETRATO 2027'!$K$5,"EM ANDAMENTO","A INICIAR")))</f>
        <v/>
      </c>
    </row>
    <row r="4546" customFormat="false" ht="15" hidden="false" customHeight="false" outlineLevel="0" collapsed="false">
      <c r="M4546" s="2" t="str">
        <f aca="false">IF(C4546="","",IFERROR(INDEX($S$5:$S$304,MATCH(C4546,$R$5:$R$304,0))&amp;"","?"))</f>
        <v/>
      </c>
      <c r="N4546" s="2" t="str">
        <f aca="false"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 t="str">
        <f aca="false">IF(OR(F4546="",G4546=""),"",IF(G4546&lt;='RETRATO 2027'!$K$5,"CONCLUÍDA",IF(F4546&lt;='RETRATO 2027'!$K$5,"EM ANDAMENTO","A INICIAR")))</f>
        <v/>
      </c>
    </row>
    <row r="4547" customFormat="false" ht="15" hidden="false" customHeight="false" outlineLevel="0" collapsed="false">
      <c r="M4547" s="2" t="str">
        <f aca="false">IF(C4547="","",IFERROR(INDEX($S$5:$S$304,MATCH(C4547,$R$5:$R$304,0))&amp;"","?"))</f>
        <v/>
      </c>
      <c r="N4547" s="2" t="str">
        <f aca="false"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 t="str">
        <f aca="false">IF(OR(F4547="",G4547=""),"",IF(G4547&lt;='RETRATO 2027'!$K$5,"CONCLUÍDA",IF(F4547&lt;='RETRATO 2027'!$K$5,"EM ANDAMENTO","A INICIAR")))</f>
        <v/>
      </c>
    </row>
    <row r="4548" customFormat="false" ht="15" hidden="false" customHeight="false" outlineLevel="0" collapsed="false">
      <c r="M4548" s="2" t="str">
        <f aca="false">IF(C4548="","",IFERROR(INDEX($S$5:$S$304,MATCH(C4548,$R$5:$R$304,0))&amp;"","?"))</f>
        <v/>
      </c>
      <c r="N4548" s="2" t="str">
        <f aca="false"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 t="str">
        <f aca="false">IF(OR(F4548="",G4548=""),"",IF(G4548&lt;='RETRATO 2027'!$K$5,"CONCLUÍDA",IF(F4548&lt;='RETRATO 2027'!$K$5,"EM ANDAMENTO","A INICIAR")))</f>
        <v/>
      </c>
    </row>
    <row r="4549" customFormat="false" ht="15" hidden="false" customHeight="false" outlineLevel="0" collapsed="false">
      <c r="M4549" s="2" t="str">
        <f aca="false">IF(C4549="","",IFERROR(INDEX($S$5:$S$304,MATCH(C4549,$R$5:$R$304,0))&amp;"","?"))</f>
        <v/>
      </c>
      <c r="N4549" s="2" t="str">
        <f aca="false"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 t="str">
        <f aca="false">IF(OR(F4549="",G4549=""),"",IF(G4549&lt;='RETRATO 2027'!$K$5,"CONCLUÍDA",IF(F4549&lt;='RETRATO 2027'!$K$5,"EM ANDAMENTO","A INICIAR")))</f>
        <v/>
      </c>
    </row>
    <row r="4550" customFormat="false" ht="15" hidden="false" customHeight="false" outlineLevel="0" collapsed="false">
      <c r="M4550" s="2" t="str">
        <f aca="false">IF(C4550="","",IFERROR(INDEX($S$5:$S$304,MATCH(C4550,$R$5:$R$304,0))&amp;"","?"))</f>
        <v/>
      </c>
      <c r="N4550" s="2" t="str">
        <f aca="false"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 t="str">
        <f aca="false">IF(OR(F4550="",G4550=""),"",IF(G4550&lt;='RETRATO 2027'!$K$5,"CONCLUÍDA",IF(F4550&lt;='RETRATO 2027'!$K$5,"EM ANDAMENTO","A INICIAR")))</f>
        <v/>
      </c>
    </row>
    <row r="4551" customFormat="false" ht="15" hidden="false" customHeight="false" outlineLevel="0" collapsed="false">
      <c r="M4551" s="2" t="str">
        <f aca="false">IF(C4551="","",IFERROR(INDEX($S$5:$S$304,MATCH(C4551,$R$5:$R$304,0))&amp;"","?"))</f>
        <v/>
      </c>
      <c r="N4551" s="2" t="str">
        <f aca="false"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 t="str">
        <f aca="false">IF(OR(F4551="",G4551=""),"",IF(G4551&lt;='RETRATO 2027'!$K$5,"CONCLUÍDA",IF(F4551&lt;='RETRATO 2027'!$K$5,"EM ANDAMENTO","A INICIAR")))</f>
        <v/>
      </c>
    </row>
    <row r="4552" customFormat="false" ht="15" hidden="false" customHeight="false" outlineLevel="0" collapsed="false">
      <c r="M4552" s="2" t="str">
        <f aca="false">IF(C4552="","",IFERROR(INDEX($S$5:$S$304,MATCH(C4552,$R$5:$R$304,0))&amp;"","?"))</f>
        <v/>
      </c>
      <c r="N4552" s="2" t="str">
        <f aca="false"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 t="str">
        <f aca="false">IF(OR(F4552="",G4552=""),"",IF(G4552&lt;='RETRATO 2027'!$K$5,"CONCLUÍDA",IF(F4552&lt;='RETRATO 2027'!$K$5,"EM ANDAMENTO","A INICIAR")))</f>
        <v/>
      </c>
    </row>
    <row r="4553" customFormat="false" ht="15" hidden="false" customHeight="false" outlineLevel="0" collapsed="false">
      <c r="M4553" s="2" t="str">
        <f aca="false">IF(C4553="","",IFERROR(INDEX($S$5:$S$304,MATCH(C4553,$R$5:$R$304,0))&amp;"","?"))</f>
        <v/>
      </c>
      <c r="N4553" s="2" t="str">
        <f aca="false"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 t="str">
        <f aca="false">IF(OR(F4553="",G4553=""),"",IF(G4553&lt;='RETRATO 2027'!$K$5,"CONCLUÍDA",IF(F4553&lt;='RETRATO 2027'!$K$5,"EM ANDAMENTO","A INICIAR")))</f>
        <v/>
      </c>
    </row>
    <row r="4554" customFormat="false" ht="15" hidden="false" customHeight="false" outlineLevel="0" collapsed="false">
      <c r="M4554" s="2" t="str">
        <f aca="false">IF(C4554="","",IFERROR(INDEX($S$5:$S$304,MATCH(C4554,$R$5:$R$304,0))&amp;"","?"))</f>
        <v/>
      </c>
      <c r="N4554" s="2" t="str">
        <f aca="false"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 t="str">
        <f aca="false">IF(OR(F4554="",G4554=""),"",IF(G4554&lt;='RETRATO 2027'!$K$5,"CONCLUÍDA",IF(F4554&lt;='RETRATO 2027'!$K$5,"EM ANDAMENTO","A INICIAR")))</f>
        <v/>
      </c>
    </row>
    <row r="4555" customFormat="false" ht="15" hidden="false" customHeight="false" outlineLevel="0" collapsed="false">
      <c r="M4555" s="2" t="str">
        <f aca="false">IF(C4555="","",IFERROR(INDEX($S$5:$S$304,MATCH(C4555,$R$5:$R$304,0))&amp;"","?"))</f>
        <v/>
      </c>
      <c r="N4555" s="2" t="str">
        <f aca="false"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 t="str">
        <f aca="false">IF(OR(F4555="",G4555=""),"",IF(G4555&lt;='RETRATO 2027'!$K$5,"CONCLUÍDA",IF(F4555&lt;='RETRATO 2027'!$K$5,"EM ANDAMENTO","A INICIAR")))</f>
        <v/>
      </c>
    </row>
    <row r="4556" customFormat="false" ht="15" hidden="false" customHeight="false" outlineLevel="0" collapsed="false">
      <c r="M4556" s="2" t="str">
        <f aca="false">IF(C4556="","",IFERROR(INDEX($S$5:$S$304,MATCH(C4556,$R$5:$R$304,0))&amp;"","?"))</f>
        <v/>
      </c>
      <c r="N4556" s="2" t="str">
        <f aca="false"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 t="str">
        <f aca="false">IF(OR(F4556="",G4556=""),"",IF(G4556&lt;='RETRATO 2027'!$K$5,"CONCLUÍDA",IF(F4556&lt;='RETRATO 2027'!$K$5,"EM ANDAMENTO","A INICIAR")))</f>
        <v/>
      </c>
    </row>
    <row r="4557" customFormat="false" ht="15" hidden="false" customHeight="false" outlineLevel="0" collapsed="false">
      <c r="M4557" s="2" t="str">
        <f aca="false">IF(C4557="","",IFERROR(INDEX($S$5:$S$304,MATCH(C4557,$R$5:$R$304,0))&amp;"","?"))</f>
        <v/>
      </c>
      <c r="N4557" s="2" t="str">
        <f aca="false"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 t="str">
        <f aca="false">IF(OR(F4557="",G4557=""),"",IF(G4557&lt;='RETRATO 2027'!$K$5,"CONCLUÍDA",IF(F4557&lt;='RETRATO 2027'!$K$5,"EM ANDAMENTO","A INICIAR")))</f>
        <v/>
      </c>
    </row>
    <row r="4558" customFormat="false" ht="15" hidden="false" customHeight="false" outlineLevel="0" collapsed="false">
      <c r="M4558" s="2" t="str">
        <f aca="false">IF(C4558="","",IFERROR(INDEX($S$5:$S$304,MATCH(C4558,$R$5:$R$304,0))&amp;"","?"))</f>
        <v/>
      </c>
      <c r="N4558" s="2" t="str">
        <f aca="false"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 t="str">
        <f aca="false">IF(OR(F4558="",G4558=""),"",IF(G4558&lt;='RETRATO 2027'!$K$5,"CONCLUÍDA",IF(F4558&lt;='RETRATO 2027'!$K$5,"EM ANDAMENTO","A INICIAR")))</f>
        <v/>
      </c>
    </row>
    <row r="4559" customFormat="false" ht="15" hidden="false" customHeight="false" outlineLevel="0" collapsed="false">
      <c r="M4559" s="2" t="str">
        <f aca="false">IF(C4559="","",IFERROR(INDEX($S$5:$S$304,MATCH(C4559,$R$5:$R$304,0))&amp;"","?"))</f>
        <v/>
      </c>
      <c r="N4559" s="2" t="str">
        <f aca="false"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 t="str">
        <f aca="false">IF(OR(F4559="",G4559=""),"",IF(G4559&lt;='RETRATO 2027'!$K$5,"CONCLUÍDA",IF(F4559&lt;='RETRATO 2027'!$K$5,"EM ANDAMENTO","A INICIAR")))</f>
        <v/>
      </c>
    </row>
    <row r="4560" customFormat="false" ht="15" hidden="false" customHeight="false" outlineLevel="0" collapsed="false">
      <c r="M4560" s="2" t="str">
        <f aca="false">IF(C4560="","",IFERROR(INDEX($S$5:$S$304,MATCH(C4560,$R$5:$R$304,0))&amp;"","?"))</f>
        <v/>
      </c>
      <c r="N4560" s="2" t="str">
        <f aca="false"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 t="str">
        <f aca="false">IF(OR(F4560="",G4560=""),"",IF(G4560&lt;='RETRATO 2027'!$K$5,"CONCLUÍDA",IF(F4560&lt;='RETRATO 2027'!$K$5,"EM ANDAMENTO","A INICIAR")))</f>
        <v/>
      </c>
    </row>
    <row r="4561" customFormat="false" ht="15" hidden="false" customHeight="false" outlineLevel="0" collapsed="false">
      <c r="M4561" s="2" t="str">
        <f aca="false">IF(C4561="","",IFERROR(INDEX($S$5:$S$304,MATCH(C4561,$R$5:$R$304,0))&amp;"","?"))</f>
        <v/>
      </c>
      <c r="N4561" s="2" t="str">
        <f aca="false"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 t="str">
        <f aca="false">IF(OR(F4561="",G4561=""),"",IF(G4561&lt;='RETRATO 2027'!$K$5,"CONCLUÍDA",IF(F4561&lt;='RETRATO 2027'!$K$5,"EM ANDAMENTO","A INICIAR")))</f>
        <v/>
      </c>
    </row>
    <row r="4562" customFormat="false" ht="15" hidden="false" customHeight="false" outlineLevel="0" collapsed="false">
      <c r="M4562" s="2" t="str">
        <f aca="false">IF(C4562="","",IFERROR(INDEX($S$5:$S$304,MATCH(C4562,$R$5:$R$304,0))&amp;"","?"))</f>
        <v/>
      </c>
      <c r="N4562" s="2" t="str">
        <f aca="false"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 t="str">
        <f aca="false">IF(OR(F4562="",G4562=""),"",IF(G4562&lt;='RETRATO 2027'!$K$5,"CONCLUÍDA",IF(F4562&lt;='RETRATO 2027'!$K$5,"EM ANDAMENTO","A INICIAR")))</f>
        <v/>
      </c>
    </row>
    <row r="4563" customFormat="false" ht="15" hidden="false" customHeight="false" outlineLevel="0" collapsed="false">
      <c r="M4563" s="2" t="str">
        <f aca="false">IF(C4563="","",IFERROR(INDEX($S$5:$S$304,MATCH(C4563,$R$5:$R$304,0))&amp;"","?"))</f>
        <v/>
      </c>
      <c r="N4563" s="2" t="str">
        <f aca="false"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 t="str">
        <f aca="false">IF(OR(F4563="",G4563=""),"",IF(G4563&lt;='RETRATO 2027'!$K$5,"CONCLUÍDA",IF(F4563&lt;='RETRATO 2027'!$K$5,"EM ANDAMENTO","A INICIAR")))</f>
        <v/>
      </c>
    </row>
    <row r="4564" customFormat="false" ht="15" hidden="false" customHeight="false" outlineLevel="0" collapsed="false">
      <c r="M4564" s="2" t="str">
        <f aca="false">IF(C4564="","",IFERROR(INDEX($S$5:$S$304,MATCH(C4564,$R$5:$R$304,0))&amp;"","?"))</f>
        <v/>
      </c>
      <c r="N4564" s="2" t="str">
        <f aca="false"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 t="str">
        <f aca="false">IF(OR(F4564="",G4564=""),"",IF(G4564&lt;='RETRATO 2027'!$K$5,"CONCLUÍDA",IF(F4564&lt;='RETRATO 2027'!$K$5,"EM ANDAMENTO","A INICIAR")))</f>
        <v/>
      </c>
    </row>
    <row r="4565" customFormat="false" ht="15" hidden="false" customHeight="false" outlineLevel="0" collapsed="false">
      <c r="M4565" s="2" t="str">
        <f aca="false">IF(C4565="","",IFERROR(INDEX($S$5:$S$304,MATCH(C4565,$R$5:$R$304,0))&amp;"","?"))</f>
        <v/>
      </c>
      <c r="N4565" s="2" t="str">
        <f aca="false"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 t="str">
        <f aca="false">IF(OR(F4565="",G4565=""),"",IF(G4565&lt;='RETRATO 2027'!$K$5,"CONCLUÍDA",IF(F4565&lt;='RETRATO 2027'!$K$5,"EM ANDAMENTO","A INICIAR")))</f>
        <v/>
      </c>
    </row>
    <row r="4566" customFormat="false" ht="15" hidden="false" customHeight="false" outlineLevel="0" collapsed="false">
      <c r="M4566" s="2" t="str">
        <f aca="false">IF(C4566="","",IFERROR(INDEX($S$5:$S$304,MATCH(C4566,$R$5:$R$304,0))&amp;"","?"))</f>
        <v/>
      </c>
      <c r="N4566" s="2" t="str">
        <f aca="false"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 t="str">
        <f aca="false">IF(OR(F4566="",G4566=""),"",IF(G4566&lt;='RETRATO 2027'!$K$5,"CONCLUÍDA",IF(F4566&lt;='RETRATO 2027'!$K$5,"EM ANDAMENTO","A INICIAR")))</f>
        <v/>
      </c>
    </row>
    <row r="4567" customFormat="false" ht="15" hidden="false" customHeight="false" outlineLevel="0" collapsed="false">
      <c r="M4567" s="2" t="str">
        <f aca="false">IF(C4567="","",IFERROR(INDEX($S$5:$S$304,MATCH(C4567,$R$5:$R$304,0))&amp;"","?"))</f>
        <v/>
      </c>
      <c r="N4567" s="2" t="str">
        <f aca="false"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 t="str">
        <f aca="false">IF(OR(F4567="",G4567=""),"",IF(G4567&lt;='RETRATO 2027'!$K$5,"CONCLUÍDA",IF(F4567&lt;='RETRATO 2027'!$K$5,"EM ANDAMENTO","A INICIAR")))</f>
        <v/>
      </c>
    </row>
    <row r="4568" customFormat="false" ht="15" hidden="false" customHeight="false" outlineLevel="0" collapsed="false">
      <c r="M4568" s="2" t="str">
        <f aca="false">IF(C4568="","",IFERROR(INDEX($S$5:$S$304,MATCH(C4568,$R$5:$R$304,0))&amp;"","?"))</f>
        <v/>
      </c>
      <c r="N4568" s="2" t="str">
        <f aca="false"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 t="str">
        <f aca="false">IF(OR(F4568="",G4568=""),"",IF(G4568&lt;='RETRATO 2027'!$K$5,"CONCLUÍDA",IF(F4568&lt;='RETRATO 2027'!$K$5,"EM ANDAMENTO","A INICIAR")))</f>
        <v/>
      </c>
    </row>
    <row r="4569" customFormat="false" ht="15" hidden="false" customHeight="false" outlineLevel="0" collapsed="false">
      <c r="M4569" s="2" t="str">
        <f aca="false">IF(C4569="","",IFERROR(INDEX($S$5:$S$304,MATCH(C4569,$R$5:$R$304,0))&amp;"","?"))</f>
        <v/>
      </c>
      <c r="N4569" s="2" t="str">
        <f aca="false"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 t="str">
        <f aca="false">IF(OR(F4569="",G4569=""),"",IF(G4569&lt;='RETRATO 2027'!$K$5,"CONCLUÍDA",IF(F4569&lt;='RETRATO 2027'!$K$5,"EM ANDAMENTO","A INICIAR")))</f>
        <v/>
      </c>
    </row>
    <row r="4570" customFormat="false" ht="15" hidden="false" customHeight="false" outlineLevel="0" collapsed="false">
      <c r="M4570" s="2" t="str">
        <f aca="false">IF(C4570="","",IFERROR(INDEX($S$5:$S$304,MATCH(C4570,$R$5:$R$304,0))&amp;"","?"))</f>
        <v/>
      </c>
      <c r="N4570" s="2" t="str">
        <f aca="false"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 t="str">
        <f aca="false">IF(OR(F4570="",G4570=""),"",IF(G4570&lt;='RETRATO 2027'!$K$5,"CONCLUÍDA",IF(F4570&lt;='RETRATO 2027'!$K$5,"EM ANDAMENTO","A INICIAR")))</f>
        <v/>
      </c>
    </row>
    <row r="4571" customFormat="false" ht="15" hidden="false" customHeight="false" outlineLevel="0" collapsed="false">
      <c r="M4571" s="2" t="str">
        <f aca="false">IF(C4571="","",IFERROR(INDEX($S$5:$S$304,MATCH(C4571,$R$5:$R$304,0))&amp;"","?"))</f>
        <v/>
      </c>
      <c r="N4571" s="2" t="str">
        <f aca="false"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 t="str">
        <f aca="false">IF(OR(F4571="",G4571=""),"",IF(G4571&lt;='RETRATO 2027'!$K$5,"CONCLUÍDA",IF(F4571&lt;='RETRATO 2027'!$K$5,"EM ANDAMENTO","A INICIAR")))</f>
        <v/>
      </c>
    </row>
    <row r="4572" customFormat="false" ht="15" hidden="false" customHeight="false" outlineLevel="0" collapsed="false">
      <c r="M4572" s="2" t="str">
        <f aca="false">IF(C4572="","",IFERROR(INDEX($S$5:$S$304,MATCH(C4572,$R$5:$R$304,0))&amp;"","?"))</f>
        <v/>
      </c>
      <c r="N4572" s="2" t="str">
        <f aca="false"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 t="str">
        <f aca="false">IF(OR(F4572="",G4572=""),"",IF(G4572&lt;='RETRATO 2027'!$K$5,"CONCLUÍDA",IF(F4572&lt;='RETRATO 2027'!$K$5,"EM ANDAMENTO","A INICIAR")))</f>
        <v/>
      </c>
    </row>
    <row r="4573" customFormat="false" ht="15" hidden="false" customHeight="false" outlineLevel="0" collapsed="false">
      <c r="M4573" s="2" t="str">
        <f aca="false">IF(C4573="","",IFERROR(INDEX($S$5:$S$304,MATCH(C4573,$R$5:$R$304,0))&amp;"","?"))</f>
        <v/>
      </c>
      <c r="N4573" s="2" t="str">
        <f aca="false"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 t="str">
        <f aca="false">IF(OR(F4573="",G4573=""),"",IF(G4573&lt;='RETRATO 2027'!$K$5,"CONCLUÍDA",IF(F4573&lt;='RETRATO 2027'!$K$5,"EM ANDAMENTO","A INICIAR")))</f>
        <v/>
      </c>
    </row>
    <row r="4574" customFormat="false" ht="15" hidden="false" customHeight="false" outlineLevel="0" collapsed="false">
      <c r="M4574" s="2" t="str">
        <f aca="false">IF(C4574="","",IFERROR(INDEX($S$5:$S$304,MATCH(C4574,$R$5:$R$304,0))&amp;"","?"))</f>
        <v/>
      </c>
      <c r="N4574" s="2" t="str">
        <f aca="false"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 t="str">
        <f aca="false">IF(OR(F4574="",G4574=""),"",IF(G4574&lt;='RETRATO 2027'!$K$5,"CONCLUÍDA",IF(F4574&lt;='RETRATO 2027'!$K$5,"EM ANDAMENTO","A INICIAR")))</f>
        <v/>
      </c>
    </row>
    <row r="4575" customFormat="false" ht="15" hidden="false" customHeight="false" outlineLevel="0" collapsed="false">
      <c r="M4575" s="2" t="str">
        <f aca="false">IF(C4575="","",IFERROR(INDEX($S$5:$S$304,MATCH(C4575,$R$5:$R$304,0))&amp;"","?"))</f>
        <v/>
      </c>
      <c r="N4575" s="2" t="str">
        <f aca="false"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 t="str">
        <f aca="false">IF(OR(F4575="",G4575=""),"",IF(G4575&lt;='RETRATO 2027'!$K$5,"CONCLUÍDA",IF(F4575&lt;='RETRATO 2027'!$K$5,"EM ANDAMENTO","A INICIAR")))</f>
        <v/>
      </c>
    </row>
    <row r="4576" customFormat="false" ht="15" hidden="false" customHeight="false" outlineLevel="0" collapsed="false">
      <c r="M4576" s="2" t="str">
        <f aca="false">IF(C4576="","",IFERROR(INDEX($S$5:$S$304,MATCH(C4576,$R$5:$R$304,0))&amp;"","?"))</f>
        <v/>
      </c>
      <c r="N4576" s="2" t="str">
        <f aca="false"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 t="str">
        <f aca="false">IF(OR(F4576="",G4576=""),"",IF(G4576&lt;='RETRATO 2027'!$K$5,"CONCLUÍDA",IF(F4576&lt;='RETRATO 2027'!$K$5,"EM ANDAMENTO","A INICIAR")))</f>
        <v/>
      </c>
    </row>
    <row r="4577" customFormat="false" ht="15" hidden="false" customHeight="false" outlineLevel="0" collapsed="false">
      <c r="M4577" s="2" t="str">
        <f aca="false">IF(C4577="","",IFERROR(INDEX($S$5:$S$304,MATCH(C4577,$R$5:$R$304,0))&amp;"","?"))</f>
        <v/>
      </c>
      <c r="N4577" s="2" t="str">
        <f aca="false"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 t="str">
        <f aca="false">IF(OR(F4577="",G4577=""),"",IF(G4577&lt;='RETRATO 2027'!$K$5,"CONCLUÍDA",IF(F4577&lt;='RETRATO 2027'!$K$5,"EM ANDAMENTO","A INICIAR")))</f>
        <v/>
      </c>
    </row>
    <row r="4578" customFormat="false" ht="15" hidden="false" customHeight="false" outlineLevel="0" collapsed="false">
      <c r="M4578" s="2" t="str">
        <f aca="false">IF(C4578="","",IFERROR(INDEX($S$5:$S$304,MATCH(C4578,$R$5:$R$304,0))&amp;"","?"))</f>
        <v/>
      </c>
      <c r="N4578" s="2" t="str">
        <f aca="false"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 t="str">
        <f aca="false">IF(OR(F4578="",G4578=""),"",IF(G4578&lt;='RETRATO 2027'!$K$5,"CONCLUÍDA",IF(F4578&lt;='RETRATO 2027'!$K$5,"EM ANDAMENTO","A INICIAR")))</f>
        <v/>
      </c>
    </row>
    <row r="4579" customFormat="false" ht="15" hidden="false" customHeight="false" outlineLevel="0" collapsed="false">
      <c r="M4579" s="2" t="str">
        <f aca="false">IF(C4579="","",IFERROR(INDEX($S$5:$S$304,MATCH(C4579,$R$5:$R$304,0))&amp;"","?"))</f>
        <v/>
      </c>
      <c r="N4579" s="2" t="str">
        <f aca="false"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 t="str">
        <f aca="false">IF(OR(F4579="",G4579=""),"",IF(G4579&lt;='RETRATO 2027'!$K$5,"CONCLUÍDA",IF(F4579&lt;='RETRATO 2027'!$K$5,"EM ANDAMENTO","A INICIAR")))</f>
        <v/>
      </c>
    </row>
    <row r="4580" customFormat="false" ht="15" hidden="false" customHeight="false" outlineLevel="0" collapsed="false">
      <c r="M4580" s="2" t="str">
        <f aca="false">IF(C4580="","",IFERROR(INDEX($S$5:$S$304,MATCH(C4580,$R$5:$R$304,0))&amp;"","?"))</f>
        <v/>
      </c>
      <c r="N4580" s="2" t="str">
        <f aca="false"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 t="str">
        <f aca="false">IF(OR(F4580="",G4580=""),"",IF(G4580&lt;='RETRATO 2027'!$K$5,"CONCLUÍDA",IF(F4580&lt;='RETRATO 2027'!$K$5,"EM ANDAMENTO","A INICIAR")))</f>
        <v/>
      </c>
    </row>
    <row r="4581" customFormat="false" ht="15" hidden="false" customHeight="false" outlineLevel="0" collapsed="false">
      <c r="M4581" s="2" t="str">
        <f aca="false">IF(C4581="","",IFERROR(INDEX($S$5:$S$304,MATCH(C4581,$R$5:$R$304,0))&amp;"","?"))</f>
        <v/>
      </c>
      <c r="N4581" s="2" t="str">
        <f aca="false"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 t="str">
        <f aca="false">IF(OR(F4581="",G4581=""),"",IF(G4581&lt;='RETRATO 2027'!$K$5,"CONCLUÍDA",IF(F4581&lt;='RETRATO 2027'!$K$5,"EM ANDAMENTO","A INICIAR")))</f>
        <v/>
      </c>
    </row>
    <row r="4582" customFormat="false" ht="15" hidden="false" customHeight="false" outlineLevel="0" collapsed="false">
      <c r="M4582" s="2" t="str">
        <f aca="false">IF(C4582="","",IFERROR(INDEX($S$5:$S$304,MATCH(C4582,$R$5:$R$304,0))&amp;"","?"))</f>
        <v/>
      </c>
      <c r="N4582" s="2" t="str">
        <f aca="false"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 t="str">
        <f aca="false">IF(OR(F4582="",G4582=""),"",IF(G4582&lt;='RETRATO 2027'!$K$5,"CONCLUÍDA",IF(F4582&lt;='RETRATO 2027'!$K$5,"EM ANDAMENTO","A INICIAR")))</f>
        <v/>
      </c>
    </row>
    <row r="4583" customFormat="false" ht="15" hidden="false" customHeight="false" outlineLevel="0" collapsed="false">
      <c r="M4583" s="2" t="str">
        <f aca="false">IF(C4583="","",IFERROR(INDEX($S$5:$S$304,MATCH(C4583,$R$5:$R$304,0))&amp;"","?"))</f>
        <v/>
      </c>
      <c r="N4583" s="2" t="str">
        <f aca="false"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 t="str">
        <f aca="false">IF(OR(F4583="",G4583=""),"",IF(G4583&lt;='RETRATO 2027'!$K$5,"CONCLUÍDA",IF(F4583&lt;='RETRATO 2027'!$K$5,"EM ANDAMENTO","A INICIAR")))</f>
        <v/>
      </c>
    </row>
    <row r="4584" customFormat="false" ht="15" hidden="false" customHeight="false" outlineLevel="0" collapsed="false">
      <c r="M4584" s="2" t="str">
        <f aca="false">IF(C4584="","",IFERROR(INDEX($S$5:$S$304,MATCH(C4584,$R$5:$R$304,0))&amp;"","?"))</f>
        <v/>
      </c>
      <c r="N4584" s="2" t="str">
        <f aca="false"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 t="str">
        <f aca="false">IF(OR(F4584="",G4584=""),"",IF(G4584&lt;='RETRATO 2027'!$K$5,"CONCLUÍDA",IF(F4584&lt;='RETRATO 2027'!$K$5,"EM ANDAMENTO","A INICIAR")))</f>
        <v/>
      </c>
    </row>
    <row r="4585" customFormat="false" ht="15" hidden="false" customHeight="false" outlineLevel="0" collapsed="false">
      <c r="M4585" s="2" t="str">
        <f aca="false">IF(C4585="","",IFERROR(INDEX($S$5:$S$304,MATCH(C4585,$R$5:$R$304,0))&amp;"","?"))</f>
        <v/>
      </c>
      <c r="N4585" s="2" t="str">
        <f aca="false"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 t="str">
        <f aca="false">IF(OR(F4585="",G4585=""),"",IF(G4585&lt;='RETRATO 2027'!$K$5,"CONCLUÍDA",IF(F4585&lt;='RETRATO 2027'!$K$5,"EM ANDAMENTO","A INICIAR")))</f>
        <v/>
      </c>
    </row>
    <row r="4586" customFormat="false" ht="15" hidden="false" customHeight="false" outlineLevel="0" collapsed="false">
      <c r="M4586" s="2" t="str">
        <f aca="false">IF(C4586="","",IFERROR(INDEX($S$5:$S$304,MATCH(C4586,$R$5:$R$304,0))&amp;"","?"))</f>
        <v/>
      </c>
      <c r="N4586" s="2" t="str">
        <f aca="false"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 t="str">
        <f aca="false">IF(OR(F4586="",G4586=""),"",IF(G4586&lt;='RETRATO 2027'!$K$5,"CONCLUÍDA",IF(F4586&lt;='RETRATO 2027'!$K$5,"EM ANDAMENTO","A INICIAR")))</f>
        <v/>
      </c>
    </row>
    <row r="4587" customFormat="false" ht="15" hidden="false" customHeight="false" outlineLevel="0" collapsed="false">
      <c r="M4587" s="2" t="str">
        <f aca="false">IF(C4587="","",IFERROR(INDEX($S$5:$S$304,MATCH(C4587,$R$5:$R$304,0))&amp;"","?"))</f>
        <v/>
      </c>
      <c r="N4587" s="2" t="str">
        <f aca="false"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 t="str">
        <f aca="false">IF(OR(F4587="",G4587=""),"",IF(G4587&lt;='RETRATO 2027'!$K$5,"CONCLUÍDA",IF(F4587&lt;='RETRATO 2027'!$K$5,"EM ANDAMENTO","A INICIAR")))</f>
        <v/>
      </c>
    </row>
    <row r="4588" customFormat="false" ht="15" hidden="false" customHeight="false" outlineLevel="0" collapsed="false">
      <c r="M4588" s="2" t="str">
        <f aca="false">IF(C4588="","",IFERROR(INDEX($S$5:$S$304,MATCH(C4588,$R$5:$R$304,0))&amp;"","?"))</f>
        <v/>
      </c>
      <c r="N4588" s="2" t="str">
        <f aca="false"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 t="str">
        <f aca="false">IF(OR(F4588="",G4588=""),"",IF(G4588&lt;='RETRATO 2027'!$K$5,"CONCLUÍDA",IF(F4588&lt;='RETRATO 2027'!$K$5,"EM ANDAMENTO","A INICIAR")))</f>
        <v/>
      </c>
    </row>
    <row r="4589" customFormat="false" ht="15" hidden="false" customHeight="false" outlineLevel="0" collapsed="false">
      <c r="M4589" s="2" t="str">
        <f aca="false">IF(C4589="","",IFERROR(INDEX($S$5:$S$304,MATCH(C4589,$R$5:$R$304,0))&amp;"","?"))</f>
        <v/>
      </c>
      <c r="N4589" s="2" t="str">
        <f aca="false"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 t="str">
        <f aca="false">IF(OR(F4589="",G4589=""),"",IF(G4589&lt;='RETRATO 2027'!$K$5,"CONCLUÍDA",IF(F4589&lt;='RETRATO 2027'!$K$5,"EM ANDAMENTO","A INICIAR")))</f>
        <v/>
      </c>
    </row>
    <row r="4590" customFormat="false" ht="15" hidden="false" customHeight="false" outlineLevel="0" collapsed="false">
      <c r="M4590" s="2" t="str">
        <f aca="false">IF(C4590="","",IFERROR(INDEX($S$5:$S$304,MATCH(C4590,$R$5:$R$304,0))&amp;"","?"))</f>
        <v/>
      </c>
      <c r="N4590" s="2" t="str">
        <f aca="false"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 t="str">
        <f aca="false">IF(OR(F4590="",G4590=""),"",IF(G4590&lt;='RETRATO 2027'!$K$5,"CONCLUÍDA",IF(F4590&lt;='RETRATO 2027'!$K$5,"EM ANDAMENTO","A INICIAR")))</f>
        <v/>
      </c>
    </row>
    <row r="4591" customFormat="false" ht="15" hidden="false" customHeight="false" outlineLevel="0" collapsed="false">
      <c r="M4591" s="2" t="str">
        <f aca="false">IF(C4591="","",IFERROR(INDEX($S$5:$S$304,MATCH(C4591,$R$5:$R$304,0))&amp;"","?"))</f>
        <v/>
      </c>
      <c r="N4591" s="2" t="str">
        <f aca="false"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 t="str">
        <f aca="false">IF(OR(F4591="",G4591=""),"",IF(G4591&lt;='RETRATO 2027'!$K$5,"CONCLUÍDA",IF(F4591&lt;='RETRATO 2027'!$K$5,"EM ANDAMENTO","A INICIAR")))</f>
        <v/>
      </c>
    </row>
    <row r="4592" customFormat="false" ht="15" hidden="false" customHeight="false" outlineLevel="0" collapsed="false">
      <c r="M4592" s="2" t="str">
        <f aca="false">IF(C4592="","",IFERROR(INDEX($S$5:$S$304,MATCH(C4592,$R$5:$R$304,0))&amp;"","?"))</f>
        <v/>
      </c>
      <c r="N4592" s="2" t="str">
        <f aca="false"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 t="str">
        <f aca="false">IF(OR(F4592="",G4592=""),"",IF(G4592&lt;='RETRATO 2027'!$K$5,"CONCLUÍDA",IF(F4592&lt;='RETRATO 2027'!$K$5,"EM ANDAMENTO","A INICIAR")))</f>
        <v/>
      </c>
    </row>
    <row r="4593" customFormat="false" ht="15" hidden="false" customHeight="false" outlineLevel="0" collapsed="false">
      <c r="M4593" s="2" t="str">
        <f aca="false">IF(C4593="","",IFERROR(INDEX($S$5:$S$304,MATCH(C4593,$R$5:$R$304,0))&amp;"","?"))</f>
        <v/>
      </c>
      <c r="N4593" s="2" t="str">
        <f aca="false"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 t="str">
        <f aca="false">IF(OR(F4593="",G4593=""),"",IF(G4593&lt;='RETRATO 2027'!$K$5,"CONCLUÍDA",IF(F4593&lt;='RETRATO 2027'!$K$5,"EM ANDAMENTO","A INICIAR")))</f>
        <v/>
      </c>
    </row>
    <row r="4594" customFormat="false" ht="15" hidden="false" customHeight="false" outlineLevel="0" collapsed="false">
      <c r="M4594" s="2" t="str">
        <f aca="false">IF(C4594="","",IFERROR(INDEX($S$5:$S$304,MATCH(C4594,$R$5:$R$304,0))&amp;"","?"))</f>
        <v/>
      </c>
      <c r="N4594" s="2" t="str">
        <f aca="false"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 t="str">
        <f aca="false">IF(OR(F4594="",G4594=""),"",IF(G4594&lt;='RETRATO 2027'!$K$5,"CONCLUÍDA",IF(F4594&lt;='RETRATO 2027'!$K$5,"EM ANDAMENTO","A INICIAR")))</f>
        <v/>
      </c>
    </row>
    <row r="4595" customFormat="false" ht="15" hidden="false" customHeight="false" outlineLevel="0" collapsed="false">
      <c r="M4595" s="2" t="str">
        <f aca="false">IF(C4595="","",IFERROR(INDEX($S$5:$S$304,MATCH(C4595,$R$5:$R$304,0))&amp;"","?"))</f>
        <v/>
      </c>
      <c r="N4595" s="2" t="str">
        <f aca="false"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 t="str">
        <f aca="false">IF(OR(F4595="",G4595=""),"",IF(G4595&lt;='RETRATO 2027'!$K$5,"CONCLUÍDA",IF(F4595&lt;='RETRATO 2027'!$K$5,"EM ANDAMENTO","A INICIAR")))</f>
        <v/>
      </c>
    </row>
    <row r="4596" customFormat="false" ht="15" hidden="false" customHeight="false" outlineLevel="0" collapsed="false">
      <c r="M4596" s="2" t="str">
        <f aca="false">IF(C4596="","",IFERROR(INDEX($S$5:$S$304,MATCH(C4596,$R$5:$R$304,0))&amp;"","?"))</f>
        <v/>
      </c>
      <c r="N4596" s="2" t="str">
        <f aca="false"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 t="str">
        <f aca="false">IF(OR(F4596="",G4596=""),"",IF(G4596&lt;='RETRATO 2027'!$K$5,"CONCLUÍDA",IF(F4596&lt;='RETRATO 2027'!$K$5,"EM ANDAMENTO","A INICIAR")))</f>
        <v/>
      </c>
    </row>
    <row r="4597" customFormat="false" ht="15" hidden="false" customHeight="false" outlineLevel="0" collapsed="false">
      <c r="M4597" s="2" t="str">
        <f aca="false">IF(C4597="","",IFERROR(INDEX($S$5:$S$304,MATCH(C4597,$R$5:$R$304,0))&amp;"","?"))</f>
        <v/>
      </c>
      <c r="N4597" s="2" t="str">
        <f aca="false"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 t="str">
        <f aca="false">IF(OR(F4597="",G4597=""),"",IF(G4597&lt;='RETRATO 2027'!$K$5,"CONCLUÍDA",IF(F4597&lt;='RETRATO 2027'!$K$5,"EM ANDAMENTO","A INICIAR")))</f>
        <v/>
      </c>
    </row>
    <row r="4598" customFormat="false" ht="15" hidden="false" customHeight="false" outlineLevel="0" collapsed="false">
      <c r="M4598" s="2" t="str">
        <f aca="false">IF(C4598="","",IFERROR(INDEX($S$5:$S$304,MATCH(C4598,$R$5:$R$304,0))&amp;"","?"))</f>
        <v/>
      </c>
      <c r="N4598" s="2" t="str">
        <f aca="false"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 t="str">
        <f aca="false">IF(OR(F4598="",G4598=""),"",IF(G4598&lt;='RETRATO 2027'!$K$5,"CONCLUÍDA",IF(F4598&lt;='RETRATO 2027'!$K$5,"EM ANDAMENTO","A INICIAR")))</f>
        <v/>
      </c>
    </row>
    <row r="4599" customFormat="false" ht="15" hidden="false" customHeight="false" outlineLevel="0" collapsed="false">
      <c r="M4599" s="2" t="str">
        <f aca="false">IF(C4599="","",IFERROR(INDEX($S$5:$S$304,MATCH(C4599,$R$5:$R$304,0))&amp;"","?"))</f>
        <v/>
      </c>
      <c r="N4599" s="2" t="str">
        <f aca="false"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 t="str">
        <f aca="false">IF(OR(F4599="",G4599=""),"",IF(G4599&lt;='RETRATO 2027'!$K$5,"CONCLUÍDA",IF(F4599&lt;='RETRATO 2027'!$K$5,"EM ANDAMENTO","A INICIAR")))</f>
        <v/>
      </c>
    </row>
    <row r="4600" customFormat="false" ht="15" hidden="false" customHeight="false" outlineLevel="0" collapsed="false">
      <c r="M4600" s="2" t="str">
        <f aca="false">IF(C4600="","",IFERROR(INDEX($S$5:$S$304,MATCH(C4600,$R$5:$R$304,0))&amp;"","?"))</f>
        <v/>
      </c>
      <c r="N4600" s="2" t="str">
        <f aca="false"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 t="str">
        <f aca="false">IF(OR(F4600="",G4600=""),"",IF(G4600&lt;='RETRATO 2027'!$K$5,"CONCLUÍDA",IF(F4600&lt;='RETRATO 2027'!$K$5,"EM ANDAMENTO","A INICIAR")))</f>
        <v/>
      </c>
    </row>
    <row r="4601" customFormat="false" ht="15" hidden="false" customHeight="false" outlineLevel="0" collapsed="false">
      <c r="M4601" s="2" t="str">
        <f aca="false">IF(C4601="","",IFERROR(INDEX($S$5:$S$304,MATCH(C4601,$R$5:$R$304,0))&amp;"","?"))</f>
        <v/>
      </c>
      <c r="N4601" s="2" t="str">
        <f aca="false"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 t="str">
        <f aca="false">IF(OR(F4601="",G4601=""),"",IF(G4601&lt;='RETRATO 2027'!$K$5,"CONCLUÍDA",IF(F4601&lt;='RETRATO 2027'!$K$5,"EM ANDAMENTO","A INICIAR")))</f>
        <v/>
      </c>
    </row>
    <row r="4602" customFormat="false" ht="15" hidden="false" customHeight="false" outlineLevel="0" collapsed="false">
      <c r="M4602" s="2" t="str">
        <f aca="false">IF(C4602="","",IFERROR(INDEX($S$5:$S$304,MATCH(C4602,$R$5:$R$304,0))&amp;"","?"))</f>
        <v/>
      </c>
      <c r="N4602" s="2" t="str">
        <f aca="false"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 t="str">
        <f aca="false">IF(OR(F4602="",G4602=""),"",IF(G4602&lt;='RETRATO 2027'!$K$5,"CONCLUÍDA",IF(F4602&lt;='RETRATO 2027'!$K$5,"EM ANDAMENTO","A INICIAR")))</f>
        <v/>
      </c>
    </row>
    <row r="4603" customFormat="false" ht="15" hidden="false" customHeight="false" outlineLevel="0" collapsed="false">
      <c r="M4603" s="2" t="str">
        <f aca="false">IF(C4603="","",IFERROR(INDEX($S$5:$S$304,MATCH(C4603,$R$5:$R$304,0))&amp;"","?"))</f>
        <v/>
      </c>
      <c r="N4603" s="2" t="str">
        <f aca="false"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 t="str">
        <f aca="false">IF(OR(F4603="",G4603=""),"",IF(G4603&lt;='RETRATO 2027'!$K$5,"CONCLUÍDA",IF(F4603&lt;='RETRATO 2027'!$K$5,"EM ANDAMENTO","A INICIAR")))</f>
        <v/>
      </c>
    </row>
    <row r="4604" customFormat="false" ht="15" hidden="false" customHeight="false" outlineLevel="0" collapsed="false">
      <c r="M4604" s="2" t="str">
        <f aca="false">IF(C4604="","",IFERROR(INDEX($S$5:$S$304,MATCH(C4604,$R$5:$R$304,0))&amp;"","?"))</f>
        <v/>
      </c>
      <c r="N4604" s="2" t="str">
        <f aca="false"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 t="str">
        <f aca="false">IF(OR(F4604="",G4604=""),"",IF(G4604&lt;='RETRATO 2027'!$K$5,"CONCLUÍDA",IF(F4604&lt;='RETRATO 2027'!$K$5,"EM ANDAMENTO","A INICIAR")))</f>
        <v/>
      </c>
    </row>
    <row r="4605" customFormat="false" ht="15" hidden="false" customHeight="false" outlineLevel="0" collapsed="false">
      <c r="M4605" s="2" t="str">
        <f aca="false">IF(C4605="","",IFERROR(INDEX($S$5:$S$304,MATCH(C4605,$R$5:$R$304,0))&amp;"","?"))</f>
        <v/>
      </c>
      <c r="N4605" s="2" t="str">
        <f aca="false"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 t="str">
        <f aca="false">IF(OR(F4605="",G4605=""),"",IF(G4605&lt;='RETRATO 2027'!$K$5,"CONCLUÍDA",IF(F4605&lt;='RETRATO 2027'!$K$5,"EM ANDAMENTO","A INICIAR")))</f>
        <v/>
      </c>
    </row>
    <row r="4606" customFormat="false" ht="15" hidden="false" customHeight="false" outlineLevel="0" collapsed="false">
      <c r="M4606" s="2" t="str">
        <f aca="false">IF(C4606="","",IFERROR(INDEX($S$5:$S$304,MATCH(C4606,$R$5:$R$304,0))&amp;"","?"))</f>
        <v/>
      </c>
      <c r="N4606" s="2" t="str">
        <f aca="false"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 t="str">
        <f aca="false">IF(OR(F4606="",G4606=""),"",IF(G4606&lt;='RETRATO 2027'!$K$5,"CONCLUÍDA",IF(F4606&lt;='RETRATO 2027'!$K$5,"EM ANDAMENTO","A INICIAR")))</f>
        <v/>
      </c>
    </row>
    <row r="4607" customFormat="false" ht="15" hidden="false" customHeight="false" outlineLevel="0" collapsed="false">
      <c r="M4607" s="2" t="str">
        <f aca="false">IF(C4607="","",IFERROR(INDEX($S$5:$S$304,MATCH(C4607,$R$5:$R$304,0))&amp;"","?"))</f>
        <v/>
      </c>
      <c r="N4607" s="2" t="str">
        <f aca="false"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 t="str">
        <f aca="false">IF(OR(F4607="",G4607=""),"",IF(G4607&lt;='RETRATO 2027'!$K$5,"CONCLUÍDA",IF(F4607&lt;='RETRATO 2027'!$K$5,"EM ANDAMENTO","A INICIAR")))</f>
        <v/>
      </c>
    </row>
    <row r="4608" customFormat="false" ht="15" hidden="false" customHeight="false" outlineLevel="0" collapsed="false">
      <c r="M4608" s="2" t="str">
        <f aca="false">IF(C4608="","",IFERROR(INDEX($S$5:$S$304,MATCH(C4608,$R$5:$R$304,0))&amp;"","?"))</f>
        <v/>
      </c>
      <c r="N4608" s="2" t="str">
        <f aca="false"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 t="str">
        <f aca="false">IF(OR(F4608="",G4608=""),"",IF(G4608&lt;='RETRATO 2027'!$K$5,"CONCLUÍDA",IF(F4608&lt;='RETRATO 2027'!$K$5,"EM ANDAMENTO","A INICIAR")))</f>
        <v/>
      </c>
    </row>
    <row r="4609" customFormat="false" ht="15" hidden="false" customHeight="false" outlineLevel="0" collapsed="false">
      <c r="M4609" s="2" t="str">
        <f aca="false">IF(C4609="","",IFERROR(INDEX($S$5:$S$304,MATCH(C4609,$R$5:$R$304,0))&amp;"","?"))</f>
        <v/>
      </c>
      <c r="N4609" s="2" t="str">
        <f aca="false"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 t="str">
        <f aca="false">IF(OR(F4609="",G4609=""),"",IF(G4609&lt;='RETRATO 2027'!$K$5,"CONCLUÍDA",IF(F4609&lt;='RETRATO 2027'!$K$5,"EM ANDAMENTO","A INICIAR")))</f>
        <v/>
      </c>
    </row>
    <row r="4610" customFormat="false" ht="15" hidden="false" customHeight="false" outlineLevel="0" collapsed="false">
      <c r="M4610" s="2" t="str">
        <f aca="false">IF(C4610="","",IFERROR(INDEX($S$5:$S$304,MATCH(C4610,$R$5:$R$304,0))&amp;"","?"))</f>
        <v/>
      </c>
      <c r="N4610" s="2" t="str">
        <f aca="false"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 t="str">
        <f aca="false">IF(OR(F4610="",G4610=""),"",IF(G4610&lt;='RETRATO 2027'!$K$5,"CONCLUÍDA",IF(F4610&lt;='RETRATO 2027'!$K$5,"EM ANDAMENTO","A INICIAR")))</f>
        <v/>
      </c>
    </row>
    <row r="4611" customFormat="false" ht="15" hidden="false" customHeight="false" outlineLevel="0" collapsed="false">
      <c r="M4611" s="2" t="str">
        <f aca="false">IF(C4611="","",IFERROR(INDEX($S$5:$S$304,MATCH(C4611,$R$5:$R$304,0))&amp;"","?"))</f>
        <v/>
      </c>
      <c r="N4611" s="2" t="str">
        <f aca="false"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 t="str">
        <f aca="false">IF(OR(F4611="",G4611=""),"",IF(G4611&lt;='RETRATO 2027'!$K$5,"CONCLUÍDA",IF(F4611&lt;='RETRATO 2027'!$K$5,"EM ANDAMENTO","A INICIAR")))</f>
        <v/>
      </c>
    </row>
    <row r="4612" customFormat="false" ht="15" hidden="false" customHeight="false" outlineLevel="0" collapsed="false">
      <c r="M4612" s="2" t="str">
        <f aca="false">IF(C4612="","",IFERROR(INDEX($S$5:$S$304,MATCH(C4612,$R$5:$R$304,0))&amp;"","?"))</f>
        <v/>
      </c>
      <c r="N4612" s="2" t="str">
        <f aca="false"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 t="str">
        <f aca="false">IF(OR(F4612="",G4612=""),"",IF(G4612&lt;='RETRATO 2027'!$K$5,"CONCLUÍDA",IF(F4612&lt;='RETRATO 2027'!$K$5,"EM ANDAMENTO","A INICIAR")))</f>
        <v/>
      </c>
    </row>
    <row r="4613" customFormat="false" ht="15" hidden="false" customHeight="false" outlineLevel="0" collapsed="false">
      <c r="M4613" s="2" t="str">
        <f aca="false">IF(C4613="","",IFERROR(INDEX($S$5:$S$304,MATCH(C4613,$R$5:$R$304,0))&amp;"","?"))</f>
        <v/>
      </c>
      <c r="N4613" s="2" t="str">
        <f aca="false"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 t="str">
        <f aca="false">IF(OR(F4613="",G4613=""),"",IF(G4613&lt;='RETRATO 2027'!$K$5,"CONCLUÍDA",IF(F4613&lt;='RETRATO 2027'!$K$5,"EM ANDAMENTO","A INICIAR")))</f>
        <v/>
      </c>
    </row>
    <row r="4614" customFormat="false" ht="15" hidden="false" customHeight="false" outlineLevel="0" collapsed="false">
      <c r="M4614" s="2" t="str">
        <f aca="false">IF(C4614="","",IFERROR(INDEX($S$5:$S$304,MATCH(C4614,$R$5:$R$304,0))&amp;"","?"))</f>
        <v/>
      </c>
      <c r="N4614" s="2" t="str">
        <f aca="false"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 t="str">
        <f aca="false">IF(OR(F4614="",G4614=""),"",IF(G4614&lt;='RETRATO 2027'!$K$5,"CONCLUÍDA",IF(F4614&lt;='RETRATO 2027'!$K$5,"EM ANDAMENTO","A INICIAR")))</f>
        <v/>
      </c>
    </row>
    <row r="4615" customFormat="false" ht="15" hidden="false" customHeight="false" outlineLevel="0" collapsed="false">
      <c r="M4615" s="2" t="str">
        <f aca="false">IF(C4615="","",IFERROR(INDEX($S$5:$S$304,MATCH(C4615,$R$5:$R$304,0))&amp;"","?"))</f>
        <v/>
      </c>
      <c r="N4615" s="2" t="str">
        <f aca="false"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 t="str">
        <f aca="false">IF(OR(F4615="",G4615=""),"",IF(G4615&lt;='RETRATO 2027'!$K$5,"CONCLUÍDA",IF(F4615&lt;='RETRATO 2027'!$K$5,"EM ANDAMENTO","A INICIAR")))</f>
        <v/>
      </c>
    </row>
    <row r="4616" customFormat="false" ht="15" hidden="false" customHeight="false" outlineLevel="0" collapsed="false">
      <c r="M4616" s="2" t="str">
        <f aca="false">IF(C4616="","",IFERROR(INDEX($S$5:$S$304,MATCH(C4616,$R$5:$R$304,0))&amp;"","?"))</f>
        <v/>
      </c>
      <c r="N4616" s="2" t="str">
        <f aca="false"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 t="str">
        <f aca="false">IF(OR(F4616="",G4616=""),"",IF(G4616&lt;='RETRATO 2027'!$K$5,"CONCLUÍDA",IF(F4616&lt;='RETRATO 2027'!$K$5,"EM ANDAMENTO","A INICIAR")))</f>
        <v/>
      </c>
    </row>
    <row r="4617" customFormat="false" ht="15" hidden="false" customHeight="false" outlineLevel="0" collapsed="false">
      <c r="M4617" s="2" t="str">
        <f aca="false">IF(C4617="","",IFERROR(INDEX($S$5:$S$304,MATCH(C4617,$R$5:$R$304,0))&amp;"","?"))</f>
        <v/>
      </c>
      <c r="N4617" s="2" t="str">
        <f aca="false"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 t="str">
        <f aca="false">IF(OR(F4617="",G4617=""),"",IF(G4617&lt;='RETRATO 2027'!$K$5,"CONCLUÍDA",IF(F4617&lt;='RETRATO 2027'!$K$5,"EM ANDAMENTO","A INICIAR")))</f>
        <v/>
      </c>
    </row>
    <row r="4618" customFormat="false" ht="15" hidden="false" customHeight="false" outlineLevel="0" collapsed="false">
      <c r="M4618" s="2" t="str">
        <f aca="false">IF(C4618="","",IFERROR(INDEX($S$5:$S$304,MATCH(C4618,$R$5:$R$304,0))&amp;"","?"))</f>
        <v/>
      </c>
      <c r="N4618" s="2" t="str">
        <f aca="false"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 t="str">
        <f aca="false">IF(OR(F4618="",G4618=""),"",IF(G4618&lt;='RETRATO 2027'!$K$5,"CONCLUÍDA",IF(F4618&lt;='RETRATO 2027'!$K$5,"EM ANDAMENTO","A INICIAR")))</f>
        <v/>
      </c>
    </row>
    <row r="4619" customFormat="false" ht="15" hidden="false" customHeight="false" outlineLevel="0" collapsed="false">
      <c r="M4619" s="2" t="str">
        <f aca="false">IF(C4619="","",IFERROR(INDEX($S$5:$S$304,MATCH(C4619,$R$5:$R$304,0))&amp;"","?"))</f>
        <v/>
      </c>
      <c r="N4619" s="2" t="str">
        <f aca="false"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 t="str">
        <f aca="false">IF(OR(F4619="",G4619=""),"",IF(G4619&lt;='RETRATO 2027'!$K$5,"CONCLUÍDA",IF(F4619&lt;='RETRATO 2027'!$K$5,"EM ANDAMENTO","A INICIAR")))</f>
        <v/>
      </c>
    </row>
    <row r="4620" customFormat="false" ht="15" hidden="false" customHeight="false" outlineLevel="0" collapsed="false">
      <c r="M4620" s="2" t="str">
        <f aca="false">IF(C4620="","",IFERROR(INDEX($S$5:$S$304,MATCH(C4620,$R$5:$R$304,0))&amp;"","?"))</f>
        <v/>
      </c>
      <c r="N4620" s="2" t="str">
        <f aca="false"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 t="str">
        <f aca="false">IF(OR(F4620="",G4620=""),"",IF(G4620&lt;='RETRATO 2027'!$K$5,"CONCLUÍDA",IF(F4620&lt;='RETRATO 2027'!$K$5,"EM ANDAMENTO","A INICIAR")))</f>
        <v/>
      </c>
    </row>
    <row r="4621" customFormat="false" ht="15" hidden="false" customHeight="false" outlineLevel="0" collapsed="false">
      <c r="M4621" s="2" t="str">
        <f aca="false">IF(C4621="","",IFERROR(INDEX($S$5:$S$304,MATCH(C4621,$R$5:$R$304,0))&amp;"","?"))</f>
        <v/>
      </c>
      <c r="N4621" s="2" t="str">
        <f aca="false"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 t="str">
        <f aca="false">IF(OR(F4621="",G4621=""),"",IF(G4621&lt;='RETRATO 2027'!$K$5,"CONCLUÍDA",IF(F4621&lt;='RETRATO 2027'!$K$5,"EM ANDAMENTO","A INICIAR")))</f>
        <v/>
      </c>
    </row>
    <row r="4622" customFormat="false" ht="15" hidden="false" customHeight="false" outlineLevel="0" collapsed="false">
      <c r="M4622" s="2" t="str">
        <f aca="false">IF(C4622="","",IFERROR(INDEX($S$5:$S$304,MATCH(C4622,$R$5:$R$304,0))&amp;"","?"))</f>
        <v/>
      </c>
      <c r="N4622" s="2" t="str">
        <f aca="false"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 t="str">
        <f aca="false">IF(OR(F4622="",G4622=""),"",IF(G4622&lt;='RETRATO 2027'!$K$5,"CONCLUÍDA",IF(F4622&lt;='RETRATO 2027'!$K$5,"EM ANDAMENTO","A INICIAR")))</f>
        <v/>
      </c>
    </row>
    <row r="4623" customFormat="false" ht="15" hidden="false" customHeight="false" outlineLevel="0" collapsed="false">
      <c r="M4623" s="2" t="str">
        <f aca="false">IF(C4623="","",IFERROR(INDEX($S$5:$S$304,MATCH(C4623,$R$5:$R$304,0))&amp;"","?"))</f>
        <v/>
      </c>
      <c r="N4623" s="2" t="str">
        <f aca="false"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 t="str">
        <f aca="false">IF(OR(F4623="",G4623=""),"",IF(G4623&lt;='RETRATO 2027'!$K$5,"CONCLUÍDA",IF(F4623&lt;='RETRATO 2027'!$K$5,"EM ANDAMENTO","A INICIAR")))</f>
        <v/>
      </c>
    </row>
    <row r="4624" customFormat="false" ht="15" hidden="false" customHeight="false" outlineLevel="0" collapsed="false">
      <c r="M4624" s="2" t="str">
        <f aca="false">IF(C4624="","",IFERROR(INDEX($S$5:$S$304,MATCH(C4624,$R$5:$R$304,0))&amp;"","?"))</f>
        <v/>
      </c>
      <c r="N4624" s="2" t="str">
        <f aca="false"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 t="str">
        <f aca="false">IF(OR(F4624="",G4624=""),"",IF(G4624&lt;='RETRATO 2027'!$K$5,"CONCLUÍDA",IF(F4624&lt;='RETRATO 2027'!$K$5,"EM ANDAMENTO","A INICIAR")))</f>
        <v/>
      </c>
    </row>
    <row r="4625" customFormat="false" ht="15" hidden="false" customHeight="false" outlineLevel="0" collapsed="false">
      <c r="M4625" s="2" t="str">
        <f aca="false">IF(C4625="","",IFERROR(INDEX($S$5:$S$304,MATCH(C4625,$R$5:$R$304,0))&amp;"","?"))</f>
        <v/>
      </c>
      <c r="N4625" s="2" t="str">
        <f aca="false"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 t="str">
        <f aca="false">IF(OR(F4625="",G4625=""),"",IF(G4625&lt;='RETRATO 2027'!$K$5,"CONCLUÍDA",IF(F4625&lt;='RETRATO 2027'!$K$5,"EM ANDAMENTO","A INICIAR")))</f>
        <v/>
      </c>
    </row>
    <row r="4626" customFormat="false" ht="15" hidden="false" customHeight="false" outlineLevel="0" collapsed="false">
      <c r="M4626" s="2" t="str">
        <f aca="false">IF(C4626="","",IFERROR(INDEX($S$5:$S$304,MATCH(C4626,$R$5:$R$304,0))&amp;"","?"))</f>
        <v/>
      </c>
      <c r="N4626" s="2" t="str">
        <f aca="false"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 t="str">
        <f aca="false">IF(OR(F4626="",G4626=""),"",IF(G4626&lt;='RETRATO 2027'!$K$5,"CONCLUÍDA",IF(F4626&lt;='RETRATO 2027'!$K$5,"EM ANDAMENTO","A INICIAR")))</f>
        <v/>
      </c>
    </row>
    <row r="4627" customFormat="false" ht="15" hidden="false" customHeight="false" outlineLevel="0" collapsed="false">
      <c r="M4627" s="2" t="str">
        <f aca="false">IF(C4627="","",IFERROR(INDEX($S$5:$S$304,MATCH(C4627,$R$5:$R$304,0))&amp;"","?"))</f>
        <v/>
      </c>
      <c r="N4627" s="2" t="str">
        <f aca="false"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 t="str">
        <f aca="false">IF(OR(F4627="",G4627=""),"",IF(G4627&lt;='RETRATO 2027'!$K$5,"CONCLUÍDA",IF(F4627&lt;='RETRATO 2027'!$K$5,"EM ANDAMENTO","A INICIAR")))</f>
        <v/>
      </c>
    </row>
    <row r="4628" customFormat="false" ht="15" hidden="false" customHeight="false" outlineLevel="0" collapsed="false">
      <c r="M4628" s="2" t="str">
        <f aca="false">IF(C4628="","",IFERROR(INDEX($S$5:$S$304,MATCH(C4628,$R$5:$R$304,0))&amp;"","?"))</f>
        <v/>
      </c>
      <c r="N4628" s="2" t="str">
        <f aca="false"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 t="str">
        <f aca="false">IF(OR(F4628="",G4628=""),"",IF(G4628&lt;='RETRATO 2027'!$K$5,"CONCLUÍDA",IF(F4628&lt;='RETRATO 2027'!$K$5,"EM ANDAMENTO","A INICIAR")))</f>
        <v/>
      </c>
    </row>
    <row r="4629" customFormat="false" ht="15" hidden="false" customHeight="false" outlineLevel="0" collapsed="false">
      <c r="M4629" s="2" t="str">
        <f aca="false">IF(C4629="","",IFERROR(INDEX($S$5:$S$304,MATCH(C4629,$R$5:$R$304,0))&amp;"","?"))</f>
        <v/>
      </c>
      <c r="N4629" s="2" t="str">
        <f aca="false"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 t="str">
        <f aca="false">IF(OR(F4629="",G4629=""),"",IF(G4629&lt;='RETRATO 2027'!$K$5,"CONCLUÍDA",IF(F4629&lt;='RETRATO 2027'!$K$5,"EM ANDAMENTO","A INICIAR")))</f>
        <v/>
      </c>
    </row>
    <row r="4630" customFormat="false" ht="15" hidden="false" customHeight="false" outlineLevel="0" collapsed="false">
      <c r="M4630" s="2" t="str">
        <f aca="false">IF(C4630="","",IFERROR(INDEX($S$5:$S$304,MATCH(C4630,$R$5:$R$304,0))&amp;"","?"))</f>
        <v/>
      </c>
      <c r="N4630" s="2" t="str">
        <f aca="false"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 t="str">
        <f aca="false">IF(OR(F4630="",G4630=""),"",IF(G4630&lt;='RETRATO 2027'!$K$5,"CONCLUÍDA",IF(F4630&lt;='RETRATO 2027'!$K$5,"EM ANDAMENTO","A INICIAR")))</f>
        <v/>
      </c>
    </row>
    <row r="4631" customFormat="false" ht="15" hidden="false" customHeight="false" outlineLevel="0" collapsed="false">
      <c r="M4631" s="2" t="str">
        <f aca="false">IF(C4631="","",IFERROR(INDEX($S$5:$S$304,MATCH(C4631,$R$5:$R$304,0))&amp;"","?"))</f>
        <v/>
      </c>
      <c r="N4631" s="2" t="str">
        <f aca="false"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 t="str">
        <f aca="false">IF(OR(F4631="",G4631=""),"",IF(G4631&lt;='RETRATO 2027'!$K$5,"CONCLUÍDA",IF(F4631&lt;='RETRATO 2027'!$K$5,"EM ANDAMENTO","A INICIAR")))</f>
        <v/>
      </c>
    </row>
    <row r="4632" customFormat="false" ht="15" hidden="false" customHeight="false" outlineLevel="0" collapsed="false">
      <c r="M4632" s="2" t="str">
        <f aca="false">IF(C4632="","",IFERROR(INDEX($S$5:$S$304,MATCH(C4632,$R$5:$R$304,0))&amp;"","?"))</f>
        <v/>
      </c>
      <c r="N4632" s="2" t="str">
        <f aca="false"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 t="str">
        <f aca="false">IF(OR(F4632="",G4632=""),"",IF(G4632&lt;='RETRATO 2027'!$K$5,"CONCLUÍDA",IF(F4632&lt;='RETRATO 2027'!$K$5,"EM ANDAMENTO","A INICIAR")))</f>
        <v/>
      </c>
    </row>
    <row r="4633" customFormat="false" ht="15" hidden="false" customHeight="false" outlineLevel="0" collapsed="false">
      <c r="M4633" s="2" t="str">
        <f aca="false">IF(C4633="","",IFERROR(INDEX($S$5:$S$304,MATCH(C4633,$R$5:$R$304,0))&amp;"","?"))</f>
        <v/>
      </c>
      <c r="N4633" s="2" t="str">
        <f aca="false"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 t="str">
        <f aca="false">IF(OR(F4633="",G4633=""),"",IF(G4633&lt;='RETRATO 2027'!$K$5,"CONCLUÍDA",IF(F4633&lt;='RETRATO 2027'!$K$5,"EM ANDAMENTO","A INICIAR")))</f>
        <v/>
      </c>
    </row>
    <row r="4634" customFormat="false" ht="15" hidden="false" customHeight="false" outlineLevel="0" collapsed="false">
      <c r="M4634" s="2" t="str">
        <f aca="false">IF(C4634="","",IFERROR(INDEX($S$5:$S$304,MATCH(C4634,$R$5:$R$304,0))&amp;"","?"))</f>
        <v/>
      </c>
      <c r="N4634" s="2" t="str">
        <f aca="false"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 t="str">
        <f aca="false">IF(OR(F4634="",G4634=""),"",IF(G4634&lt;='RETRATO 2027'!$K$5,"CONCLUÍDA",IF(F4634&lt;='RETRATO 2027'!$K$5,"EM ANDAMENTO","A INICIAR")))</f>
        <v/>
      </c>
    </row>
    <row r="4635" customFormat="false" ht="15" hidden="false" customHeight="false" outlineLevel="0" collapsed="false">
      <c r="M4635" s="2" t="str">
        <f aca="false">IF(C4635="","",IFERROR(INDEX($S$5:$S$304,MATCH(C4635,$R$5:$R$304,0))&amp;"","?"))</f>
        <v/>
      </c>
      <c r="N4635" s="2" t="str">
        <f aca="false"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 t="str">
        <f aca="false">IF(OR(F4635="",G4635=""),"",IF(G4635&lt;='RETRATO 2027'!$K$5,"CONCLUÍDA",IF(F4635&lt;='RETRATO 2027'!$K$5,"EM ANDAMENTO","A INICIAR")))</f>
        <v/>
      </c>
    </row>
    <row r="4636" customFormat="false" ht="15" hidden="false" customHeight="false" outlineLevel="0" collapsed="false">
      <c r="M4636" s="2" t="str">
        <f aca="false">IF(C4636="","",IFERROR(INDEX($S$5:$S$304,MATCH(C4636,$R$5:$R$304,0))&amp;"","?"))</f>
        <v/>
      </c>
      <c r="N4636" s="2" t="str">
        <f aca="false"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 t="str">
        <f aca="false">IF(OR(F4636="",G4636=""),"",IF(G4636&lt;='RETRATO 2027'!$K$5,"CONCLUÍDA",IF(F4636&lt;='RETRATO 2027'!$K$5,"EM ANDAMENTO","A INICIAR")))</f>
        <v/>
      </c>
    </row>
    <row r="4637" customFormat="false" ht="15" hidden="false" customHeight="false" outlineLevel="0" collapsed="false">
      <c r="M4637" s="2" t="str">
        <f aca="false">IF(C4637="","",IFERROR(INDEX($S$5:$S$304,MATCH(C4637,$R$5:$R$304,0))&amp;"","?"))</f>
        <v/>
      </c>
      <c r="N4637" s="2" t="str">
        <f aca="false"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 t="str">
        <f aca="false">IF(OR(F4637="",G4637=""),"",IF(G4637&lt;='RETRATO 2027'!$K$5,"CONCLUÍDA",IF(F4637&lt;='RETRATO 2027'!$K$5,"EM ANDAMENTO","A INICIAR")))</f>
        <v/>
      </c>
    </row>
    <row r="4638" customFormat="false" ht="15" hidden="false" customHeight="false" outlineLevel="0" collapsed="false">
      <c r="M4638" s="2" t="str">
        <f aca="false">IF(C4638="","",IFERROR(INDEX($S$5:$S$304,MATCH(C4638,$R$5:$R$304,0))&amp;"","?"))</f>
        <v/>
      </c>
      <c r="N4638" s="2" t="str">
        <f aca="false"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 t="str">
        <f aca="false">IF(OR(F4638="",G4638=""),"",IF(G4638&lt;='RETRATO 2027'!$K$5,"CONCLUÍDA",IF(F4638&lt;='RETRATO 2027'!$K$5,"EM ANDAMENTO","A INICIAR")))</f>
        <v/>
      </c>
    </row>
    <row r="4639" customFormat="false" ht="15" hidden="false" customHeight="false" outlineLevel="0" collapsed="false">
      <c r="M4639" s="2" t="str">
        <f aca="false">IF(C4639="","",IFERROR(INDEX($S$5:$S$304,MATCH(C4639,$R$5:$R$304,0))&amp;"","?"))</f>
        <v/>
      </c>
      <c r="N4639" s="2" t="str">
        <f aca="false"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 t="str">
        <f aca="false">IF(OR(F4639="",G4639=""),"",IF(G4639&lt;='RETRATO 2027'!$K$5,"CONCLUÍDA",IF(F4639&lt;='RETRATO 2027'!$K$5,"EM ANDAMENTO","A INICIAR")))</f>
        <v/>
      </c>
    </row>
    <row r="4640" customFormat="false" ht="15" hidden="false" customHeight="false" outlineLevel="0" collapsed="false">
      <c r="M4640" s="2" t="str">
        <f aca="false">IF(C4640="","",IFERROR(INDEX($S$5:$S$304,MATCH(C4640,$R$5:$R$304,0))&amp;"","?"))</f>
        <v/>
      </c>
      <c r="N4640" s="2" t="str">
        <f aca="false"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 t="str">
        <f aca="false">IF(OR(F4640="",G4640=""),"",IF(G4640&lt;='RETRATO 2027'!$K$5,"CONCLUÍDA",IF(F4640&lt;='RETRATO 2027'!$K$5,"EM ANDAMENTO","A INICIAR")))</f>
        <v/>
      </c>
    </row>
    <row r="4641" customFormat="false" ht="15" hidden="false" customHeight="false" outlineLevel="0" collapsed="false">
      <c r="M4641" s="2" t="str">
        <f aca="false">IF(C4641="","",IFERROR(INDEX($S$5:$S$304,MATCH(C4641,$R$5:$R$304,0))&amp;"","?"))</f>
        <v/>
      </c>
      <c r="N4641" s="2" t="str">
        <f aca="false"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 t="str">
        <f aca="false">IF(OR(F4641="",G4641=""),"",IF(G4641&lt;='RETRATO 2027'!$K$5,"CONCLUÍDA",IF(F4641&lt;='RETRATO 2027'!$K$5,"EM ANDAMENTO","A INICIAR")))</f>
        <v/>
      </c>
    </row>
    <row r="4642" customFormat="false" ht="15" hidden="false" customHeight="false" outlineLevel="0" collapsed="false">
      <c r="M4642" s="2" t="str">
        <f aca="false">IF(C4642="","",IFERROR(INDEX($S$5:$S$304,MATCH(C4642,$R$5:$R$304,0))&amp;"","?"))</f>
        <v/>
      </c>
      <c r="N4642" s="2" t="str">
        <f aca="false"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 t="str">
        <f aca="false">IF(OR(F4642="",G4642=""),"",IF(G4642&lt;='RETRATO 2027'!$K$5,"CONCLUÍDA",IF(F4642&lt;='RETRATO 2027'!$K$5,"EM ANDAMENTO","A INICIAR")))</f>
        <v/>
      </c>
    </row>
    <row r="4643" customFormat="false" ht="15" hidden="false" customHeight="false" outlineLevel="0" collapsed="false">
      <c r="M4643" s="2" t="str">
        <f aca="false">IF(C4643="","",IFERROR(INDEX($S$5:$S$304,MATCH(C4643,$R$5:$R$304,0))&amp;"","?"))</f>
        <v/>
      </c>
      <c r="N4643" s="2" t="str">
        <f aca="false"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 t="str">
        <f aca="false">IF(OR(F4643="",G4643=""),"",IF(G4643&lt;='RETRATO 2027'!$K$5,"CONCLUÍDA",IF(F4643&lt;='RETRATO 2027'!$K$5,"EM ANDAMENTO","A INICIAR")))</f>
        <v/>
      </c>
    </row>
    <row r="4644" customFormat="false" ht="15" hidden="false" customHeight="false" outlineLevel="0" collapsed="false">
      <c r="M4644" s="2" t="str">
        <f aca="false">IF(C4644="","",IFERROR(INDEX($S$5:$S$304,MATCH(C4644,$R$5:$R$304,0))&amp;"","?"))</f>
        <v/>
      </c>
      <c r="N4644" s="2" t="str">
        <f aca="false"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 t="str">
        <f aca="false">IF(OR(F4644="",G4644=""),"",IF(G4644&lt;='RETRATO 2027'!$K$5,"CONCLUÍDA",IF(F4644&lt;='RETRATO 2027'!$K$5,"EM ANDAMENTO","A INICIAR")))</f>
        <v/>
      </c>
    </row>
    <row r="4645" customFormat="false" ht="15" hidden="false" customHeight="false" outlineLevel="0" collapsed="false">
      <c r="M4645" s="2" t="str">
        <f aca="false">IF(C4645="","",IFERROR(INDEX($S$5:$S$304,MATCH(C4645,$R$5:$R$304,0))&amp;"","?"))</f>
        <v/>
      </c>
      <c r="N4645" s="2" t="str">
        <f aca="false"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 t="str">
        <f aca="false">IF(OR(F4645="",G4645=""),"",IF(G4645&lt;='RETRATO 2027'!$K$5,"CONCLUÍDA",IF(F4645&lt;='RETRATO 2027'!$K$5,"EM ANDAMENTO","A INICIAR")))</f>
        <v/>
      </c>
    </row>
    <row r="4646" customFormat="false" ht="15" hidden="false" customHeight="false" outlineLevel="0" collapsed="false">
      <c r="M4646" s="2" t="str">
        <f aca="false">IF(C4646="","",IFERROR(INDEX($S$5:$S$304,MATCH(C4646,$R$5:$R$304,0))&amp;"","?"))</f>
        <v/>
      </c>
      <c r="N4646" s="2" t="str">
        <f aca="false"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 t="str">
        <f aca="false">IF(OR(F4646="",G4646=""),"",IF(G4646&lt;='RETRATO 2027'!$K$5,"CONCLUÍDA",IF(F4646&lt;='RETRATO 2027'!$K$5,"EM ANDAMENTO","A INICIAR")))</f>
        <v/>
      </c>
    </row>
    <row r="4647" customFormat="false" ht="15" hidden="false" customHeight="false" outlineLevel="0" collapsed="false">
      <c r="M4647" s="2" t="str">
        <f aca="false">IF(C4647="","",IFERROR(INDEX($S$5:$S$304,MATCH(C4647,$R$5:$R$304,0))&amp;"","?"))</f>
        <v/>
      </c>
      <c r="N4647" s="2" t="str">
        <f aca="false"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 t="str">
        <f aca="false">IF(OR(F4647="",G4647=""),"",IF(G4647&lt;='RETRATO 2027'!$K$5,"CONCLUÍDA",IF(F4647&lt;='RETRATO 2027'!$K$5,"EM ANDAMENTO","A INICIAR")))</f>
        <v/>
      </c>
    </row>
    <row r="4648" customFormat="false" ht="15" hidden="false" customHeight="false" outlineLevel="0" collapsed="false">
      <c r="M4648" s="2" t="str">
        <f aca="false">IF(C4648="","",IFERROR(INDEX($S$5:$S$304,MATCH(C4648,$R$5:$R$304,0))&amp;"","?"))</f>
        <v/>
      </c>
      <c r="N4648" s="2" t="str">
        <f aca="false"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 t="str">
        <f aca="false">IF(OR(F4648="",G4648=""),"",IF(G4648&lt;='RETRATO 2027'!$K$5,"CONCLUÍDA",IF(F4648&lt;='RETRATO 2027'!$K$5,"EM ANDAMENTO","A INICIAR")))</f>
        <v/>
      </c>
    </row>
    <row r="4649" customFormat="false" ht="15" hidden="false" customHeight="false" outlineLevel="0" collapsed="false">
      <c r="M4649" s="2" t="str">
        <f aca="false">IF(C4649="","",IFERROR(INDEX($S$5:$S$304,MATCH(C4649,$R$5:$R$304,0))&amp;"","?"))</f>
        <v/>
      </c>
      <c r="N4649" s="2" t="str">
        <f aca="false"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 t="str">
        <f aca="false">IF(OR(F4649="",G4649=""),"",IF(G4649&lt;='RETRATO 2027'!$K$5,"CONCLUÍDA",IF(F4649&lt;='RETRATO 2027'!$K$5,"EM ANDAMENTO","A INICIAR")))</f>
        <v/>
      </c>
    </row>
    <row r="4650" customFormat="false" ht="15" hidden="false" customHeight="false" outlineLevel="0" collapsed="false">
      <c r="M4650" s="2" t="str">
        <f aca="false">IF(C4650="","",IFERROR(INDEX($S$5:$S$304,MATCH(C4650,$R$5:$R$304,0))&amp;"","?"))</f>
        <v/>
      </c>
      <c r="N4650" s="2" t="str">
        <f aca="false"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 t="str">
        <f aca="false">IF(OR(F4650="",G4650=""),"",IF(G4650&lt;='RETRATO 2027'!$K$5,"CONCLUÍDA",IF(F4650&lt;='RETRATO 2027'!$K$5,"EM ANDAMENTO","A INICIAR")))</f>
        <v/>
      </c>
    </row>
    <row r="4651" customFormat="false" ht="15" hidden="false" customHeight="false" outlineLevel="0" collapsed="false">
      <c r="M4651" s="2" t="str">
        <f aca="false">IF(C4651="","",IFERROR(INDEX($S$5:$S$304,MATCH(C4651,$R$5:$R$304,0))&amp;"","?"))</f>
        <v/>
      </c>
      <c r="N4651" s="2" t="str">
        <f aca="false"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 t="str">
        <f aca="false">IF(OR(F4651="",G4651=""),"",IF(G4651&lt;='RETRATO 2027'!$K$5,"CONCLUÍDA",IF(F4651&lt;='RETRATO 2027'!$K$5,"EM ANDAMENTO","A INICIAR")))</f>
        <v/>
      </c>
    </row>
    <row r="4652" customFormat="false" ht="15" hidden="false" customHeight="false" outlineLevel="0" collapsed="false">
      <c r="M4652" s="2" t="str">
        <f aca="false">IF(C4652="","",IFERROR(INDEX($S$5:$S$304,MATCH(C4652,$R$5:$R$304,0))&amp;"","?"))</f>
        <v/>
      </c>
      <c r="N4652" s="2" t="str">
        <f aca="false"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 t="str">
        <f aca="false">IF(OR(F4652="",G4652=""),"",IF(G4652&lt;='RETRATO 2027'!$K$5,"CONCLUÍDA",IF(F4652&lt;='RETRATO 2027'!$K$5,"EM ANDAMENTO","A INICIAR")))</f>
        <v/>
      </c>
    </row>
    <row r="4653" customFormat="false" ht="15" hidden="false" customHeight="false" outlineLevel="0" collapsed="false">
      <c r="M4653" s="2" t="str">
        <f aca="false">IF(C4653="","",IFERROR(INDEX($S$5:$S$304,MATCH(C4653,$R$5:$R$304,0))&amp;"","?"))</f>
        <v/>
      </c>
      <c r="N4653" s="2" t="str">
        <f aca="false"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 t="str">
        <f aca="false">IF(OR(F4653="",G4653=""),"",IF(G4653&lt;='RETRATO 2027'!$K$5,"CONCLUÍDA",IF(F4653&lt;='RETRATO 2027'!$K$5,"EM ANDAMENTO","A INICIAR")))</f>
        <v/>
      </c>
    </row>
    <row r="4654" customFormat="false" ht="15" hidden="false" customHeight="false" outlineLevel="0" collapsed="false">
      <c r="M4654" s="2" t="str">
        <f aca="false">IF(C4654="","",IFERROR(INDEX($S$5:$S$304,MATCH(C4654,$R$5:$R$304,0))&amp;"","?"))</f>
        <v/>
      </c>
      <c r="N4654" s="2" t="str">
        <f aca="false"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 t="str">
        <f aca="false">IF(OR(F4654="",G4654=""),"",IF(G4654&lt;='RETRATO 2027'!$K$5,"CONCLUÍDA",IF(F4654&lt;='RETRATO 2027'!$K$5,"EM ANDAMENTO","A INICIAR")))</f>
        <v/>
      </c>
    </row>
    <row r="4655" customFormat="false" ht="15" hidden="false" customHeight="false" outlineLevel="0" collapsed="false">
      <c r="M4655" s="2" t="str">
        <f aca="false">IF(C4655="","",IFERROR(INDEX($S$5:$S$304,MATCH(C4655,$R$5:$R$304,0))&amp;"","?"))</f>
        <v/>
      </c>
      <c r="N4655" s="2" t="str">
        <f aca="false"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 t="str">
        <f aca="false">IF(OR(F4655="",G4655=""),"",IF(G4655&lt;='RETRATO 2027'!$K$5,"CONCLUÍDA",IF(F4655&lt;='RETRATO 2027'!$K$5,"EM ANDAMENTO","A INICIAR")))</f>
        <v/>
      </c>
    </row>
    <row r="4656" customFormat="false" ht="15" hidden="false" customHeight="false" outlineLevel="0" collapsed="false">
      <c r="M4656" s="2" t="str">
        <f aca="false">IF(C4656="","",IFERROR(INDEX($S$5:$S$304,MATCH(C4656,$R$5:$R$304,0))&amp;"","?"))</f>
        <v/>
      </c>
      <c r="N4656" s="2" t="str">
        <f aca="false"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 t="str">
        <f aca="false">IF(OR(F4656="",G4656=""),"",IF(G4656&lt;='RETRATO 2027'!$K$5,"CONCLUÍDA",IF(F4656&lt;='RETRATO 2027'!$K$5,"EM ANDAMENTO","A INICIAR")))</f>
        <v/>
      </c>
    </row>
    <row r="4657" customFormat="false" ht="15" hidden="false" customHeight="false" outlineLevel="0" collapsed="false">
      <c r="M4657" s="2" t="str">
        <f aca="false">IF(C4657="","",IFERROR(INDEX($S$5:$S$304,MATCH(C4657,$R$5:$R$304,0))&amp;"","?"))</f>
        <v/>
      </c>
      <c r="N4657" s="2" t="str">
        <f aca="false"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 t="str">
        <f aca="false">IF(OR(F4657="",G4657=""),"",IF(G4657&lt;='RETRATO 2027'!$K$5,"CONCLUÍDA",IF(F4657&lt;='RETRATO 2027'!$K$5,"EM ANDAMENTO","A INICIAR")))</f>
        <v/>
      </c>
    </row>
    <row r="4658" customFormat="false" ht="15" hidden="false" customHeight="false" outlineLevel="0" collapsed="false">
      <c r="M4658" s="2" t="str">
        <f aca="false">IF(C4658="","",IFERROR(INDEX($S$5:$S$304,MATCH(C4658,$R$5:$R$304,0))&amp;"","?"))</f>
        <v/>
      </c>
      <c r="N4658" s="2" t="str">
        <f aca="false"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 t="str">
        <f aca="false">IF(OR(F4658="",G4658=""),"",IF(G4658&lt;='RETRATO 2027'!$K$5,"CONCLUÍDA",IF(F4658&lt;='RETRATO 2027'!$K$5,"EM ANDAMENTO","A INICIAR")))</f>
        <v/>
      </c>
    </row>
    <row r="4659" customFormat="false" ht="15" hidden="false" customHeight="false" outlineLevel="0" collapsed="false">
      <c r="M4659" s="2" t="str">
        <f aca="false">IF(C4659="","",IFERROR(INDEX($S$5:$S$304,MATCH(C4659,$R$5:$R$304,0))&amp;"","?"))</f>
        <v/>
      </c>
      <c r="N4659" s="2" t="str">
        <f aca="false"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 t="str">
        <f aca="false">IF(OR(F4659="",G4659=""),"",IF(G4659&lt;='RETRATO 2027'!$K$5,"CONCLUÍDA",IF(F4659&lt;='RETRATO 2027'!$K$5,"EM ANDAMENTO","A INICIAR")))</f>
        <v/>
      </c>
    </row>
    <row r="4660" customFormat="false" ht="15" hidden="false" customHeight="false" outlineLevel="0" collapsed="false">
      <c r="M4660" s="2" t="str">
        <f aca="false">IF(C4660="","",IFERROR(INDEX($S$5:$S$304,MATCH(C4660,$R$5:$R$304,0))&amp;"","?"))</f>
        <v/>
      </c>
      <c r="N4660" s="2" t="str">
        <f aca="false"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 t="str">
        <f aca="false">IF(OR(F4660="",G4660=""),"",IF(G4660&lt;='RETRATO 2027'!$K$5,"CONCLUÍDA",IF(F4660&lt;='RETRATO 2027'!$K$5,"EM ANDAMENTO","A INICIAR")))</f>
        <v/>
      </c>
    </row>
    <row r="4661" customFormat="false" ht="15" hidden="false" customHeight="false" outlineLevel="0" collapsed="false">
      <c r="M4661" s="2" t="str">
        <f aca="false">IF(C4661="","",IFERROR(INDEX($S$5:$S$304,MATCH(C4661,$R$5:$R$304,0))&amp;"","?"))</f>
        <v/>
      </c>
      <c r="N4661" s="2" t="str">
        <f aca="false"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 t="str">
        <f aca="false">IF(OR(F4661="",G4661=""),"",IF(G4661&lt;='RETRATO 2027'!$K$5,"CONCLUÍDA",IF(F4661&lt;='RETRATO 2027'!$K$5,"EM ANDAMENTO","A INICIAR")))</f>
        <v/>
      </c>
    </row>
    <row r="4662" customFormat="false" ht="15" hidden="false" customHeight="false" outlineLevel="0" collapsed="false">
      <c r="M4662" s="2" t="str">
        <f aca="false">IF(C4662="","",IFERROR(INDEX($S$5:$S$304,MATCH(C4662,$R$5:$R$304,0))&amp;"","?"))</f>
        <v/>
      </c>
      <c r="N4662" s="2" t="str">
        <f aca="false"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 t="str">
        <f aca="false">IF(OR(F4662="",G4662=""),"",IF(G4662&lt;='RETRATO 2027'!$K$5,"CONCLUÍDA",IF(F4662&lt;='RETRATO 2027'!$K$5,"EM ANDAMENTO","A INICIAR")))</f>
        <v/>
      </c>
    </row>
    <row r="4663" customFormat="false" ht="15" hidden="false" customHeight="false" outlineLevel="0" collapsed="false">
      <c r="M4663" s="2" t="str">
        <f aca="false">IF(C4663="","",IFERROR(INDEX($S$5:$S$304,MATCH(C4663,$R$5:$R$304,0))&amp;"","?"))</f>
        <v/>
      </c>
      <c r="N4663" s="2" t="str">
        <f aca="false"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 t="str">
        <f aca="false">IF(OR(F4663="",G4663=""),"",IF(G4663&lt;='RETRATO 2027'!$K$5,"CONCLUÍDA",IF(F4663&lt;='RETRATO 2027'!$K$5,"EM ANDAMENTO","A INICIAR")))</f>
        <v/>
      </c>
    </row>
    <row r="4664" customFormat="false" ht="15" hidden="false" customHeight="false" outlineLevel="0" collapsed="false">
      <c r="M4664" s="2" t="str">
        <f aca="false">IF(C4664="","",IFERROR(INDEX($S$5:$S$304,MATCH(C4664,$R$5:$R$304,0))&amp;"","?"))</f>
        <v/>
      </c>
      <c r="N4664" s="2" t="str">
        <f aca="false"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 t="str">
        <f aca="false">IF(OR(F4664="",G4664=""),"",IF(G4664&lt;='RETRATO 2027'!$K$5,"CONCLUÍDA",IF(F4664&lt;='RETRATO 2027'!$K$5,"EM ANDAMENTO","A INICIAR")))</f>
        <v/>
      </c>
    </row>
    <row r="4665" customFormat="false" ht="15" hidden="false" customHeight="false" outlineLevel="0" collapsed="false">
      <c r="M4665" s="2" t="str">
        <f aca="false">IF(C4665="","",IFERROR(INDEX($S$5:$S$304,MATCH(C4665,$R$5:$R$304,0))&amp;"","?"))</f>
        <v/>
      </c>
      <c r="N4665" s="2" t="str">
        <f aca="false"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 t="str">
        <f aca="false">IF(OR(F4665="",G4665=""),"",IF(G4665&lt;='RETRATO 2027'!$K$5,"CONCLUÍDA",IF(F4665&lt;='RETRATO 2027'!$K$5,"EM ANDAMENTO","A INICIAR")))</f>
        <v/>
      </c>
    </row>
    <row r="4666" customFormat="false" ht="15" hidden="false" customHeight="false" outlineLevel="0" collapsed="false">
      <c r="M4666" s="2" t="str">
        <f aca="false">IF(C4666="","",IFERROR(INDEX($S$5:$S$304,MATCH(C4666,$R$5:$R$304,0))&amp;"","?"))</f>
        <v/>
      </c>
      <c r="N4666" s="2" t="str">
        <f aca="false"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 t="str">
        <f aca="false">IF(OR(F4666="",G4666=""),"",IF(G4666&lt;='RETRATO 2027'!$K$5,"CONCLUÍDA",IF(F4666&lt;='RETRATO 2027'!$K$5,"EM ANDAMENTO","A INICIAR")))</f>
        <v/>
      </c>
    </row>
    <row r="4667" customFormat="false" ht="15" hidden="false" customHeight="false" outlineLevel="0" collapsed="false">
      <c r="M4667" s="2" t="str">
        <f aca="false">IF(C4667="","",IFERROR(INDEX($S$5:$S$304,MATCH(C4667,$R$5:$R$304,0))&amp;"","?"))</f>
        <v/>
      </c>
      <c r="N4667" s="2" t="str">
        <f aca="false"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 t="str">
        <f aca="false">IF(OR(F4667="",G4667=""),"",IF(G4667&lt;='RETRATO 2027'!$K$5,"CONCLUÍDA",IF(F4667&lt;='RETRATO 2027'!$K$5,"EM ANDAMENTO","A INICIAR")))</f>
        <v/>
      </c>
    </row>
    <row r="4668" customFormat="false" ht="15" hidden="false" customHeight="false" outlineLevel="0" collapsed="false">
      <c r="M4668" s="2" t="str">
        <f aca="false">IF(C4668="","",IFERROR(INDEX($S$5:$S$304,MATCH(C4668,$R$5:$R$304,0))&amp;"","?"))</f>
        <v/>
      </c>
      <c r="N4668" s="2" t="str">
        <f aca="false"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 t="str">
        <f aca="false">IF(OR(F4668="",G4668=""),"",IF(G4668&lt;='RETRATO 2027'!$K$5,"CONCLUÍDA",IF(F4668&lt;='RETRATO 2027'!$K$5,"EM ANDAMENTO","A INICIAR")))</f>
        <v/>
      </c>
    </row>
    <row r="4669" customFormat="false" ht="15" hidden="false" customHeight="false" outlineLevel="0" collapsed="false">
      <c r="M4669" s="2" t="str">
        <f aca="false">IF(C4669="","",IFERROR(INDEX($S$5:$S$304,MATCH(C4669,$R$5:$R$304,0))&amp;"","?"))</f>
        <v/>
      </c>
      <c r="N4669" s="2" t="str">
        <f aca="false"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 t="str">
        <f aca="false">IF(OR(F4669="",G4669=""),"",IF(G4669&lt;='RETRATO 2027'!$K$5,"CONCLUÍDA",IF(F4669&lt;='RETRATO 2027'!$K$5,"EM ANDAMENTO","A INICIAR")))</f>
        <v/>
      </c>
    </row>
    <row r="4670" customFormat="false" ht="15" hidden="false" customHeight="false" outlineLevel="0" collapsed="false">
      <c r="M4670" s="2" t="str">
        <f aca="false">IF(C4670="","",IFERROR(INDEX($S$5:$S$304,MATCH(C4670,$R$5:$R$304,0))&amp;"","?"))</f>
        <v/>
      </c>
      <c r="N4670" s="2" t="str">
        <f aca="false"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 t="str">
        <f aca="false">IF(OR(F4670="",G4670=""),"",IF(G4670&lt;='RETRATO 2027'!$K$5,"CONCLUÍDA",IF(F4670&lt;='RETRATO 2027'!$K$5,"EM ANDAMENTO","A INICIAR")))</f>
        <v/>
      </c>
    </row>
    <row r="4671" customFormat="false" ht="15" hidden="false" customHeight="false" outlineLevel="0" collapsed="false">
      <c r="M4671" s="2" t="str">
        <f aca="false">IF(C4671="","",IFERROR(INDEX($S$5:$S$304,MATCH(C4671,$R$5:$R$304,0))&amp;"","?"))</f>
        <v/>
      </c>
      <c r="N4671" s="2" t="str">
        <f aca="false"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 t="str">
        <f aca="false">IF(OR(F4671="",G4671=""),"",IF(G4671&lt;='RETRATO 2027'!$K$5,"CONCLUÍDA",IF(F4671&lt;='RETRATO 2027'!$K$5,"EM ANDAMENTO","A INICIAR")))</f>
        <v/>
      </c>
    </row>
    <row r="4672" customFormat="false" ht="15" hidden="false" customHeight="false" outlineLevel="0" collapsed="false">
      <c r="M4672" s="2" t="str">
        <f aca="false">IF(C4672="","",IFERROR(INDEX($S$5:$S$304,MATCH(C4672,$R$5:$R$304,0))&amp;"","?"))</f>
        <v/>
      </c>
      <c r="N4672" s="2" t="str">
        <f aca="false"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 t="str">
        <f aca="false">IF(OR(F4672="",G4672=""),"",IF(G4672&lt;='RETRATO 2027'!$K$5,"CONCLUÍDA",IF(F4672&lt;='RETRATO 2027'!$K$5,"EM ANDAMENTO","A INICIAR")))</f>
        <v/>
      </c>
    </row>
    <row r="4673" customFormat="false" ht="15" hidden="false" customHeight="false" outlineLevel="0" collapsed="false">
      <c r="M4673" s="2" t="str">
        <f aca="false">IF(C4673="","",IFERROR(INDEX($S$5:$S$304,MATCH(C4673,$R$5:$R$304,0))&amp;"","?"))</f>
        <v/>
      </c>
      <c r="N4673" s="2" t="str">
        <f aca="false"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 t="str">
        <f aca="false">IF(OR(F4673="",G4673=""),"",IF(G4673&lt;='RETRATO 2027'!$K$5,"CONCLUÍDA",IF(F4673&lt;='RETRATO 2027'!$K$5,"EM ANDAMENTO","A INICIAR")))</f>
        <v/>
      </c>
    </row>
    <row r="4674" customFormat="false" ht="15" hidden="false" customHeight="false" outlineLevel="0" collapsed="false">
      <c r="M4674" s="2" t="str">
        <f aca="false">IF(C4674="","",IFERROR(INDEX($S$5:$S$304,MATCH(C4674,$R$5:$R$304,0))&amp;"","?"))</f>
        <v/>
      </c>
      <c r="N4674" s="2" t="str">
        <f aca="false"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 t="str">
        <f aca="false">IF(OR(F4674="",G4674=""),"",IF(G4674&lt;='RETRATO 2027'!$K$5,"CONCLUÍDA",IF(F4674&lt;='RETRATO 2027'!$K$5,"EM ANDAMENTO","A INICIAR")))</f>
        <v/>
      </c>
    </row>
    <row r="4675" customFormat="false" ht="15" hidden="false" customHeight="false" outlineLevel="0" collapsed="false">
      <c r="M4675" s="2" t="str">
        <f aca="false">IF(C4675="","",IFERROR(INDEX($S$5:$S$304,MATCH(C4675,$R$5:$R$304,0))&amp;"","?"))</f>
        <v/>
      </c>
      <c r="N4675" s="2" t="str">
        <f aca="false"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 t="str">
        <f aca="false">IF(OR(F4675="",G4675=""),"",IF(G4675&lt;='RETRATO 2027'!$K$5,"CONCLUÍDA",IF(F4675&lt;='RETRATO 2027'!$K$5,"EM ANDAMENTO","A INICIAR")))</f>
        <v/>
      </c>
    </row>
    <row r="4676" customFormat="false" ht="15" hidden="false" customHeight="false" outlineLevel="0" collapsed="false">
      <c r="M4676" s="2" t="str">
        <f aca="false">IF(C4676="","",IFERROR(INDEX($S$5:$S$304,MATCH(C4676,$R$5:$R$304,0))&amp;"","?"))</f>
        <v/>
      </c>
      <c r="N4676" s="2" t="str">
        <f aca="false"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 t="str">
        <f aca="false">IF(OR(F4676="",G4676=""),"",IF(G4676&lt;='RETRATO 2027'!$K$5,"CONCLUÍDA",IF(F4676&lt;='RETRATO 2027'!$K$5,"EM ANDAMENTO","A INICIAR")))</f>
        <v/>
      </c>
    </row>
    <row r="4677" customFormat="false" ht="15" hidden="false" customHeight="false" outlineLevel="0" collapsed="false">
      <c r="M4677" s="2" t="str">
        <f aca="false">IF(C4677="","",IFERROR(INDEX($S$5:$S$304,MATCH(C4677,$R$5:$R$304,0))&amp;"","?"))</f>
        <v/>
      </c>
      <c r="N4677" s="2" t="str">
        <f aca="false"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 t="str">
        <f aca="false">IF(OR(F4677="",G4677=""),"",IF(G4677&lt;='RETRATO 2027'!$K$5,"CONCLUÍDA",IF(F4677&lt;='RETRATO 2027'!$K$5,"EM ANDAMENTO","A INICIAR")))</f>
        <v/>
      </c>
    </row>
    <row r="4678" customFormat="false" ht="15" hidden="false" customHeight="false" outlineLevel="0" collapsed="false">
      <c r="M4678" s="2" t="str">
        <f aca="false">IF(C4678="","",IFERROR(INDEX($S$5:$S$304,MATCH(C4678,$R$5:$R$304,0))&amp;"","?"))</f>
        <v/>
      </c>
      <c r="N4678" s="2" t="str">
        <f aca="false"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 t="str">
        <f aca="false">IF(OR(F4678="",G4678=""),"",IF(G4678&lt;='RETRATO 2027'!$K$5,"CONCLUÍDA",IF(F4678&lt;='RETRATO 2027'!$K$5,"EM ANDAMENTO","A INICIAR")))</f>
        <v/>
      </c>
    </row>
    <row r="4679" customFormat="false" ht="15" hidden="false" customHeight="false" outlineLevel="0" collapsed="false">
      <c r="M4679" s="2" t="str">
        <f aca="false">IF(C4679="","",IFERROR(INDEX($S$5:$S$304,MATCH(C4679,$R$5:$R$304,0))&amp;"","?"))</f>
        <v/>
      </c>
      <c r="N4679" s="2" t="str">
        <f aca="false"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 t="str">
        <f aca="false">IF(OR(F4679="",G4679=""),"",IF(G4679&lt;='RETRATO 2027'!$K$5,"CONCLUÍDA",IF(F4679&lt;='RETRATO 2027'!$K$5,"EM ANDAMENTO","A INICIAR")))</f>
        <v/>
      </c>
    </row>
    <row r="4680" customFormat="false" ht="15" hidden="false" customHeight="false" outlineLevel="0" collapsed="false">
      <c r="M4680" s="2" t="str">
        <f aca="false">IF(C4680="","",IFERROR(INDEX($S$5:$S$304,MATCH(C4680,$R$5:$R$304,0))&amp;"","?"))</f>
        <v/>
      </c>
      <c r="N4680" s="2" t="str">
        <f aca="false"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 t="str">
        <f aca="false">IF(OR(F4680="",G4680=""),"",IF(G4680&lt;='RETRATO 2027'!$K$5,"CONCLUÍDA",IF(F4680&lt;='RETRATO 2027'!$K$5,"EM ANDAMENTO","A INICIAR")))</f>
        <v/>
      </c>
    </row>
    <row r="4681" customFormat="false" ht="15" hidden="false" customHeight="false" outlineLevel="0" collapsed="false">
      <c r="M4681" s="2" t="str">
        <f aca="false">IF(C4681="","",IFERROR(INDEX($S$5:$S$304,MATCH(C4681,$R$5:$R$304,0))&amp;"","?"))</f>
        <v/>
      </c>
      <c r="N4681" s="2" t="str">
        <f aca="false"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 t="str">
        <f aca="false">IF(OR(F4681="",G4681=""),"",IF(G4681&lt;='RETRATO 2027'!$K$5,"CONCLUÍDA",IF(F4681&lt;='RETRATO 2027'!$K$5,"EM ANDAMENTO","A INICIAR")))</f>
        <v/>
      </c>
    </row>
    <row r="4682" customFormat="false" ht="15" hidden="false" customHeight="false" outlineLevel="0" collapsed="false">
      <c r="M4682" s="2" t="str">
        <f aca="false">IF(C4682="","",IFERROR(INDEX($S$5:$S$304,MATCH(C4682,$R$5:$R$304,0))&amp;"","?"))</f>
        <v/>
      </c>
      <c r="N4682" s="2" t="str">
        <f aca="false"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 t="str">
        <f aca="false">IF(OR(F4682="",G4682=""),"",IF(G4682&lt;='RETRATO 2027'!$K$5,"CONCLUÍDA",IF(F4682&lt;='RETRATO 2027'!$K$5,"EM ANDAMENTO","A INICIAR")))</f>
        <v/>
      </c>
    </row>
    <row r="4683" customFormat="false" ht="15" hidden="false" customHeight="false" outlineLevel="0" collapsed="false">
      <c r="M4683" s="2" t="str">
        <f aca="false">IF(C4683="","",IFERROR(INDEX($S$5:$S$304,MATCH(C4683,$R$5:$R$304,0))&amp;"","?"))</f>
        <v/>
      </c>
      <c r="N4683" s="2" t="str">
        <f aca="false"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 t="str">
        <f aca="false">IF(OR(F4683="",G4683=""),"",IF(G4683&lt;='RETRATO 2027'!$K$5,"CONCLUÍDA",IF(F4683&lt;='RETRATO 2027'!$K$5,"EM ANDAMENTO","A INICIAR")))</f>
        <v/>
      </c>
    </row>
    <row r="4684" customFormat="false" ht="15" hidden="false" customHeight="false" outlineLevel="0" collapsed="false">
      <c r="M4684" s="2" t="str">
        <f aca="false">IF(C4684="","",IFERROR(INDEX($S$5:$S$304,MATCH(C4684,$R$5:$R$304,0))&amp;"","?"))</f>
        <v/>
      </c>
      <c r="N4684" s="2" t="str">
        <f aca="false"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 t="str">
        <f aca="false">IF(OR(F4684="",G4684=""),"",IF(G4684&lt;='RETRATO 2027'!$K$5,"CONCLUÍDA",IF(F4684&lt;='RETRATO 2027'!$K$5,"EM ANDAMENTO","A INICIAR")))</f>
        <v/>
      </c>
    </row>
    <row r="4685" customFormat="false" ht="15" hidden="false" customHeight="false" outlineLevel="0" collapsed="false">
      <c r="M4685" s="2" t="str">
        <f aca="false">IF(C4685="","",IFERROR(INDEX($S$5:$S$304,MATCH(C4685,$R$5:$R$304,0))&amp;"","?"))</f>
        <v/>
      </c>
      <c r="N4685" s="2" t="str">
        <f aca="false"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 t="str">
        <f aca="false">IF(OR(F4685="",G4685=""),"",IF(G4685&lt;='RETRATO 2027'!$K$5,"CONCLUÍDA",IF(F4685&lt;='RETRATO 2027'!$K$5,"EM ANDAMENTO","A INICIAR")))</f>
        <v/>
      </c>
    </row>
    <row r="4686" customFormat="false" ht="15" hidden="false" customHeight="false" outlineLevel="0" collapsed="false">
      <c r="M4686" s="2" t="str">
        <f aca="false">IF(C4686="","",IFERROR(INDEX($S$5:$S$304,MATCH(C4686,$R$5:$R$304,0))&amp;"","?"))</f>
        <v/>
      </c>
      <c r="N4686" s="2" t="str">
        <f aca="false"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 t="str">
        <f aca="false">IF(OR(F4686="",G4686=""),"",IF(G4686&lt;='RETRATO 2027'!$K$5,"CONCLUÍDA",IF(F4686&lt;='RETRATO 2027'!$K$5,"EM ANDAMENTO","A INICIAR")))</f>
        <v/>
      </c>
    </row>
    <row r="4687" customFormat="false" ht="15" hidden="false" customHeight="false" outlineLevel="0" collapsed="false">
      <c r="M4687" s="2" t="str">
        <f aca="false">IF(C4687="","",IFERROR(INDEX($S$5:$S$304,MATCH(C4687,$R$5:$R$304,0))&amp;"","?"))</f>
        <v/>
      </c>
      <c r="N4687" s="2" t="str">
        <f aca="false"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 t="str">
        <f aca="false">IF(OR(F4687="",G4687=""),"",IF(G4687&lt;='RETRATO 2027'!$K$5,"CONCLUÍDA",IF(F4687&lt;='RETRATO 2027'!$K$5,"EM ANDAMENTO","A INICIAR")))</f>
        <v/>
      </c>
    </row>
    <row r="4688" customFormat="false" ht="15" hidden="false" customHeight="false" outlineLevel="0" collapsed="false">
      <c r="M4688" s="2" t="str">
        <f aca="false">IF(C4688="","",IFERROR(INDEX($S$5:$S$304,MATCH(C4688,$R$5:$R$304,0))&amp;"","?"))</f>
        <v/>
      </c>
      <c r="N4688" s="2" t="str">
        <f aca="false"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 t="str">
        <f aca="false">IF(OR(F4688="",G4688=""),"",IF(G4688&lt;='RETRATO 2027'!$K$5,"CONCLUÍDA",IF(F4688&lt;='RETRATO 2027'!$K$5,"EM ANDAMENTO","A INICIAR")))</f>
        <v/>
      </c>
    </row>
    <row r="4689" customFormat="false" ht="15" hidden="false" customHeight="false" outlineLevel="0" collapsed="false">
      <c r="M4689" s="2" t="str">
        <f aca="false">IF(C4689="","",IFERROR(INDEX($S$5:$S$304,MATCH(C4689,$R$5:$R$304,0))&amp;"","?"))</f>
        <v/>
      </c>
      <c r="N4689" s="2" t="str">
        <f aca="false"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 t="str">
        <f aca="false">IF(OR(F4689="",G4689=""),"",IF(G4689&lt;='RETRATO 2027'!$K$5,"CONCLUÍDA",IF(F4689&lt;='RETRATO 2027'!$K$5,"EM ANDAMENTO","A INICIAR")))</f>
        <v/>
      </c>
    </row>
    <row r="4690" customFormat="false" ht="15" hidden="false" customHeight="false" outlineLevel="0" collapsed="false">
      <c r="M4690" s="2" t="str">
        <f aca="false">IF(C4690="","",IFERROR(INDEX($S$5:$S$304,MATCH(C4690,$R$5:$R$304,0))&amp;"","?"))</f>
        <v/>
      </c>
      <c r="N4690" s="2" t="str">
        <f aca="false"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 t="str">
        <f aca="false">IF(OR(F4690="",G4690=""),"",IF(G4690&lt;='RETRATO 2027'!$K$5,"CONCLUÍDA",IF(F4690&lt;='RETRATO 2027'!$K$5,"EM ANDAMENTO","A INICIAR")))</f>
        <v/>
      </c>
    </row>
    <row r="4691" customFormat="false" ht="15" hidden="false" customHeight="false" outlineLevel="0" collapsed="false">
      <c r="M4691" s="2" t="str">
        <f aca="false">IF(C4691="","",IFERROR(INDEX($S$5:$S$304,MATCH(C4691,$R$5:$R$304,0))&amp;"","?"))</f>
        <v/>
      </c>
      <c r="N4691" s="2" t="str">
        <f aca="false"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 t="str">
        <f aca="false">IF(OR(F4691="",G4691=""),"",IF(G4691&lt;='RETRATO 2027'!$K$5,"CONCLUÍDA",IF(F4691&lt;='RETRATO 2027'!$K$5,"EM ANDAMENTO","A INICIAR")))</f>
        <v/>
      </c>
    </row>
    <row r="4692" customFormat="false" ht="15" hidden="false" customHeight="false" outlineLevel="0" collapsed="false">
      <c r="M4692" s="2" t="str">
        <f aca="false">IF(C4692="","",IFERROR(INDEX($S$5:$S$304,MATCH(C4692,$R$5:$R$304,0))&amp;"","?"))</f>
        <v/>
      </c>
      <c r="N4692" s="2" t="str">
        <f aca="false"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 t="str">
        <f aca="false">IF(OR(F4692="",G4692=""),"",IF(G4692&lt;='RETRATO 2027'!$K$5,"CONCLUÍDA",IF(F4692&lt;='RETRATO 2027'!$K$5,"EM ANDAMENTO","A INICIAR")))</f>
        <v/>
      </c>
    </row>
    <row r="4693" customFormat="false" ht="15" hidden="false" customHeight="false" outlineLevel="0" collapsed="false">
      <c r="M4693" s="2" t="str">
        <f aca="false">IF(C4693="","",IFERROR(INDEX($S$5:$S$304,MATCH(C4693,$R$5:$R$304,0))&amp;"","?"))</f>
        <v/>
      </c>
      <c r="N4693" s="2" t="str">
        <f aca="false"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 t="str">
        <f aca="false">IF(OR(F4693="",G4693=""),"",IF(G4693&lt;='RETRATO 2027'!$K$5,"CONCLUÍDA",IF(F4693&lt;='RETRATO 2027'!$K$5,"EM ANDAMENTO","A INICIAR")))</f>
        <v/>
      </c>
    </row>
    <row r="4694" customFormat="false" ht="15" hidden="false" customHeight="false" outlineLevel="0" collapsed="false">
      <c r="M4694" s="2" t="str">
        <f aca="false">IF(C4694="","",IFERROR(INDEX($S$5:$S$304,MATCH(C4694,$R$5:$R$304,0))&amp;"","?"))</f>
        <v/>
      </c>
      <c r="N4694" s="2" t="str">
        <f aca="false"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 t="str">
        <f aca="false">IF(OR(F4694="",G4694=""),"",IF(G4694&lt;='RETRATO 2027'!$K$5,"CONCLUÍDA",IF(F4694&lt;='RETRATO 2027'!$K$5,"EM ANDAMENTO","A INICIAR")))</f>
        <v/>
      </c>
    </row>
    <row r="4695" customFormat="false" ht="15" hidden="false" customHeight="false" outlineLevel="0" collapsed="false">
      <c r="M4695" s="2" t="str">
        <f aca="false">IF(C4695="","",IFERROR(INDEX($S$5:$S$304,MATCH(C4695,$R$5:$R$304,0))&amp;"","?"))</f>
        <v/>
      </c>
      <c r="N4695" s="2" t="str">
        <f aca="false"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 t="str">
        <f aca="false">IF(OR(F4695="",G4695=""),"",IF(G4695&lt;='RETRATO 2027'!$K$5,"CONCLUÍDA",IF(F4695&lt;='RETRATO 2027'!$K$5,"EM ANDAMENTO","A INICIAR")))</f>
        <v/>
      </c>
    </row>
    <row r="4696" customFormat="false" ht="15" hidden="false" customHeight="false" outlineLevel="0" collapsed="false">
      <c r="M4696" s="2" t="str">
        <f aca="false">IF(C4696="","",IFERROR(INDEX($S$5:$S$304,MATCH(C4696,$R$5:$R$304,0))&amp;"","?"))</f>
        <v/>
      </c>
      <c r="N4696" s="2" t="str">
        <f aca="false"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 t="str">
        <f aca="false">IF(OR(F4696="",G4696=""),"",IF(G4696&lt;='RETRATO 2027'!$K$5,"CONCLUÍDA",IF(F4696&lt;='RETRATO 2027'!$K$5,"EM ANDAMENTO","A INICIAR")))</f>
        <v/>
      </c>
    </row>
    <row r="4697" customFormat="false" ht="15" hidden="false" customHeight="false" outlineLevel="0" collapsed="false">
      <c r="M4697" s="2" t="str">
        <f aca="false">IF(C4697="","",IFERROR(INDEX($S$5:$S$304,MATCH(C4697,$R$5:$R$304,0))&amp;"","?"))</f>
        <v/>
      </c>
      <c r="N4697" s="2" t="str">
        <f aca="false"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 t="str">
        <f aca="false">IF(OR(F4697="",G4697=""),"",IF(G4697&lt;='RETRATO 2027'!$K$5,"CONCLUÍDA",IF(F4697&lt;='RETRATO 2027'!$K$5,"EM ANDAMENTO","A INICIAR")))</f>
        <v/>
      </c>
    </row>
    <row r="4698" customFormat="false" ht="15" hidden="false" customHeight="false" outlineLevel="0" collapsed="false">
      <c r="M4698" s="2" t="str">
        <f aca="false">IF(C4698="","",IFERROR(INDEX($S$5:$S$304,MATCH(C4698,$R$5:$R$304,0))&amp;"","?"))</f>
        <v/>
      </c>
      <c r="N4698" s="2" t="str">
        <f aca="false"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 t="str">
        <f aca="false">IF(OR(F4698="",G4698=""),"",IF(G4698&lt;='RETRATO 2027'!$K$5,"CONCLUÍDA",IF(F4698&lt;='RETRATO 2027'!$K$5,"EM ANDAMENTO","A INICIAR")))</f>
        <v/>
      </c>
    </row>
    <row r="4699" customFormat="false" ht="15" hidden="false" customHeight="false" outlineLevel="0" collapsed="false">
      <c r="M4699" s="2" t="str">
        <f aca="false">IF(C4699="","",IFERROR(INDEX($S$5:$S$304,MATCH(C4699,$R$5:$R$304,0))&amp;"","?"))</f>
        <v/>
      </c>
      <c r="N4699" s="2" t="str">
        <f aca="false"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 t="str">
        <f aca="false">IF(OR(F4699="",G4699=""),"",IF(G4699&lt;='RETRATO 2027'!$K$5,"CONCLUÍDA",IF(F4699&lt;='RETRATO 2027'!$K$5,"EM ANDAMENTO","A INICIAR")))</f>
        <v/>
      </c>
    </row>
    <row r="4700" customFormat="false" ht="15" hidden="false" customHeight="false" outlineLevel="0" collapsed="false">
      <c r="M4700" s="2" t="str">
        <f aca="false">IF(C4700="","",IFERROR(INDEX($S$5:$S$304,MATCH(C4700,$R$5:$R$304,0))&amp;"","?"))</f>
        <v/>
      </c>
      <c r="N4700" s="2" t="str">
        <f aca="false"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 t="str">
        <f aca="false">IF(OR(F4700="",G4700=""),"",IF(G4700&lt;='RETRATO 2027'!$K$5,"CONCLUÍDA",IF(F4700&lt;='RETRATO 2027'!$K$5,"EM ANDAMENTO","A INICIAR")))</f>
        <v/>
      </c>
    </row>
    <row r="4701" customFormat="false" ht="15" hidden="false" customHeight="false" outlineLevel="0" collapsed="false">
      <c r="M4701" s="2" t="str">
        <f aca="false">IF(C4701="","",IFERROR(INDEX($S$5:$S$304,MATCH(C4701,$R$5:$R$304,0))&amp;"","?"))</f>
        <v/>
      </c>
      <c r="N4701" s="2" t="str">
        <f aca="false"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 t="str">
        <f aca="false">IF(OR(F4701="",G4701=""),"",IF(G4701&lt;='RETRATO 2027'!$K$5,"CONCLUÍDA",IF(F4701&lt;='RETRATO 2027'!$K$5,"EM ANDAMENTO","A INICIAR")))</f>
        <v/>
      </c>
    </row>
    <row r="4702" customFormat="false" ht="15" hidden="false" customHeight="false" outlineLevel="0" collapsed="false">
      <c r="M4702" s="2" t="str">
        <f aca="false">IF(C4702="","",IFERROR(INDEX($S$5:$S$304,MATCH(C4702,$R$5:$R$304,0))&amp;"","?"))</f>
        <v/>
      </c>
      <c r="N4702" s="2" t="str">
        <f aca="false"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 t="str">
        <f aca="false">IF(OR(F4702="",G4702=""),"",IF(G4702&lt;='RETRATO 2027'!$K$5,"CONCLUÍDA",IF(F4702&lt;='RETRATO 2027'!$K$5,"EM ANDAMENTO","A INICIAR")))</f>
        <v/>
      </c>
    </row>
    <row r="4703" customFormat="false" ht="15" hidden="false" customHeight="false" outlineLevel="0" collapsed="false">
      <c r="M4703" s="2" t="str">
        <f aca="false">IF(C4703="","",IFERROR(INDEX($S$5:$S$304,MATCH(C4703,$R$5:$R$304,0))&amp;"","?"))</f>
        <v/>
      </c>
      <c r="N4703" s="2" t="str">
        <f aca="false"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 t="str">
        <f aca="false">IF(OR(F4703="",G4703=""),"",IF(G4703&lt;='RETRATO 2027'!$K$5,"CONCLUÍDA",IF(F4703&lt;='RETRATO 2027'!$K$5,"EM ANDAMENTO","A INICIAR")))</f>
        <v/>
      </c>
    </row>
    <row r="4704" customFormat="false" ht="15" hidden="false" customHeight="false" outlineLevel="0" collapsed="false">
      <c r="M4704" s="2" t="str">
        <f aca="false">IF(C4704="","",IFERROR(INDEX($S$5:$S$304,MATCH(C4704,$R$5:$R$304,0))&amp;"","?"))</f>
        <v/>
      </c>
      <c r="N4704" s="2" t="str">
        <f aca="false"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 t="str">
        <f aca="false">IF(OR(F4704="",G4704=""),"",IF(G4704&lt;='RETRATO 2027'!$K$5,"CONCLUÍDA",IF(F4704&lt;='RETRATO 2027'!$K$5,"EM ANDAMENTO","A INICIAR")))</f>
        <v/>
      </c>
    </row>
    <row r="4705" customFormat="false" ht="15" hidden="false" customHeight="false" outlineLevel="0" collapsed="false">
      <c r="M4705" s="2" t="str">
        <f aca="false">IF(C4705="","",IFERROR(INDEX($S$5:$S$304,MATCH(C4705,$R$5:$R$304,0))&amp;"","?"))</f>
        <v/>
      </c>
      <c r="N4705" s="2" t="str">
        <f aca="false"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 t="str">
        <f aca="false">IF(OR(F4705="",G4705=""),"",IF(G4705&lt;='RETRATO 2027'!$K$5,"CONCLUÍDA",IF(F4705&lt;='RETRATO 2027'!$K$5,"EM ANDAMENTO","A INICIAR")))</f>
        <v/>
      </c>
    </row>
    <row r="4706" customFormat="false" ht="15" hidden="false" customHeight="false" outlineLevel="0" collapsed="false">
      <c r="M4706" s="2" t="str">
        <f aca="false">IF(C4706="","",IFERROR(INDEX($S$5:$S$304,MATCH(C4706,$R$5:$R$304,0))&amp;"","?"))</f>
        <v/>
      </c>
      <c r="N4706" s="2" t="str">
        <f aca="false"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 t="str">
        <f aca="false">IF(OR(F4706="",G4706=""),"",IF(G4706&lt;='RETRATO 2027'!$K$5,"CONCLUÍDA",IF(F4706&lt;='RETRATO 2027'!$K$5,"EM ANDAMENTO","A INICIAR")))</f>
        <v/>
      </c>
    </row>
    <row r="4707" customFormat="false" ht="15" hidden="false" customHeight="false" outlineLevel="0" collapsed="false">
      <c r="M4707" s="2" t="str">
        <f aca="false">IF(C4707="","",IFERROR(INDEX($S$5:$S$304,MATCH(C4707,$R$5:$R$304,0))&amp;"","?"))</f>
        <v/>
      </c>
      <c r="N4707" s="2" t="str">
        <f aca="false"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 t="str">
        <f aca="false">IF(OR(F4707="",G4707=""),"",IF(G4707&lt;='RETRATO 2027'!$K$5,"CONCLUÍDA",IF(F4707&lt;='RETRATO 2027'!$K$5,"EM ANDAMENTO","A INICIAR")))</f>
        <v/>
      </c>
    </row>
    <row r="4708" customFormat="false" ht="15" hidden="false" customHeight="false" outlineLevel="0" collapsed="false">
      <c r="M4708" s="2" t="str">
        <f aca="false">IF(C4708="","",IFERROR(INDEX($S$5:$S$304,MATCH(C4708,$R$5:$R$304,0))&amp;"","?"))</f>
        <v/>
      </c>
      <c r="N4708" s="2" t="str">
        <f aca="false"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 t="str">
        <f aca="false">IF(OR(F4708="",G4708=""),"",IF(G4708&lt;='RETRATO 2027'!$K$5,"CONCLUÍDA",IF(F4708&lt;='RETRATO 2027'!$K$5,"EM ANDAMENTO","A INICIAR")))</f>
        <v/>
      </c>
    </row>
    <row r="4709" customFormat="false" ht="15" hidden="false" customHeight="false" outlineLevel="0" collapsed="false">
      <c r="M4709" s="2" t="str">
        <f aca="false">IF(C4709="","",IFERROR(INDEX($S$5:$S$304,MATCH(C4709,$R$5:$R$304,0))&amp;"","?"))</f>
        <v/>
      </c>
      <c r="N4709" s="2" t="str">
        <f aca="false"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 t="str">
        <f aca="false">IF(OR(F4709="",G4709=""),"",IF(G4709&lt;='RETRATO 2027'!$K$5,"CONCLUÍDA",IF(F4709&lt;='RETRATO 2027'!$K$5,"EM ANDAMENTO","A INICIAR")))</f>
        <v/>
      </c>
    </row>
    <row r="4710" customFormat="false" ht="15" hidden="false" customHeight="false" outlineLevel="0" collapsed="false">
      <c r="M4710" s="2" t="str">
        <f aca="false">IF(C4710="","",IFERROR(INDEX($S$5:$S$304,MATCH(C4710,$R$5:$R$304,0))&amp;"","?"))</f>
        <v/>
      </c>
      <c r="N4710" s="2" t="str">
        <f aca="false"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 t="str">
        <f aca="false">IF(OR(F4710="",G4710=""),"",IF(G4710&lt;='RETRATO 2027'!$K$5,"CONCLUÍDA",IF(F4710&lt;='RETRATO 2027'!$K$5,"EM ANDAMENTO","A INICIAR")))</f>
        <v/>
      </c>
    </row>
    <row r="4711" customFormat="false" ht="15" hidden="false" customHeight="false" outlineLevel="0" collapsed="false">
      <c r="M4711" s="2" t="str">
        <f aca="false">IF(C4711="","",IFERROR(INDEX($S$5:$S$304,MATCH(C4711,$R$5:$R$304,0))&amp;"","?"))</f>
        <v/>
      </c>
      <c r="N4711" s="2" t="str">
        <f aca="false"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 t="str">
        <f aca="false">IF(OR(F4711="",G4711=""),"",IF(G4711&lt;='RETRATO 2027'!$K$5,"CONCLUÍDA",IF(F4711&lt;='RETRATO 2027'!$K$5,"EM ANDAMENTO","A INICIAR")))</f>
        <v/>
      </c>
    </row>
    <row r="4712" customFormat="false" ht="15" hidden="false" customHeight="false" outlineLevel="0" collapsed="false">
      <c r="M4712" s="2" t="str">
        <f aca="false">IF(C4712="","",IFERROR(INDEX($S$5:$S$304,MATCH(C4712,$R$5:$R$304,0))&amp;"","?"))</f>
        <v/>
      </c>
      <c r="N4712" s="2" t="str">
        <f aca="false"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 t="str">
        <f aca="false">IF(OR(F4712="",G4712=""),"",IF(G4712&lt;='RETRATO 2027'!$K$5,"CONCLUÍDA",IF(F4712&lt;='RETRATO 2027'!$K$5,"EM ANDAMENTO","A INICIAR")))</f>
        <v/>
      </c>
    </row>
    <row r="4713" customFormat="false" ht="15" hidden="false" customHeight="false" outlineLevel="0" collapsed="false">
      <c r="M4713" s="2" t="str">
        <f aca="false">IF(C4713="","",IFERROR(INDEX($S$5:$S$304,MATCH(C4713,$R$5:$R$304,0))&amp;"","?"))</f>
        <v/>
      </c>
      <c r="N4713" s="2" t="str">
        <f aca="false"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 t="str">
        <f aca="false">IF(OR(F4713="",G4713=""),"",IF(G4713&lt;='RETRATO 2027'!$K$5,"CONCLUÍDA",IF(F4713&lt;='RETRATO 2027'!$K$5,"EM ANDAMENTO","A INICIAR")))</f>
        <v/>
      </c>
    </row>
    <row r="4714" customFormat="false" ht="15" hidden="false" customHeight="false" outlineLevel="0" collapsed="false">
      <c r="M4714" s="2" t="str">
        <f aca="false">IF(C4714="","",IFERROR(INDEX($S$5:$S$304,MATCH(C4714,$R$5:$R$304,0))&amp;"","?"))</f>
        <v/>
      </c>
      <c r="N4714" s="2" t="str">
        <f aca="false"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 t="str">
        <f aca="false">IF(OR(F4714="",G4714=""),"",IF(G4714&lt;='RETRATO 2027'!$K$5,"CONCLUÍDA",IF(F4714&lt;='RETRATO 2027'!$K$5,"EM ANDAMENTO","A INICIAR")))</f>
        <v/>
      </c>
    </row>
    <row r="4715" customFormat="false" ht="15" hidden="false" customHeight="false" outlineLevel="0" collapsed="false">
      <c r="M4715" s="2" t="str">
        <f aca="false">IF(C4715="","",IFERROR(INDEX($S$5:$S$304,MATCH(C4715,$R$5:$R$304,0))&amp;"","?"))</f>
        <v/>
      </c>
      <c r="N4715" s="2" t="str">
        <f aca="false"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 t="str">
        <f aca="false">IF(OR(F4715="",G4715=""),"",IF(G4715&lt;='RETRATO 2027'!$K$5,"CONCLUÍDA",IF(F4715&lt;='RETRATO 2027'!$K$5,"EM ANDAMENTO","A INICIAR")))</f>
        <v/>
      </c>
    </row>
    <row r="4716" customFormat="false" ht="15" hidden="false" customHeight="false" outlineLevel="0" collapsed="false">
      <c r="M4716" s="2" t="str">
        <f aca="false">IF(C4716="","",IFERROR(INDEX($S$5:$S$304,MATCH(C4716,$R$5:$R$304,0))&amp;"","?"))</f>
        <v/>
      </c>
      <c r="N4716" s="2" t="str">
        <f aca="false"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 t="str">
        <f aca="false">IF(OR(F4716="",G4716=""),"",IF(G4716&lt;='RETRATO 2027'!$K$5,"CONCLUÍDA",IF(F4716&lt;='RETRATO 2027'!$K$5,"EM ANDAMENTO","A INICIAR")))</f>
        <v/>
      </c>
    </row>
    <row r="4717" customFormat="false" ht="15" hidden="false" customHeight="false" outlineLevel="0" collapsed="false">
      <c r="M4717" s="2" t="str">
        <f aca="false">IF(C4717="","",IFERROR(INDEX($S$5:$S$304,MATCH(C4717,$R$5:$R$304,0))&amp;"","?"))</f>
        <v/>
      </c>
      <c r="N4717" s="2" t="str">
        <f aca="false"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 t="str">
        <f aca="false">IF(OR(F4717="",G4717=""),"",IF(G4717&lt;='RETRATO 2027'!$K$5,"CONCLUÍDA",IF(F4717&lt;='RETRATO 2027'!$K$5,"EM ANDAMENTO","A INICIAR")))</f>
        <v/>
      </c>
    </row>
    <row r="4718" customFormat="false" ht="15" hidden="false" customHeight="false" outlineLevel="0" collapsed="false">
      <c r="M4718" s="2" t="str">
        <f aca="false">IF(C4718="","",IFERROR(INDEX($S$5:$S$304,MATCH(C4718,$R$5:$R$304,0))&amp;"","?"))</f>
        <v/>
      </c>
      <c r="N4718" s="2" t="str">
        <f aca="false"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 t="str">
        <f aca="false">IF(OR(F4718="",G4718=""),"",IF(G4718&lt;='RETRATO 2027'!$K$5,"CONCLUÍDA",IF(F4718&lt;='RETRATO 2027'!$K$5,"EM ANDAMENTO","A INICIAR")))</f>
        <v/>
      </c>
    </row>
    <row r="4719" customFormat="false" ht="15" hidden="false" customHeight="false" outlineLevel="0" collapsed="false">
      <c r="M4719" s="2" t="str">
        <f aca="false">IF(C4719="","",IFERROR(INDEX($S$5:$S$304,MATCH(C4719,$R$5:$R$304,0))&amp;"","?"))</f>
        <v/>
      </c>
      <c r="N4719" s="2" t="str">
        <f aca="false"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 t="str">
        <f aca="false">IF(OR(F4719="",G4719=""),"",IF(G4719&lt;='RETRATO 2027'!$K$5,"CONCLUÍDA",IF(F4719&lt;='RETRATO 2027'!$K$5,"EM ANDAMENTO","A INICIAR")))</f>
        <v/>
      </c>
    </row>
    <row r="4720" customFormat="false" ht="15" hidden="false" customHeight="false" outlineLevel="0" collapsed="false">
      <c r="M4720" s="2" t="str">
        <f aca="false">IF(C4720="","",IFERROR(INDEX($S$5:$S$304,MATCH(C4720,$R$5:$R$304,0))&amp;"","?"))</f>
        <v/>
      </c>
      <c r="N4720" s="2" t="str">
        <f aca="false"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 t="str">
        <f aca="false">IF(OR(F4720="",G4720=""),"",IF(G4720&lt;='RETRATO 2027'!$K$5,"CONCLUÍDA",IF(F4720&lt;='RETRATO 2027'!$K$5,"EM ANDAMENTO","A INICIAR")))</f>
        <v/>
      </c>
    </row>
    <row r="4721" customFormat="false" ht="15" hidden="false" customHeight="false" outlineLevel="0" collapsed="false">
      <c r="M4721" s="2" t="str">
        <f aca="false">IF(C4721="","",IFERROR(INDEX($S$5:$S$304,MATCH(C4721,$R$5:$R$304,0))&amp;"","?"))</f>
        <v/>
      </c>
      <c r="N4721" s="2" t="str">
        <f aca="false"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 t="str">
        <f aca="false">IF(OR(F4721="",G4721=""),"",IF(G4721&lt;='RETRATO 2027'!$K$5,"CONCLUÍDA",IF(F4721&lt;='RETRATO 2027'!$K$5,"EM ANDAMENTO","A INICIAR")))</f>
        <v/>
      </c>
    </row>
    <row r="4722" customFormat="false" ht="15" hidden="false" customHeight="false" outlineLevel="0" collapsed="false">
      <c r="M4722" s="2" t="str">
        <f aca="false">IF(C4722="","",IFERROR(INDEX($S$5:$S$304,MATCH(C4722,$R$5:$R$304,0))&amp;"","?"))</f>
        <v/>
      </c>
      <c r="N4722" s="2" t="str">
        <f aca="false"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 t="str">
        <f aca="false">IF(OR(F4722="",G4722=""),"",IF(G4722&lt;='RETRATO 2027'!$K$5,"CONCLUÍDA",IF(F4722&lt;='RETRATO 2027'!$K$5,"EM ANDAMENTO","A INICIAR")))</f>
        <v/>
      </c>
    </row>
    <row r="4723" customFormat="false" ht="15" hidden="false" customHeight="false" outlineLevel="0" collapsed="false">
      <c r="M4723" s="2" t="str">
        <f aca="false">IF(C4723="","",IFERROR(INDEX($S$5:$S$304,MATCH(C4723,$R$5:$R$304,0))&amp;"","?"))</f>
        <v/>
      </c>
      <c r="N4723" s="2" t="str">
        <f aca="false"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 t="str">
        <f aca="false">IF(OR(F4723="",G4723=""),"",IF(G4723&lt;='RETRATO 2027'!$K$5,"CONCLUÍDA",IF(F4723&lt;='RETRATO 2027'!$K$5,"EM ANDAMENTO","A INICIAR")))</f>
        <v/>
      </c>
    </row>
    <row r="4724" customFormat="false" ht="15" hidden="false" customHeight="false" outlineLevel="0" collapsed="false">
      <c r="M4724" s="2" t="str">
        <f aca="false">IF(C4724="","",IFERROR(INDEX($S$5:$S$304,MATCH(C4724,$R$5:$R$304,0))&amp;"","?"))</f>
        <v/>
      </c>
      <c r="N4724" s="2" t="str">
        <f aca="false"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 t="str">
        <f aca="false">IF(OR(F4724="",G4724=""),"",IF(G4724&lt;='RETRATO 2027'!$K$5,"CONCLUÍDA",IF(F4724&lt;='RETRATO 2027'!$K$5,"EM ANDAMENTO","A INICIAR")))</f>
        <v/>
      </c>
    </row>
    <row r="4725" customFormat="false" ht="15" hidden="false" customHeight="false" outlineLevel="0" collapsed="false">
      <c r="M4725" s="2" t="str">
        <f aca="false">IF(C4725="","",IFERROR(INDEX($S$5:$S$304,MATCH(C4725,$R$5:$R$304,0))&amp;"","?"))</f>
        <v/>
      </c>
      <c r="N4725" s="2" t="str">
        <f aca="false"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 t="str">
        <f aca="false">IF(OR(F4725="",G4725=""),"",IF(G4725&lt;='RETRATO 2027'!$K$5,"CONCLUÍDA",IF(F4725&lt;='RETRATO 2027'!$K$5,"EM ANDAMENTO","A INICIAR")))</f>
        <v/>
      </c>
    </row>
    <row r="4726" customFormat="false" ht="15" hidden="false" customHeight="false" outlineLevel="0" collapsed="false">
      <c r="M4726" s="2" t="str">
        <f aca="false">IF(C4726="","",IFERROR(INDEX($S$5:$S$304,MATCH(C4726,$R$5:$R$304,0))&amp;"","?"))</f>
        <v/>
      </c>
      <c r="N4726" s="2" t="str">
        <f aca="false"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 t="str">
        <f aca="false">IF(OR(F4726="",G4726=""),"",IF(G4726&lt;='RETRATO 2027'!$K$5,"CONCLUÍDA",IF(F4726&lt;='RETRATO 2027'!$K$5,"EM ANDAMENTO","A INICIAR")))</f>
        <v/>
      </c>
    </row>
    <row r="4727" customFormat="false" ht="15" hidden="false" customHeight="false" outlineLevel="0" collapsed="false">
      <c r="M4727" s="2" t="str">
        <f aca="false">IF(C4727="","",IFERROR(INDEX($S$5:$S$304,MATCH(C4727,$R$5:$R$304,0))&amp;"","?"))</f>
        <v/>
      </c>
      <c r="N4727" s="2" t="str">
        <f aca="false"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 t="str">
        <f aca="false">IF(OR(F4727="",G4727=""),"",IF(G4727&lt;='RETRATO 2027'!$K$5,"CONCLUÍDA",IF(F4727&lt;='RETRATO 2027'!$K$5,"EM ANDAMENTO","A INICIAR")))</f>
        <v/>
      </c>
    </row>
    <row r="4728" customFormat="false" ht="15" hidden="false" customHeight="false" outlineLevel="0" collapsed="false">
      <c r="M4728" s="2" t="str">
        <f aca="false">IF(C4728="","",IFERROR(INDEX($S$5:$S$304,MATCH(C4728,$R$5:$R$304,0))&amp;"","?"))</f>
        <v/>
      </c>
      <c r="N4728" s="2" t="str">
        <f aca="false"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 t="str">
        <f aca="false">IF(OR(F4728="",G4728=""),"",IF(G4728&lt;='RETRATO 2027'!$K$5,"CONCLUÍDA",IF(F4728&lt;='RETRATO 2027'!$K$5,"EM ANDAMENTO","A INICIAR")))</f>
        <v/>
      </c>
    </row>
    <row r="4729" customFormat="false" ht="15" hidden="false" customHeight="false" outlineLevel="0" collapsed="false">
      <c r="M4729" s="2" t="str">
        <f aca="false">IF(C4729="","",IFERROR(INDEX($S$5:$S$304,MATCH(C4729,$R$5:$R$304,0))&amp;"","?"))</f>
        <v/>
      </c>
      <c r="N4729" s="2" t="str">
        <f aca="false"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 t="str">
        <f aca="false">IF(OR(F4729="",G4729=""),"",IF(G4729&lt;='RETRATO 2027'!$K$5,"CONCLUÍDA",IF(F4729&lt;='RETRATO 2027'!$K$5,"EM ANDAMENTO","A INICIAR")))</f>
        <v/>
      </c>
    </row>
    <row r="4730" customFormat="false" ht="15" hidden="false" customHeight="false" outlineLevel="0" collapsed="false">
      <c r="M4730" s="2" t="str">
        <f aca="false">IF(C4730="","",IFERROR(INDEX($S$5:$S$304,MATCH(C4730,$R$5:$R$304,0))&amp;"","?"))</f>
        <v/>
      </c>
      <c r="N4730" s="2" t="str">
        <f aca="false"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 t="str">
        <f aca="false">IF(OR(F4730="",G4730=""),"",IF(G4730&lt;='RETRATO 2027'!$K$5,"CONCLUÍDA",IF(F4730&lt;='RETRATO 2027'!$K$5,"EM ANDAMENTO","A INICIAR")))</f>
        <v/>
      </c>
    </row>
    <row r="4731" customFormat="false" ht="15" hidden="false" customHeight="false" outlineLevel="0" collapsed="false">
      <c r="M4731" s="2" t="str">
        <f aca="false">IF(C4731="","",IFERROR(INDEX($S$5:$S$304,MATCH(C4731,$R$5:$R$304,0))&amp;"","?"))</f>
        <v/>
      </c>
      <c r="N4731" s="2" t="str">
        <f aca="false"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 t="str">
        <f aca="false">IF(OR(F4731="",G4731=""),"",IF(G4731&lt;='RETRATO 2027'!$K$5,"CONCLUÍDA",IF(F4731&lt;='RETRATO 2027'!$K$5,"EM ANDAMENTO","A INICIAR")))</f>
        <v/>
      </c>
    </row>
    <row r="4732" customFormat="false" ht="15" hidden="false" customHeight="false" outlineLevel="0" collapsed="false">
      <c r="M4732" s="2" t="str">
        <f aca="false">IF(C4732="","",IFERROR(INDEX($S$5:$S$304,MATCH(C4732,$R$5:$R$304,0))&amp;"","?"))</f>
        <v/>
      </c>
      <c r="N4732" s="2" t="str">
        <f aca="false"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 t="str">
        <f aca="false">IF(OR(F4732="",G4732=""),"",IF(G4732&lt;='RETRATO 2027'!$K$5,"CONCLUÍDA",IF(F4732&lt;='RETRATO 2027'!$K$5,"EM ANDAMENTO","A INICIAR")))</f>
        <v/>
      </c>
    </row>
    <row r="4733" customFormat="false" ht="15" hidden="false" customHeight="false" outlineLevel="0" collapsed="false">
      <c r="M4733" s="2" t="str">
        <f aca="false">IF(C4733="","",IFERROR(INDEX($S$5:$S$304,MATCH(C4733,$R$5:$R$304,0))&amp;"","?"))</f>
        <v/>
      </c>
      <c r="N4733" s="2" t="str">
        <f aca="false"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 t="str">
        <f aca="false">IF(OR(F4733="",G4733=""),"",IF(G4733&lt;='RETRATO 2027'!$K$5,"CONCLUÍDA",IF(F4733&lt;='RETRATO 2027'!$K$5,"EM ANDAMENTO","A INICIAR")))</f>
        <v/>
      </c>
    </row>
    <row r="4734" customFormat="false" ht="15" hidden="false" customHeight="false" outlineLevel="0" collapsed="false">
      <c r="M4734" s="2" t="str">
        <f aca="false">IF(C4734="","",IFERROR(INDEX($S$5:$S$304,MATCH(C4734,$R$5:$R$304,0))&amp;"","?"))</f>
        <v/>
      </c>
      <c r="N4734" s="2" t="str">
        <f aca="false"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 t="str">
        <f aca="false">IF(OR(F4734="",G4734=""),"",IF(G4734&lt;='RETRATO 2027'!$K$5,"CONCLUÍDA",IF(F4734&lt;='RETRATO 2027'!$K$5,"EM ANDAMENTO","A INICIAR")))</f>
        <v/>
      </c>
    </row>
    <row r="4735" customFormat="false" ht="15" hidden="false" customHeight="false" outlineLevel="0" collapsed="false">
      <c r="M4735" s="2" t="str">
        <f aca="false">IF(C4735="","",IFERROR(INDEX($S$5:$S$304,MATCH(C4735,$R$5:$R$304,0))&amp;"","?"))</f>
        <v/>
      </c>
      <c r="N4735" s="2" t="str">
        <f aca="false"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 t="str">
        <f aca="false">IF(OR(F4735="",G4735=""),"",IF(G4735&lt;='RETRATO 2027'!$K$5,"CONCLUÍDA",IF(F4735&lt;='RETRATO 2027'!$K$5,"EM ANDAMENTO","A INICIAR")))</f>
        <v/>
      </c>
    </row>
    <row r="4736" customFormat="false" ht="15" hidden="false" customHeight="false" outlineLevel="0" collapsed="false">
      <c r="M4736" s="2" t="str">
        <f aca="false">IF(C4736="","",IFERROR(INDEX($S$5:$S$304,MATCH(C4736,$R$5:$R$304,0))&amp;"","?"))</f>
        <v/>
      </c>
      <c r="N4736" s="2" t="str">
        <f aca="false"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 t="str">
        <f aca="false">IF(OR(F4736="",G4736=""),"",IF(G4736&lt;='RETRATO 2027'!$K$5,"CONCLUÍDA",IF(F4736&lt;='RETRATO 2027'!$K$5,"EM ANDAMENTO","A INICIAR")))</f>
        <v/>
      </c>
    </row>
    <row r="4737" customFormat="false" ht="15" hidden="false" customHeight="false" outlineLevel="0" collapsed="false">
      <c r="M4737" s="2" t="str">
        <f aca="false">IF(C4737="","",IFERROR(INDEX($S$5:$S$304,MATCH(C4737,$R$5:$R$304,0))&amp;"","?"))</f>
        <v/>
      </c>
      <c r="N4737" s="2" t="str">
        <f aca="false"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 t="str">
        <f aca="false">IF(OR(F4737="",G4737=""),"",IF(G4737&lt;='RETRATO 2027'!$K$5,"CONCLUÍDA",IF(F4737&lt;='RETRATO 2027'!$K$5,"EM ANDAMENTO","A INICIAR")))</f>
        <v/>
      </c>
    </row>
    <row r="4738" customFormat="false" ht="15" hidden="false" customHeight="false" outlineLevel="0" collapsed="false">
      <c r="M4738" s="2" t="str">
        <f aca="false">IF(C4738="","",IFERROR(INDEX($S$5:$S$304,MATCH(C4738,$R$5:$R$304,0))&amp;"","?"))</f>
        <v/>
      </c>
      <c r="N4738" s="2" t="str">
        <f aca="false"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 t="str">
        <f aca="false">IF(OR(F4738="",G4738=""),"",IF(G4738&lt;='RETRATO 2027'!$K$5,"CONCLUÍDA",IF(F4738&lt;='RETRATO 2027'!$K$5,"EM ANDAMENTO","A INICIAR")))</f>
        <v/>
      </c>
    </row>
    <row r="4739" customFormat="false" ht="15" hidden="false" customHeight="false" outlineLevel="0" collapsed="false">
      <c r="M4739" s="2" t="str">
        <f aca="false">IF(C4739="","",IFERROR(INDEX($S$5:$S$304,MATCH(C4739,$R$5:$R$304,0))&amp;"","?"))</f>
        <v/>
      </c>
      <c r="N4739" s="2" t="str">
        <f aca="false"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 t="str">
        <f aca="false">IF(OR(F4739="",G4739=""),"",IF(G4739&lt;='RETRATO 2027'!$K$5,"CONCLUÍDA",IF(F4739&lt;='RETRATO 2027'!$K$5,"EM ANDAMENTO","A INICIAR")))</f>
        <v/>
      </c>
    </row>
    <row r="4740" customFormat="false" ht="15" hidden="false" customHeight="false" outlineLevel="0" collapsed="false">
      <c r="M4740" s="2" t="str">
        <f aca="false">IF(C4740="","",IFERROR(INDEX($S$5:$S$304,MATCH(C4740,$R$5:$R$304,0))&amp;"","?"))</f>
        <v/>
      </c>
      <c r="N4740" s="2" t="str">
        <f aca="false"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 t="str">
        <f aca="false">IF(OR(F4740="",G4740=""),"",IF(G4740&lt;='RETRATO 2027'!$K$5,"CONCLUÍDA",IF(F4740&lt;='RETRATO 2027'!$K$5,"EM ANDAMENTO","A INICIAR")))</f>
        <v/>
      </c>
    </row>
    <row r="4741" customFormat="false" ht="15" hidden="false" customHeight="false" outlineLevel="0" collapsed="false">
      <c r="M4741" s="2" t="str">
        <f aca="false">IF(C4741="","",IFERROR(INDEX($S$5:$S$304,MATCH(C4741,$R$5:$R$304,0))&amp;"","?"))</f>
        <v/>
      </c>
      <c r="N4741" s="2" t="str">
        <f aca="false"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 t="str">
        <f aca="false">IF(OR(F4741="",G4741=""),"",IF(G4741&lt;='RETRATO 2027'!$K$5,"CONCLUÍDA",IF(F4741&lt;='RETRATO 2027'!$K$5,"EM ANDAMENTO","A INICIAR")))</f>
        <v/>
      </c>
    </row>
    <row r="4742" customFormat="false" ht="15" hidden="false" customHeight="false" outlineLevel="0" collapsed="false">
      <c r="M4742" s="2" t="str">
        <f aca="false">IF(C4742="","",IFERROR(INDEX($S$5:$S$304,MATCH(C4742,$R$5:$R$304,0))&amp;"","?"))</f>
        <v/>
      </c>
      <c r="N4742" s="2" t="str">
        <f aca="false"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 t="str">
        <f aca="false">IF(OR(F4742="",G4742=""),"",IF(G4742&lt;='RETRATO 2027'!$K$5,"CONCLUÍDA",IF(F4742&lt;='RETRATO 2027'!$K$5,"EM ANDAMENTO","A INICIAR")))</f>
        <v/>
      </c>
    </row>
    <row r="4743" customFormat="false" ht="15" hidden="false" customHeight="false" outlineLevel="0" collapsed="false">
      <c r="M4743" s="2" t="str">
        <f aca="false">IF(C4743="","",IFERROR(INDEX($S$5:$S$304,MATCH(C4743,$R$5:$R$304,0))&amp;"","?"))</f>
        <v/>
      </c>
      <c r="N4743" s="2" t="str">
        <f aca="false"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 t="str">
        <f aca="false">IF(OR(F4743="",G4743=""),"",IF(G4743&lt;='RETRATO 2027'!$K$5,"CONCLUÍDA",IF(F4743&lt;='RETRATO 2027'!$K$5,"EM ANDAMENTO","A INICIAR")))</f>
        <v/>
      </c>
    </row>
    <row r="4744" customFormat="false" ht="15" hidden="false" customHeight="false" outlineLevel="0" collapsed="false">
      <c r="M4744" s="2" t="str">
        <f aca="false">IF(C4744="","",IFERROR(INDEX($S$5:$S$304,MATCH(C4744,$R$5:$R$304,0))&amp;"","?"))</f>
        <v/>
      </c>
      <c r="N4744" s="2" t="str">
        <f aca="false"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 t="str">
        <f aca="false">IF(OR(F4744="",G4744=""),"",IF(G4744&lt;='RETRATO 2027'!$K$5,"CONCLUÍDA",IF(F4744&lt;='RETRATO 2027'!$K$5,"EM ANDAMENTO","A INICIAR")))</f>
        <v/>
      </c>
    </row>
    <row r="4745" customFormat="false" ht="15" hidden="false" customHeight="false" outlineLevel="0" collapsed="false">
      <c r="M4745" s="2" t="str">
        <f aca="false">IF(C4745="","",IFERROR(INDEX($S$5:$S$304,MATCH(C4745,$R$5:$R$304,0))&amp;"","?"))</f>
        <v/>
      </c>
      <c r="N4745" s="2" t="str">
        <f aca="false"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 t="str">
        <f aca="false">IF(OR(F4745="",G4745=""),"",IF(G4745&lt;='RETRATO 2027'!$K$5,"CONCLUÍDA",IF(F4745&lt;='RETRATO 2027'!$K$5,"EM ANDAMENTO","A INICIAR")))</f>
        <v/>
      </c>
    </row>
    <row r="4746" customFormat="false" ht="15" hidden="false" customHeight="false" outlineLevel="0" collapsed="false">
      <c r="M4746" s="2" t="str">
        <f aca="false">IF(C4746="","",IFERROR(INDEX($S$5:$S$304,MATCH(C4746,$R$5:$R$304,0))&amp;"","?"))</f>
        <v/>
      </c>
      <c r="N4746" s="2" t="str">
        <f aca="false"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 t="str">
        <f aca="false">IF(OR(F4746="",G4746=""),"",IF(G4746&lt;='RETRATO 2027'!$K$5,"CONCLUÍDA",IF(F4746&lt;='RETRATO 2027'!$K$5,"EM ANDAMENTO","A INICIAR")))</f>
        <v/>
      </c>
    </row>
    <row r="4747" customFormat="false" ht="15" hidden="false" customHeight="false" outlineLevel="0" collapsed="false">
      <c r="M4747" s="2" t="str">
        <f aca="false">IF(C4747="","",IFERROR(INDEX($S$5:$S$304,MATCH(C4747,$R$5:$R$304,0))&amp;"","?"))</f>
        <v/>
      </c>
      <c r="N4747" s="2" t="str">
        <f aca="false"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 t="str">
        <f aca="false">IF(OR(F4747="",G4747=""),"",IF(G4747&lt;='RETRATO 2027'!$K$5,"CONCLUÍDA",IF(F4747&lt;='RETRATO 2027'!$K$5,"EM ANDAMENTO","A INICIAR")))</f>
        <v/>
      </c>
    </row>
    <row r="4748" customFormat="false" ht="15" hidden="false" customHeight="false" outlineLevel="0" collapsed="false">
      <c r="M4748" s="2" t="str">
        <f aca="false">IF(C4748="","",IFERROR(INDEX($S$5:$S$304,MATCH(C4748,$R$5:$R$304,0))&amp;"","?"))</f>
        <v/>
      </c>
      <c r="N4748" s="2" t="str">
        <f aca="false"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 t="str">
        <f aca="false">IF(OR(F4748="",G4748=""),"",IF(G4748&lt;='RETRATO 2027'!$K$5,"CONCLUÍDA",IF(F4748&lt;='RETRATO 2027'!$K$5,"EM ANDAMENTO","A INICIAR")))</f>
        <v/>
      </c>
    </row>
    <row r="4749" customFormat="false" ht="15" hidden="false" customHeight="false" outlineLevel="0" collapsed="false">
      <c r="M4749" s="2" t="str">
        <f aca="false">IF(C4749="","",IFERROR(INDEX($S$5:$S$304,MATCH(C4749,$R$5:$R$304,0))&amp;"","?"))</f>
        <v/>
      </c>
      <c r="N4749" s="2" t="str">
        <f aca="false"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 t="str">
        <f aca="false">IF(OR(F4749="",G4749=""),"",IF(G4749&lt;='RETRATO 2027'!$K$5,"CONCLUÍDA",IF(F4749&lt;='RETRATO 2027'!$K$5,"EM ANDAMENTO","A INICIAR")))</f>
        <v/>
      </c>
    </row>
    <row r="4750" customFormat="false" ht="15" hidden="false" customHeight="false" outlineLevel="0" collapsed="false">
      <c r="M4750" s="2" t="str">
        <f aca="false">IF(C4750="","",IFERROR(INDEX($S$5:$S$304,MATCH(C4750,$R$5:$R$304,0))&amp;"","?"))</f>
        <v/>
      </c>
      <c r="N4750" s="2" t="str">
        <f aca="false"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 t="str">
        <f aca="false">IF(OR(F4750="",G4750=""),"",IF(G4750&lt;='RETRATO 2027'!$K$5,"CONCLUÍDA",IF(F4750&lt;='RETRATO 2027'!$K$5,"EM ANDAMENTO","A INICIAR")))</f>
        <v/>
      </c>
    </row>
    <row r="4751" customFormat="false" ht="15" hidden="false" customHeight="false" outlineLevel="0" collapsed="false">
      <c r="M4751" s="2" t="str">
        <f aca="false">IF(C4751="","",IFERROR(INDEX($S$5:$S$304,MATCH(C4751,$R$5:$R$304,0))&amp;"","?"))</f>
        <v/>
      </c>
      <c r="N4751" s="2" t="str">
        <f aca="false"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 t="str">
        <f aca="false">IF(OR(F4751="",G4751=""),"",IF(G4751&lt;='RETRATO 2027'!$K$5,"CONCLUÍDA",IF(F4751&lt;='RETRATO 2027'!$K$5,"EM ANDAMENTO","A INICIAR")))</f>
        <v/>
      </c>
    </row>
    <row r="4752" customFormat="false" ht="15" hidden="false" customHeight="false" outlineLevel="0" collapsed="false">
      <c r="M4752" s="2" t="str">
        <f aca="false">IF(C4752="","",IFERROR(INDEX($S$5:$S$304,MATCH(C4752,$R$5:$R$304,0))&amp;"","?"))</f>
        <v/>
      </c>
      <c r="N4752" s="2" t="str">
        <f aca="false"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 t="str">
        <f aca="false">IF(OR(F4752="",G4752=""),"",IF(G4752&lt;='RETRATO 2027'!$K$5,"CONCLUÍDA",IF(F4752&lt;='RETRATO 2027'!$K$5,"EM ANDAMENTO","A INICIAR")))</f>
        <v/>
      </c>
    </row>
    <row r="4753" customFormat="false" ht="15" hidden="false" customHeight="false" outlineLevel="0" collapsed="false">
      <c r="M4753" s="2" t="str">
        <f aca="false">IF(C4753="","",IFERROR(INDEX($S$5:$S$304,MATCH(C4753,$R$5:$R$304,0))&amp;"","?"))</f>
        <v/>
      </c>
      <c r="N4753" s="2" t="str">
        <f aca="false"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 t="str">
        <f aca="false">IF(OR(F4753="",G4753=""),"",IF(G4753&lt;='RETRATO 2027'!$K$5,"CONCLUÍDA",IF(F4753&lt;='RETRATO 2027'!$K$5,"EM ANDAMENTO","A INICIAR")))</f>
        <v/>
      </c>
    </row>
    <row r="4754" customFormat="false" ht="15" hidden="false" customHeight="false" outlineLevel="0" collapsed="false">
      <c r="M4754" s="2" t="str">
        <f aca="false">IF(C4754="","",IFERROR(INDEX($S$5:$S$304,MATCH(C4754,$R$5:$R$304,0))&amp;"","?"))</f>
        <v/>
      </c>
      <c r="N4754" s="2" t="str">
        <f aca="false"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 t="str">
        <f aca="false">IF(OR(F4754="",G4754=""),"",IF(G4754&lt;='RETRATO 2027'!$K$5,"CONCLUÍDA",IF(F4754&lt;='RETRATO 2027'!$K$5,"EM ANDAMENTO","A INICIAR")))</f>
        <v/>
      </c>
    </row>
    <row r="4755" customFormat="false" ht="15" hidden="false" customHeight="false" outlineLevel="0" collapsed="false">
      <c r="M4755" s="2" t="str">
        <f aca="false">IF(C4755="","",IFERROR(INDEX($S$5:$S$304,MATCH(C4755,$R$5:$R$304,0))&amp;"","?"))</f>
        <v/>
      </c>
      <c r="N4755" s="2" t="str">
        <f aca="false"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 t="str">
        <f aca="false">IF(OR(F4755="",G4755=""),"",IF(G4755&lt;='RETRATO 2027'!$K$5,"CONCLUÍDA",IF(F4755&lt;='RETRATO 2027'!$K$5,"EM ANDAMENTO","A INICIAR")))</f>
        <v/>
      </c>
    </row>
    <row r="4756" customFormat="false" ht="15" hidden="false" customHeight="false" outlineLevel="0" collapsed="false">
      <c r="M4756" s="2" t="str">
        <f aca="false">IF(C4756="","",IFERROR(INDEX($S$5:$S$304,MATCH(C4756,$R$5:$R$304,0))&amp;"","?"))</f>
        <v/>
      </c>
      <c r="N4756" s="2" t="str">
        <f aca="false"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 t="str">
        <f aca="false">IF(OR(F4756="",G4756=""),"",IF(G4756&lt;='RETRATO 2027'!$K$5,"CONCLUÍDA",IF(F4756&lt;='RETRATO 2027'!$K$5,"EM ANDAMENTO","A INICIAR")))</f>
        <v/>
      </c>
    </row>
    <row r="4757" customFormat="false" ht="15" hidden="false" customHeight="false" outlineLevel="0" collapsed="false">
      <c r="M4757" s="2" t="str">
        <f aca="false">IF(C4757="","",IFERROR(INDEX($S$5:$S$304,MATCH(C4757,$R$5:$R$304,0))&amp;"","?"))</f>
        <v/>
      </c>
      <c r="N4757" s="2" t="str">
        <f aca="false"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 t="str">
        <f aca="false">IF(OR(F4757="",G4757=""),"",IF(G4757&lt;='RETRATO 2027'!$K$5,"CONCLUÍDA",IF(F4757&lt;='RETRATO 2027'!$K$5,"EM ANDAMENTO","A INICIAR")))</f>
        <v/>
      </c>
    </row>
    <row r="4758" customFormat="false" ht="15" hidden="false" customHeight="false" outlineLevel="0" collapsed="false">
      <c r="M4758" s="2" t="str">
        <f aca="false">IF(C4758="","",IFERROR(INDEX($S$5:$S$304,MATCH(C4758,$R$5:$R$304,0))&amp;"","?"))</f>
        <v/>
      </c>
      <c r="N4758" s="2" t="str">
        <f aca="false"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 t="str">
        <f aca="false">IF(OR(F4758="",G4758=""),"",IF(G4758&lt;='RETRATO 2027'!$K$5,"CONCLUÍDA",IF(F4758&lt;='RETRATO 2027'!$K$5,"EM ANDAMENTO","A INICIAR")))</f>
        <v/>
      </c>
    </row>
    <row r="4759" customFormat="false" ht="15" hidden="false" customHeight="false" outlineLevel="0" collapsed="false">
      <c r="M4759" s="2" t="str">
        <f aca="false">IF(C4759="","",IFERROR(INDEX($S$5:$S$304,MATCH(C4759,$R$5:$R$304,0))&amp;"","?"))</f>
        <v/>
      </c>
      <c r="N4759" s="2" t="str">
        <f aca="false"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 t="str">
        <f aca="false">IF(OR(F4759="",G4759=""),"",IF(G4759&lt;='RETRATO 2027'!$K$5,"CONCLUÍDA",IF(F4759&lt;='RETRATO 2027'!$K$5,"EM ANDAMENTO","A INICIAR")))</f>
        <v/>
      </c>
    </row>
    <row r="4760" customFormat="false" ht="15" hidden="false" customHeight="false" outlineLevel="0" collapsed="false">
      <c r="M4760" s="2" t="str">
        <f aca="false">IF(C4760="","",IFERROR(INDEX($S$5:$S$304,MATCH(C4760,$R$5:$R$304,0))&amp;"","?"))</f>
        <v/>
      </c>
      <c r="N4760" s="2" t="str">
        <f aca="false"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 t="str">
        <f aca="false">IF(OR(F4760="",G4760=""),"",IF(G4760&lt;='RETRATO 2027'!$K$5,"CONCLUÍDA",IF(F4760&lt;='RETRATO 2027'!$K$5,"EM ANDAMENTO","A INICIAR")))</f>
        <v/>
      </c>
    </row>
    <row r="4761" customFormat="false" ht="15" hidden="false" customHeight="false" outlineLevel="0" collapsed="false">
      <c r="M4761" s="2" t="str">
        <f aca="false">IF(C4761="","",IFERROR(INDEX($S$5:$S$304,MATCH(C4761,$R$5:$R$304,0))&amp;"","?"))</f>
        <v/>
      </c>
      <c r="N4761" s="2" t="str">
        <f aca="false"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 t="str">
        <f aca="false">IF(OR(F4761="",G4761=""),"",IF(G4761&lt;='RETRATO 2027'!$K$5,"CONCLUÍDA",IF(F4761&lt;='RETRATO 2027'!$K$5,"EM ANDAMENTO","A INICIAR")))</f>
        <v/>
      </c>
    </row>
    <row r="4762" customFormat="false" ht="15" hidden="false" customHeight="false" outlineLevel="0" collapsed="false">
      <c r="M4762" s="2" t="str">
        <f aca="false">IF(C4762="","",IFERROR(INDEX($S$5:$S$304,MATCH(C4762,$R$5:$R$304,0))&amp;"","?"))</f>
        <v/>
      </c>
      <c r="N4762" s="2" t="str">
        <f aca="false"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 t="str">
        <f aca="false">IF(OR(F4762="",G4762=""),"",IF(G4762&lt;='RETRATO 2027'!$K$5,"CONCLUÍDA",IF(F4762&lt;='RETRATO 2027'!$K$5,"EM ANDAMENTO","A INICIAR")))</f>
        <v/>
      </c>
    </row>
    <row r="4763" customFormat="false" ht="15" hidden="false" customHeight="false" outlineLevel="0" collapsed="false">
      <c r="M4763" s="2" t="str">
        <f aca="false">IF(C4763="","",IFERROR(INDEX($S$5:$S$304,MATCH(C4763,$R$5:$R$304,0))&amp;"","?"))</f>
        <v/>
      </c>
      <c r="N4763" s="2" t="str">
        <f aca="false"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 t="str">
        <f aca="false">IF(OR(F4763="",G4763=""),"",IF(G4763&lt;='RETRATO 2027'!$K$5,"CONCLUÍDA",IF(F4763&lt;='RETRATO 2027'!$K$5,"EM ANDAMENTO","A INICIAR")))</f>
        <v/>
      </c>
    </row>
    <row r="4764" customFormat="false" ht="15" hidden="false" customHeight="false" outlineLevel="0" collapsed="false">
      <c r="M4764" s="2" t="str">
        <f aca="false">IF(C4764="","",IFERROR(INDEX($S$5:$S$304,MATCH(C4764,$R$5:$R$304,0))&amp;"","?"))</f>
        <v/>
      </c>
      <c r="N4764" s="2" t="str">
        <f aca="false"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 t="str">
        <f aca="false">IF(OR(F4764="",G4764=""),"",IF(G4764&lt;='RETRATO 2027'!$K$5,"CONCLUÍDA",IF(F4764&lt;='RETRATO 2027'!$K$5,"EM ANDAMENTO","A INICIAR")))</f>
        <v/>
      </c>
    </row>
    <row r="4765" customFormat="false" ht="15" hidden="false" customHeight="false" outlineLevel="0" collapsed="false">
      <c r="M4765" s="2" t="str">
        <f aca="false">IF(C4765="","",IFERROR(INDEX($S$5:$S$304,MATCH(C4765,$R$5:$R$304,0))&amp;"","?"))</f>
        <v/>
      </c>
      <c r="N4765" s="2" t="str">
        <f aca="false"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 t="str">
        <f aca="false">IF(OR(F4765="",G4765=""),"",IF(G4765&lt;='RETRATO 2027'!$K$5,"CONCLUÍDA",IF(F4765&lt;='RETRATO 2027'!$K$5,"EM ANDAMENTO","A INICIAR")))</f>
        <v/>
      </c>
    </row>
    <row r="4766" customFormat="false" ht="15" hidden="false" customHeight="false" outlineLevel="0" collapsed="false">
      <c r="M4766" s="2" t="str">
        <f aca="false">IF(C4766="","",IFERROR(INDEX($S$5:$S$304,MATCH(C4766,$R$5:$R$304,0))&amp;"","?"))</f>
        <v/>
      </c>
      <c r="N4766" s="2" t="str">
        <f aca="false"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 t="str">
        <f aca="false">IF(OR(F4766="",G4766=""),"",IF(G4766&lt;='RETRATO 2027'!$K$5,"CONCLUÍDA",IF(F4766&lt;='RETRATO 2027'!$K$5,"EM ANDAMENTO","A INICIAR")))</f>
        <v/>
      </c>
    </row>
    <row r="4767" customFormat="false" ht="15" hidden="false" customHeight="false" outlineLevel="0" collapsed="false">
      <c r="M4767" s="2" t="str">
        <f aca="false">IF(C4767="","",IFERROR(INDEX($S$5:$S$304,MATCH(C4767,$R$5:$R$304,0))&amp;"","?"))</f>
        <v/>
      </c>
      <c r="N4767" s="2" t="str">
        <f aca="false"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 t="str">
        <f aca="false">IF(OR(F4767="",G4767=""),"",IF(G4767&lt;='RETRATO 2027'!$K$5,"CONCLUÍDA",IF(F4767&lt;='RETRATO 2027'!$K$5,"EM ANDAMENTO","A INICIAR")))</f>
        <v/>
      </c>
    </row>
    <row r="4768" customFormat="false" ht="15" hidden="false" customHeight="false" outlineLevel="0" collapsed="false">
      <c r="M4768" s="2" t="str">
        <f aca="false">IF(C4768="","",IFERROR(INDEX($S$5:$S$304,MATCH(C4768,$R$5:$R$304,0))&amp;"","?"))</f>
        <v/>
      </c>
      <c r="N4768" s="2" t="str">
        <f aca="false"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 t="str">
        <f aca="false">IF(OR(F4768="",G4768=""),"",IF(G4768&lt;='RETRATO 2027'!$K$5,"CONCLUÍDA",IF(F4768&lt;='RETRATO 2027'!$K$5,"EM ANDAMENTO","A INICIAR")))</f>
        <v/>
      </c>
    </row>
    <row r="4769" customFormat="false" ht="15" hidden="false" customHeight="false" outlineLevel="0" collapsed="false">
      <c r="M4769" s="2" t="str">
        <f aca="false">IF(C4769="","",IFERROR(INDEX($S$5:$S$304,MATCH(C4769,$R$5:$R$304,0))&amp;"","?"))</f>
        <v/>
      </c>
      <c r="N4769" s="2" t="str">
        <f aca="false"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 t="str">
        <f aca="false">IF(OR(F4769="",G4769=""),"",IF(G4769&lt;='RETRATO 2027'!$K$5,"CONCLUÍDA",IF(F4769&lt;='RETRATO 2027'!$K$5,"EM ANDAMENTO","A INICIAR")))</f>
        <v/>
      </c>
    </row>
    <row r="4770" customFormat="false" ht="15" hidden="false" customHeight="false" outlineLevel="0" collapsed="false">
      <c r="M4770" s="2" t="str">
        <f aca="false">IF(C4770="","",IFERROR(INDEX($S$5:$S$304,MATCH(C4770,$R$5:$R$304,0))&amp;"","?"))</f>
        <v/>
      </c>
      <c r="N4770" s="2" t="str">
        <f aca="false"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 t="str">
        <f aca="false">IF(OR(F4770="",G4770=""),"",IF(G4770&lt;='RETRATO 2027'!$K$5,"CONCLUÍDA",IF(F4770&lt;='RETRATO 2027'!$K$5,"EM ANDAMENTO","A INICIAR")))</f>
        <v/>
      </c>
    </row>
    <row r="4771" customFormat="false" ht="15" hidden="false" customHeight="false" outlineLevel="0" collapsed="false">
      <c r="M4771" s="2" t="str">
        <f aca="false">IF(C4771="","",IFERROR(INDEX($S$5:$S$304,MATCH(C4771,$R$5:$R$304,0))&amp;"","?"))</f>
        <v/>
      </c>
      <c r="N4771" s="2" t="str">
        <f aca="false"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 t="str">
        <f aca="false">IF(OR(F4771="",G4771=""),"",IF(G4771&lt;='RETRATO 2027'!$K$5,"CONCLUÍDA",IF(F4771&lt;='RETRATO 2027'!$K$5,"EM ANDAMENTO","A INICIAR")))</f>
        <v/>
      </c>
    </row>
    <row r="4772" customFormat="false" ht="15" hidden="false" customHeight="false" outlineLevel="0" collapsed="false">
      <c r="M4772" s="2" t="str">
        <f aca="false">IF(C4772="","",IFERROR(INDEX($S$5:$S$304,MATCH(C4772,$R$5:$R$304,0))&amp;"","?"))</f>
        <v/>
      </c>
      <c r="N4772" s="2" t="str">
        <f aca="false"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 t="str">
        <f aca="false">IF(OR(F4772="",G4772=""),"",IF(G4772&lt;='RETRATO 2027'!$K$5,"CONCLUÍDA",IF(F4772&lt;='RETRATO 2027'!$K$5,"EM ANDAMENTO","A INICIAR")))</f>
        <v/>
      </c>
    </row>
    <row r="4773" customFormat="false" ht="15" hidden="false" customHeight="false" outlineLevel="0" collapsed="false">
      <c r="M4773" s="2" t="str">
        <f aca="false">IF(C4773="","",IFERROR(INDEX($S$5:$S$304,MATCH(C4773,$R$5:$R$304,0))&amp;"","?"))</f>
        <v/>
      </c>
      <c r="N4773" s="2" t="str">
        <f aca="false"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 t="str">
        <f aca="false">IF(OR(F4773="",G4773=""),"",IF(G4773&lt;='RETRATO 2027'!$K$5,"CONCLUÍDA",IF(F4773&lt;='RETRATO 2027'!$K$5,"EM ANDAMENTO","A INICIAR")))</f>
        <v/>
      </c>
    </row>
    <row r="4774" customFormat="false" ht="15" hidden="false" customHeight="false" outlineLevel="0" collapsed="false">
      <c r="M4774" s="2" t="str">
        <f aca="false">IF(C4774="","",IFERROR(INDEX($S$5:$S$304,MATCH(C4774,$R$5:$R$304,0))&amp;"","?"))</f>
        <v/>
      </c>
      <c r="N4774" s="2" t="str">
        <f aca="false"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 t="str">
        <f aca="false">IF(OR(F4774="",G4774=""),"",IF(G4774&lt;='RETRATO 2027'!$K$5,"CONCLUÍDA",IF(F4774&lt;='RETRATO 2027'!$K$5,"EM ANDAMENTO","A INICIAR")))</f>
        <v/>
      </c>
    </row>
    <row r="4775" customFormat="false" ht="15" hidden="false" customHeight="false" outlineLevel="0" collapsed="false">
      <c r="M4775" s="2" t="str">
        <f aca="false">IF(C4775="","",IFERROR(INDEX($S$5:$S$304,MATCH(C4775,$R$5:$R$304,0))&amp;"","?"))</f>
        <v/>
      </c>
      <c r="N4775" s="2" t="str">
        <f aca="false"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 t="str">
        <f aca="false">IF(OR(F4775="",G4775=""),"",IF(G4775&lt;='RETRATO 2027'!$K$5,"CONCLUÍDA",IF(F4775&lt;='RETRATO 2027'!$K$5,"EM ANDAMENTO","A INICIAR")))</f>
        <v/>
      </c>
    </row>
    <row r="4776" customFormat="false" ht="15" hidden="false" customHeight="false" outlineLevel="0" collapsed="false">
      <c r="M4776" s="2" t="str">
        <f aca="false">IF(C4776="","",IFERROR(INDEX($S$5:$S$304,MATCH(C4776,$R$5:$R$304,0))&amp;"","?"))</f>
        <v/>
      </c>
      <c r="N4776" s="2" t="str">
        <f aca="false"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 t="str">
        <f aca="false">IF(OR(F4776="",G4776=""),"",IF(G4776&lt;='RETRATO 2027'!$K$5,"CONCLUÍDA",IF(F4776&lt;='RETRATO 2027'!$K$5,"EM ANDAMENTO","A INICIAR")))</f>
        <v/>
      </c>
    </row>
    <row r="4777" customFormat="false" ht="15" hidden="false" customHeight="false" outlineLevel="0" collapsed="false">
      <c r="M4777" s="2" t="str">
        <f aca="false">IF(C4777="","",IFERROR(INDEX($S$5:$S$304,MATCH(C4777,$R$5:$R$304,0))&amp;"","?"))</f>
        <v/>
      </c>
      <c r="N4777" s="2" t="str">
        <f aca="false"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 t="str">
        <f aca="false">IF(OR(F4777="",G4777=""),"",IF(G4777&lt;='RETRATO 2027'!$K$5,"CONCLUÍDA",IF(F4777&lt;='RETRATO 2027'!$K$5,"EM ANDAMENTO","A INICIAR")))</f>
        <v/>
      </c>
    </row>
    <row r="4778" customFormat="false" ht="15" hidden="false" customHeight="false" outlineLevel="0" collapsed="false">
      <c r="M4778" s="2" t="str">
        <f aca="false">IF(C4778="","",IFERROR(INDEX($S$5:$S$304,MATCH(C4778,$R$5:$R$304,0))&amp;"","?"))</f>
        <v/>
      </c>
      <c r="N4778" s="2" t="str">
        <f aca="false"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 t="str">
        <f aca="false">IF(OR(F4778="",G4778=""),"",IF(G4778&lt;='RETRATO 2027'!$K$5,"CONCLUÍDA",IF(F4778&lt;='RETRATO 2027'!$K$5,"EM ANDAMENTO","A INICIAR")))</f>
        <v/>
      </c>
    </row>
    <row r="4779" customFormat="false" ht="15" hidden="false" customHeight="false" outlineLevel="0" collapsed="false">
      <c r="M4779" s="2" t="str">
        <f aca="false">IF(C4779="","",IFERROR(INDEX($S$5:$S$304,MATCH(C4779,$R$5:$R$304,0))&amp;"","?"))</f>
        <v/>
      </c>
      <c r="N4779" s="2" t="str">
        <f aca="false"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 t="str">
        <f aca="false">IF(OR(F4779="",G4779=""),"",IF(G4779&lt;='RETRATO 2027'!$K$5,"CONCLUÍDA",IF(F4779&lt;='RETRATO 2027'!$K$5,"EM ANDAMENTO","A INICIAR")))</f>
        <v/>
      </c>
    </row>
    <row r="4780" customFormat="false" ht="15" hidden="false" customHeight="false" outlineLevel="0" collapsed="false">
      <c r="M4780" s="2" t="str">
        <f aca="false">IF(C4780="","",IFERROR(INDEX($S$5:$S$304,MATCH(C4780,$R$5:$R$304,0))&amp;"","?"))</f>
        <v/>
      </c>
      <c r="N4780" s="2" t="str">
        <f aca="false"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 t="str">
        <f aca="false">IF(OR(F4780="",G4780=""),"",IF(G4780&lt;='RETRATO 2027'!$K$5,"CONCLUÍDA",IF(F4780&lt;='RETRATO 2027'!$K$5,"EM ANDAMENTO","A INICIAR")))</f>
        <v/>
      </c>
    </row>
    <row r="4781" customFormat="false" ht="15" hidden="false" customHeight="false" outlineLevel="0" collapsed="false">
      <c r="M4781" s="2" t="str">
        <f aca="false">IF(C4781="","",IFERROR(INDEX($S$5:$S$304,MATCH(C4781,$R$5:$R$304,0))&amp;"","?"))</f>
        <v/>
      </c>
      <c r="N4781" s="2" t="str">
        <f aca="false"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 t="str">
        <f aca="false">IF(OR(F4781="",G4781=""),"",IF(G4781&lt;='RETRATO 2027'!$K$5,"CONCLUÍDA",IF(F4781&lt;='RETRATO 2027'!$K$5,"EM ANDAMENTO","A INICIAR")))</f>
        <v/>
      </c>
    </row>
    <row r="4782" customFormat="false" ht="15" hidden="false" customHeight="false" outlineLevel="0" collapsed="false">
      <c r="M4782" s="2" t="str">
        <f aca="false">IF(C4782="","",IFERROR(INDEX($S$5:$S$304,MATCH(C4782,$R$5:$R$304,0))&amp;"","?"))</f>
        <v/>
      </c>
      <c r="N4782" s="2" t="str">
        <f aca="false"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 t="str">
        <f aca="false">IF(OR(F4782="",G4782=""),"",IF(G4782&lt;='RETRATO 2027'!$K$5,"CONCLUÍDA",IF(F4782&lt;='RETRATO 2027'!$K$5,"EM ANDAMENTO","A INICIAR")))</f>
        <v/>
      </c>
    </row>
    <row r="4783" customFormat="false" ht="15" hidden="false" customHeight="false" outlineLevel="0" collapsed="false">
      <c r="M4783" s="2" t="str">
        <f aca="false">IF(C4783="","",IFERROR(INDEX($S$5:$S$304,MATCH(C4783,$R$5:$R$304,0))&amp;"","?"))</f>
        <v/>
      </c>
      <c r="N4783" s="2" t="str">
        <f aca="false"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 t="str">
        <f aca="false">IF(OR(F4783="",G4783=""),"",IF(G4783&lt;='RETRATO 2027'!$K$5,"CONCLUÍDA",IF(F4783&lt;='RETRATO 2027'!$K$5,"EM ANDAMENTO","A INICIAR")))</f>
        <v/>
      </c>
    </row>
    <row r="4784" customFormat="false" ht="15" hidden="false" customHeight="false" outlineLevel="0" collapsed="false">
      <c r="M4784" s="2" t="str">
        <f aca="false">IF(C4784="","",IFERROR(INDEX($S$5:$S$304,MATCH(C4784,$R$5:$R$304,0))&amp;"","?"))</f>
        <v/>
      </c>
      <c r="N4784" s="2" t="str">
        <f aca="false"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 t="str">
        <f aca="false">IF(OR(F4784="",G4784=""),"",IF(G4784&lt;='RETRATO 2027'!$K$5,"CONCLUÍDA",IF(F4784&lt;='RETRATO 2027'!$K$5,"EM ANDAMENTO","A INICIAR")))</f>
        <v/>
      </c>
    </row>
    <row r="4785" customFormat="false" ht="15" hidden="false" customHeight="false" outlineLevel="0" collapsed="false">
      <c r="M4785" s="2" t="str">
        <f aca="false">IF(C4785="","",IFERROR(INDEX($S$5:$S$304,MATCH(C4785,$R$5:$R$304,0))&amp;"","?"))</f>
        <v/>
      </c>
      <c r="N4785" s="2" t="str">
        <f aca="false"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 t="str">
        <f aca="false">IF(OR(F4785="",G4785=""),"",IF(G4785&lt;='RETRATO 2027'!$K$5,"CONCLUÍDA",IF(F4785&lt;='RETRATO 2027'!$K$5,"EM ANDAMENTO","A INICIAR")))</f>
        <v/>
      </c>
    </row>
    <row r="4786" customFormat="false" ht="15" hidden="false" customHeight="false" outlineLevel="0" collapsed="false">
      <c r="M4786" s="2" t="str">
        <f aca="false">IF(C4786="","",IFERROR(INDEX($S$5:$S$304,MATCH(C4786,$R$5:$R$304,0))&amp;"","?"))</f>
        <v/>
      </c>
      <c r="N4786" s="2" t="str">
        <f aca="false"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 t="str">
        <f aca="false">IF(OR(F4786="",G4786=""),"",IF(G4786&lt;='RETRATO 2027'!$K$5,"CONCLUÍDA",IF(F4786&lt;='RETRATO 2027'!$K$5,"EM ANDAMENTO","A INICIAR")))</f>
        <v/>
      </c>
    </row>
    <row r="4787" customFormat="false" ht="15" hidden="false" customHeight="false" outlineLevel="0" collapsed="false">
      <c r="M4787" s="2" t="str">
        <f aca="false">IF(C4787="","",IFERROR(INDEX($S$5:$S$304,MATCH(C4787,$R$5:$R$304,0))&amp;"","?"))</f>
        <v/>
      </c>
      <c r="N4787" s="2" t="str">
        <f aca="false"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 t="str">
        <f aca="false">IF(OR(F4787="",G4787=""),"",IF(G4787&lt;='RETRATO 2027'!$K$5,"CONCLUÍDA",IF(F4787&lt;='RETRATO 2027'!$K$5,"EM ANDAMENTO","A INICIAR")))</f>
        <v/>
      </c>
    </row>
    <row r="4788" customFormat="false" ht="15" hidden="false" customHeight="false" outlineLevel="0" collapsed="false">
      <c r="M4788" s="2" t="str">
        <f aca="false">IF(C4788="","",IFERROR(INDEX($S$5:$S$304,MATCH(C4788,$R$5:$R$304,0))&amp;"","?"))</f>
        <v/>
      </c>
      <c r="N4788" s="2" t="str">
        <f aca="false"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 t="str">
        <f aca="false">IF(OR(F4788="",G4788=""),"",IF(G4788&lt;='RETRATO 2027'!$K$5,"CONCLUÍDA",IF(F4788&lt;='RETRATO 2027'!$K$5,"EM ANDAMENTO","A INICIAR")))</f>
        <v/>
      </c>
    </row>
    <row r="4789" customFormat="false" ht="15" hidden="false" customHeight="false" outlineLevel="0" collapsed="false">
      <c r="M4789" s="2" t="str">
        <f aca="false">IF(C4789="","",IFERROR(INDEX($S$5:$S$304,MATCH(C4789,$R$5:$R$304,0))&amp;"","?"))</f>
        <v/>
      </c>
      <c r="N4789" s="2" t="str">
        <f aca="false"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 t="str">
        <f aca="false">IF(OR(F4789="",G4789=""),"",IF(G4789&lt;='RETRATO 2027'!$K$5,"CONCLUÍDA",IF(F4789&lt;='RETRATO 2027'!$K$5,"EM ANDAMENTO","A INICIAR")))</f>
        <v/>
      </c>
    </row>
    <row r="4790" customFormat="false" ht="15" hidden="false" customHeight="false" outlineLevel="0" collapsed="false">
      <c r="M4790" s="2" t="str">
        <f aca="false">IF(C4790="","",IFERROR(INDEX($S$5:$S$304,MATCH(C4790,$R$5:$R$304,0))&amp;"","?"))</f>
        <v/>
      </c>
      <c r="N4790" s="2" t="str">
        <f aca="false"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 t="str">
        <f aca="false">IF(OR(F4790="",G4790=""),"",IF(G4790&lt;='RETRATO 2027'!$K$5,"CONCLUÍDA",IF(F4790&lt;='RETRATO 2027'!$K$5,"EM ANDAMENTO","A INICIAR")))</f>
        <v/>
      </c>
    </row>
    <row r="4791" customFormat="false" ht="15" hidden="false" customHeight="false" outlineLevel="0" collapsed="false">
      <c r="M4791" s="2" t="str">
        <f aca="false">IF(C4791="","",IFERROR(INDEX($S$5:$S$304,MATCH(C4791,$R$5:$R$304,0))&amp;"","?"))</f>
        <v/>
      </c>
      <c r="N4791" s="2" t="str">
        <f aca="false"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 t="str">
        <f aca="false">IF(OR(F4791="",G4791=""),"",IF(G4791&lt;='RETRATO 2027'!$K$5,"CONCLUÍDA",IF(F4791&lt;='RETRATO 2027'!$K$5,"EM ANDAMENTO","A INICIAR")))</f>
        <v/>
      </c>
    </row>
    <row r="4792" customFormat="false" ht="15" hidden="false" customHeight="false" outlineLevel="0" collapsed="false">
      <c r="M4792" s="2" t="str">
        <f aca="false">IF(C4792="","",IFERROR(INDEX($S$5:$S$304,MATCH(C4792,$R$5:$R$304,0))&amp;"","?"))</f>
        <v/>
      </c>
      <c r="N4792" s="2" t="str">
        <f aca="false"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 t="str">
        <f aca="false">IF(OR(F4792="",G4792=""),"",IF(G4792&lt;='RETRATO 2027'!$K$5,"CONCLUÍDA",IF(F4792&lt;='RETRATO 2027'!$K$5,"EM ANDAMENTO","A INICIAR")))</f>
        <v/>
      </c>
    </row>
    <row r="4793" customFormat="false" ht="15" hidden="false" customHeight="false" outlineLevel="0" collapsed="false">
      <c r="M4793" s="2" t="str">
        <f aca="false">IF(C4793="","",IFERROR(INDEX($S$5:$S$304,MATCH(C4793,$R$5:$R$304,0))&amp;"","?"))</f>
        <v/>
      </c>
      <c r="N4793" s="2" t="str">
        <f aca="false"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 t="str">
        <f aca="false">IF(OR(F4793="",G4793=""),"",IF(G4793&lt;='RETRATO 2027'!$K$5,"CONCLUÍDA",IF(F4793&lt;='RETRATO 2027'!$K$5,"EM ANDAMENTO","A INICIAR")))</f>
        <v/>
      </c>
    </row>
    <row r="4794" customFormat="false" ht="15" hidden="false" customHeight="false" outlineLevel="0" collapsed="false">
      <c r="M4794" s="2" t="str">
        <f aca="false">IF(C4794="","",IFERROR(INDEX($S$5:$S$304,MATCH(C4794,$R$5:$R$304,0))&amp;"","?"))</f>
        <v/>
      </c>
      <c r="N4794" s="2" t="str">
        <f aca="false"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 t="str">
        <f aca="false">IF(OR(F4794="",G4794=""),"",IF(G4794&lt;='RETRATO 2027'!$K$5,"CONCLUÍDA",IF(F4794&lt;='RETRATO 2027'!$K$5,"EM ANDAMENTO","A INICIAR")))</f>
        <v/>
      </c>
    </row>
    <row r="4795" customFormat="false" ht="15" hidden="false" customHeight="false" outlineLevel="0" collapsed="false">
      <c r="M4795" s="2" t="str">
        <f aca="false">IF(C4795="","",IFERROR(INDEX($S$5:$S$304,MATCH(C4795,$R$5:$R$304,0))&amp;"","?"))</f>
        <v/>
      </c>
      <c r="N4795" s="2" t="str">
        <f aca="false"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 t="str">
        <f aca="false">IF(OR(F4795="",G4795=""),"",IF(G4795&lt;='RETRATO 2027'!$K$5,"CONCLUÍDA",IF(F4795&lt;='RETRATO 2027'!$K$5,"EM ANDAMENTO","A INICIAR")))</f>
        <v/>
      </c>
    </row>
    <row r="4796" customFormat="false" ht="15" hidden="false" customHeight="false" outlineLevel="0" collapsed="false">
      <c r="M4796" s="2" t="str">
        <f aca="false">IF(C4796="","",IFERROR(INDEX($S$5:$S$304,MATCH(C4796,$R$5:$R$304,0))&amp;"","?"))</f>
        <v/>
      </c>
      <c r="N4796" s="2" t="str">
        <f aca="false"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 t="str">
        <f aca="false">IF(OR(F4796="",G4796=""),"",IF(G4796&lt;='RETRATO 2027'!$K$5,"CONCLUÍDA",IF(F4796&lt;='RETRATO 2027'!$K$5,"EM ANDAMENTO","A INICIAR")))</f>
        <v/>
      </c>
    </row>
    <row r="4797" customFormat="false" ht="15" hidden="false" customHeight="false" outlineLevel="0" collapsed="false">
      <c r="M4797" s="2" t="str">
        <f aca="false">IF(C4797="","",IFERROR(INDEX($S$5:$S$304,MATCH(C4797,$R$5:$R$304,0))&amp;"","?"))</f>
        <v/>
      </c>
      <c r="N4797" s="2" t="str">
        <f aca="false"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 t="str">
        <f aca="false">IF(OR(F4797="",G4797=""),"",IF(G4797&lt;='RETRATO 2027'!$K$5,"CONCLUÍDA",IF(F4797&lt;='RETRATO 2027'!$K$5,"EM ANDAMENTO","A INICIAR")))</f>
        <v/>
      </c>
    </row>
    <row r="4798" customFormat="false" ht="15" hidden="false" customHeight="false" outlineLevel="0" collapsed="false">
      <c r="M4798" s="2" t="str">
        <f aca="false">IF(C4798="","",IFERROR(INDEX($S$5:$S$304,MATCH(C4798,$R$5:$R$304,0))&amp;"","?"))</f>
        <v/>
      </c>
      <c r="N4798" s="2" t="str">
        <f aca="false"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 t="str">
        <f aca="false">IF(OR(F4798="",G4798=""),"",IF(G4798&lt;='RETRATO 2027'!$K$5,"CONCLUÍDA",IF(F4798&lt;='RETRATO 2027'!$K$5,"EM ANDAMENTO","A INICIAR")))</f>
        <v/>
      </c>
    </row>
    <row r="4799" customFormat="false" ht="15" hidden="false" customHeight="false" outlineLevel="0" collapsed="false">
      <c r="M4799" s="2" t="str">
        <f aca="false">IF(C4799="","",IFERROR(INDEX($S$5:$S$304,MATCH(C4799,$R$5:$R$304,0))&amp;"","?"))</f>
        <v/>
      </c>
      <c r="N4799" s="2" t="str">
        <f aca="false"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 t="str">
        <f aca="false">IF(OR(F4799="",G4799=""),"",IF(G4799&lt;='RETRATO 2027'!$K$5,"CONCLUÍDA",IF(F4799&lt;='RETRATO 2027'!$K$5,"EM ANDAMENTO","A INICIAR")))</f>
        <v/>
      </c>
    </row>
    <row r="4800" customFormat="false" ht="15" hidden="false" customHeight="false" outlineLevel="0" collapsed="false">
      <c r="M4800" s="2" t="str">
        <f aca="false">IF(C4800="","",IFERROR(INDEX($S$5:$S$304,MATCH(C4800,$R$5:$R$304,0))&amp;"","?"))</f>
        <v/>
      </c>
      <c r="N4800" s="2" t="str">
        <f aca="false"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 t="str">
        <f aca="false">IF(OR(F4800="",G4800=""),"",IF(G4800&lt;='RETRATO 2027'!$K$5,"CONCLUÍDA",IF(F4800&lt;='RETRATO 2027'!$K$5,"EM ANDAMENTO","A INICIAR")))</f>
        <v/>
      </c>
    </row>
    <row r="4801" customFormat="false" ht="15" hidden="false" customHeight="false" outlineLevel="0" collapsed="false">
      <c r="M4801" s="2" t="str">
        <f aca="false">IF(C4801="","",IFERROR(INDEX($S$5:$S$304,MATCH(C4801,$R$5:$R$304,0))&amp;"","?"))</f>
        <v/>
      </c>
      <c r="N4801" s="2" t="str">
        <f aca="false"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 t="str">
        <f aca="false">IF(OR(F4801="",G4801=""),"",IF(G4801&lt;='RETRATO 2027'!$K$5,"CONCLUÍDA",IF(F4801&lt;='RETRATO 2027'!$K$5,"EM ANDAMENTO","A INICIAR")))</f>
        <v/>
      </c>
    </row>
    <row r="4802" customFormat="false" ht="15" hidden="false" customHeight="false" outlineLevel="0" collapsed="false">
      <c r="M4802" s="2" t="str">
        <f aca="false">IF(C4802="","",IFERROR(INDEX($S$5:$S$304,MATCH(C4802,$R$5:$R$304,0))&amp;"","?"))</f>
        <v/>
      </c>
      <c r="N4802" s="2" t="str">
        <f aca="false"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 t="str">
        <f aca="false">IF(OR(F4802="",G4802=""),"",IF(G4802&lt;='RETRATO 2027'!$K$5,"CONCLUÍDA",IF(F4802&lt;='RETRATO 2027'!$K$5,"EM ANDAMENTO","A INICIAR")))</f>
        <v/>
      </c>
    </row>
    <row r="4803" customFormat="false" ht="15" hidden="false" customHeight="false" outlineLevel="0" collapsed="false">
      <c r="M4803" s="2" t="str">
        <f aca="false">IF(C4803="","",IFERROR(INDEX($S$5:$S$304,MATCH(C4803,$R$5:$R$304,0))&amp;"","?"))</f>
        <v/>
      </c>
      <c r="N4803" s="2" t="str">
        <f aca="false"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 t="str">
        <f aca="false">IF(OR(F4803="",G4803=""),"",IF(G4803&lt;='RETRATO 2027'!$K$5,"CONCLUÍDA",IF(F4803&lt;='RETRATO 2027'!$K$5,"EM ANDAMENTO","A INICIAR")))</f>
        <v/>
      </c>
    </row>
    <row r="4804" customFormat="false" ht="15" hidden="false" customHeight="false" outlineLevel="0" collapsed="false">
      <c r="M4804" s="2" t="str">
        <f aca="false">IF(C4804="","",IFERROR(INDEX($S$5:$S$304,MATCH(C4804,$R$5:$R$304,0))&amp;"","?"))</f>
        <v/>
      </c>
      <c r="N4804" s="2" t="str">
        <f aca="false"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 t="str">
        <f aca="false">IF(OR(F4804="",G4804=""),"",IF(G4804&lt;='RETRATO 2027'!$K$5,"CONCLUÍDA",IF(F4804&lt;='RETRATO 2027'!$K$5,"EM ANDAMENTO","A INICIAR")))</f>
        <v/>
      </c>
    </row>
    <row r="4805" customFormat="false" ht="15" hidden="false" customHeight="false" outlineLevel="0" collapsed="false">
      <c r="M4805" s="2" t="str">
        <f aca="false">IF(C4805="","",IFERROR(INDEX($S$5:$S$304,MATCH(C4805,$R$5:$R$304,0))&amp;"","?"))</f>
        <v/>
      </c>
      <c r="N4805" s="2" t="str">
        <f aca="false"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 t="str">
        <f aca="false">IF(OR(F4805="",G4805=""),"",IF(G4805&lt;='RETRATO 2027'!$K$5,"CONCLUÍDA",IF(F4805&lt;='RETRATO 2027'!$K$5,"EM ANDAMENTO","A INICIAR")))</f>
        <v/>
      </c>
    </row>
    <row r="4806" customFormat="false" ht="15" hidden="false" customHeight="false" outlineLevel="0" collapsed="false">
      <c r="M4806" s="2" t="str">
        <f aca="false">IF(C4806="","",IFERROR(INDEX($S$5:$S$304,MATCH(C4806,$R$5:$R$304,0))&amp;"","?"))</f>
        <v/>
      </c>
      <c r="N4806" s="2" t="str">
        <f aca="false"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 t="str">
        <f aca="false">IF(OR(F4806="",G4806=""),"",IF(G4806&lt;='RETRATO 2027'!$K$5,"CONCLUÍDA",IF(F4806&lt;='RETRATO 2027'!$K$5,"EM ANDAMENTO","A INICIAR")))</f>
        <v/>
      </c>
    </row>
    <row r="4807" customFormat="false" ht="15" hidden="false" customHeight="false" outlineLevel="0" collapsed="false">
      <c r="M4807" s="2" t="str">
        <f aca="false">IF(C4807="","",IFERROR(INDEX($S$5:$S$304,MATCH(C4807,$R$5:$R$304,0))&amp;"","?"))</f>
        <v/>
      </c>
      <c r="N4807" s="2" t="str">
        <f aca="false"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 t="str">
        <f aca="false">IF(OR(F4807="",G4807=""),"",IF(G4807&lt;='RETRATO 2027'!$K$5,"CONCLUÍDA",IF(F4807&lt;='RETRATO 2027'!$K$5,"EM ANDAMENTO","A INICIAR")))</f>
        <v/>
      </c>
    </row>
    <row r="4808" customFormat="false" ht="15" hidden="false" customHeight="false" outlineLevel="0" collapsed="false">
      <c r="M4808" s="2" t="str">
        <f aca="false">IF(C4808="","",IFERROR(INDEX($S$5:$S$304,MATCH(C4808,$R$5:$R$304,0))&amp;"","?"))</f>
        <v/>
      </c>
      <c r="N4808" s="2" t="str">
        <f aca="false"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 t="str">
        <f aca="false">IF(OR(F4808="",G4808=""),"",IF(G4808&lt;='RETRATO 2027'!$K$5,"CONCLUÍDA",IF(F4808&lt;='RETRATO 2027'!$K$5,"EM ANDAMENTO","A INICIAR")))</f>
        <v/>
      </c>
    </row>
    <row r="4809" customFormat="false" ht="15" hidden="false" customHeight="false" outlineLevel="0" collapsed="false">
      <c r="M4809" s="2" t="str">
        <f aca="false">IF(C4809="","",IFERROR(INDEX($S$5:$S$304,MATCH(C4809,$R$5:$R$304,0))&amp;"","?"))</f>
        <v/>
      </c>
      <c r="N4809" s="2" t="str">
        <f aca="false"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 t="str">
        <f aca="false">IF(OR(F4809="",G4809=""),"",IF(G4809&lt;='RETRATO 2027'!$K$5,"CONCLUÍDA",IF(F4809&lt;='RETRATO 2027'!$K$5,"EM ANDAMENTO","A INICIAR")))</f>
        <v/>
      </c>
    </row>
    <row r="4810" customFormat="false" ht="15" hidden="false" customHeight="false" outlineLevel="0" collapsed="false">
      <c r="M4810" s="2" t="str">
        <f aca="false">IF(C4810="","",IFERROR(INDEX($S$5:$S$304,MATCH(C4810,$R$5:$R$304,0))&amp;"","?"))</f>
        <v/>
      </c>
      <c r="N4810" s="2" t="str">
        <f aca="false"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 t="str">
        <f aca="false">IF(OR(F4810="",G4810=""),"",IF(G4810&lt;='RETRATO 2027'!$K$5,"CONCLUÍDA",IF(F4810&lt;='RETRATO 2027'!$K$5,"EM ANDAMENTO","A INICIAR")))</f>
        <v/>
      </c>
    </row>
    <row r="4811" customFormat="false" ht="15" hidden="false" customHeight="false" outlineLevel="0" collapsed="false">
      <c r="M4811" s="2" t="str">
        <f aca="false">IF(C4811="","",IFERROR(INDEX($S$5:$S$304,MATCH(C4811,$R$5:$R$304,0))&amp;"","?"))</f>
        <v/>
      </c>
      <c r="N4811" s="2" t="str">
        <f aca="false"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 t="str">
        <f aca="false">IF(OR(F4811="",G4811=""),"",IF(G4811&lt;='RETRATO 2027'!$K$5,"CONCLUÍDA",IF(F4811&lt;='RETRATO 2027'!$K$5,"EM ANDAMENTO","A INICIAR")))</f>
        <v/>
      </c>
    </row>
    <row r="4812" customFormat="false" ht="15" hidden="false" customHeight="false" outlineLevel="0" collapsed="false">
      <c r="M4812" s="2" t="str">
        <f aca="false">IF(C4812="","",IFERROR(INDEX($S$5:$S$304,MATCH(C4812,$R$5:$R$304,0))&amp;"","?"))</f>
        <v/>
      </c>
      <c r="N4812" s="2" t="str">
        <f aca="false"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 t="str">
        <f aca="false">IF(OR(F4812="",G4812=""),"",IF(G4812&lt;='RETRATO 2027'!$K$5,"CONCLUÍDA",IF(F4812&lt;='RETRATO 2027'!$K$5,"EM ANDAMENTO","A INICIAR")))</f>
        <v/>
      </c>
    </row>
    <row r="4813" customFormat="false" ht="15" hidden="false" customHeight="false" outlineLevel="0" collapsed="false">
      <c r="M4813" s="2" t="str">
        <f aca="false">IF(C4813="","",IFERROR(INDEX($S$5:$S$304,MATCH(C4813,$R$5:$R$304,0))&amp;"","?"))</f>
        <v/>
      </c>
      <c r="N4813" s="2" t="str">
        <f aca="false"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 t="str">
        <f aca="false">IF(OR(F4813="",G4813=""),"",IF(G4813&lt;='RETRATO 2027'!$K$5,"CONCLUÍDA",IF(F4813&lt;='RETRATO 2027'!$K$5,"EM ANDAMENTO","A INICIAR")))</f>
        <v/>
      </c>
    </row>
    <row r="4814" customFormat="false" ht="15" hidden="false" customHeight="false" outlineLevel="0" collapsed="false">
      <c r="M4814" s="2" t="str">
        <f aca="false">IF(C4814="","",IFERROR(INDEX($S$5:$S$304,MATCH(C4814,$R$5:$R$304,0))&amp;"","?"))</f>
        <v/>
      </c>
      <c r="N4814" s="2" t="str">
        <f aca="false"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 t="str">
        <f aca="false">IF(OR(F4814="",G4814=""),"",IF(G4814&lt;='RETRATO 2027'!$K$5,"CONCLUÍDA",IF(F4814&lt;='RETRATO 2027'!$K$5,"EM ANDAMENTO","A INICIAR")))</f>
        <v/>
      </c>
    </row>
    <row r="4815" customFormat="false" ht="15" hidden="false" customHeight="false" outlineLevel="0" collapsed="false">
      <c r="M4815" s="2" t="str">
        <f aca="false">IF(C4815="","",IFERROR(INDEX($S$5:$S$304,MATCH(C4815,$R$5:$R$304,0))&amp;"","?"))</f>
        <v/>
      </c>
      <c r="N4815" s="2" t="str">
        <f aca="false"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 t="str">
        <f aca="false">IF(OR(F4815="",G4815=""),"",IF(G4815&lt;='RETRATO 2027'!$K$5,"CONCLUÍDA",IF(F4815&lt;='RETRATO 2027'!$K$5,"EM ANDAMENTO","A INICIAR")))</f>
        <v/>
      </c>
    </row>
    <row r="4816" customFormat="false" ht="15" hidden="false" customHeight="false" outlineLevel="0" collapsed="false">
      <c r="M4816" s="2" t="str">
        <f aca="false">IF(C4816="","",IFERROR(INDEX($S$5:$S$304,MATCH(C4816,$R$5:$R$304,0))&amp;"","?"))</f>
        <v/>
      </c>
      <c r="N4816" s="2" t="str">
        <f aca="false"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 t="str">
        <f aca="false">IF(OR(F4816="",G4816=""),"",IF(G4816&lt;='RETRATO 2027'!$K$5,"CONCLUÍDA",IF(F4816&lt;='RETRATO 2027'!$K$5,"EM ANDAMENTO","A INICIAR")))</f>
        <v/>
      </c>
    </row>
    <row r="4817" customFormat="false" ht="15" hidden="false" customHeight="false" outlineLevel="0" collapsed="false">
      <c r="M4817" s="2" t="str">
        <f aca="false">IF(C4817="","",IFERROR(INDEX($S$5:$S$304,MATCH(C4817,$R$5:$R$304,0))&amp;"","?"))</f>
        <v/>
      </c>
      <c r="N4817" s="2" t="str">
        <f aca="false"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 t="str">
        <f aca="false">IF(OR(F4817="",G4817=""),"",IF(G4817&lt;='RETRATO 2027'!$K$5,"CONCLUÍDA",IF(F4817&lt;='RETRATO 2027'!$K$5,"EM ANDAMENTO","A INICIAR")))</f>
        <v/>
      </c>
    </row>
    <row r="4818" customFormat="false" ht="15" hidden="false" customHeight="false" outlineLevel="0" collapsed="false">
      <c r="M4818" s="2" t="str">
        <f aca="false">IF(C4818="","",IFERROR(INDEX($S$5:$S$304,MATCH(C4818,$R$5:$R$304,0))&amp;"","?"))</f>
        <v/>
      </c>
      <c r="N4818" s="2" t="str">
        <f aca="false"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 t="str">
        <f aca="false">IF(OR(F4818="",G4818=""),"",IF(G4818&lt;='RETRATO 2027'!$K$5,"CONCLUÍDA",IF(F4818&lt;='RETRATO 2027'!$K$5,"EM ANDAMENTO","A INICIAR")))</f>
        <v/>
      </c>
    </row>
    <row r="4819" customFormat="false" ht="15" hidden="false" customHeight="false" outlineLevel="0" collapsed="false">
      <c r="M4819" s="2" t="str">
        <f aca="false">IF(C4819="","",IFERROR(INDEX($S$5:$S$304,MATCH(C4819,$R$5:$R$304,0))&amp;"","?"))</f>
        <v/>
      </c>
      <c r="N4819" s="2" t="str">
        <f aca="false"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 t="str">
        <f aca="false">IF(OR(F4819="",G4819=""),"",IF(G4819&lt;='RETRATO 2027'!$K$5,"CONCLUÍDA",IF(F4819&lt;='RETRATO 2027'!$K$5,"EM ANDAMENTO","A INICIAR")))</f>
        <v/>
      </c>
    </row>
    <row r="4820" customFormat="false" ht="15" hidden="false" customHeight="false" outlineLevel="0" collapsed="false">
      <c r="M4820" s="2" t="str">
        <f aca="false">IF(C4820="","",IFERROR(INDEX($S$5:$S$304,MATCH(C4820,$R$5:$R$304,0))&amp;"","?"))</f>
        <v/>
      </c>
      <c r="N4820" s="2" t="str">
        <f aca="false"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 t="str">
        <f aca="false">IF(OR(F4820="",G4820=""),"",IF(G4820&lt;='RETRATO 2027'!$K$5,"CONCLUÍDA",IF(F4820&lt;='RETRATO 2027'!$K$5,"EM ANDAMENTO","A INICIAR")))</f>
        <v/>
      </c>
    </row>
    <row r="4821" customFormat="false" ht="15" hidden="false" customHeight="false" outlineLevel="0" collapsed="false">
      <c r="M4821" s="2" t="str">
        <f aca="false">IF(C4821="","",IFERROR(INDEX($S$5:$S$304,MATCH(C4821,$R$5:$R$304,0))&amp;"","?"))</f>
        <v/>
      </c>
      <c r="N4821" s="2" t="str">
        <f aca="false"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 t="str">
        <f aca="false">IF(OR(F4821="",G4821=""),"",IF(G4821&lt;='RETRATO 2027'!$K$5,"CONCLUÍDA",IF(F4821&lt;='RETRATO 2027'!$K$5,"EM ANDAMENTO","A INICIAR")))</f>
        <v/>
      </c>
    </row>
    <row r="4822" customFormat="false" ht="15" hidden="false" customHeight="false" outlineLevel="0" collapsed="false">
      <c r="M4822" s="2" t="str">
        <f aca="false">IF(C4822="","",IFERROR(INDEX($S$5:$S$304,MATCH(C4822,$R$5:$R$304,0))&amp;"","?"))</f>
        <v/>
      </c>
      <c r="N4822" s="2" t="str">
        <f aca="false"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 t="str">
        <f aca="false">IF(OR(F4822="",G4822=""),"",IF(G4822&lt;='RETRATO 2027'!$K$5,"CONCLUÍDA",IF(F4822&lt;='RETRATO 2027'!$K$5,"EM ANDAMENTO","A INICIAR")))</f>
        <v/>
      </c>
    </row>
    <row r="4823" customFormat="false" ht="15" hidden="false" customHeight="false" outlineLevel="0" collapsed="false">
      <c r="M4823" s="2" t="str">
        <f aca="false">IF(C4823="","",IFERROR(INDEX($S$5:$S$304,MATCH(C4823,$R$5:$R$304,0))&amp;"","?"))</f>
        <v/>
      </c>
      <c r="N4823" s="2" t="str">
        <f aca="false"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 t="str">
        <f aca="false">IF(OR(F4823="",G4823=""),"",IF(G4823&lt;='RETRATO 2027'!$K$5,"CONCLUÍDA",IF(F4823&lt;='RETRATO 2027'!$K$5,"EM ANDAMENTO","A INICIAR")))</f>
        <v/>
      </c>
    </row>
    <row r="4824" customFormat="false" ht="15" hidden="false" customHeight="false" outlineLevel="0" collapsed="false">
      <c r="M4824" s="2" t="str">
        <f aca="false">IF(C4824="","",IFERROR(INDEX($S$5:$S$304,MATCH(C4824,$R$5:$R$304,0))&amp;"","?"))</f>
        <v/>
      </c>
      <c r="N4824" s="2" t="str">
        <f aca="false"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 t="str">
        <f aca="false">IF(OR(F4824="",G4824=""),"",IF(G4824&lt;='RETRATO 2027'!$K$5,"CONCLUÍDA",IF(F4824&lt;='RETRATO 2027'!$K$5,"EM ANDAMENTO","A INICIAR")))</f>
        <v/>
      </c>
    </row>
    <row r="4825" customFormat="false" ht="15" hidden="false" customHeight="false" outlineLevel="0" collapsed="false">
      <c r="M4825" s="2" t="str">
        <f aca="false">IF(C4825="","",IFERROR(INDEX($S$5:$S$304,MATCH(C4825,$R$5:$R$304,0))&amp;"","?"))</f>
        <v/>
      </c>
      <c r="N4825" s="2" t="str">
        <f aca="false"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 t="str">
        <f aca="false">IF(OR(F4825="",G4825=""),"",IF(G4825&lt;='RETRATO 2027'!$K$5,"CONCLUÍDA",IF(F4825&lt;='RETRATO 2027'!$K$5,"EM ANDAMENTO","A INICIAR")))</f>
        <v/>
      </c>
    </row>
    <row r="4826" customFormat="false" ht="15" hidden="false" customHeight="false" outlineLevel="0" collapsed="false">
      <c r="M4826" s="2" t="str">
        <f aca="false">IF(C4826="","",IFERROR(INDEX($S$5:$S$304,MATCH(C4826,$R$5:$R$304,0))&amp;"","?"))</f>
        <v/>
      </c>
      <c r="N4826" s="2" t="str">
        <f aca="false"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 t="str">
        <f aca="false">IF(OR(F4826="",G4826=""),"",IF(G4826&lt;='RETRATO 2027'!$K$5,"CONCLUÍDA",IF(F4826&lt;='RETRATO 2027'!$K$5,"EM ANDAMENTO","A INICIAR")))</f>
        <v/>
      </c>
    </row>
    <row r="4827" customFormat="false" ht="15" hidden="false" customHeight="false" outlineLevel="0" collapsed="false">
      <c r="M4827" s="2" t="str">
        <f aca="false">IF(C4827="","",IFERROR(INDEX($S$5:$S$304,MATCH(C4827,$R$5:$R$304,0))&amp;"","?"))</f>
        <v/>
      </c>
      <c r="N4827" s="2" t="str">
        <f aca="false"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 t="str">
        <f aca="false">IF(OR(F4827="",G4827=""),"",IF(G4827&lt;='RETRATO 2027'!$K$5,"CONCLUÍDA",IF(F4827&lt;='RETRATO 2027'!$K$5,"EM ANDAMENTO","A INICIAR")))</f>
        <v/>
      </c>
    </row>
    <row r="4828" customFormat="false" ht="15" hidden="false" customHeight="false" outlineLevel="0" collapsed="false">
      <c r="M4828" s="2" t="str">
        <f aca="false">IF(C4828="","",IFERROR(INDEX($S$5:$S$304,MATCH(C4828,$R$5:$R$304,0))&amp;"","?"))</f>
        <v/>
      </c>
      <c r="N4828" s="2" t="str">
        <f aca="false"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 t="str">
        <f aca="false">IF(OR(F4828="",G4828=""),"",IF(G4828&lt;='RETRATO 2027'!$K$5,"CONCLUÍDA",IF(F4828&lt;='RETRATO 2027'!$K$5,"EM ANDAMENTO","A INICIAR")))</f>
        <v/>
      </c>
    </row>
    <row r="4829" customFormat="false" ht="15" hidden="false" customHeight="false" outlineLevel="0" collapsed="false">
      <c r="M4829" s="2" t="str">
        <f aca="false">IF(C4829="","",IFERROR(INDEX($S$5:$S$304,MATCH(C4829,$R$5:$R$304,0))&amp;"","?"))</f>
        <v/>
      </c>
      <c r="N4829" s="2" t="str">
        <f aca="false"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 t="str">
        <f aca="false">IF(OR(F4829="",G4829=""),"",IF(G4829&lt;='RETRATO 2027'!$K$5,"CONCLUÍDA",IF(F4829&lt;='RETRATO 2027'!$K$5,"EM ANDAMENTO","A INICIAR")))</f>
        <v/>
      </c>
    </row>
    <row r="4830" customFormat="false" ht="15" hidden="false" customHeight="false" outlineLevel="0" collapsed="false">
      <c r="M4830" s="2" t="str">
        <f aca="false">IF(C4830="","",IFERROR(INDEX($S$5:$S$304,MATCH(C4830,$R$5:$R$304,0))&amp;"","?"))</f>
        <v/>
      </c>
      <c r="N4830" s="2" t="str">
        <f aca="false"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 t="str">
        <f aca="false">IF(OR(F4830="",G4830=""),"",IF(G4830&lt;='RETRATO 2027'!$K$5,"CONCLUÍDA",IF(F4830&lt;='RETRATO 2027'!$K$5,"EM ANDAMENTO","A INICIAR")))</f>
        <v/>
      </c>
    </row>
    <row r="4831" customFormat="false" ht="15" hidden="false" customHeight="false" outlineLevel="0" collapsed="false">
      <c r="M4831" s="2" t="str">
        <f aca="false">IF(C4831="","",IFERROR(INDEX($S$5:$S$304,MATCH(C4831,$R$5:$R$304,0))&amp;"","?"))</f>
        <v/>
      </c>
      <c r="N4831" s="2" t="str">
        <f aca="false"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 t="str">
        <f aca="false">IF(OR(F4831="",G4831=""),"",IF(G4831&lt;='RETRATO 2027'!$K$5,"CONCLUÍDA",IF(F4831&lt;='RETRATO 2027'!$K$5,"EM ANDAMENTO","A INICIAR")))</f>
        <v/>
      </c>
    </row>
    <row r="4832" customFormat="false" ht="15" hidden="false" customHeight="false" outlineLevel="0" collapsed="false">
      <c r="M4832" s="2" t="str">
        <f aca="false">IF(C4832="","",IFERROR(INDEX($S$5:$S$304,MATCH(C4832,$R$5:$R$304,0))&amp;"","?"))</f>
        <v/>
      </c>
      <c r="N4832" s="2" t="str">
        <f aca="false"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 t="str">
        <f aca="false">IF(OR(F4832="",G4832=""),"",IF(G4832&lt;='RETRATO 2027'!$K$5,"CONCLUÍDA",IF(F4832&lt;='RETRATO 2027'!$K$5,"EM ANDAMENTO","A INICIAR")))</f>
        <v/>
      </c>
    </row>
    <row r="4833" customFormat="false" ht="15" hidden="false" customHeight="false" outlineLevel="0" collapsed="false">
      <c r="M4833" s="2" t="str">
        <f aca="false">IF(C4833="","",IFERROR(INDEX($S$5:$S$304,MATCH(C4833,$R$5:$R$304,0))&amp;"","?"))</f>
        <v/>
      </c>
      <c r="N4833" s="2" t="str">
        <f aca="false"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 t="str">
        <f aca="false">IF(OR(F4833="",G4833=""),"",IF(G4833&lt;='RETRATO 2027'!$K$5,"CONCLUÍDA",IF(F4833&lt;='RETRATO 2027'!$K$5,"EM ANDAMENTO","A INICIAR")))</f>
        <v/>
      </c>
    </row>
    <row r="4834" customFormat="false" ht="15" hidden="false" customHeight="false" outlineLevel="0" collapsed="false">
      <c r="M4834" s="2" t="str">
        <f aca="false">IF(C4834="","",IFERROR(INDEX($S$5:$S$304,MATCH(C4834,$R$5:$R$304,0))&amp;"","?"))</f>
        <v/>
      </c>
      <c r="N4834" s="2" t="str">
        <f aca="false"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 t="str">
        <f aca="false">IF(OR(F4834="",G4834=""),"",IF(G4834&lt;='RETRATO 2027'!$K$5,"CONCLUÍDA",IF(F4834&lt;='RETRATO 2027'!$K$5,"EM ANDAMENTO","A INICIAR")))</f>
        <v/>
      </c>
    </row>
    <row r="4835" customFormat="false" ht="15" hidden="false" customHeight="false" outlineLevel="0" collapsed="false">
      <c r="M4835" s="2" t="str">
        <f aca="false">IF(C4835="","",IFERROR(INDEX($S$5:$S$304,MATCH(C4835,$R$5:$R$304,0))&amp;"","?"))</f>
        <v/>
      </c>
      <c r="N4835" s="2" t="str">
        <f aca="false"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 t="str">
        <f aca="false">IF(OR(F4835="",G4835=""),"",IF(G4835&lt;='RETRATO 2027'!$K$5,"CONCLUÍDA",IF(F4835&lt;='RETRATO 2027'!$K$5,"EM ANDAMENTO","A INICIAR")))</f>
        <v/>
      </c>
    </row>
    <row r="4836" customFormat="false" ht="15" hidden="false" customHeight="false" outlineLevel="0" collapsed="false">
      <c r="M4836" s="2" t="str">
        <f aca="false">IF(C4836="","",IFERROR(INDEX($S$5:$S$304,MATCH(C4836,$R$5:$R$304,0))&amp;"","?"))</f>
        <v/>
      </c>
      <c r="N4836" s="2" t="str">
        <f aca="false"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 t="str">
        <f aca="false">IF(OR(F4836="",G4836=""),"",IF(G4836&lt;='RETRATO 2027'!$K$5,"CONCLUÍDA",IF(F4836&lt;='RETRATO 2027'!$K$5,"EM ANDAMENTO","A INICIAR")))</f>
        <v/>
      </c>
    </row>
    <row r="4837" customFormat="false" ht="15" hidden="false" customHeight="false" outlineLevel="0" collapsed="false">
      <c r="M4837" s="2" t="str">
        <f aca="false">IF(C4837="","",IFERROR(INDEX($S$5:$S$304,MATCH(C4837,$R$5:$R$304,0))&amp;"","?"))</f>
        <v/>
      </c>
      <c r="N4837" s="2" t="str">
        <f aca="false"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 t="str">
        <f aca="false">IF(OR(F4837="",G4837=""),"",IF(G4837&lt;='RETRATO 2027'!$K$5,"CONCLUÍDA",IF(F4837&lt;='RETRATO 2027'!$K$5,"EM ANDAMENTO","A INICIAR")))</f>
        <v/>
      </c>
    </row>
    <row r="4838" customFormat="false" ht="15" hidden="false" customHeight="false" outlineLevel="0" collapsed="false">
      <c r="M4838" s="2" t="str">
        <f aca="false">IF(C4838="","",IFERROR(INDEX($S$5:$S$304,MATCH(C4838,$R$5:$R$304,0))&amp;"","?"))</f>
        <v/>
      </c>
      <c r="N4838" s="2" t="str">
        <f aca="false"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 t="str">
        <f aca="false">IF(OR(F4838="",G4838=""),"",IF(G4838&lt;='RETRATO 2027'!$K$5,"CONCLUÍDA",IF(F4838&lt;='RETRATO 2027'!$K$5,"EM ANDAMENTO","A INICIAR")))</f>
        <v/>
      </c>
    </row>
    <row r="4839" customFormat="false" ht="15" hidden="false" customHeight="false" outlineLevel="0" collapsed="false">
      <c r="M4839" s="2" t="str">
        <f aca="false">IF(C4839="","",IFERROR(INDEX($S$5:$S$304,MATCH(C4839,$R$5:$R$304,0))&amp;"","?"))</f>
        <v/>
      </c>
      <c r="N4839" s="2" t="str">
        <f aca="false"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 t="str">
        <f aca="false">IF(OR(F4839="",G4839=""),"",IF(G4839&lt;='RETRATO 2027'!$K$5,"CONCLUÍDA",IF(F4839&lt;='RETRATO 2027'!$K$5,"EM ANDAMENTO","A INICIAR")))</f>
        <v/>
      </c>
    </row>
    <row r="4840" customFormat="false" ht="15" hidden="false" customHeight="false" outlineLevel="0" collapsed="false">
      <c r="M4840" s="2" t="str">
        <f aca="false">IF(C4840="","",IFERROR(INDEX($S$5:$S$304,MATCH(C4840,$R$5:$R$304,0))&amp;"","?"))</f>
        <v/>
      </c>
      <c r="N4840" s="2" t="str">
        <f aca="false"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 t="str">
        <f aca="false">IF(OR(F4840="",G4840=""),"",IF(G4840&lt;='RETRATO 2027'!$K$5,"CONCLUÍDA",IF(F4840&lt;='RETRATO 2027'!$K$5,"EM ANDAMENTO","A INICIAR")))</f>
        <v/>
      </c>
    </row>
    <row r="4841" customFormat="false" ht="15" hidden="false" customHeight="false" outlineLevel="0" collapsed="false">
      <c r="M4841" s="2" t="str">
        <f aca="false">IF(C4841="","",IFERROR(INDEX($S$5:$S$304,MATCH(C4841,$R$5:$R$304,0))&amp;"","?"))</f>
        <v/>
      </c>
      <c r="N4841" s="2" t="str">
        <f aca="false"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 t="str">
        <f aca="false">IF(OR(F4841="",G4841=""),"",IF(G4841&lt;='RETRATO 2027'!$K$5,"CONCLUÍDA",IF(F4841&lt;='RETRATO 2027'!$K$5,"EM ANDAMENTO","A INICIAR")))</f>
        <v/>
      </c>
    </row>
    <row r="4842" customFormat="false" ht="15" hidden="false" customHeight="false" outlineLevel="0" collapsed="false">
      <c r="M4842" s="2" t="str">
        <f aca="false">IF(C4842="","",IFERROR(INDEX($S$5:$S$304,MATCH(C4842,$R$5:$R$304,0))&amp;"","?"))</f>
        <v/>
      </c>
      <c r="N4842" s="2" t="str">
        <f aca="false"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 t="str">
        <f aca="false">IF(OR(F4842="",G4842=""),"",IF(G4842&lt;='RETRATO 2027'!$K$5,"CONCLUÍDA",IF(F4842&lt;='RETRATO 2027'!$K$5,"EM ANDAMENTO","A INICIAR")))</f>
        <v/>
      </c>
    </row>
    <row r="4843" customFormat="false" ht="15" hidden="false" customHeight="false" outlineLevel="0" collapsed="false">
      <c r="M4843" s="2" t="str">
        <f aca="false">IF(C4843="","",IFERROR(INDEX($S$5:$S$304,MATCH(C4843,$R$5:$R$304,0))&amp;"","?"))</f>
        <v/>
      </c>
      <c r="N4843" s="2" t="str">
        <f aca="false"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 t="str">
        <f aca="false">IF(OR(F4843="",G4843=""),"",IF(G4843&lt;='RETRATO 2027'!$K$5,"CONCLUÍDA",IF(F4843&lt;='RETRATO 2027'!$K$5,"EM ANDAMENTO","A INICIAR")))</f>
        <v/>
      </c>
    </row>
    <row r="4844" customFormat="false" ht="15" hidden="false" customHeight="false" outlineLevel="0" collapsed="false">
      <c r="M4844" s="2" t="str">
        <f aca="false">IF(C4844="","",IFERROR(INDEX($S$5:$S$304,MATCH(C4844,$R$5:$R$304,0))&amp;"","?"))</f>
        <v/>
      </c>
      <c r="N4844" s="2" t="str">
        <f aca="false"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 t="str">
        <f aca="false">IF(OR(F4844="",G4844=""),"",IF(G4844&lt;='RETRATO 2027'!$K$5,"CONCLUÍDA",IF(F4844&lt;='RETRATO 2027'!$K$5,"EM ANDAMENTO","A INICIAR")))</f>
        <v/>
      </c>
    </row>
    <row r="4845" customFormat="false" ht="15" hidden="false" customHeight="false" outlineLevel="0" collapsed="false">
      <c r="M4845" s="2" t="str">
        <f aca="false">IF(C4845="","",IFERROR(INDEX($S$5:$S$304,MATCH(C4845,$R$5:$R$304,0))&amp;"","?"))</f>
        <v/>
      </c>
      <c r="N4845" s="2" t="str">
        <f aca="false"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 t="str">
        <f aca="false">IF(OR(F4845="",G4845=""),"",IF(G4845&lt;='RETRATO 2027'!$K$5,"CONCLUÍDA",IF(F4845&lt;='RETRATO 2027'!$K$5,"EM ANDAMENTO","A INICIAR")))</f>
        <v/>
      </c>
    </row>
    <row r="4846" customFormat="false" ht="15" hidden="false" customHeight="false" outlineLevel="0" collapsed="false">
      <c r="M4846" s="2" t="str">
        <f aca="false">IF(C4846="","",IFERROR(INDEX($S$5:$S$304,MATCH(C4846,$R$5:$R$304,0))&amp;"","?"))</f>
        <v/>
      </c>
      <c r="N4846" s="2" t="str">
        <f aca="false"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 t="str">
        <f aca="false">IF(OR(F4846="",G4846=""),"",IF(G4846&lt;='RETRATO 2027'!$K$5,"CONCLUÍDA",IF(F4846&lt;='RETRATO 2027'!$K$5,"EM ANDAMENTO","A INICIAR")))</f>
        <v/>
      </c>
    </row>
    <row r="4847" customFormat="false" ht="15" hidden="false" customHeight="false" outlineLevel="0" collapsed="false">
      <c r="M4847" s="2" t="str">
        <f aca="false">IF(C4847="","",IFERROR(INDEX($S$5:$S$304,MATCH(C4847,$R$5:$R$304,0))&amp;"","?"))</f>
        <v/>
      </c>
      <c r="N4847" s="2" t="str">
        <f aca="false"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 t="str">
        <f aca="false">IF(OR(F4847="",G4847=""),"",IF(G4847&lt;='RETRATO 2027'!$K$5,"CONCLUÍDA",IF(F4847&lt;='RETRATO 2027'!$K$5,"EM ANDAMENTO","A INICIAR")))</f>
        <v/>
      </c>
    </row>
    <row r="4848" customFormat="false" ht="15" hidden="false" customHeight="false" outlineLevel="0" collapsed="false">
      <c r="M4848" s="2" t="str">
        <f aca="false">IF(C4848="","",IFERROR(INDEX($S$5:$S$304,MATCH(C4848,$R$5:$R$304,0))&amp;"","?"))</f>
        <v/>
      </c>
      <c r="N4848" s="2" t="str">
        <f aca="false"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 t="str">
        <f aca="false">IF(OR(F4848="",G4848=""),"",IF(G4848&lt;='RETRATO 2027'!$K$5,"CONCLUÍDA",IF(F4848&lt;='RETRATO 2027'!$K$5,"EM ANDAMENTO","A INICIAR")))</f>
        <v/>
      </c>
    </row>
    <row r="4849" customFormat="false" ht="15" hidden="false" customHeight="false" outlineLevel="0" collapsed="false">
      <c r="M4849" s="2" t="str">
        <f aca="false">IF(C4849="","",IFERROR(INDEX($S$5:$S$304,MATCH(C4849,$R$5:$R$304,0))&amp;"","?"))</f>
        <v/>
      </c>
      <c r="N4849" s="2" t="str">
        <f aca="false"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 t="str">
        <f aca="false">IF(OR(F4849="",G4849=""),"",IF(G4849&lt;='RETRATO 2027'!$K$5,"CONCLUÍDA",IF(F4849&lt;='RETRATO 2027'!$K$5,"EM ANDAMENTO","A INICIAR")))</f>
        <v/>
      </c>
    </row>
    <row r="4850" customFormat="false" ht="15" hidden="false" customHeight="false" outlineLevel="0" collapsed="false">
      <c r="M4850" s="2" t="str">
        <f aca="false">IF(C4850="","",IFERROR(INDEX($S$5:$S$304,MATCH(C4850,$R$5:$R$304,0))&amp;"","?"))</f>
        <v/>
      </c>
      <c r="N4850" s="2" t="str">
        <f aca="false"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 t="str">
        <f aca="false">IF(OR(F4850="",G4850=""),"",IF(G4850&lt;='RETRATO 2027'!$K$5,"CONCLUÍDA",IF(F4850&lt;='RETRATO 2027'!$K$5,"EM ANDAMENTO","A INICIAR")))</f>
        <v/>
      </c>
    </row>
    <row r="4851" customFormat="false" ht="15" hidden="false" customHeight="false" outlineLevel="0" collapsed="false">
      <c r="M4851" s="2" t="str">
        <f aca="false">IF(C4851="","",IFERROR(INDEX($S$5:$S$304,MATCH(C4851,$R$5:$R$304,0))&amp;"","?"))</f>
        <v/>
      </c>
      <c r="N4851" s="2" t="str">
        <f aca="false"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 t="str">
        <f aca="false">IF(OR(F4851="",G4851=""),"",IF(G4851&lt;='RETRATO 2027'!$K$5,"CONCLUÍDA",IF(F4851&lt;='RETRATO 2027'!$K$5,"EM ANDAMENTO","A INICIAR")))</f>
        <v/>
      </c>
    </row>
    <row r="4852" customFormat="false" ht="15" hidden="false" customHeight="false" outlineLevel="0" collapsed="false">
      <c r="M4852" s="2" t="str">
        <f aca="false">IF(C4852="","",IFERROR(INDEX($S$5:$S$304,MATCH(C4852,$R$5:$R$304,0))&amp;"","?"))</f>
        <v/>
      </c>
      <c r="N4852" s="2" t="str">
        <f aca="false"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 t="str">
        <f aca="false">IF(OR(F4852="",G4852=""),"",IF(G4852&lt;='RETRATO 2027'!$K$5,"CONCLUÍDA",IF(F4852&lt;='RETRATO 2027'!$K$5,"EM ANDAMENTO","A INICIAR")))</f>
        <v/>
      </c>
    </row>
    <row r="4853" customFormat="false" ht="15" hidden="false" customHeight="false" outlineLevel="0" collapsed="false">
      <c r="M4853" s="2" t="str">
        <f aca="false">IF(C4853="","",IFERROR(INDEX($S$5:$S$304,MATCH(C4853,$R$5:$R$304,0))&amp;"","?"))</f>
        <v/>
      </c>
      <c r="N4853" s="2" t="str">
        <f aca="false"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 t="str">
        <f aca="false">IF(OR(F4853="",G4853=""),"",IF(G4853&lt;='RETRATO 2027'!$K$5,"CONCLUÍDA",IF(F4853&lt;='RETRATO 2027'!$K$5,"EM ANDAMENTO","A INICIAR")))</f>
        <v/>
      </c>
    </row>
    <row r="4854" customFormat="false" ht="15" hidden="false" customHeight="false" outlineLevel="0" collapsed="false">
      <c r="M4854" s="2" t="str">
        <f aca="false">IF(C4854="","",IFERROR(INDEX($S$5:$S$304,MATCH(C4854,$R$5:$R$304,0))&amp;"","?"))</f>
        <v/>
      </c>
      <c r="N4854" s="2" t="str">
        <f aca="false"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 t="str">
        <f aca="false">IF(OR(F4854="",G4854=""),"",IF(G4854&lt;='RETRATO 2027'!$K$5,"CONCLUÍDA",IF(F4854&lt;='RETRATO 2027'!$K$5,"EM ANDAMENTO","A INICIAR")))</f>
        <v/>
      </c>
    </row>
    <row r="4855" customFormat="false" ht="15" hidden="false" customHeight="false" outlineLevel="0" collapsed="false">
      <c r="M4855" s="2" t="str">
        <f aca="false">IF(C4855="","",IFERROR(INDEX($S$5:$S$304,MATCH(C4855,$R$5:$R$304,0))&amp;"","?"))</f>
        <v/>
      </c>
      <c r="N4855" s="2" t="str">
        <f aca="false"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 t="str">
        <f aca="false">IF(OR(F4855="",G4855=""),"",IF(G4855&lt;='RETRATO 2027'!$K$5,"CONCLUÍDA",IF(F4855&lt;='RETRATO 2027'!$K$5,"EM ANDAMENTO","A INICIAR")))</f>
        <v/>
      </c>
    </row>
    <row r="4856" customFormat="false" ht="15" hidden="false" customHeight="false" outlineLevel="0" collapsed="false">
      <c r="M4856" s="2" t="str">
        <f aca="false">IF(C4856="","",IFERROR(INDEX($S$5:$S$304,MATCH(C4856,$R$5:$R$304,0))&amp;"","?"))</f>
        <v/>
      </c>
      <c r="N4856" s="2" t="str">
        <f aca="false"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 t="str">
        <f aca="false">IF(OR(F4856="",G4856=""),"",IF(G4856&lt;='RETRATO 2027'!$K$5,"CONCLUÍDA",IF(F4856&lt;='RETRATO 2027'!$K$5,"EM ANDAMENTO","A INICIAR")))</f>
        <v/>
      </c>
    </row>
    <row r="4857" customFormat="false" ht="15" hidden="false" customHeight="false" outlineLevel="0" collapsed="false">
      <c r="M4857" s="2" t="str">
        <f aca="false">IF(C4857="","",IFERROR(INDEX($S$5:$S$304,MATCH(C4857,$R$5:$R$304,0))&amp;"","?"))</f>
        <v/>
      </c>
      <c r="N4857" s="2" t="str">
        <f aca="false"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 t="str">
        <f aca="false">IF(OR(F4857="",G4857=""),"",IF(G4857&lt;='RETRATO 2027'!$K$5,"CONCLUÍDA",IF(F4857&lt;='RETRATO 2027'!$K$5,"EM ANDAMENTO","A INICIAR")))</f>
        <v/>
      </c>
    </row>
    <row r="4858" customFormat="false" ht="15" hidden="false" customHeight="false" outlineLevel="0" collapsed="false">
      <c r="M4858" s="2" t="str">
        <f aca="false">IF(C4858="","",IFERROR(INDEX($S$5:$S$304,MATCH(C4858,$R$5:$R$304,0))&amp;"","?"))</f>
        <v/>
      </c>
      <c r="N4858" s="2" t="str">
        <f aca="false"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 t="str">
        <f aca="false">IF(OR(F4858="",G4858=""),"",IF(G4858&lt;='RETRATO 2027'!$K$5,"CONCLUÍDA",IF(F4858&lt;='RETRATO 2027'!$K$5,"EM ANDAMENTO","A INICIAR")))</f>
        <v/>
      </c>
    </row>
    <row r="4859" customFormat="false" ht="15" hidden="false" customHeight="false" outlineLevel="0" collapsed="false">
      <c r="M4859" s="2" t="str">
        <f aca="false">IF(C4859="","",IFERROR(INDEX($S$5:$S$304,MATCH(C4859,$R$5:$R$304,0))&amp;"","?"))</f>
        <v/>
      </c>
      <c r="N4859" s="2" t="str">
        <f aca="false"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 t="str">
        <f aca="false">IF(OR(F4859="",G4859=""),"",IF(G4859&lt;='RETRATO 2027'!$K$5,"CONCLUÍDA",IF(F4859&lt;='RETRATO 2027'!$K$5,"EM ANDAMENTO","A INICIAR")))</f>
        <v/>
      </c>
    </row>
    <row r="4860" customFormat="false" ht="15" hidden="false" customHeight="false" outlineLevel="0" collapsed="false">
      <c r="M4860" s="2" t="str">
        <f aca="false">IF(C4860="","",IFERROR(INDEX($S$5:$S$304,MATCH(C4860,$R$5:$R$304,0))&amp;"","?"))</f>
        <v/>
      </c>
      <c r="N4860" s="2" t="str">
        <f aca="false"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 t="str">
        <f aca="false">IF(OR(F4860="",G4860=""),"",IF(G4860&lt;='RETRATO 2027'!$K$5,"CONCLUÍDA",IF(F4860&lt;='RETRATO 2027'!$K$5,"EM ANDAMENTO","A INICIAR")))</f>
        <v/>
      </c>
    </row>
    <row r="4861" customFormat="false" ht="15" hidden="false" customHeight="false" outlineLevel="0" collapsed="false">
      <c r="M4861" s="2" t="str">
        <f aca="false">IF(C4861="","",IFERROR(INDEX($S$5:$S$304,MATCH(C4861,$R$5:$R$304,0))&amp;"","?"))</f>
        <v/>
      </c>
      <c r="N4861" s="2" t="str">
        <f aca="false"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 t="str">
        <f aca="false">IF(OR(F4861="",G4861=""),"",IF(G4861&lt;='RETRATO 2027'!$K$5,"CONCLUÍDA",IF(F4861&lt;='RETRATO 2027'!$K$5,"EM ANDAMENTO","A INICIAR")))</f>
        <v/>
      </c>
    </row>
    <row r="4862" customFormat="false" ht="15" hidden="false" customHeight="false" outlineLevel="0" collapsed="false">
      <c r="M4862" s="2" t="str">
        <f aca="false">IF(C4862="","",IFERROR(INDEX($S$5:$S$304,MATCH(C4862,$R$5:$R$304,0))&amp;"","?"))</f>
        <v/>
      </c>
      <c r="N4862" s="2" t="str">
        <f aca="false"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 t="str">
        <f aca="false">IF(OR(F4862="",G4862=""),"",IF(G4862&lt;='RETRATO 2027'!$K$5,"CONCLUÍDA",IF(F4862&lt;='RETRATO 2027'!$K$5,"EM ANDAMENTO","A INICIAR")))</f>
        <v/>
      </c>
    </row>
    <row r="4863" customFormat="false" ht="15" hidden="false" customHeight="false" outlineLevel="0" collapsed="false">
      <c r="M4863" s="2" t="str">
        <f aca="false">IF(C4863="","",IFERROR(INDEX($S$5:$S$304,MATCH(C4863,$R$5:$R$304,0))&amp;"","?"))</f>
        <v/>
      </c>
      <c r="N4863" s="2" t="str">
        <f aca="false"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 t="str">
        <f aca="false">IF(OR(F4863="",G4863=""),"",IF(G4863&lt;='RETRATO 2027'!$K$5,"CONCLUÍDA",IF(F4863&lt;='RETRATO 2027'!$K$5,"EM ANDAMENTO","A INICIAR")))</f>
        <v/>
      </c>
    </row>
    <row r="4864" customFormat="false" ht="15" hidden="false" customHeight="false" outlineLevel="0" collapsed="false">
      <c r="M4864" s="2" t="str">
        <f aca="false">IF(C4864="","",IFERROR(INDEX($S$5:$S$304,MATCH(C4864,$R$5:$R$304,0))&amp;"","?"))</f>
        <v/>
      </c>
      <c r="N4864" s="2" t="str">
        <f aca="false"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 t="str">
        <f aca="false">IF(OR(F4864="",G4864=""),"",IF(G4864&lt;='RETRATO 2027'!$K$5,"CONCLUÍDA",IF(F4864&lt;='RETRATO 2027'!$K$5,"EM ANDAMENTO","A INICIAR")))</f>
        <v/>
      </c>
    </row>
    <row r="4865" customFormat="false" ht="15" hidden="false" customHeight="false" outlineLevel="0" collapsed="false">
      <c r="M4865" s="2" t="str">
        <f aca="false">IF(C4865="","",IFERROR(INDEX($S$5:$S$304,MATCH(C4865,$R$5:$R$304,0))&amp;"","?"))</f>
        <v/>
      </c>
      <c r="N4865" s="2" t="str">
        <f aca="false"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 t="str">
        <f aca="false">IF(OR(F4865="",G4865=""),"",IF(G4865&lt;='RETRATO 2027'!$K$5,"CONCLUÍDA",IF(F4865&lt;='RETRATO 2027'!$K$5,"EM ANDAMENTO","A INICIAR")))</f>
        <v/>
      </c>
    </row>
    <row r="4866" customFormat="false" ht="15" hidden="false" customHeight="false" outlineLevel="0" collapsed="false">
      <c r="M4866" s="2" t="str">
        <f aca="false">IF(C4866="","",IFERROR(INDEX($S$5:$S$304,MATCH(C4866,$R$5:$R$304,0))&amp;"","?"))</f>
        <v/>
      </c>
      <c r="N4866" s="2" t="str">
        <f aca="false"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 t="str">
        <f aca="false">IF(OR(F4866="",G4866=""),"",IF(G4866&lt;='RETRATO 2027'!$K$5,"CONCLUÍDA",IF(F4866&lt;='RETRATO 2027'!$K$5,"EM ANDAMENTO","A INICIAR")))</f>
        <v/>
      </c>
    </row>
    <row r="4867" customFormat="false" ht="15" hidden="false" customHeight="false" outlineLevel="0" collapsed="false">
      <c r="M4867" s="2" t="str">
        <f aca="false">IF(C4867="","",IFERROR(INDEX($S$5:$S$304,MATCH(C4867,$R$5:$R$304,0))&amp;"","?"))</f>
        <v/>
      </c>
      <c r="N4867" s="2" t="str">
        <f aca="false"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 t="str">
        <f aca="false">IF(OR(F4867="",G4867=""),"",IF(G4867&lt;='RETRATO 2027'!$K$5,"CONCLUÍDA",IF(F4867&lt;='RETRATO 2027'!$K$5,"EM ANDAMENTO","A INICIAR")))</f>
        <v/>
      </c>
    </row>
    <row r="4868" customFormat="false" ht="15" hidden="false" customHeight="false" outlineLevel="0" collapsed="false">
      <c r="M4868" s="2" t="str">
        <f aca="false">IF(C4868="","",IFERROR(INDEX($S$5:$S$304,MATCH(C4868,$R$5:$R$304,0))&amp;"","?"))</f>
        <v/>
      </c>
      <c r="N4868" s="2" t="str">
        <f aca="false"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 t="str">
        <f aca="false">IF(OR(F4868="",G4868=""),"",IF(G4868&lt;='RETRATO 2027'!$K$5,"CONCLUÍDA",IF(F4868&lt;='RETRATO 2027'!$K$5,"EM ANDAMENTO","A INICIAR")))</f>
        <v/>
      </c>
    </row>
    <row r="4869" customFormat="false" ht="15" hidden="false" customHeight="false" outlineLevel="0" collapsed="false">
      <c r="M4869" s="2" t="str">
        <f aca="false">IF(C4869="","",IFERROR(INDEX($S$5:$S$304,MATCH(C4869,$R$5:$R$304,0))&amp;"","?"))</f>
        <v/>
      </c>
      <c r="N4869" s="2" t="str">
        <f aca="false"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 t="str">
        <f aca="false">IF(OR(F4869="",G4869=""),"",IF(G4869&lt;='RETRATO 2027'!$K$5,"CONCLUÍDA",IF(F4869&lt;='RETRATO 2027'!$K$5,"EM ANDAMENTO","A INICIAR")))</f>
        <v/>
      </c>
    </row>
    <row r="4870" customFormat="false" ht="15" hidden="false" customHeight="false" outlineLevel="0" collapsed="false">
      <c r="M4870" s="2" t="str">
        <f aca="false">IF(C4870="","",IFERROR(INDEX($S$5:$S$304,MATCH(C4870,$R$5:$R$304,0))&amp;"","?"))</f>
        <v/>
      </c>
      <c r="N4870" s="2" t="str">
        <f aca="false"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 t="str">
        <f aca="false">IF(OR(F4870="",G4870=""),"",IF(G4870&lt;='RETRATO 2027'!$K$5,"CONCLUÍDA",IF(F4870&lt;='RETRATO 2027'!$K$5,"EM ANDAMENTO","A INICIAR")))</f>
        <v/>
      </c>
    </row>
    <row r="4871" customFormat="false" ht="15" hidden="false" customHeight="false" outlineLevel="0" collapsed="false">
      <c r="M4871" s="2" t="str">
        <f aca="false">IF(C4871="","",IFERROR(INDEX($S$5:$S$304,MATCH(C4871,$R$5:$R$304,0))&amp;"","?"))</f>
        <v/>
      </c>
      <c r="N4871" s="2" t="str">
        <f aca="false"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 t="str">
        <f aca="false">IF(OR(F4871="",G4871=""),"",IF(G4871&lt;='RETRATO 2027'!$K$5,"CONCLUÍDA",IF(F4871&lt;='RETRATO 2027'!$K$5,"EM ANDAMENTO","A INICIAR")))</f>
        <v/>
      </c>
    </row>
    <row r="4872" customFormat="false" ht="15" hidden="false" customHeight="false" outlineLevel="0" collapsed="false">
      <c r="M4872" s="2" t="str">
        <f aca="false">IF(C4872="","",IFERROR(INDEX($S$5:$S$304,MATCH(C4872,$R$5:$R$304,0))&amp;"","?"))</f>
        <v/>
      </c>
      <c r="N4872" s="2" t="str">
        <f aca="false"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 t="str">
        <f aca="false">IF(OR(F4872="",G4872=""),"",IF(G4872&lt;='RETRATO 2027'!$K$5,"CONCLUÍDA",IF(F4872&lt;='RETRATO 2027'!$K$5,"EM ANDAMENTO","A INICIAR")))</f>
        <v/>
      </c>
    </row>
    <row r="4873" customFormat="false" ht="15" hidden="false" customHeight="false" outlineLevel="0" collapsed="false">
      <c r="M4873" s="2" t="str">
        <f aca="false">IF(C4873="","",IFERROR(INDEX($S$5:$S$304,MATCH(C4873,$R$5:$R$304,0))&amp;"","?"))</f>
        <v/>
      </c>
      <c r="N4873" s="2" t="str">
        <f aca="false"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 t="str">
        <f aca="false">IF(OR(F4873="",G4873=""),"",IF(G4873&lt;='RETRATO 2027'!$K$5,"CONCLUÍDA",IF(F4873&lt;='RETRATO 2027'!$K$5,"EM ANDAMENTO","A INICIAR")))</f>
        <v/>
      </c>
    </row>
    <row r="4874" customFormat="false" ht="15" hidden="false" customHeight="false" outlineLevel="0" collapsed="false">
      <c r="M4874" s="2" t="str">
        <f aca="false">IF(C4874="","",IFERROR(INDEX($S$5:$S$304,MATCH(C4874,$R$5:$R$304,0))&amp;"","?"))</f>
        <v/>
      </c>
      <c r="N4874" s="2" t="str">
        <f aca="false"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 t="str">
        <f aca="false">IF(OR(F4874="",G4874=""),"",IF(G4874&lt;='RETRATO 2027'!$K$5,"CONCLUÍDA",IF(F4874&lt;='RETRATO 2027'!$K$5,"EM ANDAMENTO","A INICIAR")))</f>
        <v/>
      </c>
    </row>
    <row r="4875" customFormat="false" ht="15" hidden="false" customHeight="false" outlineLevel="0" collapsed="false">
      <c r="M4875" s="2" t="str">
        <f aca="false">IF(C4875="","",IFERROR(INDEX($S$5:$S$304,MATCH(C4875,$R$5:$R$304,0))&amp;"","?"))</f>
        <v/>
      </c>
      <c r="N4875" s="2" t="str">
        <f aca="false"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 t="str">
        <f aca="false">IF(OR(F4875="",G4875=""),"",IF(G4875&lt;='RETRATO 2027'!$K$5,"CONCLUÍDA",IF(F4875&lt;='RETRATO 2027'!$K$5,"EM ANDAMENTO","A INICIAR")))</f>
        <v/>
      </c>
    </row>
    <row r="4876" customFormat="false" ht="15" hidden="false" customHeight="false" outlineLevel="0" collapsed="false">
      <c r="M4876" s="2" t="str">
        <f aca="false">IF(C4876="","",IFERROR(INDEX($S$5:$S$304,MATCH(C4876,$R$5:$R$304,0))&amp;"","?"))</f>
        <v/>
      </c>
      <c r="N4876" s="2" t="str">
        <f aca="false"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 t="str">
        <f aca="false">IF(OR(F4876="",G4876=""),"",IF(G4876&lt;='RETRATO 2027'!$K$5,"CONCLUÍDA",IF(F4876&lt;='RETRATO 2027'!$K$5,"EM ANDAMENTO","A INICIAR")))</f>
        <v/>
      </c>
    </row>
    <row r="4877" customFormat="false" ht="15" hidden="false" customHeight="false" outlineLevel="0" collapsed="false">
      <c r="M4877" s="2" t="str">
        <f aca="false">IF(C4877="","",IFERROR(INDEX($S$5:$S$304,MATCH(C4877,$R$5:$R$304,0))&amp;"","?"))</f>
        <v/>
      </c>
      <c r="N4877" s="2" t="str">
        <f aca="false"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 t="str">
        <f aca="false">IF(OR(F4877="",G4877=""),"",IF(G4877&lt;='RETRATO 2027'!$K$5,"CONCLUÍDA",IF(F4877&lt;='RETRATO 2027'!$K$5,"EM ANDAMENTO","A INICIAR")))</f>
        <v/>
      </c>
    </row>
    <row r="4878" customFormat="false" ht="15" hidden="false" customHeight="false" outlineLevel="0" collapsed="false">
      <c r="M4878" s="2" t="str">
        <f aca="false">IF(C4878="","",IFERROR(INDEX($S$5:$S$304,MATCH(C4878,$R$5:$R$304,0))&amp;"","?"))</f>
        <v/>
      </c>
      <c r="N4878" s="2" t="str">
        <f aca="false"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 t="str">
        <f aca="false">IF(OR(F4878="",G4878=""),"",IF(G4878&lt;='RETRATO 2027'!$K$5,"CONCLUÍDA",IF(F4878&lt;='RETRATO 2027'!$K$5,"EM ANDAMENTO","A INICIAR")))</f>
        <v/>
      </c>
    </row>
    <row r="4879" customFormat="false" ht="15" hidden="false" customHeight="false" outlineLevel="0" collapsed="false">
      <c r="M4879" s="2" t="str">
        <f aca="false">IF(C4879="","",IFERROR(INDEX($S$5:$S$304,MATCH(C4879,$R$5:$R$304,0))&amp;"","?"))</f>
        <v/>
      </c>
      <c r="N4879" s="2" t="str">
        <f aca="false"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 t="str">
        <f aca="false">IF(OR(F4879="",G4879=""),"",IF(G4879&lt;='RETRATO 2027'!$K$5,"CONCLUÍDA",IF(F4879&lt;='RETRATO 2027'!$K$5,"EM ANDAMENTO","A INICIAR")))</f>
        <v/>
      </c>
    </row>
    <row r="4880" customFormat="false" ht="15" hidden="false" customHeight="false" outlineLevel="0" collapsed="false">
      <c r="M4880" s="2" t="str">
        <f aca="false">IF(C4880="","",IFERROR(INDEX($S$5:$S$304,MATCH(C4880,$R$5:$R$304,0))&amp;"","?"))</f>
        <v/>
      </c>
      <c r="N4880" s="2" t="str">
        <f aca="false"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 t="str">
        <f aca="false">IF(OR(F4880="",G4880=""),"",IF(G4880&lt;='RETRATO 2027'!$K$5,"CONCLUÍDA",IF(F4880&lt;='RETRATO 2027'!$K$5,"EM ANDAMENTO","A INICIAR")))</f>
        <v/>
      </c>
    </row>
    <row r="4881" customFormat="false" ht="15" hidden="false" customHeight="false" outlineLevel="0" collapsed="false">
      <c r="M4881" s="2" t="str">
        <f aca="false">IF(C4881="","",IFERROR(INDEX($S$5:$S$304,MATCH(C4881,$R$5:$R$304,0))&amp;"","?"))</f>
        <v/>
      </c>
      <c r="N4881" s="2" t="str">
        <f aca="false"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 t="str">
        <f aca="false">IF(OR(F4881="",G4881=""),"",IF(G4881&lt;='RETRATO 2027'!$K$5,"CONCLUÍDA",IF(F4881&lt;='RETRATO 2027'!$K$5,"EM ANDAMENTO","A INICIAR")))</f>
        <v/>
      </c>
    </row>
    <row r="4882" customFormat="false" ht="15" hidden="false" customHeight="false" outlineLevel="0" collapsed="false">
      <c r="M4882" s="2" t="str">
        <f aca="false">IF(C4882="","",IFERROR(INDEX($S$5:$S$304,MATCH(C4882,$R$5:$R$304,0))&amp;"","?"))</f>
        <v/>
      </c>
      <c r="N4882" s="2" t="str">
        <f aca="false"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 t="str">
        <f aca="false">IF(OR(F4882="",G4882=""),"",IF(G4882&lt;='RETRATO 2027'!$K$5,"CONCLUÍDA",IF(F4882&lt;='RETRATO 2027'!$K$5,"EM ANDAMENTO","A INICIAR")))</f>
        <v/>
      </c>
    </row>
    <row r="4883" customFormat="false" ht="15" hidden="false" customHeight="false" outlineLevel="0" collapsed="false">
      <c r="M4883" s="2" t="str">
        <f aca="false">IF(C4883="","",IFERROR(INDEX($S$5:$S$304,MATCH(C4883,$R$5:$R$304,0))&amp;"","?"))</f>
        <v/>
      </c>
      <c r="N4883" s="2" t="str">
        <f aca="false"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 t="str">
        <f aca="false">IF(OR(F4883="",G4883=""),"",IF(G4883&lt;='RETRATO 2027'!$K$5,"CONCLUÍDA",IF(F4883&lt;='RETRATO 2027'!$K$5,"EM ANDAMENTO","A INICIAR")))</f>
        <v/>
      </c>
    </row>
    <row r="4884" customFormat="false" ht="15" hidden="false" customHeight="false" outlineLevel="0" collapsed="false">
      <c r="M4884" s="2" t="str">
        <f aca="false">IF(C4884="","",IFERROR(INDEX($S$5:$S$304,MATCH(C4884,$R$5:$R$304,0))&amp;"","?"))</f>
        <v/>
      </c>
      <c r="N4884" s="2" t="str">
        <f aca="false"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 t="str">
        <f aca="false">IF(OR(F4884="",G4884=""),"",IF(G4884&lt;='RETRATO 2027'!$K$5,"CONCLUÍDA",IF(F4884&lt;='RETRATO 2027'!$K$5,"EM ANDAMENTO","A INICIAR")))</f>
        <v/>
      </c>
    </row>
    <row r="4885" customFormat="false" ht="15" hidden="false" customHeight="false" outlineLevel="0" collapsed="false">
      <c r="M4885" s="2" t="str">
        <f aca="false">IF(C4885="","",IFERROR(INDEX($S$5:$S$304,MATCH(C4885,$R$5:$R$304,0))&amp;"","?"))</f>
        <v/>
      </c>
      <c r="N4885" s="2" t="str">
        <f aca="false"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 t="str">
        <f aca="false">IF(OR(F4885="",G4885=""),"",IF(G4885&lt;='RETRATO 2027'!$K$5,"CONCLUÍDA",IF(F4885&lt;='RETRATO 2027'!$K$5,"EM ANDAMENTO","A INICIAR")))</f>
        <v/>
      </c>
    </row>
    <row r="4886" customFormat="false" ht="15" hidden="false" customHeight="false" outlineLevel="0" collapsed="false">
      <c r="M4886" s="2" t="str">
        <f aca="false">IF(C4886="","",IFERROR(INDEX($S$5:$S$304,MATCH(C4886,$R$5:$R$304,0))&amp;"","?"))</f>
        <v/>
      </c>
      <c r="N4886" s="2" t="str">
        <f aca="false"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 t="str">
        <f aca="false">IF(OR(F4886="",G4886=""),"",IF(G4886&lt;='RETRATO 2027'!$K$5,"CONCLUÍDA",IF(F4886&lt;='RETRATO 2027'!$K$5,"EM ANDAMENTO","A INICIAR")))</f>
        <v/>
      </c>
    </row>
    <row r="4887" customFormat="false" ht="15" hidden="false" customHeight="false" outlineLevel="0" collapsed="false">
      <c r="M4887" s="2" t="str">
        <f aca="false">IF(C4887="","",IFERROR(INDEX($S$5:$S$304,MATCH(C4887,$R$5:$R$304,0))&amp;"","?"))</f>
        <v/>
      </c>
      <c r="N4887" s="2" t="str">
        <f aca="false"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 t="str">
        <f aca="false">IF(OR(F4887="",G4887=""),"",IF(G4887&lt;='RETRATO 2027'!$K$5,"CONCLUÍDA",IF(F4887&lt;='RETRATO 2027'!$K$5,"EM ANDAMENTO","A INICIAR")))</f>
        <v/>
      </c>
    </row>
    <row r="4888" customFormat="false" ht="15" hidden="false" customHeight="false" outlineLevel="0" collapsed="false">
      <c r="M4888" s="2" t="str">
        <f aca="false">IF(C4888="","",IFERROR(INDEX($S$5:$S$304,MATCH(C4888,$R$5:$R$304,0))&amp;"","?"))</f>
        <v/>
      </c>
      <c r="N4888" s="2" t="str">
        <f aca="false"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 t="str">
        <f aca="false">IF(OR(F4888="",G4888=""),"",IF(G4888&lt;='RETRATO 2027'!$K$5,"CONCLUÍDA",IF(F4888&lt;='RETRATO 2027'!$K$5,"EM ANDAMENTO","A INICIAR")))</f>
        <v/>
      </c>
    </row>
    <row r="4889" customFormat="false" ht="15" hidden="false" customHeight="false" outlineLevel="0" collapsed="false">
      <c r="M4889" s="2" t="str">
        <f aca="false">IF(C4889="","",IFERROR(INDEX($S$5:$S$304,MATCH(C4889,$R$5:$R$304,0))&amp;"","?"))</f>
        <v/>
      </c>
      <c r="N4889" s="2" t="str">
        <f aca="false"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 t="str">
        <f aca="false">IF(OR(F4889="",G4889=""),"",IF(G4889&lt;='RETRATO 2027'!$K$5,"CONCLUÍDA",IF(F4889&lt;='RETRATO 2027'!$K$5,"EM ANDAMENTO","A INICIAR")))</f>
        <v/>
      </c>
    </row>
    <row r="4890" customFormat="false" ht="15" hidden="false" customHeight="false" outlineLevel="0" collapsed="false">
      <c r="M4890" s="2" t="str">
        <f aca="false">IF(C4890="","",IFERROR(INDEX($S$5:$S$304,MATCH(C4890,$R$5:$R$304,0))&amp;"","?"))</f>
        <v/>
      </c>
      <c r="N4890" s="2" t="str">
        <f aca="false"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 t="str">
        <f aca="false">IF(OR(F4890="",G4890=""),"",IF(G4890&lt;='RETRATO 2027'!$K$5,"CONCLUÍDA",IF(F4890&lt;='RETRATO 2027'!$K$5,"EM ANDAMENTO","A INICIAR")))</f>
        <v/>
      </c>
    </row>
    <row r="4891" customFormat="false" ht="15" hidden="false" customHeight="false" outlineLevel="0" collapsed="false">
      <c r="M4891" s="2" t="str">
        <f aca="false">IF(C4891="","",IFERROR(INDEX($S$5:$S$304,MATCH(C4891,$R$5:$R$304,0))&amp;"","?"))</f>
        <v/>
      </c>
      <c r="N4891" s="2" t="str">
        <f aca="false"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 t="str">
        <f aca="false">IF(OR(F4891="",G4891=""),"",IF(G4891&lt;='RETRATO 2027'!$K$5,"CONCLUÍDA",IF(F4891&lt;='RETRATO 2027'!$K$5,"EM ANDAMENTO","A INICIAR")))</f>
        <v/>
      </c>
    </row>
    <row r="4892" customFormat="false" ht="15" hidden="false" customHeight="false" outlineLevel="0" collapsed="false">
      <c r="M4892" s="2" t="str">
        <f aca="false">IF(C4892="","",IFERROR(INDEX($S$5:$S$304,MATCH(C4892,$R$5:$R$304,0))&amp;"","?"))</f>
        <v/>
      </c>
      <c r="N4892" s="2" t="str">
        <f aca="false"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 t="str">
        <f aca="false">IF(OR(F4892="",G4892=""),"",IF(G4892&lt;='RETRATO 2027'!$K$5,"CONCLUÍDA",IF(F4892&lt;='RETRATO 2027'!$K$5,"EM ANDAMENTO","A INICIAR")))</f>
        <v/>
      </c>
    </row>
    <row r="4893" customFormat="false" ht="15" hidden="false" customHeight="false" outlineLevel="0" collapsed="false">
      <c r="M4893" s="2" t="str">
        <f aca="false">IF(C4893="","",IFERROR(INDEX($S$5:$S$304,MATCH(C4893,$R$5:$R$304,0))&amp;"","?"))</f>
        <v/>
      </c>
      <c r="N4893" s="2" t="str">
        <f aca="false"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 t="str">
        <f aca="false">IF(OR(F4893="",G4893=""),"",IF(G4893&lt;='RETRATO 2027'!$K$5,"CONCLUÍDA",IF(F4893&lt;='RETRATO 2027'!$K$5,"EM ANDAMENTO","A INICIAR")))</f>
        <v/>
      </c>
    </row>
    <row r="4894" customFormat="false" ht="15" hidden="false" customHeight="false" outlineLevel="0" collapsed="false">
      <c r="M4894" s="2" t="str">
        <f aca="false">IF(C4894="","",IFERROR(INDEX($S$5:$S$304,MATCH(C4894,$R$5:$R$304,0))&amp;"","?"))</f>
        <v/>
      </c>
      <c r="N4894" s="2" t="str">
        <f aca="false"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 t="str">
        <f aca="false">IF(OR(F4894="",G4894=""),"",IF(G4894&lt;='RETRATO 2027'!$K$5,"CONCLUÍDA",IF(F4894&lt;='RETRATO 2027'!$K$5,"EM ANDAMENTO","A INICIAR")))</f>
        <v/>
      </c>
    </row>
    <row r="4895" customFormat="false" ht="15" hidden="false" customHeight="false" outlineLevel="0" collapsed="false">
      <c r="M4895" s="2" t="str">
        <f aca="false">IF(C4895="","",IFERROR(INDEX($S$5:$S$304,MATCH(C4895,$R$5:$R$304,0))&amp;"","?"))</f>
        <v/>
      </c>
      <c r="N4895" s="2" t="str">
        <f aca="false"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 t="str">
        <f aca="false">IF(OR(F4895="",G4895=""),"",IF(G4895&lt;='RETRATO 2027'!$K$5,"CONCLUÍDA",IF(F4895&lt;='RETRATO 2027'!$K$5,"EM ANDAMENTO","A INICIAR")))</f>
        <v/>
      </c>
    </row>
    <row r="4896" customFormat="false" ht="15" hidden="false" customHeight="false" outlineLevel="0" collapsed="false">
      <c r="M4896" s="2" t="str">
        <f aca="false">IF(C4896="","",IFERROR(INDEX($S$5:$S$304,MATCH(C4896,$R$5:$R$304,0))&amp;"","?"))</f>
        <v/>
      </c>
      <c r="N4896" s="2" t="str">
        <f aca="false"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 t="str">
        <f aca="false">IF(OR(F4896="",G4896=""),"",IF(G4896&lt;='RETRATO 2027'!$K$5,"CONCLUÍDA",IF(F4896&lt;='RETRATO 2027'!$K$5,"EM ANDAMENTO","A INICIAR")))</f>
        <v/>
      </c>
    </row>
    <row r="4897" customFormat="false" ht="15" hidden="false" customHeight="false" outlineLevel="0" collapsed="false">
      <c r="M4897" s="2" t="str">
        <f aca="false">IF(C4897="","",IFERROR(INDEX($S$5:$S$304,MATCH(C4897,$R$5:$R$304,0))&amp;"","?"))</f>
        <v/>
      </c>
      <c r="N4897" s="2" t="str">
        <f aca="false"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 t="str">
        <f aca="false">IF(OR(F4897="",G4897=""),"",IF(G4897&lt;='RETRATO 2027'!$K$5,"CONCLUÍDA",IF(F4897&lt;='RETRATO 2027'!$K$5,"EM ANDAMENTO","A INICIAR")))</f>
        <v/>
      </c>
    </row>
    <row r="4898" customFormat="false" ht="15" hidden="false" customHeight="false" outlineLevel="0" collapsed="false">
      <c r="M4898" s="2" t="str">
        <f aca="false">IF(C4898="","",IFERROR(INDEX($S$5:$S$304,MATCH(C4898,$R$5:$R$304,0))&amp;"","?"))</f>
        <v/>
      </c>
      <c r="N4898" s="2" t="str">
        <f aca="false"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 t="str">
        <f aca="false">IF(OR(F4898="",G4898=""),"",IF(G4898&lt;='RETRATO 2027'!$K$5,"CONCLUÍDA",IF(F4898&lt;='RETRATO 2027'!$K$5,"EM ANDAMENTO","A INICIAR")))</f>
        <v/>
      </c>
    </row>
    <row r="4899" customFormat="false" ht="15" hidden="false" customHeight="false" outlineLevel="0" collapsed="false">
      <c r="M4899" s="2" t="str">
        <f aca="false">IF(C4899="","",IFERROR(INDEX($S$5:$S$304,MATCH(C4899,$R$5:$R$304,0))&amp;"","?"))</f>
        <v/>
      </c>
      <c r="N4899" s="2" t="str">
        <f aca="false"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 t="str">
        <f aca="false">IF(OR(F4899="",G4899=""),"",IF(G4899&lt;='RETRATO 2027'!$K$5,"CONCLUÍDA",IF(F4899&lt;='RETRATO 2027'!$K$5,"EM ANDAMENTO","A INICIAR")))</f>
        <v/>
      </c>
    </row>
    <row r="4900" customFormat="false" ht="15" hidden="false" customHeight="false" outlineLevel="0" collapsed="false">
      <c r="M4900" s="2" t="str">
        <f aca="false">IF(C4900="","",IFERROR(INDEX($S$5:$S$304,MATCH(C4900,$R$5:$R$304,0))&amp;"","?"))</f>
        <v/>
      </c>
      <c r="N4900" s="2" t="str">
        <f aca="false"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 t="str">
        <f aca="false">IF(OR(F4900="",G4900=""),"",IF(G4900&lt;='RETRATO 2027'!$K$5,"CONCLUÍDA",IF(F4900&lt;='RETRATO 2027'!$K$5,"EM ANDAMENTO","A INICIAR")))</f>
        <v/>
      </c>
    </row>
    <row r="4901" customFormat="false" ht="15" hidden="false" customHeight="false" outlineLevel="0" collapsed="false">
      <c r="M4901" s="2" t="str">
        <f aca="false">IF(C4901="","",IFERROR(INDEX($S$5:$S$304,MATCH(C4901,$R$5:$R$304,0))&amp;"","?"))</f>
        <v/>
      </c>
      <c r="N4901" s="2" t="str">
        <f aca="false"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 t="str">
        <f aca="false">IF(OR(F4901="",G4901=""),"",IF(G4901&lt;='RETRATO 2027'!$K$5,"CONCLUÍDA",IF(F4901&lt;='RETRATO 2027'!$K$5,"EM ANDAMENTO","A INICIAR")))</f>
        <v/>
      </c>
    </row>
    <row r="4902" customFormat="false" ht="15" hidden="false" customHeight="false" outlineLevel="0" collapsed="false">
      <c r="M4902" s="2" t="str">
        <f aca="false">IF(C4902="","",IFERROR(INDEX($S$5:$S$304,MATCH(C4902,$R$5:$R$304,0))&amp;"","?"))</f>
        <v/>
      </c>
      <c r="N4902" s="2" t="str">
        <f aca="false"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 t="str">
        <f aca="false">IF(OR(F4902="",G4902=""),"",IF(G4902&lt;='RETRATO 2027'!$K$5,"CONCLUÍDA",IF(F4902&lt;='RETRATO 2027'!$K$5,"EM ANDAMENTO","A INICIAR")))</f>
        <v/>
      </c>
    </row>
    <row r="4903" customFormat="false" ht="15" hidden="false" customHeight="false" outlineLevel="0" collapsed="false">
      <c r="M4903" s="2" t="str">
        <f aca="false">IF(C4903="","",IFERROR(INDEX($S$5:$S$304,MATCH(C4903,$R$5:$R$304,0))&amp;"","?"))</f>
        <v/>
      </c>
      <c r="N4903" s="2" t="str">
        <f aca="false"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 t="str">
        <f aca="false">IF(OR(F4903="",G4903=""),"",IF(G4903&lt;='RETRATO 2027'!$K$5,"CONCLUÍDA",IF(F4903&lt;='RETRATO 2027'!$K$5,"EM ANDAMENTO","A INICIAR")))</f>
        <v/>
      </c>
    </row>
    <row r="4904" customFormat="false" ht="15" hidden="false" customHeight="false" outlineLevel="0" collapsed="false">
      <c r="M4904" s="2" t="str">
        <f aca="false">IF(C4904="","",IFERROR(INDEX($S$5:$S$304,MATCH(C4904,$R$5:$R$304,0))&amp;"","?"))</f>
        <v/>
      </c>
      <c r="N4904" s="2" t="str">
        <f aca="false"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 t="str">
        <f aca="false">IF(OR(F4904="",G4904=""),"",IF(G4904&lt;='RETRATO 2027'!$K$5,"CONCLUÍDA",IF(F4904&lt;='RETRATO 2027'!$K$5,"EM ANDAMENTO","A INICIAR")))</f>
        <v/>
      </c>
    </row>
    <row r="4905" customFormat="false" ht="15" hidden="false" customHeight="false" outlineLevel="0" collapsed="false">
      <c r="M4905" s="2" t="str">
        <f aca="false">IF(C4905="","",IFERROR(INDEX($S$5:$S$304,MATCH(C4905,$R$5:$R$304,0))&amp;"","?"))</f>
        <v/>
      </c>
      <c r="N4905" s="2" t="str">
        <f aca="false"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 t="str">
        <f aca="false">IF(OR(F4905="",G4905=""),"",IF(G4905&lt;='RETRATO 2027'!$K$5,"CONCLUÍDA",IF(F4905&lt;='RETRATO 2027'!$K$5,"EM ANDAMENTO","A INICIAR")))</f>
        <v/>
      </c>
    </row>
    <row r="4906" customFormat="false" ht="15" hidden="false" customHeight="false" outlineLevel="0" collapsed="false">
      <c r="M4906" s="2" t="str">
        <f aca="false">IF(C4906="","",IFERROR(INDEX($S$5:$S$304,MATCH(C4906,$R$5:$R$304,0))&amp;"","?"))</f>
        <v/>
      </c>
      <c r="N4906" s="2" t="str">
        <f aca="false"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 t="str">
        <f aca="false">IF(OR(F4906="",G4906=""),"",IF(G4906&lt;='RETRATO 2027'!$K$5,"CONCLUÍDA",IF(F4906&lt;='RETRATO 2027'!$K$5,"EM ANDAMENTO","A INICIAR")))</f>
        <v/>
      </c>
    </row>
    <row r="4907" customFormat="false" ht="15" hidden="false" customHeight="false" outlineLevel="0" collapsed="false">
      <c r="M4907" s="2" t="str">
        <f aca="false">IF(C4907="","",IFERROR(INDEX($S$5:$S$304,MATCH(C4907,$R$5:$R$304,0))&amp;"","?"))</f>
        <v/>
      </c>
      <c r="N4907" s="2" t="str">
        <f aca="false"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 t="str">
        <f aca="false">IF(OR(F4907="",G4907=""),"",IF(G4907&lt;='RETRATO 2027'!$K$5,"CONCLUÍDA",IF(F4907&lt;='RETRATO 2027'!$K$5,"EM ANDAMENTO","A INICIAR")))</f>
        <v/>
      </c>
    </row>
    <row r="4908" customFormat="false" ht="15" hidden="false" customHeight="false" outlineLevel="0" collapsed="false">
      <c r="M4908" s="2" t="str">
        <f aca="false">IF(C4908="","",IFERROR(INDEX($S$5:$S$304,MATCH(C4908,$R$5:$R$304,0))&amp;"","?"))</f>
        <v/>
      </c>
      <c r="N4908" s="2" t="str">
        <f aca="false"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 t="str">
        <f aca="false">IF(OR(F4908="",G4908=""),"",IF(G4908&lt;='RETRATO 2027'!$K$5,"CONCLUÍDA",IF(F4908&lt;='RETRATO 2027'!$K$5,"EM ANDAMENTO","A INICIAR")))</f>
        <v/>
      </c>
    </row>
    <row r="4909" customFormat="false" ht="15" hidden="false" customHeight="false" outlineLevel="0" collapsed="false">
      <c r="M4909" s="2" t="str">
        <f aca="false">IF(C4909="","",IFERROR(INDEX($S$5:$S$304,MATCH(C4909,$R$5:$R$304,0))&amp;"","?"))</f>
        <v/>
      </c>
      <c r="N4909" s="2" t="str">
        <f aca="false"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 t="str">
        <f aca="false">IF(OR(F4909="",G4909=""),"",IF(G4909&lt;='RETRATO 2027'!$K$5,"CONCLUÍDA",IF(F4909&lt;='RETRATO 2027'!$K$5,"EM ANDAMENTO","A INICIAR")))</f>
        <v/>
      </c>
    </row>
    <row r="4910" customFormat="false" ht="15" hidden="false" customHeight="false" outlineLevel="0" collapsed="false">
      <c r="M4910" s="2" t="str">
        <f aca="false">IF(C4910="","",IFERROR(INDEX($S$5:$S$304,MATCH(C4910,$R$5:$R$304,0))&amp;"","?"))</f>
        <v/>
      </c>
      <c r="N4910" s="2" t="str">
        <f aca="false"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 t="str">
        <f aca="false">IF(OR(F4910="",G4910=""),"",IF(G4910&lt;='RETRATO 2027'!$K$5,"CONCLUÍDA",IF(F4910&lt;='RETRATO 2027'!$K$5,"EM ANDAMENTO","A INICIAR")))</f>
        <v/>
      </c>
    </row>
    <row r="4911" customFormat="false" ht="15" hidden="false" customHeight="false" outlineLevel="0" collapsed="false">
      <c r="M4911" s="2" t="str">
        <f aca="false">IF(C4911="","",IFERROR(INDEX($S$5:$S$304,MATCH(C4911,$R$5:$R$304,0))&amp;"","?"))</f>
        <v/>
      </c>
      <c r="N4911" s="2" t="str">
        <f aca="false"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 t="str">
        <f aca="false">IF(OR(F4911="",G4911=""),"",IF(G4911&lt;='RETRATO 2027'!$K$5,"CONCLUÍDA",IF(F4911&lt;='RETRATO 2027'!$K$5,"EM ANDAMENTO","A INICIAR")))</f>
        <v/>
      </c>
    </row>
    <row r="4912" customFormat="false" ht="15" hidden="false" customHeight="false" outlineLevel="0" collapsed="false">
      <c r="M4912" s="2" t="str">
        <f aca="false">IF(C4912="","",IFERROR(INDEX($S$5:$S$304,MATCH(C4912,$R$5:$R$304,0))&amp;"","?"))</f>
        <v/>
      </c>
      <c r="N4912" s="2" t="str">
        <f aca="false"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 t="str">
        <f aca="false">IF(OR(F4912="",G4912=""),"",IF(G4912&lt;='RETRATO 2027'!$K$5,"CONCLUÍDA",IF(F4912&lt;='RETRATO 2027'!$K$5,"EM ANDAMENTO","A INICIAR")))</f>
        <v/>
      </c>
    </row>
    <row r="4913" customFormat="false" ht="15" hidden="false" customHeight="false" outlineLevel="0" collapsed="false">
      <c r="M4913" s="2" t="str">
        <f aca="false">IF(C4913="","",IFERROR(INDEX($S$5:$S$304,MATCH(C4913,$R$5:$R$304,0))&amp;"","?"))</f>
        <v/>
      </c>
      <c r="N4913" s="2" t="str">
        <f aca="false"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 t="str">
        <f aca="false">IF(OR(F4913="",G4913=""),"",IF(G4913&lt;='RETRATO 2027'!$K$5,"CONCLUÍDA",IF(F4913&lt;='RETRATO 2027'!$K$5,"EM ANDAMENTO","A INICIAR")))</f>
        <v/>
      </c>
    </row>
    <row r="4914" customFormat="false" ht="15" hidden="false" customHeight="false" outlineLevel="0" collapsed="false">
      <c r="M4914" s="2" t="str">
        <f aca="false">IF(C4914="","",IFERROR(INDEX($S$5:$S$304,MATCH(C4914,$R$5:$R$304,0))&amp;"","?"))</f>
        <v/>
      </c>
      <c r="N4914" s="2" t="str">
        <f aca="false"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 t="str">
        <f aca="false">IF(OR(F4914="",G4914=""),"",IF(G4914&lt;='RETRATO 2027'!$K$5,"CONCLUÍDA",IF(F4914&lt;='RETRATO 2027'!$K$5,"EM ANDAMENTO","A INICIAR")))</f>
        <v/>
      </c>
    </row>
    <row r="4915" customFormat="false" ht="15" hidden="false" customHeight="false" outlineLevel="0" collapsed="false">
      <c r="M4915" s="2" t="str">
        <f aca="false">IF(C4915="","",IFERROR(INDEX($S$5:$S$304,MATCH(C4915,$R$5:$R$304,0))&amp;"","?"))</f>
        <v/>
      </c>
      <c r="N4915" s="2" t="str">
        <f aca="false"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 t="str">
        <f aca="false">IF(OR(F4915="",G4915=""),"",IF(G4915&lt;='RETRATO 2027'!$K$5,"CONCLUÍDA",IF(F4915&lt;='RETRATO 2027'!$K$5,"EM ANDAMENTO","A INICIAR")))</f>
        <v/>
      </c>
    </row>
    <row r="4916" customFormat="false" ht="15" hidden="false" customHeight="false" outlineLevel="0" collapsed="false">
      <c r="M4916" s="2" t="str">
        <f aca="false">IF(C4916="","",IFERROR(INDEX($S$5:$S$304,MATCH(C4916,$R$5:$R$304,0))&amp;"","?"))</f>
        <v/>
      </c>
      <c r="N4916" s="2" t="str">
        <f aca="false"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 t="str">
        <f aca="false">IF(OR(F4916="",G4916=""),"",IF(G4916&lt;='RETRATO 2027'!$K$5,"CONCLUÍDA",IF(F4916&lt;='RETRATO 2027'!$K$5,"EM ANDAMENTO","A INICIAR")))</f>
        <v/>
      </c>
    </row>
    <row r="4917" customFormat="false" ht="15" hidden="false" customHeight="false" outlineLevel="0" collapsed="false">
      <c r="M4917" s="2" t="str">
        <f aca="false">IF(C4917="","",IFERROR(INDEX($S$5:$S$304,MATCH(C4917,$R$5:$R$304,0))&amp;"","?"))</f>
        <v/>
      </c>
      <c r="N4917" s="2" t="str">
        <f aca="false"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 t="str">
        <f aca="false">IF(OR(F4917="",G4917=""),"",IF(G4917&lt;='RETRATO 2027'!$K$5,"CONCLUÍDA",IF(F4917&lt;='RETRATO 2027'!$K$5,"EM ANDAMENTO","A INICIAR")))</f>
        <v/>
      </c>
    </row>
    <row r="4918" customFormat="false" ht="15" hidden="false" customHeight="false" outlineLevel="0" collapsed="false">
      <c r="M4918" s="2" t="str">
        <f aca="false">IF(C4918="","",IFERROR(INDEX($S$5:$S$304,MATCH(C4918,$R$5:$R$304,0))&amp;"","?"))</f>
        <v/>
      </c>
      <c r="N4918" s="2" t="str">
        <f aca="false"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 t="str">
        <f aca="false">IF(OR(F4918="",G4918=""),"",IF(G4918&lt;='RETRATO 2027'!$K$5,"CONCLUÍDA",IF(F4918&lt;='RETRATO 2027'!$K$5,"EM ANDAMENTO","A INICIAR")))</f>
        <v/>
      </c>
    </row>
    <row r="4919" customFormat="false" ht="15" hidden="false" customHeight="false" outlineLevel="0" collapsed="false">
      <c r="M4919" s="2" t="str">
        <f aca="false">IF(C4919="","",IFERROR(INDEX($S$5:$S$304,MATCH(C4919,$R$5:$R$304,0))&amp;"","?"))</f>
        <v/>
      </c>
      <c r="N4919" s="2" t="str">
        <f aca="false"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 t="str">
        <f aca="false">IF(OR(F4919="",G4919=""),"",IF(G4919&lt;='RETRATO 2027'!$K$5,"CONCLUÍDA",IF(F4919&lt;='RETRATO 2027'!$K$5,"EM ANDAMENTO","A INICIAR")))</f>
        <v/>
      </c>
    </row>
    <row r="4920" customFormat="false" ht="15" hidden="false" customHeight="false" outlineLevel="0" collapsed="false">
      <c r="M4920" s="2" t="str">
        <f aca="false">IF(C4920="","",IFERROR(INDEX($S$5:$S$304,MATCH(C4920,$R$5:$R$304,0))&amp;"","?"))</f>
        <v/>
      </c>
      <c r="N4920" s="2" t="str">
        <f aca="false"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 t="str">
        <f aca="false">IF(OR(F4920="",G4920=""),"",IF(G4920&lt;='RETRATO 2027'!$K$5,"CONCLUÍDA",IF(F4920&lt;='RETRATO 2027'!$K$5,"EM ANDAMENTO","A INICIAR")))</f>
        <v/>
      </c>
    </row>
    <row r="4921" customFormat="false" ht="15" hidden="false" customHeight="false" outlineLevel="0" collapsed="false">
      <c r="M4921" s="2" t="str">
        <f aca="false">IF(C4921="","",IFERROR(INDEX($S$5:$S$304,MATCH(C4921,$R$5:$R$304,0))&amp;"","?"))</f>
        <v/>
      </c>
      <c r="N4921" s="2" t="str">
        <f aca="false"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 t="str">
        <f aca="false">IF(OR(F4921="",G4921=""),"",IF(G4921&lt;='RETRATO 2027'!$K$5,"CONCLUÍDA",IF(F4921&lt;='RETRATO 2027'!$K$5,"EM ANDAMENTO","A INICIAR")))</f>
        <v/>
      </c>
    </row>
    <row r="4922" customFormat="false" ht="15" hidden="false" customHeight="false" outlineLevel="0" collapsed="false">
      <c r="M4922" s="2" t="str">
        <f aca="false">IF(C4922="","",IFERROR(INDEX($S$5:$S$304,MATCH(C4922,$R$5:$R$304,0))&amp;"","?"))</f>
        <v/>
      </c>
      <c r="N4922" s="2" t="str">
        <f aca="false"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 t="str">
        <f aca="false">IF(OR(F4922="",G4922=""),"",IF(G4922&lt;='RETRATO 2027'!$K$5,"CONCLUÍDA",IF(F4922&lt;='RETRATO 2027'!$K$5,"EM ANDAMENTO","A INICIAR")))</f>
        <v/>
      </c>
    </row>
    <row r="4923" customFormat="false" ht="15" hidden="false" customHeight="false" outlineLevel="0" collapsed="false">
      <c r="M4923" s="2" t="str">
        <f aca="false">IF(C4923="","",IFERROR(INDEX($S$5:$S$304,MATCH(C4923,$R$5:$R$304,0))&amp;"","?"))</f>
        <v/>
      </c>
      <c r="N4923" s="2" t="str">
        <f aca="false"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 t="str">
        <f aca="false">IF(OR(F4923="",G4923=""),"",IF(G4923&lt;='RETRATO 2027'!$K$5,"CONCLUÍDA",IF(F4923&lt;='RETRATO 2027'!$K$5,"EM ANDAMENTO","A INICIAR")))</f>
        <v/>
      </c>
    </row>
    <row r="4924" customFormat="false" ht="15" hidden="false" customHeight="false" outlineLevel="0" collapsed="false">
      <c r="M4924" s="2" t="str">
        <f aca="false">IF(C4924="","",IFERROR(INDEX($S$5:$S$304,MATCH(C4924,$R$5:$R$304,0))&amp;"","?"))</f>
        <v/>
      </c>
      <c r="N4924" s="2" t="str">
        <f aca="false"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 t="str">
        <f aca="false">IF(OR(F4924="",G4924=""),"",IF(G4924&lt;='RETRATO 2027'!$K$5,"CONCLUÍDA",IF(F4924&lt;='RETRATO 2027'!$K$5,"EM ANDAMENTO","A INICIAR")))</f>
        <v/>
      </c>
    </row>
    <row r="4925" customFormat="false" ht="15" hidden="false" customHeight="false" outlineLevel="0" collapsed="false">
      <c r="M4925" s="2" t="str">
        <f aca="false">IF(C4925="","",IFERROR(INDEX($S$5:$S$304,MATCH(C4925,$R$5:$R$304,0))&amp;"","?"))</f>
        <v/>
      </c>
      <c r="N4925" s="2" t="str">
        <f aca="false"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 t="str">
        <f aca="false">IF(OR(F4925="",G4925=""),"",IF(G4925&lt;='RETRATO 2027'!$K$5,"CONCLUÍDA",IF(F4925&lt;='RETRATO 2027'!$K$5,"EM ANDAMENTO","A INICIAR")))</f>
        <v/>
      </c>
    </row>
    <row r="4926" customFormat="false" ht="15" hidden="false" customHeight="false" outlineLevel="0" collapsed="false">
      <c r="M4926" s="2" t="str">
        <f aca="false">IF(C4926="","",IFERROR(INDEX($S$5:$S$304,MATCH(C4926,$R$5:$R$304,0))&amp;"","?"))</f>
        <v/>
      </c>
      <c r="N4926" s="2" t="str">
        <f aca="false"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 t="str">
        <f aca="false">IF(OR(F4926="",G4926=""),"",IF(G4926&lt;='RETRATO 2027'!$K$5,"CONCLUÍDA",IF(F4926&lt;='RETRATO 2027'!$K$5,"EM ANDAMENTO","A INICIAR")))</f>
        <v/>
      </c>
    </row>
    <row r="4927" customFormat="false" ht="15" hidden="false" customHeight="false" outlineLevel="0" collapsed="false">
      <c r="M4927" s="2" t="str">
        <f aca="false">IF(C4927="","",IFERROR(INDEX($S$5:$S$304,MATCH(C4927,$R$5:$R$304,0))&amp;"","?"))</f>
        <v/>
      </c>
      <c r="N4927" s="2" t="str">
        <f aca="false"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 t="str">
        <f aca="false">IF(OR(F4927="",G4927=""),"",IF(G4927&lt;='RETRATO 2027'!$K$5,"CONCLUÍDA",IF(F4927&lt;='RETRATO 2027'!$K$5,"EM ANDAMENTO","A INICIAR")))</f>
        <v/>
      </c>
    </row>
    <row r="4928" customFormat="false" ht="15" hidden="false" customHeight="false" outlineLevel="0" collapsed="false">
      <c r="M4928" s="2" t="str">
        <f aca="false">IF(C4928="","",IFERROR(INDEX($S$5:$S$304,MATCH(C4928,$R$5:$R$304,0))&amp;"","?"))</f>
        <v/>
      </c>
      <c r="N4928" s="2" t="str">
        <f aca="false"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 t="str">
        <f aca="false">IF(OR(F4928="",G4928=""),"",IF(G4928&lt;='RETRATO 2027'!$K$5,"CONCLUÍDA",IF(F4928&lt;='RETRATO 2027'!$K$5,"EM ANDAMENTO","A INICIAR")))</f>
        <v/>
      </c>
    </row>
    <row r="4929" customFormat="false" ht="15" hidden="false" customHeight="false" outlineLevel="0" collapsed="false">
      <c r="M4929" s="2" t="str">
        <f aca="false">IF(C4929="","",IFERROR(INDEX($S$5:$S$304,MATCH(C4929,$R$5:$R$304,0))&amp;"","?"))</f>
        <v/>
      </c>
      <c r="N4929" s="2" t="str">
        <f aca="false"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 t="str">
        <f aca="false">IF(OR(F4929="",G4929=""),"",IF(G4929&lt;='RETRATO 2027'!$K$5,"CONCLUÍDA",IF(F4929&lt;='RETRATO 2027'!$K$5,"EM ANDAMENTO","A INICIAR")))</f>
        <v/>
      </c>
    </row>
    <row r="4930" customFormat="false" ht="15" hidden="false" customHeight="false" outlineLevel="0" collapsed="false">
      <c r="M4930" s="2" t="str">
        <f aca="false">IF(C4930="","",IFERROR(INDEX($S$5:$S$304,MATCH(C4930,$R$5:$R$304,0))&amp;"","?"))</f>
        <v/>
      </c>
      <c r="N4930" s="2" t="str">
        <f aca="false"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 t="str">
        <f aca="false">IF(OR(F4930="",G4930=""),"",IF(G4930&lt;='RETRATO 2027'!$K$5,"CONCLUÍDA",IF(F4930&lt;='RETRATO 2027'!$K$5,"EM ANDAMENTO","A INICIAR")))</f>
        <v/>
      </c>
    </row>
    <row r="4931" customFormat="false" ht="15" hidden="false" customHeight="false" outlineLevel="0" collapsed="false">
      <c r="M4931" s="2" t="str">
        <f aca="false">IF(C4931="","",IFERROR(INDEX($S$5:$S$304,MATCH(C4931,$R$5:$R$304,0))&amp;"","?"))</f>
        <v/>
      </c>
      <c r="N4931" s="2" t="str">
        <f aca="false"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 t="str">
        <f aca="false">IF(OR(F4931="",G4931=""),"",IF(G4931&lt;='RETRATO 2027'!$K$5,"CONCLUÍDA",IF(F4931&lt;='RETRATO 2027'!$K$5,"EM ANDAMENTO","A INICIAR")))</f>
        <v/>
      </c>
    </row>
    <row r="4932" customFormat="false" ht="15" hidden="false" customHeight="false" outlineLevel="0" collapsed="false">
      <c r="M4932" s="2" t="str">
        <f aca="false">IF(C4932="","",IFERROR(INDEX($S$5:$S$304,MATCH(C4932,$R$5:$R$304,0))&amp;"","?"))</f>
        <v/>
      </c>
      <c r="N4932" s="2" t="str">
        <f aca="false"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 t="str">
        <f aca="false">IF(OR(F4932="",G4932=""),"",IF(G4932&lt;='RETRATO 2027'!$K$5,"CONCLUÍDA",IF(F4932&lt;='RETRATO 2027'!$K$5,"EM ANDAMENTO","A INICIAR")))</f>
        <v/>
      </c>
    </row>
    <row r="4933" customFormat="false" ht="15" hidden="false" customHeight="false" outlineLevel="0" collapsed="false">
      <c r="M4933" s="2" t="str">
        <f aca="false">IF(C4933="","",IFERROR(INDEX($S$5:$S$304,MATCH(C4933,$R$5:$R$304,0))&amp;"","?"))</f>
        <v/>
      </c>
      <c r="N4933" s="2" t="str">
        <f aca="false"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 t="str">
        <f aca="false">IF(OR(F4933="",G4933=""),"",IF(G4933&lt;='RETRATO 2027'!$K$5,"CONCLUÍDA",IF(F4933&lt;='RETRATO 2027'!$K$5,"EM ANDAMENTO","A INICIAR")))</f>
        <v/>
      </c>
    </row>
    <row r="4934" customFormat="false" ht="15" hidden="false" customHeight="false" outlineLevel="0" collapsed="false">
      <c r="M4934" s="2" t="str">
        <f aca="false">IF(C4934="","",IFERROR(INDEX($S$5:$S$304,MATCH(C4934,$R$5:$R$304,0))&amp;"","?"))</f>
        <v/>
      </c>
      <c r="N4934" s="2" t="str">
        <f aca="false"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 t="str">
        <f aca="false">IF(OR(F4934="",G4934=""),"",IF(G4934&lt;='RETRATO 2027'!$K$5,"CONCLUÍDA",IF(F4934&lt;='RETRATO 2027'!$K$5,"EM ANDAMENTO","A INICIAR")))</f>
        <v/>
      </c>
    </row>
    <row r="4935" customFormat="false" ht="15" hidden="false" customHeight="false" outlineLevel="0" collapsed="false">
      <c r="M4935" s="2" t="str">
        <f aca="false">IF(C4935="","",IFERROR(INDEX($S$5:$S$304,MATCH(C4935,$R$5:$R$304,0))&amp;"","?"))</f>
        <v/>
      </c>
      <c r="N4935" s="2" t="str">
        <f aca="false"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 t="str">
        <f aca="false">IF(OR(F4935="",G4935=""),"",IF(G4935&lt;='RETRATO 2027'!$K$5,"CONCLUÍDA",IF(F4935&lt;='RETRATO 2027'!$K$5,"EM ANDAMENTO","A INICIAR")))</f>
        <v/>
      </c>
    </row>
    <row r="4936" customFormat="false" ht="15" hidden="false" customHeight="false" outlineLevel="0" collapsed="false">
      <c r="M4936" s="2" t="str">
        <f aca="false">IF(C4936="","",IFERROR(INDEX($S$5:$S$304,MATCH(C4936,$R$5:$R$304,0))&amp;"","?"))</f>
        <v/>
      </c>
      <c r="N4936" s="2" t="str">
        <f aca="false"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 t="str">
        <f aca="false">IF(OR(F4936="",G4936=""),"",IF(G4936&lt;='RETRATO 2027'!$K$5,"CONCLUÍDA",IF(F4936&lt;='RETRATO 2027'!$K$5,"EM ANDAMENTO","A INICIAR")))</f>
        <v/>
      </c>
    </row>
    <row r="4937" customFormat="false" ht="15" hidden="false" customHeight="false" outlineLevel="0" collapsed="false">
      <c r="M4937" s="2" t="str">
        <f aca="false">IF(C4937="","",IFERROR(INDEX($S$5:$S$304,MATCH(C4937,$R$5:$R$304,0))&amp;"","?"))</f>
        <v/>
      </c>
      <c r="N4937" s="2" t="str">
        <f aca="false"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 t="str">
        <f aca="false">IF(OR(F4937="",G4937=""),"",IF(G4937&lt;='RETRATO 2027'!$K$5,"CONCLUÍDA",IF(F4937&lt;='RETRATO 2027'!$K$5,"EM ANDAMENTO","A INICIAR")))</f>
        <v/>
      </c>
    </row>
    <row r="4938" customFormat="false" ht="15" hidden="false" customHeight="false" outlineLevel="0" collapsed="false">
      <c r="M4938" s="2" t="str">
        <f aca="false">IF(C4938="","",IFERROR(INDEX($S$5:$S$304,MATCH(C4938,$R$5:$R$304,0))&amp;"","?"))</f>
        <v/>
      </c>
      <c r="N4938" s="2" t="str">
        <f aca="false"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 t="str">
        <f aca="false">IF(OR(F4938="",G4938=""),"",IF(G4938&lt;='RETRATO 2027'!$K$5,"CONCLUÍDA",IF(F4938&lt;='RETRATO 2027'!$K$5,"EM ANDAMENTO","A INICIAR")))</f>
        <v/>
      </c>
    </row>
    <row r="4939" customFormat="false" ht="15" hidden="false" customHeight="false" outlineLevel="0" collapsed="false">
      <c r="M4939" s="2" t="str">
        <f aca="false">IF(C4939="","",IFERROR(INDEX($S$5:$S$304,MATCH(C4939,$R$5:$R$304,0))&amp;"","?"))</f>
        <v/>
      </c>
      <c r="N4939" s="2" t="str">
        <f aca="false"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 t="str">
        <f aca="false">IF(OR(F4939="",G4939=""),"",IF(G4939&lt;='RETRATO 2027'!$K$5,"CONCLUÍDA",IF(F4939&lt;='RETRATO 2027'!$K$5,"EM ANDAMENTO","A INICIAR")))</f>
        <v/>
      </c>
    </row>
    <row r="4940" customFormat="false" ht="15" hidden="false" customHeight="false" outlineLevel="0" collapsed="false">
      <c r="M4940" s="2" t="str">
        <f aca="false">IF(C4940="","",IFERROR(INDEX($S$5:$S$304,MATCH(C4940,$R$5:$R$304,0))&amp;"","?"))</f>
        <v/>
      </c>
      <c r="N4940" s="2" t="str">
        <f aca="false"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 t="str">
        <f aca="false">IF(OR(F4940="",G4940=""),"",IF(G4940&lt;='RETRATO 2027'!$K$5,"CONCLUÍDA",IF(F4940&lt;='RETRATO 2027'!$K$5,"EM ANDAMENTO","A INICIAR")))</f>
        <v/>
      </c>
    </row>
    <row r="4941" customFormat="false" ht="15" hidden="false" customHeight="false" outlineLevel="0" collapsed="false">
      <c r="M4941" s="2" t="str">
        <f aca="false">IF(C4941="","",IFERROR(INDEX($S$5:$S$304,MATCH(C4941,$R$5:$R$304,0))&amp;"","?"))</f>
        <v/>
      </c>
      <c r="N4941" s="2" t="str">
        <f aca="false"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 t="str">
        <f aca="false">IF(OR(F4941="",G4941=""),"",IF(G4941&lt;='RETRATO 2027'!$K$5,"CONCLUÍDA",IF(F4941&lt;='RETRATO 2027'!$K$5,"EM ANDAMENTO","A INICIAR")))</f>
        <v/>
      </c>
    </row>
    <row r="4942" customFormat="false" ht="15" hidden="false" customHeight="false" outlineLevel="0" collapsed="false">
      <c r="M4942" s="2" t="str">
        <f aca="false">IF(C4942="","",IFERROR(INDEX($S$5:$S$304,MATCH(C4942,$R$5:$R$304,0))&amp;"","?"))</f>
        <v/>
      </c>
      <c r="N4942" s="2" t="str">
        <f aca="false"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 t="str">
        <f aca="false">IF(OR(F4942="",G4942=""),"",IF(G4942&lt;='RETRATO 2027'!$K$5,"CONCLUÍDA",IF(F4942&lt;='RETRATO 2027'!$K$5,"EM ANDAMENTO","A INICIAR")))</f>
        <v/>
      </c>
    </row>
    <row r="4943" customFormat="false" ht="15" hidden="false" customHeight="false" outlineLevel="0" collapsed="false">
      <c r="M4943" s="2" t="str">
        <f aca="false">IF(C4943="","",IFERROR(INDEX($S$5:$S$304,MATCH(C4943,$R$5:$R$304,0))&amp;"","?"))</f>
        <v/>
      </c>
      <c r="N4943" s="2" t="str">
        <f aca="false"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 t="str">
        <f aca="false">IF(OR(F4943="",G4943=""),"",IF(G4943&lt;='RETRATO 2027'!$K$5,"CONCLUÍDA",IF(F4943&lt;='RETRATO 2027'!$K$5,"EM ANDAMENTO","A INICIAR")))</f>
        <v/>
      </c>
    </row>
    <row r="4944" customFormat="false" ht="15" hidden="false" customHeight="false" outlineLevel="0" collapsed="false">
      <c r="M4944" s="2" t="str">
        <f aca="false">IF(C4944="","",IFERROR(INDEX($S$5:$S$304,MATCH(C4944,$R$5:$R$304,0))&amp;"","?"))</f>
        <v/>
      </c>
      <c r="N4944" s="2" t="str">
        <f aca="false"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 t="str">
        <f aca="false">IF(OR(F4944="",G4944=""),"",IF(G4944&lt;='RETRATO 2027'!$K$5,"CONCLUÍDA",IF(F4944&lt;='RETRATO 2027'!$K$5,"EM ANDAMENTO","A INICIAR")))</f>
        <v/>
      </c>
    </row>
    <row r="4945" customFormat="false" ht="15" hidden="false" customHeight="false" outlineLevel="0" collapsed="false">
      <c r="M4945" s="2" t="str">
        <f aca="false">IF(C4945="","",IFERROR(INDEX($S$5:$S$304,MATCH(C4945,$R$5:$R$304,0))&amp;"","?"))</f>
        <v/>
      </c>
      <c r="N4945" s="2" t="str">
        <f aca="false"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 t="str">
        <f aca="false">IF(OR(F4945="",G4945=""),"",IF(G4945&lt;='RETRATO 2027'!$K$5,"CONCLUÍDA",IF(F4945&lt;='RETRATO 2027'!$K$5,"EM ANDAMENTO","A INICIAR")))</f>
        <v/>
      </c>
    </row>
    <row r="4946" customFormat="false" ht="15" hidden="false" customHeight="false" outlineLevel="0" collapsed="false">
      <c r="M4946" s="2" t="str">
        <f aca="false">IF(C4946="","",IFERROR(INDEX($S$5:$S$304,MATCH(C4946,$R$5:$R$304,0))&amp;"","?"))</f>
        <v/>
      </c>
      <c r="N4946" s="2" t="str">
        <f aca="false"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 t="str">
        <f aca="false">IF(OR(F4946="",G4946=""),"",IF(G4946&lt;='RETRATO 2027'!$K$5,"CONCLUÍDA",IF(F4946&lt;='RETRATO 2027'!$K$5,"EM ANDAMENTO","A INICIAR")))</f>
        <v/>
      </c>
    </row>
    <row r="4947" customFormat="false" ht="15" hidden="false" customHeight="false" outlineLevel="0" collapsed="false">
      <c r="M4947" s="2" t="str">
        <f aca="false">IF(C4947="","",IFERROR(INDEX($S$5:$S$304,MATCH(C4947,$R$5:$R$304,0))&amp;"","?"))</f>
        <v/>
      </c>
      <c r="N4947" s="2" t="str">
        <f aca="false"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 t="str">
        <f aca="false">IF(OR(F4947="",G4947=""),"",IF(G4947&lt;='RETRATO 2027'!$K$5,"CONCLUÍDA",IF(F4947&lt;='RETRATO 2027'!$K$5,"EM ANDAMENTO","A INICIAR")))</f>
        <v/>
      </c>
    </row>
    <row r="4948" customFormat="false" ht="15" hidden="false" customHeight="false" outlineLevel="0" collapsed="false">
      <c r="M4948" s="2" t="str">
        <f aca="false">IF(C4948="","",IFERROR(INDEX($S$5:$S$304,MATCH(C4948,$R$5:$R$304,0))&amp;"","?"))</f>
        <v/>
      </c>
      <c r="N4948" s="2" t="str">
        <f aca="false"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 t="str">
        <f aca="false">IF(OR(F4948="",G4948=""),"",IF(G4948&lt;='RETRATO 2027'!$K$5,"CONCLUÍDA",IF(F4948&lt;='RETRATO 2027'!$K$5,"EM ANDAMENTO","A INICIAR")))</f>
        <v/>
      </c>
    </row>
    <row r="4949" customFormat="false" ht="15" hidden="false" customHeight="false" outlineLevel="0" collapsed="false">
      <c r="M4949" s="2" t="str">
        <f aca="false">IF(C4949="","",IFERROR(INDEX($S$5:$S$304,MATCH(C4949,$R$5:$R$304,0))&amp;"","?"))</f>
        <v/>
      </c>
      <c r="N4949" s="2" t="str">
        <f aca="false"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 t="str">
        <f aca="false">IF(OR(F4949="",G4949=""),"",IF(G4949&lt;='RETRATO 2027'!$K$5,"CONCLUÍDA",IF(F4949&lt;='RETRATO 2027'!$K$5,"EM ANDAMENTO","A INICIAR")))</f>
        <v/>
      </c>
    </row>
    <row r="4950" customFormat="false" ht="15" hidden="false" customHeight="false" outlineLevel="0" collapsed="false">
      <c r="M4950" s="2" t="str">
        <f aca="false">IF(C4950="","",IFERROR(INDEX($S$5:$S$304,MATCH(C4950,$R$5:$R$304,0))&amp;"","?"))</f>
        <v/>
      </c>
      <c r="N4950" s="2" t="str">
        <f aca="false"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 t="str">
        <f aca="false">IF(OR(F4950="",G4950=""),"",IF(G4950&lt;='RETRATO 2027'!$K$5,"CONCLUÍDA",IF(F4950&lt;='RETRATO 2027'!$K$5,"EM ANDAMENTO","A INICIAR")))</f>
        <v/>
      </c>
    </row>
    <row r="4951" customFormat="false" ht="15" hidden="false" customHeight="false" outlineLevel="0" collapsed="false">
      <c r="M4951" s="2" t="str">
        <f aca="false">IF(C4951="","",IFERROR(INDEX($S$5:$S$304,MATCH(C4951,$R$5:$R$304,0))&amp;"","?"))</f>
        <v/>
      </c>
      <c r="N4951" s="2" t="str">
        <f aca="false"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 t="str">
        <f aca="false">IF(OR(F4951="",G4951=""),"",IF(G4951&lt;='RETRATO 2027'!$K$5,"CONCLUÍDA",IF(F4951&lt;='RETRATO 2027'!$K$5,"EM ANDAMENTO","A INICIAR")))</f>
        <v/>
      </c>
    </row>
    <row r="4952" customFormat="false" ht="15" hidden="false" customHeight="false" outlineLevel="0" collapsed="false">
      <c r="M4952" s="2" t="str">
        <f aca="false">IF(C4952="","",IFERROR(INDEX($S$5:$S$304,MATCH(C4952,$R$5:$R$304,0))&amp;"","?"))</f>
        <v/>
      </c>
      <c r="N4952" s="2" t="str">
        <f aca="false"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 t="str">
        <f aca="false">IF(OR(F4952="",G4952=""),"",IF(G4952&lt;='RETRATO 2027'!$K$5,"CONCLUÍDA",IF(F4952&lt;='RETRATO 2027'!$K$5,"EM ANDAMENTO","A INICIAR")))</f>
        <v/>
      </c>
    </row>
    <row r="4953" customFormat="false" ht="15" hidden="false" customHeight="false" outlineLevel="0" collapsed="false">
      <c r="M4953" s="2" t="str">
        <f aca="false">IF(C4953="","",IFERROR(INDEX($S$5:$S$304,MATCH(C4953,$R$5:$R$304,0))&amp;"","?"))</f>
        <v/>
      </c>
      <c r="N4953" s="2" t="str">
        <f aca="false"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 t="str">
        <f aca="false">IF(OR(F4953="",G4953=""),"",IF(G4953&lt;='RETRATO 2027'!$K$5,"CONCLUÍDA",IF(F4953&lt;='RETRATO 2027'!$K$5,"EM ANDAMENTO","A INICIAR")))</f>
        <v/>
      </c>
    </row>
    <row r="4954" customFormat="false" ht="15" hidden="false" customHeight="false" outlineLevel="0" collapsed="false">
      <c r="M4954" s="2" t="str">
        <f aca="false">IF(C4954="","",IFERROR(INDEX($S$5:$S$304,MATCH(C4954,$R$5:$R$304,0))&amp;"","?"))</f>
        <v/>
      </c>
      <c r="N4954" s="2" t="str">
        <f aca="false"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 t="str">
        <f aca="false">IF(OR(F4954="",G4954=""),"",IF(G4954&lt;='RETRATO 2027'!$K$5,"CONCLUÍDA",IF(F4954&lt;='RETRATO 2027'!$K$5,"EM ANDAMENTO","A INICIAR")))</f>
        <v/>
      </c>
    </row>
    <row r="4955" customFormat="false" ht="15" hidden="false" customHeight="false" outlineLevel="0" collapsed="false">
      <c r="M4955" s="2" t="str">
        <f aca="false">IF(C4955="","",IFERROR(INDEX($S$5:$S$304,MATCH(C4955,$R$5:$R$304,0))&amp;"","?"))</f>
        <v/>
      </c>
      <c r="N4955" s="2" t="str">
        <f aca="false"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 t="str">
        <f aca="false">IF(OR(F4955="",G4955=""),"",IF(G4955&lt;='RETRATO 2027'!$K$5,"CONCLUÍDA",IF(F4955&lt;='RETRATO 2027'!$K$5,"EM ANDAMENTO","A INICIAR")))</f>
        <v/>
      </c>
    </row>
    <row r="4956" customFormat="false" ht="15" hidden="false" customHeight="false" outlineLevel="0" collapsed="false">
      <c r="M4956" s="2" t="str">
        <f aca="false">IF(C4956="","",IFERROR(INDEX($S$5:$S$304,MATCH(C4956,$R$5:$R$304,0))&amp;"","?"))</f>
        <v/>
      </c>
      <c r="N4956" s="2" t="str">
        <f aca="false"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 t="str">
        <f aca="false">IF(OR(F4956="",G4956=""),"",IF(G4956&lt;='RETRATO 2027'!$K$5,"CONCLUÍDA",IF(F4956&lt;='RETRATO 2027'!$K$5,"EM ANDAMENTO","A INICIAR")))</f>
        <v/>
      </c>
    </row>
    <row r="4957" customFormat="false" ht="15" hidden="false" customHeight="false" outlineLevel="0" collapsed="false">
      <c r="M4957" s="2" t="str">
        <f aca="false">IF(C4957="","",IFERROR(INDEX($S$5:$S$304,MATCH(C4957,$R$5:$R$304,0))&amp;"","?"))</f>
        <v/>
      </c>
      <c r="N4957" s="2" t="str">
        <f aca="false"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 t="str">
        <f aca="false">IF(OR(F4957="",G4957=""),"",IF(G4957&lt;='RETRATO 2027'!$K$5,"CONCLUÍDA",IF(F4957&lt;='RETRATO 2027'!$K$5,"EM ANDAMENTO","A INICIAR")))</f>
        <v/>
      </c>
    </row>
    <row r="4958" customFormat="false" ht="15" hidden="false" customHeight="false" outlineLevel="0" collapsed="false">
      <c r="M4958" s="2" t="str">
        <f aca="false">IF(C4958="","",IFERROR(INDEX($S$5:$S$304,MATCH(C4958,$R$5:$R$304,0))&amp;"","?"))</f>
        <v/>
      </c>
      <c r="N4958" s="2" t="str">
        <f aca="false"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 t="str">
        <f aca="false">IF(OR(F4958="",G4958=""),"",IF(G4958&lt;='RETRATO 2027'!$K$5,"CONCLUÍDA",IF(F4958&lt;='RETRATO 2027'!$K$5,"EM ANDAMENTO","A INICIAR")))</f>
        <v/>
      </c>
    </row>
    <row r="4959" customFormat="false" ht="15" hidden="false" customHeight="false" outlineLevel="0" collapsed="false">
      <c r="M4959" s="2" t="str">
        <f aca="false">IF(C4959="","",IFERROR(INDEX($S$5:$S$304,MATCH(C4959,$R$5:$R$304,0))&amp;"","?"))</f>
        <v/>
      </c>
      <c r="N4959" s="2" t="str">
        <f aca="false"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 t="str">
        <f aca="false">IF(OR(F4959="",G4959=""),"",IF(G4959&lt;='RETRATO 2027'!$K$5,"CONCLUÍDA",IF(F4959&lt;='RETRATO 2027'!$K$5,"EM ANDAMENTO","A INICIAR")))</f>
        <v/>
      </c>
    </row>
    <row r="4960" customFormat="false" ht="15" hidden="false" customHeight="false" outlineLevel="0" collapsed="false">
      <c r="M4960" s="2" t="str">
        <f aca="false">IF(C4960="","",IFERROR(INDEX($S$5:$S$304,MATCH(C4960,$R$5:$R$304,0))&amp;"","?"))</f>
        <v/>
      </c>
      <c r="N4960" s="2" t="str">
        <f aca="false"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 t="str">
        <f aca="false">IF(OR(F4960="",G4960=""),"",IF(G4960&lt;='RETRATO 2027'!$K$5,"CONCLUÍDA",IF(F4960&lt;='RETRATO 2027'!$K$5,"EM ANDAMENTO","A INICIAR")))</f>
        <v/>
      </c>
    </row>
    <row r="4961" customFormat="false" ht="15" hidden="false" customHeight="false" outlineLevel="0" collapsed="false">
      <c r="M4961" s="2" t="str">
        <f aca="false">IF(C4961="","",IFERROR(INDEX($S$5:$S$304,MATCH(C4961,$R$5:$R$304,0))&amp;"","?"))</f>
        <v/>
      </c>
      <c r="N4961" s="2" t="str">
        <f aca="false"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 t="str">
        <f aca="false">IF(OR(F4961="",G4961=""),"",IF(G4961&lt;='RETRATO 2027'!$K$5,"CONCLUÍDA",IF(F4961&lt;='RETRATO 2027'!$K$5,"EM ANDAMENTO","A INICIAR")))</f>
        <v/>
      </c>
    </row>
    <row r="4962" customFormat="false" ht="15" hidden="false" customHeight="false" outlineLevel="0" collapsed="false">
      <c r="M4962" s="2" t="str">
        <f aca="false">IF(C4962="","",IFERROR(INDEX($S$5:$S$304,MATCH(C4962,$R$5:$R$304,0))&amp;"","?"))</f>
        <v/>
      </c>
      <c r="N4962" s="2" t="str">
        <f aca="false"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 t="str">
        <f aca="false">IF(OR(F4962="",G4962=""),"",IF(G4962&lt;='RETRATO 2027'!$K$5,"CONCLUÍDA",IF(F4962&lt;='RETRATO 2027'!$K$5,"EM ANDAMENTO","A INICIAR")))</f>
        <v/>
      </c>
    </row>
    <row r="4963" customFormat="false" ht="15" hidden="false" customHeight="false" outlineLevel="0" collapsed="false">
      <c r="M4963" s="2" t="str">
        <f aca="false">IF(C4963="","",IFERROR(INDEX($S$5:$S$304,MATCH(C4963,$R$5:$R$304,0))&amp;"","?"))</f>
        <v/>
      </c>
      <c r="N4963" s="2" t="str">
        <f aca="false"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 t="str">
        <f aca="false">IF(OR(F4963="",G4963=""),"",IF(G4963&lt;='RETRATO 2027'!$K$5,"CONCLUÍDA",IF(F4963&lt;='RETRATO 2027'!$K$5,"EM ANDAMENTO","A INICIAR")))</f>
        <v/>
      </c>
    </row>
    <row r="4964" customFormat="false" ht="15" hidden="false" customHeight="false" outlineLevel="0" collapsed="false">
      <c r="M4964" s="2" t="str">
        <f aca="false">IF(C4964="","",IFERROR(INDEX($S$5:$S$304,MATCH(C4964,$R$5:$R$304,0))&amp;"","?"))</f>
        <v/>
      </c>
      <c r="N4964" s="2" t="str">
        <f aca="false"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 t="str">
        <f aca="false">IF(OR(F4964="",G4964=""),"",IF(G4964&lt;='RETRATO 2027'!$K$5,"CONCLUÍDA",IF(F4964&lt;='RETRATO 2027'!$K$5,"EM ANDAMENTO","A INICIAR")))</f>
        <v/>
      </c>
    </row>
    <row r="4965" customFormat="false" ht="15" hidden="false" customHeight="false" outlineLevel="0" collapsed="false">
      <c r="M4965" s="2" t="str">
        <f aca="false">IF(C4965="","",IFERROR(INDEX($S$5:$S$304,MATCH(C4965,$R$5:$R$304,0))&amp;"","?"))</f>
        <v/>
      </c>
      <c r="N4965" s="2" t="str">
        <f aca="false"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 t="str">
        <f aca="false">IF(OR(F4965="",G4965=""),"",IF(G4965&lt;='RETRATO 2027'!$K$5,"CONCLUÍDA",IF(F4965&lt;='RETRATO 2027'!$K$5,"EM ANDAMENTO","A INICIAR")))</f>
        <v/>
      </c>
    </row>
    <row r="4966" customFormat="false" ht="15" hidden="false" customHeight="false" outlineLevel="0" collapsed="false">
      <c r="M4966" s="2" t="str">
        <f aca="false">IF(C4966="","",IFERROR(INDEX($S$5:$S$304,MATCH(C4966,$R$5:$R$304,0))&amp;"","?"))</f>
        <v/>
      </c>
      <c r="N4966" s="2" t="str">
        <f aca="false"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 t="str">
        <f aca="false">IF(OR(F4966="",G4966=""),"",IF(G4966&lt;='RETRATO 2027'!$K$5,"CONCLUÍDA",IF(F4966&lt;='RETRATO 2027'!$K$5,"EM ANDAMENTO","A INICIAR")))</f>
        <v/>
      </c>
    </row>
    <row r="4967" customFormat="false" ht="15" hidden="false" customHeight="false" outlineLevel="0" collapsed="false">
      <c r="M4967" s="2" t="str">
        <f aca="false">IF(C4967="","",IFERROR(INDEX($S$5:$S$304,MATCH(C4967,$R$5:$R$304,0))&amp;"","?"))</f>
        <v/>
      </c>
      <c r="N4967" s="2" t="str">
        <f aca="false"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 t="str">
        <f aca="false">IF(OR(F4967="",G4967=""),"",IF(G4967&lt;='RETRATO 2027'!$K$5,"CONCLUÍDA",IF(F4967&lt;='RETRATO 2027'!$K$5,"EM ANDAMENTO","A INICIAR")))</f>
        <v/>
      </c>
    </row>
    <row r="4968" customFormat="false" ht="15" hidden="false" customHeight="false" outlineLevel="0" collapsed="false">
      <c r="M4968" s="2" t="str">
        <f aca="false">IF(C4968="","",IFERROR(INDEX($S$5:$S$304,MATCH(C4968,$R$5:$R$304,0))&amp;"","?"))</f>
        <v/>
      </c>
      <c r="N4968" s="2" t="str">
        <f aca="false"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 t="str">
        <f aca="false">IF(OR(F4968="",G4968=""),"",IF(G4968&lt;='RETRATO 2027'!$K$5,"CONCLUÍDA",IF(F4968&lt;='RETRATO 2027'!$K$5,"EM ANDAMENTO","A INICIAR")))</f>
        <v/>
      </c>
    </row>
    <row r="4969" customFormat="false" ht="15" hidden="false" customHeight="false" outlineLevel="0" collapsed="false">
      <c r="M4969" s="2" t="str">
        <f aca="false">IF(C4969="","",IFERROR(INDEX($S$5:$S$304,MATCH(C4969,$R$5:$R$304,0))&amp;"","?"))</f>
        <v/>
      </c>
      <c r="N4969" s="2" t="str">
        <f aca="false"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 t="str">
        <f aca="false">IF(OR(F4969="",G4969=""),"",IF(G4969&lt;='RETRATO 2027'!$K$5,"CONCLUÍDA",IF(F4969&lt;='RETRATO 2027'!$K$5,"EM ANDAMENTO","A INICIAR")))</f>
        <v/>
      </c>
    </row>
    <row r="4970" customFormat="false" ht="15" hidden="false" customHeight="false" outlineLevel="0" collapsed="false">
      <c r="M4970" s="2" t="str">
        <f aca="false">IF(C4970="","",IFERROR(INDEX($S$5:$S$304,MATCH(C4970,$R$5:$R$304,0))&amp;"","?"))</f>
        <v/>
      </c>
      <c r="N4970" s="2" t="str">
        <f aca="false"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 t="str">
        <f aca="false">IF(OR(F4970="",G4970=""),"",IF(G4970&lt;='RETRATO 2027'!$K$5,"CONCLUÍDA",IF(F4970&lt;='RETRATO 2027'!$K$5,"EM ANDAMENTO","A INICIAR")))</f>
        <v/>
      </c>
    </row>
    <row r="4971" customFormat="false" ht="15" hidden="false" customHeight="false" outlineLevel="0" collapsed="false">
      <c r="M4971" s="2" t="str">
        <f aca="false">IF(C4971="","",IFERROR(INDEX($S$5:$S$304,MATCH(C4971,$R$5:$R$304,0))&amp;"","?"))</f>
        <v/>
      </c>
      <c r="N4971" s="2" t="str">
        <f aca="false"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 t="str">
        <f aca="false">IF(OR(F4971="",G4971=""),"",IF(G4971&lt;='RETRATO 2027'!$K$5,"CONCLUÍDA",IF(F4971&lt;='RETRATO 2027'!$K$5,"EM ANDAMENTO","A INICIAR")))</f>
        <v/>
      </c>
    </row>
    <row r="4972" customFormat="false" ht="15" hidden="false" customHeight="false" outlineLevel="0" collapsed="false">
      <c r="M4972" s="2" t="str">
        <f aca="false">IF(C4972="","",IFERROR(INDEX($S$5:$S$304,MATCH(C4972,$R$5:$R$304,0))&amp;"","?"))</f>
        <v/>
      </c>
      <c r="N4972" s="2" t="str">
        <f aca="false"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 t="str">
        <f aca="false">IF(OR(F4972="",G4972=""),"",IF(G4972&lt;='RETRATO 2027'!$K$5,"CONCLUÍDA",IF(F4972&lt;='RETRATO 2027'!$K$5,"EM ANDAMENTO","A INICIAR")))</f>
        <v/>
      </c>
    </row>
    <row r="4973" customFormat="false" ht="15" hidden="false" customHeight="false" outlineLevel="0" collapsed="false">
      <c r="M4973" s="2" t="str">
        <f aca="false">IF(C4973="","",IFERROR(INDEX($S$5:$S$304,MATCH(C4973,$R$5:$R$304,0))&amp;"","?"))</f>
        <v/>
      </c>
      <c r="N4973" s="2" t="str">
        <f aca="false"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 t="str">
        <f aca="false">IF(OR(F4973="",G4973=""),"",IF(G4973&lt;='RETRATO 2027'!$K$5,"CONCLUÍDA",IF(F4973&lt;='RETRATO 2027'!$K$5,"EM ANDAMENTO","A INICIAR")))</f>
        <v/>
      </c>
    </row>
    <row r="4974" customFormat="false" ht="15" hidden="false" customHeight="false" outlineLevel="0" collapsed="false">
      <c r="M4974" s="2" t="str">
        <f aca="false">IF(C4974="","",IFERROR(INDEX($S$5:$S$304,MATCH(C4974,$R$5:$R$304,0))&amp;"","?"))</f>
        <v/>
      </c>
      <c r="N4974" s="2" t="str">
        <f aca="false"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 t="str">
        <f aca="false">IF(OR(F4974="",G4974=""),"",IF(G4974&lt;='RETRATO 2027'!$K$5,"CONCLUÍDA",IF(F4974&lt;='RETRATO 2027'!$K$5,"EM ANDAMENTO","A INICIAR")))</f>
        <v/>
      </c>
    </row>
    <row r="4975" customFormat="false" ht="15" hidden="false" customHeight="false" outlineLevel="0" collapsed="false">
      <c r="M4975" s="2" t="str">
        <f aca="false">IF(C4975="","",IFERROR(INDEX($S$5:$S$304,MATCH(C4975,$R$5:$R$304,0))&amp;"","?"))</f>
        <v/>
      </c>
      <c r="N4975" s="2" t="str">
        <f aca="false"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 t="str">
        <f aca="false">IF(OR(F4975="",G4975=""),"",IF(G4975&lt;='RETRATO 2027'!$K$5,"CONCLUÍDA",IF(F4975&lt;='RETRATO 2027'!$K$5,"EM ANDAMENTO","A INICIAR")))</f>
        <v/>
      </c>
    </row>
    <row r="4976" customFormat="false" ht="15" hidden="false" customHeight="false" outlineLevel="0" collapsed="false">
      <c r="M4976" s="2" t="str">
        <f aca="false">IF(C4976="","",IFERROR(INDEX($S$5:$S$304,MATCH(C4976,$R$5:$R$304,0))&amp;"","?"))</f>
        <v/>
      </c>
      <c r="N4976" s="2" t="str">
        <f aca="false"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 t="str">
        <f aca="false">IF(OR(F4976="",G4976=""),"",IF(G4976&lt;='RETRATO 2027'!$K$5,"CONCLUÍDA",IF(F4976&lt;='RETRATO 2027'!$K$5,"EM ANDAMENTO","A INICIAR")))</f>
        <v/>
      </c>
    </row>
    <row r="4977" customFormat="false" ht="15" hidden="false" customHeight="false" outlineLevel="0" collapsed="false">
      <c r="M4977" s="2" t="str">
        <f aca="false">IF(C4977="","",IFERROR(INDEX($S$5:$S$304,MATCH(C4977,$R$5:$R$304,0))&amp;"","?"))</f>
        <v/>
      </c>
      <c r="N4977" s="2" t="str">
        <f aca="false"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 t="str">
        <f aca="false">IF(OR(F4977="",G4977=""),"",IF(G4977&lt;='RETRATO 2027'!$K$5,"CONCLUÍDA",IF(F4977&lt;='RETRATO 2027'!$K$5,"EM ANDAMENTO","A INICIAR")))</f>
        <v/>
      </c>
    </row>
    <row r="4978" customFormat="false" ht="15" hidden="false" customHeight="false" outlineLevel="0" collapsed="false">
      <c r="M4978" s="2" t="str">
        <f aca="false">IF(C4978="","",IFERROR(INDEX($S$5:$S$304,MATCH(C4978,$R$5:$R$304,0))&amp;"","?"))</f>
        <v/>
      </c>
      <c r="N4978" s="2" t="str">
        <f aca="false"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 t="str">
        <f aca="false">IF(OR(F4978="",G4978=""),"",IF(G4978&lt;='RETRATO 2027'!$K$5,"CONCLUÍDA",IF(F4978&lt;='RETRATO 2027'!$K$5,"EM ANDAMENTO","A INICIAR")))</f>
        <v/>
      </c>
    </row>
    <row r="4979" customFormat="false" ht="15" hidden="false" customHeight="false" outlineLevel="0" collapsed="false">
      <c r="M4979" s="2" t="str">
        <f aca="false">IF(C4979="","",IFERROR(INDEX($S$5:$S$304,MATCH(C4979,$R$5:$R$304,0))&amp;"","?"))</f>
        <v/>
      </c>
      <c r="N4979" s="2" t="str">
        <f aca="false"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 t="str">
        <f aca="false">IF(OR(F4979="",G4979=""),"",IF(G4979&lt;='RETRATO 2027'!$K$5,"CONCLUÍDA",IF(F4979&lt;='RETRATO 2027'!$K$5,"EM ANDAMENTO","A INICIAR")))</f>
        <v/>
      </c>
    </row>
    <row r="4980" customFormat="false" ht="15" hidden="false" customHeight="false" outlineLevel="0" collapsed="false">
      <c r="M4980" s="2" t="str">
        <f aca="false">IF(C4980="","",IFERROR(INDEX($S$5:$S$304,MATCH(C4980,$R$5:$R$304,0))&amp;"","?"))</f>
        <v/>
      </c>
      <c r="N4980" s="2" t="str">
        <f aca="false"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 t="str">
        <f aca="false">IF(OR(F4980="",G4980=""),"",IF(G4980&lt;='RETRATO 2027'!$K$5,"CONCLUÍDA",IF(F4980&lt;='RETRATO 2027'!$K$5,"EM ANDAMENTO","A INICIAR")))</f>
        <v/>
      </c>
    </row>
    <row r="4981" customFormat="false" ht="15" hidden="false" customHeight="false" outlineLevel="0" collapsed="false">
      <c r="M4981" s="2" t="str">
        <f aca="false">IF(C4981="","",IFERROR(INDEX($S$5:$S$304,MATCH(C4981,$R$5:$R$304,0))&amp;"","?"))</f>
        <v/>
      </c>
      <c r="N4981" s="2" t="str">
        <f aca="false"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 t="str">
        <f aca="false">IF(OR(F4981="",G4981=""),"",IF(G4981&lt;='RETRATO 2027'!$K$5,"CONCLUÍDA",IF(F4981&lt;='RETRATO 2027'!$K$5,"EM ANDAMENTO","A INICIAR")))</f>
        <v/>
      </c>
    </row>
    <row r="4982" customFormat="false" ht="15" hidden="false" customHeight="false" outlineLevel="0" collapsed="false">
      <c r="M4982" s="2" t="str">
        <f aca="false">IF(C4982="","",IFERROR(INDEX($S$5:$S$304,MATCH(C4982,$R$5:$R$304,0))&amp;"","?"))</f>
        <v/>
      </c>
      <c r="N4982" s="2" t="str">
        <f aca="false"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 t="str">
        <f aca="false">IF(OR(F4982="",G4982=""),"",IF(G4982&lt;='RETRATO 2027'!$K$5,"CONCLUÍDA",IF(F4982&lt;='RETRATO 2027'!$K$5,"EM ANDAMENTO","A INICIAR")))</f>
        <v/>
      </c>
    </row>
    <row r="4983" customFormat="false" ht="15" hidden="false" customHeight="false" outlineLevel="0" collapsed="false">
      <c r="M4983" s="2" t="str">
        <f aca="false">IF(C4983="","",IFERROR(INDEX($S$5:$S$304,MATCH(C4983,$R$5:$R$304,0))&amp;"","?"))</f>
        <v/>
      </c>
      <c r="N4983" s="2" t="str">
        <f aca="false"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 t="str">
        <f aca="false">IF(OR(F4983="",G4983=""),"",IF(G4983&lt;='RETRATO 2027'!$K$5,"CONCLUÍDA",IF(F4983&lt;='RETRATO 2027'!$K$5,"EM ANDAMENTO","A INICIAR")))</f>
        <v/>
      </c>
    </row>
    <row r="4984" customFormat="false" ht="15" hidden="false" customHeight="false" outlineLevel="0" collapsed="false">
      <c r="M4984" s="2" t="str">
        <f aca="false">IF(C4984="","",IFERROR(INDEX($S$5:$S$304,MATCH(C4984,$R$5:$R$304,0))&amp;"","?"))</f>
        <v/>
      </c>
      <c r="N4984" s="2" t="str">
        <f aca="false"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 t="str">
        <f aca="false">IF(OR(F4984="",G4984=""),"",IF(G4984&lt;='RETRATO 2027'!$K$5,"CONCLUÍDA",IF(F4984&lt;='RETRATO 2027'!$K$5,"EM ANDAMENTO","A INICIAR")))</f>
        <v/>
      </c>
    </row>
    <row r="4985" customFormat="false" ht="15" hidden="false" customHeight="false" outlineLevel="0" collapsed="false">
      <c r="M4985" s="2" t="str">
        <f aca="false">IF(C4985="","",IFERROR(INDEX($S$5:$S$304,MATCH(C4985,$R$5:$R$304,0))&amp;"","?"))</f>
        <v/>
      </c>
      <c r="N4985" s="2" t="str">
        <f aca="false"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 t="str">
        <f aca="false">IF(OR(F4985="",G4985=""),"",IF(G4985&lt;='RETRATO 2027'!$K$5,"CONCLUÍDA",IF(F4985&lt;='RETRATO 2027'!$K$5,"EM ANDAMENTO","A INICIAR")))</f>
        <v/>
      </c>
    </row>
    <row r="4986" customFormat="false" ht="15" hidden="false" customHeight="false" outlineLevel="0" collapsed="false">
      <c r="M4986" s="2" t="str">
        <f aca="false">IF(C4986="","",IFERROR(INDEX($S$5:$S$304,MATCH(C4986,$R$5:$R$304,0))&amp;"","?"))</f>
        <v/>
      </c>
      <c r="N4986" s="2" t="str">
        <f aca="false"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 t="str">
        <f aca="false">IF(OR(F4986="",G4986=""),"",IF(G4986&lt;='RETRATO 2027'!$K$5,"CONCLUÍDA",IF(F4986&lt;='RETRATO 2027'!$K$5,"EM ANDAMENTO","A INICIAR")))</f>
        <v/>
      </c>
    </row>
    <row r="4987" customFormat="false" ht="15" hidden="false" customHeight="false" outlineLevel="0" collapsed="false">
      <c r="M4987" s="2" t="str">
        <f aca="false">IF(C4987="","",IFERROR(INDEX($S$5:$S$304,MATCH(C4987,$R$5:$R$304,0))&amp;"","?"))</f>
        <v/>
      </c>
      <c r="N4987" s="2" t="str">
        <f aca="false"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 t="str">
        <f aca="false">IF(OR(F4987="",G4987=""),"",IF(G4987&lt;='RETRATO 2027'!$K$5,"CONCLUÍDA",IF(F4987&lt;='RETRATO 2027'!$K$5,"EM ANDAMENTO","A INICIAR")))</f>
        <v/>
      </c>
    </row>
    <row r="4988" customFormat="false" ht="15" hidden="false" customHeight="false" outlineLevel="0" collapsed="false">
      <c r="M4988" s="2" t="str">
        <f aca="false">IF(C4988="","",IFERROR(INDEX($S$5:$S$304,MATCH(C4988,$R$5:$R$304,0))&amp;"","?"))</f>
        <v/>
      </c>
      <c r="N4988" s="2" t="str">
        <f aca="false"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 t="str">
        <f aca="false">IF(OR(F4988="",G4988=""),"",IF(G4988&lt;='RETRATO 2027'!$K$5,"CONCLUÍDA",IF(F4988&lt;='RETRATO 2027'!$K$5,"EM ANDAMENTO","A INICIAR")))</f>
        <v/>
      </c>
    </row>
    <row r="4989" customFormat="false" ht="15" hidden="false" customHeight="false" outlineLevel="0" collapsed="false">
      <c r="M4989" s="2" t="str">
        <f aca="false">IF(C4989="","",IFERROR(INDEX($S$5:$S$304,MATCH(C4989,$R$5:$R$304,0))&amp;"","?"))</f>
        <v/>
      </c>
      <c r="N4989" s="2" t="str">
        <f aca="false"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 t="str">
        <f aca="false">IF(OR(F4989="",G4989=""),"",IF(G4989&lt;='RETRATO 2027'!$K$5,"CONCLUÍDA",IF(F4989&lt;='RETRATO 2027'!$K$5,"EM ANDAMENTO","A INICIAR")))</f>
        <v/>
      </c>
    </row>
    <row r="4990" customFormat="false" ht="15" hidden="false" customHeight="false" outlineLevel="0" collapsed="false">
      <c r="M4990" s="2" t="str">
        <f aca="false">IF(C4990="","",IFERROR(INDEX($S$5:$S$304,MATCH(C4990,$R$5:$R$304,0))&amp;"","?"))</f>
        <v/>
      </c>
      <c r="N4990" s="2" t="str">
        <f aca="false"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 t="str">
        <f aca="false">IF(OR(F4990="",G4990=""),"",IF(G4990&lt;='RETRATO 2027'!$K$5,"CONCLUÍDA",IF(F4990&lt;='RETRATO 2027'!$K$5,"EM ANDAMENTO","A INICIAR")))</f>
        <v/>
      </c>
    </row>
    <row r="4991" customFormat="false" ht="15" hidden="false" customHeight="false" outlineLevel="0" collapsed="false">
      <c r="M4991" s="2" t="str">
        <f aca="false">IF(C4991="","",IFERROR(INDEX($S$5:$S$304,MATCH(C4991,$R$5:$R$304,0))&amp;"","?"))</f>
        <v/>
      </c>
      <c r="N4991" s="2" t="str">
        <f aca="false"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 t="str">
        <f aca="false">IF(OR(F4991="",G4991=""),"",IF(G4991&lt;='RETRATO 2027'!$K$5,"CONCLUÍDA",IF(F4991&lt;='RETRATO 2027'!$K$5,"EM ANDAMENTO","A INICIAR")))</f>
        <v/>
      </c>
    </row>
    <row r="4992" customFormat="false" ht="15" hidden="false" customHeight="false" outlineLevel="0" collapsed="false">
      <c r="M4992" s="2" t="str">
        <f aca="false">IF(C4992="","",IFERROR(INDEX($S$5:$S$304,MATCH(C4992,$R$5:$R$304,0))&amp;"","?"))</f>
        <v/>
      </c>
      <c r="N4992" s="2" t="str">
        <f aca="false"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 t="str">
        <f aca="false">IF(OR(F4992="",G4992=""),"",IF(G4992&lt;='RETRATO 2027'!$K$5,"CONCLUÍDA",IF(F4992&lt;='RETRATO 2027'!$K$5,"EM ANDAMENTO","A INICIAR")))</f>
        <v/>
      </c>
    </row>
    <row r="4993" customFormat="false" ht="15" hidden="false" customHeight="false" outlineLevel="0" collapsed="false">
      <c r="M4993" s="2" t="str">
        <f aca="false">IF(C4993="","",IFERROR(INDEX($S$5:$S$304,MATCH(C4993,$R$5:$R$304,0))&amp;"","?"))</f>
        <v/>
      </c>
      <c r="N4993" s="2" t="str">
        <f aca="false"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 t="str">
        <f aca="false">IF(OR(F4993="",G4993=""),"",IF(G4993&lt;='RETRATO 2027'!$K$5,"CONCLUÍDA",IF(F4993&lt;='RETRATO 2027'!$K$5,"EM ANDAMENTO","A INICIAR")))</f>
        <v/>
      </c>
    </row>
    <row r="4994" customFormat="false" ht="15" hidden="false" customHeight="false" outlineLevel="0" collapsed="false">
      <c r="M4994" s="2" t="str">
        <f aca="false">IF(C4994="","",IFERROR(INDEX($S$5:$S$304,MATCH(C4994,$R$5:$R$304,0))&amp;"","?"))</f>
        <v/>
      </c>
      <c r="N4994" s="2" t="str">
        <f aca="false"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 t="str">
        <f aca="false">IF(OR(F4994="",G4994=""),"",IF(G4994&lt;='RETRATO 2027'!$K$5,"CONCLUÍDA",IF(F4994&lt;='RETRATO 2027'!$K$5,"EM ANDAMENTO","A INICIAR")))</f>
        <v/>
      </c>
    </row>
    <row r="4995" customFormat="false" ht="15" hidden="false" customHeight="false" outlineLevel="0" collapsed="false">
      <c r="M4995" s="2" t="str">
        <f aca="false">IF(C4995="","",IFERROR(INDEX($S$5:$S$304,MATCH(C4995,$R$5:$R$304,0))&amp;"","?"))</f>
        <v/>
      </c>
      <c r="N4995" s="2" t="str">
        <f aca="false"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 t="str">
        <f aca="false">IF(OR(F4995="",G4995=""),"",IF(G4995&lt;='RETRATO 2027'!$K$5,"CONCLUÍDA",IF(F4995&lt;='RETRATO 2027'!$K$5,"EM ANDAMENTO","A INICIAR")))</f>
        <v/>
      </c>
    </row>
    <row r="4996" customFormat="false" ht="15" hidden="false" customHeight="false" outlineLevel="0" collapsed="false">
      <c r="M4996" s="2" t="str">
        <f aca="false">IF(C4996="","",IFERROR(INDEX($S$5:$S$304,MATCH(C4996,$R$5:$R$304,0))&amp;"","?"))</f>
        <v/>
      </c>
      <c r="N4996" s="2" t="str">
        <f aca="false"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 t="str">
        <f aca="false">IF(OR(F4996="",G4996=""),"",IF(G4996&lt;='RETRATO 2027'!$K$5,"CONCLUÍDA",IF(F4996&lt;='RETRATO 2027'!$K$5,"EM ANDAMENTO","A INICIAR")))</f>
        <v/>
      </c>
    </row>
    <row r="4997" customFormat="false" ht="15" hidden="false" customHeight="false" outlineLevel="0" collapsed="false">
      <c r="M4997" s="2" t="str">
        <f aca="false">IF(C4997="","",IFERROR(INDEX($S$5:$S$304,MATCH(C4997,$R$5:$R$304,0))&amp;"","?"))</f>
        <v/>
      </c>
      <c r="N4997" s="2" t="str">
        <f aca="false"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 t="str">
        <f aca="false">IF(OR(F4997="",G4997=""),"",IF(G4997&lt;='RETRATO 2027'!$K$5,"CONCLUÍDA",IF(F4997&lt;='RETRATO 2027'!$K$5,"EM ANDAMENTO","A INICIAR")))</f>
        <v/>
      </c>
    </row>
    <row r="4998" customFormat="false" ht="15" hidden="false" customHeight="false" outlineLevel="0" collapsed="false">
      <c r="M4998" s="2" t="str">
        <f aca="false">IF(C4998="","",IFERROR(INDEX($S$5:$S$304,MATCH(C4998,$R$5:$R$304,0))&amp;"","?"))</f>
        <v/>
      </c>
      <c r="N4998" s="2" t="str">
        <f aca="false"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 t="str">
        <f aca="false">IF(OR(F4998="",G4998=""),"",IF(G4998&lt;='RETRATO 2027'!$K$5,"CONCLUÍDA",IF(F4998&lt;='RETRATO 2027'!$K$5,"EM ANDAMENTO","A INICIAR")))</f>
        <v/>
      </c>
    </row>
    <row r="4999" customFormat="false" ht="15" hidden="false" customHeight="false" outlineLevel="0" collapsed="false">
      <c r="M4999" s="2" t="str">
        <f aca="false">IF(C4999="","",IFERROR(INDEX($S$5:$S$304,MATCH(C4999,$R$5:$R$304,0))&amp;"","?"))</f>
        <v/>
      </c>
      <c r="N4999" s="2" t="str">
        <f aca="false"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 t="str">
        <f aca="false">IF(OR(F4999="",G4999=""),"",IF(G4999&lt;='RETRATO 2027'!$K$5,"CONCLUÍDA",IF(F4999&lt;='RETRATO 2027'!$K$5,"EM ANDAMENTO","A INICIAR")))</f>
        <v/>
      </c>
    </row>
    <row r="5000" customFormat="false" ht="15" hidden="false" customHeight="false" outlineLevel="0" collapsed="false">
      <c r="M5000" s="2" t="str">
        <f aca="false">IF(C5000="","",IFERROR(INDEX($S$5:$S$304,MATCH(C5000,$R$5:$R$304,0))&amp;"","?"))</f>
        <v/>
      </c>
      <c r="N5000" s="2" t="str">
        <f aca="false"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 t="str">
        <f aca="false">IF(OR(F5000="",G5000=""),"",IF(G5000&lt;='RETRATO 2027'!$K$5,"CONCLUÍDA",IF(F5000&lt;='RETRATO 2027'!$K$5,"EM ANDAMENTO","A INICIAR")))</f>
        <v/>
      </c>
    </row>
    <row r="5001" customFormat="false" ht="15" hidden="false" customHeight="false" outlineLevel="0" collapsed="false">
      <c r="M5001" s="2" t="str">
        <f aca="false">IF(C5001="","",IFERROR(INDEX($S$5:$S$304,MATCH(C5001,$R$5:$R$304,0))&amp;"","?"))</f>
        <v/>
      </c>
      <c r="N5001" s="2" t="str">
        <f aca="false"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 t="str">
        <f aca="false">IF(OR(F5001="",G5001=""),"",IF(G5001&lt;='RETRATO 2027'!$K$5,"CONCLUÍDA",IF(F5001&lt;='RETRATO 2027'!$K$5,"EM ANDAMENTO","A INICIAR")))</f>
        <v/>
      </c>
    </row>
    <row r="5002" customFormat="false" ht="15" hidden="false" customHeight="false" outlineLevel="0" collapsed="false">
      <c r="M5002" s="2" t="str">
        <f aca="false">IF(C5002="","",IFERROR(INDEX($S$5:$S$304,MATCH(C5002,$R$5:$R$304,0))&amp;"","?"))</f>
        <v/>
      </c>
      <c r="N5002" s="2" t="str">
        <f aca="false"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 t="str">
        <f aca="false">IF(OR(F5002="",G5002=""),"",IF(G5002&lt;='RETRATO 2027'!$K$5,"CONCLUÍDA",IF(F5002&lt;='RETRATO 2027'!$K$5,"EM ANDAMENTO","A INICIAR")))</f>
        <v/>
      </c>
    </row>
    <row r="5003" customFormat="false" ht="15" hidden="false" customHeight="false" outlineLevel="0" collapsed="false">
      <c r="M5003" s="2" t="str">
        <f aca="false">IF(C5003="","",IFERROR(INDEX($S$5:$S$304,MATCH(C5003,$R$5:$R$304,0))&amp;"","?"))</f>
        <v/>
      </c>
      <c r="N5003" s="2" t="str">
        <f aca="false"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 t="str">
        <f aca="false">IF(OR(F5003="",G5003=""),"",IF(G5003&lt;='RETRATO 2027'!$K$5,"CONCLUÍDA",IF(F5003&lt;='RETRATO 2027'!$K$5,"EM ANDAMENTO","A INICIAR")))</f>
        <v/>
      </c>
    </row>
    <row r="5004" customFormat="false" ht="15" hidden="false" customHeight="false" outlineLevel="0" collapsed="false">
      <c r="M5004" s="2" t="str">
        <f aca="false">IF(C5004="","",IFERROR(INDEX($S$5:$S$304,MATCH(C5004,$R$5:$R$304,0))&amp;"","?"))</f>
        <v/>
      </c>
      <c r="N5004" s="2" t="str">
        <f aca="false"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 t="str">
        <f aca="false">IF(OR(F5004="",G5004=""),"",IF(G5004&lt;='RETRATO 2027'!$K$5,"CONCLUÍDA",IF(F5004&lt;='RETRATO 2027'!$K$5,"EM ANDAMENTO","A INICIAR")))</f>
        <v/>
      </c>
    </row>
    <row r="5005" customFormat="false" ht="15" hidden="false" customHeight="false" outlineLevel="0" collapsed="false">
      <c r="M5005" s="2" t="str">
        <f aca="false">IF(C5005="","",IFERROR(INDEX($S$5:$S$304,MATCH(C5005,$R$5:$R$304,0))&amp;"","?"))</f>
        <v/>
      </c>
      <c r="N5005" s="2" t="str">
        <f aca="false"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 t="str">
        <f aca="false">IF(OR(F5005="",G5005=""),"",IF(G5005&lt;='RETRATO 2027'!$K$5,"CONCLUÍDA",IF(F5005&lt;='RETRATO 2027'!$K$5,"EM ANDAMENTO","A INICIAR")))</f>
        <v/>
      </c>
    </row>
    <row r="5006" customFormat="false" ht="15" hidden="false" customHeight="false" outlineLevel="0" collapsed="false">
      <c r="M5006" s="2" t="str">
        <f aca="false">IF(C5006="","",IFERROR(INDEX($S$5:$S$304,MATCH(C5006,$R$5:$R$304,0))&amp;"","?"))</f>
        <v/>
      </c>
      <c r="N5006" s="2" t="str">
        <f aca="false"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 t="str">
        <f aca="false">IF(OR(F5006="",G5006=""),"",IF(G5006&lt;='RETRATO 2027'!$K$5,"CONCLUÍDA",IF(F5006&lt;='RETRATO 2027'!$K$5,"EM ANDAMENTO","A INICIAR")))</f>
        <v/>
      </c>
    </row>
    <row r="5007" customFormat="false" ht="15" hidden="false" customHeight="false" outlineLevel="0" collapsed="false">
      <c r="M5007" s="2" t="str">
        <f aca="false">IF(C5007="","",IFERROR(INDEX($S$5:$S$304,MATCH(C5007,$R$5:$R$304,0))&amp;"","?"))</f>
        <v/>
      </c>
      <c r="N5007" s="2" t="str">
        <f aca="false"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 t="str">
        <f aca="false">IF(OR(F5007="",G5007=""),"",IF(G5007&lt;='RETRATO 2027'!$K$5,"CONCLUÍDA",IF(F5007&lt;='RETRATO 2027'!$K$5,"EM ANDAMENTO","A INICIAR")))</f>
        <v/>
      </c>
    </row>
    <row r="5008" customFormat="false" ht="15" hidden="false" customHeight="false" outlineLevel="0" collapsed="false">
      <c r="M5008" s="2" t="str">
        <f aca="false">IF(C5008="","",IFERROR(INDEX($S$5:$S$304,MATCH(C5008,$R$5:$R$304,0))&amp;"","?"))</f>
        <v/>
      </c>
      <c r="N5008" s="2" t="str">
        <f aca="false"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 t="str">
        <f aca="false">IF(OR(F5008="",G5008=""),"",IF(G5008&lt;='RETRATO 2027'!$K$5,"CONCLUÍDA",IF(F5008&lt;='RETRATO 2027'!$K$5,"EM ANDAMENTO","A INICIAR")))</f>
        <v/>
      </c>
    </row>
    <row r="5009" customFormat="false" ht="15" hidden="false" customHeight="false" outlineLevel="0" collapsed="false">
      <c r="M5009" s="2" t="str">
        <f aca="false">IF(C5009="","",IFERROR(INDEX($S$5:$S$304,MATCH(C5009,$R$5:$R$304,0))&amp;"","?"))</f>
        <v/>
      </c>
      <c r="N5009" s="2" t="str">
        <f aca="false"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 t="str">
        <f aca="false">IF(OR(F5009="",G5009=""),"",IF(G5009&lt;='RETRATO 2027'!$K$5,"CONCLUÍDA",IF(F5009&lt;='RETRATO 2027'!$K$5,"EM ANDAMENTO","A INICIAR")))</f>
        <v/>
      </c>
    </row>
    <row r="5010" customFormat="false" ht="15" hidden="false" customHeight="false" outlineLevel="0" collapsed="false">
      <c r="M5010" s="2" t="str">
        <f aca="false">IF(C5010="","",IFERROR(INDEX($S$5:$S$304,MATCH(C5010,$R$5:$R$304,0))&amp;"","?"))</f>
        <v/>
      </c>
      <c r="N5010" s="2" t="str">
        <f aca="false"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 t="str">
        <f aca="false">IF(OR(F5010="",G5010=""),"",IF(G5010&lt;='RETRATO 2027'!$K$5,"CONCLUÍDA",IF(F5010&lt;='RETRATO 2027'!$K$5,"EM ANDAMENTO","A INICIAR")))</f>
        <v/>
      </c>
    </row>
    <row r="5011" customFormat="false" ht="15" hidden="false" customHeight="false" outlineLevel="0" collapsed="false">
      <c r="M5011" s="2" t="str">
        <f aca="false">IF(C5011="","",IFERROR(INDEX($S$5:$S$304,MATCH(C5011,$R$5:$R$304,0))&amp;"","?"))</f>
        <v/>
      </c>
      <c r="N5011" s="2" t="str">
        <f aca="false"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 t="str">
        <f aca="false">IF(OR(F5011="",G5011=""),"",IF(G5011&lt;='RETRATO 2027'!$K$5,"CONCLUÍDA",IF(F5011&lt;='RETRATO 2027'!$K$5,"EM ANDAMENTO","A INICIAR")))</f>
        <v/>
      </c>
    </row>
    <row r="5012" customFormat="false" ht="15" hidden="false" customHeight="false" outlineLevel="0" collapsed="false">
      <c r="M5012" s="2" t="str">
        <f aca="false">IF(C5012="","",IFERROR(INDEX($S$5:$S$304,MATCH(C5012,$R$5:$R$304,0))&amp;"","?"))</f>
        <v/>
      </c>
      <c r="N5012" s="2" t="str">
        <f aca="false"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 t="str">
        <f aca="false">IF(OR(F5012="",G5012=""),"",IF(G5012&lt;='RETRATO 2027'!$K$5,"CONCLUÍDA",IF(F5012&lt;='RETRATO 2027'!$K$5,"EM ANDAMENTO","A INICIAR")))</f>
        <v/>
      </c>
    </row>
    <row r="5013" customFormat="false" ht="15" hidden="false" customHeight="false" outlineLevel="0" collapsed="false">
      <c r="M5013" s="2" t="str">
        <f aca="false">IF(C5013="","",IFERROR(INDEX($S$5:$S$304,MATCH(C5013,$R$5:$R$304,0))&amp;"","?"))</f>
        <v/>
      </c>
      <c r="N5013" s="2" t="str">
        <f aca="false"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 t="str">
        <f aca="false">IF(OR(F5013="",G5013=""),"",IF(G5013&lt;='RETRATO 2027'!$K$5,"CONCLUÍDA",IF(F5013&lt;='RETRATO 2027'!$K$5,"EM ANDAMENTO","A INICIAR")))</f>
        <v/>
      </c>
    </row>
    <row r="5014" customFormat="false" ht="15" hidden="false" customHeight="false" outlineLevel="0" collapsed="false">
      <c r="M5014" s="2" t="str">
        <f aca="false">IF(C5014="","",IFERROR(INDEX($S$5:$S$304,MATCH(C5014,$R$5:$R$304,0))&amp;"","?"))</f>
        <v/>
      </c>
      <c r="N5014" s="2" t="str">
        <f aca="false"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 t="str">
        <f aca="false">IF(OR(F5014="",G5014=""),"",IF(G5014&lt;='RETRATO 2027'!$K$5,"CONCLUÍDA",IF(F5014&lt;='RETRATO 2027'!$K$5,"EM ANDAMENTO","A INICIAR")))</f>
        <v/>
      </c>
    </row>
    <row r="5015" customFormat="false" ht="15" hidden="false" customHeight="false" outlineLevel="0" collapsed="false">
      <c r="M5015" s="2" t="str">
        <f aca="false">IF(C5015="","",IFERROR(INDEX($S$5:$S$304,MATCH(C5015,$R$5:$R$304,0))&amp;"","?"))</f>
        <v/>
      </c>
      <c r="N5015" s="2" t="str">
        <f aca="false"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 t="str">
        <f aca="false">IF(OR(F5015="",G5015=""),"",IF(G5015&lt;='RETRATO 2027'!$K$5,"CONCLUÍDA",IF(F5015&lt;='RETRATO 2027'!$K$5,"EM ANDAMENTO","A INICIAR")))</f>
        <v/>
      </c>
    </row>
    <row r="5016" customFormat="false" ht="15" hidden="false" customHeight="false" outlineLevel="0" collapsed="false">
      <c r="M5016" s="2" t="str">
        <f aca="false">IF(C5016="","",IFERROR(INDEX($S$5:$S$304,MATCH(C5016,$R$5:$R$304,0))&amp;"","?"))</f>
        <v/>
      </c>
      <c r="N5016" s="2" t="str">
        <f aca="false"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 t="str">
        <f aca="false">IF(OR(F5016="",G5016=""),"",IF(G5016&lt;='RETRATO 2027'!$K$5,"CONCLUÍDA",IF(F5016&lt;='RETRATO 2027'!$K$5,"EM ANDAMENTO","A INICIAR")))</f>
        <v/>
      </c>
    </row>
    <row r="5017" customFormat="false" ht="15" hidden="false" customHeight="false" outlineLevel="0" collapsed="false">
      <c r="M5017" s="2" t="str">
        <f aca="false">IF(C5017="","",IFERROR(INDEX($S$5:$S$304,MATCH(C5017,$R$5:$R$304,0))&amp;"","?"))</f>
        <v/>
      </c>
      <c r="N5017" s="2" t="str">
        <f aca="false"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 t="str">
        <f aca="false">IF(OR(F5017="",G5017=""),"",IF(G5017&lt;='RETRATO 2027'!$K$5,"CONCLUÍDA",IF(F5017&lt;='RETRATO 2027'!$K$5,"EM ANDAMENTO","A INICIAR")))</f>
        <v/>
      </c>
    </row>
    <row r="5018" customFormat="false" ht="15" hidden="false" customHeight="false" outlineLevel="0" collapsed="false">
      <c r="M5018" s="2" t="str">
        <f aca="false">IF(C5018="","",IFERROR(INDEX($S$5:$S$304,MATCH(C5018,$R$5:$R$304,0))&amp;"","?"))</f>
        <v/>
      </c>
      <c r="N5018" s="2" t="str">
        <f aca="false"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 t="str">
        <f aca="false">IF(OR(F5018="",G5018=""),"",IF(G5018&lt;='RETRATO 2027'!$K$5,"CONCLUÍDA",IF(F5018&lt;='RETRATO 2027'!$K$5,"EM ANDAMENTO","A INICIAR")))</f>
        <v/>
      </c>
    </row>
    <row r="5019" customFormat="false" ht="15" hidden="false" customHeight="false" outlineLevel="0" collapsed="false">
      <c r="M5019" s="2" t="str">
        <f aca="false">IF(C5019="","",IFERROR(INDEX($S$5:$S$304,MATCH(C5019,$R$5:$R$304,0))&amp;"","?"))</f>
        <v/>
      </c>
      <c r="N5019" s="2" t="str">
        <f aca="false"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 t="str">
        <f aca="false">IF(OR(F5019="",G5019=""),"",IF(G5019&lt;='RETRATO 2027'!$K$5,"CONCLUÍDA",IF(F5019&lt;='RETRATO 2027'!$K$5,"EM ANDAMENTO","A INICIAR")))</f>
        <v/>
      </c>
    </row>
    <row r="5020" customFormat="false" ht="15" hidden="false" customHeight="false" outlineLevel="0" collapsed="false">
      <c r="M5020" s="2" t="str">
        <f aca="false">IF(C5020="","",IFERROR(INDEX($S$5:$S$304,MATCH(C5020,$R$5:$R$304,0))&amp;"","?"))</f>
        <v/>
      </c>
      <c r="N5020" s="2" t="str">
        <f aca="false"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 t="str">
        <f aca="false">IF(OR(F5020="",G5020=""),"",IF(G5020&lt;='RETRATO 2027'!$K$5,"CONCLUÍDA",IF(F5020&lt;='RETRATO 2027'!$K$5,"EM ANDAMENTO","A INICIAR")))</f>
        <v/>
      </c>
    </row>
    <row r="5021" customFormat="false" ht="15" hidden="false" customHeight="false" outlineLevel="0" collapsed="false">
      <c r="M5021" s="2" t="str">
        <f aca="false">IF(C5021="","",IFERROR(INDEX($S$5:$S$304,MATCH(C5021,$R$5:$R$304,0))&amp;"","?"))</f>
        <v/>
      </c>
      <c r="N5021" s="2" t="str">
        <f aca="false"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 t="str">
        <f aca="false">IF(OR(F5021="",G5021=""),"",IF(G5021&lt;='RETRATO 2027'!$K$5,"CONCLUÍDA",IF(F5021&lt;='RETRATO 2027'!$K$5,"EM ANDAMENTO","A INICIAR")))</f>
        <v/>
      </c>
    </row>
    <row r="5022" customFormat="false" ht="15" hidden="false" customHeight="false" outlineLevel="0" collapsed="false">
      <c r="M5022" s="2" t="str">
        <f aca="false">IF(C5022="","",IFERROR(INDEX($S$5:$S$304,MATCH(C5022,$R$5:$R$304,0))&amp;"","?"))</f>
        <v/>
      </c>
      <c r="N5022" s="2" t="str">
        <f aca="false"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 t="str">
        <f aca="false">IF(OR(F5022="",G5022=""),"",IF(G5022&lt;='RETRATO 2027'!$K$5,"CONCLUÍDA",IF(F5022&lt;='RETRATO 2027'!$K$5,"EM ANDAMENTO","A INICIAR")))</f>
        <v/>
      </c>
    </row>
    <row r="5023" customFormat="false" ht="15" hidden="false" customHeight="false" outlineLevel="0" collapsed="false">
      <c r="M5023" s="2" t="str">
        <f aca="false">IF(C5023="","",IFERROR(INDEX($S$5:$S$304,MATCH(C5023,$R$5:$R$304,0))&amp;"","?"))</f>
        <v/>
      </c>
      <c r="N5023" s="2" t="str">
        <f aca="false"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 t="str">
        <f aca="false">IF(OR(F5023="",G5023=""),"",IF(G5023&lt;='RETRATO 2027'!$K$5,"CONCLUÍDA",IF(F5023&lt;='RETRATO 2027'!$K$5,"EM ANDAMENTO","A INICIAR")))</f>
        <v/>
      </c>
    </row>
    <row r="5024" customFormat="false" ht="15" hidden="false" customHeight="false" outlineLevel="0" collapsed="false">
      <c r="M5024" s="2" t="str">
        <f aca="false">IF(C5024="","",IFERROR(INDEX($S$5:$S$304,MATCH(C5024,$R$5:$R$304,0))&amp;"","?"))</f>
        <v/>
      </c>
      <c r="N5024" s="2" t="str">
        <f aca="false"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 t="str">
        <f aca="false">IF(OR(F5024="",G5024=""),"",IF(G5024&lt;='RETRATO 2027'!$K$5,"CONCLUÍDA",IF(F5024&lt;='RETRATO 2027'!$K$5,"EM ANDAMENTO","A INICIAR")))</f>
        <v/>
      </c>
    </row>
    <row r="5025" customFormat="false" ht="15" hidden="false" customHeight="false" outlineLevel="0" collapsed="false">
      <c r="M5025" s="2" t="str">
        <f aca="false">IF(C5025="","",IFERROR(INDEX($S$5:$S$304,MATCH(C5025,$R$5:$R$304,0))&amp;"","?"))</f>
        <v/>
      </c>
      <c r="N5025" s="2" t="str">
        <f aca="false"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 t="str">
        <f aca="false">IF(OR(F5025="",G5025=""),"",IF(G5025&lt;='RETRATO 2027'!$K$5,"CONCLUÍDA",IF(F5025&lt;='RETRATO 2027'!$K$5,"EM ANDAMENTO","A INICIAR")))</f>
        <v/>
      </c>
    </row>
    <row r="5026" customFormat="false" ht="15" hidden="false" customHeight="false" outlineLevel="0" collapsed="false">
      <c r="M5026" s="2" t="str">
        <f aca="false">IF(C5026="","",IFERROR(INDEX($S$5:$S$304,MATCH(C5026,$R$5:$R$304,0))&amp;"","?"))</f>
        <v/>
      </c>
      <c r="N5026" s="2" t="str">
        <f aca="false"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 t="str">
        <f aca="false">IF(OR(F5026="",G5026=""),"",IF(G5026&lt;='RETRATO 2027'!$K$5,"CONCLUÍDA",IF(F5026&lt;='RETRATO 2027'!$K$5,"EM ANDAMENTO","A INICIAR")))</f>
        <v/>
      </c>
    </row>
    <row r="5027" customFormat="false" ht="15" hidden="false" customHeight="false" outlineLevel="0" collapsed="false">
      <c r="M5027" s="2" t="str">
        <f aca="false">IF(C5027="","",IFERROR(INDEX($S$5:$S$304,MATCH(C5027,$R$5:$R$304,0))&amp;"","?"))</f>
        <v/>
      </c>
      <c r="N5027" s="2" t="str">
        <f aca="false"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 t="str">
        <f aca="false">IF(OR(F5027="",G5027=""),"",IF(G5027&lt;='RETRATO 2027'!$K$5,"CONCLUÍDA",IF(F5027&lt;='RETRATO 2027'!$K$5,"EM ANDAMENTO","A INICIAR")))</f>
        <v/>
      </c>
    </row>
    <row r="5028" customFormat="false" ht="15" hidden="false" customHeight="false" outlineLevel="0" collapsed="false">
      <c r="M5028" s="2" t="str">
        <f aca="false">IF(C5028="","",IFERROR(INDEX($S$5:$S$304,MATCH(C5028,$R$5:$R$304,0))&amp;"","?"))</f>
        <v/>
      </c>
      <c r="N5028" s="2" t="str">
        <f aca="false"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 t="str">
        <f aca="false">IF(OR(F5028="",G5028=""),"",IF(G5028&lt;='RETRATO 2027'!$K$5,"CONCLUÍDA",IF(F5028&lt;='RETRATO 2027'!$K$5,"EM ANDAMENTO","A INICIAR")))</f>
        <v/>
      </c>
    </row>
    <row r="5029" customFormat="false" ht="15" hidden="false" customHeight="false" outlineLevel="0" collapsed="false">
      <c r="M5029" s="2" t="str">
        <f aca="false">IF(C5029="","",IFERROR(INDEX($S$5:$S$304,MATCH(C5029,$R$5:$R$304,0))&amp;"","?"))</f>
        <v/>
      </c>
      <c r="N5029" s="2" t="str">
        <f aca="false"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 t="str">
        <f aca="false">IF(OR(F5029="",G5029=""),"",IF(G5029&lt;='RETRATO 2027'!$K$5,"CONCLUÍDA",IF(F5029&lt;='RETRATO 2027'!$K$5,"EM ANDAMENTO","A INICIAR")))</f>
        <v/>
      </c>
    </row>
    <row r="5030" customFormat="false" ht="15" hidden="false" customHeight="false" outlineLevel="0" collapsed="false">
      <c r="M5030" s="2" t="str">
        <f aca="false">IF(C5030="","",IFERROR(INDEX($S$5:$S$304,MATCH(C5030,$R$5:$R$304,0))&amp;"","?"))</f>
        <v/>
      </c>
      <c r="N5030" s="2" t="str">
        <f aca="false"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 t="str">
        <f aca="false">IF(OR(F5030="",G5030=""),"",IF(G5030&lt;='RETRATO 2027'!$K$5,"CONCLUÍDA",IF(F5030&lt;='RETRATO 2027'!$K$5,"EM ANDAMENTO","A INICIAR")))</f>
        <v/>
      </c>
    </row>
    <row r="5031" customFormat="false" ht="15" hidden="false" customHeight="false" outlineLevel="0" collapsed="false">
      <c r="M5031" s="2" t="str">
        <f aca="false">IF(C5031="","",IFERROR(INDEX($S$5:$S$304,MATCH(C5031,$R$5:$R$304,0))&amp;"","?"))</f>
        <v/>
      </c>
      <c r="N5031" s="2" t="str">
        <f aca="false"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 t="str">
        <f aca="false">IF(OR(F5031="",G5031=""),"",IF(G5031&lt;='RETRATO 2027'!$K$5,"CONCLUÍDA",IF(F5031&lt;='RETRATO 2027'!$K$5,"EM ANDAMENTO","A INICIAR")))</f>
        <v/>
      </c>
    </row>
    <row r="5032" customFormat="false" ht="15" hidden="false" customHeight="false" outlineLevel="0" collapsed="false">
      <c r="M5032" s="2" t="str">
        <f aca="false">IF(C5032="","",IFERROR(INDEX($S$5:$S$304,MATCH(C5032,$R$5:$R$304,0))&amp;"","?"))</f>
        <v/>
      </c>
      <c r="N5032" s="2" t="str">
        <f aca="false"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 t="str">
        <f aca="false">IF(OR(F5032="",G5032=""),"",IF(G5032&lt;='RETRATO 2027'!$K$5,"CONCLUÍDA",IF(F5032&lt;='RETRATO 2027'!$K$5,"EM ANDAMENTO","A INICIAR")))</f>
        <v/>
      </c>
    </row>
    <row r="5033" customFormat="false" ht="15" hidden="false" customHeight="false" outlineLevel="0" collapsed="false">
      <c r="M5033" s="2" t="str">
        <f aca="false">IF(C5033="","",IFERROR(INDEX($S$5:$S$304,MATCH(C5033,$R$5:$R$304,0))&amp;"","?"))</f>
        <v/>
      </c>
      <c r="N5033" s="2" t="str">
        <f aca="false"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 t="str">
        <f aca="false">IF(OR(F5033="",G5033=""),"",IF(G5033&lt;='RETRATO 2027'!$K$5,"CONCLUÍDA",IF(F5033&lt;='RETRATO 2027'!$K$5,"EM ANDAMENTO","A INICIAR")))</f>
        <v/>
      </c>
    </row>
    <row r="5034" customFormat="false" ht="15" hidden="false" customHeight="false" outlineLevel="0" collapsed="false">
      <c r="M5034" s="2" t="str">
        <f aca="false">IF(C5034="","",IFERROR(INDEX($S$5:$S$304,MATCH(C5034,$R$5:$R$304,0))&amp;"","?"))</f>
        <v/>
      </c>
      <c r="N5034" s="2" t="str">
        <f aca="false"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 t="str">
        <f aca="false">IF(OR(F5034="",G5034=""),"",IF(G5034&lt;='RETRATO 2027'!$K$5,"CONCLUÍDA",IF(F5034&lt;='RETRATO 2027'!$K$5,"EM ANDAMENTO","A INICIAR")))</f>
        <v/>
      </c>
    </row>
    <row r="5035" customFormat="false" ht="15" hidden="false" customHeight="false" outlineLevel="0" collapsed="false">
      <c r="M5035" s="2" t="str">
        <f aca="false">IF(C5035="","",IFERROR(INDEX($S$5:$S$304,MATCH(C5035,$R$5:$R$304,0))&amp;"","?"))</f>
        <v/>
      </c>
      <c r="N5035" s="2" t="str">
        <f aca="false"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 t="str">
        <f aca="false">IF(OR(F5035="",G5035=""),"",IF(G5035&lt;='RETRATO 2027'!$K$5,"CONCLUÍDA",IF(F5035&lt;='RETRATO 2027'!$K$5,"EM ANDAMENTO","A INICIAR")))</f>
        <v/>
      </c>
    </row>
    <row r="5036" customFormat="false" ht="15" hidden="false" customHeight="false" outlineLevel="0" collapsed="false">
      <c r="M5036" s="2" t="str">
        <f aca="false">IF(C5036="","",IFERROR(INDEX($S$5:$S$304,MATCH(C5036,$R$5:$R$304,0))&amp;"","?"))</f>
        <v/>
      </c>
      <c r="N5036" s="2" t="str">
        <f aca="false"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 t="str">
        <f aca="false">IF(OR(F5036="",G5036=""),"",IF(G5036&lt;='RETRATO 2027'!$K$5,"CONCLUÍDA",IF(F5036&lt;='RETRATO 2027'!$K$5,"EM ANDAMENTO","A INICIAR")))</f>
        <v/>
      </c>
    </row>
    <row r="5037" customFormat="false" ht="15" hidden="false" customHeight="false" outlineLevel="0" collapsed="false">
      <c r="M5037" s="2" t="str">
        <f aca="false">IF(C5037="","",IFERROR(INDEX($S$5:$S$304,MATCH(C5037,$R$5:$R$304,0))&amp;"","?"))</f>
        <v/>
      </c>
      <c r="N5037" s="2" t="str">
        <f aca="false"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 t="str">
        <f aca="false">IF(OR(F5037="",G5037=""),"",IF(G5037&lt;='RETRATO 2027'!$K$5,"CONCLUÍDA",IF(F5037&lt;='RETRATO 2027'!$K$5,"EM ANDAMENTO","A INICIAR")))</f>
        <v/>
      </c>
    </row>
    <row r="5038" customFormat="false" ht="15" hidden="false" customHeight="false" outlineLevel="0" collapsed="false">
      <c r="M5038" s="2" t="str">
        <f aca="false">IF(C5038="","",IFERROR(INDEX($S$5:$S$304,MATCH(C5038,$R$5:$R$304,0))&amp;"","?"))</f>
        <v/>
      </c>
      <c r="N5038" s="2" t="str">
        <f aca="false"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 t="str">
        <f aca="false">IF(OR(F5038="",G5038=""),"",IF(G5038&lt;='RETRATO 2027'!$K$5,"CONCLUÍDA",IF(F5038&lt;='RETRATO 2027'!$K$5,"EM ANDAMENTO","A INICIAR")))</f>
        <v/>
      </c>
    </row>
    <row r="5039" customFormat="false" ht="15" hidden="false" customHeight="false" outlineLevel="0" collapsed="false">
      <c r="M5039" s="2" t="str">
        <f aca="false">IF(C5039="","",IFERROR(INDEX($S$5:$S$304,MATCH(C5039,$R$5:$R$304,0))&amp;"","?"))</f>
        <v/>
      </c>
      <c r="N5039" s="2" t="str">
        <f aca="false"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 t="str">
        <f aca="false">IF(OR(F5039="",G5039=""),"",IF(G5039&lt;='RETRATO 2027'!$K$5,"CONCLUÍDA",IF(F5039&lt;='RETRATO 2027'!$K$5,"EM ANDAMENTO","A INICIAR")))</f>
        <v/>
      </c>
    </row>
    <row r="5040" customFormat="false" ht="15" hidden="false" customHeight="false" outlineLevel="0" collapsed="false">
      <c r="M5040" s="2" t="str">
        <f aca="false">IF(C5040="","",IFERROR(INDEX($S$5:$S$304,MATCH(C5040,$R$5:$R$304,0))&amp;"","?"))</f>
        <v/>
      </c>
      <c r="N5040" s="2" t="str">
        <f aca="false"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 t="str">
        <f aca="false">IF(OR(F5040="",G5040=""),"",IF(G5040&lt;='RETRATO 2027'!$K$5,"CONCLUÍDA",IF(F5040&lt;='RETRATO 2027'!$K$5,"EM ANDAMENTO","A INICIAR")))</f>
        <v/>
      </c>
    </row>
    <row r="5041" customFormat="false" ht="15" hidden="false" customHeight="false" outlineLevel="0" collapsed="false">
      <c r="M5041" s="2" t="str">
        <f aca="false">IF(C5041="","",IFERROR(INDEX($S$5:$S$304,MATCH(C5041,$R$5:$R$304,0))&amp;"","?"))</f>
        <v/>
      </c>
      <c r="N5041" s="2" t="str">
        <f aca="false"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 t="str">
        <f aca="false">IF(OR(F5041="",G5041=""),"",IF(G5041&lt;='RETRATO 2027'!$K$5,"CONCLUÍDA",IF(F5041&lt;='RETRATO 2027'!$K$5,"EM ANDAMENTO","A INICIAR")))</f>
        <v/>
      </c>
    </row>
    <row r="5042" customFormat="false" ht="15" hidden="false" customHeight="false" outlineLevel="0" collapsed="false">
      <c r="M5042" s="2" t="str">
        <f aca="false">IF(C5042="","",IFERROR(INDEX($S$5:$S$304,MATCH(C5042,$R$5:$R$304,0))&amp;"","?"))</f>
        <v/>
      </c>
      <c r="N5042" s="2" t="str">
        <f aca="false"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 t="str">
        <f aca="false">IF(OR(F5042="",G5042=""),"",IF(G5042&lt;='RETRATO 2027'!$K$5,"CONCLUÍDA",IF(F5042&lt;='RETRATO 2027'!$K$5,"EM ANDAMENTO","A INICIAR")))</f>
        <v/>
      </c>
    </row>
    <row r="5043" customFormat="false" ht="15" hidden="false" customHeight="false" outlineLevel="0" collapsed="false">
      <c r="M5043" s="2" t="str">
        <f aca="false">IF(C5043="","",IFERROR(INDEX($S$5:$S$304,MATCH(C5043,$R$5:$R$304,0))&amp;"","?"))</f>
        <v/>
      </c>
      <c r="N5043" s="2" t="str">
        <f aca="false"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 t="str">
        <f aca="false">IF(OR(F5043="",G5043=""),"",IF(G5043&lt;='RETRATO 2027'!$K$5,"CONCLUÍDA",IF(F5043&lt;='RETRATO 2027'!$K$5,"EM ANDAMENTO","A INICIAR")))</f>
        <v/>
      </c>
    </row>
    <row r="5044" customFormat="false" ht="15" hidden="false" customHeight="false" outlineLevel="0" collapsed="false">
      <c r="M5044" s="2" t="str">
        <f aca="false">IF(C5044="","",IFERROR(INDEX($S$5:$S$304,MATCH(C5044,$R$5:$R$304,0))&amp;"","?"))</f>
        <v/>
      </c>
      <c r="N5044" s="2" t="str">
        <f aca="false"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 t="str">
        <f aca="false">IF(OR(F5044="",G5044=""),"",IF(G5044&lt;='RETRATO 2027'!$K$5,"CONCLUÍDA",IF(F5044&lt;='RETRATO 2027'!$K$5,"EM ANDAMENTO","A INICIAR")))</f>
        <v/>
      </c>
    </row>
    <row r="5045" customFormat="false" ht="15" hidden="false" customHeight="false" outlineLevel="0" collapsed="false">
      <c r="M5045" s="2" t="str">
        <f aca="false">IF(C5045="","",IFERROR(INDEX($S$5:$S$304,MATCH(C5045,$R$5:$R$304,0))&amp;"","?"))</f>
        <v/>
      </c>
      <c r="N5045" s="2" t="str">
        <f aca="false"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 t="str">
        <f aca="false">IF(OR(F5045="",G5045=""),"",IF(G5045&lt;='RETRATO 2027'!$K$5,"CONCLUÍDA",IF(F5045&lt;='RETRATO 2027'!$K$5,"EM ANDAMENTO","A INICIAR")))</f>
        <v/>
      </c>
    </row>
    <row r="5046" customFormat="false" ht="15" hidden="false" customHeight="false" outlineLevel="0" collapsed="false">
      <c r="M5046" s="2" t="str">
        <f aca="false">IF(C5046="","",IFERROR(INDEX($S$5:$S$304,MATCH(C5046,$R$5:$R$304,0))&amp;"","?"))</f>
        <v/>
      </c>
      <c r="N5046" s="2" t="str">
        <f aca="false"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 t="str">
        <f aca="false">IF(OR(F5046="",G5046=""),"",IF(G5046&lt;='RETRATO 2027'!$K$5,"CONCLUÍDA",IF(F5046&lt;='RETRATO 2027'!$K$5,"EM ANDAMENTO","A INICIAR")))</f>
        <v/>
      </c>
    </row>
    <row r="5047" customFormat="false" ht="15" hidden="false" customHeight="false" outlineLevel="0" collapsed="false">
      <c r="M5047" s="2" t="str">
        <f aca="false">IF(C5047="","",IFERROR(INDEX($S$5:$S$304,MATCH(C5047,$R$5:$R$304,0))&amp;"","?"))</f>
        <v/>
      </c>
      <c r="N5047" s="2" t="str">
        <f aca="false"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 t="str">
        <f aca="false">IF(OR(F5047="",G5047=""),"",IF(G5047&lt;='RETRATO 2027'!$K$5,"CONCLUÍDA",IF(F5047&lt;='RETRATO 2027'!$K$5,"EM ANDAMENTO","A INICIAR")))</f>
        <v/>
      </c>
    </row>
    <row r="5048" customFormat="false" ht="15" hidden="false" customHeight="false" outlineLevel="0" collapsed="false">
      <c r="M5048" s="2" t="str">
        <f aca="false">IF(C5048="","",IFERROR(INDEX($S$5:$S$304,MATCH(C5048,$R$5:$R$304,0))&amp;"","?"))</f>
        <v/>
      </c>
      <c r="N5048" s="2" t="str">
        <f aca="false"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 t="str">
        <f aca="false">IF(OR(F5048="",G5048=""),"",IF(G5048&lt;='RETRATO 2027'!$K$5,"CONCLUÍDA",IF(F5048&lt;='RETRATO 2027'!$K$5,"EM ANDAMENTO","A INICIAR")))</f>
        <v/>
      </c>
    </row>
    <row r="5049" customFormat="false" ht="15" hidden="false" customHeight="false" outlineLevel="0" collapsed="false">
      <c r="M5049" s="2" t="str">
        <f aca="false">IF(C5049="","",IFERROR(INDEX($S$5:$S$304,MATCH(C5049,$R$5:$R$304,0))&amp;"","?"))</f>
        <v/>
      </c>
      <c r="N5049" s="2" t="str">
        <f aca="false"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 t="str">
        <f aca="false">IF(OR(F5049="",G5049=""),"",IF(G5049&lt;='RETRATO 2027'!$K$5,"CONCLUÍDA",IF(F5049&lt;='RETRATO 2027'!$K$5,"EM ANDAMENTO","A INICIAR")))</f>
        <v/>
      </c>
    </row>
    <row r="5050" customFormat="false" ht="15" hidden="false" customHeight="false" outlineLevel="0" collapsed="false">
      <c r="M5050" s="2" t="str">
        <f aca="false">IF(C5050="","",IFERROR(INDEX($S$5:$S$304,MATCH(C5050,$R$5:$R$304,0))&amp;"","?"))</f>
        <v/>
      </c>
      <c r="N5050" s="2" t="str">
        <f aca="false"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 t="str">
        <f aca="false">IF(OR(F5050="",G5050=""),"",IF(G5050&lt;='RETRATO 2027'!$K$5,"CONCLUÍDA",IF(F5050&lt;='RETRATO 2027'!$K$5,"EM ANDAMENTO","A INICIAR")))</f>
        <v/>
      </c>
    </row>
    <row r="5051" customFormat="false" ht="15" hidden="false" customHeight="false" outlineLevel="0" collapsed="false">
      <c r="M5051" s="2" t="str">
        <f aca="false">IF(C5051="","",IFERROR(INDEX($S$5:$S$304,MATCH(C5051,$R$5:$R$304,0))&amp;"","?"))</f>
        <v/>
      </c>
      <c r="N5051" s="2" t="str">
        <f aca="false"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 t="str">
        <f aca="false">IF(OR(F5051="",G5051=""),"",IF(G5051&lt;='RETRATO 2027'!$K$5,"CONCLUÍDA",IF(F5051&lt;='RETRATO 2027'!$K$5,"EM ANDAMENTO","A INICIAR")))</f>
        <v/>
      </c>
    </row>
    <row r="5052" customFormat="false" ht="15" hidden="false" customHeight="false" outlineLevel="0" collapsed="false">
      <c r="M5052" s="2" t="str">
        <f aca="false">IF(C5052="","",IFERROR(INDEX($S$5:$S$304,MATCH(C5052,$R$5:$R$304,0))&amp;"","?"))</f>
        <v/>
      </c>
      <c r="N5052" s="2" t="str">
        <f aca="false"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 t="str">
        <f aca="false">IF(OR(F5052="",G5052=""),"",IF(G5052&lt;='RETRATO 2027'!$K$5,"CONCLUÍDA",IF(F5052&lt;='RETRATO 2027'!$K$5,"EM ANDAMENTO","A INICIAR")))</f>
        <v/>
      </c>
    </row>
    <row r="5053" customFormat="false" ht="15" hidden="false" customHeight="false" outlineLevel="0" collapsed="false">
      <c r="M5053" s="2" t="str">
        <f aca="false">IF(C5053="","",IFERROR(INDEX($S$5:$S$304,MATCH(C5053,$R$5:$R$304,0))&amp;"","?"))</f>
        <v/>
      </c>
      <c r="N5053" s="2" t="str">
        <f aca="false"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 t="str">
        <f aca="false">IF(OR(F5053="",G5053=""),"",IF(G5053&lt;='RETRATO 2027'!$K$5,"CONCLUÍDA",IF(F5053&lt;='RETRATO 2027'!$K$5,"EM ANDAMENTO","A INICIAR")))</f>
        <v/>
      </c>
    </row>
    <row r="5054" customFormat="false" ht="15" hidden="false" customHeight="false" outlineLevel="0" collapsed="false">
      <c r="M5054" s="2" t="str">
        <f aca="false">IF(C5054="","",IFERROR(INDEX($S$5:$S$304,MATCH(C5054,$R$5:$R$304,0))&amp;"","?"))</f>
        <v/>
      </c>
      <c r="N5054" s="2" t="str">
        <f aca="false"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 t="str">
        <f aca="false">IF(OR(F5054="",G5054=""),"",IF(G5054&lt;='RETRATO 2027'!$K$5,"CONCLUÍDA",IF(F5054&lt;='RETRATO 2027'!$K$5,"EM ANDAMENTO","A INICIAR")))</f>
        <v/>
      </c>
    </row>
    <row r="5055" customFormat="false" ht="15" hidden="false" customHeight="false" outlineLevel="0" collapsed="false">
      <c r="M5055" s="2" t="str">
        <f aca="false">IF(C5055="","",IFERROR(INDEX($S$5:$S$304,MATCH(C5055,$R$5:$R$304,0))&amp;"","?"))</f>
        <v/>
      </c>
      <c r="N5055" s="2" t="str">
        <f aca="false"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 t="str">
        <f aca="false">IF(OR(F5055="",G5055=""),"",IF(G5055&lt;='RETRATO 2027'!$K$5,"CONCLUÍDA",IF(F5055&lt;='RETRATO 2027'!$K$5,"EM ANDAMENTO","A INICIAR")))</f>
        <v/>
      </c>
    </row>
    <row r="5056" customFormat="false" ht="15" hidden="false" customHeight="false" outlineLevel="0" collapsed="false">
      <c r="M5056" s="2" t="str">
        <f aca="false">IF(C5056="","",IFERROR(INDEX($S$5:$S$304,MATCH(C5056,$R$5:$R$304,0))&amp;"","?"))</f>
        <v/>
      </c>
      <c r="N5056" s="2" t="str">
        <f aca="false"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 t="str">
        <f aca="false">IF(OR(F5056="",G5056=""),"",IF(G5056&lt;='RETRATO 2027'!$K$5,"CONCLUÍDA",IF(F5056&lt;='RETRATO 2027'!$K$5,"EM ANDAMENTO","A INICIAR")))</f>
        <v/>
      </c>
    </row>
    <row r="5057" customFormat="false" ht="15" hidden="false" customHeight="false" outlineLevel="0" collapsed="false">
      <c r="M5057" s="2" t="str">
        <f aca="false">IF(C5057="","",IFERROR(INDEX($S$5:$S$304,MATCH(C5057,$R$5:$R$304,0))&amp;"","?"))</f>
        <v/>
      </c>
      <c r="N5057" s="2" t="str">
        <f aca="false"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 t="str">
        <f aca="false">IF(OR(F5057="",G5057=""),"",IF(G5057&lt;='RETRATO 2027'!$K$5,"CONCLUÍDA",IF(F5057&lt;='RETRATO 2027'!$K$5,"EM ANDAMENTO","A INICIAR")))</f>
        <v/>
      </c>
    </row>
    <row r="5058" customFormat="false" ht="15" hidden="false" customHeight="false" outlineLevel="0" collapsed="false">
      <c r="M5058" s="2" t="str">
        <f aca="false">IF(C5058="","",IFERROR(INDEX($S$5:$S$304,MATCH(C5058,$R$5:$R$304,0))&amp;"","?"))</f>
        <v/>
      </c>
      <c r="N5058" s="2" t="str">
        <f aca="false"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 t="str">
        <f aca="false">IF(OR(F5058="",G5058=""),"",IF(G5058&lt;='RETRATO 2027'!$K$5,"CONCLUÍDA",IF(F5058&lt;='RETRATO 2027'!$K$5,"EM ANDAMENTO","A INICIAR")))</f>
        <v/>
      </c>
    </row>
    <row r="5059" customFormat="false" ht="15" hidden="false" customHeight="false" outlineLevel="0" collapsed="false">
      <c r="M5059" s="2" t="str">
        <f aca="false">IF(C5059="","",IFERROR(INDEX($S$5:$S$304,MATCH(C5059,$R$5:$R$304,0))&amp;"","?"))</f>
        <v/>
      </c>
      <c r="N5059" s="2" t="str">
        <f aca="false"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 t="str">
        <f aca="false">IF(OR(F5059="",G5059=""),"",IF(G5059&lt;='RETRATO 2027'!$K$5,"CONCLUÍDA",IF(F5059&lt;='RETRATO 2027'!$K$5,"EM ANDAMENTO","A INICIAR")))</f>
        <v/>
      </c>
    </row>
    <row r="5060" customFormat="false" ht="15" hidden="false" customHeight="false" outlineLevel="0" collapsed="false">
      <c r="M5060" s="2" t="str">
        <f aca="false">IF(C5060="","",IFERROR(INDEX($S$5:$S$304,MATCH(C5060,$R$5:$R$304,0))&amp;"","?"))</f>
        <v/>
      </c>
      <c r="N5060" s="2" t="str">
        <f aca="false"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 t="str">
        <f aca="false">IF(OR(F5060="",G5060=""),"",IF(G5060&lt;='RETRATO 2027'!$K$5,"CONCLUÍDA",IF(F5060&lt;='RETRATO 2027'!$K$5,"EM ANDAMENTO","A INICIAR")))</f>
        <v/>
      </c>
    </row>
    <row r="5061" customFormat="false" ht="15" hidden="false" customHeight="false" outlineLevel="0" collapsed="false">
      <c r="M5061" s="2" t="str">
        <f aca="false">IF(C5061="","",IFERROR(INDEX($S$5:$S$304,MATCH(C5061,$R$5:$R$304,0))&amp;"","?"))</f>
        <v/>
      </c>
      <c r="N5061" s="2" t="str">
        <f aca="false"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 t="str">
        <f aca="false">IF(OR(F5061="",G5061=""),"",IF(G5061&lt;='RETRATO 2027'!$K$5,"CONCLUÍDA",IF(F5061&lt;='RETRATO 2027'!$K$5,"EM ANDAMENTO","A INICIAR")))</f>
        <v/>
      </c>
    </row>
    <row r="5062" customFormat="false" ht="15" hidden="false" customHeight="false" outlineLevel="0" collapsed="false">
      <c r="M5062" s="2" t="str">
        <f aca="false">IF(C5062="","",IFERROR(INDEX($S$5:$S$304,MATCH(C5062,$R$5:$R$304,0))&amp;"","?"))</f>
        <v/>
      </c>
      <c r="N5062" s="2" t="str">
        <f aca="false"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 t="str">
        <f aca="false">IF(OR(F5062="",G5062=""),"",IF(G5062&lt;='RETRATO 2027'!$K$5,"CONCLUÍDA",IF(F5062&lt;='RETRATO 2027'!$K$5,"EM ANDAMENTO","A INICIAR")))</f>
        <v/>
      </c>
    </row>
    <row r="5063" customFormat="false" ht="15" hidden="false" customHeight="false" outlineLevel="0" collapsed="false">
      <c r="M5063" s="2" t="str">
        <f aca="false">IF(C5063="","",IFERROR(INDEX($S$5:$S$304,MATCH(C5063,$R$5:$R$304,0))&amp;"","?"))</f>
        <v/>
      </c>
      <c r="N5063" s="2" t="str">
        <f aca="false"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 t="str">
        <f aca="false">IF(OR(F5063="",G5063=""),"",IF(G5063&lt;='RETRATO 2027'!$K$5,"CONCLUÍDA",IF(F5063&lt;='RETRATO 2027'!$K$5,"EM ANDAMENTO","A INICIAR")))</f>
        <v/>
      </c>
    </row>
    <row r="5064" customFormat="false" ht="15" hidden="false" customHeight="false" outlineLevel="0" collapsed="false">
      <c r="M5064" s="2" t="str">
        <f aca="false">IF(C5064="","",IFERROR(INDEX($S$5:$S$304,MATCH(C5064,$R$5:$R$304,0))&amp;"","?"))</f>
        <v/>
      </c>
      <c r="N5064" s="2" t="str">
        <f aca="false"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 t="str">
        <f aca="false">IF(OR(F5064="",G5064=""),"",IF(G5064&lt;='RETRATO 2027'!$K$5,"CONCLUÍDA",IF(F5064&lt;='RETRATO 2027'!$K$5,"EM ANDAMENTO","A INICIAR")))</f>
        <v/>
      </c>
    </row>
    <row r="5065" customFormat="false" ht="15" hidden="false" customHeight="false" outlineLevel="0" collapsed="false">
      <c r="M5065" s="2" t="str">
        <f aca="false">IF(C5065="","",IFERROR(INDEX($S$5:$S$304,MATCH(C5065,$R$5:$R$304,0))&amp;"","?"))</f>
        <v/>
      </c>
      <c r="N5065" s="2" t="str">
        <f aca="false"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 t="str">
        <f aca="false">IF(OR(F5065="",G5065=""),"",IF(G5065&lt;='RETRATO 2027'!$K$5,"CONCLUÍDA",IF(F5065&lt;='RETRATO 2027'!$K$5,"EM ANDAMENTO","A INICIAR")))</f>
        <v/>
      </c>
    </row>
    <row r="5066" customFormat="false" ht="15" hidden="false" customHeight="false" outlineLevel="0" collapsed="false">
      <c r="M5066" s="2" t="str">
        <f aca="false">IF(C5066="","",IFERROR(INDEX($S$5:$S$304,MATCH(C5066,$R$5:$R$304,0))&amp;"","?"))</f>
        <v/>
      </c>
      <c r="N5066" s="2" t="str">
        <f aca="false"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 t="str">
        <f aca="false">IF(OR(F5066="",G5066=""),"",IF(G5066&lt;='RETRATO 2027'!$K$5,"CONCLUÍDA",IF(F5066&lt;='RETRATO 2027'!$K$5,"EM ANDAMENTO","A INICIAR")))</f>
        <v/>
      </c>
    </row>
    <row r="5067" customFormat="false" ht="15" hidden="false" customHeight="false" outlineLevel="0" collapsed="false">
      <c r="M5067" s="2" t="str">
        <f aca="false">IF(C5067="","",IFERROR(INDEX($S$5:$S$304,MATCH(C5067,$R$5:$R$304,0))&amp;"","?"))</f>
        <v/>
      </c>
      <c r="N5067" s="2" t="str">
        <f aca="false"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 t="str">
        <f aca="false">IF(OR(F5067="",G5067=""),"",IF(G5067&lt;='RETRATO 2027'!$K$5,"CONCLUÍDA",IF(F5067&lt;='RETRATO 2027'!$K$5,"EM ANDAMENTO","A INICIAR")))</f>
        <v/>
      </c>
    </row>
    <row r="5068" customFormat="false" ht="15" hidden="false" customHeight="false" outlineLevel="0" collapsed="false">
      <c r="M5068" s="2" t="str">
        <f aca="false">IF(C5068="","",IFERROR(INDEX($S$5:$S$304,MATCH(C5068,$R$5:$R$304,0))&amp;"","?"))</f>
        <v/>
      </c>
      <c r="N5068" s="2" t="str">
        <f aca="false"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 t="str">
        <f aca="false">IF(OR(F5068="",G5068=""),"",IF(G5068&lt;='RETRATO 2027'!$K$5,"CONCLUÍDA",IF(F5068&lt;='RETRATO 2027'!$K$5,"EM ANDAMENTO","A INICIAR")))</f>
        <v/>
      </c>
    </row>
    <row r="5069" customFormat="false" ht="15" hidden="false" customHeight="false" outlineLevel="0" collapsed="false">
      <c r="M5069" s="2" t="str">
        <f aca="false">IF(C5069="","",IFERROR(INDEX($S$5:$S$304,MATCH(C5069,$R$5:$R$304,0))&amp;"","?"))</f>
        <v/>
      </c>
      <c r="N5069" s="2" t="str">
        <f aca="false"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 t="str">
        <f aca="false">IF(OR(F5069="",G5069=""),"",IF(G5069&lt;='RETRATO 2027'!$K$5,"CONCLUÍDA",IF(F5069&lt;='RETRATO 2027'!$K$5,"EM ANDAMENTO","A INICIAR")))</f>
        <v/>
      </c>
    </row>
    <row r="5070" customFormat="false" ht="15" hidden="false" customHeight="false" outlineLevel="0" collapsed="false">
      <c r="M5070" s="2" t="str">
        <f aca="false">IF(C5070="","",IFERROR(INDEX($S$5:$S$304,MATCH(C5070,$R$5:$R$304,0))&amp;"","?"))</f>
        <v/>
      </c>
      <c r="N5070" s="2" t="str">
        <f aca="false"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 t="str">
        <f aca="false">IF(OR(F5070="",G5070=""),"",IF(G5070&lt;='RETRATO 2027'!$K$5,"CONCLUÍDA",IF(F5070&lt;='RETRATO 2027'!$K$5,"EM ANDAMENTO","A INICIAR")))</f>
        <v/>
      </c>
    </row>
    <row r="5071" customFormat="false" ht="15" hidden="false" customHeight="false" outlineLevel="0" collapsed="false">
      <c r="M5071" s="2" t="str">
        <f aca="false">IF(C5071="","",IFERROR(INDEX($S$5:$S$304,MATCH(C5071,$R$5:$R$304,0))&amp;"","?"))</f>
        <v/>
      </c>
      <c r="N5071" s="2" t="str">
        <f aca="false"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 t="str">
        <f aca="false">IF(OR(F5071="",G5071=""),"",IF(G5071&lt;='RETRATO 2027'!$K$5,"CONCLUÍDA",IF(F5071&lt;='RETRATO 2027'!$K$5,"EM ANDAMENTO","A INICIAR")))</f>
        <v/>
      </c>
    </row>
    <row r="5072" customFormat="false" ht="15" hidden="false" customHeight="false" outlineLevel="0" collapsed="false">
      <c r="M5072" s="2" t="str">
        <f aca="false">IF(C5072="","",IFERROR(INDEX($S$5:$S$304,MATCH(C5072,$R$5:$R$304,0))&amp;"","?"))</f>
        <v/>
      </c>
      <c r="N5072" s="2" t="str">
        <f aca="false"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 t="str">
        <f aca="false">IF(OR(F5072="",G5072=""),"",IF(G5072&lt;='RETRATO 2027'!$K$5,"CONCLUÍDA",IF(F5072&lt;='RETRATO 2027'!$K$5,"EM ANDAMENTO","A INICIAR")))</f>
        <v/>
      </c>
    </row>
    <row r="5073" customFormat="false" ht="15" hidden="false" customHeight="false" outlineLevel="0" collapsed="false">
      <c r="M5073" s="2" t="str">
        <f aca="false">IF(C5073="","",IFERROR(INDEX($S$5:$S$304,MATCH(C5073,$R$5:$R$304,0))&amp;"","?"))</f>
        <v/>
      </c>
      <c r="N5073" s="2" t="str">
        <f aca="false"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 t="str">
        <f aca="false">IF(OR(F5073="",G5073=""),"",IF(G5073&lt;='RETRATO 2027'!$K$5,"CONCLUÍDA",IF(F5073&lt;='RETRATO 2027'!$K$5,"EM ANDAMENTO","A INICIAR")))</f>
        <v/>
      </c>
    </row>
    <row r="5074" customFormat="false" ht="15" hidden="false" customHeight="false" outlineLevel="0" collapsed="false">
      <c r="M5074" s="2" t="str">
        <f aca="false">IF(C5074="","",IFERROR(INDEX($S$5:$S$304,MATCH(C5074,$R$5:$R$304,0))&amp;"","?"))</f>
        <v/>
      </c>
      <c r="N5074" s="2" t="str">
        <f aca="false"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 t="str">
        <f aca="false">IF(OR(F5074="",G5074=""),"",IF(G5074&lt;='RETRATO 2027'!$K$5,"CONCLUÍDA",IF(F5074&lt;='RETRATO 2027'!$K$5,"EM ANDAMENTO","A INICIAR")))</f>
        <v/>
      </c>
    </row>
    <row r="5075" customFormat="false" ht="15" hidden="false" customHeight="false" outlineLevel="0" collapsed="false">
      <c r="M5075" s="2" t="str">
        <f aca="false">IF(C5075="","",IFERROR(INDEX($S$5:$S$304,MATCH(C5075,$R$5:$R$304,0))&amp;"","?"))</f>
        <v/>
      </c>
      <c r="N5075" s="2" t="str">
        <f aca="false"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 t="str">
        <f aca="false">IF(OR(F5075="",G5075=""),"",IF(G5075&lt;='RETRATO 2027'!$K$5,"CONCLUÍDA",IF(F5075&lt;='RETRATO 2027'!$K$5,"EM ANDAMENTO","A INICIAR")))</f>
        <v/>
      </c>
    </row>
    <row r="5076" customFormat="false" ht="15" hidden="false" customHeight="false" outlineLevel="0" collapsed="false">
      <c r="M5076" s="2" t="str">
        <f aca="false">IF(C5076="","",IFERROR(INDEX($S$5:$S$304,MATCH(C5076,$R$5:$R$304,0))&amp;"","?"))</f>
        <v/>
      </c>
      <c r="N5076" s="2" t="str">
        <f aca="false"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 t="str">
        <f aca="false">IF(OR(F5076="",G5076=""),"",IF(G5076&lt;='RETRATO 2027'!$K$5,"CONCLUÍDA",IF(F5076&lt;='RETRATO 2027'!$K$5,"EM ANDAMENTO","A INICIAR")))</f>
        <v/>
      </c>
    </row>
    <row r="5077" customFormat="false" ht="15" hidden="false" customHeight="false" outlineLevel="0" collapsed="false">
      <c r="M5077" s="2" t="str">
        <f aca="false">IF(C5077="","",IFERROR(INDEX($S$5:$S$304,MATCH(C5077,$R$5:$R$304,0))&amp;"","?"))</f>
        <v/>
      </c>
      <c r="N5077" s="2" t="str">
        <f aca="false"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 t="str">
        <f aca="false">IF(OR(F5077="",G5077=""),"",IF(G5077&lt;='RETRATO 2027'!$K$5,"CONCLUÍDA",IF(F5077&lt;='RETRATO 2027'!$K$5,"EM ANDAMENTO","A INICIAR")))</f>
        <v/>
      </c>
    </row>
    <row r="5078" customFormat="false" ht="15" hidden="false" customHeight="false" outlineLevel="0" collapsed="false">
      <c r="M5078" s="2" t="str">
        <f aca="false">IF(C5078="","",IFERROR(INDEX($S$5:$S$304,MATCH(C5078,$R$5:$R$304,0))&amp;"","?"))</f>
        <v/>
      </c>
      <c r="N5078" s="2" t="str">
        <f aca="false"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 t="str">
        <f aca="false">IF(OR(F5078="",G5078=""),"",IF(G5078&lt;='RETRATO 2027'!$K$5,"CONCLUÍDA",IF(F5078&lt;='RETRATO 2027'!$K$5,"EM ANDAMENTO","A INICIAR")))</f>
        <v/>
      </c>
    </row>
    <row r="5079" customFormat="false" ht="15" hidden="false" customHeight="false" outlineLevel="0" collapsed="false">
      <c r="M5079" s="2" t="str">
        <f aca="false">IF(C5079="","",IFERROR(INDEX($S$5:$S$304,MATCH(C5079,$R$5:$R$304,0))&amp;"","?"))</f>
        <v/>
      </c>
      <c r="N5079" s="2" t="str">
        <f aca="false"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 t="str">
        <f aca="false">IF(OR(F5079="",G5079=""),"",IF(G5079&lt;='RETRATO 2027'!$K$5,"CONCLUÍDA",IF(F5079&lt;='RETRATO 2027'!$K$5,"EM ANDAMENTO","A INICIAR")))</f>
        <v/>
      </c>
    </row>
    <row r="5080" customFormat="false" ht="15" hidden="false" customHeight="false" outlineLevel="0" collapsed="false">
      <c r="M5080" s="2" t="str">
        <f aca="false">IF(C5080="","",IFERROR(INDEX($S$5:$S$304,MATCH(C5080,$R$5:$R$304,0))&amp;"","?"))</f>
        <v/>
      </c>
      <c r="N5080" s="2" t="str">
        <f aca="false"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 t="str">
        <f aca="false">IF(OR(F5080="",G5080=""),"",IF(G5080&lt;='RETRATO 2027'!$K$5,"CONCLUÍDA",IF(F5080&lt;='RETRATO 2027'!$K$5,"EM ANDAMENTO","A INICIAR")))</f>
        <v/>
      </c>
    </row>
    <row r="5081" customFormat="false" ht="15" hidden="false" customHeight="false" outlineLevel="0" collapsed="false">
      <c r="M5081" s="2" t="str">
        <f aca="false">IF(C5081="","",IFERROR(INDEX($S$5:$S$304,MATCH(C5081,$R$5:$R$304,0))&amp;"","?"))</f>
        <v/>
      </c>
      <c r="N5081" s="2" t="str">
        <f aca="false"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 t="str">
        <f aca="false">IF(OR(F5081="",G5081=""),"",IF(G5081&lt;='RETRATO 2027'!$K$5,"CONCLUÍDA",IF(F5081&lt;='RETRATO 2027'!$K$5,"EM ANDAMENTO","A INICIAR")))</f>
        <v/>
      </c>
    </row>
    <row r="5082" customFormat="false" ht="15" hidden="false" customHeight="false" outlineLevel="0" collapsed="false">
      <c r="M5082" s="2" t="str">
        <f aca="false">IF(C5082="","",IFERROR(INDEX($S$5:$S$304,MATCH(C5082,$R$5:$R$304,0))&amp;"","?"))</f>
        <v/>
      </c>
      <c r="N5082" s="2" t="str">
        <f aca="false"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 t="str">
        <f aca="false">IF(OR(F5082="",G5082=""),"",IF(G5082&lt;='RETRATO 2027'!$K$5,"CONCLUÍDA",IF(F5082&lt;='RETRATO 2027'!$K$5,"EM ANDAMENTO","A INICIAR")))</f>
        <v/>
      </c>
    </row>
    <row r="5083" customFormat="false" ht="15" hidden="false" customHeight="false" outlineLevel="0" collapsed="false">
      <c r="M5083" s="2" t="str">
        <f aca="false">IF(C5083="","",IFERROR(INDEX($S$5:$S$304,MATCH(C5083,$R$5:$R$304,0))&amp;"","?"))</f>
        <v/>
      </c>
      <c r="N5083" s="2" t="str">
        <f aca="false"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 t="str">
        <f aca="false">IF(OR(F5083="",G5083=""),"",IF(G5083&lt;='RETRATO 2027'!$K$5,"CONCLUÍDA",IF(F5083&lt;='RETRATO 2027'!$K$5,"EM ANDAMENTO","A INICIAR")))</f>
        <v/>
      </c>
    </row>
    <row r="5084" customFormat="false" ht="15" hidden="false" customHeight="false" outlineLevel="0" collapsed="false">
      <c r="M5084" s="2" t="str">
        <f aca="false">IF(C5084="","",IFERROR(INDEX($S$5:$S$304,MATCH(C5084,$R$5:$R$304,0))&amp;"","?"))</f>
        <v/>
      </c>
      <c r="N5084" s="2" t="str">
        <f aca="false"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 t="str">
        <f aca="false">IF(OR(F5084="",G5084=""),"",IF(G5084&lt;='RETRATO 2027'!$K$5,"CONCLUÍDA",IF(F5084&lt;='RETRATO 2027'!$K$5,"EM ANDAMENTO","A INICIAR")))</f>
        <v/>
      </c>
    </row>
    <row r="5085" customFormat="false" ht="15" hidden="false" customHeight="false" outlineLevel="0" collapsed="false">
      <c r="M5085" s="2" t="str">
        <f aca="false">IF(C5085="","",IFERROR(INDEX($S$5:$S$304,MATCH(C5085,$R$5:$R$304,0))&amp;"","?"))</f>
        <v/>
      </c>
      <c r="N5085" s="2" t="str">
        <f aca="false"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 t="str">
        <f aca="false">IF(OR(F5085="",G5085=""),"",IF(G5085&lt;='RETRATO 2027'!$K$5,"CONCLUÍDA",IF(F5085&lt;='RETRATO 2027'!$K$5,"EM ANDAMENTO","A INICIAR")))</f>
        <v/>
      </c>
    </row>
    <row r="5086" customFormat="false" ht="15" hidden="false" customHeight="false" outlineLevel="0" collapsed="false">
      <c r="M5086" s="2" t="str">
        <f aca="false">IF(C5086="","",IFERROR(INDEX($S$5:$S$304,MATCH(C5086,$R$5:$R$304,0))&amp;"","?"))</f>
        <v/>
      </c>
      <c r="N5086" s="2" t="str">
        <f aca="false"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 t="str">
        <f aca="false">IF(OR(F5086="",G5086=""),"",IF(G5086&lt;='RETRATO 2027'!$K$5,"CONCLUÍDA",IF(F5086&lt;='RETRATO 2027'!$K$5,"EM ANDAMENTO","A INICIAR")))</f>
        <v/>
      </c>
    </row>
    <row r="5087" customFormat="false" ht="15" hidden="false" customHeight="false" outlineLevel="0" collapsed="false">
      <c r="M5087" s="2" t="str">
        <f aca="false">IF(C5087="","",IFERROR(INDEX($S$5:$S$304,MATCH(C5087,$R$5:$R$304,0))&amp;"","?"))</f>
        <v/>
      </c>
      <c r="N5087" s="2" t="str">
        <f aca="false"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 t="str">
        <f aca="false">IF(OR(F5087="",G5087=""),"",IF(G5087&lt;='RETRATO 2027'!$K$5,"CONCLUÍDA",IF(F5087&lt;='RETRATO 2027'!$K$5,"EM ANDAMENTO","A INICIAR")))</f>
        <v/>
      </c>
    </row>
    <row r="5088" customFormat="false" ht="15" hidden="false" customHeight="false" outlineLevel="0" collapsed="false">
      <c r="M5088" s="2" t="str">
        <f aca="false">IF(C5088="","",IFERROR(INDEX($S$5:$S$304,MATCH(C5088,$R$5:$R$304,0))&amp;"","?"))</f>
        <v/>
      </c>
      <c r="N5088" s="2" t="str">
        <f aca="false"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 t="str">
        <f aca="false">IF(OR(F5088="",G5088=""),"",IF(G5088&lt;='RETRATO 2027'!$K$5,"CONCLUÍDA",IF(F5088&lt;='RETRATO 2027'!$K$5,"EM ANDAMENTO","A INICIAR")))</f>
        <v/>
      </c>
    </row>
    <row r="5089" customFormat="false" ht="15" hidden="false" customHeight="false" outlineLevel="0" collapsed="false">
      <c r="M5089" s="2" t="str">
        <f aca="false">IF(C5089="","",IFERROR(INDEX($S$5:$S$304,MATCH(C5089,$R$5:$R$304,0))&amp;"","?"))</f>
        <v/>
      </c>
      <c r="N5089" s="2" t="str">
        <f aca="false"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 t="str">
        <f aca="false">IF(OR(F5089="",G5089=""),"",IF(G5089&lt;='RETRATO 2027'!$K$5,"CONCLUÍDA",IF(F5089&lt;='RETRATO 2027'!$K$5,"EM ANDAMENTO","A INICIAR")))</f>
        <v/>
      </c>
    </row>
    <row r="5090" customFormat="false" ht="15" hidden="false" customHeight="false" outlineLevel="0" collapsed="false">
      <c r="M5090" s="2" t="str">
        <f aca="false">IF(C5090="","",IFERROR(INDEX($S$5:$S$304,MATCH(C5090,$R$5:$R$304,0))&amp;"","?"))</f>
        <v/>
      </c>
      <c r="N5090" s="2" t="str">
        <f aca="false"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 t="str">
        <f aca="false">IF(OR(F5090="",G5090=""),"",IF(G5090&lt;='RETRATO 2027'!$K$5,"CONCLUÍDA",IF(F5090&lt;='RETRATO 2027'!$K$5,"EM ANDAMENTO","A INICIAR")))</f>
        <v/>
      </c>
    </row>
    <row r="5091" customFormat="false" ht="15" hidden="false" customHeight="false" outlineLevel="0" collapsed="false">
      <c r="M5091" s="2" t="str">
        <f aca="false">IF(C5091="","",IFERROR(INDEX($S$5:$S$304,MATCH(C5091,$R$5:$R$304,0))&amp;"","?"))</f>
        <v/>
      </c>
      <c r="N5091" s="2" t="str">
        <f aca="false"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 t="str">
        <f aca="false">IF(OR(F5091="",G5091=""),"",IF(G5091&lt;='RETRATO 2027'!$K$5,"CONCLUÍDA",IF(F5091&lt;='RETRATO 2027'!$K$5,"EM ANDAMENTO","A INICIAR")))</f>
        <v/>
      </c>
    </row>
    <row r="5092" customFormat="false" ht="15" hidden="false" customHeight="false" outlineLevel="0" collapsed="false">
      <c r="M5092" s="2" t="str">
        <f aca="false">IF(C5092="","",IFERROR(INDEX($S$5:$S$304,MATCH(C5092,$R$5:$R$304,0))&amp;"","?"))</f>
        <v/>
      </c>
      <c r="N5092" s="2" t="str">
        <f aca="false"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 t="str">
        <f aca="false">IF(OR(F5092="",G5092=""),"",IF(G5092&lt;='RETRATO 2027'!$K$5,"CONCLUÍDA",IF(F5092&lt;='RETRATO 2027'!$K$5,"EM ANDAMENTO","A INICIAR")))</f>
        <v/>
      </c>
    </row>
    <row r="5093" customFormat="false" ht="15" hidden="false" customHeight="false" outlineLevel="0" collapsed="false">
      <c r="M5093" s="2" t="str">
        <f aca="false">IF(C5093="","",IFERROR(INDEX($S$5:$S$304,MATCH(C5093,$R$5:$R$304,0))&amp;"","?"))</f>
        <v/>
      </c>
      <c r="N5093" s="2" t="str">
        <f aca="false"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 t="str">
        <f aca="false">IF(OR(F5093="",G5093=""),"",IF(G5093&lt;='RETRATO 2027'!$K$5,"CONCLUÍDA",IF(F5093&lt;='RETRATO 2027'!$K$5,"EM ANDAMENTO","A INICIAR")))</f>
        <v/>
      </c>
    </row>
    <row r="5094" customFormat="false" ht="15" hidden="false" customHeight="false" outlineLevel="0" collapsed="false">
      <c r="M5094" s="2" t="str">
        <f aca="false">IF(C5094="","",IFERROR(INDEX($S$5:$S$304,MATCH(C5094,$R$5:$R$304,0))&amp;"","?"))</f>
        <v/>
      </c>
      <c r="N5094" s="2" t="str">
        <f aca="false"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 t="str">
        <f aca="false">IF(OR(F5094="",G5094=""),"",IF(G5094&lt;='RETRATO 2027'!$K$5,"CONCLUÍDA",IF(F5094&lt;='RETRATO 2027'!$K$5,"EM ANDAMENTO","A INICIAR")))</f>
        <v/>
      </c>
    </row>
    <row r="5095" customFormat="false" ht="15" hidden="false" customHeight="false" outlineLevel="0" collapsed="false">
      <c r="M5095" s="2" t="str">
        <f aca="false">IF(C5095="","",IFERROR(INDEX($S$5:$S$304,MATCH(C5095,$R$5:$R$304,0))&amp;"","?"))</f>
        <v/>
      </c>
      <c r="N5095" s="2" t="str">
        <f aca="false"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 t="str">
        <f aca="false">IF(OR(F5095="",G5095=""),"",IF(G5095&lt;='RETRATO 2027'!$K$5,"CONCLUÍDA",IF(F5095&lt;='RETRATO 2027'!$K$5,"EM ANDAMENTO","A INICIAR")))</f>
        <v/>
      </c>
    </row>
    <row r="5096" customFormat="false" ht="15" hidden="false" customHeight="false" outlineLevel="0" collapsed="false">
      <c r="M5096" s="2" t="str">
        <f aca="false">IF(C5096="","",IFERROR(INDEX($S$5:$S$304,MATCH(C5096,$R$5:$R$304,0))&amp;"","?"))</f>
        <v/>
      </c>
      <c r="N5096" s="2" t="str">
        <f aca="false"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 t="str">
        <f aca="false">IF(OR(F5096="",G5096=""),"",IF(G5096&lt;='RETRATO 2027'!$K$5,"CONCLUÍDA",IF(F5096&lt;='RETRATO 2027'!$K$5,"EM ANDAMENTO","A INICIAR")))</f>
        <v/>
      </c>
    </row>
    <row r="5097" customFormat="false" ht="15" hidden="false" customHeight="false" outlineLevel="0" collapsed="false">
      <c r="M5097" s="2" t="str">
        <f aca="false">IF(C5097="","",IFERROR(INDEX($S$5:$S$304,MATCH(C5097,$R$5:$R$304,0))&amp;"","?"))</f>
        <v/>
      </c>
      <c r="N5097" s="2" t="str">
        <f aca="false"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 t="str">
        <f aca="false">IF(OR(F5097="",G5097=""),"",IF(G5097&lt;='RETRATO 2027'!$K$5,"CONCLUÍDA",IF(F5097&lt;='RETRATO 2027'!$K$5,"EM ANDAMENTO","A INICIAR")))</f>
        <v/>
      </c>
    </row>
    <row r="5098" customFormat="false" ht="15" hidden="false" customHeight="false" outlineLevel="0" collapsed="false">
      <c r="M5098" s="2" t="str">
        <f aca="false">IF(C5098="","",IFERROR(INDEX($S$5:$S$304,MATCH(C5098,$R$5:$R$304,0))&amp;"","?"))</f>
        <v/>
      </c>
      <c r="N5098" s="2" t="str">
        <f aca="false"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 t="str">
        <f aca="false">IF(OR(F5098="",G5098=""),"",IF(G5098&lt;='RETRATO 2027'!$K$5,"CONCLUÍDA",IF(F5098&lt;='RETRATO 2027'!$K$5,"EM ANDAMENTO","A INICIAR")))</f>
        <v/>
      </c>
    </row>
    <row r="5099" customFormat="false" ht="15" hidden="false" customHeight="false" outlineLevel="0" collapsed="false">
      <c r="M5099" s="2" t="str">
        <f aca="false">IF(C5099="","",IFERROR(INDEX($S$5:$S$304,MATCH(C5099,$R$5:$R$304,0))&amp;"","?"))</f>
        <v/>
      </c>
      <c r="N5099" s="2" t="str">
        <f aca="false"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 t="str">
        <f aca="false">IF(OR(F5099="",G5099=""),"",IF(G5099&lt;='RETRATO 2027'!$K$5,"CONCLUÍDA",IF(F5099&lt;='RETRATO 2027'!$K$5,"EM ANDAMENTO","A INICIAR")))</f>
        <v/>
      </c>
    </row>
    <row r="5100" customFormat="false" ht="15" hidden="false" customHeight="false" outlineLevel="0" collapsed="false">
      <c r="M5100" s="2" t="str">
        <f aca="false">IF(C5100="","",IFERROR(INDEX($S$5:$S$304,MATCH(C5100,$R$5:$R$304,0))&amp;"","?"))</f>
        <v/>
      </c>
      <c r="N5100" s="2" t="str">
        <f aca="false"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 t="str">
        <f aca="false">IF(OR(F5100="",G5100=""),"",IF(G5100&lt;='RETRATO 2027'!$K$5,"CONCLUÍDA",IF(F5100&lt;='RETRATO 2027'!$K$5,"EM ANDAMENTO","A INICIAR")))</f>
        <v/>
      </c>
    </row>
    <row r="5101" customFormat="false" ht="15" hidden="false" customHeight="false" outlineLevel="0" collapsed="false">
      <c r="M5101" s="2" t="str">
        <f aca="false">IF(C5101="","",IFERROR(INDEX($S$5:$S$304,MATCH(C5101,$R$5:$R$304,0))&amp;"","?"))</f>
        <v/>
      </c>
      <c r="N5101" s="2" t="str">
        <f aca="false"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 t="str">
        <f aca="false">IF(OR(F5101="",G5101=""),"",IF(G5101&lt;='RETRATO 2027'!$K$5,"CONCLUÍDA",IF(F5101&lt;='RETRATO 2027'!$K$5,"EM ANDAMENTO","A INICIAR")))</f>
        <v/>
      </c>
    </row>
    <row r="5102" customFormat="false" ht="15" hidden="false" customHeight="false" outlineLevel="0" collapsed="false">
      <c r="M5102" s="2" t="str">
        <f aca="false">IF(C5102="","",IFERROR(INDEX($S$5:$S$304,MATCH(C5102,$R$5:$R$304,0))&amp;"","?"))</f>
        <v/>
      </c>
      <c r="N5102" s="2" t="str">
        <f aca="false"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 t="str">
        <f aca="false">IF(OR(F5102="",G5102=""),"",IF(G5102&lt;='RETRATO 2027'!$K$5,"CONCLUÍDA",IF(F5102&lt;='RETRATO 2027'!$K$5,"EM ANDAMENTO","A INICIAR")))</f>
        <v/>
      </c>
    </row>
    <row r="5103" customFormat="false" ht="15" hidden="false" customHeight="false" outlineLevel="0" collapsed="false">
      <c r="M5103" s="2" t="str">
        <f aca="false">IF(C5103="","",IFERROR(INDEX($S$5:$S$304,MATCH(C5103,$R$5:$R$304,0))&amp;"","?"))</f>
        <v/>
      </c>
      <c r="N5103" s="2" t="str">
        <f aca="false"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 t="str">
        <f aca="false">IF(OR(F5103="",G5103=""),"",IF(G5103&lt;='RETRATO 2027'!$K$5,"CONCLUÍDA",IF(F5103&lt;='RETRATO 2027'!$K$5,"EM ANDAMENTO","A INICIAR")))</f>
        <v/>
      </c>
    </row>
    <row r="5104" customFormat="false" ht="15" hidden="false" customHeight="false" outlineLevel="0" collapsed="false">
      <c r="M5104" s="2" t="str">
        <f aca="false">IF(C5104="","",IFERROR(INDEX($S$5:$S$304,MATCH(C5104,$R$5:$R$304,0))&amp;"","?"))</f>
        <v/>
      </c>
      <c r="N5104" s="2" t="str">
        <f aca="false"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 t="str">
        <f aca="false">IF(OR(F5104="",G5104=""),"",IF(G5104&lt;='RETRATO 2027'!$K$5,"CONCLUÍDA",IF(F5104&lt;='RETRATO 2027'!$K$5,"EM ANDAMENTO","A INICIAR")))</f>
        <v/>
      </c>
    </row>
    <row r="5105" customFormat="false" ht="15" hidden="false" customHeight="false" outlineLevel="0" collapsed="false">
      <c r="M5105" s="2" t="str">
        <f aca="false">IF(C5105="","",IFERROR(INDEX($S$5:$S$304,MATCH(C5105,$R$5:$R$304,0))&amp;"","?"))</f>
        <v/>
      </c>
      <c r="N5105" s="2" t="str">
        <f aca="false"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 t="str">
        <f aca="false">IF(OR(F5105="",G5105=""),"",IF(G5105&lt;='RETRATO 2027'!$K$5,"CONCLUÍDA",IF(F5105&lt;='RETRATO 2027'!$K$5,"EM ANDAMENTO","A INICIAR")))</f>
        <v/>
      </c>
    </row>
    <row r="5106" customFormat="false" ht="15" hidden="false" customHeight="false" outlineLevel="0" collapsed="false">
      <c r="M5106" s="2" t="str">
        <f aca="false">IF(C5106="","",IFERROR(INDEX($S$5:$S$304,MATCH(C5106,$R$5:$R$304,0))&amp;"","?"))</f>
        <v/>
      </c>
      <c r="N5106" s="2" t="str">
        <f aca="false"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 t="str">
        <f aca="false">IF(OR(F5106="",G5106=""),"",IF(G5106&lt;='RETRATO 2027'!$K$5,"CONCLUÍDA",IF(F5106&lt;='RETRATO 2027'!$K$5,"EM ANDAMENTO","A INICIAR")))</f>
        <v/>
      </c>
    </row>
    <row r="5107" customFormat="false" ht="15" hidden="false" customHeight="false" outlineLevel="0" collapsed="false">
      <c r="M5107" s="2" t="str">
        <f aca="false">IF(C5107="","",IFERROR(INDEX($S$5:$S$304,MATCH(C5107,$R$5:$R$304,0))&amp;"","?"))</f>
        <v/>
      </c>
      <c r="N5107" s="2" t="str">
        <f aca="false"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 t="str">
        <f aca="false">IF(OR(F5107="",G5107=""),"",IF(G5107&lt;='RETRATO 2027'!$K$5,"CONCLUÍDA",IF(F5107&lt;='RETRATO 2027'!$K$5,"EM ANDAMENTO","A INICIAR")))</f>
        <v/>
      </c>
    </row>
    <row r="5108" customFormat="false" ht="15" hidden="false" customHeight="false" outlineLevel="0" collapsed="false">
      <c r="M5108" s="2" t="str">
        <f aca="false">IF(C5108="","",IFERROR(INDEX($S$5:$S$304,MATCH(C5108,$R$5:$R$304,0))&amp;"","?"))</f>
        <v/>
      </c>
      <c r="N5108" s="2" t="str">
        <f aca="false"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 t="str">
        <f aca="false">IF(OR(F5108="",G5108=""),"",IF(G5108&lt;='RETRATO 2027'!$K$5,"CONCLUÍDA",IF(F5108&lt;='RETRATO 2027'!$K$5,"EM ANDAMENTO","A INICIAR")))</f>
        <v/>
      </c>
    </row>
    <row r="5109" customFormat="false" ht="15" hidden="false" customHeight="false" outlineLevel="0" collapsed="false">
      <c r="M5109" s="2" t="str">
        <f aca="false">IF(C5109="","",IFERROR(INDEX($S$5:$S$304,MATCH(C5109,$R$5:$R$304,0))&amp;"","?"))</f>
        <v/>
      </c>
      <c r="N5109" s="2" t="str">
        <f aca="false"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 t="str">
        <f aca="false">IF(OR(F5109="",G5109=""),"",IF(G5109&lt;='RETRATO 2027'!$K$5,"CONCLUÍDA",IF(F5109&lt;='RETRATO 2027'!$K$5,"EM ANDAMENTO","A INICIAR")))</f>
        <v/>
      </c>
    </row>
    <row r="5110" customFormat="false" ht="15" hidden="false" customHeight="false" outlineLevel="0" collapsed="false">
      <c r="M5110" s="2" t="str">
        <f aca="false">IF(C5110="","",IFERROR(INDEX($S$5:$S$304,MATCH(C5110,$R$5:$R$304,0))&amp;"","?"))</f>
        <v/>
      </c>
      <c r="N5110" s="2" t="str">
        <f aca="false"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 t="str">
        <f aca="false">IF(OR(F5110="",G5110=""),"",IF(G5110&lt;='RETRATO 2027'!$K$5,"CONCLUÍDA",IF(F5110&lt;='RETRATO 2027'!$K$5,"EM ANDAMENTO","A INICIAR")))</f>
        <v/>
      </c>
    </row>
    <row r="5111" customFormat="false" ht="15" hidden="false" customHeight="false" outlineLevel="0" collapsed="false">
      <c r="M5111" s="2" t="str">
        <f aca="false">IF(C5111="","",IFERROR(INDEX($S$5:$S$304,MATCH(C5111,$R$5:$R$304,0))&amp;"","?"))</f>
        <v/>
      </c>
      <c r="N5111" s="2" t="str">
        <f aca="false"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 t="str">
        <f aca="false">IF(OR(F5111="",G5111=""),"",IF(G5111&lt;='RETRATO 2027'!$K$5,"CONCLUÍDA",IF(F5111&lt;='RETRATO 2027'!$K$5,"EM ANDAMENTO","A INICIAR")))</f>
        <v/>
      </c>
    </row>
    <row r="5112" customFormat="false" ht="15" hidden="false" customHeight="false" outlineLevel="0" collapsed="false">
      <c r="M5112" s="2" t="str">
        <f aca="false">IF(C5112="","",IFERROR(INDEX($S$5:$S$304,MATCH(C5112,$R$5:$R$304,0))&amp;"","?"))</f>
        <v/>
      </c>
      <c r="N5112" s="2" t="str">
        <f aca="false"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 t="str">
        <f aca="false">IF(OR(F5112="",G5112=""),"",IF(G5112&lt;='RETRATO 2027'!$K$5,"CONCLUÍDA",IF(F5112&lt;='RETRATO 2027'!$K$5,"EM ANDAMENTO","A INICIAR")))</f>
        <v/>
      </c>
    </row>
    <row r="5113" customFormat="false" ht="15" hidden="false" customHeight="false" outlineLevel="0" collapsed="false">
      <c r="M5113" s="2" t="str">
        <f aca="false">IF(C5113="","",IFERROR(INDEX($S$5:$S$304,MATCH(C5113,$R$5:$R$304,0))&amp;"","?"))</f>
        <v/>
      </c>
      <c r="N5113" s="2" t="str">
        <f aca="false"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 t="str">
        <f aca="false">IF(OR(F5113="",G5113=""),"",IF(G5113&lt;='RETRATO 2027'!$K$5,"CONCLUÍDA",IF(F5113&lt;='RETRATO 2027'!$K$5,"EM ANDAMENTO","A INICIAR")))</f>
        <v/>
      </c>
    </row>
    <row r="5114" customFormat="false" ht="15" hidden="false" customHeight="false" outlineLevel="0" collapsed="false">
      <c r="M5114" s="2" t="str">
        <f aca="false">IF(C5114="","",IFERROR(INDEX($S$5:$S$304,MATCH(C5114,$R$5:$R$304,0))&amp;"","?"))</f>
        <v/>
      </c>
      <c r="N5114" s="2" t="str">
        <f aca="false"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 t="str">
        <f aca="false">IF(OR(F5114="",G5114=""),"",IF(G5114&lt;='RETRATO 2027'!$K$5,"CONCLUÍDA",IF(F5114&lt;='RETRATO 2027'!$K$5,"EM ANDAMENTO","A INICIAR")))</f>
        <v/>
      </c>
    </row>
    <row r="5115" customFormat="false" ht="15" hidden="false" customHeight="false" outlineLevel="0" collapsed="false">
      <c r="M5115" s="2" t="str">
        <f aca="false">IF(C5115="","",IFERROR(INDEX($S$5:$S$304,MATCH(C5115,$R$5:$R$304,0))&amp;"","?"))</f>
        <v/>
      </c>
      <c r="N5115" s="2" t="str">
        <f aca="false"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 t="str">
        <f aca="false">IF(OR(F5115="",G5115=""),"",IF(G5115&lt;='RETRATO 2027'!$K$5,"CONCLUÍDA",IF(F5115&lt;='RETRATO 2027'!$K$5,"EM ANDAMENTO","A INICIAR")))</f>
        <v/>
      </c>
    </row>
    <row r="5116" customFormat="false" ht="15" hidden="false" customHeight="false" outlineLevel="0" collapsed="false">
      <c r="M5116" s="2" t="str">
        <f aca="false">IF(C5116="","",IFERROR(INDEX($S$5:$S$304,MATCH(C5116,$R$5:$R$304,0))&amp;"","?"))</f>
        <v/>
      </c>
      <c r="N5116" s="2" t="str">
        <f aca="false"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 t="str">
        <f aca="false">IF(OR(F5116="",G5116=""),"",IF(G5116&lt;='RETRATO 2027'!$K$5,"CONCLUÍDA",IF(F5116&lt;='RETRATO 2027'!$K$5,"EM ANDAMENTO","A INICIAR")))</f>
        <v/>
      </c>
    </row>
    <row r="5117" customFormat="false" ht="15" hidden="false" customHeight="false" outlineLevel="0" collapsed="false">
      <c r="M5117" s="2" t="str">
        <f aca="false">IF(C5117="","",IFERROR(INDEX($S$5:$S$304,MATCH(C5117,$R$5:$R$304,0))&amp;"","?"))</f>
        <v/>
      </c>
      <c r="N5117" s="2" t="str">
        <f aca="false"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 t="str">
        <f aca="false">IF(OR(F5117="",G5117=""),"",IF(G5117&lt;='RETRATO 2027'!$K$5,"CONCLUÍDA",IF(F5117&lt;='RETRATO 2027'!$K$5,"EM ANDAMENTO","A INICIAR")))</f>
        <v/>
      </c>
    </row>
    <row r="5118" customFormat="false" ht="15" hidden="false" customHeight="false" outlineLevel="0" collapsed="false">
      <c r="M5118" s="2" t="str">
        <f aca="false">IF(C5118="","",IFERROR(INDEX($S$5:$S$304,MATCH(C5118,$R$5:$R$304,0))&amp;"","?"))</f>
        <v/>
      </c>
      <c r="N5118" s="2" t="str">
        <f aca="false"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 t="str">
        <f aca="false">IF(OR(F5118="",G5118=""),"",IF(G5118&lt;='RETRATO 2027'!$K$5,"CONCLUÍDA",IF(F5118&lt;='RETRATO 2027'!$K$5,"EM ANDAMENTO","A INICIAR")))</f>
        <v/>
      </c>
    </row>
    <row r="5119" customFormat="false" ht="15" hidden="false" customHeight="false" outlineLevel="0" collapsed="false">
      <c r="M5119" s="2" t="str">
        <f aca="false">IF(C5119="","",IFERROR(INDEX($S$5:$S$304,MATCH(C5119,$R$5:$R$304,0))&amp;"","?"))</f>
        <v/>
      </c>
      <c r="N5119" s="2" t="str">
        <f aca="false"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 t="str">
        <f aca="false">IF(OR(F5119="",G5119=""),"",IF(G5119&lt;='RETRATO 2027'!$K$5,"CONCLUÍDA",IF(F5119&lt;='RETRATO 2027'!$K$5,"EM ANDAMENTO","A INICIAR")))</f>
        <v/>
      </c>
    </row>
    <row r="5120" customFormat="false" ht="15" hidden="false" customHeight="false" outlineLevel="0" collapsed="false">
      <c r="M5120" s="2" t="str">
        <f aca="false">IF(C5120="","",IFERROR(INDEX($S$5:$S$304,MATCH(C5120,$R$5:$R$304,0))&amp;"","?"))</f>
        <v/>
      </c>
      <c r="N5120" s="2" t="str">
        <f aca="false"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 t="str">
        <f aca="false">IF(OR(F5120="",G5120=""),"",IF(G5120&lt;='RETRATO 2027'!$K$5,"CONCLUÍDA",IF(F5120&lt;='RETRATO 2027'!$K$5,"EM ANDAMENTO","A INICIAR")))</f>
        <v/>
      </c>
    </row>
    <row r="5121" customFormat="false" ht="15" hidden="false" customHeight="false" outlineLevel="0" collapsed="false">
      <c r="M5121" s="2" t="str">
        <f aca="false">IF(C5121="","",IFERROR(INDEX($S$5:$S$304,MATCH(C5121,$R$5:$R$304,0))&amp;"","?"))</f>
        <v/>
      </c>
      <c r="N5121" s="2" t="str">
        <f aca="false"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 t="str">
        <f aca="false">IF(OR(F5121="",G5121=""),"",IF(G5121&lt;='RETRATO 2027'!$K$5,"CONCLUÍDA",IF(F5121&lt;='RETRATO 2027'!$K$5,"EM ANDAMENTO","A INICIAR")))</f>
        <v/>
      </c>
    </row>
    <row r="5122" customFormat="false" ht="15" hidden="false" customHeight="false" outlineLevel="0" collapsed="false">
      <c r="M5122" s="2" t="str">
        <f aca="false">IF(C5122="","",IFERROR(INDEX($S$5:$S$304,MATCH(C5122,$R$5:$R$304,0))&amp;"","?"))</f>
        <v/>
      </c>
      <c r="N5122" s="2" t="str">
        <f aca="false"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 t="str">
        <f aca="false">IF(OR(F5122="",G5122=""),"",IF(G5122&lt;='RETRATO 2027'!$K$5,"CONCLUÍDA",IF(F5122&lt;='RETRATO 2027'!$K$5,"EM ANDAMENTO","A INICIAR")))</f>
        <v/>
      </c>
    </row>
    <row r="5123" customFormat="false" ht="15" hidden="false" customHeight="false" outlineLevel="0" collapsed="false">
      <c r="M5123" s="2" t="str">
        <f aca="false">IF(C5123="","",IFERROR(INDEX($S$5:$S$304,MATCH(C5123,$R$5:$R$304,0))&amp;"","?"))</f>
        <v/>
      </c>
      <c r="N5123" s="2" t="str">
        <f aca="false"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 t="str">
        <f aca="false">IF(OR(F5123="",G5123=""),"",IF(G5123&lt;='RETRATO 2027'!$K$5,"CONCLUÍDA",IF(F5123&lt;='RETRATO 2027'!$K$5,"EM ANDAMENTO","A INICIAR")))</f>
        <v/>
      </c>
    </row>
    <row r="5124" customFormat="false" ht="15" hidden="false" customHeight="false" outlineLevel="0" collapsed="false">
      <c r="M5124" s="2" t="str">
        <f aca="false">IF(C5124="","",IFERROR(INDEX($S$5:$S$304,MATCH(C5124,$R$5:$R$304,0))&amp;"","?"))</f>
        <v/>
      </c>
      <c r="N5124" s="2" t="str">
        <f aca="false"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 t="str">
        <f aca="false">IF(OR(F5124="",G5124=""),"",IF(G5124&lt;='RETRATO 2027'!$K$5,"CONCLUÍDA",IF(F5124&lt;='RETRATO 2027'!$K$5,"EM ANDAMENTO","A INICIAR")))</f>
        <v/>
      </c>
    </row>
    <row r="5125" customFormat="false" ht="15" hidden="false" customHeight="false" outlineLevel="0" collapsed="false">
      <c r="M5125" s="2" t="str">
        <f aca="false">IF(C5125="","",IFERROR(INDEX($S$5:$S$304,MATCH(C5125,$R$5:$R$304,0))&amp;"","?"))</f>
        <v/>
      </c>
      <c r="N5125" s="2" t="str">
        <f aca="false"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 t="str">
        <f aca="false">IF(OR(F5125="",G5125=""),"",IF(G5125&lt;='RETRATO 2027'!$K$5,"CONCLUÍDA",IF(F5125&lt;='RETRATO 2027'!$K$5,"EM ANDAMENTO","A INICIAR")))</f>
        <v/>
      </c>
    </row>
    <row r="5126" customFormat="false" ht="15" hidden="false" customHeight="false" outlineLevel="0" collapsed="false">
      <c r="M5126" s="2" t="str">
        <f aca="false">IF(C5126="","",IFERROR(INDEX($S$5:$S$304,MATCH(C5126,$R$5:$R$304,0))&amp;"","?"))</f>
        <v/>
      </c>
      <c r="N5126" s="2" t="str">
        <f aca="false"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 t="str">
        <f aca="false">IF(OR(F5126="",G5126=""),"",IF(G5126&lt;='RETRATO 2027'!$K$5,"CONCLUÍDA",IF(F5126&lt;='RETRATO 2027'!$K$5,"EM ANDAMENTO","A INICIAR")))</f>
        <v/>
      </c>
    </row>
    <row r="5127" customFormat="false" ht="15" hidden="false" customHeight="false" outlineLevel="0" collapsed="false">
      <c r="M5127" s="2" t="str">
        <f aca="false">IF(C5127="","",IFERROR(INDEX($S$5:$S$304,MATCH(C5127,$R$5:$R$304,0))&amp;"","?"))</f>
        <v/>
      </c>
      <c r="N5127" s="2" t="str">
        <f aca="false"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 t="str">
        <f aca="false">IF(OR(F5127="",G5127=""),"",IF(G5127&lt;='RETRATO 2027'!$K$5,"CONCLUÍDA",IF(F5127&lt;='RETRATO 2027'!$K$5,"EM ANDAMENTO","A INICIAR")))</f>
        <v/>
      </c>
    </row>
    <row r="5128" customFormat="false" ht="15" hidden="false" customHeight="false" outlineLevel="0" collapsed="false">
      <c r="M5128" s="2" t="str">
        <f aca="false">IF(C5128="","",IFERROR(INDEX($S$5:$S$304,MATCH(C5128,$R$5:$R$304,0))&amp;"","?"))</f>
        <v/>
      </c>
      <c r="N5128" s="2" t="str">
        <f aca="false"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 t="str">
        <f aca="false">IF(OR(F5128="",G5128=""),"",IF(G5128&lt;='RETRATO 2027'!$K$5,"CONCLUÍDA",IF(F5128&lt;='RETRATO 2027'!$K$5,"EM ANDAMENTO","A INICIAR")))</f>
        <v/>
      </c>
    </row>
    <row r="5129" customFormat="false" ht="15" hidden="false" customHeight="false" outlineLevel="0" collapsed="false">
      <c r="M5129" s="2" t="str">
        <f aca="false">IF(C5129="","",IFERROR(INDEX($S$5:$S$304,MATCH(C5129,$R$5:$R$304,0))&amp;"","?"))</f>
        <v/>
      </c>
      <c r="N5129" s="2" t="str">
        <f aca="false"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 t="str">
        <f aca="false">IF(OR(F5129="",G5129=""),"",IF(G5129&lt;='RETRATO 2027'!$K$5,"CONCLUÍDA",IF(F5129&lt;='RETRATO 2027'!$K$5,"EM ANDAMENTO","A INICIAR")))</f>
        <v/>
      </c>
    </row>
    <row r="5130" customFormat="false" ht="15" hidden="false" customHeight="false" outlineLevel="0" collapsed="false">
      <c r="M5130" s="2" t="str">
        <f aca="false">IF(C5130="","",IFERROR(INDEX($S$5:$S$304,MATCH(C5130,$R$5:$R$304,0))&amp;"","?"))</f>
        <v/>
      </c>
      <c r="N5130" s="2" t="str">
        <f aca="false"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 t="str">
        <f aca="false">IF(OR(F5130="",G5130=""),"",IF(G5130&lt;='RETRATO 2027'!$K$5,"CONCLUÍDA",IF(F5130&lt;='RETRATO 2027'!$K$5,"EM ANDAMENTO","A INICIAR")))</f>
        <v/>
      </c>
    </row>
    <row r="5131" customFormat="false" ht="15" hidden="false" customHeight="false" outlineLevel="0" collapsed="false">
      <c r="M5131" s="2" t="str">
        <f aca="false">IF(C5131="","",IFERROR(INDEX($S$5:$S$304,MATCH(C5131,$R$5:$R$304,0))&amp;"","?"))</f>
        <v/>
      </c>
      <c r="N5131" s="2" t="str">
        <f aca="false"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 t="str">
        <f aca="false">IF(OR(F5131="",G5131=""),"",IF(G5131&lt;='RETRATO 2027'!$K$5,"CONCLUÍDA",IF(F5131&lt;='RETRATO 2027'!$K$5,"EM ANDAMENTO","A INICIAR")))</f>
        <v/>
      </c>
    </row>
    <row r="5132" customFormat="false" ht="15" hidden="false" customHeight="false" outlineLevel="0" collapsed="false">
      <c r="M5132" s="2" t="str">
        <f aca="false">IF(C5132="","",IFERROR(INDEX($S$5:$S$304,MATCH(C5132,$R$5:$R$304,0))&amp;"","?"))</f>
        <v/>
      </c>
      <c r="N5132" s="2" t="str">
        <f aca="false"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 t="str">
        <f aca="false">IF(OR(F5132="",G5132=""),"",IF(G5132&lt;='RETRATO 2027'!$K$5,"CONCLUÍDA",IF(F5132&lt;='RETRATO 2027'!$K$5,"EM ANDAMENTO","A INICIAR")))</f>
        <v/>
      </c>
    </row>
    <row r="5133" customFormat="false" ht="15" hidden="false" customHeight="false" outlineLevel="0" collapsed="false">
      <c r="M5133" s="2" t="str">
        <f aca="false">IF(C5133="","",IFERROR(INDEX($S$5:$S$304,MATCH(C5133,$R$5:$R$304,0))&amp;"","?"))</f>
        <v/>
      </c>
      <c r="N5133" s="2" t="str">
        <f aca="false"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 t="str">
        <f aca="false">IF(OR(F5133="",G5133=""),"",IF(G5133&lt;='RETRATO 2027'!$K$5,"CONCLUÍDA",IF(F5133&lt;='RETRATO 2027'!$K$5,"EM ANDAMENTO","A INICIAR")))</f>
        <v/>
      </c>
    </row>
    <row r="5134" customFormat="false" ht="15" hidden="false" customHeight="false" outlineLevel="0" collapsed="false">
      <c r="M5134" s="2" t="str">
        <f aca="false">IF(C5134="","",IFERROR(INDEX($S$5:$S$304,MATCH(C5134,$R$5:$R$304,0))&amp;"","?"))</f>
        <v/>
      </c>
      <c r="N5134" s="2" t="str">
        <f aca="false"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 t="str">
        <f aca="false">IF(OR(F5134="",G5134=""),"",IF(G5134&lt;='RETRATO 2027'!$K$5,"CONCLUÍDA",IF(F5134&lt;='RETRATO 2027'!$K$5,"EM ANDAMENTO","A INICIAR")))</f>
        <v/>
      </c>
    </row>
    <row r="5135" customFormat="false" ht="15" hidden="false" customHeight="false" outlineLevel="0" collapsed="false">
      <c r="M5135" s="2" t="str">
        <f aca="false">IF(C5135="","",IFERROR(INDEX($S$5:$S$304,MATCH(C5135,$R$5:$R$304,0))&amp;"","?"))</f>
        <v/>
      </c>
      <c r="N5135" s="2" t="str">
        <f aca="false"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 t="str">
        <f aca="false">IF(OR(F5135="",G5135=""),"",IF(G5135&lt;='RETRATO 2027'!$K$5,"CONCLUÍDA",IF(F5135&lt;='RETRATO 2027'!$K$5,"EM ANDAMENTO","A INICIAR")))</f>
        <v/>
      </c>
    </row>
    <row r="5136" customFormat="false" ht="15" hidden="false" customHeight="false" outlineLevel="0" collapsed="false">
      <c r="M5136" s="2" t="str">
        <f aca="false">IF(C5136="","",IFERROR(INDEX($S$5:$S$304,MATCH(C5136,$R$5:$R$304,0))&amp;"","?"))</f>
        <v/>
      </c>
      <c r="N5136" s="2" t="str">
        <f aca="false"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 t="str">
        <f aca="false">IF(OR(F5136="",G5136=""),"",IF(G5136&lt;='RETRATO 2027'!$K$5,"CONCLUÍDA",IF(F5136&lt;='RETRATO 2027'!$K$5,"EM ANDAMENTO","A INICIAR")))</f>
        <v/>
      </c>
    </row>
    <row r="5137" customFormat="false" ht="15" hidden="false" customHeight="false" outlineLevel="0" collapsed="false">
      <c r="M5137" s="2" t="str">
        <f aca="false">IF(C5137="","",IFERROR(INDEX($S$5:$S$304,MATCH(C5137,$R$5:$R$304,0))&amp;"","?"))</f>
        <v/>
      </c>
      <c r="N5137" s="2" t="str">
        <f aca="false"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 t="str">
        <f aca="false">IF(OR(F5137="",G5137=""),"",IF(G5137&lt;='RETRATO 2027'!$K$5,"CONCLUÍDA",IF(F5137&lt;='RETRATO 2027'!$K$5,"EM ANDAMENTO","A INICIAR")))</f>
        <v/>
      </c>
    </row>
    <row r="5138" customFormat="false" ht="15" hidden="false" customHeight="false" outlineLevel="0" collapsed="false">
      <c r="M5138" s="2" t="str">
        <f aca="false">IF(C5138="","",IFERROR(INDEX($S$5:$S$304,MATCH(C5138,$R$5:$R$304,0))&amp;"","?"))</f>
        <v/>
      </c>
      <c r="N5138" s="2" t="str">
        <f aca="false"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 t="str">
        <f aca="false">IF(OR(F5138="",G5138=""),"",IF(G5138&lt;='RETRATO 2027'!$K$5,"CONCLUÍDA",IF(F5138&lt;='RETRATO 2027'!$K$5,"EM ANDAMENTO","A INICIAR")))</f>
        <v/>
      </c>
    </row>
    <row r="5139" customFormat="false" ht="15" hidden="false" customHeight="false" outlineLevel="0" collapsed="false">
      <c r="M5139" s="2" t="str">
        <f aca="false">IF(C5139="","",IFERROR(INDEX($S$5:$S$304,MATCH(C5139,$R$5:$R$304,0))&amp;"","?"))</f>
        <v/>
      </c>
      <c r="N5139" s="2" t="str">
        <f aca="false"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 t="str">
        <f aca="false">IF(OR(F5139="",G5139=""),"",IF(G5139&lt;='RETRATO 2027'!$K$5,"CONCLUÍDA",IF(F5139&lt;='RETRATO 2027'!$K$5,"EM ANDAMENTO","A INICIAR")))</f>
        <v/>
      </c>
    </row>
    <row r="5140" customFormat="false" ht="15" hidden="false" customHeight="false" outlineLevel="0" collapsed="false">
      <c r="M5140" s="2" t="str">
        <f aca="false">IF(C5140="","",IFERROR(INDEX($S$5:$S$304,MATCH(C5140,$R$5:$R$304,0))&amp;"","?"))</f>
        <v/>
      </c>
      <c r="N5140" s="2" t="str">
        <f aca="false"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 t="str">
        <f aca="false">IF(OR(F5140="",G5140=""),"",IF(G5140&lt;='RETRATO 2027'!$K$5,"CONCLUÍDA",IF(F5140&lt;='RETRATO 2027'!$K$5,"EM ANDAMENTO","A INICIAR")))</f>
        <v/>
      </c>
    </row>
    <row r="5141" customFormat="false" ht="15" hidden="false" customHeight="false" outlineLevel="0" collapsed="false">
      <c r="M5141" s="2" t="str">
        <f aca="false">IF(C5141="","",IFERROR(INDEX($S$5:$S$304,MATCH(C5141,$R$5:$R$304,0))&amp;"","?"))</f>
        <v/>
      </c>
      <c r="N5141" s="2" t="str">
        <f aca="false"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 t="str">
        <f aca="false">IF(OR(F5141="",G5141=""),"",IF(G5141&lt;='RETRATO 2027'!$K$5,"CONCLUÍDA",IF(F5141&lt;='RETRATO 2027'!$K$5,"EM ANDAMENTO","A INICIAR")))</f>
        <v/>
      </c>
    </row>
    <row r="5142" customFormat="false" ht="15" hidden="false" customHeight="false" outlineLevel="0" collapsed="false">
      <c r="M5142" s="2" t="str">
        <f aca="false">IF(C5142="","",IFERROR(INDEX($S$5:$S$304,MATCH(C5142,$R$5:$R$304,0))&amp;"","?"))</f>
        <v/>
      </c>
      <c r="N5142" s="2" t="str">
        <f aca="false"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 t="str">
        <f aca="false">IF(OR(F5142="",G5142=""),"",IF(G5142&lt;='RETRATO 2027'!$K$5,"CONCLUÍDA",IF(F5142&lt;='RETRATO 2027'!$K$5,"EM ANDAMENTO","A INICIAR")))</f>
        <v/>
      </c>
    </row>
    <row r="5143" customFormat="false" ht="15" hidden="false" customHeight="false" outlineLevel="0" collapsed="false">
      <c r="M5143" s="2" t="str">
        <f aca="false">IF(C5143="","",IFERROR(INDEX($S$5:$S$304,MATCH(C5143,$R$5:$R$304,0))&amp;"","?"))</f>
        <v/>
      </c>
      <c r="N5143" s="2" t="str">
        <f aca="false"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 t="str">
        <f aca="false">IF(OR(F5143="",G5143=""),"",IF(G5143&lt;='RETRATO 2027'!$K$5,"CONCLUÍDA",IF(F5143&lt;='RETRATO 2027'!$K$5,"EM ANDAMENTO","A INICIAR")))</f>
        <v/>
      </c>
    </row>
    <row r="5144" customFormat="false" ht="15" hidden="false" customHeight="false" outlineLevel="0" collapsed="false">
      <c r="M5144" s="2" t="str">
        <f aca="false">IF(C5144="","",IFERROR(INDEX($S$5:$S$304,MATCH(C5144,$R$5:$R$304,0))&amp;"","?"))</f>
        <v/>
      </c>
      <c r="N5144" s="2" t="str">
        <f aca="false"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 t="str">
        <f aca="false">IF(OR(F5144="",G5144=""),"",IF(G5144&lt;='RETRATO 2027'!$K$5,"CONCLUÍDA",IF(F5144&lt;='RETRATO 2027'!$K$5,"EM ANDAMENTO","A INICIAR")))</f>
        <v/>
      </c>
    </row>
    <row r="5145" customFormat="false" ht="15" hidden="false" customHeight="false" outlineLevel="0" collapsed="false">
      <c r="M5145" s="2" t="str">
        <f aca="false">IF(C5145="","",IFERROR(INDEX($S$5:$S$304,MATCH(C5145,$R$5:$R$304,0))&amp;"","?"))</f>
        <v/>
      </c>
      <c r="N5145" s="2" t="str">
        <f aca="false"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 t="str">
        <f aca="false">IF(OR(F5145="",G5145=""),"",IF(G5145&lt;='RETRATO 2027'!$K$5,"CONCLUÍDA",IF(F5145&lt;='RETRATO 2027'!$K$5,"EM ANDAMENTO","A INICIAR")))</f>
        <v/>
      </c>
    </row>
    <row r="5146" customFormat="false" ht="15" hidden="false" customHeight="false" outlineLevel="0" collapsed="false">
      <c r="M5146" s="2" t="str">
        <f aca="false">IF(C5146="","",IFERROR(INDEX($S$5:$S$304,MATCH(C5146,$R$5:$R$304,0))&amp;"","?"))</f>
        <v/>
      </c>
      <c r="N5146" s="2" t="str">
        <f aca="false"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 t="str">
        <f aca="false">IF(OR(F5146="",G5146=""),"",IF(G5146&lt;='RETRATO 2027'!$K$5,"CONCLUÍDA",IF(F5146&lt;='RETRATO 2027'!$K$5,"EM ANDAMENTO","A INICIAR")))</f>
        <v/>
      </c>
    </row>
    <row r="5147" customFormat="false" ht="15" hidden="false" customHeight="false" outlineLevel="0" collapsed="false">
      <c r="M5147" s="2" t="str">
        <f aca="false">IF(C5147="","",IFERROR(INDEX($S$5:$S$304,MATCH(C5147,$R$5:$R$304,0))&amp;"","?"))</f>
        <v/>
      </c>
      <c r="N5147" s="2" t="str">
        <f aca="false"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 t="str">
        <f aca="false">IF(OR(F5147="",G5147=""),"",IF(G5147&lt;='RETRATO 2027'!$K$5,"CONCLUÍDA",IF(F5147&lt;='RETRATO 2027'!$K$5,"EM ANDAMENTO","A INICIAR")))</f>
        <v/>
      </c>
    </row>
    <row r="5148" customFormat="false" ht="15" hidden="false" customHeight="false" outlineLevel="0" collapsed="false">
      <c r="M5148" s="2" t="str">
        <f aca="false">IF(C5148="","",IFERROR(INDEX($S$5:$S$304,MATCH(C5148,$R$5:$R$304,0))&amp;"","?"))</f>
        <v/>
      </c>
      <c r="N5148" s="2" t="str">
        <f aca="false"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 t="str">
        <f aca="false">IF(OR(F5148="",G5148=""),"",IF(G5148&lt;='RETRATO 2027'!$K$5,"CONCLUÍDA",IF(F5148&lt;='RETRATO 2027'!$K$5,"EM ANDAMENTO","A INICIAR")))</f>
        <v/>
      </c>
    </row>
    <row r="5149" customFormat="false" ht="15" hidden="false" customHeight="false" outlineLevel="0" collapsed="false">
      <c r="M5149" s="2" t="str">
        <f aca="false">IF(C5149="","",IFERROR(INDEX($S$5:$S$304,MATCH(C5149,$R$5:$R$304,0))&amp;"","?"))</f>
        <v/>
      </c>
      <c r="N5149" s="2" t="str">
        <f aca="false"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 t="str">
        <f aca="false">IF(OR(F5149="",G5149=""),"",IF(G5149&lt;='RETRATO 2027'!$K$5,"CONCLUÍDA",IF(F5149&lt;='RETRATO 2027'!$K$5,"EM ANDAMENTO","A INICIAR")))</f>
        <v/>
      </c>
    </row>
    <row r="5150" customFormat="false" ht="15" hidden="false" customHeight="false" outlineLevel="0" collapsed="false">
      <c r="M5150" s="2" t="str">
        <f aca="false">IF(C5150="","",IFERROR(INDEX($S$5:$S$304,MATCH(C5150,$R$5:$R$304,0))&amp;"","?"))</f>
        <v/>
      </c>
      <c r="N5150" s="2" t="str">
        <f aca="false"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 t="str">
        <f aca="false">IF(OR(F5150="",G5150=""),"",IF(G5150&lt;='RETRATO 2027'!$K$5,"CONCLUÍDA",IF(F5150&lt;='RETRATO 2027'!$K$5,"EM ANDAMENTO","A INICIAR")))</f>
        <v/>
      </c>
    </row>
    <row r="5151" customFormat="false" ht="15" hidden="false" customHeight="false" outlineLevel="0" collapsed="false">
      <c r="M5151" s="2" t="str">
        <f aca="false">IF(C5151="","",IFERROR(INDEX($S$5:$S$304,MATCH(C5151,$R$5:$R$304,0))&amp;"","?"))</f>
        <v/>
      </c>
      <c r="N5151" s="2" t="str">
        <f aca="false"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 t="str">
        <f aca="false">IF(OR(F5151="",G5151=""),"",IF(G5151&lt;='RETRATO 2027'!$K$5,"CONCLUÍDA",IF(F5151&lt;='RETRATO 2027'!$K$5,"EM ANDAMENTO","A INICIAR")))</f>
        <v/>
      </c>
    </row>
    <row r="5152" customFormat="false" ht="15" hidden="false" customHeight="false" outlineLevel="0" collapsed="false">
      <c r="M5152" s="2" t="str">
        <f aca="false">IF(C5152="","",IFERROR(INDEX($S$5:$S$304,MATCH(C5152,$R$5:$R$304,0))&amp;"","?"))</f>
        <v/>
      </c>
      <c r="N5152" s="2" t="str">
        <f aca="false"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 t="str">
        <f aca="false">IF(OR(F5152="",G5152=""),"",IF(G5152&lt;='RETRATO 2027'!$K$5,"CONCLUÍDA",IF(F5152&lt;='RETRATO 2027'!$K$5,"EM ANDAMENTO","A INICIAR")))</f>
        <v/>
      </c>
    </row>
    <row r="5153" customFormat="false" ht="15" hidden="false" customHeight="false" outlineLevel="0" collapsed="false">
      <c r="M5153" s="2" t="str">
        <f aca="false">IF(C5153="","",IFERROR(INDEX($S$5:$S$304,MATCH(C5153,$R$5:$R$304,0))&amp;"","?"))</f>
        <v/>
      </c>
      <c r="N5153" s="2" t="str">
        <f aca="false"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 t="str">
        <f aca="false">IF(OR(F5153="",G5153=""),"",IF(G5153&lt;='RETRATO 2027'!$K$5,"CONCLUÍDA",IF(F5153&lt;='RETRATO 2027'!$K$5,"EM ANDAMENTO","A INICIAR")))</f>
        <v/>
      </c>
    </row>
    <row r="5154" customFormat="false" ht="15" hidden="false" customHeight="false" outlineLevel="0" collapsed="false">
      <c r="M5154" s="2" t="str">
        <f aca="false">IF(C5154="","",IFERROR(INDEX($S$5:$S$304,MATCH(C5154,$R$5:$R$304,0))&amp;"","?"))</f>
        <v/>
      </c>
      <c r="N5154" s="2" t="str">
        <f aca="false"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 t="str">
        <f aca="false">IF(OR(F5154="",G5154=""),"",IF(G5154&lt;='RETRATO 2027'!$K$5,"CONCLUÍDA",IF(F5154&lt;='RETRATO 2027'!$K$5,"EM ANDAMENTO","A INICIAR")))</f>
        <v/>
      </c>
    </row>
    <row r="5155" customFormat="false" ht="15" hidden="false" customHeight="false" outlineLevel="0" collapsed="false">
      <c r="M5155" s="2" t="str">
        <f aca="false">IF(C5155="","",IFERROR(INDEX($S$5:$S$304,MATCH(C5155,$R$5:$R$304,0))&amp;"","?"))</f>
        <v/>
      </c>
      <c r="N5155" s="2" t="str">
        <f aca="false"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 t="str">
        <f aca="false">IF(OR(F5155="",G5155=""),"",IF(G5155&lt;='RETRATO 2027'!$K$5,"CONCLUÍDA",IF(F5155&lt;='RETRATO 2027'!$K$5,"EM ANDAMENTO","A INICIAR")))</f>
        <v/>
      </c>
    </row>
    <row r="5156" customFormat="false" ht="15" hidden="false" customHeight="false" outlineLevel="0" collapsed="false">
      <c r="M5156" s="2" t="str">
        <f aca="false">IF(C5156="","",IFERROR(INDEX($S$5:$S$304,MATCH(C5156,$R$5:$R$304,0))&amp;"","?"))</f>
        <v/>
      </c>
      <c r="N5156" s="2" t="str">
        <f aca="false"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 t="str">
        <f aca="false">IF(OR(F5156="",G5156=""),"",IF(G5156&lt;='RETRATO 2027'!$K$5,"CONCLUÍDA",IF(F5156&lt;='RETRATO 2027'!$K$5,"EM ANDAMENTO","A INICIAR")))</f>
        <v/>
      </c>
    </row>
    <row r="5157" customFormat="false" ht="15" hidden="false" customHeight="false" outlineLevel="0" collapsed="false">
      <c r="M5157" s="2" t="str">
        <f aca="false">IF(C5157="","",IFERROR(INDEX($S$5:$S$304,MATCH(C5157,$R$5:$R$304,0))&amp;"","?"))</f>
        <v/>
      </c>
      <c r="N5157" s="2" t="str">
        <f aca="false"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 t="str">
        <f aca="false">IF(OR(F5157="",G5157=""),"",IF(G5157&lt;='RETRATO 2027'!$K$5,"CONCLUÍDA",IF(F5157&lt;='RETRATO 2027'!$K$5,"EM ANDAMENTO","A INICIAR")))</f>
        <v/>
      </c>
    </row>
    <row r="5158" customFormat="false" ht="15" hidden="false" customHeight="false" outlineLevel="0" collapsed="false">
      <c r="M5158" s="2" t="str">
        <f aca="false">IF(C5158="","",IFERROR(INDEX($S$5:$S$304,MATCH(C5158,$R$5:$R$304,0))&amp;"","?"))</f>
        <v/>
      </c>
      <c r="N5158" s="2" t="str">
        <f aca="false"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 t="str">
        <f aca="false">IF(OR(F5158="",G5158=""),"",IF(G5158&lt;='RETRATO 2027'!$K$5,"CONCLUÍDA",IF(F5158&lt;='RETRATO 2027'!$K$5,"EM ANDAMENTO","A INICIAR")))</f>
        <v/>
      </c>
    </row>
    <row r="5159" customFormat="false" ht="15" hidden="false" customHeight="false" outlineLevel="0" collapsed="false">
      <c r="M5159" s="2" t="str">
        <f aca="false">IF(C5159="","",IFERROR(INDEX($S$5:$S$304,MATCH(C5159,$R$5:$R$304,0))&amp;"","?"))</f>
        <v/>
      </c>
      <c r="N5159" s="2" t="str">
        <f aca="false"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 t="str">
        <f aca="false">IF(OR(F5159="",G5159=""),"",IF(G5159&lt;='RETRATO 2027'!$K$5,"CONCLUÍDA",IF(F5159&lt;='RETRATO 2027'!$K$5,"EM ANDAMENTO","A INICIAR")))</f>
        <v/>
      </c>
    </row>
    <row r="5160" customFormat="false" ht="15" hidden="false" customHeight="false" outlineLevel="0" collapsed="false">
      <c r="M5160" s="2" t="str">
        <f aca="false">IF(C5160="","",IFERROR(INDEX($S$5:$S$304,MATCH(C5160,$R$5:$R$304,0))&amp;"","?"))</f>
        <v/>
      </c>
      <c r="N5160" s="2" t="str">
        <f aca="false"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 t="str">
        <f aca="false">IF(OR(F5160="",G5160=""),"",IF(G5160&lt;='RETRATO 2027'!$K$5,"CONCLUÍDA",IF(F5160&lt;='RETRATO 2027'!$K$5,"EM ANDAMENTO","A INICIAR")))</f>
        <v/>
      </c>
    </row>
    <row r="5161" customFormat="false" ht="15" hidden="false" customHeight="false" outlineLevel="0" collapsed="false">
      <c r="M5161" s="2" t="str">
        <f aca="false">IF(C5161="","",IFERROR(INDEX($S$5:$S$304,MATCH(C5161,$R$5:$R$304,0))&amp;"","?"))</f>
        <v/>
      </c>
      <c r="N5161" s="2" t="str">
        <f aca="false"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 t="str">
        <f aca="false">IF(OR(F5161="",G5161=""),"",IF(G5161&lt;='RETRATO 2027'!$K$5,"CONCLUÍDA",IF(F5161&lt;='RETRATO 2027'!$K$5,"EM ANDAMENTO","A INICIAR")))</f>
        <v/>
      </c>
    </row>
    <row r="5162" customFormat="false" ht="15" hidden="false" customHeight="false" outlineLevel="0" collapsed="false">
      <c r="M5162" s="2" t="str">
        <f aca="false">IF(C5162="","",IFERROR(INDEX($S$5:$S$304,MATCH(C5162,$R$5:$R$304,0))&amp;"","?"))</f>
        <v/>
      </c>
      <c r="N5162" s="2" t="str">
        <f aca="false"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 t="str">
        <f aca="false">IF(OR(F5162="",G5162=""),"",IF(G5162&lt;='RETRATO 2027'!$K$5,"CONCLUÍDA",IF(F5162&lt;='RETRATO 2027'!$K$5,"EM ANDAMENTO","A INICIAR")))</f>
        <v/>
      </c>
    </row>
    <row r="5163" customFormat="false" ht="15" hidden="false" customHeight="false" outlineLevel="0" collapsed="false">
      <c r="M5163" s="2" t="str">
        <f aca="false">IF(C5163="","",IFERROR(INDEX($S$5:$S$304,MATCH(C5163,$R$5:$R$304,0))&amp;"","?"))</f>
        <v/>
      </c>
      <c r="N5163" s="2" t="str">
        <f aca="false"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 t="str">
        <f aca="false">IF(OR(F5163="",G5163=""),"",IF(G5163&lt;='RETRATO 2027'!$K$5,"CONCLUÍDA",IF(F5163&lt;='RETRATO 2027'!$K$5,"EM ANDAMENTO","A INICIAR")))</f>
        <v/>
      </c>
    </row>
    <row r="5164" customFormat="false" ht="15" hidden="false" customHeight="false" outlineLevel="0" collapsed="false">
      <c r="M5164" s="2" t="str">
        <f aca="false">IF(C5164="","",IFERROR(INDEX($S$5:$S$304,MATCH(C5164,$R$5:$R$304,0))&amp;"","?"))</f>
        <v/>
      </c>
      <c r="N5164" s="2" t="str">
        <f aca="false"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 t="str">
        <f aca="false">IF(OR(F5164="",G5164=""),"",IF(G5164&lt;='RETRATO 2027'!$K$5,"CONCLUÍDA",IF(F5164&lt;='RETRATO 2027'!$K$5,"EM ANDAMENTO","A INICIAR")))</f>
        <v/>
      </c>
    </row>
    <row r="5165" customFormat="false" ht="15" hidden="false" customHeight="false" outlineLevel="0" collapsed="false">
      <c r="M5165" s="2" t="str">
        <f aca="false">IF(C5165="","",IFERROR(INDEX($S$5:$S$304,MATCH(C5165,$R$5:$R$304,0))&amp;"","?"))</f>
        <v/>
      </c>
      <c r="N5165" s="2" t="str">
        <f aca="false"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 t="str">
        <f aca="false">IF(OR(F5165="",G5165=""),"",IF(G5165&lt;='RETRATO 2027'!$K$5,"CONCLUÍDA",IF(F5165&lt;='RETRATO 2027'!$K$5,"EM ANDAMENTO","A INICIAR")))</f>
        <v/>
      </c>
    </row>
    <row r="5166" customFormat="false" ht="15" hidden="false" customHeight="false" outlineLevel="0" collapsed="false">
      <c r="M5166" s="2" t="str">
        <f aca="false">IF(C5166="","",IFERROR(INDEX($S$5:$S$304,MATCH(C5166,$R$5:$R$304,0))&amp;"","?"))</f>
        <v/>
      </c>
      <c r="N5166" s="2" t="str">
        <f aca="false"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 t="str">
        <f aca="false">IF(OR(F5166="",G5166=""),"",IF(G5166&lt;='RETRATO 2027'!$K$5,"CONCLUÍDA",IF(F5166&lt;='RETRATO 2027'!$K$5,"EM ANDAMENTO","A INICIAR")))</f>
        <v/>
      </c>
    </row>
    <row r="5167" customFormat="false" ht="15" hidden="false" customHeight="false" outlineLevel="0" collapsed="false">
      <c r="M5167" s="2" t="str">
        <f aca="false">IF(C5167="","",IFERROR(INDEX($S$5:$S$304,MATCH(C5167,$R$5:$R$304,0))&amp;"","?"))</f>
        <v/>
      </c>
      <c r="N5167" s="2" t="str">
        <f aca="false"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 t="str">
        <f aca="false">IF(OR(F5167="",G5167=""),"",IF(G5167&lt;='RETRATO 2027'!$K$5,"CONCLUÍDA",IF(F5167&lt;='RETRATO 2027'!$K$5,"EM ANDAMENTO","A INICIAR")))</f>
        <v/>
      </c>
    </row>
    <row r="5168" customFormat="false" ht="15" hidden="false" customHeight="false" outlineLevel="0" collapsed="false">
      <c r="M5168" s="2" t="str">
        <f aca="false">IF(C5168="","",IFERROR(INDEX($S$5:$S$304,MATCH(C5168,$R$5:$R$304,0))&amp;"","?"))</f>
        <v/>
      </c>
      <c r="N5168" s="2" t="str">
        <f aca="false"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 t="str">
        <f aca="false">IF(OR(F5168="",G5168=""),"",IF(G5168&lt;='RETRATO 2027'!$K$5,"CONCLUÍDA",IF(F5168&lt;='RETRATO 2027'!$K$5,"EM ANDAMENTO","A INICIAR")))</f>
        <v/>
      </c>
    </row>
    <row r="5169" customFormat="false" ht="15" hidden="false" customHeight="false" outlineLevel="0" collapsed="false">
      <c r="M5169" s="2" t="str">
        <f aca="false">IF(C5169="","",IFERROR(INDEX($S$5:$S$304,MATCH(C5169,$R$5:$R$304,0))&amp;"","?"))</f>
        <v/>
      </c>
      <c r="N5169" s="2" t="str">
        <f aca="false"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 t="str">
        <f aca="false">IF(OR(F5169="",G5169=""),"",IF(G5169&lt;='RETRATO 2027'!$K$5,"CONCLUÍDA",IF(F5169&lt;='RETRATO 2027'!$K$5,"EM ANDAMENTO","A INICIAR")))</f>
        <v/>
      </c>
    </row>
    <row r="5170" customFormat="false" ht="15" hidden="false" customHeight="false" outlineLevel="0" collapsed="false">
      <c r="M5170" s="2" t="str">
        <f aca="false">IF(C5170="","",IFERROR(INDEX($S$5:$S$304,MATCH(C5170,$R$5:$R$304,0))&amp;"","?"))</f>
        <v/>
      </c>
      <c r="N5170" s="2" t="str">
        <f aca="false"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 t="str">
        <f aca="false">IF(OR(F5170="",G5170=""),"",IF(G5170&lt;='RETRATO 2027'!$K$5,"CONCLUÍDA",IF(F5170&lt;='RETRATO 2027'!$K$5,"EM ANDAMENTO","A INICIAR")))</f>
        <v/>
      </c>
    </row>
    <row r="5171" customFormat="false" ht="15" hidden="false" customHeight="false" outlineLevel="0" collapsed="false">
      <c r="M5171" s="2" t="str">
        <f aca="false">IF(C5171="","",IFERROR(INDEX($S$5:$S$304,MATCH(C5171,$R$5:$R$304,0))&amp;"","?"))</f>
        <v/>
      </c>
      <c r="N5171" s="2" t="str">
        <f aca="false"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 t="str">
        <f aca="false">IF(OR(F5171="",G5171=""),"",IF(G5171&lt;='RETRATO 2027'!$K$5,"CONCLUÍDA",IF(F5171&lt;='RETRATO 2027'!$K$5,"EM ANDAMENTO","A INICIAR")))</f>
        <v/>
      </c>
    </row>
    <row r="5172" customFormat="false" ht="15" hidden="false" customHeight="false" outlineLevel="0" collapsed="false">
      <c r="M5172" s="2" t="str">
        <f aca="false">IF(C5172="","",IFERROR(INDEX($S$5:$S$304,MATCH(C5172,$R$5:$R$304,0))&amp;"","?"))</f>
        <v/>
      </c>
      <c r="N5172" s="2" t="str">
        <f aca="false"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 t="str">
        <f aca="false">IF(OR(F5172="",G5172=""),"",IF(G5172&lt;='RETRATO 2027'!$K$5,"CONCLUÍDA",IF(F5172&lt;='RETRATO 2027'!$K$5,"EM ANDAMENTO","A INICIAR")))</f>
        <v/>
      </c>
    </row>
    <row r="5173" customFormat="false" ht="15" hidden="false" customHeight="false" outlineLevel="0" collapsed="false">
      <c r="M5173" s="2" t="str">
        <f aca="false">IF(C5173="","",IFERROR(INDEX($S$5:$S$304,MATCH(C5173,$R$5:$R$304,0))&amp;"","?"))</f>
        <v/>
      </c>
      <c r="N5173" s="2" t="str">
        <f aca="false"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 t="str">
        <f aca="false">IF(OR(F5173="",G5173=""),"",IF(G5173&lt;='RETRATO 2027'!$K$5,"CONCLUÍDA",IF(F5173&lt;='RETRATO 2027'!$K$5,"EM ANDAMENTO","A INICIAR")))</f>
        <v/>
      </c>
    </row>
    <row r="5174" customFormat="false" ht="15" hidden="false" customHeight="false" outlineLevel="0" collapsed="false">
      <c r="M5174" s="2" t="str">
        <f aca="false">IF(C5174="","",IFERROR(INDEX($S$5:$S$304,MATCH(C5174,$R$5:$R$304,0))&amp;"","?"))</f>
        <v/>
      </c>
      <c r="N5174" s="2" t="str">
        <f aca="false"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 t="str">
        <f aca="false">IF(OR(F5174="",G5174=""),"",IF(G5174&lt;='RETRATO 2027'!$K$5,"CONCLUÍDA",IF(F5174&lt;='RETRATO 2027'!$K$5,"EM ANDAMENTO","A INICIAR")))</f>
        <v/>
      </c>
    </row>
    <row r="5175" customFormat="false" ht="15" hidden="false" customHeight="false" outlineLevel="0" collapsed="false">
      <c r="M5175" s="2" t="str">
        <f aca="false">IF(C5175="","",IFERROR(INDEX($S$5:$S$304,MATCH(C5175,$R$5:$R$304,0))&amp;"","?"))</f>
        <v/>
      </c>
      <c r="N5175" s="2" t="str">
        <f aca="false"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 t="str">
        <f aca="false">IF(OR(F5175="",G5175=""),"",IF(G5175&lt;='RETRATO 2027'!$K$5,"CONCLUÍDA",IF(F5175&lt;='RETRATO 2027'!$K$5,"EM ANDAMENTO","A INICIAR")))</f>
        <v/>
      </c>
    </row>
    <row r="5176" customFormat="false" ht="15" hidden="false" customHeight="false" outlineLevel="0" collapsed="false">
      <c r="M5176" s="2" t="str">
        <f aca="false">IF(C5176="","",IFERROR(INDEX($S$5:$S$304,MATCH(C5176,$R$5:$R$304,0))&amp;"","?"))</f>
        <v/>
      </c>
      <c r="N5176" s="2" t="str">
        <f aca="false"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 t="str">
        <f aca="false">IF(OR(F5176="",G5176=""),"",IF(G5176&lt;='RETRATO 2027'!$K$5,"CONCLUÍDA",IF(F5176&lt;='RETRATO 2027'!$K$5,"EM ANDAMENTO","A INICIAR")))</f>
        <v/>
      </c>
    </row>
    <row r="5177" customFormat="false" ht="15" hidden="false" customHeight="false" outlineLevel="0" collapsed="false">
      <c r="M5177" s="2" t="str">
        <f aca="false">IF(C5177="","",IFERROR(INDEX($S$5:$S$304,MATCH(C5177,$R$5:$R$304,0))&amp;"","?"))</f>
        <v/>
      </c>
      <c r="N5177" s="2" t="str">
        <f aca="false"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 t="str">
        <f aca="false">IF(OR(F5177="",G5177=""),"",IF(G5177&lt;='RETRATO 2027'!$K$5,"CONCLUÍDA",IF(F5177&lt;='RETRATO 2027'!$K$5,"EM ANDAMENTO","A INICIAR")))</f>
        <v/>
      </c>
    </row>
    <row r="5178" customFormat="false" ht="15" hidden="false" customHeight="false" outlineLevel="0" collapsed="false">
      <c r="M5178" s="2" t="str">
        <f aca="false">IF(C5178="","",IFERROR(INDEX($S$5:$S$304,MATCH(C5178,$R$5:$R$304,0))&amp;"","?"))</f>
        <v/>
      </c>
      <c r="N5178" s="2" t="str">
        <f aca="false"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 t="str">
        <f aca="false">IF(OR(F5178="",G5178=""),"",IF(G5178&lt;='RETRATO 2027'!$K$5,"CONCLUÍDA",IF(F5178&lt;='RETRATO 2027'!$K$5,"EM ANDAMENTO","A INICIAR")))</f>
        <v/>
      </c>
    </row>
    <row r="5179" customFormat="false" ht="15" hidden="false" customHeight="false" outlineLevel="0" collapsed="false">
      <c r="M5179" s="2" t="str">
        <f aca="false">IF(C5179="","",IFERROR(INDEX($S$5:$S$304,MATCH(C5179,$R$5:$R$304,0))&amp;"","?"))</f>
        <v/>
      </c>
      <c r="N5179" s="2" t="str">
        <f aca="false"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 t="str">
        <f aca="false">IF(OR(F5179="",G5179=""),"",IF(G5179&lt;='RETRATO 2027'!$K$5,"CONCLUÍDA",IF(F5179&lt;='RETRATO 2027'!$K$5,"EM ANDAMENTO","A INICIAR")))</f>
        <v/>
      </c>
    </row>
    <row r="5180" customFormat="false" ht="15" hidden="false" customHeight="false" outlineLevel="0" collapsed="false">
      <c r="M5180" s="2" t="str">
        <f aca="false">IF(C5180="","",IFERROR(INDEX($S$5:$S$304,MATCH(C5180,$R$5:$R$304,0))&amp;"","?"))</f>
        <v/>
      </c>
      <c r="N5180" s="2" t="str">
        <f aca="false"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 t="str">
        <f aca="false">IF(OR(F5180="",G5180=""),"",IF(G5180&lt;='RETRATO 2027'!$K$5,"CONCLUÍDA",IF(F5180&lt;='RETRATO 2027'!$K$5,"EM ANDAMENTO","A INICIAR")))</f>
        <v/>
      </c>
    </row>
    <row r="5181" customFormat="false" ht="15" hidden="false" customHeight="false" outlineLevel="0" collapsed="false">
      <c r="M5181" s="2" t="str">
        <f aca="false">IF(C5181="","",IFERROR(INDEX($S$5:$S$304,MATCH(C5181,$R$5:$R$304,0))&amp;"","?"))</f>
        <v/>
      </c>
      <c r="N5181" s="2" t="str">
        <f aca="false"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 t="str">
        <f aca="false">IF(OR(F5181="",G5181=""),"",IF(G5181&lt;='RETRATO 2027'!$K$5,"CONCLUÍDA",IF(F5181&lt;='RETRATO 2027'!$K$5,"EM ANDAMENTO","A INICIAR")))</f>
        <v/>
      </c>
    </row>
    <row r="5182" customFormat="false" ht="15" hidden="false" customHeight="false" outlineLevel="0" collapsed="false">
      <c r="M5182" s="2" t="str">
        <f aca="false">IF(C5182="","",IFERROR(INDEX($S$5:$S$304,MATCH(C5182,$R$5:$R$304,0))&amp;"","?"))</f>
        <v/>
      </c>
      <c r="N5182" s="2" t="str">
        <f aca="false"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 t="str">
        <f aca="false">IF(OR(F5182="",G5182=""),"",IF(G5182&lt;='RETRATO 2027'!$K$5,"CONCLUÍDA",IF(F5182&lt;='RETRATO 2027'!$K$5,"EM ANDAMENTO","A INICIAR")))</f>
        <v/>
      </c>
    </row>
    <row r="5183" customFormat="false" ht="15" hidden="false" customHeight="false" outlineLevel="0" collapsed="false">
      <c r="M5183" s="2" t="str">
        <f aca="false">IF(C5183="","",IFERROR(INDEX($S$5:$S$304,MATCH(C5183,$R$5:$R$304,0))&amp;"","?"))</f>
        <v/>
      </c>
      <c r="N5183" s="2" t="str">
        <f aca="false"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 t="str">
        <f aca="false">IF(OR(F5183="",G5183=""),"",IF(G5183&lt;='RETRATO 2027'!$K$5,"CONCLUÍDA",IF(F5183&lt;='RETRATO 2027'!$K$5,"EM ANDAMENTO","A INICIAR")))</f>
        <v/>
      </c>
    </row>
    <row r="5184" customFormat="false" ht="15" hidden="false" customHeight="false" outlineLevel="0" collapsed="false">
      <c r="M5184" s="2" t="str">
        <f aca="false">IF(C5184="","",IFERROR(INDEX($S$5:$S$304,MATCH(C5184,$R$5:$R$304,0))&amp;"","?"))</f>
        <v/>
      </c>
      <c r="N5184" s="2" t="str">
        <f aca="false"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 t="str">
        <f aca="false">IF(OR(F5184="",G5184=""),"",IF(G5184&lt;='RETRATO 2027'!$K$5,"CONCLUÍDA",IF(F5184&lt;='RETRATO 2027'!$K$5,"EM ANDAMENTO","A INICIAR")))</f>
        <v/>
      </c>
    </row>
    <row r="5185" customFormat="false" ht="15" hidden="false" customHeight="false" outlineLevel="0" collapsed="false">
      <c r="M5185" s="2" t="str">
        <f aca="false">IF(C5185="","",IFERROR(INDEX($S$5:$S$304,MATCH(C5185,$R$5:$R$304,0))&amp;"","?"))</f>
        <v/>
      </c>
      <c r="N5185" s="2" t="str">
        <f aca="false"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 t="str">
        <f aca="false">IF(OR(F5185="",G5185=""),"",IF(G5185&lt;='RETRATO 2027'!$K$5,"CONCLUÍDA",IF(F5185&lt;='RETRATO 2027'!$K$5,"EM ANDAMENTO","A INICIAR")))</f>
        <v/>
      </c>
    </row>
    <row r="5186" customFormat="false" ht="15" hidden="false" customHeight="false" outlineLevel="0" collapsed="false">
      <c r="M5186" s="2" t="str">
        <f aca="false">IF(C5186="","",IFERROR(INDEX($S$5:$S$304,MATCH(C5186,$R$5:$R$304,0))&amp;"","?"))</f>
        <v/>
      </c>
      <c r="N5186" s="2" t="str">
        <f aca="false"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 t="str">
        <f aca="false">IF(OR(F5186="",G5186=""),"",IF(G5186&lt;='RETRATO 2027'!$K$5,"CONCLUÍDA",IF(F5186&lt;='RETRATO 2027'!$K$5,"EM ANDAMENTO","A INICIAR")))</f>
        <v/>
      </c>
    </row>
    <row r="5187" customFormat="false" ht="15" hidden="false" customHeight="false" outlineLevel="0" collapsed="false">
      <c r="M5187" s="2" t="str">
        <f aca="false">IF(C5187="","",IFERROR(INDEX($S$5:$S$304,MATCH(C5187,$R$5:$R$304,0))&amp;"","?"))</f>
        <v/>
      </c>
      <c r="N5187" s="2" t="str">
        <f aca="false"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 t="str">
        <f aca="false">IF(OR(F5187="",G5187=""),"",IF(G5187&lt;='RETRATO 2027'!$K$5,"CONCLUÍDA",IF(F5187&lt;='RETRATO 2027'!$K$5,"EM ANDAMENTO","A INICIAR")))</f>
        <v/>
      </c>
    </row>
    <row r="5188" customFormat="false" ht="15" hidden="false" customHeight="false" outlineLevel="0" collapsed="false">
      <c r="M5188" s="2" t="str">
        <f aca="false">IF(C5188="","",IFERROR(INDEX($S$5:$S$304,MATCH(C5188,$R$5:$R$304,0))&amp;"","?"))</f>
        <v/>
      </c>
      <c r="N5188" s="2" t="str">
        <f aca="false"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 t="str">
        <f aca="false">IF(OR(F5188="",G5188=""),"",IF(G5188&lt;='RETRATO 2027'!$K$5,"CONCLUÍDA",IF(F5188&lt;='RETRATO 2027'!$K$5,"EM ANDAMENTO","A INICIAR")))</f>
        <v/>
      </c>
    </row>
    <row r="5189" customFormat="false" ht="15" hidden="false" customHeight="false" outlineLevel="0" collapsed="false">
      <c r="M5189" s="2" t="str">
        <f aca="false">IF(C5189="","",IFERROR(INDEX($S$5:$S$304,MATCH(C5189,$R$5:$R$304,0))&amp;"","?"))</f>
        <v/>
      </c>
      <c r="N5189" s="2" t="str">
        <f aca="false"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 t="str">
        <f aca="false">IF(OR(F5189="",G5189=""),"",IF(G5189&lt;='RETRATO 2027'!$K$5,"CONCLUÍDA",IF(F5189&lt;='RETRATO 2027'!$K$5,"EM ANDAMENTO","A INICIAR")))</f>
        <v/>
      </c>
    </row>
    <row r="5190" customFormat="false" ht="15" hidden="false" customHeight="false" outlineLevel="0" collapsed="false">
      <c r="M5190" s="2" t="str">
        <f aca="false">IF(C5190="","",IFERROR(INDEX($S$5:$S$304,MATCH(C5190,$R$5:$R$304,0))&amp;"","?"))</f>
        <v/>
      </c>
      <c r="N5190" s="2" t="str">
        <f aca="false"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 t="str">
        <f aca="false">IF(OR(F5190="",G5190=""),"",IF(G5190&lt;='RETRATO 2027'!$K$5,"CONCLUÍDA",IF(F5190&lt;='RETRATO 2027'!$K$5,"EM ANDAMENTO","A INICIAR")))</f>
        <v/>
      </c>
    </row>
    <row r="5191" customFormat="false" ht="15" hidden="false" customHeight="false" outlineLevel="0" collapsed="false">
      <c r="M5191" s="2" t="str">
        <f aca="false">IF(C5191="","",IFERROR(INDEX($S$5:$S$304,MATCH(C5191,$R$5:$R$304,0))&amp;"","?"))</f>
        <v/>
      </c>
      <c r="N5191" s="2" t="str">
        <f aca="false"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 t="str">
        <f aca="false">IF(OR(F5191="",G5191=""),"",IF(G5191&lt;='RETRATO 2027'!$K$5,"CONCLUÍDA",IF(F5191&lt;='RETRATO 2027'!$K$5,"EM ANDAMENTO","A INICIAR")))</f>
        <v/>
      </c>
    </row>
    <row r="5192" customFormat="false" ht="15" hidden="false" customHeight="false" outlineLevel="0" collapsed="false">
      <c r="M5192" s="2" t="str">
        <f aca="false">IF(C5192="","",IFERROR(INDEX($S$5:$S$304,MATCH(C5192,$R$5:$R$304,0))&amp;"","?"))</f>
        <v/>
      </c>
      <c r="N5192" s="2" t="str">
        <f aca="false"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 t="str">
        <f aca="false">IF(OR(F5192="",G5192=""),"",IF(G5192&lt;='RETRATO 2027'!$K$5,"CONCLUÍDA",IF(F5192&lt;='RETRATO 2027'!$K$5,"EM ANDAMENTO","A INICIAR")))</f>
        <v/>
      </c>
    </row>
    <row r="5193" customFormat="false" ht="15" hidden="false" customHeight="false" outlineLevel="0" collapsed="false">
      <c r="M5193" s="2" t="str">
        <f aca="false">IF(C5193="","",IFERROR(INDEX($S$5:$S$304,MATCH(C5193,$R$5:$R$304,0))&amp;"","?"))</f>
        <v/>
      </c>
      <c r="N5193" s="2" t="str">
        <f aca="false"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 t="str">
        <f aca="false">IF(OR(F5193="",G5193=""),"",IF(G5193&lt;='RETRATO 2027'!$K$5,"CONCLUÍDA",IF(F5193&lt;='RETRATO 2027'!$K$5,"EM ANDAMENTO","A INICIAR")))</f>
        <v/>
      </c>
    </row>
    <row r="5194" customFormat="false" ht="15" hidden="false" customHeight="false" outlineLevel="0" collapsed="false">
      <c r="M5194" s="2" t="str">
        <f aca="false">IF(C5194="","",IFERROR(INDEX($S$5:$S$304,MATCH(C5194,$R$5:$R$304,0))&amp;"","?"))</f>
        <v/>
      </c>
      <c r="N5194" s="2" t="str">
        <f aca="false"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 t="str">
        <f aca="false">IF(OR(F5194="",G5194=""),"",IF(G5194&lt;='RETRATO 2027'!$K$5,"CONCLUÍDA",IF(F5194&lt;='RETRATO 2027'!$K$5,"EM ANDAMENTO","A INICIAR")))</f>
        <v/>
      </c>
    </row>
    <row r="5195" customFormat="false" ht="15" hidden="false" customHeight="false" outlineLevel="0" collapsed="false">
      <c r="M5195" s="2" t="str">
        <f aca="false">IF(C5195="","",IFERROR(INDEX($S$5:$S$304,MATCH(C5195,$R$5:$R$304,0))&amp;"","?"))</f>
        <v/>
      </c>
      <c r="N5195" s="2" t="str">
        <f aca="false"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 t="str">
        <f aca="false">IF(OR(F5195="",G5195=""),"",IF(G5195&lt;='RETRATO 2027'!$K$5,"CONCLUÍDA",IF(F5195&lt;='RETRATO 2027'!$K$5,"EM ANDAMENTO","A INICIAR")))</f>
        <v/>
      </c>
    </row>
    <row r="5196" customFormat="false" ht="15" hidden="false" customHeight="false" outlineLevel="0" collapsed="false">
      <c r="M5196" s="2" t="str">
        <f aca="false">IF(C5196="","",IFERROR(INDEX($S$5:$S$304,MATCH(C5196,$R$5:$R$304,0))&amp;"","?"))</f>
        <v/>
      </c>
      <c r="N5196" s="2" t="str">
        <f aca="false"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 t="str">
        <f aca="false">IF(OR(F5196="",G5196=""),"",IF(G5196&lt;='RETRATO 2027'!$K$5,"CONCLUÍDA",IF(F5196&lt;='RETRATO 2027'!$K$5,"EM ANDAMENTO","A INICIAR")))</f>
        <v/>
      </c>
    </row>
    <row r="5197" customFormat="false" ht="15" hidden="false" customHeight="false" outlineLevel="0" collapsed="false">
      <c r="M5197" s="2" t="str">
        <f aca="false">IF(C5197="","",IFERROR(INDEX($S$5:$S$304,MATCH(C5197,$R$5:$R$304,0))&amp;"","?"))</f>
        <v/>
      </c>
      <c r="N5197" s="2" t="str">
        <f aca="false"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 t="str">
        <f aca="false">IF(OR(F5197="",G5197=""),"",IF(G5197&lt;='RETRATO 2027'!$K$5,"CONCLUÍDA",IF(F5197&lt;='RETRATO 2027'!$K$5,"EM ANDAMENTO","A INICIAR")))</f>
        <v/>
      </c>
    </row>
    <row r="5198" customFormat="false" ht="15" hidden="false" customHeight="false" outlineLevel="0" collapsed="false">
      <c r="M5198" s="2" t="str">
        <f aca="false">IF(C5198="","",IFERROR(INDEX($S$5:$S$304,MATCH(C5198,$R$5:$R$304,0))&amp;"","?"))</f>
        <v/>
      </c>
      <c r="N5198" s="2" t="str">
        <f aca="false"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 t="str">
        <f aca="false">IF(OR(F5198="",G5198=""),"",IF(G5198&lt;='RETRATO 2027'!$K$5,"CONCLUÍDA",IF(F5198&lt;='RETRATO 2027'!$K$5,"EM ANDAMENTO","A INICIAR")))</f>
        <v/>
      </c>
    </row>
    <row r="5199" customFormat="false" ht="15" hidden="false" customHeight="false" outlineLevel="0" collapsed="false">
      <c r="M5199" s="2" t="str">
        <f aca="false">IF(C5199="","",IFERROR(INDEX($S$5:$S$304,MATCH(C5199,$R$5:$R$304,0))&amp;"","?"))</f>
        <v/>
      </c>
      <c r="N5199" s="2" t="str">
        <f aca="false"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 t="str">
        <f aca="false">IF(OR(F5199="",G5199=""),"",IF(G5199&lt;='RETRATO 2027'!$K$5,"CONCLUÍDA",IF(F5199&lt;='RETRATO 2027'!$K$5,"EM ANDAMENTO","A INICIAR")))</f>
        <v/>
      </c>
    </row>
    <row r="5200" customFormat="false" ht="15" hidden="false" customHeight="false" outlineLevel="0" collapsed="false">
      <c r="M5200" s="2" t="str">
        <f aca="false">IF(C5200="","",IFERROR(INDEX($S$5:$S$304,MATCH(C5200,$R$5:$R$304,0))&amp;"","?"))</f>
        <v/>
      </c>
      <c r="N5200" s="2" t="str">
        <f aca="false"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 t="str">
        <f aca="false">IF(OR(F5200="",G5200=""),"",IF(G5200&lt;='RETRATO 2027'!$K$5,"CONCLUÍDA",IF(F5200&lt;='RETRATO 2027'!$K$5,"EM ANDAMENTO","A INICIAR")))</f>
        <v/>
      </c>
    </row>
    <row r="5201" customFormat="false" ht="15" hidden="false" customHeight="false" outlineLevel="0" collapsed="false">
      <c r="M5201" s="2" t="str">
        <f aca="false">IF(C5201="","",IFERROR(INDEX($S$5:$S$304,MATCH(C5201,$R$5:$R$304,0))&amp;"","?"))</f>
        <v/>
      </c>
      <c r="N5201" s="2" t="str">
        <f aca="false"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 t="str">
        <f aca="false">IF(OR(F5201="",G5201=""),"",IF(G5201&lt;='RETRATO 2027'!$K$5,"CONCLUÍDA",IF(F5201&lt;='RETRATO 2027'!$K$5,"EM ANDAMENTO","A INICIAR")))</f>
        <v/>
      </c>
    </row>
    <row r="5202" customFormat="false" ht="15" hidden="false" customHeight="false" outlineLevel="0" collapsed="false">
      <c r="M5202" s="2" t="str">
        <f aca="false">IF(C5202="","",IFERROR(INDEX($S$5:$S$304,MATCH(C5202,$R$5:$R$304,0))&amp;"","?"))</f>
        <v/>
      </c>
      <c r="N5202" s="2" t="str">
        <f aca="false"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 t="str">
        <f aca="false">IF(OR(F5202="",G5202=""),"",IF(G5202&lt;='RETRATO 2027'!$K$5,"CONCLUÍDA",IF(F5202&lt;='RETRATO 2027'!$K$5,"EM ANDAMENTO","A INICIAR")))</f>
        <v/>
      </c>
    </row>
    <row r="5203" customFormat="false" ht="15" hidden="false" customHeight="false" outlineLevel="0" collapsed="false">
      <c r="M5203" s="2" t="str">
        <f aca="false">IF(C5203="","",IFERROR(INDEX($S$5:$S$304,MATCH(C5203,$R$5:$R$304,0))&amp;"","?"))</f>
        <v/>
      </c>
      <c r="N5203" s="2" t="str">
        <f aca="false"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 t="str">
        <f aca="false">IF(OR(F5203="",G5203=""),"",IF(G5203&lt;='RETRATO 2027'!$K$5,"CONCLUÍDA",IF(F5203&lt;='RETRATO 2027'!$K$5,"EM ANDAMENTO","A INICIAR")))</f>
        <v/>
      </c>
    </row>
    <row r="5204" customFormat="false" ht="15" hidden="false" customHeight="false" outlineLevel="0" collapsed="false">
      <c r="M5204" s="2" t="str">
        <f aca="false">IF(C5204="","",IFERROR(INDEX($S$5:$S$304,MATCH(C5204,$R$5:$R$304,0))&amp;"","?"))</f>
        <v/>
      </c>
      <c r="N5204" s="2" t="str">
        <f aca="false"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 t="str">
        <f aca="false">IF(OR(F5204="",G5204=""),"",IF(G5204&lt;='RETRATO 2027'!$K$5,"CONCLUÍDA",IF(F5204&lt;='RETRATO 2027'!$K$5,"EM ANDAMENTO","A INICIAR")))</f>
        <v/>
      </c>
    </row>
    <row r="5205" customFormat="false" ht="15" hidden="false" customHeight="false" outlineLevel="0" collapsed="false">
      <c r="M5205" s="2" t="str">
        <f aca="false">IF(C5205="","",IFERROR(INDEX($S$5:$S$304,MATCH(C5205,$R$5:$R$304,0))&amp;"","?"))</f>
        <v/>
      </c>
      <c r="N5205" s="2" t="str">
        <f aca="false"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 t="str">
        <f aca="false">IF(OR(F5205="",G5205=""),"",IF(G5205&lt;='RETRATO 2027'!$K$5,"CONCLUÍDA",IF(F5205&lt;='RETRATO 2027'!$K$5,"EM ANDAMENTO","A INICIAR")))</f>
        <v/>
      </c>
    </row>
    <row r="5206" customFormat="false" ht="15" hidden="false" customHeight="false" outlineLevel="0" collapsed="false">
      <c r="M5206" s="2" t="str">
        <f aca="false">IF(C5206="","",IFERROR(INDEX($S$5:$S$304,MATCH(C5206,$R$5:$R$304,0))&amp;"","?"))</f>
        <v/>
      </c>
      <c r="N5206" s="2" t="str">
        <f aca="false"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 t="str">
        <f aca="false">IF(OR(F5206="",G5206=""),"",IF(G5206&lt;='RETRATO 2027'!$K$5,"CONCLUÍDA",IF(F5206&lt;='RETRATO 2027'!$K$5,"EM ANDAMENTO","A INICIAR")))</f>
        <v/>
      </c>
    </row>
    <row r="5207" customFormat="false" ht="15" hidden="false" customHeight="false" outlineLevel="0" collapsed="false">
      <c r="M5207" s="2" t="str">
        <f aca="false">IF(C5207="","",IFERROR(INDEX($S$5:$S$304,MATCH(C5207,$R$5:$R$304,0))&amp;"","?"))</f>
        <v/>
      </c>
      <c r="N5207" s="2" t="str">
        <f aca="false"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 t="str">
        <f aca="false">IF(OR(F5207="",G5207=""),"",IF(G5207&lt;='RETRATO 2027'!$K$5,"CONCLUÍDA",IF(F5207&lt;='RETRATO 2027'!$K$5,"EM ANDAMENTO","A INICIAR")))</f>
        <v/>
      </c>
    </row>
    <row r="5208" customFormat="false" ht="15" hidden="false" customHeight="false" outlineLevel="0" collapsed="false">
      <c r="M5208" s="2" t="str">
        <f aca="false">IF(C5208="","",IFERROR(INDEX($S$5:$S$304,MATCH(C5208,$R$5:$R$304,0))&amp;"","?"))</f>
        <v/>
      </c>
      <c r="N5208" s="2" t="str">
        <f aca="false"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 t="str">
        <f aca="false">IF(OR(F5208="",G5208=""),"",IF(G5208&lt;='RETRATO 2027'!$K$5,"CONCLUÍDA",IF(F5208&lt;='RETRATO 2027'!$K$5,"EM ANDAMENTO","A INICIAR")))</f>
        <v/>
      </c>
    </row>
    <row r="5209" customFormat="false" ht="15" hidden="false" customHeight="false" outlineLevel="0" collapsed="false">
      <c r="M5209" s="2" t="str">
        <f aca="false">IF(C5209="","",IFERROR(INDEX($S$5:$S$304,MATCH(C5209,$R$5:$R$304,0))&amp;"","?"))</f>
        <v/>
      </c>
      <c r="N5209" s="2" t="str">
        <f aca="false"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 t="str">
        <f aca="false">IF(OR(F5209="",G5209=""),"",IF(G5209&lt;='RETRATO 2027'!$K$5,"CONCLUÍDA",IF(F5209&lt;='RETRATO 2027'!$K$5,"EM ANDAMENTO","A INICIAR")))</f>
        <v/>
      </c>
    </row>
    <row r="5210" customFormat="false" ht="15" hidden="false" customHeight="false" outlineLevel="0" collapsed="false">
      <c r="M5210" s="2" t="str">
        <f aca="false">IF(C5210="","",IFERROR(INDEX($S$5:$S$304,MATCH(C5210,$R$5:$R$304,0))&amp;"","?"))</f>
        <v/>
      </c>
      <c r="N5210" s="2" t="str">
        <f aca="false"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 t="str">
        <f aca="false">IF(OR(F5210="",G5210=""),"",IF(G5210&lt;='RETRATO 2027'!$K$5,"CONCLUÍDA",IF(F5210&lt;='RETRATO 2027'!$K$5,"EM ANDAMENTO","A INICIAR")))</f>
        <v/>
      </c>
    </row>
    <row r="5211" customFormat="false" ht="15" hidden="false" customHeight="false" outlineLevel="0" collapsed="false">
      <c r="M5211" s="2" t="str">
        <f aca="false">IF(C5211="","",IFERROR(INDEX($S$5:$S$304,MATCH(C5211,$R$5:$R$304,0))&amp;"","?"))</f>
        <v/>
      </c>
      <c r="N5211" s="2" t="str">
        <f aca="false"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 t="str">
        <f aca="false">IF(OR(F5211="",G5211=""),"",IF(G5211&lt;='RETRATO 2027'!$K$5,"CONCLUÍDA",IF(F5211&lt;='RETRATO 2027'!$K$5,"EM ANDAMENTO","A INICIAR")))</f>
        <v/>
      </c>
    </row>
    <row r="5212" customFormat="false" ht="15" hidden="false" customHeight="false" outlineLevel="0" collapsed="false">
      <c r="M5212" s="2" t="str">
        <f aca="false">IF(C5212="","",IFERROR(INDEX($S$5:$S$304,MATCH(C5212,$R$5:$R$304,0))&amp;"","?"))</f>
        <v/>
      </c>
      <c r="N5212" s="2" t="str">
        <f aca="false"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 t="str">
        <f aca="false">IF(OR(F5212="",G5212=""),"",IF(G5212&lt;='RETRATO 2027'!$K$5,"CONCLUÍDA",IF(F5212&lt;='RETRATO 2027'!$K$5,"EM ANDAMENTO","A INICIAR")))</f>
        <v/>
      </c>
    </row>
    <row r="5213" customFormat="false" ht="15" hidden="false" customHeight="false" outlineLevel="0" collapsed="false">
      <c r="M5213" s="2" t="str">
        <f aca="false">IF(C5213="","",IFERROR(INDEX($S$5:$S$304,MATCH(C5213,$R$5:$R$304,0))&amp;"","?"))</f>
        <v/>
      </c>
      <c r="N5213" s="2" t="str">
        <f aca="false"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 t="str">
        <f aca="false">IF(OR(F5213="",G5213=""),"",IF(G5213&lt;='RETRATO 2027'!$K$5,"CONCLUÍDA",IF(F5213&lt;='RETRATO 2027'!$K$5,"EM ANDAMENTO","A INICIAR")))</f>
        <v/>
      </c>
    </row>
    <row r="5214" customFormat="false" ht="15" hidden="false" customHeight="false" outlineLevel="0" collapsed="false">
      <c r="M5214" s="2" t="str">
        <f aca="false">IF(C5214="","",IFERROR(INDEX($S$5:$S$304,MATCH(C5214,$R$5:$R$304,0))&amp;"","?"))</f>
        <v/>
      </c>
      <c r="N5214" s="2" t="str">
        <f aca="false"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 t="str">
        <f aca="false">IF(OR(F5214="",G5214=""),"",IF(G5214&lt;='RETRATO 2027'!$K$5,"CONCLUÍDA",IF(F5214&lt;='RETRATO 2027'!$K$5,"EM ANDAMENTO","A INICIAR")))</f>
        <v/>
      </c>
    </row>
    <row r="5215" customFormat="false" ht="15" hidden="false" customHeight="false" outlineLevel="0" collapsed="false">
      <c r="M5215" s="2" t="str">
        <f aca="false">IF(C5215="","",IFERROR(INDEX($S$5:$S$304,MATCH(C5215,$R$5:$R$304,0))&amp;"","?"))</f>
        <v/>
      </c>
      <c r="N5215" s="2" t="str">
        <f aca="false"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 t="str">
        <f aca="false">IF(OR(F5215="",G5215=""),"",IF(G5215&lt;='RETRATO 2027'!$K$5,"CONCLUÍDA",IF(F5215&lt;='RETRATO 2027'!$K$5,"EM ANDAMENTO","A INICIAR")))</f>
        <v/>
      </c>
    </row>
    <row r="5216" customFormat="false" ht="15" hidden="false" customHeight="false" outlineLevel="0" collapsed="false">
      <c r="M5216" s="2" t="str">
        <f aca="false">IF(C5216="","",IFERROR(INDEX($S$5:$S$304,MATCH(C5216,$R$5:$R$304,0))&amp;"","?"))</f>
        <v/>
      </c>
      <c r="N5216" s="2" t="str">
        <f aca="false"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 t="str">
        <f aca="false">IF(OR(F5216="",G5216=""),"",IF(G5216&lt;='RETRATO 2027'!$K$5,"CONCLUÍDA",IF(F5216&lt;='RETRATO 2027'!$K$5,"EM ANDAMENTO","A INICIAR")))</f>
        <v/>
      </c>
    </row>
    <row r="5217" customFormat="false" ht="15" hidden="false" customHeight="false" outlineLevel="0" collapsed="false">
      <c r="M5217" s="2" t="str">
        <f aca="false">IF(C5217="","",IFERROR(INDEX($S$5:$S$304,MATCH(C5217,$R$5:$R$304,0))&amp;"","?"))</f>
        <v/>
      </c>
      <c r="N5217" s="2" t="str">
        <f aca="false"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 t="str">
        <f aca="false">IF(OR(F5217="",G5217=""),"",IF(G5217&lt;='RETRATO 2027'!$K$5,"CONCLUÍDA",IF(F5217&lt;='RETRATO 2027'!$K$5,"EM ANDAMENTO","A INICIAR")))</f>
        <v/>
      </c>
    </row>
    <row r="5218" customFormat="false" ht="15" hidden="false" customHeight="false" outlineLevel="0" collapsed="false">
      <c r="M5218" s="2" t="str">
        <f aca="false">IF(C5218="","",IFERROR(INDEX($S$5:$S$304,MATCH(C5218,$R$5:$R$304,0))&amp;"","?"))</f>
        <v/>
      </c>
      <c r="N5218" s="2" t="str">
        <f aca="false"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 t="str">
        <f aca="false">IF(OR(F5218="",G5218=""),"",IF(G5218&lt;='RETRATO 2027'!$K$5,"CONCLUÍDA",IF(F5218&lt;='RETRATO 2027'!$K$5,"EM ANDAMENTO","A INICIAR")))</f>
        <v/>
      </c>
    </row>
    <row r="5219" customFormat="false" ht="15" hidden="false" customHeight="false" outlineLevel="0" collapsed="false">
      <c r="M5219" s="2" t="str">
        <f aca="false">IF(C5219="","",IFERROR(INDEX($S$5:$S$304,MATCH(C5219,$R$5:$R$304,0))&amp;"","?"))</f>
        <v/>
      </c>
      <c r="N5219" s="2" t="str">
        <f aca="false"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 t="str">
        <f aca="false">IF(OR(F5219="",G5219=""),"",IF(G5219&lt;='RETRATO 2027'!$K$5,"CONCLUÍDA",IF(F5219&lt;='RETRATO 2027'!$K$5,"EM ANDAMENTO","A INICIAR")))</f>
        <v/>
      </c>
    </row>
    <row r="5220" customFormat="false" ht="15" hidden="false" customHeight="false" outlineLevel="0" collapsed="false">
      <c r="M5220" s="2" t="str">
        <f aca="false">IF(C5220="","",IFERROR(INDEX($S$5:$S$304,MATCH(C5220,$R$5:$R$304,0))&amp;"","?"))</f>
        <v/>
      </c>
      <c r="N5220" s="2" t="str">
        <f aca="false"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 t="str">
        <f aca="false">IF(OR(F5220="",G5220=""),"",IF(G5220&lt;='RETRATO 2027'!$K$5,"CONCLUÍDA",IF(F5220&lt;='RETRATO 2027'!$K$5,"EM ANDAMENTO","A INICIAR")))</f>
        <v/>
      </c>
    </row>
    <row r="5221" customFormat="false" ht="15" hidden="false" customHeight="false" outlineLevel="0" collapsed="false">
      <c r="M5221" s="2" t="str">
        <f aca="false">IF(C5221="","",IFERROR(INDEX($S$5:$S$304,MATCH(C5221,$R$5:$R$304,0))&amp;"","?"))</f>
        <v/>
      </c>
      <c r="N5221" s="2" t="str">
        <f aca="false"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 t="str">
        <f aca="false">IF(OR(F5221="",G5221=""),"",IF(G5221&lt;='RETRATO 2027'!$K$5,"CONCLUÍDA",IF(F5221&lt;='RETRATO 2027'!$K$5,"EM ANDAMENTO","A INICIAR")))</f>
        <v/>
      </c>
    </row>
    <row r="5222" customFormat="false" ht="15" hidden="false" customHeight="false" outlineLevel="0" collapsed="false">
      <c r="M5222" s="2" t="str">
        <f aca="false">IF(C5222="","",IFERROR(INDEX($S$5:$S$304,MATCH(C5222,$R$5:$R$304,0))&amp;"","?"))</f>
        <v/>
      </c>
      <c r="N5222" s="2" t="str">
        <f aca="false"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 t="str">
        <f aca="false">IF(OR(F5222="",G5222=""),"",IF(G5222&lt;='RETRATO 2027'!$K$5,"CONCLUÍDA",IF(F5222&lt;='RETRATO 2027'!$K$5,"EM ANDAMENTO","A INICIAR")))</f>
        <v/>
      </c>
    </row>
    <row r="5223" customFormat="false" ht="15" hidden="false" customHeight="false" outlineLevel="0" collapsed="false">
      <c r="M5223" s="2" t="str">
        <f aca="false">IF(C5223="","",IFERROR(INDEX($S$5:$S$304,MATCH(C5223,$R$5:$R$304,0))&amp;"","?"))</f>
        <v/>
      </c>
      <c r="N5223" s="2" t="str">
        <f aca="false"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 t="str">
        <f aca="false">IF(OR(F5223="",G5223=""),"",IF(G5223&lt;='RETRATO 2027'!$K$5,"CONCLUÍDA",IF(F5223&lt;='RETRATO 2027'!$K$5,"EM ANDAMENTO","A INICIAR")))</f>
        <v/>
      </c>
    </row>
    <row r="5224" customFormat="false" ht="15" hidden="false" customHeight="false" outlineLevel="0" collapsed="false">
      <c r="M5224" s="2" t="str">
        <f aca="false">IF(C5224="","",IFERROR(INDEX($S$5:$S$304,MATCH(C5224,$R$5:$R$304,0))&amp;"","?"))</f>
        <v/>
      </c>
      <c r="N5224" s="2" t="str">
        <f aca="false"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 t="str">
        <f aca="false">IF(OR(F5224="",G5224=""),"",IF(G5224&lt;='RETRATO 2027'!$K$5,"CONCLUÍDA",IF(F5224&lt;='RETRATO 2027'!$K$5,"EM ANDAMENTO","A INICIAR")))</f>
        <v/>
      </c>
    </row>
    <row r="5225" customFormat="false" ht="15" hidden="false" customHeight="false" outlineLevel="0" collapsed="false">
      <c r="M5225" s="2" t="str">
        <f aca="false">IF(C5225="","",IFERROR(INDEX($S$5:$S$304,MATCH(C5225,$R$5:$R$304,0))&amp;"","?"))</f>
        <v/>
      </c>
      <c r="N5225" s="2" t="str">
        <f aca="false"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 t="str">
        <f aca="false">IF(OR(F5225="",G5225=""),"",IF(G5225&lt;='RETRATO 2027'!$K$5,"CONCLUÍDA",IF(F5225&lt;='RETRATO 2027'!$K$5,"EM ANDAMENTO","A INICIAR")))</f>
        <v/>
      </c>
    </row>
    <row r="5226" customFormat="false" ht="15" hidden="false" customHeight="false" outlineLevel="0" collapsed="false">
      <c r="M5226" s="2" t="str">
        <f aca="false">IF(C5226="","",IFERROR(INDEX($S$5:$S$304,MATCH(C5226,$R$5:$R$304,0))&amp;"","?"))</f>
        <v/>
      </c>
      <c r="N5226" s="2" t="str">
        <f aca="false"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 t="str">
        <f aca="false">IF(OR(F5226="",G5226=""),"",IF(G5226&lt;='RETRATO 2027'!$K$5,"CONCLUÍDA",IF(F5226&lt;='RETRATO 2027'!$K$5,"EM ANDAMENTO","A INICIAR")))</f>
        <v/>
      </c>
    </row>
    <row r="5227" customFormat="false" ht="15" hidden="false" customHeight="false" outlineLevel="0" collapsed="false">
      <c r="M5227" s="2" t="str">
        <f aca="false">IF(C5227="","",IFERROR(INDEX($S$5:$S$304,MATCH(C5227,$R$5:$R$304,0))&amp;"","?"))</f>
        <v/>
      </c>
      <c r="N5227" s="2" t="str">
        <f aca="false"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 t="str">
        <f aca="false">IF(OR(F5227="",G5227=""),"",IF(G5227&lt;='RETRATO 2027'!$K$5,"CONCLUÍDA",IF(F5227&lt;='RETRATO 2027'!$K$5,"EM ANDAMENTO","A INICIAR")))</f>
        <v/>
      </c>
    </row>
    <row r="5228" customFormat="false" ht="15" hidden="false" customHeight="false" outlineLevel="0" collapsed="false">
      <c r="M5228" s="2" t="str">
        <f aca="false">IF(C5228="","",IFERROR(INDEX($S$5:$S$304,MATCH(C5228,$R$5:$R$304,0))&amp;"","?"))</f>
        <v/>
      </c>
      <c r="N5228" s="2" t="str">
        <f aca="false"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 t="str">
        <f aca="false">IF(OR(F5228="",G5228=""),"",IF(G5228&lt;='RETRATO 2027'!$K$5,"CONCLUÍDA",IF(F5228&lt;='RETRATO 2027'!$K$5,"EM ANDAMENTO","A INICIAR")))</f>
        <v/>
      </c>
    </row>
    <row r="5229" customFormat="false" ht="15" hidden="false" customHeight="false" outlineLevel="0" collapsed="false">
      <c r="M5229" s="2" t="str">
        <f aca="false">IF(C5229="","",IFERROR(INDEX($S$5:$S$304,MATCH(C5229,$R$5:$R$304,0))&amp;"","?"))</f>
        <v/>
      </c>
      <c r="N5229" s="2" t="str">
        <f aca="false"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 t="str">
        <f aca="false">IF(OR(F5229="",G5229=""),"",IF(G5229&lt;='RETRATO 2027'!$K$5,"CONCLUÍDA",IF(F5229&lt;='RETRATO 2027'!$K$5,"EM ANDAMENTO","A INICIAR")))</f>
        <v/>
      </c>
    </row>
    <row r="5230" customFormat="false" ht="15" hidden="false" customHeight="false" outlineLevel="0" collapsed="false">
      <c r="M5230" s="2" t="str">
        <f aca="false">IF(C5230="","",IFERROR(INDEX($S$5:$S$304,MATCH(C5230,$R$5:$R$304,0))&amp;"","?"))</f>
        <v/>
      </c>
      <c r="N5230" s="2" t="str">
        <f aca="false"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 t="str">
        <f aca="false">IF(OR(F5230="",G5230=""),"",IF(G5230&lt;='RETRATO 2027'!$K$5,"CONCLUÍDA",IF(F5230&lt;='RETRATO 2027'!$K$5,"EM ANDAMENTO","A INICIAR")))</f>
        <v/>
      </c>
    </row>
    <row r="5231" customFormat="false" ht="15" hidden="false" customHeight="false" outlineLevel="0" collapsed="false">
      <c r="M5231" s="2" t="str">
        <f aca="false">IF(C5231="","",IFERROR(INDEX($S$5:$S$304,MATCH(C5231,$R$5:$R$304,0))&amp;"","?"))</f>
        <v/>
      </c>
      <c r="N5231" s="2" t="str">
        <f aca="false"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 t="str">
        <f aca="false">IF(OR(F5231="",G5231=""),"",IF(G5231&lt;='RETRATO 2027'!$K$5,"CONCLUÍDA",IF(F5231&lt;='RETRATO 2027'!$K$5,"EM ANDAMENTO","A INICIAR")))</f>
        <v/>
      </c>
    </row>
    <row r="5232" customFormat="false" ht="15" hidden="false" customHeight="false" outlineLevel="0" collapsed="false">
      <c r="M5232" s="2" t="str">
        <f aca="false">IF(C5232="","",IFERROR(INDEX($S$5:$S$304,MATCH(C5232,$R$5:$R$304,0))&amp;"","?"))</f>
        <v/>
      </c>
      <c r="N5232" s="2" t="str">
        <f aca="false"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 t="str">
        <f aca="false">IF(OR(F5232="",G5232=""),"",IF(G5232&lt;='RETRATO 2027'!$K$5,"CONCLUÍDA",IF(F5232&lt;='RETRATO 2027'!$K$5,"EM ANDAMENTO","A INICIAR")))</f>
        <v/>
      </c>
    </row>
    <row r="5233" customFormat="false" ht="15" hidden="false" customHeight="false" outlineLevel="0" collapsed="false">
      <c r="M5233" s="2" t="str">
        <f aca="false">IF(C5233="","",IFERROR(INDEX($S$5:$S$304,MATCH(C5233,$R$5:$R$304,0))&amp;"","?"))</f>
        <v/>
      </c>
      <c r="N5233" s="2" t="str">
        <f aca="false"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 t="str">
        <f aca="false">IF(OR(F5233="",G5233=""),"",IF(G5233&lt;='RETRATO 2027'!$K$5,"CONCLUÍDA",IF(F5233&lt;='RETRATO 2027'!$K$5,"EM ANDAMENTO","A INICIAR")))</f>
        <v/>
      </c>
    </row>
    <row r="5234" customFormat="false" ht="15" hidden="false" customHeight="false" outlineLevel="0" collapsed="false">
      <c r="M5234" s="2" t="str">
        <f aca="false">IF(C5234="","",IFERROR(INDEX($S$5:$S$304,MATCH(C5234,$R$5:$R$304,0))&amp;"","?"))</f>
        <v/>
      </c>
      <c r="N5234" s="2" t="str">
        <f aca="false"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 t="str">
        <f aca="false">IF(OR(F5234="",G5234=""),"",IF(G5234&lt;='RETRATO 2027'!$K$5,"CONCLUÍDA",IF(F5234&lt;='RETRATO 2027'!$K$5,"EM ANDAMENTO","A INICIAR")))</f>
        <v/>
      </c>
    </row>
    <row r="5235" customFormat="false" ht="15" hidden="false" customHeight="false" outlineLevel="0" collapsed="false">
      <c r="M5235" s="2" t="str">
        <f aca="false">IF(C5235="","",IFERROR(INDEX($S$5:$S$304,MATCH(C5235,$R$5:$R$304,0))&amp;"","?"))</f>
        <v/>
      </c>
      <c r="N5235" s="2" t="str">
        <f aca="false"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 t="str">
        <f aca="false">IF(OR(F5235="",G5235=""),"",IF(G5235&lt;='RETRATO 2027'!$K$5,"CONCLUÍDA",IF(F5235&lt;='RETRATO 2027'!$K$5,"EM ANDAMENTO","A INICIAR")))</f>
        <v/>
      </c>
    </row>
    <row r="5236" customFormat="false" ht="15" hidden="false" customHeight="false" outlineLevel="0" collapsed="false">
      <c r="M5236" s="2" t="str">
        <f aca="false">IF(C5236="","",IFERROR(INDEX($S$5:$S$304,MATCH(C5236,$R$5:$R$304,0))&amp;"","?"))</f>
        <v/>
      </c>
      <c r="N5236" s="2" t="str">
        <f aca="false"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 t="str">
        <f aca="false">IF(OR(F5236="",G5236=""),"",IF(G5236&lt;='RETRATO 2027'!$K$5,"CONCLUÍDA",IF(F5236&lt;='RETRATO 2027'!$K$5,"EM ANDAMENTO","A INICIAR")))</f>
        <v/>
      </c>
    </row>
    <row r="5237" customFormat="false" ht="15" hidden="false" customHeight="false" outlineLevel="0" collapsed="false">
      <c r="M5237" s="2" t="str">
        <f aca="false">IF(C5237="","",IFERROR(INDEX($S$5:$S$304,MATCH(C5237,$R$5:$R$304,0))&amp;"","?"))</f>
        <v/>
      </c>
      <c r="N5237" s="2" t="str">
        <f aca="false"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 t="str">
        <f aca="false">IF(OR(F5237="",G5237=""),"",IF(G5237&lt;='RETRATO 2027'!$K$5,"CONCLUÍDA",IF(F5237&lt;='RETRATO 2027'!$K$5,"EM ANDAMENTO","A INICIAR")))</f>
        <v/>
      </c>
    </row>
    <row r="5238" customFormat="false" ht="15" hidden="false" customHeight="false" outlineLevel="0" collapsed="false">
      <c r="M5238" s="2" t="str">
        <f aca="false">IF(C5238="","",IFERROR(INDEX($S$5:$S$304,MATCH(C5238,$R$5:$R$304,0))&amp;"","?"))</f>
        <v/>
      </c>
      <c r="N5238" s="2" t="str">
        <f aca="false"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 t="str">
        <f aca="false">IF(OR(F5238="",G5238=""),"",IF(G5238&lt;='RETRATO 2027'!$K$5,"CONCLUÍDA",IF(F5238&lt;='RETRATO 2027'!$K$5,"EM ANDAMENTO","A INICIAR")))</f>
        <v/>
      </c>
    </row>
    <row r="5239" customFormat="false" ht="15" hidden="false" customHeight="false" outlineLevel="0" collapsed="false">
      <c r="M5239" s="2" t="str">
        <f aca="false">IF(C5239="","",IFERROR(INDEX($S$5:$S$304,MATCH(C5239,$R$5:$R$304,0))&amp;"","?"))</f>
        <v/>
      </c>
      <c r="N5239" s="2" t="str">
        <f aca="false"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 t="str">
        <f aca="false">IF(OR(F5239="",G5239=""),"",IF(G5239&lt;='RETRATO 2027'!$K$5,"CONCLUÍDA",IF(F5239&lt;='RETRATO 2027'!$K$5,"EM ANDAMENTO","A INICIAR")))</f>
        <v/>
      </c>
    </row>
    <row r="5240" customFormat="false" ht="15" hidden="false" customHeight="false" outlineLevel="0" collapsed="false">
      <c r="M5240" s="2" t="str">
        <f aca="false">IF(C5240="","",IFERROR(INDEX($S$5:$S$304,MATCH(C5240,$R$5:$R$304,0))&amp;"","?"))</f>
        <v/>
      </c>
      <c r="N5240" s="2" t="str">
        <f aca="false"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 t="str">
        <f aca="false">IF(OR(F5240="",G5240=""),"",IF(G5240&lt;='RETRATO 2027'!$K$5,"CONCLUÍDA",IF(F5240&lt;='RETRATO 2027'!$K$5,"EM ANDAMENTO","A INICIAR")))</f>
        <v/>
      </c>
    </row>
    <row r="5241" customFormat="false" ht="15" hidden="false" customHeight="false" outlineLevel="0" collapsed="false">
      <c r="M5241" s="2" t="str">
        <f aca="false">IF(C5241="","",IFERROR(INDEX($S$5:$S$304,MATCH(C5241,$R$5:$R$304,0))&amp;"","?"))</f>
        <v/>
      </c>
      <c r="N5241" s="2" t="str">
        <f aca="false"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 t="str">
        <f aca="false">IF(OR(F5241="",G5241=""),"",IF(G5241&lt;='RETRATO 2027'!$K$5,"CONCLUÍDA",IF(F5241&lt;='RETRATO 2027'!$K$5,"EM ANDAMENTO","A INICIAR")))</f>
        <v/>
      </c>
    </row>
    <row r="5242" customFormat="false" ht="15" hidden="false" customHeight="false" outlineLevel="0" collapsed="false">
      <c r="M5242" s="2" t="str">
        <f aca="false">IF(C5242="","",IFERROR(INDEX($S$5:$S$304,MATCH(C5242,$R$5:$R$304,0))&amp;"","?"))</f>
        <v/>
      </c>
      <c r="N5242" s="2" t="str">
        <f aca="false"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 t="str">
        <f aca="false">IF(OR(F5242="",G5242=""),"",IF(G5242&lt;='RETRATO 2027'!$K$5,"CONCLUÍDA",IF(F5242&lt;='RETRATO 2027'!$K$5,"EM ANDAMENTO","A INICIAR")))</f>
        <v/>
      </c>
    </row>
    <row r="5243" customFormat="false" ht="15" hidden="false" customHeight="false" outlineLevel="0" collapsed="false">
      <c r="M5243" s="2" t="str">
        <f aca="false">IF(C5243="","",IFERROR(INDEX($S$5:$S$304,MATCH(C5243,$R$5:$R$304,0))&amp;"","?"))</f>
        <v/>
      </c>
      <c r="N5243" s="2" t="str">
        <f aca="false"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 t="str">
        <f aca="false">IF(OR(F5243="",G5243=""),"",IF(G5243&lt;='RETRATO 2027'!$K$5,"CONCLUÍDA",IF(F5243&lt;='RETRATO 2027'!$K$5,"EM ANDAMENTO","A INICIAR")))</f>
        <v/>
      </c>
    </row>
    <row r="5244" customFormat="false" ht="15" hidden="false" customHeight="false" outlineLevel="0" collapsed="false">
      <c r="M5244" s="2" t="str">
        <f aca="false">IF(C5244="","",IFERROR(INDEX($S$5:$S$304,MATCH(C5244,$R$5:$R$304,0))&amp;"","?"))</f>
        <v/>
      </c>
      <c r="N5244" s="2" t="str">
        <f aca="false"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 t="str">
        <f aca="false">IF(OR(F5244="",G5244=""),"",IF(G5244&lt;='RETRATO 2027'!$K$5,"CONCLUÍDA",IF(F5244&lt;='RETRATO 2027'!$K$5,"EM ANDAMENTO","A INICIAR")))</f>
        <v/>
      </c>
    </row>
    <row r="5245" customFormat="false" ht="15" hidden="false" customHeight="false" outlineLevel="0" collapsed="false">
      <c r="M5245" s="2" t="str">
        <f aca="false">IF(C5245="","",IFERROR(INDEX($S$5:$S$304,MATCH(C5245,$R$5:$R$304,0))&amp;"","?"))</f>
        <v/>
      </c>
      <c r="N5245" s="2" t="str">
        <f aca="false"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 t="str">
        <f aca="false">IF(OR(F5245="",G5245=""),"",IF(G5245&lt;='RETRATO 2027'!$K$5,"CONCLUÍDA",IF(F5245&lt;='RETRATO 2027'!$K$5,"EM ANDAMENTO","A INICIAR")))</f>
        <v/>
      </c>
    </row>
    <row r="5246" customFormat="false" ht="15" hidden="false" customHeight="false" outlineLevel="0" collapsed="false">
      <c r="M5246" s="2" t="str">
        <f aca="false">IF(C5246="","",IFERROR(INDEX($S$5:$S$304,MATCH(C5246,$R$5:$R$304,0))&amp;"","?"))</f>
        <v/>
      </c>
      <c r="N5246" s="2" t="str">
        <f aca="false"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 t="str">
        <f aca="false">IF(OR(F5246="",G5246=""),"",IF(G5246&lt;='RETRATO 2027'!$K$5,"CONCLUÍDA",IF(F5246&lt;='RETRATO 2027'!$K$5,"EM ANDAMENTO","A INICIAR")))</f>
        <v/>
      </c>
    </row>
    <row r="5247" customFormat="false" ht="15" hidden="false" customHeight="false" outlineLevel="0" collapsed="false">
      <c r="M5247" s="2" t="str">
        <f aca="false">IF(C5247="","",IFERROR(INDEX($S$5:$S$304,MATCH(C5247,$R$5:$R$304,0))&amp;"","?"))</f>
        <v/>
      </c>
      <c r="N5247" s="2" t="str">
        <f aca="false"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 t="str">
        <f aca="false">IF(OR(F5247="",G5247=""),"",IF(G5247&lt;='RETRATO 2027'!$K$5,"CONCLUÍDA",IF(F5247&lt;='RETRATO 2027'!$K$5,"EM ANDAMENTO","A INICIAR")))</f>
        <v/>
      </c>
    </row>
    <row r="5248" customFormat="false" ht="15" hidden="false" customHeight="false" outlineLevel="0" collapsed="false">
      <c r="M5248" s="2" t="str">
        <f aca="false">IF(C5248="","",IFERROR(INDEX($S$5:$S$304,MATCH(C5248,$R$5:$R$304,0))&amp;"","?"))</f>
        <v/>
      </c>
      <c r="N5248" s="2" t="str">
        <f aca="false"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 t="str">
        <f aca="false">IF(OR(F5248="",G5248=""),"",IF(G5248&lt;='RETRATO 2027'!$K$5,"CONCLUÍDA",IF(F5248&lt;='RETRATO 2027'!$K$5,"EM ANDAMENTO","A INICIAR")))</f>
        <v/>
      </c>
    </row>
    <row r="5249" customFormat="false" ht="15" hidden="false" customHeight="false" outlineLevel="0" collapsed="false">
      <c r="M5249" s="2" t="str">
        <f aca="false">IF(C5249="","",IFERROR(INDEX($S$5:$S$304,MATCH(C5249,$R$5:$R$304,0))&amp;"","?"))</f>
        <v/>
      </c>
      <c r="N5249" s="2" t="str">
        <f aca="false"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 t="str">
        <f aca="false">IF(OR(F5249="",G5249=""),"",IF(G5249&lt;='RETRATO 2027'!$K$5,"CONCLUÍDA",IF(F5249&lt;='RETRATO 2027'!$K$5,"EM ANDAMENTO","A INICIAR")))</f>
        <v/>
      </c>
    </row>
    <row r="5250" customFormat="false" ht="15" hidden="false" customHeight="false" outlineLevel="0" collapsed="false">
      <c r="M5250" s="2" t="str">
        <f aca="false">IF(C5250="","",IFERROR(INDEX($S$5:$S$304,MATCH(C5250,$R$5:$R$304,0))&amp;"","?"))</f>
        <v/>
      </c>
      <c r="N5250" s="2" t="str">
        <f aca="false"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 t="str">
        <f aca="false">IF(OR(F5250="",G5250=""),"",IF(G5250&lt;='RETRATO 2027'!$K$5,"CONCLUÍDA",IF(F5250&lt;='RETRATO 2027'!$K$5,"EM ANDAMENTO","A INICIAR")))</f>
        <v/>
      </c>
    </row>
    <row r="5251" customFormat="false" ht="15" hidden="false" customHeight="false" outlineLevel="0" collapsed="false">
      <c r="M5251" s="2" t="str">
        <f aca="false">IF(C5251="","",IFERROR(INDEX($S$5:$S$304,MATCH(C5251,$R$5:$R$304,0))&amp;"","?"))</f>
        <v/>
      </c>
      <c r="N5251" s="2" t="str">
        <f aca="false"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 t="str">
        <f aca="false">IF(OR(F5251="",G5251=""),"",IF(G5251&lt;='RETRATO 2027'!$K$5,"CONCLUÍDA",IF(F5251&lt;='RETRATO 2027'!$K$5,"EM ANDAMENTO","A INICIAR")))</f>
        <v/>
      </c>
    </row>
    <row r="5252" customFormat="false" ht="15" hidden="false" customHeight="false" outlineLevel="0" collapsed="false">
      <c r="M5252" s="2" t="str">
        <f aca="false">IF(C5252="","",IFERROR(INDEX($S$5:$S$304,MATCH(C5252,$R$5:$R$304,0))&amp;"","?"))</f>
        <v/>
      </c>
      <c r="N5252" s="2" t="str">
        <f aca="false"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 t="str">
        <f aca="false">IF(OR(F5252="",G5252=""),"",IF(G5252&lt;='RETRATO 2027'!$K$5,"CONCLUÍDA",IF(F5252&lt;='RETRATO 2027'!$K$5,"EM ANDAMENTO","A INICIAR")))</f>
        <v/>
      </c>
    </row>
    <row r="5253" customFormat="false" ht="15" hidden="false" customHeight="false" outlineLevel="0" collapsed="false">
      <c r="M5253" s="2" t="str">
        <f aca="false">IF(C5253="","",IFERROR(INDEX($S$5:$S$304,MATCH(C5253,$R$5:$R$304,0))&amp;"","?"))</f>
        <v/>
      </c>
      <c r="N5253" s="2" t="str">
        <f aca="false"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 t="str">
        <f aca="false">IF(OR(F5253="",G5253=""),"",IF(G5253&lt;='RETRATO 2027'!$K$5,"CONCLUÍDA",IF(F5253&lt;='RETRATO 2027'!$K$5,"EM ANDAMENTO","A INICIAR")))</f>
        <v/>
      </c>
    </row>
    <row r="5254" customFormat="false" ht="15" hidden="false" customHeight="false" outlineLevel="0" collapsed="false">
      <c r="M5254" s="2" t="str">
        <f aca="false">IF(C5254="","",IFERROR(INDEX($S$5:$S$304,MATCH(C5254,$R$5:$R$304,0))&amp;"","?"))</f>
        <v/>
      </c>
      <c r="N5254" s="2" t="str">
        <f aca="false"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 t="str">
        <f aca="false">IF(OR(F5254="",G5254=""),"",IF(G5254&lt;='RETRATO 2027'!$K$5,"CONCLUÍDA",IF(F5254&lt;='RETRATO 2027'!$K$5,"EM ANDAMENTO","A INICIAR")))</f>
        <v/>
      </c>
    </row>
    <row r="5255" customFormat="false" ht="15" hidden="false" customHeight="false" outlineLevel="0" collapsed="false">
      <c r="M5255" s="2" t="str">
        <f aca="false">IF(C5255="","",IFERROR(INDEX($S$5:$S$304,MATCH(C5255,$R$5:$R$304,0))&amp;"","?"))</f>
        <v/>
      </c>
      <c r="N5255" s="2" t="str">
        <f aca="false"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 t="str">
        <f aca="false">IF(OR(F5255="",G5255=""),"",IF(G5255&lt;='RETRATO 2027'!$K$5,"CONCLUÍDA",IF(F5255&lt;='RETRATO 2027'!$K$5,"EM ANDAMENTO","A INICIAR")))</f>
        <v/>
      </c>
    </row>
    <row r="5256" customFormat="false" ht="15" hidden="false" customHeight="false" outlineLevel="0" collapsed="false">
      <c r="M5256" s="2" t="str">
        <f aca="false">IF(C5256="","",IFERROR(INDEX($S$5:$S$304,MATCH(C5256,$R$5:$R$304,0))&amp;"","?"))</f>
        <v/>
      </c>
      <c r="N5256" s="2" t="str">
        <f aca="false"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 t="str">
        <f aca="false">IF(OR(F5256="",G5256=""),"",IF(G5256&lt;='RETRATO 2027'!$K$5,"CONCLUÍDA",IF(F5256&lt;='RETRATO 2027'!$K$5,"EM ANDAMENTO","A INICIAR")))</f>
        <v/>
      </c>
    </row>
    <row r="5257" customFormat="false" ht="15" hidden="false" customHeight="false" outlineLevel="0" collapsed="false">
      <c r="M5257" s="2" t="str">
        <f aca="false">IF(C5257="","",IFERROR(INDEX($S$5:$S$304,MATCH(C5257,$R$5:$R$304,0))&amp;"","?"))</f>
        <v/>
      </c>
      <c r="N5257" s="2" t="str">
        <f aca="false"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 t="str">
        <f aca="false">IF(OR(F5257="",G5257=""),"",IF(G5257&lt;='RETRATO 2027'!$K$5,"CONCLUÍDA",IF(F5257&lt;='RETRATO 2027'!$K$5,"EM ANDAMENTO","A INICIAR")))</f>
        <v/>
      </c>
    </row>
    <row r="5258" customFormat="false" ht="15" hidden="false" customHeight="false" outlineLevel="0" collapsed="false">
      <c r="M5258" s="2" t="str">
        <f aca="false">IF(C5258="","",IFERROR(INDEX($S$5:$S$304,MATCH(C5258,$R$5:$R$304,0))&amp;"","?"))</f>
        <v/>
      </c>
      <c r="N5258" s="2" t="str">
        <f aca="false"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 t="str">
        <f aca="false">IF(OR(F5258="",G5258=""),"",IF(G5258&lt;='RETRATO 2027'!$K$5,"CONCLUÍDA",IF(F5258&lt;='RETRATO 2027'!$K$5,"EM ANDAMENTO","A INICIAR")))</f>
        <v/>
      </c>
    </row>
    <row r="5259" customFormat="false" ht="15" hidden="false" customHeight="false" outlineLevel="0" collapsed="false">
      <c r="M5259" s="2" t="str">
        <f aca="false">IF(C5259="","",IFERROR(INDEX($S$5:$S$304,MATCH(C5259,$R$5:$R$304,0))&amp;"","?"))</f>
        <v/>
      </c>
      <c r="N5259" s="2" t="str">
        <f aca="false"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 t="str">
        <f aca="false">IF(OR(F5259="",G5259=""),"",IF(G5259&lt;='RETRATO 2027'!$K$5,"CONCLUÍDA",IF(F5259&lt;='RETRATO 2027'!$K$5,"EM ANDAMENTO","A INICIAR")))</f>
        <v/>
      </c>
    </row>
    <row r="5260" customFormat="false" ht="15" hidden="false" customHeight="false" outlineLevel="0" collapsed="false">
      <c r="M5260" s="2" t="str">
        <f aca="false">IF(C5260="","",IFERROR(INDEX($S$5:$S$304,MATCH(C5260,$R$5:$R$304,0))&amp;"","?"))</f>
        <v/>
      </c>
      <c r="N5260" s="2" t="str">
        <f aca="false"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 t="str">
        <f aca="false">IF(OR(F5260="",G5260=""),"",IF(G5260&lt;='RETRATO 2027'!$K$5,"CONCLUÍDA",IF(F5260&lt;='RETRATO 2027'!$K$5,"EM ANDAMENTO","A INICIAR")))</f>
        <v/>
      </c>
    </row>
    <row r="5261" customFormat="false" ht="15" hidden="false" customHeight="false" outlineLevel="0" collapsed="false">
      <c r="M5261" s="2" t="str">
        <f aca="false">IF(C5261="","",IFERROR(INDEX($S$5:$S$304,MATCH(C5261,$R$5:$R$304,0))&amp;"","?"))</f>
        <v/>
      </c>
      <c r="N5261" s="2" t="str">
        <f aca="false"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 t="str">
        <f aca="false">IF(OR(F5261="",G5261=""),"",IF(G5261&lt;='RETRATO 2027'!$K$5,"CONCLUÍDA",IF(F5261&lt;='RETRATO 2027'!$K$5,"EM ANDAMENTO","A INICIAR")))</f>
        <v/>
      </c>
    </row>
    <row r="5262" customFormat="false" ht="15" hidden="false" customHeight="false" outlineLevel="0" collapsed="false">
      <c r="M5262" s="2" t="str">
        <f aca="false">IF(C5262="","",IFERROR(INDEX($S$5:$S$304,MATCH(C5262,$R$5:$R$304,0))&amp;"","?"))</f>
        <v/>
      </c>
      <c r="N5262" s="2" t="str">
        <f aca="false"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 t="str">
        <f aca="false">IF(OR(F5262="",G5262=""),"",IF(G5262&lt;='RETRATO 2027'!$K$5,"CONCLUÍDA",IF(F5262&lt;='RETRATO 2027'!$K$5,"EM ANDAMENTO","A INICIAR")))</f>
        <v/>
      </c>
    </row>
    <row r="5263" customFormat="false" ht="15" hidden="false" customHeight="false" outlineLevel="0" collapsed="false">
      <c r="M5263" s="2" t="str">
        <f aca="false">IF(C5263="","",IFERROR(INDEX($S$5:$S$304,MATCH(C5263,$R$5:$R$304,0))&amp;"","?"))</f>
        <v/>
      </c>
      <c r="N5263" s="2" t="str">
        <f aca="false"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 t="str">
        <f aca="false">IF(OR(F5263="",G5263=""),"",IF(G5263&lt;='RETRATO 2027'!$K$5,"CONCLUÍDA",IF(F5263&lt;='RETRATO 2027'!$K$5,"EM ANDAMENTO","A INICIAR")))</f>
        <v/>
      </c>
    </row>
    <row r="5264" customFormat="false" ht="15" hidden="false" customHeight="false" outlineLevel="0" collapsed="false">
      <c r="M5264" s="2" t="str">
        <f aca="false">IF(C5264="","",IFERROR(INDEX($S$5:$S$304,MATCH(C5264,$R$5:$R$304,0))&amp;"","?"))</f>
        <v/>
      </c>
      <c r="N5264" s="2" t="str">
        <f aca="false"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 t="str">
        <f aca="false">IF(OR(F5264="",G5264=""),"",IF(G5264&lt;='RETRATO 2027'!$K$5,"CONCLUÍDA",IF(F5264&lt;='RETRATO 2027'!$K$5,"EM ANDAMENTO","A INICIAR")))</f>
        <v/>
      </c>
    </row>
    <row r="5265" customFormat="false" ht="15" hidden="false" customHeight="false" outlineLevel="0" collapsed="false">
      <c r="M5265" s="2" t="str">
        <f aca="false">IF(C5265="","",IFERROR(INDEX($S$5:$S$304,MATCH(C5265,$R$5:$R$304,0))&amp;"","?"))</f>
        <v/>
      </c>
      <c r="N5265" s="2" t="str">
        <f aca="false"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 t="str">
        <f aca="false">IF(OR(F5265="",G5265=""),"",IF(G5265&lt;='RETRATO 2027'!$K$5,"CONCLUÍDA",IF(F5265&lt;='RETRATO 2027'!$K$5,"EM ANDAMENTO","A INICIAR")))</f>
        <v/>
      </c>
    </row>
    <row r="5266" customFormat="false" ht="15" hidden="false" customHeight="false" outlineLevel="0" collapsed="false">
      <c r="M5266" s="2" t="str">
        <f aca="false">IF(C5266="","",IFERROR(INDEX($S$5:$S$304,MATCH(C5266,$R$5:$R$304,0))&amp;"","?"))</f>
        <v/>
      </c>
      <c r="N5266" s="2" t="str">
        <f aca="false"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 t="str">
        <f aca="false">IF(OR(F5266="",G5266=""),"",IF(G5266&lt;='RETRATO 2027'!$K$5,"CONCLUÍDA",IF(F5266&lt;='RETRATO 2027'!$K$5,"EM ANDAMENTO","A INICIAR")))</f>
        <v/>
      </c>
    </row>
    <row r="5267" customFormat="false" ht="15" hidden="false" customHeight="false" outlineLevel="0" collapsed="false">
      <c r="M5267" s="2" t="str">
        <f aca="false">IF(C5267="","",IFERROR(INDEX($S$5:$S$304,MATCH(C5267,$R$5:$R$304,0))&amp;"","?"))</f>
        <v/>
      </c>
      <c r="N5267" s="2" t="str">
        <f aca="false"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 t="str">
        <f aca="false">IF(OR(F5267="",G5267=""),"",IF(G5267&lt;='RETRATO 2027'!$K$5,"CONCLUÍDA",IF(F5267&lt;='RETRATO 2027'!$K$5,"EM ANDAMENTO","A INICIAR")))</f>
        <v/>
      </c>
    </row>
    <row r="5268" customFormat="false" ht="15" hidden="false" customHeight="false" outlineLevel="0" collapsed="false">
      <c r="M5268" s="2" t="str">
        <f aca="false">IF(C5268="","",IFERROR(INDEX($S$5:$S$304,MATCH(C5268,$R$5:$R$304,0))&amp;"","?"))</f>
        <v/>
      </c>
      <c r="N5268" s="2" t="str">
        <f aca="false"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 t="str">
        <f aca="false">IF(OR(F5268="",G5268=""),"",IF(G5268&lt;='RETRATO 2027'!$K$5,"CONCLUÍDA",IF(F5268&lt;='RETRATO 2027'!$K$5,"EM ANDAMENTO","A INICIAR")))</f>
        <v/>
      </c>
    </row>
    <row r="5269" customFormat="false" ht="15" hidden="false" customHeight="false" outlineLevel="0" collapsed="false">
      <c r="M5269" s="2" t="str">
        <f aca="false">IF(C5269="","",IFERROR(INDEX($S$5:$S$304,MATCH(C5269,$R$5:$R$304,0))&amp;"","?"))</f>
        <v/>
      </c>
      <c r="N5269" s="2" t="str">
        <f aca="false"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 t="str">
        <f aca="false">IF(OR(F5269="",G5269=""),"",IF(G5269&lt;='RETRATO 2027'!$K$5,"CONCLUÍDA",IF(F5269&lt;='RETRATO 2027'!$K$5,"EM ANDAMENTO","A INICIAR")))</f>
        <v/>
      </c>
    </row>
    <row r="5270" customFormat="false" ht="15" hidden="false" customHeight="false" outlineLevel="0" collapsed="false">
      <c r="M5270" s="2" t="str">
        <f aca="false">IF(C5270="","",IFERROR(INDEX($S$5:$S$304,MATCH(C5270,$R$5:$R$304,0))&amp;"","?"))</f>
        <v/>
      </c>
      <c r="N5270" s="2" t="str">
        <f aca="false"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 t="str">
        <f aca="false">IF(OR(F5270="",G5270=""),"",IF(G5270&lt;='RETRATO 2027'!$K$5,"CONCLUÍDA",IF(F5270&lt;='RETRATO 2027'!$K$5,"EM ANDAMENTO","A INICIAR")))</f>
        <v/>
      </c>
    </row>
    <row r="5271" customFormat="false" ht="15" hidden="false" customHeight="false" outlineLevel="0" collapsed="false">
      <c r="M5271" s="2" t="str">
        <f aca="false">IF(C5271="","",IFERROR(INDEX($S$5:$S$304,MATCH(C5271,$R$5:$R$304,0))&amp;"","?"))</f>
        <v/>
      </c>
      <c r="N5271" s="2" t="str">
        <f aca="false"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 t="str">
        <f aca="false">IF(OR(F5271="",G5271=""),"",IF(G5271&lt;='RETRATO 2027'!$K$5,"CONCLUÍDA",IF(F5271&lt;='RETRATO 2027'!$K$5,"EM ANDAMENTO","A INICIAR")))</f>
        <v/>
      </c>
    </row>
    <row r="5272" customFormat="false" ht="15" hidden="false" customHeight="false" outlineLevel="0" collapsed="false">
      <c r="M5272" s="2" t="str">
        <f aca="false">IF(C5272="","",IFERROR(INDEX($S$5:$S$304,MATCH(C5272,$R$5:$R$304,0))&amp;"","?"))</f>
        <v/>
      </c>
      <c r="N5272" s="2" t="str">
        <f aca="false"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 t="str">
        <f aca="false">IF(OR(F5272="",G5272=""),"",IF(G5272&lt;='RETRATO 2027'!$K$5,"CONCLUÍDA",IF(F5272&lt;='RETRATO 2027'!$K$5,"EM ANDAMENTO","A INICIAR")))</f>
        <v/>
      </c>
    </row>
    <row r="5273" customFormat="false" ht="15" hidden="false" customHeight="false" outlineLevel="0" collapsed="false">
      <c r="M5273" s="2" t="str">
        <f aca="false">IF(C5273="","",IFERROR(INDEX($S$5:$S$304,MATCH(C5273,$R$5:$R$304,0))&amp;"","?"))</f>
        <v/>
      </c>
      <c r="N5273" s="2" t="str">
        <f aca="false"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 t="str">
        <f aca="false">IF(OR(F5273="",G5273=""),"",IF(G5273&lt;='RETRATO 2027'!$K$5,"CONCLUÍDA",IF(F5273&lt;='RETRATO 2027'!$K$5,"EM ANDAMENTO","A INICIAR")))</f>
        <v/>
      </c>
    </row>
    <row r="5274" customFormat="false" ht="15" hidden="false" customHeight="false" outlineLevel="0" collapsed="false">
      <c r="M5274" s="2" t="str">
        <f aca="false">IF(C5274="","",IFERROR(INDEX($S$5:$S$304,MATCH(C5274,$R$5:$R$304,0))&amp;"","?"))</f>
        <v/>
      </c>
      <c r="N5274" s="2" t="str">
        <f aca="false"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 t="str">
        <f aca="false">IF(OR(F5274="",G5274=""),"",IF(G5274&lt;='RETRATO 2027'!$K$5,"CONCLUÍDA",IF(F5274&lt;='RETRATO 2027'!$K$5,"EM ANDAMENTO","A INICIAR")))</f>
        <v/>
      </c>
    </row>
    <row r="5275" customFormat="false" ht="15" hidden="false" customHeight="false" outlineLevel="0" collapsed="false">
      <c r="M5275" s="2" t="str">
        <f aca="false">IF(C5275="","",IFERROR(INDEX($S$5:$S$304,MATCH(C5275,$R$5:$R$304,0))&amp;"","?"))</f>
        <v/>
      </c>
      <c r="N5275" s="2" t="str">
        <f aca="false"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 t="str">
        <f aca="false">IF(OR(F5275="",G5275=""),"",IF(G5275&lt;='RETRATO 2027'!$K$5,"CONCLUÍDA",IF(F5275&lt;='RETRATO 2027'!$K$5,"EM ANDAMENTO","A INICIAR")))</f>
        <v/>
      </c>
    </row>
    <row r="5276" customFormat="false" ht="15" hidden="false" customHeight="false" outlineLevel="0" collapsed="false">
      <c r="M5276" s="2" t="str">
        <f aca="false">IF(C5276="","",IFERROR(INDEX($S$5:$S$304,MATCH(C5276,$R$5:$R$304,0))&amp;"","?"))</f>
        <v/>
      </c>
      <c r="N5276" s="2" t="str">
        <f aca="false"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 t="str">
        <f aca="false">IF(OR(F5276="",G5276=""),"",IF(G5276&lt;='RETRATO 2027'!$K$5,"CONCLUÍDA",IF(F5276&lt;='RETRATO 2027'!$K$5,"EM ANDAMENTO","A INICIAR")))</f>
        <v/>
      </c>
    </row>
    <row r="5277" customFormat="false" ht="15" hidden="false" customHeight="false" outlineLevel="0" collapsed="false">
      <c r="M5277" s="2" t="str">
        <f aca="false">IF(C5277="","",IFERROR(INDEX($S$5:$S$304,MATCH(C5277,$R$5:$R$304,0))&amp;"","?"))</f>
        <v/>
      </c>
      <c r="N5277" s="2" t="str">
        <f aca="false"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 t="str">
        <f aca="false">IF(OR(F5277="",G5277=""),"",IF(G5277&lt;='RETRATO 2027'!$K$5,"CONCLUÍDA",IF(F5277&lt;='RETRATO 2027'!$K$5,"EM ANDAMENTO","A INICIAR")))</f>
        <v/>
      </c>
    </row>
    <row r="5278" customFormat="false" ht="15" hidden="false" customHeight="false" outlineLevel="0" collapsed="false">
      <c r="M5278" s="2" t="str">
        <f aca="false">IF(C5278="","",IFERROR(INDEX($S$5:$S$304,MATCH(C5278,$R$5:$R$304,0))&amp;"","?"))</f>
        <v/>
      </c>
      <c r="N5278" s="2" t="str">
        <f aca="false"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 t="str">
        <f aca="false">IF(OR(F5278="",G5278=""),"",IF(G5278&lt;='RETRATO 2027'!$K$5,"CONCLUÍDA",IF(F5278&lt;='RETRATO 2027'!$K$5,"EM ANDAMENTO","A INICIAR")))</f>
        <v/>
      </c>
    </row>
    <row r="5279" customFormat="false" ht="15" hidden="false" customHeight="false" outlineLevel="0" collapsed="false">
      <c r="M5279" s="2" t="str">
        <f aca="false">IF(C5279="","",IFERROR(INDEX($S$5:$S$304,MATCH(C5279,$R$5:$R$304,0))&amp;"","?"))</f>
        <v/>
      </c>
      <c r="N5279" s="2" t="str">
        <f aca="false"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 t="str">
        <f aca="false">IF(OR(F5279="",G5279=""),"",IF(G5279&lt;='RETRATO 2027'!$K$5,"CONCLUÍDA",IF(F5279&lt;='RETRATO 2027'!$K$5,"EM ANDAMENTO","A INICIAR")))</f>
        <v/>
      </c>
    </row>
    <row r="5280" customFormat="false" ht="15" hidden="false" customHeight="false" outlineLevel="0" collapsed="false">
      <c r="M5280" s="2" t="str">
        <f aca="false">IF(C5280="","",IFERROR(INDEX($S$5:$S$304,MATCH(C5280,$R$5:$R$304,0))&amp;"","?"))</f>
        <v/>
      </c>
      <c r="N5280" s="2" t="str">
        <f aca="false"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 t="str">
        <f aca="false">IF(OR(F5280="",G5280=""),"",IF(G5280&lt;='RETRATO 2027'!$K$5,"CONCLUÍDA",IF(F5280&lt;='RETRATO 2027'!$K$5,"EM ANDAMENTO","A INICIAR")))</f>
        <v/>
      </c>
    </row>
    <row r="5281" customFormat="false" ht="15" hidden="false" customHeight="false" outlineLevel="0" collapsed="false">
      <c r="M5281" s="2" t="str">
        <f aca="false">IF(C5281="","",IFERROR(INDEX($S$5:$S$304,MATCH(C5281,$R$5:$R$304,0))&amp;"","?"))</f>
        <v/>
      </c>
      <c r="N5281" s="2" t="str">
        <f aca="false"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 t="str">
        <f aca="false">IF(OR(F5281="",G5281=""),"",IF(G5281&lt;='RETRATO 2027'!$K$5,"CONCLUÍDA",IF(F5281&lt;='RETRATO 2027'!$K$5,"EM ANDAMENTO","A INICIAR")))</f>
        <v/>
      </c>
    </row>
    <row r="5282" customFormat="false" ht="15" hidden="false" customHeight="false" outlineLevel="0" collapsed="false">
      <c r="M5282" s="2" t="str">
        <f aca="false">IF(C5282="","",IFERROR(INDEX($S$5:$S$304,MATCH(C5282,$R$5:$R$304,0))&amp;"","?"))</f>
        <v/>
      </c>
      <c r="N5282" s="2" t="str">
        <f aca="false"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 t="str">
        <f aca="false">IF(OR(F5282="",G5282=""),"",IF(G5282&lt;='RETRATO 2027'!$K$5,"CONCLUÍDA",IF(F5282&lt;='RETRATO 2027'!$K$5,"EM ANDAMENTO","A INICIAR")))</f>
        <v/>
      </c>
    </row>
    <row r="5283" customFormat="false" ht="15" hidden="false" customHeight="false" outlineLevel="0" collapsed="false">
      <c r="M5283" s="2" t="str">
        <f aca="false">IF(C5283="","",IFERROR(INDEX($S$5:$S$304,MATCH(C5283,$R$5:$R$304,0))&amp;"","?"))</f>
        <v/>
      </c>
      <c r="N5283" s="2" t="str">
        <f aca="false"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 t="str">
        <f aca="false">IF(OR(F5283="",G5283=""),"",IF(G5283&lt;='RETRATO 2027'!$K$5,"CONCLUÍDA",IF(F5283&lt;='RETRATO 2027'!$K$5,"EM ANDAMENTO","A INICIAR")))</f>
        <v/>
      </c>
    </row>
    <row r="5284" customFormat="false" ht="15" hidden="false" customHeight="false" outlineLevel="0" collapsed="false">
      <c r="M5284" s="2" t="str">
        <f aca="false">IF(C5284="","",IFERROR(INDEX($S$5:$S$304,MATCH(C5284,$R$5:$R$304,0))&amp;"","?"))</f>
        <v/>
      </c>
      <c r="N5284" s="2" t="str">
        <f aca="false"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 t="str">
        <f aca="false">IF(OR(F5284="",G5284=""),"",IF(G5284&lt;='RETRATO 2027'!$K$5,"CONCLUÍDA",IF(F5284&lt;='RETRATO 2027'!$K$5,"EM ANDAMENTO","A INICIAR")))</f>
        <v/>
      </c>
    </row>
    <row r="5285" customFormat="false" ht="15" hidden="false" customHeight="false" outlineLevel="0" collapsed="false">
      <c r="M5285" s="2" t="str">
        <f aca="false">IF(C5285="","",IFERROR(INDEX($S$5:$S$304,MATCH(C5285,$R$5:$R$304,0))&amp;"","?"))</f>
        <v/>
      </c>
      <c r="N5285" s="2" t="str">
        <f aca="false"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 t="str">
        <f aca="false">IF(OR(F5285="",G5285=""),"",IF(G5285&lt;='RETRATO 2027'!$K$5,"CONCLUÍDA",IF(F5285&lt;='RETRATO 2027'!$K$5,"EM ANDAMENTO","A INICIAR")))</f>
        <v/>
      </c>
    </row>
    <row r="5286" customFormat="false" ht="15" hidden="false" customHeight="false" outlineLevel="0" collapsed="false">
      <c r="M5286" s="2" t="str">
        <f aca="false">IF(C5286="","",IFERROR(INDEX($S$5:$S$304,MATCH(C5286,$R$5:$R$304,0))&amp;"","?"))</f>
        <v/>
      </c>
      <c r="N5286" s="2" t="str">
        <f aca="false"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 t="str">
        <f aca="false">IF(OR(F5286="",G5286=""),"",IF(G5286&lt;='RETRATO 2027'!$K$5,"CONCLUÍDA",IF(F5286&lt;='RETRATO 2027'!$K$5,"EM ANDAMENTO","A INICIAR")))</f>
        <v/>
      </c>
    </row>
    <row r="5287" customFormat="false" ht="15" hidden="false" customHeight="false" outlineLevel="0" collapsed="false">
      <c r="M5287" s="2" t="str">
        <f aca="false">IF(C5287="","",IFERROR(INDEX($S$5:$S$304,MATCH(C5287,$R$5:$R$304,0))&amp;"","?"))</f>
        <v/>
      </c>
      <c r="N5287" s="2" t="str">
        <f aca="false"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 t="str">
        <f aca="false">IF(OR(F5287="",G5287=""),"",IF(G5287&lt;='RETRATO 2027'!$K$5,"CONCLUÍDA",IF(F5287&lt;='RETRATO 2027'!$K$5,"EM ANDAMENTO","A INICIAR")))</f>
        <v/>
      </c>
    </row>
    <row r="5288" customFormat="false" ht="15" hidden="false" customHeight="false" outlineLevel="0" collapsed="false">
      <c r="M5288" s="2" t="str">
        <f aca="false">IF(C5288="","",IFERROR(INDEX($S$5:$S$304,MATCH(C5288,$R$5:$R$304,0))&amp;"","?"))</f>
        <v/>
      </c>
      <c r="N5288" s="2" t="str">
        <f aca="false"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 t="str">
        <f aca="false">IF(OR(F5288="",G5288=""),"",IF(G5288&lt;='RETRATO 2027'!$K$5,"CONCLUÍDA",IF(F5288&lt;='RETRATO 2027'!$K$5,"EM ANDAMENTO","A INICIAR")))</f>
        <v/>
      </c>
    </row>
    <row r="5289" customFormat="false" ht="15" hidden="false" customHeight="false" outlineLevel="0" collapsed="false">
      <c r="M5289" s="2" t="str">
        <f aca="false">IF(C5289="","",IFERROR(INDEX($S$5:$S$304,MATCH(C5289,$R$5:$R$304,0))&amp;"","?"))</f>
        <v/>
      </c>
      <c r="N5289" s="2" t="str">
        <f aca="false"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 t="str">
        <f aca="false">IF(OR(F5289="",G5289=""),"",IF(G5289&lt;='RETRATO 2027'!$K$5,"CONCLUÍDA",IF(F5289&lt;='RETRATO 2027'!$K$5,"EM ANDAMENTO","A INICIAR")))</f>
        <v/>
      </c>
    </row>
    <row r="5290" customFormat="false" ht="15" hidden="false" customHeight="false" outlineLevel="0" collapsed="false">
      <c r="M5290" s="2" t="str">
        <f aca="false">IF(C5290="","",IFERROR(INDEX($S$5:$S$304,MATCH(C5290,$R$5:$R$304,0))&amp;"","?"))</f>
        <v/>
      </c>
      <c r="N5290" s="2" t="str">
        <f aca="false"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 t="str">
        <f aca="false">IF(OR(F5290="",G5290=""),"",IF(G5290&lt;='RETRATO 2027'!$K$5,"CONCLUÍDA",IF(F5290&lt;='RETRATO 2027'!$K$5,"EM ANDAMENTO","A INICIAR")))</f>
        <v/>
      </c>
    </row>
    <row r="5291" customFormat="false" ht="15" hidden="false" customHeight="false" outlineLevel="0" collapsed="false">
      <c r="M5291" s="2" t="str">
        <f aca="false">IF(C5291="","",IFERROR(INDEX($S$5:$S$304,MATCH(C5291,$R$5:$R$304,0))&amp;"","?"))</f>
        <v/>
      </c>
      <c r="N5291" s="2" t="str">
        <f aca="false"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 t="str">
        <f aca="false">IF(OR(F5291="",G5291=""),"",IF(G5291&lt;='RETRATO 2027'!$K$5,"CONCLUÍDA",IF(F5291&lt;='RETRATO 2027'!$K$5,"EM ANDAMENTO","A INICIAR")))</f>
        <v/>
      </c>
    </row>
    <row r="5292" customFormat="false" ht="15" hidden="false" customHeight="false" outlineLevel="0" collapsed="false">
      <c r="M5292" s="2" t="str">
        <f aca="false">IF(C5292="","",IFERROR(INDEX($S$5:$S$304,MATCH(C5292,$R$5:$R$304,0))&amp;"","?"))</f>
        <v/>
      </c>
      <c r="N5292" s="2" t="str">
        <f aca="false"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 t="str">
        <f aca="false">IF(OR(F5292="",G5292=""),"",IF(G5292&lt;='RETRATO 2027'!$K$5,"CONCLUÍDA",IF(F5292&lt;='RETRATO 2027'!$K$5,"EM ANDAMENTO","A INICIAR")))</f>
        <v/>
      </c>
    </row>
    <row r="5293" customFormat="false" ht="15" hidden="false" customHeight="false" outlineLevel="0" collapsed="false">
      <c r="M5293" s="2" t="str">
        <f aca="false">IF(C5293="","",IFERROR(INDEX($S$5:$S$304,MATCH(C5293,$R$5:$R$304,0))&amp;"","?"))</f>
        <v/>
      </c>
      <c r="N5293" s="2" t="str">
        <f aca="false"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 t="str">
        <f aca="false">IF(OR(F5293="",G5293=""),"",IF(G5293&lt;='RETRATO 2027'!$K$5,"CONCLUÍDA",IF(F5293&lt;='RETRATO 2027'!$K$5,"EM ANDAMENTO","A INICIAR")))</f>
        <v/>
      </c>
    </row>
    <row r="5294" customFormat="false" ht="15" hidden="false" customHeight="false" outlineLevel="0" collapsed="false">
      <c r="M5294" s="2" t="str">
        <f aca="false">IF(C5294="","",IFERROR(INDEX($S$5:$S$304,MATCH(C5294,$R$5:$R$304,0))&amp;"","?"))</f>
        <v/>
      </c>
      <c r="N5294" s="2" t="str">
        <f aca="false"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 t="str">
        <f aca="false">IF(OR(F5294="",G5294=""),"",IF(G5294&lt;='RETRATO 2027'!$K$5,"CONCLUÍDA",IF(F5294&lt;='RETRATO 2027'!$K$5,"EM ANDAMENTO","A INICIAR")))</f>
        <v/>
      </c>
    </row>
    <row r="5295" customFormat="false" ht="15" hidden="false" customHeight="false" outlineLevel="0" collapsed="false">
      <c r="M5295" s="2" t="str">
        <f aca="false">IF(C5295="","",IFERROR(INDEX($S$5:$S$304,MATCH(C5295,$R$5:$R$304,0))&amp;"","?"))</f>
        <v/>
      </c>
      <c r="N5295" s="2" t="str">
        <f aca="false"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 t="str">
        <f aca="false">IF(OR(F5295="",G5295=""),"",IF(G5295&lt;='RETRATO 2027'!$K$5,"CONCLUÍDA",IF(F5295&lt;='RETRATO 2027'!$K$5,"EM ANDAMENTO","A INICIAR")))</f>
        <v/>
      </c>
    </row>
    <row r="5296" customFormat="false" ht="15" hidden="false" customHeight="false" outlineLevel="0" collapsed="false">
      <c r="M5296" s="2" t="str">
        <f aca="false">IF(C5296="","",IFERROR(INDEX($S$5:$S$304,MATCH(C5296,$R$5:$R$304,0))&amp;"","?"))</f>
        <v/>
      </c>
      <c r="N5296" s="2" t="str">
        <f aca="false"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 t="str">
        <f aca="false">IF(OR(F5296="",G5296=""),"",IF(G5296&lt;='RETRATO 2027'!$K$5,"CONCLUÍDA",IF(F5296&lt;='RETRATO 2027'!$K$5,"EM ANDAMENTO","A INICIAR")))</f>
        <v/>
      </c>
    </row>
    <row r="5297" customFormat="false" ht="15" hidden="false" customHeight="false" outlineLevel="0" collapsed="false">
      <c r="M5297" s="2" t="str">
        <f aca="false">IF(C5297="","",IFERROR(INDEX($S$5:$S$304,MATCH(C5297,$R$5:$R$304,0))&amp;"","?"))</f>
        <v/>
      </c>
      <c r="N5297" s="2" t="str">
        <f aca="false"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 t="str">
        <f aca="false">IF(OR(F5297="",G5297=""),"",IF(G5297&lt;='RETRATO 2027'!$K$5,"CONCLUÍDA",IF(F5297&lt;='RETRATO 2027'!$K$5,"EM ANDAMENTO","A INICIAR")))</f>
        <v/>
      </c>
    </row>
    <row r="5298" customFormat="false" ht="15" hidden="false" customHeight="false" outlineLevel="0" collapsed="false">
      <c r="M5298" s="2" t="str">
        <f aca="false">IF(C5298="","",IFERROR(INDEX($S$5:$S$304,MATCH(C5298,$R$5:$R$304,0))&amp;"","?"))</f>
        <v/>
      </c>
      <c r="N5298" s="2" t="str">
        <f aca="false"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 t="str">
        <f aca="false">IF(OR(F5298="",G5298=""),"",IF(G5298&lt;='RETRATO 2027'!$K$5,"CONCLUÍDA",IF(F5298&lt;='RETRATO 2027'!$K$5,"EM ANDAMENTO","A INICIAR")))</f>
        <v/>
      </c>
    </row>
    <row r="5299" customFormat="false" ht="15" hidden="false" customHeight="false" outlineLevel="0" collapsed="false">
      <c r="M5299" s="2" t="str">
        <f aca="false">IF(C5299="","",IFERROR(INDEX($S$5:$S$304,MATCH(C5299,$R$5:$R$304,0))&amp;"","?"))</f>
        <v/>
      </c>
      <c r="N5299" s="2" t="str">
        <f aca="false"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 t="str">
        <f aca="false">IF(OR(F5299="",G5299=""),"",IF(G5299&lt;='RETRATO 2027'!$K$5,"CONCLUÍDA",IF(F5299&lt;='RETRATO 2027'!$K$5,"EM ANDAMENTO","A INICIAR")))</f>
        <v/>
      </c>
    </row>
    <row r="5300" customFormat="false" ht="15" hidden="false" customHeight="false" outlineLevel="0" collapsed="false">
      <c r="M5300" s="2" t="str">
        <f aca="false">IF(C5300="","",IFERROR(INDEX($S$5:$S$304,MATCH(C5300,$R$5:$R$304,0))&amp;"","?"))</f>
        <v/>
      </c>
      <c r="N5300" s="2" t="str">
        <f aca="false"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 t="str">
        <f aca="false">IF(OR(F5300="",G5300=""),"",IF(G5300&lt;='RETRATO 2027'!$K$5,"CONCLUÍDA",IF(F5300&lt;='RETRATO 2027'!$K$5,"EM ANDAMENTO","A INICIAR")))</f>
        <v/>
      </c>
    </row>
    <row r="5301" customFormat="false" ht="15" hidden="false" customHeight="false" outlineLevel="0" collapsed="false">
      <c r="M5301" s="2" t="str">
        <f aca="false">IF(C5301="","",IFERROR(INDEX($S$5:$S$304,MATCH(C5301,$R$5:$R$304,0))&amp;"","?"))</f>
        <v/>
      </c>
      <c r="N5301" s="2" t="str">
        <f aca="false"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 t="str">
        <f aca="false">IF(OR(F5301="",G5301=""),"",IF(G5301&lt;='RETRATO 2027'!$K$5,"CONCLUÍDA",IF(F5301&lt;='RETRATO 2027'!$K$5,"EM ANDAMENTO","A INICIAR")))</f>
        <v/>
      </c>
    </row>
    <row r="5302" customFormat="false" ht="15" hidden="false" customHeight="false" outlineLevel="0" collapsed="false">
      <c r="M5302" s="2" t="str">
        <f aca="false">IF(C5302="","",IFERROR(INDEX($S$5:$S$304,MATCH(C5302,$R$5:$R$304,0))&amp;"","?"))</f>
        <v/>
      </c>
      <c r="N5302" s="2" t="str">
        <f aca="false"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 t="str">
        <f aca="false">IF(OR(F5302="",G5302=""),"",IF(G5302&lt;='RETRATO 2027'!$K$5,"CONCLUÍDA",IF(F5302&lt;='RETRATO 2027'!$K$5,"EM ANDAMENTO","A INICIAR")))</f>
        <v/>
      </c>
    </row>
    <row r="5303" customFormat="false" ht="15" hidden="false" customHeight="false" outlineLevel="0" collapsed="false">
      <c r="M5303" s="2" t="str">
        <f aca="false">IF(C5303="","",IFERROR(INDEX($S$5:$S$304,MATCH(C5303,$R$5:$R$304,0))&amp;"","?"))</f>
        <v/>
      </c>
      <c r="N5303" s="2" t="str">
        <f aca="false"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 t="str">
        <f aca="false">IF(OR(F5303="",G5303=""),"",IF(G5303&lt;='RETRATO 2027'!$K$5,"CONCLUÍDA",IF(F5303&lt;='RETRATO 2027'!$K$5,"EM ANDAMENTO","A INICIAR")))</f>
        <v/>
      </c>
    </row>
    <row r="5304" customFormat="false" ht="15" hidden="false" customHeight="false" outlineLevel="0" collapsed="false">
      <c r="M5304" s="2" t="str">
        <f aca="false">IF(C5304="","",IFERROR(INDEX($S$5:$S$304,MATCH(C5304,$R$5:$R$304,0))&amp;"","?"))</f>
        <v/>
      </c>
      <c r="N5304" s="2" t="str">
        <f aca="false"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 t="str">
        <f aca="false">IF(OR(F5304="",G5304=""),"",IF(G5304&lt;='RETRATO 2027'!$K$5,"CONCLUÍDA",IF(F5304&lt;='RETRATO 2027'!$K$5,"EM ANDAMENTO","A INICIAR")))</f>
        <v/>
      </c>
    </row>
    <row r="5305" customFormat="false" ht="15" hidden="false" customHeight="false" outlineLevel="0" collapsed="false">
      <c r="M5305" s="2" t="str">
        <f aca="false">IF(C5305="","",IFERROR(INDEX($S$5:$S$304,MATCH(C5305,$R$5:$R$304,0))&amp;"","?"))</f>
        <v/>
      </c>
      <c r="N5305" s="2" t="str">
        <f aca="false"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 t="str">
        <f aca="false">IF(OR(F5305="",G5305=""),"",IF(G5305&lt;='RETRATO 2027'!$K$5,"CONCLUÍDA",IF(F5305&lt;='RETRATO 2027'!$K$5,"EM ANDAMENTO","A INICIAR")))</f>
        <v/>
      </c>
    </row>
    <row r="5306" customFormat="false" ht="15" hidden="false" customHeight="false" outlineLevel="0" collapsed="false">
      <c r="M5306" s="2" t="str">
        <f aca="false">IF(C5306="","",IFERROR(INDEX($S$5:$S$304,MATCH(C5306,$R$5:$R$304,0))&amp;"","?"))</f>
        <v/>
      </c>
      <c r="N5306" s="2" t="str">
        <f aca="false"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 t="str">
        <f aca="false">IF(OR(F5306="",G5306=""),"",IF(G5306&lt;='RETRATO 2027'!$K$5,"CONCLUÍDA",IF(F5306&lt;='RETRATO 2027'!$K$5,"EM ANDAMENTO","A INICIAR")))</f>
        <v/>
      </c>
    </row>
    <row r="5307" customFormat="false" ht="15" hidden="false" customHeight="false" outlineLevel="0" collapsed="false">
      <c r="M5307" s="2" t="str">
        <f aca="false">IF(C5307="","",IFERROR(INDEX($S$5:$S$304,MATCH(C5307,$R$5:$R$304,0))&amp;"","?"))</f>
        <v/>
      </c>
      <c r="N5307" s="2" t="str">
        <f aca="false"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 t="str">
        <f aca="false">IF(OR(F5307="",G5307=""),"",IF(G5307&lt;='RETRATO 2027'!$K$5,"CONCLUÍDA",IF(F5307&lt;='RETRATO 2027'!$K$5,"EM ANDAMENTO","A INICIAR")))</f>
        <v/>
      </c>
    </row>
    <row r="5308" customFormat="false" ht="15" hidden="false" customHeight="false" outlineLevel="0" collapsed="false">
      <c r="M5308" s="2" t="str">
        <f aca="false">IF(C5308="","",IFERROR(INDEX($S$5:$S$304,MATCH(C5308,$R$5:$R$304,0))&amp;"","?"))</f>
        <v/>
      </c>
      <c r="N5308" s="2" t="str">
        <f aca="false"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 t="str">
        <f aca="false">IF(OR(F5308="",G5308=""),"",IF(G5308&lt;='RETRATO 2027'!$K$5,"CONCLUÍDA",IF(F5308&lt;='RETRATO 2027'!$K$5,"EM ANDAMENTO","A INICIAR")))</f>
        <v/>
      </c>
    </row>
    <row r="5309" customFormat="false" ht="15" hidden="false" customHeight="false" outlineLevel="0" collapsed="false">
      <c r="M5309" s="2" t="str">
        <f aca="false">IF(C5309="","",IFERROR(INDEX($S$5:$S$304,MATCH(C5309,$R$5:$R$304,0))&amp;"","?"))</f>
        <v/>
      </c>
      <c r="N5309" s="2" t="str">
        <f aca="false"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 t="str">
        <f aca="false">IF(OR(F5309="",G5309=""),"",IF(G5309&lt;='RETRATO 2027'!$K$5,"CONCLUÍDA",IF(F5309&lt;='RETRATO 2027'!$K$5,"EM ANDAMENTO","A INICIAR")))</f>
        <v/>
      </c>
    </row>
    <row r="5310" customFormat="false" ht="15" hidden="false" customHeight="false" outlineLevel="0" collapsed="false">
      <c r="M5310" s="2" t="str">
        <f aca="false">IF(C5310="","",IFERROR(INDEX($S$5:$S$304,MATCH(C5310,$R$5:$R$304,0))&amp;"","?"))</f>
        <v/>
      </c>
      <c r="N5310" s="2" t="str">
        <f aca="false"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 t="str">
        <f aca="false">IF(OR(F5310="",G5310=""),"",IF(G5310&lt;='RETRATO 2027'!$K$5,"CONCLUÍDA",IF(F5310&lt;='RETRATO 2027'!$K$5,"EM ANDAMENTO","A INICIAR")))</f>
        <v/>
      </c>
    </row>
    <row r="5311" customFormat="false" ht="15" hidden="false" customHeight="false" outlineLevel="0" collapsed="false">
      <c r="M5311" s="2" t="str">
        <f aca="false">IF(C5311="","",IFERROR(INDEX($S$5:$S$304,MATCH(C5311,$R$5:$R$304,0))&amp;"","?"))</f>
        <v/>
      </c>
      <c r="N5311" s="2" t="str">
        <f aca="false"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 t="str">
        <f aca="false">IF(OR(F5311="",G5311=""),"",IF(G5311&lt;='RETRATO 2027'!$K$5,"CONCLUÍDA",IF(F5311&lt;='RETRATO 2027'!$K$5,"EM ANDAMENTO","A INICIAR")))</f>
        <v/>
      </c>
    </row>
    <row r="5312" customFormat="false" ht="15" hidden="false" customHeight="false" outlineLevel="0" collapsed="false">
      <c r="M5312" s="2" t="str">
        <f aca="false">IF(C5312="","",IFERROR(INDEX($S$5:$S$304,MATCH(C5312,$R$5:$R$304,0))&amp;"","?"))</f>
        <v/>
      </c>
      <c r="N5312" s="2" t="str">
        <f aca="false"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 t="str">
        <f aca="false">IF(OR(F5312="",G5312=""),"",IF(G5312&lt;='RETRATO 2027'!$K$5,"CONCLUÍDA",IF(F5312&lt;='RETRATO 2027'!$K$5,"EM ANDAMENTO","A INICIAR")))</f>
        <v/>
      </c>
    </row>
    <row r="5313" customFormat="false" ht="15" hidden="false" customHeight="false" outlineLevel="0" collapsed="false">
      <c r="M5313" s="2" t="str">
        <f aca="false">IF(C5313="","",IFERROR(INDEX($S$5:$S$304,MATCH(C5313,$R$5:$R$304,0))&amp;"","?"))</f>
        <v/>
      </c>
      <c r="N5313" s="2" t="str">
        <f aca="false"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 t="str">
        <f aca="false">IF(OR(F5313="",G5313=""),"",IF(G5313&lt;='RETRATO 2027'!$K$5,"CONCLUÍDA",IF(F5313&lt;='RETRATO 2027'!$K$5,"EM ANDAMENTO","A INICIAR")))</f>
        <v/>
      </c>
    </row>
    <row r="5314" customFormat="false" ht="15" hidden="false" customHeight="false" outlineLevel="0" collapsed="false">
      <c r="M5314" s="2" t="str">
        <f aca="false">IF(C5314="","",IFERROR(INDEX($S$5:$S$304,MATCH(C5314,$R$5:$R$304,0))&amp;"","?"))</f>
        <v/>
      </c>
      <c r="N5314" s="2" t="str">
        <f aca="false"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 t="str">
        <f aca="false">IF(OR(F5314="",G5314=""),"",IF(G5314&lt;='RETRATO 2027'!$K$5,"CONCLUÍDA",IF(F5314&lt;='RETRATO 2027'!$K$5,"EM ANDAMENTO","A INICIAR")))</f>
        <v/>
      </c>
    </row>
    <row r="5315" customFormat="false" ht="15" hidden="false" customHeight="false" outlineLevel="0" collapsed="false">
      <c r="M5315" s="2" t="str">
        <f aca="false">IF(C5315="","",IFERROR(INDEX($S$5:$S$304,MATCH(C5315,$R$5:$R$304,0))&amp;"","?"))</f>
        <v/>
      </c>
      <c r="N5315" s="2" t="str">
        <f aca="false"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 t="str">
        <f aca="false">IF(OR(F5315="",G5315=""),"",IF(G5315&lt;='RETRATO 2027'!$K$5,"CONCLUÍDA",IF(F5315&lt;='RETRATO 2027'!$K$5,"EM ANDAMENTO","A INICIAR")))</f>
        <v/>
      </c>
    </row>
    <row r="5316" customFormat="false" ht="15" hidden="false" customHeight="false" outlineLevel="0" collapsed="false">
      <c r="M5316" s="2" t="str">
        <f aca="false">IF(C5316="","",IFERROR(INDEX($S$5:$S$304,MATCH(C5316,$R$5:$R$304,0))&amp;"","?"))</f>
        <v/>
      </c>
      <c r="N5316" s="2" t="str">
        <f aca="false"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 t="str">
        <f aca="false">IF(OR(F5316="",G5316=""),"",IF(G5316&lt;='RETRATO 2027'!$K$5,"CONCLUÍDA",IF(F5316&lt;='RETRATO 2027'!$K$5,"EM ANDAMENTO","A INICIAR")))</f>
        <v/>
      </c>
    </row>
    <row r="5317" customFormat="false" ht="15" hidden="false" customHeight="false" outlineLevel="0" collapsed="false">
      <c r="M5317" s="2" t="str">
        <f aca="false">IF(C5317="","",IFERROR(INDEX($S$5:$S$304,MATCH(C5317,$R$5:$R$304,0))&amp;"","?"))</f>
        <v/>
      </c>
      <c r="N5317" s="2" t="str">
        <f aca="false"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 t="str">
        <f aca="false">IF(OR(F5317="",G5317=""),"",IF(G5317&lt;='RETRATO 2027'!$K$5,"CONCLUÍDA",IF(F5317&lt;='RETRATO 2027'!$K$5,"EM ANDAMENTO","A INICIAR")))</f>
        <v/>
      </c>
    </row>
    <row r="5318" customFormat="false" ht="15" hidden="false" customHeight="false" outlineLevel="0" collapsed="false">
      <c r="M5318" s="2" t="str">
        <f aca="false">IF(C5318="","",IFERROR(INDEX($S$5:$S$304,MATCH(C5318,$R$5:$R$304,0))&amp;"","?"))</f>
        <v/>
      </c>
      <c r="N5318" s="2" t="str">
        <f aca="false"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 t="str">
        <f aca="false">IF(OR(F5318="",G5318=""),"",IF(G5318&lt;='RETRATO 2027'!$K$5,"CONCLUÍDA",IF(F5318&lt;='RETRATO 2027'!$K$5,"EM ANDAMENTO","A INICIAR")))</f>
        <v/>
      </c>
    </row>
    <row r="5319" customFormat="false" ht="15" hidden="false" customHeight="false" outlineLevel="0" collapsed="false">
      <c r="M5319" s="2" t="str">
        <f aca="false">IF(C5319="","",IFERROR(INDEX($S$5:$S$304,MATCH(C5319,$R$5:$R$304,0))&amp;"","?"))</f>
        <v/>
      </c>
      <c r="N5319" s="2" t="str">
        <f aca="false"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 t="str">
        <f aca="false">IF(OR(F5319="",G5319=""),"",IF(G5319&lt;='RETRATO 2027'!$K$5,"CONCLUÍDA",IF(F5319&lt;='RETRATO 2027'!$K$5,"EM ANDAMENTO","A INICIAR")))</f>
        <v/>
      </c>
    </row>
    <row r="5320" customFormat="false" ht="15" hidden="false" customHeight="false" outlineLevel="0" collapsed="false">
      <c r="M5320" s="2" t="str">
        <f aca="false">IF(C5320="","",IFERROR(INDEX($S$5:$S$304,MATCH(C5320,$R$5:$R$304,0))&amp;"","?"))</f>
        <v/>
      </c>
      <c r="N5320" s="2" t="str">
        <f aca="false"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 t="str">
        <f aca="false">IF(OR(F5320="",G5320=""),"",IF(G5320&lt;='RETRATO 2027'!$K$5,"CONCLUÍDA",IF(F5320&lt;='RETRATO 2027'!$K$5,"EM ANDAMENTO","A INICIAR")))</f>
        <v/>
      </c>
    </row>
    <row r="5321" customFormat="false" ht="15" hidden="false" customHeight="false" outlineLevel="0" collapsed="false">
      <c r="M5321" s="2" t="str">
        <f aca="false">IF(C5321="","",IFERROR(INDEX($S$5:$S$304,MATCH(C5321,$R$5:$R$304,0))&amp;"","?"))</f>
        <v/>
      </c>
      <c r="N5321" s="2" t="str">
        <f aca="false"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 t="str">
        <f aca="false">IF(OR(F5321="",G5321=""),"",IF(G5321&lt;='RETRATO 2027'!$K$5,"CONCLUÍDA",IF(F5321&lt;='RETRATO 2027'!$K$5,"EM ANDAMENTO","A INICIAR")))</f>
        <v/>
      </c>
    </row>
    <row r="5322" customFormat="false" ht="15" hidden="false" customHeight="false" outlineLevel="0" collapsed="false">
      <c r="M5322" s="2" t="str">
        <f aca="false">IF(C5322="","",IFERROR(INDEX($S$5:$S$304,MATCH(C5322,$R$5:$R$304,0))&amp;"","?"))</f>
        <v/>
      </c>
      <c r="N5322" s="2" t="str">
        <f aca="false"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 t="str">
        <f aca="false">IF(OR(F5322="",G5322=""),"",IF(G5322&lt;='RETRATO 2027'!$K$5,"CONCLUÍDA",IF(F5322&lt;='RETRATO 2027'!$K$5,"EM ANDAMENTO","A INICIAR")))</f>
        <v/>
      </c>
    </row>
    <row r="5323" customFormat="false" ht="15" hidden="false" customHeight="false" outlineLevel="0" collapsed="false">
      <c r="M5323" s="2" t="str">
        <f aca="false">IF(C5323="","",IFERROR(INDEX($S$5:$S$304,MATCH(C5323,$R$5:$R$304,0))&amp;"","?"))</f>
        <v/>
      </c>
      <c r="N5323" s="2" t="str">
        <f aca="false"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 t="str">
        <f aca="false">IF(OR(F5323="",G5323=""),"",IF(G5323&lt;='RETRATO 2027'!$K$5,"CONCLUÍDA",IF(F5323&lt;='RETRATO 2027'!$K$5,"EM ANDAMENTO","A INICIAR")))</f>
        <v/>
      </c>
    </row>
    <row r="5324" customFormat="false" ht="15" hidden="false" customHeight="false" outlineLevel="0" collapsed="false">
      <c r="M5324" s="2" t="str">
        <f aca="false">IF(C5324="","",IFERROR(INDEX($S$5:$S$304,MATCH(C5324,$R$5:$R$304,0))&amp;"","?"))</f>
        <v/>
      </c>
      <c r="N5324" s="2" t="str">
        <f aca="false"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 t="str">
        <f aca="false">IF(OR(F5324="",G5324=""),"",IF(G5324&lt;='RETRATO 2027'!$K$5,"CONCLUÍDA",IF(F5324&lt;='RETRATO 2027'!$K$5,"EM ANDAMENTO","A INICIAR")))</f>
        <v/>
      </c>
    </row>
    <row r="5325" customFormat="false" ht="15" hidden="false" customHeight="false" outlineLevel="0" collapsed="false">
      <c r="M5325" s="2" t="str">
        <f aca="false">IF(C5325="","",IFERROR(INDEX($S$5:$S$304,MATCH(C5325,$R$5:$R$304,0))&amp;"","?"))</f>
        <v/>
      </c>
      <c r="N5325" s="2" t="str">
        <f aca="false"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 t="str">
        <f aca="false">IF(OR(F5325="",G5325=""),"",IF(G5325&lt;='RETRATO 2027'!$K$5,"CONCLUÍDA",IF(F5325&lt;='RETRATO 2027'!$K$5,"EM ANDAMENTO","A INICIAR")))</f>
        <v/>
      </c>
    </row>
    <row r="5326" customFormat="false" ht="15" hidden="false" customHeight="false" outlineLevel="0" collapsed="false">
      <c r="M5326" s="2" t="str">
        <f aca="false">IF(C5326="","",IFERROR(INDEX($S$5:$S$304,MATCH(C5326,$R$5:$R$304,0))&amp;"","?"))</f>
        <v/>
      </c>
      <c r="N5326" s="2" t="str">
        <f aca="false"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 t="str">
        <f aca="false">IF(OR(F5326="",G5326=""),"",IF(G5326&lt;='RETRATO 2027'!$K$5,"CONCLUÍDA",IF(F5326&lt;='RETRATO 2027'!$K$5,"EM ANDAMENTO","A INICIAR")))</f>
        <v/>
      </c>
    </row>
    <row r="5327" customFormat="false" ht="15" hidden="false" customHeight="false" outlineLevel="0" collapsed="false">
      <c r="M5327" s="2" t="str">
        <f aca="false">IF(C5327="","",IFERROR(INDEX($S$5:$S$304,MATCH(C5327,$R$5:$R$304,0))&amp;"","?"))</f>
        <v/>
      </c>
      <c r="N5327" s="2" t="str">
        <f aca="false"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 t="str">
        <f aca="false">IF(OR(F5327="",G5327=""),"",IF(G5327&lt;='RETRATO 2027'!$K$5,"CONCLUÍDA",IF(F5327&lt;='RETRATO 2027'!$K$5,"EM ANDAMENTO","A INICIAR")))</f>
        <v/>
      </c>
    </row>
    <row r="5328" customFormat="false" ht="15" hidden="false" customHeight="false" outlineLevel="0" collapsed="false">
      <c r="M5328" s="2" t="str">
        <f aca="false">IF(C5328="","",IFERROR(INDEX($S$5:$S$304,MATCH(C5328,$R$5:$R$304,0))&amp;"","?"))</f>
        <v/>
      </c>
      <c r="N5328" s="2" t="str">
        <f aca="false"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 t="str">
        <f aca="false">IF(OR(F5328="",G5328=""),"",IF(G5328&lt;='RETRATO 2027'!$K$5,"CONCLUÍDA",IF(F5328&lt;='RETRATO 2027'!$K$5,"EM ANDAMENTO","A INICIAR")))</f>
        <v/>
      </c>
    </row>
    <row r="5329" customFormat="false" ht="15" hidden="false" customHeight="false" outlineLevel="0" collapsed="false">
      <c r="M5329" s="2" t="str">
        <f aca="false">IF(C5329="","",IFERROR(INDEX($S$5:$S$304,MATCH(C5329,$R$5:$R$304,0))&amp;"","?"))</f>
        <v/>
      </c>
      <c r="N5329" s="2" t="str">
        <f aca="false"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 t="str">
        <f aca="false">IF(OR(F5329="",G5329=""),"",IF(G5329&lt;='RETRATO 2027'!$K$5,"CONCLUÍDA",IF(F5329&lt;='RETRATO 2027'!$K$5,"EM ANDAMENTO","A INICIAR")))</f>
        <v/>
      </c>
    </row>
    <row r="5330" customFormat="false" ht="15" hidden="false" customHeight="false" outlineLevel="0" collapsed="false">
      <c r="M5330" s="2" t="str">
        <f aca="false">IF(C5330="","",IFERROR(INDEX($S$5:$S$304,MATCH(C5330,$R$5:$R$304,0))&amp;"","?"))</f>
        <v/>
      </c>
      <c r="N5330" s="2" t="str">
        <f aca="false"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 t="str">
        <f aca="false">IF(OR(F5330="",G5330=""),"",IF(G5330&lt;='RETRATO 2027'!$K$5,"CONCLUÍDA",IF(F5330&lt;='RETRATO 2027'!$K$5,"EM ANDAMENTO","A INICIAR")))</f>
        <v/>
      </c>
    </row>
    <row r="5331" customFormat="false" ht="15" hidden="false" customHeight="false" outlineLevel="0" collapsed="false">
      <c r="M5331" s="2" t="str">
        <f aca="false">IF(C5331="","",IFERROR(INDEX($S$5:$S$304,MATCH(C5331,$R$5:$R$304,0))&amp;"","?"))</f>
        <v/>
      </c>
      <c r="N5331" s="2" t="str">
        <f aca="false"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 t="str">
        <f aca="false">IF(OR(F5331="",G5331=""),"",IF(G5331&lt;='RETRATO 2027'!$K$5,"CONCLUÍDA",IF(F5331&lt;='RETRATO 2027'!$K$5,"EM ANDAMENTO","A INICIAR")))</f>
        <v/>
      </c>
    </row>
    <row r="5332" customFormat="false" ht="15" hidden="false" customHeight="false" outlineLevel="0" collapsed="false">
      <c r="M5332" s="2" t="str">
        <f aca="false">IF(C5332="","",IFERROR(INDEX($S$5:$S$304,MATCH(C5332,$R$5:$R$304,0))&amp;"","?"))</f>
        <v/>
      </c>
      <c r="N5332" s="2" t="str">
        <f aca="false"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 t="str">
        <f aca="false">IF(OR(F5332="",G5332=""),"",IF(G5332&lt;='RETRATO 2027'!$K$5,"CONCLUÍDA",IF(F5332&lt;='RETRATO 2027'!$K$5,"EM ANDAMENTO","A INICIAR")))</f>
        <v/>
      </c>
    </row>
    <row r="5333" customFormat="false" ht="15" hidden="false" customHeight="false" outlineLevel="0" collapsed="false">
      <c r="M5333" s="2" t="str">
        <f aca="false">IF(C5333="","",IFERROR(INDEX($S$5:$S$304,MATCH(C5333,$R$5:$R$304,0))&amp;"","?"))</f>
        <v/>
      </c>
      <c r="N5333" s="2" t="str">
        <f aca="false"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 t="str">
        <f aca="false">IF(OR(F5333="",G5333=""),"",IF(G5333&lt;='RETRATO 2027'!$K$5,"CONCLUÍDA",IF(F5333&lt;='RETRATO 2027'!$K$5,"EM ANDAMENTO","A INICIAR")))</f>
        <v/>
      </c>
    </row>
    <row r="5334" customFormat="false" ht="15" hidden="false" customHeight="false" outlineLevel="0" collapsed="false">
      <c r="M5334" s="2" t="str">
        <f aca="false">IF(C5334="","",IFERROR(INDEX($S$5:$S$304,MATCH(C5334,$R$5:$R$304,0))&amp;"","?"))</f>
        <v/>
      </c>
      <c r="N5334" s="2" t="str">
        <f aca="false"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 t="str">
        <f aca="false">IF(OR(F5334="",G5334=""),"",IF(G5334&lt;='RETRATO 2027'!$K$5,"CONCLUÍDA",IF(F5334&lt;='RETRATO 2027'!$K$5,"EM ANDAMENTO","A INICIAR")))</f>
        <v/>
      </c>
    </row>
    <row r="5335" customFormat="false" ht="15" hidden="false" customHeight="false" outlineLevel="0" collapsed="false">
      <c r="M5335" s="2" t="str">
        <f aca="false">IF(C5335="","",IFERROR(INDEX($S$5:$S$304,MATCH(C5335,$R$5:$R$304,0))&amp;"","?"))</f>
        <v/>
      </c>
      <c r="N5335" s="2" t="str">
        <f aca="false"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 t="str">
        <f aca="false">IF(OR(F5335="",G5335=""),"",IF(G5335&lt;='RETRATO 2027'!$K$5,"CONCLUÍDA",IF(F5335&lt;='RETRATO 2027'!$K$5,"EM ANDAMENTO","A INICIAR")))</f>
        <v/>
      </c>
    </row>
    <row r="5336" customFormat="false" ht="15" hidden="false" customHeight="false" outlineLevel="0" collapsed="false">
      <c r="M5336" s="2" t="str">
        <f aca="false">IF(C5336="","",IFERROR(INDEX($S$5:$S$304,MATCH(C5336,$R$5:$R$304,0))&amp;"","?"))</f>
        <v/>
      </c>
      <c r="N5336" s="2" t="str">
        <f aca="false"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 t="str">
        <f aca="false">IF(OR(F5336="",G5336=""),"",IF(G5336&lt;='RETRATO 2027'!$K$5,"CONCLUÍDA",IF(F5336&lt;='RETRATO 2027'!$K$5,"EM ANDAMENTO","A INICIAR")))</f>
        <v/>
      </c>
    </row>
    <row r="5337" customFormat="false" ht="15" hidden="false" customHeight="false" outlineLevel="0" collapsed="false">
      <c r="M5337" s="2" t="str">
        <f aca="false">IF(C5337="","",IFERROR(INDEX($S$5:$S$304,MATCH(C5337,$R$5:$R$304,0))&amp;"","?"))</f>
        <v/>
      </c>
      <c r="N5337" s="2" t="str">
        <f aca="false"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 t="str">
        <f aca="false">IF(OR(F5337="",G5337=""),"",IF(G5337&lt;='RETRATO 2027'!$K$5,"CONCLUÍDA",IF(F5337&lt;='RETRATO 2027'!$K$5,"EM ANDAMENTO","A INICIAR")))</f>
        <v/>
      </c>
    </row>
    <row r="5338" customFormat="false" ht="15" hidden="false" customHeight="false" outlineLevel="0" collapsed="false">
      <c r="M5338" s="2" t="str">
        <f aca="false">IF(C5338="","",IFERROR(INDEX($S$5:$S$304,MATCH(C5338,$R$5:$R$304,0))&amp;"","?"))</f>
        <v/>
      </c>
      <c r="N5338" s="2" t="str">
        <f aca="false"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 t="str">
        <f aca="false">IF(OR(F5338="",G5338=""),"",IF(G5338&lt;='RETRATO 2027'!$K$5,"CONCLUÍDA",IF(F5338&lt;='RETRATO 2027'!$K$5,"EM ANDAMENTO","A INICIAR")))</f>
        <v/>
      </c>
    </row>
    <row r="5339" customFormat="false" ht="15" hidden="false" customHeight="false" outlineLevel="0" collapsed="false">
      <c r="M5339" s="2" t="str">
        <f aca="false">IF(C5339="","",IFERROR(INDEX($S$5:$S$304,MATCH(C5339,$R$5:$R$304,0))&amp;"","?"))</f>
        <v/>
      </c>
      <c r="N5339" s="2" t="str">
        <f aca="false"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 t="str">
        <f aca="false">IF(OR(F5339="",G5339=""),"",IF(G5339&lt;='RETRATO 2027'!$K$5,"CONCLUÍDA",IF(F5339&lt;='RETRATO 2027'!$K$5,"EM ANDAMENTO","A INICIAR")))</f>
        <v/>
      </c>
    </row>
    <row r="5340" customFormat="false" ht="15" hidden="false" customHeight="false" outlineLevel="0" collapsed="false">
      <c r="M5340" s="2" t="str">
        <f aca="false">IF(C5340="","",IFERROR(INDEX($S$5:$S$304,MATCH(C5340,$R$5:$R$304,0))&amp;"","?"))</f>
        <v/>
      </c>
      <c r="N5340" s="2" t="str">
        <f aca="false"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 t="str">
        <f aca="false">IF(OR(F5340="",G5340=""),"",IF(G5340&lt;='RETRATO 2027'!$K$5,"CONCLUÍDA",IF(F5340&lt;='RETRATO 2027'!$K$5,"EM ANDAMENTO","A INICIAR")))</f>
        <v/>
      </c>
    </row>
    <row r="5341" customFormat="false" ht="15" hidden="false" customHeight="false" outlineLevel="0" collapsed="false">
      <c r="M5341" s="2" t="str">
        <f aca="false">IF(C5341="","",IFERROR(INDEX($S$5:$S$304,MATCH(C5341,$R$5:$R$304,0))&amp;"","?"))</f>
        <v/>
      </c>
      <c r="N5341" s="2" t="str">
        <f aca="false"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 t="str">
        <f aca="false">IF(OR(F5341="",G5341=""),"",IF(G5341&lt;='RETRATO 2027'!$K$5,"CONCLUÍDA",IF(F5341&lt;='RETRATO 2027'!$K$5,"EM ANDAMENTO","A INICIAR")))</f>
        <v/>
      </c>
    </row>
    <row r="5342" customFormat="false" ht="15" hidden="false" customHeight="false" outlineLevel="0" collapsed="false">
      <c r="M5342" s="2" t="str">
        <f aca="false">IF(C5342="","",IFERROR(INDEX($S$5:$S$304,MATCH(C5342,$R$5:$R$304,0))&amp;"","?"))</f>
        <v/>
      </c>
      <c r="N5342" s="2" t="str">
        <f aca="false"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 t="str">
        <f aca="false">IF(OR(F5342="",G5342=""),"",IF(G5342&lt;='RETRATO 2027'!$K$5,"CONCLUÍDA",IF(F5342&lt;='RETRATO 2027'!$K$5,"EM ANDAMENTO","A INICIAR")))</f>
        <v/>
      </c>
    </row>
    <row r="5343" customFormat="false" ht="15" hidden="false" customHeight="false" outlineLevel="0" collapsed="false">
      <c r="M5343" s="2" t="str">
        <f aca="false">IF(C5343="","",IFERROR(INDEX($S$5:$S$304,MATCH(C5343,$R$5:$R$304,0))&amp;"","?"))</f>
        <v/>
      </c>
      <c r="N5343" s="2" t="str">
        <f aca="false"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 t="str">
        <f aca="false">IF(OR(F5343="",G5343=""),"",IF(G5343&lt;='RETRATO 2027'!$K$5,"CONCLUÍDA",IF(F5343&lt;='RETRATO 2027'!$K$5,"EM ANDAMENTO","A INICIAR")))</f>
        <v/>
      </c>
    </row>
    <row r="5344" customFormat="false" ht="15" hidden="false" customHeight="false" outlineLevel="0" collapsed="false">
      <c r="M5344" s="2" t="str">
        <f aca="false">IF(C5344="","",IFERROR(INDEX($S$5:$S$304,MATCH(C5344,$R$5:$R$304,0))&amp;"","?"))</f>
        <v/>
      </c>
      <c r="N5344" s="2" t="str">
        <f aca="false"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 t="str">
        <f aca="false">IF(OR(F5344="",G5344=""),"",IF(G5344&lt;='RETRATO 2027'!$K$5,"CONCLUÍDA",IF(F5344&lt;='RETRATO 2027'!$K$5,"EM ANDAMENTO","A INICIAR")))</f>
        <v/>
      </c>
    </row>
    <row r="5345" customFormat="false" ht="15" hidden="false" customHeight="false" outlineLevel="0" collapsed="false">
      <c r="M5345" s="2" t="str">
        <f aca="false">IF(C5345="","",IFERROR(INDEX($S$5:$S$304,MATCH(C5345,$R$5:$R$304,0))&amp;"","?"))</f>
        <v/>
      </c>
      <c r="N5345" s="2" t="str">
        <f aca="false"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 t="str">
        <f aca="false">IF(OR(F5345="",G5345=""),"",IF(G5345&lt;='RETRATO 2027'!$K$5,"CONCLUÍDA",IF(F5345&lt;='RETRATO 2027'!$K$5,"EM ANDAMENTO","A INICIAR")))</f>
        <v/>
      </c>
    </row>
    <row r="5346" customFormat="false" ht="15" hidden="false" customHeight="false" outlineLevel="0" collapsed="false">
      <c r="M5346" s="2" t="str">
        <f aca="false">IF(C5346="","",IFERROR(INDEX($S$5:$S$304,MATCH(C5346,$R$5:$R$304,0))&amp;"","?"))</f>
        <v/>
      </c>
      <c r="N5346" s="2" t="str">
        <f aca="false"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 t="str">
        <f aca="false">IF(OR(F5346="",G5346=""),"",IF(G5346&lt;='RETRATO 2027'!$K$5,"CONCLUÍDA",IF(F5346&lt;='RETRATO 2027'!$K$5,"EM ANDAMENTO","A INICIAR")))</f>
        <v/>
      </c>
    </row>
    <row r="5347" customFormat="false" ht="15" hidden="false" customHeight="false" outlineLevel="0" collapsed="false">
      <c r="M5347" s="2" t="str">
        <f aca="false">IF(C5347="","",IFERROR(INDEX($S$5:$S$304,MATCH(C5347,$R$5:$R$304,0))&amp;"","?"))</f>
        <v/>
      </c>
      <c r="N5347" s="2" t="str">
        <f aca="false"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 t="str">
        <f aca="false">IF(OR(F5347="",G5347=""),"",IF(G5347&lt;='RETRATO 2027'!$K$5,"CONCLUÍDA",IF(F5347&lt;='RETRATO 2027'!$K$5,"EM ANDAMENTO","A INICIAR")))</f>
        <v/>
      </c>
    </row>
    <row r="5348" customFormat="false" ht="15" hidden="false" customHeight="false" outlineLevel="0" collapsed="false">
      <c r="M5348" s="2" t="str">
        <f aca="false">IF(C5348="","",IFERROR(INDEX($S$5:$S$304,MATCH(C5348,$R$5:$R$304,0))&amp;"","?"))</f>
        <v/>
      </c>
      <c r="N5348" s="2" t="str">
        <f aca="false"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 t="str">
        <f aca="false">IF(OR(F5348="",G5348=""),"",IF(G5348&lt;='RETRATO 2027'!$K$5,"CONCLUÍDA",IF(F5348&lt;='RETRATO 2027'!$K$5,"EM ANDAMENTO","A INICIAR")))</f>
        <v/>
      </c>
    </row>
    <row r="5349" customFormat="false" ht="15" hidden="false" customHeight="false" outlineLevel="0" collapsed="false">
      <c r="M5349" s="2" t="str">
        <f aca="false">IF(C5349="","",IFERROR(INDEX($S$5:$S$304,MATCH(C5349,$R$5:$R$304,0))&amp;"","?"))</f>
        <v/>
      </c>
      <c r="N5349" s="2" t="str">
        <f aca="false"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 t="str">
        <f aca="false">IF(OR(F5349="",G5349=""),"",IF(G5349&lt;='RETRATO 2027'!$K$5,"CONCLUÍDA",IF(F5349&lt;='RETRATO 2027'!$K$5,"EM ANDAMENTO","A INICIAR")))</f>
        <v/>
      </c>
    </row>
    <row r="5350" customFormat="false" ht="15" hidden="false" customHeight="false" outlineLevel="0" collapsed="false">
      <c r="M5350" s="2" t="str">
        <f aca="false">IF(C5350="","",IFERROR(INDEX($S$5:$S$304,MATCH(C5350,$R$5:$R$304,0))&amp;"","?"))</f>
        <v/>
      </c>
      <c r="N5350" s="2" t="str">
        <f aca="false"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 t="str">
        <f aca="false">IF(OR(F5350="",G5350=""),"",IF(G5350&lt;='RETRATO 2027'!$K$5,"CONCLUÍDA",IF(F5350&lt;='RETRATO 2027'!$K$5,"EM ANDAMENTO","A INICIAR")))</f>
        <v/>
      </c>
    </row>
    <row r="5351" customFormat="false" ht="15" hidden="false" customHeight="false" outlineLevel="0" collapsed="false">
      <c r="M5351" s="2" t="str">
        <f aca="false">IF(C5351="","",IFERROR(INDEX($S$5:$S$304,MATCH(C5351,$R$5:$R$304,0))&amp;"","?"))</f>
        <v/>
      </c>
      <c r="N5351" s="2" t="str">
        <f aca="false"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 t="str">
        <f aca="false">IF(OR(F5351="",G5351=""),"",IF(G5351&lt;='RETRATO 2027'!$K$5,"CONCLUÍDA",IF(F5351&lt;='RETRATO 2027'!$K$5,"EM ANDAMENTO","A INICIAR")))</f>
        <v/>
      </c>
    </row>
    <row r="5352" customFormat="false" ht="15" hidden="false" customHeight="false" outlineLevel="0" collapsed="false">
      <c r="M5352" s="2" t="str">
        <f aca="false">IF(C5352="","",IFERROR(INDEX($S$5:$S$304,MATCH(C5352,$R$5:$R$304,0))&amp;"","?"))</f>
        <v/>
      </c>
      <c r="N5352" s="2" t="str">
        <f aca="false"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 t="str">
        <f aca="false">IF(OR(F5352="",G5352=""),"",IF(G5352&lt;='RETRATO 2027'!$K$5,"CONCLUÍDA",IF(F5352&lt;='RETRATO 2027'!$K$5,"EM ANDAMENTO","A INICIAR")))</f>
        <v/>
      </c>
    </row>
    <row r="5353" customFormat="false" ht="15" hidden="false" customHeight="false" outlineLevel="0" collapsed="false">
      <c r="M5353" s="2" t="str">
        <f aca="false">IF(C5353="","",IFERROR(INDEX($S$5:$S$304,MATCH(C5353,$R$5:$R$304,0))&amp;"","?"))</f>
        <v/>
      </c>
      <c r="N5353" s="2" t="str">
        <f aca="false"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 t="str">
        <f aca="false">IF(OR(F5353="",G5353=""),"",IF(G5353&lt;='RETRATO 2027'!$K$5,"CONCLUÍDA",IF(F5353&lt;='RETRATO 2027'!$K$5,"EM ANDAMENTO","A INICIAR")))</f>
        <v/>
      </c>
    </row>
    <row r="5354" customFormat="false" ht="15" hidden="false" customHeight="false" outlineLevel="0" collapsed="false">
      <c r="M5354" s="2" t="str">
        <f aca="false">IF(C5354="","",IFERROR(INDEX($S$5:$S$304,MATCH(C5354,$R$5:$R$304,0))&amp;"","?"))</f>
        <v/>
      </c>
      <c r="N5354" s="2" t="str">
        <f aca="false"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 t="str">
        <f aca="false">IF(OR(F5354="",G5354=""),"",IF(G5354&lt;='RETRATO 2027'!$K$5,"CONCLUÍDA",IF(F5354&lt;='RETRATO 2027'!$K$5,"EM ANDAMENTO","A INICIAR")))</f>
        <v/>
      </c>
    </row>
    <row r="5355" customFormat="false" ht="15" hidden="false" customHeight="false" outlineLevel="0" collapsed="false">
      <c r="M5355" s="2" t="str">
        <f aca="false">IF(C5355="","",IFERROR(INDEX($S$5:$S$304,MATCH(C5355,$R$5:$R$304,0))&amp;"","?"))</f>
        <v/>
      </c>
      <c r="N5355" s="2" t="str">
        <f aca="false"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 t="str">
        <f aca="false">IF(OR(F5355="",G5355=""),"",IF(G5355&lt;='RETRATO 2027'!$K$5,"CONCLUÍDA",IF(F5355&lt;='RETRATO 2027'!$K$5,"EM ANDAMENTO","A INICIAR")))</f>
        <v/>
      </c>
    </row>
    <row r="5356" customFormat="false" ht="15" hidden="false" customHeight="false" outlineLevel="0" collapsed="false">
      <c r="M5356" s="2" t="str">
        <f aca="false">IF(C5356="","",IFERROR(INDEX($S$5:$S$304,MATCH(C5356,$R$5:$R$304,0))&amp;"","?"))</f>
        <v/>
      </c>
      <c r="N5356" s="2" t="str">
        <f aca="false"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 t="str">
        <f aca="false">IF(OR(F5356="",G5356=""),"",IF(G5356&lt;='RETRATO 2027'!$K$5,"CONCLUÍDA",IF(F5356&lt;='RETRATO 2027'!$K$5,"EM ANDAMENTO","A INICIAR")))</f>
        <v/>
      </c>
    </row>
    <row r="5357" customFormat="false" ht="15" hidden="false" customHeight="false" outlineLevel="0" collapsed="false">
      <c r="M5357" s="2" t="str">
        <f aca="false">IF(C5357="","",IFERROR(INDEX($S$5:$S$304,MATCH(C5357,$R$5:$R$304,0))&amp;"","?"))</f>
        <v/>
      </c>
      <c r="N5357" s="2" t="str">
        <f aca="false"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 t="str">
        <f aca="false">IF(OR(F5357="",G5357=""),"",IF(G5357&lt;='RETRATO 2027'!$K$5,"CONCLUÍDA",IF(F5357&lt;='RETRATO 2027'!$K$5,"EM ANDAMENTO","A INICIAR")))</f>
        <v/>
      </c>
    </row>
    <row r="5358" customFormat="false" ht="15" hidden="false" customHeight="false" outlineLevel="0" collapsed="false">
      <c r="M5358" s="2" t="str">
        <f aca="false">IF(C5358="","",IFERROR(INDEX($S$5:$S$304,MATCH(C5358,$R$5:$R$304,0))&amp;"","?"))</f>
        <v/>
      </c>
      <c r="N5358" s="2" t="str">
        <f aca="false"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 t="str">
        <f aca="false">IF(OR(F5358="",G5358=""),"",IF(G5358&lt;='RETRATO 2027'!$K$5,"CONCLUÍDA",IF(F5358&lt;='RETRATO 2027'!$K$5,"EM ANDAMENTO","A INICIAR")))</f>
        <v/>
      </c>
    </row>
    <row r="5359" customFormat="false" ht="15" hidden="false" customHeight="false" outlineLevel="0" collapsed="false">
      <c r="M5359" s="2" t="str">
        <f aca="false">IF(C5359="","",IFERROR(INDEX($S$5:$S$304,MATCH(C5359,$R$5:$R$304,0))&amp;"","?"))</f>
        <v/>
      </c>
      <c r="N5359" s="2" t="str">
        <f aca="false"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 t="str">
        <f aca="false">IF(OR(F5359="",G5359=""),"",IF(G5359&lt;='RETRATO 2027'!$K$5,"CONCLUÍDA",IF(F5359&lt;='RETRATO 2027'!$K$5,"EM ANDAMENTO","A INICIAR")))</f>
        <v/>
      </c>
    </row>
    <row r="5360" customFormat="false" ht="15" hidden="false" customHeight="false" outlineLevel="0" collapsed="false">
      <c r="M5360" s="2" t="str">
        <f aca="false">IF(C5360="","",IFERROR(INDEX($S$5:$S$304,MATCH(C5360,$R$5:$R$304,0))&amp;"","?"))</f>
        <v/>
      </c>
      <c r="N5360" s="2" t="str">
        <f aca="false"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 t="str">
        <f aca="false">IF(OR(F5360="",G5360=""),"",IF(G5360&lt;='RETRATO 2027'!$K$5,"CONCLUÍDA",IF(F5360&lt;='RETRATO 2027'!$K$5,"EM ANDAMENTO","A INICIAR")))</f>
        <v/>
      </c>
    </row>
    <row r="5361" customFormat="false" ht="15" hidden="false" customHeight="false" outlineLevel="0" collapsed="false">
      <c r="M5361" s="2" t="str">
        <f aca="false">IF(C5361="","",IFERROR(INDEX($S$5:$S$304,MATCH(C5361,$R$5:$R$304,0))&amp;"","?"))</f>
        <v/>
      </c>
      <c r="N5361" s="2" t="str">
        <f aca="false"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 t="str">
        <f aca="false">IF(OR(F5361="",G5361=""),"",IF(G5361&lt;='RETRATO 2027'!$K$5,"CONCLUÍDA",IF(F5361&lt;='RETRATO 2027'!$K$5,"EM ANDAMENTO","A INICIAR")))</f>
        <v/>
      </c>
    </row>
    <row r="5362" customFormat="false" ht="15" hidden="false" customHeight="false" outlineLevel="0" collapsed="false">
      <c r="M5362" s="2" t="str">
        <f aca="false">IF(C5362="","",IFERROR(INDEX($S$5:$S$304,MATCH(C5362,$R$5:$R$304,0))&amp;"","?"))</f>
        <v/>
      </c>
      <c r="N5362" s="2" t="str">
        <f aca="false"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 t="str">
        <f aca="false">IF(OR(F5362="",G5362=""),"",IF(G5362&lt;='RETRATO 2027'!$K$5,"CONCLUÍDA",IF(F5362&lt;='RETRATO 2027'!$K$5,"EM ANDAMENTO","A INICIAR")))</f>
        <v/>
      </c>
    </row>
    <row r="5363" customFormat="false" ht="15" hidden="false" customHeight="false" outlineLevel="0" collapsed="false">
      <c r="M5363" s="2" t="str">
        <f aca="false">IF(C5363="","",IFERROR(INDEX($S$5:$S$304,MATCH(C5363,$R$5:$R$304,0))&amp;"","?"))</f>
        <v/>
      </c>
      <c r="N5363" s="2" t="str">
        <f aca="false"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 t="str">
        <f aca="false">IF(OR(F5363="",G5363=""),"",IF(G5363&lt;='RETRATO 2027'!$K$5,"CONCLUÍDA",IF(F5363&lt;='RETRATO 2027'!$K$5,"EM ANDAMENTO","A INICIAR")))</f>
        <v/>
      </c>
    </row>
    <row r="5364" customFormat="false" ht="15" hidden="false" customHeight="false" outlineLevel="0" collapsed="false">
      <c r="M5364" s="2" t="str">
        <f aca="false">IF(C5364="","",IFERROR(INDEX($S$5:$S$304,MATCH(C5364,$R$5:$R$304,0))&amp;"","?"))</f>
        <v/>
      </c>
      <c r="N5364" s="2" t="str">
        <f aca="false"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 t="str">
        <f aca="false">IF(OR(F5364="",G5364=""),"",IF(G5364&lt;='RETRATO 2027'!$K$5,"CONCLUÍDA",IF(F5364&lt;='RETRATO 2027'!$K$5,"EM ANDAMENTO","A INICIAR")))</f>
        <v/>
      </c>
    </row>
    <row r="5365" customFormat="false" ht="15" hidden="false" customHeight="false" outlineLevel="0" collapsed="false">
      <c r="M5365" s="2" t="str">
        <f aca="false">IF(C5365="","",IFERROR(INDEX($S$5:$S$304,MATCH(C5365,$R$5:$R$304,0))&amp;"","?"))</f>
        <v/>
      </c>
      <c r="N5365" s="2" t="str">
        <f aca="false"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 t="str">
        <f aca="false">IF(OR(F5365="",G5365=""),"",IF(G5365&lt;='RETRATO 2027'!$K$5,"CONCLUÍDA",IF(F5365&lt;='RETRATO 2027'!$K$5,"EM ANDAMENTO","A INICIAR")))</f>
        <v/>
      </c>
    </row>
    <row r="5366" customFormat="false" ht="15" hidden="false" customHeight="false" outlineLevel="0" collapsed="false">
      <c r="M5366" s="2" t="str">
        <f aca="false">IF(C5366="","",IFERROR(INDEX($S$5:$S$304,MATCH(C5366,$R$5:$R$304,0))&amp;"","?"))</f>
        <v/>
      </c>
      <c r="N5366" s="2" t="str">
        <f aca="false"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 t="str">
        <f aca="false">IF(OR(F5366="",G5366=""),"",IF(G5366&lt;='RETRATO 2027'!$K$5,"CONCLUÍDA",IF(F5366&lt;='RETRATO 2027'!$K$5,"EM ANDAMENTO","A INICIAR")))</f>
        <v/>
      </c>
    </row>
    <row r="5367" customFormat="false" ht="15" hidden="false" customHeight="false" outlineLevel="0" collapsed="false">
      <c r="M5367" s="2" t="str">
        <f aca="false">IF(C5367="","",IFERROR(INDEX($S$5:$S$304,MATCH(C5367,$R$5:$R$304,0))&amp;"","?"))</f>
        <v/>
      </c>
      <c r="N5367" s="2" t="str">
        <f aca="false"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 t="str">
        <f aca="false">IF(OR(F5367="",G5367=""),"",IF(G5367&lt;='RETRATO 2027'!$K$5,"CONCLUÍDA",IF(F5367&lt;='RETRATO 2027'!$K$5,"EM ANDAMENTO","A INICIAR")))</f>
        <v/>
      </c>
    </row>
    <row r="5368" customFormat="false" ht="15" hidden="false" customHeight="false" outlineLevel="0" collapsed="false">
      <c r="M5368" s="2" t="str">
        <f aca="false">IF(C5368="","",IFERROR(INDEX($S$5:$S$304,MATCH(C5368,$R$5:$R$304,0))&amp;"","?"))</f>
        <v/>
      </c>
      <c r="N5368" s="2" t="str">
        <f aca="false"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 t="str">
        <f aca="false">IF(OR(F5368="",G5368=""),"",IF(G5368&lt;='RETRATO 2027'!$K$5,"CONCLUÍDA",IF(F5368&lt;='RETRATO 2027'!$K$5,"EM ANDAMENTO","A INICIAR")))</f>
        <v/>
      </c>
    </row>
    <row r="5369" customFormat="false" ht="15" hidden="false" customHeight="false" outlineLevel="0" collapsed="false">
      <c r="M5369" s="2" t="str">
        <f aca="false">IF(C5369="","",IFERROR(INDEX($S$5:$S$304,MATCH(C5369,$R$5:$R$304,0))&amp;"","?"))</f>
        <v/>
      </c>
      <c r="N5369" s="2" t="str">
        <f aca="false"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 t="str">
        <f aca="false">IF(OR(F5369="",G5369=""),"",IF(G5369&lt;='RETRATO 2027'!$K$5,"CONCLUÍDA",IF(F5369&lt;='RETRATO 2027'!$K$5,"EM ANDAMENTO","A INICIAR")))</f>
        <v/>
      </c>
    </row>
    <row r="5370" customFormat="false" ht="15" hidden="false" customHeight="false" outlineLevel="0" collapsed="false">
      <c r="M5370" s="2" t="str">
        <f aca="false">IF(C5370="","",IFERROR(INDEX($S$5:$S$304,MATCH(C5370,$R$5:$R$304,0))&amp;"","?"))</f>
        <v/>
      </c>
      <c r="N5370" s="2" t="str">
        <f aca="false"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 t="str">
        <f aca="false">IF(OR(F5370="",G5370=""),"",IF(G5370&lt;='RETRATO 2027'!$K$5,"CONCLUÍDA",IF(F5370&lt;='RETRATO 2027'!$K$5,"EM ANDAMENTO","A INICIAR")))</f>
        <v/>
      </c>
    </row>
    <row r="5371" customFormat="false" ht="15" hidden="false" customHeight="false" outlineLevel="0" collapsed="false">
      <c r="M5371" s="2" t="str">
        <f aca="false">IF(C5371="","",IFERROR(INDEX($S$5:$S$304,MATCH(C5371,$R$5:$R$304,0))&amp;"","?"))</f>
        <v/>
      </c>
      <c r="N5371" s="2" t="str">
        <f aca="false"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 t="str">
        <f aca="false">IF(OR(F5371="",G5371=""),"",IF(G5371&lt;='RETRATO 2027'!$K$5,"CONCLUÍDA",IF(F5371&lt;='RETRATO 2027'!$K$5,"EM ANDAMENTO","A INICIAR")))</f>
        <v/>
      </c>
    </row>
    <row r="5372" customFormat="false" ht="15" hidden="false" customHeight="false" outlineLevel="0" collapsed="false">
      <c r="M5372" s="2" t="str">
        <f aca="false">IF(C5372="","",IFERROR(INDEX($S$5:$S$304,MATCH(C5372,$R$5:$R$304,0))&amp;"","?"))</f>
        <v/>
      </c>
      <c r="N5372" s="2" t="str">
        <f aca="false"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 t="str">
        <f aca="false">IF(OR(F5372="",G5372=""),"",IF(G5372&lt;='RETRATO 2027'!$K$5,"CONCLUÍDA",IF(F5372&lt;='RETRATO 2027'!$K$5,"EM ANDAMENTO","A INICIAR")))</f>
        <v/>
      </c>
    </row>
    <row r="5373" customFormat="false" ht="15" hidden="false" customHeight="false" outlineLevel="0" collapsed="false">
      <c r="M5373" s="2" t="str">
        <f aca="false">IF(C5373="","",IFERROR(INDEX($S$5:$S$304,MATCH(C5373,$R$5:$R$304,0))&amp;"","?"))</f>
        <v/>
      </c>
      <c r="N5373" s="2" t="str">
        <f aca="false"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 t="str">
        <f aca="false">IF(OR(F5373="",G5373=""),"",IF(G5373&lt;='RETRATO 2027'!$K$5,"CONCLUÍDA",IF(F5373&lt;='RETRATO 2027'!$K$5,"EM ANDAMENTO","A INICIAR")))</f>
        <v/>
      </c>
    </row>
    <row r="5374" customFormat="false" ht="15" hidden="false" customHeight="false" outlineLevel="0" collapsed="false">
      <c r="M5374" s="2" t="str">
        <f aca="false">IF(C5374="","",IFERROR(INDEX($S$5:$S$304,MATCH(C5374,$R$5:$R$304,0))&amp;"","?"))</f>
        <v/>
      </c>
      <c r="N5374" s="2" t="str">
        <f aca="false"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 t="str">
        <f aca="false">IF(OR(F5374="",G5374=""),"",IF(G5374&lt;='RETRATO 2027'!$K$5,"CONCLUÍDA",IF(F5374&lt;='RETRATO 2027'!$K$5,"EM ANDAMENTO","A INICIAR")))</f>
        <v/>
      </c>
    </row>
    <row r="5375" customFormat="false" ht="15" hidden="false" customHeight="false" outlineLevel="0" collapsed="false">
      <c r="M5375" s="2" t="str">
        <f aca="false">IF(C5375="","",IFERROR(INDEX($S$5:$S$304,MATCH(C5375,$R$5:$R$304,0))&amp;"","?"))</f>
        <v/>
      </c>
      <c r="N5375" s="2" t="str">
        <f aca="false"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 t="str">
        <f aca="false">IF(OR(F5375="",G5375=""),"",IF(G5375&lt;='RETRATO 2027'!$K$5,"CONCLUÍDA",IF(F5375&lt;='RETRATO 2027'!$K$5,"EM ANDAMENTO","A INICIAR")))</f>
        <v/>
      </c>
    </row>
    <row r="5376" customFormat="false" ht="15" hidden="false" customHeight="false" outlineLevel="0" collapsed="false">
      <c r="M5376" s="2" t="str">
        <f aca="false">IF(C5376="","",IFERROR(INDEX($S$5:$S$304,MATCH(C5376,$R$5:$R$304,0))&amp;"","?"))</f>
        <v/>
      </c>
      <c r="N5376" s="2" t="str">
        <f aca="false"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 t="str">
        <f aca="false">IF(OR(F5376="",G5376=""),"",IF(G5376&lt;='RETRATO 2027'!$K$5,"CONCLUÍDA",IF(F5376&lt;='RETRATO 2027'!$K$5,"EM ANDAMENTO","A INICIAR")))</f>
        <v/>
      </c>
    </row>
    <row r="5377" customFormat="false" ht="15" hidden="false" customHeight="false" outlineLevel="0" collapsed="false">
      <c r="M5377" s="2" t="str">
        <f aca="false">IF(C5377="","",IFERROR(INDEX($S$5:$S$304,MATCH(C5377,$R$5:$R$304,0))&amp;"","?"))</f>
        <v/>
      </c>
      <c r="N5377" s="2" t="str">
        <f aca="false"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 t="str">
        <f aca="false">IF(OR(F5377="",G5377=""),"",IF(G5377&lt;='RETRATO 2027'!$K$5,"CONCLUÍDA",IF(F5377&lt;='RETRATO 2027'!$K$5,"EM ANDAMENTO","A INICIAR")))</f>
        <v/>
      </c>
    </row>
    <row r="5378" customFormat="false" ht="15" hidden="false" customHeight="false" outlineLevel="0" collapsed="false">
      <c r="M5378" s="2" t="str">
        <f aca="false">IF(C5378="","",IFERROR(INDEX($S$5:$S$304,MATCH(C5378,$R$5:$R$304,0))&amp;"","?"))</f>
        <v/>
      </c>
      <c r="N5378" s="2" t="str">
        <f aca="false"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 t="str">
        <f aca="false">IF(OR(F5378="",G5378=""),"",IF(G5378&lt;='RETRATO 2027'!$K$5,"CONCLUÍDA",IF(F5378&lt;='RETRATO 2027'!$K$5,"EM ANDAMENTO","A INICIAR")))</f>
        <v/>
      </c>
    </row>
    <row r="5379" customFormat="false" ht="15" hidden="false" customHeight="false" outlineLevel="0" collapsed="false">
      <c r="M5379" s="2" t="str">
        <f aca="false">IF(C5379="","",IFERROR(INDEX($S$5:$S$304,MATCH(C5379,$R$5:$R$304,0))&amp;"","?"))</f>
        <v/>
      </c>
      <c r="N5379" s="2" t="str">
        <f aca="false"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 t="str">
        <f aca="false">IF(OR(F5379="",G5379=""),"",IF(G5379&lt;='RETRATO 2027'!$K$5,"CONCLUÍDA",IF(F5379&lt;='RETRATO 2027'!$K$5,"EM ANDAMENTO","A INICIAR")))</f>
        <v/>
      </c>
    </row>
    <row r="5380" customFormat="false" ht="15" hidden="false" customHeight="false" outlineLevel="0" collapsed="false">
      <c r="M5380" s="2" t="str">
        <f aca="false">IF(C5380="","",IFERROR(INDEX($S$5:$S$304,MATCH(C5380,$R$5:$R$304,0))&amp;"","?"))</f>
        <v/>
      </c>
      <c r="N5380" s="2" t="str">
        <f aca="false"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 t="str">
        <f aca="false">IF(OR(F5380="",G5380=""),"",IF(G5380&lt;='RETRATO 2027'!$K$5,"CONCLUÍDA",IF(F5380&lt;='RETRATO 2027'!$K$5,"EM ANDAMENTO","A INICIAR")))</f>
        <v/>
      </c>
    </row>
    <row r="5381" customFormat="false" ht="15" hidden="false" customHeight="false" outlineLevel="0" collapsed="false">
      <c r="M5381" s="2" t="str">
        <f aca="false">IF(C5381="","",IFERROR(INDEX($S$5:$S$304,MATCH(C5381,$R$5:$R$304,0))&amp;"","?"))</f>
        <v/>
      </c>
      <c r="N5381" s="2" t="str">
        <f aca="false"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 t="str">
        <f aca="false">IF(OR(F5381="",G5381=""),"",IF(G5381&lt;='RETRATO 2027'!$K$5,"CONCLUÍDA",IF(F5381&lt;='RETRATO 2027'!$K$5,"EM ANDAMENTO","A INICIAR")))</f>
        <v/>
      </c>
    </row>
    <row r="5382" customFormat="false" ht="15" hidden="false" customHeight="false" outlineLevel="0" collapsed="false">
      <c r="M5382" s="2" t="str">
        <f aca="false">IF(C5382="","",IFERROR(INDEX($S$5:$S$304,MATCH(C5382,$R$5:$R$304,0))&amp;"","?"))</f>
        <v/>
      </c>
      <c r="N5382" s="2" t="str">
        <f aca="false"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 t="str">
        <f aca="false">IF(OR(F5382="",G5382=""),"",IF(G5382&lt;='RETRATO 2027'!$K$5,"CONCLUÍDA",IF(F5382&lt;='RETRATO 2027'!$K$5,"EM ANDAMENTO","A INICIAR")))</f>
        <v/>
      </c>
    </row>
    <row r="5383" customFormat="false" ht="15" hidden="false" customHeight="false" outlineLevel="0" collapsed="false">
      <c r="M5383" s="2" t="str">
        <f aca="false">IF(C5383="","",IFERROR(INDEX($S$5:$S$304,MATCH(C5383,$R$5:$R$304,0))&amp;"","?"))</f>
        <v/>
      </c>
      <c r="N5383" s="2" t="str">
        <f aca="false"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 t="str">
        <f aca="false">IF(OR(F5383="",G5383=""),"",IF(G5383&lt;='RETRATO 2027'!$K$5,"CONCLUÍDA",IF(F5383&lt;='RETRATO 2027'!$K$5,"EM ANDAMENTO","A INICIAR")))</f>
        <v/>
      </c>
    </row>
    <row r="5384" customFormat="false" ht="15" hidden="false" customHeight="false" outlineLevel="0" collapsed="false">
      <c r="M5384" s="2" t="str">
        <f aca="false">IF(C5384="","",IFERROR(INDEX($S$5:$S$304,MATCH(C5384,$R$5:$R$304,0))&amp;"","?"))</f>
        <v/>
      </c>
      <c r="N5384" s="2" t="str">
        <f aca="false"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 t="str">
        <f aca="false">IF(OR(F5384="",G5384=""),"",IF(G5384&lt;='RETRATO 2027'!$K$5,"CONCLUÍDA",IF(F5384&lt;='RETRATO 2027'!$K$5,"EM ANDAMENTO","A INICIAR")))</f>
        <v/>
      </c>
    </row>
    <row r="5385" customFormat="false" ht="15" hidden="false" customHeight="false" outlineLevel="0" collapsed="false">
      <c r="M5385" s="2" t="str">
        <f aca="false">IF(C5385="","",IFERROR(INDEX($S$5:$S$304,MATCH(C5385,$R$5:$R$304,0))&amp;"","?"))</f>
        <v/>
      </c>
      <c r="N5385" s="2" t="str">
        <f aca="false"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 t="str">
        <f aca="false">IF(OR(F5385="",G5385=""),"",IF(G5385&lt;='RETRATO 2027'!$K$5,"CONCLUÍDA",IF(F5385&lt;='RETRATO 2027'!$K$5,"EM ANDAMENTO","A INICIAR")))</f>
        <v/>
      </c>
    </row>
    <row r="5386" customFormat="false" ht="15" hidden="false" customHeight="false" outlineLevel="0" collapsed="false">
      <c r="M5386" s="2" t="str">
        <f aca="false">IF(C5386="","",IFERROR(INDEX($S$5:$S$304,MATCH(C5386,$R$5:$R$304,0))&amp;"","?"))</f>
        <v/>
      </c>
      <c r="N5386" s="2" t="str">
        <f aca="false"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 t="str">
        <f aca="false">IF(OR(F5386="",G5386=""),"",IF(G5386&lt;='RETRATO 2027'!$K$5,"CONCLUÍDA",IF(F5386&lt;='RETRATO 2027'!$K$5,"EM ANDAMENTO","A INICIAR")))</f>
        <v/>
      </c>
    </row>
    <row r="5387" customFormat="false" ht="15" hidden="false" customHeight="false" outlineLevel="0" collapsed="false">
      <c r="M5387" s="2" t="str">
        <f aca="false">IF(C5387="","",IFERROR(INDEX($S$5:$S$304,MATCH(C5387,$R$5:$R$304,0))&amp;"","?"))</f>
        <v/>
      </c>
      <c r="N5387" s="2" t="str">
        <f aca="false"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 t="str">
        <f aca="false">IF(OR(F5387="",G5387=""),"",IF(G5387&lt;='RETRATO 2027'!$K$5,"CONCLUÍDA",IF(F5387&lt;='RETRATO 2027'!$K$5,"EM ANDAMENTO","A INICIAR")))</f>
        <v/>
      </c>
    </row>
    <row r="5388" customFormat="false" ht="15" hidden="false" customHeight="false" outlineLevel="0" collapsed="false">
      <c r="M5388" s="2" t="str">
        <f aca="false">IF(C5388="","",IFERROR(INDEX($S$5:$S$304,MATCH(C5388,$R$5:$R$304,0))&amp;"","?"))</f>
        <v/>
      </c>
      <c r="N5388" s="2" t="str">
        <f aca="false"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 t="str">
        <f aca="false">IF(OR(F5388="",G5388=""),"",IF(G5388&lt;='RETRATO 2027'!$K$5,"CONCLUÍDA",IF(F5388&lt;='RETRATO 2027'!$K$5,"EM ANDAMENTO","A INICIAR")))</f>
        <v/>
      </c>
    </row>
    <row r="5389" customFormat="false" ht="15" hidden="false" customHeight="false" outlineLevel="0" collapsed="false">
      <c r="M5389" s="2" t="str">
        <f aca="false">IF(C5389="","",IFERROR(INDEX($S$5:$S$304,MATCH(C5389,$R$5:$R$304,0))&amp;"","?"))</f>
        <v/>
      </c>
      <c r="N5389" s="2" t="str">
        <f aca="false"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 t="str">
        <f aca="false">IF(OR(F5389="",G5389=""),"",IF(G5389&lt;='RETRATO 2027'!$K$5,"CONCLUÍDA",IF(F5389&lt;='RETRATO 2027'!$K$5,"EM ANDAMENTO","A INICIAR")))</f>
        <v/>
      </c>
    </row>
    <row r="5390" customFormat="false" ht="15" hidden="false" customHeight="false" outlineLevel="0" collapsed="false">
      <c r="M5390" s="2" t="str">
        <f aca="false">IF(C5390="","",IFERROR(INDEX($S$5:$S$304,MATCH(C5390,$R$5:$R$304,0))&amp;"","?"))</f>
        <v/>
      </c>
      <c r="N5390" s="2" t="str">
        <f aca="false"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 t="str">
        <f aca="false">IF(OR(F5390="",G5390=""),"",IF(G5390&lt;='RETRATO 2027'!$K$5,"CONCLUÍDA",IF(F5390&lt;='RETRATO 2027'!$K$5,"EM ANDAMENTO","A INICIAR")))</f>
        <v/>
      </c>
    </row>
    <row r="5391" customFormat="false" ht="15" hidden="false" customHeight="false" outlineLevel="0" collapsed="false">
      <c r="M5391" s="2" t="str">
        <f aca="false">IF(C5391="","",IFERROR(INDEX($S$5:$S$304,MATCH(C5391,$R$5:$R$304,0))&amp;"","?"))</f>
        <v/>
      </c>
      <c r="N5391" s="2" t="str">
        <f aca="false"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 t="str">
        <f aca="false">IF(OR(F5391="",G5391=""),"",IF(G5391&lt;='RETRATO 2027'!$K$5,"CONCLUÍDA",IF(F5391&lt;='RETRATO 2027'!$K$5,"EM ANDAMENTO","A INICIAR")))</f>
        <v/>
      </c>
    </row>
    <row r="5392" customFormat="false" ht="15" hidden="false" customHeight="false" outlineLevel="0" collapsed="false">
      <c r="M5392" s="2" t="str">
        <f aca="false">IF(C5392="","",IFERROR(INDEX($S$5:$S$304,MATCH(C5392,$R$5:$R$304,0))&amp;"","?"))</f>
        <v/>
      </c>
      <c r="N5392" s="2" t="str">
        <f aca="false"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 t="str">
        <f aca="false">IF(OR(F5392="",G5392=""),"",IF(G5392&lt;='RETRATO 2027'!$K$5,"CONCLUÍDA",IF(F5392&lt;='RETRATO 2027'!$K$5,"EM ANDAMENTO","A INICIAR")))</f>
        <v/>
      </c>
    </row>
    <row r="5393" customFormat="false" ht="15" hidden="false" customHeight="false" outlineLevel="0" collapsed="false">
      <c r="M5393" s="2" t="str">
        <f aca="false">IF(C5393="","",IFERROR(INDEX($S$5:$S$304,MATCH(C5393,$R$5:$R$304,0))&amp;"","?"))</f>
        <v/>
      </c>
      <c r="N5393" s="2" t="str">
        <f aca="false"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 t="str">
        <f aca="false">IF(OR(F5393="",G5393=""),"",IF(G5393&lt;='RETRATO 2027'!$K$5,"CONCLUÍDA",IF(F5393&lt;='RETRATO 2027'!$K$5,"EM ANDAMENTO","A INICIAR")))</f>
        <v/>
      </c>
    </row>
    <row r="5394" customFormat="false" ht="15" hidden="false" customHeight="false" outlineLevel="0" collapsed="false">
      <c r="M5394" s="2" t="str">
        <f aca="false">IF(C5394="","",IFERROR(INDEX($S$5:$S$304,MATCH(C5394,$R$5:$R$304,0))&amp;"","?"))</f>
        <v/>
      </c>
      <c r="N5394" s="2" t="str">
        <f aca="false"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 t="str">
        <f aca="false">IF(OR(F5394="",G5394=""),"",IF(G5394&lt;='RETRATO 2027'!$K$5,"CONCLUÍDA",IF(F5394&lt;='RETRATO 2027'!$K$5,"EM ANDAMENTO","A INICIAR")))</f>
        <v/>
      </c>
    </row>
    <row r="5395" customFormat="false" ht="15" hidden="false" customHeight="false" outlineLevel="0" collapsed="false">
      <c r="M5395" s="2" t="str">
        <f aca="false">IF(C5395="","",IFERROR(INDEX($S$5:$S$304,MATCH(C5395,$R$5:$R$304,0))&amp;"","?"))</f>
        <v/>
      </c>
      <c r="N5395" s="2" t="str">
        <f aca="false"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 t="str">
        <f aca="false">IF(OR(F5395="",G5395=""),"",IF(G5395&lt;='RETRATO 2027'!$K$5,"CONCLUÍDA",IF(F5395&lt;='RETRATO 2027'!$K$5,"EM ANDAMENTO","A INICIAR")))</f>
        <v/>
      </c>
    </row>
    <row r="5396" customFormat="false" ht="15" hidden="false" customHeight="false" outlineLevel="0" collapsed="false">
      <c r="M5396" s="2" t="str">
        <f aca="false">IF(C5396="","",IFERROR(INDEX($S$5:$S$304,MATCH(C5396,$R$5:$R$304,0))&amp;"","?"))</f>
        <v/>
      </c>
      <c r="N5396" s="2" t="str">
        <f aca="false"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 t="str">
        <f aca="false">IF(OR(F5396="",G5396=""),"",IF(G5396&lt;='RETRATO 2027'!$K$5,"CONCLUÍDA",IF(F5396&lt;='RETRATO 2027'!$K$5,"EM ANDAMENTO","A INICIAR")))</f>
        <v/>
      </c>
    </row>
    <row r="5397" customFormat="false" ht="15" hidden="false" customHeight="false" outlineLevel="0" collapsed="false">
      <c r="M5397" s="2" t="str">
        <f aca="false">IF(C5397="","",IFERROR(INDEX($S$5:$S$304,MATCH(C5397,$R$5:$R$304,0))&amp;"","?"))</f>
        <v/>
      </c>
      <c r="N5397" s="2" t="str">
        <f aca="false"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 t="str">
        <f aca="false">IF(OR(F5397="",G5397=""),"",IF(G5397&lt;='RETRATO 2027'!$K$5,"CONCLUÍDA",IF(F5397&lt;='RETRATO 2027'!$K$5,"EM ANDAMENTO","A INICIAR")))</f>
        <v/>
      </c>
    </row>
    <row r="5398" customFormat="false" ht="15" hidden="false" customHeight="false" outlineLevel="0" collapsed="false">
      <c r="M5398" s="2" t="str">
        <f aca="false">IF(C5398="","",IFERROR(INDEX($S$5:$S$304,MATCH(C5398,$R$5:$R$304,0))&amp;"","?"))</f>
        <v/>
      </c>
      <c r="N5398" s="2" t="str">
        <f aca="false"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 t="str">
        <f aca="false">IF(OR(F5398="",G5398=""),"",IF(G5398&lt;='RETRATO 2027'!$K$5,"CONCLUÍDA",IF(F5398&lt;='RETRATO 2027'!$K$5,"EM ANDAMENTO","A INICIAR")))</f>
        <v/>
      </c>
    </row>
    <row r="5399" customFormat="false" ht="15" hidden="false" customHeight="false" outlineLevel="0" collapsed="false">
      <c r="M5399" s="2" t="str">
        <f aca="false">IF(C5399="","",IFERROR(INDEX($S$5:$S$304,MATCH(C5399,$R$5:$R$304,0))&amp;"","?"))</f>
        <v/>
      </c>
      <c r="N5399" s="2" t="str">
        <f aca="false"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 t="str">
        <f aca="false">IF(OR(F5399="",G5399=""),"",IF(G5399&lt;='RETRATO 2027'!$K$5,"CONCLUÍDA",IF(F5399&lt;='RETRATO 2027'!$K$5,"EM ANDAMENTO","A INICIAR")))</f>
        <v/>
      </c>
    </row>
    <row r="5400" customFormat="false" ht="15" hidden="false" customHeight="false" outlineLevel="0" collapsed="false">
      <c r="M5400" s="2" t="str">
        <f aca="false">IF(C5400="","",IFERROR(INDEX($S$5:$S$304,MATCH(C5400,$R$5:$R$304,0))&amp;"","?"))</f>
        <v/>
      </c>
      <c r="N5400" s="2" t="str">
        <f aca="false"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 t="str">
        <f aca="false">IF(OR(F5400="",G5400=""),"",IF(G5400&lt;='RETRATO 2027'!$K$5,"CONCLUÍDA",IF(F5400&lt;='RETRATO 2027'!$K$5,"EM ANDAMENTO","A INICIAR")))</f>
        <v/>
      </c>
    </row>
    <row r="5401" customFormat="false" ht="15" hidden="false" customHeight="false" outlineLevel="0" collapsed="false">
      <c r="M5401" s="2" t="str">
        <f aca="false">IF(C5401="","",IFERROR(INDEX($S$5:$S$304,MATCH(C5401,$R$5:$R$304,0))&amp;"","?"))</f>
        <v/>
      </c>
      <c r="N5401" s="2" t="str">
        <f aca="false"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 t="str">
        <f aca="false">IF(OR(F5401="",G5401=""),"",IF(G5401&lt;='RETRATO 2027'!$K$5,"CONCLUÍDA",IF(F5401&lt;='RETRATO 2027'!$K$5,"EM ANDAMENTO","A INICIAR")))</f>
        <v/>
      </c>
    </row>
    <row r="5402" customFormat="false" ht="15" hidden="false" customHeight="false" outlineLevel="0" collapsed="false">
      <c r="M5402" s="2" t="str">
        <f aca="false">IF(C5402="","",IFERROR(INDEX($S$5:$S$304,MATCH(C5402,$R$5:$R$304,0))&amp;"","?"))</f>
        <v/>
      </c>
      <c r="N5402" s="2" t="str">
        <f aca="false"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 t="str">
        <f aca="false">IF(OR(F5402="",G5402=""),"",IF(G5402&lt;='RETRATO 2027'!$K$5,"CONCLUÍDA",IF(F5402&lt;='RETRATO 2027'!$K$5,"EM ANDAMENTO","A INICIAR")))</f>
        <v/>
      </c>
    </row>
    <row r="5403" customFormat="false" ht="15" hidden="false" customHeight="false" outlineLevel="0" collapsed="false">
      <c r="M5403" s="2" t="str">
        <f aca="false">IF(C5403="","",IFERROR(INDEX($S$5:$S$304,MATCH(C5403,$R$5:$R$304,0))&amp;"","?"))</f>
        <v/>
      </c>
      <c r="N5403" s="2" t="str">
        <f aca="false"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 t="str">
        <f aca="false">IF(OR(F5403="",G5403=""),"",IF(G5403&lt;='RETRATO 2027'!$K$5,"CONCLUÍDA",IF(F5403&lt;='RETRATO 2027'!$K$5,"EM ANDAMENTO","A INICIAR")))</f>
        <v/>
      </c>
    </row>
    <row r="5404" customFormat="false" ht="15" hidden="false" customHeight="false" outlineLevel="0" collapsed="false">
      <c r="M5404" s="2" t="str">
        <f aca="false">IF(C5404="","",IFERROR(INDEX($S$5:$S$304,MATCH(C5404,$R$5:$R$304,0))&amp;"","?"))</f>
        <v/>
      </c>
      <c r="N5404" s="2" t="str">
        <f aca="false"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 t="str">
        <f aca="false">IF(OR(F5404="",G5404=""),"",IF(G5404&lt;='RETRATO 2027'!$K$5,"CONCLUÍDA",IF(F5404&lt;='RETRATO 2027'!$K$5,"EM ANDAMENTO","A INICIAR")))</f>
        <v/>
      </c>
    </row>
    <row r="5405" customFormat="false" ht="15" hidden="false" customHeight="false" outlineLevel="0" collapsed="false">
      <c r="M5405" s="2" t="str">
        <f aca="false">IF(C5405="","",IFERROR(INDEX($S$5:$S$304,MATCH(C5405,$R$5:$R$304,0))&amp;"","?"))</f>
        <v/>
      </c>
      <c r="N5405" s="2" t="str">
        <f aca="false"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 t="str">
        <f aca="false">IF(OR(F5405="",G5405=""),"",IF(G5405&lt;='RETRATO 2027'!$K$5,"CONCLUÍDA",IF(F5405&lt;='RETRATO 2027'!$K$5,"EM ANDAMENTO","A INICIAR")))</f>
        <v/>
      </c>
    </row>
    <row r="5406" customFormat="false" ht="15" hidden="false" customHeight="false" outlineLevel="0" collapsed="false">
      <c r="M5406" s="2" t="str">
        <f aca="false">IF(C5406="","",IFERROR(INDEX($S$5:$S$304,MATCH(C5406,$R$5:$R$304,0))&amp;"","?"))</f>
        <v/>
      </c>
      <c r="N5406" s="2" t="str">
        <f aca="false"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 t="str">
        <f aca="false">IF(OR(F5406="",G5406=""),"",IF(G5406&lt;='RETRATO 2027'!$K$5,"CONCLUÍDA",IF(F5406&lt;='RETRATO 2027'!$K$5,"EM ANDAMENTO","A INICIAR")))</f>
        <v/>
      </c>
    </row>
    <row r="5407" customFormat="false" ht="15" hidden="false" customHeight="false" outlineLevel="0" collapsed="false">
      <c r="M5407" s="2" t="str">
        <f aca="false">IF(C5407="","",IFERROR(INDEX($S$5:$S$304,MATCH(C5407,$R$5:$R$304,0))&amp;"","?"))</f>
        <v/>
      </c>
      <c r="N5407" s="2" t="str">
        <f aca="false"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 t="str">
        <f aca="false">IF(OR(F5407="",G5407=""),"",IF(G5407&lt;='RETRATO 2027'!$K$5,"CONCLUÍDA",IF(F5407&lt;='RETRATO 2027'!$K$5,"EM ANDAMENTO","A INICIAR")))</f>
        <v/>
      </c>
    </row>
    <row r="5408" customFormat="false" ht="15" hidden="false" customHeight="false" outlineLevel="0" collapsed="false">
      <c r="M5408" s="2" t="str">
        <f aca="false">IF(C5408="","",IFERROR(INDEX($S$5:$S$304,MATCH(C5408,$R$5:$R$304,0))&amp;"","?"))</f>
        <v/>
      </c>
      <c r="N5408" s="2" t="str">
        <f aca="false"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 t="str">
        <f aca="false">IF(OR(F5408="",G5408=""),"",IF(G5408&lt;='RETRATO 2027'!$K$5,"CONCLUÍDA",IF(F5408&lt;='RETRATO 2027'!$K$5,"EM ANDAMENTO","A INICIAR")))</f>
        <v/>
      </c>
    </row>
    <row r="5409" customFormat="false" ht="15" hidden="false" customHeight="false" outlineLevel="0" collapsed="false">
      <c r="M5409" s="2" t="str">
        <f aca="false">IF(C5409="","",IFERROR(INDEX($S$5:$S$304,MATCH(C5409,$R$5:$R$304,0))&amp;"","?"))</f>
        <v/>
      </c>
      <c r="N5409" s="2" t="str">
        <f aca="false"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 t="str">
        <f aca="false">IF(OR(F5409="",G5409=""),"",IF(G5409&lt;='RETRATO 2027'!$K$5,"CONCLUÍDA",IF(F5409&lt;='RETRATO 2027'!$K$5,"EM ANDAMENTO","A INICIAR")))</f>
        <v/>
      </c>
    </row>
    <row r="5410" customFormat="false" ht="15" hidden="false" customHeight="false" outlineLevel="0" collapsed="false">
      <c r="M5410" s="2" t="str">
        <f aca="false">IF(C5410="","",IFERROR(INDEX($S$5:$S$304,MATCH(C5410,$R$5:$R$304,0))&amp;"","?"))</f>
        <v/>
      </c>
      <c r="N5410" s="2" t="str">
        <f aca="false"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 t="str">
        <f aca="false">IF(OR(F5410="",G5410=""),"",IF(G5410&lt;='RETRATO 2027'!$K$5,"CONCLUÍDA",IF(F5410&lt;='RETRATO 2027'!$K$5,"EM ANDAMENTO","A INICIAR")))</f>
        <v/>
      </c>
    </row>
    <row r="5411" customFormat="false" ht="15" hidden="false" customHeight="false" outlineLevel="0" collapsed="false">
      <c r="M5411" s="2" t="str">
        <f aca="false">IF(C5411="","",IFERROR(INDEX($S$5:$S$304,MATCH(C5411,$R$5:$R$304,0))&amp;"","?"))</f>
        <v/>
      </c>
      <c r="N5411" s="2" t="str">
        <f aca="false"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 t="str">
        <f aca="false">IF(OR(F5411="",G5411=""),"",IF(G5411&lt;='RETRATO 2027'!$K$5,"CONCLUÍDA",IF(F5411&lt;='RETRATO 2027'!$K$5,"EM ANDAMENTO","A INICIAR")))</f>
        <v/>
      </c>
    </row>
    <row r="5412" customFormat="false" ht="15" hidden="false" customHeight="false" outlineLevel="0" collapsed="false">
      <c r="M5412" s="2" t="str">
        <f aca="false">IF(C5412="","",IFERROR(INDEX($S$5:$S$304,MATCH(C5412,$R$5:$R$304,0))&amp;"","?"))</f>
        <v/>
      </c>
      <c r="N5412" s="2" t="str">
        <f aca="false"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 t="str">
        <f aca="false">IF(OR(F5412="",G5412=""),"",IF(G5412&lt;='RETRATO 2027'!$K$5,"CONCLUÍDA",IF(F5412&lt;='RETRATO 2027'!$K$5,"EM ANDAMENTO","A INICIAR")))</f>
        <v/>
      </c>
    </row>
    <row r="5413" customFormat="false" ht="15" hidden="false" customHeight="false" outlineLevel="0" collapsed="false">
      <c r="M5413" s="2" t="str">
        <f aca="false">IF(C5413="","",IFERROR(INDEX($S$5:$S$304,MATCH(C5413,$R$5:$R$304,0))&amp;"","?"))</f>
        <v/>
      </c>
      <c r="N5413" s="2" t="str">
        <f aca="false"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 t="str">
        <f aca="false">IF(OR(F5413="",G5413=""),"",IF(G5413&lt;='RETRATO 2027'!$K$5,"CONCLUÍDA",IF(F5413&lt;='RETRATO 2027'!$K$5,"EM ANDAMENTO","A INICIAR")))</f>
        <v/>
      </c>
    </row>
    <row r="5414" customFormat="false" ht="15" hidden="false" customHeight="false" outlineLevel="0" collapsed="false">
      <c r="M5414" s="2" t="str">
        <f aca="false">IF(C5414="","",IFERROR(INDEX($S$5:$S$304,MATCH(C5414,$R$5:$R$304,0))&amp;"","?"))</f>
        <v/>
      </c>
      <c r="N5414" s="2" t="str">
        <f aca="false"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 t="str">
        <f aca="false">IF(OR(F5414="",G5414=""),"",IF(G5414&lt;='RETRATO 2027'!$K$5,"CONCLUÍDA",IF(F5414&lt;='RETRATO 2027'!$K$5,"EM ANDAMENTO","A INICIAR")))</f>
        <v/>
      </c>
    </row>
    <row r="5415" customFormat="false" ht="15" hidden="false" customHeight="false" outlineLevel="0" collapsed="false">
      <c r="M5415" s="2" t="str">
        <f aca="false">IF(C5415="","",IFERROR(INDEX($S$5:$S$304,MATCH(C5415,$R$5:$R$304,0))&amp;"","?"))</f>
        <v/>
      </c>
      <c r="N5415" s="2" t="str">
        <f aca="false"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 t="str">
        <f aca="false">IF(OR(F5415="",G5415=""),"",IF(G5415&lt;='RETRATO 2027'!$K$5,"CONCLUÍDA",IF(F5415&lt;='RETRATO 2027'!$K$5,"EM ANDAMENTO","A INICIAR")))</f>
        <v/>
      </c>
    </row>
    <row r="5416" customFormat="false" ht="15" hidden="false" customHeight="false" outlineLevel="0" collapsed="false">
      <c r="M5416" s="2" t="str">
        <f aca="false">IF(C5416="","",IFERROR(INDEX($S$5:$S$304,MATCH(C5416,$R$5:$R$304,0))&amp;"","?"))</f>
        <v/>
      </c>
      <c r="N5416" s="2" t="str">
        <f aca="false"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 t="str">
        <f aca="false">IF(OR(F5416="",G5416=""),"",IF(G5416&lt;='RETRATO 2027'!$K$5,"CONCLUÍDA",IF(F5416&lt;='RETRATO 2027'!$K$5,"EM ANDAMENTO","A INICIAR")))</f>
        <v/>
      </c>
    </row>
    <row r="5417" customFormat="false" ht="15" hidden="false" customHeight="false" outlineLevel="0" collapsed="false">
      <c r="M5417" s="2" t="str">
        <f aca="false">IF(C5417="","",IFERROR(INDEX($S$5:$S$304,MATCH(C5417,$R$5:$R$304,0))&amp;"","?"))</f>
        <v/>
      </c>
      <c r="N5417" s="2" t="str">
        <f aca="false"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 t="str">
        <f aca="false">IF(OR(F5417="",G5417=""),"",IF(G5417&lt;='RETRATO 2027'!$K$5,"CONCLUÍDA",IF(F5417&lt;='RETRATO 2027'!$K$5,"EM ANDAMENTO","A INICIAR")))</f>
        <v/>
      </c>
    </row>
    <row r="5418" customFormat="false" ht="15" hidden="false" customHeight="false" outlineLevel="0" collapsed="false">
      <c r="M5418" s="2" t="str">
        <f aca="false">IF(C5418="","",IFERROR(INDEX($S$5:$S$304,MATCH(C5418,$R$5:$R$304,0))&amp;"","?"))</f>
        <v/>
      </c>
      <c r="N5418" s="2" t="str">
        <f aca="false"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 t="str">
        <f aca="false">IF(OR(F5418="",G5418=""),"",IF(G5418&lt;='RETRATO 2027'!$K$5,"CONCLUÍDA",IF(F5418&lt;='RETRATO 2027'!$K$5,"EM ANDAMENTO","A INICIAR")))</f>
        <v/>
      </c>
    </row>
    <row r="5419" customFormat="false" ht="15" hidden="false" customHeight="false" outlineLevel="0" collapsed="false">
      <c r="M5419" s="2" t="str">
        <f aca="false">IF(C5419="","",IFERROR(INDEX($S$5:$S$304,MATCH(C5419,$R$5:$R$304,0))&amp;"","?"))</f>
        <v/>
      </c>
      <c r="N5419" s="2" t="str">
        <f aca="false"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 t="str">
        <f aca="false">IF(OR(F5419="",G5419=""),"",IF(G5419&lt;='RETRATO 2027'!$K$5,"CONCLUÍDA",IF(F5419&lt;='RETRATO 2027'!$K$5,"EM ANDAMENTO","A INICIAR")))</f>
        <v/>
      </c>
    </row>
    <row r="5420" customFormat="false" ht="15" hidden="false" customHeight="false" outlineLevel="0" collapsed="false">
      <c r="M5420" s="2" t="str">
        <f aca="false">IF(C5420="","",IFERROR(INDEX($S$5:$S$304,MATCH(C5420,$R$5:$R$304,0))&amp;"","?"))</f>
        <v/>
      </c>
      <c r="N5420" s="2" t="str">
        <f aca="false"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 t="str">
        <f aca="false">IF(OR(F5420="",G5420=""),"",IF(G5420&lt;='RETRATO 2027'!$K$5,"CONCLUÍDA",IF(F5420&lt;='RETRATO 2027'!$K$5,"EM ANDAMENTO","A INICIAR")))</f>
        <v/>
      </c>
    </row>
    <row r="5421" customFormat="false" ht="15" hidden="false" customHeight="false" outlineLevel="0" collapsed="false">
      <c r="M5421" s="2" t="str">
        <f aca="false">IF(C5421="","",IFERROR(INDEX($S$5:$S$304,MATCH(C5421,$R$5:$R$304,0))&amp;"","?"))</f>
        <v/>
      </c>
      <c r="N5421" s="2" t="str">
        <f aca="false"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 t="str">
        <f aca="false">IF(OR(F5421="",G5421=""),"",IF(G5421&lt;='RETRATO 2027'!$K$5,"CONCLUÍDA",IF(F5421&lt;='RETRATO 2027'!$K$5,"EM ANDAMENTO","A INICIAR")))</f>
        <v/>
      </c>
    </row>
    <row r="5422" customFormat="false" ht="15" hidden="false" customHeight="false" outlineLevel="0" collapsed="false">
      <c r="M5422" s="2" t="str">
        <f aca="false">IF(C5422="","",IFERROR(INDEX($S$5:$S$304,MATCH(C5422,$R$5:$R$304,0))&amp;"","?"))</f>
        <v/>
      </c>
      <c r="N5422" s="2" t="str">
        <f aca="false"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 t="str">
        <f aca="false">IF(OR(F5422="",G5422=""),"",IF(G5422&lt;='RETRATO 2027'!$K$5,"CONCLUÍDA",IF(F5422&lt;='RETRATO 2027'!$K$5,"EM ANDAMENTO","A INICIAR")))</f>
        <v/>
      </c>
    </row>
    <row r="5423" customFormat="false" ht="15" hidden="false" customHeight="false" outlineLevel="0" collapsed="false">
      <c r="M5423" s="2" t="str">
        <f aca="false">IF(C5423="","",IFERROR(INDEX($S$5:$S$304,MATCH(C5423,$R$5:$R$304,0))&amp;"","?"))</f>
        <v/>
      </c>
      <c r="N5423" s="2" t="str">
        <f aca="false"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 t="str">
        <f aca="false">IF(OR(F5423="",G5423=""),"",IF(G5423&lt;='RETRATO 2027'!$K$5,"CONCLUÍDA",IF(F5423&lt;='RETRATO 2027'!$K$5,"EM ANDAMENTO","A INICIAR")))</f>
        <v/>
      </c>
    </row>
    <row r="5424" customFormat="false" ht="15" hidden="false" customHeight="false" outlineLevel="0" collapsed="false">
      <c r="M5424" s="2" t="str">
        <f aca="false">IF(C5424="","",IFERROR(INDEX($S$5:$S$304,MATCH(C5424,$R$5:$R$304,0))&amp;"","?"))</f>
        <v/>
      </c>
      <c r="N5424" s="2" t="str">
        <f aca="false"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 t="str">
        <f aca="false">IF(OR(F5424="",G5424=""),"",IF(G5424&lt;='RETRATO 2027'!$K$5,"CONCLUÍDA",IF(F5424&lt;='RETRATO 2027'!$K$5,"EM ANDAMENTO","A INICIAR")))</f>
        <v/>
      </c>
    </row>
    <row r="5425" customFormat="false" ht="15" hidden="false" customHeight="false" outlineLevel="0" collapsed="false">
      <c r="M5425" s="2" t="str">
        <f aca="false">IF(C5425="","",IFERROR(INDEX($S$5:$S$304,MATCH(C5425,$R$5:$R$304,0))&amp;"","?"))</f>
        <v/>
      </c>
      <c r="N5425" s="2" t="str">
        <f aca="false"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 t="str">
        <f aca="false">IF(OR(F5425="",G5425=""),"",IF(G5425&lt;='RETRATO 2027'!$K$5,"CONCLUÍDA",IF(F5425&lt;='RETRATO 2027'!$K$5,"EM ANDAMENTO","A INICIAR")))</f>
        <v/>
      </c>
    </row>
    <row r="5426" customFormat="false" ht="15" hidden="false" customHeight="false" outlineLevel="0" collapsed="false">
      <c r="M5426" s="2" t="str">
        <f aca="false">IF(C5426="","",IFERROR(INDEX($S$5:$S$304,MATCH(C5426,$R$5:$R$304,0))&amp;"","?"))</f>
        <v/>
      </c>
      <c r="N5426" s="2" t="str">
        <f aca="false"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 t="str">
        <f aca="false">IF(OR(F5426="",G5426=""),"",IF(G5426&lt;='RETRATO 2027'!$K$5,"CONCLUÍDA",IF(F5426&lt;='RETRATO 2027'!$K$5,"EM ANDAMENTO","A INICIAR")))</f>
        <v/>
      </c>
    </row>
    <row r="5427" customFormat="false" ht="15" hidden="false" customHeight="false" outlineLevel="0" collapsed="false">
      <c r="M5427" s="2" t="str">
        <f aca="false">IF(C5427="","",IFERROR(INDEX($S$5:$S$304,MATCH(C5427,$R$5:$R$304,0))&amp;"","?"))</f>
        <v/>
      </c>
      <c r="N5427" s="2" t="str">
        <f aca="false"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 t="str">
        <f aca="false">IF(OR(F5427="",G5427=""),"",IF(G5427&lt;='RETRATO 2027'!$K$5,"CONCLUÍDA",IF(F5427&lt;='RETRATO 2027'!$K$5,"EM ANDAMENTO","A INICIAR")))</f>
        <v/>
      </c>
    </row>
    <row r="5428" customFormat="false" ht="15" hidden="false" customHeight="false" outlineLevel="0" collapsed="false">
      <c r="M5428" s="2" t="str">
        <f aca="false">IF(C5428="","",IFERROR(INDEX($S$5:$S$304,MATCH(C5428,$R$5:$R$304,0))&amp;"","?"))</f>
        <v/>
      </c>
      <c r="N5428" s="2" t="str">
        <f aca="false"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 t="str">
        <f aca="false">IF(OR(F5428="",G5428=""),"",IF(G5428&lt;='RETRATO 2027'!$K$5,"CONCLUÍDA",IF(F5428&lt;='RETRATO 2027'!$K$5,"EM ANDAMENTO","A INICIAR")))</f>
        <v/>
      </c>
    </row>
    <row r="5429" customFormat="false" ht="15" hidden="false" customHeight="false" outlineLevel="0" collapsed="false">
      <c r="M5429" s="2" t="str">
        <f aca="false">IF(C5429="","",IFERROR(INDEX($S$5:$S$304,MATCH(C5429,$R$5:$R$304,0))&amp;"","?"))</f>
        <v/>
      </c>
      <c r="N5429" s="2" t="str">
        <f aca="false"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 t="str">
        <f aca="false">IF(OR(F5429="",G5429=""),"",IF(G5429&lt;='RETRATO 2027'!$K$5,"CONCLUÍDA",IF(F5429&lt;='RETRATO 2027'!$K$5,"EM ANDAMENTO","A INICIAR")))</f>
        <v/>
      </c>
    </row>
    <row r="5430" customFormat="false" ht="15" hidden="false" customHeight="false" outlineLevel="0" collapsed="false">
      <c r="M5430" s="2" t="str">
        <f aca="false">IF(C5430="","",IFERROR(INDEX($S$5:$S$304,MATCH(C5430,$R$5:$R$304,0))&amp;"","?"))</f>
        <v/>
      </c>
      <c r="N5430" s="2" t="str">
        <f aca="false"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 t="str">
        <f aca="false">IF(OR(F5430="",G5430=""),"",IF(G5430&lt;='RETRATO 2027'!$K$5,"CONCLUÍDA",IF(F5430&lt;='RETRATO 2027'!$K$5,"EM ANDAMENTO","A INICIAR")))</f>
        <v/>
      </c>
    </row>
    <row r="5431" customFormat="false" ht="15" hidden="false" customHeight="false" outlineLevel="0" collapsed="false">
      <c r="M5431" s="2" t="str">
        <f aca="false">IF(C5431="","",IFERROR(INDEX($S$5:$S$304,MATCH(C5431,$R$5:$R$304,0))&amp;"","?"))</f>
        <v/>
      </c>
      <c r="N5431" s="2" t="str">
        <f aca="false"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 t="str">
        <f aca="false">IF(OR(F5431="",G5431=""),"",IF(G5431&lt;='RETRATO 2027'!$K$5,"CONCLUÍDA",IF(F5431&lt;='RETRATO 2027'!$K$5,"EM ANDAMENTO","A INICIAR")))</f>
        <v/>
      </c>
    </row>
    <row r="5432" customFormat="false" ht="15" hidden="false" customHeight="false" outlineLevel="0" collapsed="false">
      <c r="M5432" s="2" t="str">
        <f aca="false">IF(C5432="","",IFERROR(INDEX($S$5:$S$304,MATCH(C5432,$R$5:$R$304,0))&amp;"","?"))</f>
        <v/>
      </c>
      <c r="N5432" s="2" t="str">
        <f aca="false"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 t="str">
        <f aca="false">IF(OR(F5432="",G5432=""),"",IF(G5432&lt;='RETRATO 2027'!$K$5,"CONCLUÍDA",IF(F5432&lt;='RETRATO 2027'!$K$5,"EM ANDAMENTO","A INICIAR")))</f>
        <v/>
      </c>
    </row>
    <row r="5433" customFormat="false" ht="15" hidden="false" customHeight="false" outlineLevel="0" collapsed="false">
      <c r="M5433" s="2" t="str">
        <f aca="false">IF(C5433="","",IFERROR(INDEX($S$5:$S$304,MATCH(C5433,$R$5:$R$304,0))&amp;"","?"))</f>
        <v/>
      </c>
      <c r="N5433" s="2" t="str">
        <f aca="false"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 t="str">
        <f aca="false">IF(OR(F5433="",G5433=""),"",IF(G5433&lt;='RETRATO 2027'!$K$5,"CONCLUÍDA",IF(F5433&lt;='RETRATO 2027'!$K$5,"EM ANDAMENTO","A INICIAR")))</f>
        <v/>
      </c>
    </row>
    <row r="5434" customFormat="false" ht="15" hidden="false" customHeight="false" outlineLevel="0" collapsed="false">
      <c r="M5434" s="2" t="str">
        <f aca="false">IF(C5434="","",IFERROR(INDEX($S$5:$S$304,MATCH(C5434,$R$5:$R$304,0))&amp;"","?"))</f>
        <v/>
      </c>
      <c r="N5434" s="2" t="str">
        <f aca="false"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 t="str">
        <f aca="false">IF(OR(F5434="",G5434=""),"",IF(G5434&lt;='RETRATO 2027'!$K$5,"CONCLUÍDA",IF(F5434&lt;='RETRATO 2027'!$K$5,"EM ANDAMENTO","A INICIAR")))</f>
        <v/>
      </c>
    </row>
    <row r="5435" customFormat="false" ht="15" hidden="false" customHeight="false" outlineLevel="0" collapsed="false">
      <c r="M5435" s="2" t="str">
        <f aca="false">IF(C5435="","",IFERROR(INDEX($S$5:$S$304,MATCH(C5435,$R$5:$R$304,0))&amp;"","?"))</f>
        <v/>
      </c>
      <c r="N5435" s="2" t="str">
        <f aca="false"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 t="str">
        <f aca="false">IF(OR(F5435="",G5435=""),"",IF(G5435&lt;='RETRATO 2027'!$K$5,"CONCLUÍDA",IF(F5435&lt;='RETRATO 2027'!$K$5,"EM ANDAMENTO","A INICIAR")))</f>
        <v/>
      </c>
    </row>
    <row r="5436" customFormat="false" ht="15" hidden="false" customHeight="false" outlineLevel="0" collapsed="false">
      <c r="M5436" s="2" t="str">
        <f aca="false">IF(C5436="","",IFERROR(INDEX($S$5:$S$304,MATCH(C5436,$R$5:$R$304,0))&amp;"","?"))</f>
        <v/>
      </c>
      <c r="N5436" s="2" t="str">
        <f aca="false"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 t="str">
        <f aca="false">IF(OR(F5436="",G5436=""),"",IF(G5436&lt;='RETRATO 2027'!$K$5,"CONCLUÍDA",IF(F5436&lt;='RETRATO 2027'!$K$5,"EM ANDAMENTO","A INICIAR")))</f>
        <v/>
      </c>
    </row>
    <row r="5437" customFormat="false" ht="15" hidden="false" customHeight="false" outlineLevel="0" collapsed="false">
      <c r="M5437" s="2" t="str">
        <f aca="false">IF(C5437="","",IFERROR(INDEX($S$5:$S$304,MATCH(C5437,$R$5:$R$304,0))&amp;"","?"))</f>
        <v/>
      </c>
      <c r="N5437" s="2" t="str">
        <f aca="false"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 t="str">
        <f aca="false">IF(OR(F5437="",G5437=""),"",IF(G5437&lt;='RETRATO 2027'!$K$5,"CONCLUÍDA",IF(F5437&lt;='RETRATO 2027'!$K$5,"EM ANDAMENTO","A INICIAR")))</f>
        <v/>
      </c>
    </row>
    <row r="5438" customFormat="false" ht="15" hidden="false" customHeight="false" outlineLevel="0" collapsed="false">
      <c r="M5438" s="2" t="str">
        <f aca="false">IF(C5438="","",IFERROR(INDEX($S$5:$S$304,MATCH(C5438,$R$5:$R$304,0))&amp;"","?"))</f>
        <v/>
      </c>
      <c r="N5438" s="2" t="str">
        <f aca="false"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 t="str">
        <f aca="false">IF(OR(F5438="",G5438=""),"",IF(G5438&lt;='RETRATO 2027'!$K$5,"CONCLUÍDA",IF(F5438&lt;='RETRATO 2027'!$K$5,"EM ANDAMENTO","A INICIAR")))</f>
        <v/>
      </c>
    </row>
    <row r="5439" customFormat="false" ht="15" hidden="false" customHeight="false" outlineLevel="0" collapsed="false">
      <c r="M5439" s="2" t="str">
        <f aca="false">IF(C5439="","",IFERROR(INDEX($S$5:$S$304,MATCH(C5439,$R$5:$R$304,0))&amp;"","?"))</f>
        <v/>
      </c>
      <c r="N5439" s="2" t="str">
        <f aca="false"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 t="str">
        <f aca="false">IF(OR(F5439="",G5439=""),"",IF(G5439&lt;='RETRATO 2027'!$K$5,"CONCLUÍDA",IF(F5439&lt;='RETRATO 2027'!$K$5,"EM ANDAMENTO","A INICIAR")))</f>
        <v/>
      </c>
    </row>
    <row r="5440" customFormat="false" ht="15" hidden="false" customHeight="false" outlineLevel="0" collapsed="false">
      <c r="M5440" s="2" t="str">
        <f aca="false">IF(C5440="","",IFERROR(INDEX($S$5:$S$304,MATCH(C5440,$R$5:$R$304,0))&amp;"","?"))</f>
        <v/>
      </c>
      <c r="N5440" s="2" t="str">
        <f aca="false"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 t="str">
        <f aca="false">IF(OR(F5440="",G5440=""),"",IF(G5440&lt;='RETRATO 2027'!$K$5,"CONCLUÍDA",IF(F5440&lt;='RETRATO 2027'!$K$5,"EM ANDAMENTO","A INICIAR")))</f>
        <v/>
      </c>
    </row>
    <row r="5441" customFormat="false" ht="15" hidden="false" customHeight="false" outlineLevel="0" collapsed="false">
      <c r="M5441" s="2" t="str">
        <f aca="false">IF(C5441="","",IFERROR(INDEX($S$5:$S$304,MATCH(C5441,$R$5:$R$304,0))&amp;"","?"))</f>
        <v/>
      </c>
      <c r="N5441" s="2" t="str">
        <f aca="false"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 t="str">
        <f aca="false">IF(OR(F5441="",G5441=""),"",IF(G5441&lt;='RETRATO 2027'!$K$5,"CONCLUÍDA",IF(F5441&lt;='RETRATO 2027'!$K$5,"EM ANDAMENTO","A INICIAR")))</f>
        <v/>
      </c>
    </row>
    <row r="5442" customFormat="false" ht="15" hidden="false" customHeight="false" outlineLevel="0" collapsed="false">
      <c r="M5442" s="2" t="str">
        <f aca="false">IF(C5442="","",IFERROR(INDEX($S$5:$S$304,MATCH(C5442,$R$5:$R$304,0))&amp;"","?"))</f>
        <v/>
      </c>
      <c r="N5442" s="2" t="str">
        <f aca="false"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 t="str">
        <f aca="false">IF(OR(F5442="",G5442=""),"",IF(G5442&lt;='RETRATO 2027'!$K$5,"CONCLUÍDA",IF(F5442&lt;='RETRATO 2027'!$K$5,"EM ANDAMENTO","A INICIAR")))</f>
        <v/>
      </c>
    </row>
    <row r="5443" customFormat="false" ht="15" hidden="false" customHeight="false" outlineLevel="0" collapsed="false">
      <c r="M5443" s="2" t="str">
        <f aca="false">IF(C5443="","",IFERROR(INDEX($S$5:$S$304,MATCH(C5443,$R$5:$R$304,0))&amp;"","?"))</f>
        <v/>
      </c>
      <c r="N5443" s="2" t="str">
        <f aca="false"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 t="str">
        <f aca="false">IF(OR(F5443="",G5443=""),"",IF(G5443&lt;='RETRATO 2027'!$K$5,"CONCLUÍDA",IF(F5443&lt;='RETRATO 2027'!$K$5,"EM ANDAMENTO","A INICIAR")))</f>
        <v/>
      </c>
    </row>
    <row r="5444" customFormat="false" ht="15" hidden="false" customHeight="false" outlineLevel="0" collapsed="false">
      <c r="M5444" s="2" t="str">
        <f aca="false">IF(C5444="","",IFERROR(INDEX($S$5:$S$304,MATCH(C5444,$R$5:$R$304,0))&amp;"","?"))</f>
        <v/>
      </c>
      <c r="N5444" s="2" t="str">
        <f aca="false"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 t="str">
        <f aca="false">IF(OR(F5444="",G5444=""),"",IF(G5444&lt;='RETRATO 2027'!$K$5,"CONCLUÍDA",IF(F5444&lt;='RETRATO 2027'!$K$5,"EM ANDAMENTO","A INICIAR")))</f>
        <v/>
      </c>
    </row>
    <row r="5445" customFormat="false" ht="15" hidden="false" customHeight="false" outlineLevel="0" collapsed="false">
      <c r="M5445" s="2" t="str">
        <f aca="false">IF(C5445="","",IFERROR(INDEX($S$5:$S$304,MATCH(C5445,$R$5:$R$304,0))&amp;"","?"))</f>
        <v/>
      </c>
      <c r="N5445" s="2" t="str">
        <f aca="false"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 t="str">
        <f aca="false">IF(OR(F5445="",G5445=""),"",IF(G5445&lt;='RETRATO 2027'!$K$5,"CONCLUÍDA",IF(F5445&lt;='RETRATO 2027'!$K$5,"EM ANDAMENTO","A INICIAR")))</f>
        <v/>
      </c>
    </row>
    <row r="5446" customFormat="false" ht="15" hidden="false" customHeight="false" outlineLevel="0" collapsed="false">
      <c r="M5446" s="2" t="str">
        <f aca="false">IF(C5446="","",IFERROR(INDEX($S$5:$S$304,MATCH(C5446,$R$5:$R$304,0))&amp;"","?"))</f>
        <v/>
      </c>
      <c r="N5446" s="2" t="str">
        <f aca="false"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 t="str">
        <f aca="false">IF(OR(F5446="",G5446=""),"",IF(G5446&lt;='RETRATO 2027'!$K$5,"CONCLUÍDA",IF(F5446&lt;='RETRATO 2027'!$K$5,"EM ANDAMENTO","A INICIAR")))</f>
        <v/>
      </c>
    </row>
    <row r="5447" customFormat="false" ht="15" hidden="false" customHeight="false" outlineLevel="0" collapsed="false">
      <c r="M5447" s="2" t="str">
        <f aca="false">IF(C5447="","",IFERROR(INDEX($S$5:$S$304,MATCH(C5447,$R$5:$R$304,0))&amp;"","?"))</f>
        <v/>
      </c>
      <c r="N5447" s="2" t="str">
        <f aca="false"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 t="str">
        <f aca="false">IF(OR(F5447="",G5447=""),"",IF(G5447&lt;='RETRATO 2027'!$K$5,"CONCLUÍDA",IF(F5447&lt;='RETRATO 2027'!$K$5,"EM ANDAMENTO","A INICIAR")))</f>
        <v/>
      </c>
    </row>
    <row r="5448" customFormat="false" ht="15" hidden="false" customHeight="false" outlineLevel="0" collapsed="false">
      <c r="M5448" s="2" t="str">
        <f aca="false">IF(C5448="","",IFERROR(INDEX($S$5:$S$304,MATCH(C5448,$R$5:$R$304,0))&amp;"","?"))</f>
        <v/>
      </c>
      <c r="N5448" s="2" t="str">
        <f aca="false"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 t="str">
        <f aca="false">IF(OR(F5448="",G5448=""),"",IF(G5448&lt;='RETRATO 2027'!$K$5,"CONCLUÍDA",IF(F5448&lt;='RETRATO 2027'!$K$5,"EM ANDAMENTO","A INICIAR")))</f>
        <v/>
      </c>
    </row>
    <row r="5449" customFormat="false" ht="15" hidden="false" customHeight="false" outlineLevel="0" collapsed="false">
      <c r="M5449" s="2" t="str">
        <f aca="false">IF(C5449="","",IFERROR(INDEX($S$5:$S$304,MATCH(C5449,$R$5:$R$304,0))&amp;"","?"))</f>
        <v/>
      </c>
      <c r="N5449" s="2" t="str">
        <f aca="false"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 t="str">
        <f aca="false">IF(OR(F5449="",G5449=""),"",IF(G5449&lt;='RETRATO 2027'!$K$5,"CONCLUÍDA",IF(F5449&lt;='RETRATO 2027'!$K$5,"EM ANDAMENTO","A INICIAR")))</f>
        <v/>
      </c>
    </row>
    <row r="5450" customFormat="false" ht="15" hidden="false" customHeight="false" outlineLevel="0" collapsed="false">
      <c r="M5450" s="2" t="str">
        <f aca="false">IF(C5450="","",IFERROR(INDEX($S$5:$S$304,MATCH(C5450,$R$5:$R$304,0))&amp;"","?"))</f>
        <v/>
      </c>
      <c r="N5450" s="2" t="str">
        <f aca="false"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 t="str">
        <f aca="false">IF(OR(F5450="",G5450=""),"",IF(G5450&lt;='RETRATO 2027'!$K$5,"CONCLUÍDA",IF(F5450&lt;='RETRATO 2027'!$K$5,"EM ANDAMENTO","A INICIAR")))</f>
        <v/>
      </c>
    </row>
    <row r="5451" customFormat="false" ht="15" hidden="false" customHeight="false" outlineLevel="0" collapsed="false">
      <c r="M5451" s="2" t="str">
        <f aca="false">IF(C5451="","",IFERROR(INDEX($S$5:$S$304,MATCH(C5451,$R$5:$R$304,0))&amp;"","?"))</f>
        <v/>
      </c>
      <c r="N5451" s="2" t="str">
        <f aca="false"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 t="str">
        <f aca="false">IF(OR(F5451="",G5451=""),"",IF(G5451&lt;='RETRATO 2027'!$K$5,"CONCLUÍDA",IF(F5451&lt;='RETRATO 2027'!$K$5,"EM ANDAMENTO","A INICIAR")))</f>
        <v/>
      </c>
    </row>
    <row r="5452" customFormat="false" ht="15" hidden="false" customHeight="false" outlineLevel="0" collapsed="false">
      <c r="M5452" s="2" t="str">
        <f aca="false">IF(C5452="","",IFERROR(INDEX($S$5:$S$304,MATCH(C5452,$R$5:$R$304,0))&amp;"","?"))</f>
        <v/>
      </c>
      <c r="N5452" s="2" t="str">
        <f aca="false"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 t="str">
        <f aca="false">IF(OR(F5452="",G5452=""),"",IF(G5452&lt;='RETRATO 2027'!$K$5,"CONCLUÍDA",IF(F5452&lt;='RETRATO 2027'!$K$5,"EM ANDAMENTO","A INICIAR")))</f>
        <v/>
      </c>
    </row>
    <row r="5453" customFormat="false" ht="15" hidden="false" customHeight="false" outlineLevel="0" collapsed="false">
      <c r="M5453" s="2" t="str">
        <f aca="false">IF(C5453="","",IFERROR(INDEX($S$5:$S$304,MATCH(C5453,$R$5:$R$304,0))&amp;"","?"))</f>
        <v/>
      </c>
      <c r="N5453" s="2" t="str">
        <f aca="false"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 t="str">
        <f aca="false">IF(OR(F5453="",G5453=""),"",IF(G5453&lt;='RETRATO 2027'!$K$5,"CONCLUÍDA",IF(F5453&lt;='RETRATO 2027'!$K$5,"EM ANDAMENTO","A INICIAR")))</f>
        <v/>
      </c>
    </row>
    <row r="5454" customFormat="false" ht="15" hidden="false" customHeight="false" outlineLevel="0" collapsed="false">
      <c r="M5454" s="2" t="str">
        <f aca="false">IF(C5454="","",IFERROR(INDEX($S$5:$S$304,MATCH(C5454,$R$5:$R$304,0))&amp;"","?"))</f>
        <v/>
      </c>
      <c r="N5454" s="2" t="str">
        <f aca="false"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 t="str">
        <f aca="false">IF(OR(F5454="",G5454=""),"",IF(G5454&lt;='RETRATO 2027'!$K$5,"CONCLUÍDA",IF(F5454&lt;='RETRATO 2027'!$K$5,"EM ANDAMENTO","A INICIAR")))</f>
        <v/>
      </c>
    </row>
    <row r="5455" customFormat="false" ht="15" hidden="false" customHeight="false" outlineLevel="0" collapsed="false">
      <c r="M5455" s="2" t="str">
        <f aca="false">IF(C5455="","",IFERROR(INDEX($S$5:$S$304,MATCH(C5455,$R$5:$R$304,0))&amp;"","?"))</f>
        <v/>
      </c>
      <c r="N5455" s="2" t="str">
        <f aca="false"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 t="str">
        <f aca="false">IF(OR(F5455="",G5455=""),"",IF(G5455&lt;='RETRATO 2027'!$K$5,"CONCLUÍDA",IF(F5455&lt;='RETRATO 2027'!$K$5,"EM ANDAMENTO","A INICIAR")))</f>
        <v/>
      </c>
    </row>
    <row r="5456" customFormat="false" ht="15" hidden="false" customHeight="false" outlineLevel="0" collapsed="false">
      <c r="M5456" s="2" t="str">
        <f aca="false">IF(C5456="","",IFERROR(INDEX($S$5:$S$304,MATCH(C5456,$R$5:$R$304,0))&amp;"","?"))</f>
        <v/>
      </c>
      <c r="N5456" s="2" t="str">
        <f aca="false"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 t="str">
        <f aca="false">IF(OR(F5456="",G5456=""),"",IF(G5456&lt;='RETRATO 2027'!$K$5,"CONCLUÍDA",IF(F5456&lt;='RETRATO 2027'!$K$5,"EM ANDAMENTO","A INICIAR")))</f>
        <v/>
      </c>
    </row>
    <row r="5457" customFormat="false" ht="15" hidden="false" customHeight="false" outlineLevel="0" collapsed="false">
      <c r="M5457" s="2" t="str">
        <f aca="false">IF(C5457="","",IFERROR(INDEX($S$5:$S$304,MATCH(C5457,$R$5:$R$304,0))&amp;"","?"))</f>
        <v/>
      </c>
      <c r="N5457" s="2" t="str">
        <f aca="false"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 t="str">
        <f aca="false">IF(OR(F5457="",G5457=""),"",IF(G5457&lt;='RETRATO 2027'!$K$5,"CONCLUÍDA",IF(F5457&lt;='RETRATO 2027'!$K$5,"EM ANDAMENTO","A INICIAR")))</f>
        <v/>
      </c>
    </row>
    <row r="5458" customFormat="false" ht="15" hidden="false" customHeight="false" outlineLevel="0" collapsed="false">
      <c r="M5458" s="2" t="str">
        <f aca="false">IF(C5458="","",IFERROR(INDEX($S$5:$S$304,MATCH(C5458,$R$5:$R$304,0))&amp;"","?"))</f>
        <v/>
      </c>
      <c r="N5458" s="2" t="str">
        <f aca="false"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 t="str">
        <f aca="false">IF(OR(F5458="",G5458=""),"",IF(G5458&lt;='RETRATO 2027'!$K$5,"CONCLUÍDA",IF(F5458&lt;='RETRATO 2027'!$K$5,"EM ANDAMENTO","A INICIAR")))</f>
        <v/>
      </c>
    </row>
    <row r="5459" customFormat="false" ht="15" hidden="false" customHeight="false" outlineLevel="0" collapsed="false">
      <c r="M5459" s="2" t="str">
        <f aca="false">IF(C5459="","",IFERROR(INDEX($S$5:$S$304,MATCH(C5459,$R$5:$R$304,0))&amp;"","?"))</f>
        <v/>
      </c>
      <c r="N5459" s="2" t="str">
        <f aca="false"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 t="str">
        <f aca="false">IF(OR(F5459="",G5459=""),"",IF(G5459&lt;='RETRATO 2027'!$K$5,"CONCLUÍDA",IF(F5459&lt;='RETRATO 2027'!$K$5,"EM ANDAMENTO","A INICIAR")))</f>
        <v/>
      </c>
    </row>
    <row r="5460" customFormat="false" ht="15" hidden="false" customHeight="false" outlineLevel="0" collapsed="false">
      <c r="M5460" s="2" t="str">
        <f aca="false">IF(C5460="","",IFERROR(INDEX($S$5:$S$304,MATCH(C5460,$R$5:$R$304,0))&amp;"","?"))</f>
        <v/>
      </c>
      <c r="N5460" s="2" t="str">
        <f aca="false"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 t="str">
        <f aca="false">IF(OR(F5460="",G5460=""),"",IF(G5460&lt;='RETRATO 2027'!$K$5,"CONCLUÍDA",IF(F5460&lt;='RETRATO 2027'!$K$5,"EM ANDAMENTO","A INICIAR")))</f>
        <v/>
      </c>
    </row>
    <row r="5461" customFormat="false" ht="15" hidden="false" customHeight="false" outlineLevel="0" collapsed="false">
      <c r="M5461" s="2" t="str">
        <f aca="false">IF(C5461="","",IFERROR(INDEX($S$5:$S$304,MATCH(C5461,$R$5:$R$304,0))&amp;"","?"))</f>
        <v/>
      </c>
      <c r="N5461" s="2" t="str">
        <f aca="false"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 t="str">
        <f aca="false">IF(OR(F5461="",G5461=""),"",IF(G5461&lt;='RETRATO 2027'!$K$5,"CONCLUÍDA",IF(F5461&lt;='RETRATO 2027'!$K$5,"EM ANDAMENTO","A INICIAR")))</f>
        <v/>
      </c>
    </row>
    <row r="5462" customFormat="false" ht="15" hidden="false" customHeight="false" outlineLevel="0" collapsed="false">
      <c r="M5462" s="2" t="str">
        <f aca="false">IF(C5462="","",IFERROR(INDEX($S$5:$S$304,MATCH(C5462,$R$5:$R$304,0))&amp;"","?"))</f>
        <v/>
      </c>
      <c r="N5462" s="2" t="str">
        <f aca="false"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 t="str">
        <f aca="false">IF(OR(F5462="",G5462=""),"",IF(G5462&lt;='RETRATO 2027'!$K$5,"CONCLUÍDA",IF(F5462&lt;='RETRATO 2027'!$K$5,"EM ANDAMENTO","A INICIAR")))</f>
        <v/>
      </c>
    </row>
    <row r="5463" customFormat="false" ht="15" hidden="false" customHeight="false" outlineLevel="0" collapsed="false">
      <c r="M5463" s="2" t="str">
        <f aca="false">IF(C5463="","",IFERROR(INDEX($S$5:$S$304,MATCH(C5463,$R$5:$R$304,0))&amp;"","?"))</f>
        <v/>
      </c>
      <c r="N5463" s="2" t="str">
        <f aca="false"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 t="str">
        <f aca="false">IF(OR(F5463="",G5463=""),"",IF(G5463&lt;='RETRATO 2027'!$K$5,"CONCLUÍDA",IF(F5463&lt;='RETRATO 2027'!$K$5,"EM ANDAMENTO","A INICIAR")))</f>
        <v/>
      </c>
    </row>
    <row r="5464" customFormat="false" ht="15" hidden="false" customHeight="false" outlineLevel="0" collapsed="false">
      <c r="M5464" s="2" t="str">
        <f aca="false">IF(C5464="","",IFERROR(INDEX($S$5:$S$304,MATCH(C5464,$R$5:$R$304,0))&amp;"","?"))</f>
        <v/>
      </c>
      <c r="N5464" s="2" t="str">
        <f aca="false"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 t="str">
        <f aca="false">IF(OR(F5464="",G5464=""),"",IF(G5464&lt;='RETRATO 2027'!$K$5,"CONCLUÍDA",IF(F5464&lt;='RETRATO 2027'!$K$5,"EM ANDAMENTO","A INICIAR")))</f>
        <v/>
      </c>
    </row>
    <row r="5465" customFormat="false" ht="15" hidden="false" customHeight="false" outlineLevel="0" collapsed="false">
      <c r="M5465" s="2" t="str">
        <f aca="false">IF(C5465="","",IFERROR(INDEX($S$5:$S$304,MATCH(C5465,$R$5:$R$304,0))&amp;"","?"))</f>
        <v/>
      </c>
      <c r="N5465" s="2" t="str">
        <f aca="false"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 t="str">
        <f aca="false">IF(OR(F5465="",G5465=""),"",IF(G5465&lt;='RETRATO 2027'!$K$5,"CONCLUÍDA",IF(F5465&lt;='RETRATO 2027'!$K$5,"EM ANDAMENTO","A INICIAR")))</f>
        <v/>
      </c>
    </row>
    <row r="5466" customFormat="false" ht="15" hidden="false" customHeight="false" outlineLevel="0" collapsed="false">
      <c r="M5466" s="2" t="str">
        <f aca="false">IF(C5466="","",IFERROR(INDEX($S$5:$S$304,MATCH(C5466,$R$5:$R$304,0))&amp;"","?"))</f>
        <v/>
      </c>
      <c r="N5466" s="2" t="str">
        <f aca="false"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 t="str">
        <f aca="false">IF(OR(F5466="",G5466=""),"",IF(G5466&lt;='RETRATO 2027'!$K$5,"CONCLUÍDA",IF(F5466&lt;='RETRATO 2027'!$K$5,"EM ANDAMENTO","A INICIAR")))</f>
        <v/>
      </c>
    </row>
    <row r="5467" customFormat="false" ht="15" hidden="false" customHeight="false" outlineLevel="0" collapsed="false">
      <c r="M5467" s="2" t="str">
        <f aca="false">IF(C5467="","",IFERROR(INDEX($S$5:$S$304,MATCH(C5467,$R$5:$R$304,0))&amp;"","?"))</f>
        <v/>
      </c>
      <c r="N5467" s="2" t="str">
        <f aca="false"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 t="str">
        <f aca="false">IF(OR(F5467="",G5467=""),"",IF(G5467&lt;='RETRATO 2027'!$K$5,"CONCLUÍDA",IF(F5467&lt;='RETRATO 2027'!$K$5,"EM ANDAMENTO","A INICIAR")))</f>
        <v/>
      </c>
    </row>
    <row r="5468" customFormat="false" ht="15" hidden="false" customHeight="false" outlineLevel="0" collapsed="false">
      <c r="M5468" s="2" t="str">
        <f aca="false">IF(C5468="","",IFERROR(INDEX($S$5:$S$304,MATCH(C5468,$R$5:$R$304,0))&amp;"","?"))</f>
        <v/>
      </c>
      <c r="N5468" s="2" t="str">
        <f aca="false"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 t="str">
        <f aca="false">IF(OR(F5468="",G5468=""),"",IF(G5468&lt;='RETRATO 2027'!$K$5,"CONCLUÍDA",IF(F5468&lt;='RETRATO 2027'!$K$5,"EM ANDAMENTO","A INICIAR")))</f>
        <v/>
      </c>
    </row>
    <row r="5469" customFormat="false" ht="15" hidden="false" customHeight="false" outlineLevel="0" collapsed="false">
      <c r="M5469" s="2" t="str">
        <f aca="false">IF(C5469="","",IFERROR(INDEX($S$5:$S$304,MATCH(C5469,$R$5:$R$304,0))&amp;"","?"))</f>
        <v/>
      </c>
      <c r="N5469" s="2" t="str">
        <f aca="false"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 t="str">
        <f aca="false">IF(OR(F5469="",G5469=""),"",IF(G5469&lt;='RETRATO 2027'!$K$5,"CONCLUÍDA",IF(F5469&lt;='RETRATO 2027'!$K$5,"EM ANDAMENTO","A INICIAR")))</f>
        <v/>
      </c>
    </row>
    <row r="5470" customFormat="false" ht="15" hidden="false" customHeight="false" outlineLevel="0" collapsed="false">
      <c r="M5470" s="2" t="str">
        <f aca="false">IF(C5470="","",IFERROR(INDEX($S$5:$S$304,MATCH(C5470,$R$5:$R$304,0))&amp;"","?"))</f>
        <v/>
      </c>
      <c r="N5470" s="2" t="str">
        <f aca="false"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 t="str">
        <f aca="false">IF(OR(F5470="",G5470=""),"",IF(G5470&lt;='RETRATO 2027'!$K$5,"CONCLUÍDA",IF(F5470&lt;='RETRATO 2027'!$K$5,"EM ANDAMENTO","A INICIAR")))</f>
        <v/>
      </c>
    </row>
    <row r="5471" customFormat="false" ht="15" hidden="false" customHeight="false" outlineLevel="0" collapsed="false">
      <c r="M5471" s="2" t="str">
        <f aca="false">IF(C5471="","",IFERROR(INDEX($S$5:$S$304,MATCH(C5471,$R$5:$R$304,0))&amp;"","?"))</f>
        <v/>
      </c>
      <c r="N5471" s="2" t="str">
        <f aca="false"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 t="str">
        <f aca="false">IF(OR(F5471="",G5471=""),"",IF(G5471&lt;='RETRATO 2027'!$K$5,"CONCLUÍDA",IF(F5471&lt;='RETRATO 2027'!$K$5,"EM ANDAMENTO","A INICIAR")))</f>
        <v/>
      </c>
    </row>
    <row r="5472" customFormat="false" ht="15" hidden="false" customHeight="false" outlineLevel="0" collapsed="false">
      <c r="M5472" s="2" t="str">
        <f aca="false">IF(C5472="","",IFERROR(INDEX($S$5:$S$304,MATCH(C5472,$R$5:$R$304,0))&amp;"","?"))</f>
        <v/>
      </c>
      <c r="N5472" s="2" t="str">
        <f aca="false"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 t="str">
        <f aca="false">IF(OR(F5472="",G5472=""),"",IF(G5472&lt;='RETRATO 2027'!$K$5,"CONCLUÍDA",IF(F5472&lt;='RETRATO 2027'!$K$5,"EM ANDAMENTO","A INICIAR")))</f>
        <v/>
      </c>
    </row>
    <row r="5473" customFormat="false" ht="15" hidden="false" customHeight="false" outlineLevel="0" collapsed="false">
      <c r="M5473" s="2" t="str">
        <f aca="false">IF(C5473="","",IFERROR(INDEX($S$5:$S$304,MATCH(C5473,$R$5:$R$304,0))&amp;"","?"))</f>
        <v/>
      </c>
      <c r="N5473" s="2" t="str">
        <f aca="false"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 t="str">
        <f aca="false">IF(OR(F5473="",G5473=""),"",IF(G5473&lt;='RETRATO 2027'!$K$5,"CONCLUÍDA",IF(F5473&lt;='RETRATO 2027'!$K$5,"EM ANDAMENTO","A INICIAR")))</f>
        <v/>
      </c>
    </row>
    <row r="5474" customFormat="false" ht="15" hidden="false" customHeight="false" outlineLevel="0" collapsed="false">
      <c r="M5474" s="2" t="str">
        <f aca="false">IF(C5474="","",IFERROR(INDEX($S$5:$S$304,MATCH(C5474,$R$5:$R$304,0))&amp;"","?"))</f>
        <v/>
      </c>
      <c r="N5474" s="2" t="str">
        <f aca="false"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 t="str">
        <f aca="false">IF(OR(F5474="",G5474=""),"",IF(G5474&lt;='RETRATO 2027'!$K$5,"CONCLUÍDA",IF(F5474&lt;='RETRATO 2027'!$K$5,"EM ANDAMENTO","A INICIAR")))</f>
        <v/>
      </c>
    </row>
    <row r="5475" customFormat="false" ht="15" hidden="false" customHeight="false" outlineLevel="0" collapsed="false">
      <c r="M5475" s="2" t="str">
        <f aca="false">IF(C5475="","",IFERROR(INDEX($S$5:$S$304,MATCH(C5475,$R$5:$R$304,0))&amp;"","?"))</f>
        <v/>
      </c>
      <c r="N5475" s="2" t="str">
        <f aca="false"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 t="str">
        <f aca="false">IF(OR(F5475="",G5475=""),"",IF(G5475&lt;='RETRATO 2027'!$K$5,"CONCLUÍDA",IF(F5475&lt;='RETRATO 2027'!$K$5,"EM ANDAMENTO","A INICIAR")))</f>
        <v/>
      </c>
    </row>
    <row r="5476" customFormat="false" ht="15" hidden="false" customHeight="false" outlineLevel="0" collapsed="false">
      <c r="M5476" s="2" t="str">
        <f aca="false">IF(C5476="","",IFERROR(INDEX($S$5:$S$304,MATCH(C5476,$R$5:$R$304,0))&amp;"","?"))</f>
        <v/>
      </c>
      <c r="N5476" s="2" t="str">
        <f aca="false"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 t="str">
        <f aca="false">IF(OR(F5476="",G5476=""),"",IF(G5476&lt;='RETRATO 2027'!$K$5,"CONCLUÍDA",IF(F5476&lt;='RETRATO 2027'!$K$5,"EM ANDAMENTO","A INICIAR")))</f>
        <v/>
      </c>
    </row>
    <row r="5477" customFormat="false" ht="15" hidden="false" customHeight="false" outlineLevel="0" collapsed="false">
      <c r="M5477" s="2" t="str">
        <f aca="false">IF(C5477="","",IFERROR(INDEX($S$5:$S$304,MATCH(C5477,$R$5:$R$304,0))&amp;"","?"))</f>
        <v/>
      </c>
      <c r="N5477" s="2" t="str">
        <f aca="false"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 t="str">
        <f aca="false">IF(OR(F5477="",G5477=""),"",IF(G5477&lt;='RETRATO 2027'!$K$5,"CONCLUÍDA",IF(F5477&lt;='RETRATO 2027'!$K$5,"EM ANDAMENTO","A INICIAR")))</f>
        <v/>
      </c>
    </row>
    <row r="5478" customFormat="false" ht="15" hidden="false" customHeight="false" outlineLevel="0" collapsed="false">
      <c r="M5478" s="2" t="str">
        <f aca="false">IF(C5478="","",IFERROR(INDEX($S$5:$S$304,MATCH(C5478,$R$5:$R$304,0))&amp;"","?"))</f>
        <v/>
      </c>
      <c r="N5478" s="2" t="str">
        <f aca="false"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 t="str">
        <f aca="false">IF(OR(F5478="",G5478=""),"",IF(G5478&lt;='RETRATO 2027'!$K$5,"CONCLUÍDA",IF(F5478&lt;='RETRATO 2027'!$K$5,"EM ANDAMENTO","A INICIAR")))</f>
        <v/>
      </c>
    </row>
    <row r="5479" customFormat="false" ht="15" hidden="false" customHeight="false" outlineLevel="0" collapsed="false">
      <c r="M5479" s="2" t="str">
        <f aca="false">IF(C5479="","",IFERROR(INDEX($S$5:$S$304,MATCH(C5479,$R$5:$R$304,0))&amp;"","?"))</f>
        <v/>
      </c>
      <c r="N5479" s="2" t="str">
        <f aca="false"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 t="str">
        <f aca="false">IF(OR(F5479="",G5479=""),"",IF(G5479&lt;='RETRATO 2027'!$K$5,"CONCLUÍDA",IF(F5479&lt;='RETRATO 2027'!$K$5,"EM ANDAMENTO","A INICIAR")))</f>
        <v/>
      </c>
    </row>
    <row r="5480" customFormat="false" ht="15" hidden="false" customHeight="false" outlineLevel="0" collapsed="false">
      <c r="M5480" s="2" t="str">
        <f aca="false">IF(C5480="","",IFERROR(INDEX($S$5:$S$304,MATCH(C5480,$R$5:$R$304,0))&amp;"","?"))</f>
        <v/>
      </c>
      <c r="N5480" s="2" t="str">
        <f aca="false"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 t="str">
        <f aca="false">IF(OR(F5480="",G5480=""),"",IF(G5480&lt;='RETRATO 2027'!$K$5,"CONCLUÍDA",IF(F5480&lt;='RETRATO 2027'!$K$5,"EM ANDAMENTO","A INICIAR")))</f>
        <v/>
      </c>
    </row>
    <row r="5481" customFormat="false" ht="15" hidden="false" customHeight="false" outlineLevel="0" collapsed="false">
      <c r="M5481" s="2" t="str">
        <f aca="false">IF(C5481="","",IFERROR(INDEX($S$5:$S$304,MATCH(C5481,$R$5:$R$304,0))&amp;"","?"))</f>
        <v/>
      </c>
      <c r="N5481" s="2" t="str">
        <f aca="false"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 t="str">
        <f aca="false">IF(OR(F5481="",G5481=""),"",IF(G5481&lt;='RETRATO 2027'!$K$5,"CONCLUÍDA",IF(F5481&lt;='RETRATO 2027'!$K$5,"EM ANDAMENTO","A INICIAR")))</f>
        <v/>
      </c>
    </row>
    <row r="5482" customFormat="false" ht="15" hidden="false" customHeight="false" outlineLevel="0" collapsed="false">
      <c r="M5482" s="2" t="str">
        <f aca="false">IF(C5482="","",IFERROR(INDEX($S$5:$S$304,MATCH(C5482,$R$5:$R$304,0))&amp;"","?"))</f>
        <v/>
      </c>
      <c r="N5482" s="2" t="str">
        <f aca="false"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 t="str">
        <f aca="false">IF(OR(F5482="",G5482=""),"",IF(G5482&lt;='RETRATO 2027'!$K$5,"CONCLUÍDA",IF(F5482&lt;='RETRATO 2027'!$K$5,"EM ANDAMENTO","A INICIAR")))</f>
        <v/>
      </c>
    </row>
    <row r="5483" customFormat="false" ht="15" hidden="false" customHeight="false" outlineLevel="0" collapsed="false">
      <c r="M5483" s="2" t="str">
        <f aca="false">IF(C5483="","",IFERROR(INDEX($S$5:$S$304,MATCH(C5483,$R$5:$R$304,0))&amp;"","?"))</f>
        <v/>
      </c>
      <c r="N5483" s="2" t="str">
        <f aca="false"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 t="str">
        <f aca="false">IF(OR(F5483="",G5483=""),"",IF(G5483&lt;='RETRATO 2027'!$K$5,"CONCLUÍDA",IF(F5483&lt;='RETRATO 2027'!$K$5,"EM ANDAMENTO","A INICIAR")))</f>
        <v/>
      </c>
    </row>
    <row r="5484" customFormat="false" ht="15" hidden="false" customHeight="false" outlineLevel="0" collapsed="false">
      <c r="M5484" s="2" t="str">
        <f aca="false">IF(C5484="","",IFERROR(INDEX($S$5:$S$304,MATCH(C5484,$R$5:$R$304,0))&amp;"","?"))</f>
        <v/>
      </c>
      <c r="N5484" s="2" t="str">
        <f aca="false"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 t="str">
        <f aca="false">IF(OR(F5484="",G5484=""),"",IF(G5484&lt;='RETRATO 2027'!$K$5,"CONCLUÍDA",IF(F5484&lt;='RETRATO 2027'!$K$5,"EM ANDAMENTO","A INICIAR")))</f>
        <v/>
      </c>
    </row>
    <row r="5485" customFormat="false" ht="15" hidden="false" customHeight="false" outlineLevel="0" collapsed="false">
      <c r="M5485" s="2" t="str">
        <f aca="false">IF(C5485="","",IFERROR(INDEX($S$5:$S$304,MATCH(C5485,$R$5:$R$304,0))&amp;"","?"))</f>
        <v/>
      </c>
      <c r="N5485" s="2" t="str">
        <f aca="false"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 t="str">
        <f aca="false">IF(OR(F5485="",G5485=""),"",IF(G5485&lt;='RETRATO 2027'!$K$5,"CONCLUÍDA",IF(F5485&lt;='RETRATO 2027'!$K$5,"EM ANDAMENTO","A INICIAR")))</f>
        <v/>
      </c>
    </row>
    <row r="5486" customFormat="false" ht="15" hidden="false" customHeight="false" outlineLevel="0" collapsed="false">
      <c r="M5486" s="2" t="str">
        <f aca="false">IF(C5486="","",IFERROR(INDEX($S$5:$S$304,MATCH(C5486,$R$5:$R$304,0))&amp;"","?"))</f>
        <v/>
      </c>
      <c r="N5486" s="2" t="str">
        <f aca="false"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 t="str">
        <f aca="false">IF(OR(F5486="",G5486=""),"",IF(G5486&lt;='RETRATO 2027'!$K$5,"CONCLUÍDA",IF(F5486&lt;='RETRATO 2027'!$K$5,"EM ANDAMENTO","A INICIAR")))</f>
        <v/>
      </c>
    </row>
    <row r="5487" customFormat="false" ht="15" hidden="false" customHeight="false" outlineLevel="0" collapsed="false">
      <c r="M5487" s="2" t="str">
        <f aca="false">IF(C5487="","",IFERROR(INDEX($S$5:$S$304,MATCH(C5487,$R$5:$R$304,0))&amp;"","?"))</f>
        <v/>
      </c>
      <c r="N5487" s="2" t="str">
        <f aca="false"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 t="str">
        <f aca="false">IF(OR(F5487="",G5487=""),"",IF(G5487&lt;='RETRATO 2027'!$K$5,"CONCLUÍDA",IF(F5487&lt;='RETRATO 2027'!$K$5,"EM ANDAMENTO","A INICIAR")))</f>
        <v/>
      </c>
    </row>
    <row r="5488" customFormat="false" ht="15" hidden="false" customHeight="false" outlineLevel="0" collapsed="false">
      <c r="M5488" s="2" t="str">
        <f aca="false">IF(C5488="","",IFERROR(INDEX($S$5:$S$304,MATCH(C5488,$R$5:$R$304,0))&amp;"","?"))</f>
        <v/>
      </c>
      <c r="N5488" s="2" t="str">
        <f aca="false"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 t="str">
        <f aca="false">IF(OR(F5488="",G5488=""),"",IF(G5488&lt;='RETRATO 2027'!$K$5,"CONCLUÍDA",IF(F5488&lt;='RETRATO 2027'!$K$5,"EM ANDAMENTO","A INICIAR")))</f>
        <v/>
      </c>
    </row>
    <row r="5489" customFormat="false" ht="15" hidden="false" customHeight="false" outlineLevel="0" collapsed="false">
      <c r="M5489" s="2" t="str">
        <f aca="false">IF(C5489="","",IFERROR(INDEX($S$5:$S$304,MATCH(C5489,$R$5:$R$304,0))&amp;"","?"))</f>
        <v/>
      </c>
      <c r="N5489" s="2" t="str">
        <f aca="false"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 t="str">
        <f aca="false">IF(OR(F5489="",G5489=""),"",IF(G5489&lt;='RETRATO 2027'!$K$5,"CONCLUÍDA",IF(F5489&lt;='RETRATO 2027'!$K$5,"EM ANDAMENTO","A INICIAR")))</f>
        <v/>
      </c>
    </row>
    <row r="5490" customFormat="false" ht="15" hidden="false" customHeight="false" outlineLevel="0" collapsed="false">
      <c r="M5490" s="2" t="str">
        <f aca="false">IF(C5490="","",IFERROR(INDEX($S$5:$S$304,MATCH(C5490,$R$5:$R$304,0))&amp;"","?"))</f>
        <v/>
      </c>
      <c r="N5490" s="2" t="str">
        <f aca="false"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 t="str">
        <f aca="false">IF(OR(F5490="",G5490=""),"",IF(G5490&lt;='RETRATO 2027'!$K$5,"CONCLUÍDA",IF(F5490&lt;='RETRATO 2027'!$K$5,"EM ANDAMENTO","A INICIAR")))</f>
        <v/>
      </c>
    </row>
    <row r="5491" customFormat="false" ht="15" hidden="false" customHeight="false" outlineLevel="0" collapsed="false">
      <c r="M5491" s="2" t="str">
        <f aca="false">IF(C5491="","",IFERROR(INDEX($S$5:$S$304,MATCH(C5491,$R$5:$R$304,0))&amp;"","?"))</f>
        <v/>
      </c>
      <c r="N5491" s="2" t="str">
        <f aca="false"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 t="str">
        <f aca="false">IF(OR(F5491="",G5491=""),"",IF(G5491&lt;='RETRATO 2027'!$K$5,"CONCLUÍDA",IF(F5491&lt;='RETRATO 2027'!$K$5,"EM ANDAMENTO","A INICIAR")))</f>
        <v/>
      </c>
    </row>
    <row r="5492" customFormat="false" ht="15" hidden="false" customHeight="false" outlineLevel="0" collapsed="false">
      <c r="M5492" s="2" t="str">
        <f aca="false">IF(C5492="","",IFERROR(INDEX($S$5:$S$304,MATCH(C5492,$R$5:$R$304,0))&amp;"","?"))</f>
        <v/>
      </c>
      <c r="N5492" s="2" t="str">
        <f aca="false"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 t="str">
        <f aca="false">IF(OR(F5492="",G5492=""),"",IF(G5492&lt;='RETRATO 2027'!$K$5,"CONCLUÍDA",IF(F5492&lt;='RETRATO 2027'!$K$5,"EM ANDAMENTO","A INICIAR")))</f>
        <v/>
      </c>
    </row>
    <row r="5493" customFormat="false" ht="15" hidden="false" customHeight="false" outlineLevel="0" collapsed="false">
      <c r="M5493" s="2" t="str">
        <f aca="false">IF(C5493="","",IFERROR(INDEX($S$5:$S$304,MATCH(C5493,$R$5:$R$304,0))&amp;"","?"))</f>
        <v/>
      </c>
      <c r="N5493" s="2" t="str">
        <f aca="false"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 t="str">
        <f aca="false">IF(OR(F5493="",G5493=""),"",IF(G5493&lt;='RETRATO 2027'!$K$5,"CONCLUÍDA",IF(F5493&lt;='RETRATO 2027'!$K$5,"EM ANDAMENTO","A INICIAR")))</f>
        <v/>
      </c>
    </row>
    <row r="5494" customFormat="false" ht="15" hidden="false" customHeight="false" outlineLevel="0" collapsed="false">
      <c r="M5494" s="2" t="str">
        <f aca="false">IF(C5494="","",IFERROR(INDEX($S$5:$S$304,MATCH(C5494,$R$5:$R$304,0))&amp;"","?"))</f>
        <v/>
      </c>
      <c r="N5494" s="2" t="str">
        <f aca="false"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 t="str">
        <f aca="false">IF(OR(F5494="",G5494=""),"",IF(G5494&lt;='RETRATO 2027'!$K$5,"CONCLUÍDA",IF(F5494&lt;='RETRATO 2027'!$K$5,"EM ANDAMENTO","A INICIAR")))</f>
        <v/>
      </c>
    </row>
    <row r="5495" customFormat="false" ht="15" hidden="false" customHeight="false" outlineLevel="0" collapsed="false">
      <c r="M5495" s="2" t="str">
        <f aca="false">IF(C5495="","",IFERROR(INDEX($S$5:$S$304,MATCH(C5495,$R$5:$R$304,0))&amp;"","?"))</f>
        <v/>
      </c>
      <c r="N5495" s="2" t="str">
        <f aca="false"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 t="str">
        <f aca="false">IF(OR(F5495="",G5495=""),"",IF(G5495&lt;='RETRATO 2027'!$K$5,"CONCLUÍDA",IF(F5495&lt;='RETRATO 2027'!$K$5,"EM ANDAMENTO","A INICIAR")))</f>
        <v/>
      </c>
    </row>
    <row r="5496" customFormat="false" ht="15" hidden="false" customHeight="false" outlineLevel="0" collapsed="false">
      <c r="M5496" s="2" t="str">
        <f aca="false">IF(C5496="","",IFERROR(INDEX($S$5:$S$304,MATCH(C5496,$R$5:$R$304,0))&amp;"","?"))</f>
        <v/>
      </c>
      <c r="N5496" s="2" t="str">
        <f aca="false"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 t="str">
        <f aca="false">IF(OR(F5496="",G5496=""),"",IF(G5496&lt;='RETRATO 2027'!$K$5,"CONCLUÍDA",IF(F5496&lt;='RETRATO 2027'!$K$5,"EM ANDAMENTO","A INICIAR")))</f>
        <v/>
      </c>
    </row>
    <row r="5497" customFormat="false" ht="15" hidden="false" customHeight="false" outlineLevel="0" collapsed="false">
      <c r="M5497" s="2" t="str">
        <f aca="false">IF(C5497="","",IFERROR(INDEX($S$5:$S$304,MATCH(C5497,$R$5:$R$304,0))&amp;"","?"))</f>
        <v/>
      </c>
      <c r="N5497" s="2" t="str">
        <f aca="false"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 t="str">
        <f aca="false">IF(OR(F5497="",G5497=""),"",IF(G5497&lt;='RETRATO 2027'!$K$5,"CONCLUÍDA",IF(F5497&lt;='RETRATO 2027'!$K$5,"EM ANDAMENTO","A INICIAR")))</f>
        <v/>
      </c>
    </row>
    <row r="5498" customFormat="false" ht="15" hidden="false" customHeight="false" outlineLevel="0" collapsed="false">
      <c r="M5498" s="2" t="str">
        <f aca="false">IF(C5498="","",IFERROR(INDEX($S$5:$S$304,MATCH(C5498,$R$5:$R$304,0))&amp;"","?"))</f>
        <v/>
      </c>
      <c r="N5498" s="2" t="str">
        <f aca="false"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 t="str">
        <f aca="false">IF(OR(F5498="",G5498=""),"",IF(G5498&lt;='RETRATO 2027'!$K$5,"CONCLUÍDA",IF(F5498&lt;='RETRATO 2027'!$K$5,"EM ANDAMENTO","A INICIAR")))</f>
        <v/>
      </c>
    </row>
    <row r="5499" customFormat="false" ht="15" hidden="false" customHeight="false" outlineLevel="0" collapsed="false">
      <c r="M5499" s="2" t="str">
        <f aca="false">IF(C5499="","",IFERROR(INDEX($S$5:$S$304,MATCH(C5499,$R$5:$R$304,0))&amp;"","?"))</f>
        <v/>
      </c>
      <c r="N5499" s="2" t="str">
        <f aca="false"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 t="str">
        <f aca="false">IF(OR(F5499="",G5499=""),"",IF(G5499&lt;='RETRATO 2027'!$K$5,"CONCLUÍDA",IF(F5499&lt;='RETRATO 2027'!$K$5,"EM ANDAMENTO","A INICIAR")))</f>
        <v/>
      </c>
    </row>
    <row r="5500" customFormat="false" ht="15" hidden="false" customHeight="false" outlineLevel="0" collapsed="false">
      <c r="M5500" s="2" t="str">
        <f aca="false">IF(C5500="","",IFERROR(INDEX($S$5:$S$304,MATCH(C5500,$R$5:$R$304,0))&amp;"","?"))</f>
        <v/>
      </c>
      <c r="N5500" s="2" t="str">
        <f aca="false"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 t="str">
        <f aca="false">IF(OR(F5500="",G5500=""),"",IF(G5500&lt;='RETRATO 2027'!$K$5,"CONCLUÍDA",IF(F5500&lt;='RETRATO 2027'!$K$5,"EM ANDAMENTO","A INICIAR")))</f>
        <v/>
      </c>
    </row>
    <row r="5501" customFormat="false" ht="15" hidden="false" customHeight="false" outlineLevel="0" collapsed="false">
      <c r="M5501" s="2" t="str">
        <f aca="false">IF(C5501="","",IFERROR(INDEX($S$5:$S$304,MATCH(C5501,$R$5:$R$304,0))&amp;"","?"))</f>
        <v/>
      </c>
      <c r="N5501" s="2" t="str">
        <f aca="false"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 t="str">
        <f aca="false">IF(OR(F5501="",G5501=""),"",IF(G5501&lt;='RETRATO 2027'!$K$5,"CONCLUÍDA",IF(F5501&lt;='RETRATO 2027'!$K$5,"EM ANDAMENTO","A INICIAR")))</f>
        <v/>
      </c>
    </row>
    <row r="5502" customFormat="false" ht="15" hidden="false" customHeight="false" outlineLevel="0" collapsed="false">
      <c r="M5502" s="2" t="str">
        <f aca="false">IF(C5502="","",IFERROR(INDEX($S$5:$S$304,MATCH(C5502,$R$5:$R$304,0))&amp;"","?"))</f>
        <v/>
      </c>
      <c r="N5502" s="2" t="str">
        <f aca="false"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 t="str">
        <f aca="false">IF(OR(F5502="",G5502=""),"",IF(G5502&lt;='RETRATO 2027'!$K$5,"CONCLUÍDA",IF(F5502&lt;='RETRATO 2027'!$K$5,"EM ANDAMENTO","A INICIAR")))</f>
        <v/>
      </c>
    </row>
    <row r="5503" customFormat="false" ht="15" hidden="false" customHeight="false" outlineLevel="0" collapsed="false">
      <c r="M5503" s="2" t="str">
        <f aca="false">IF(C5503="","",IFERROR(INDEX($S$5:$S$304,MATCH(C5503,$R$5:$R$304,0))&amp;"","?"))</f>
        <v/>
      </c>
      <c r="N5503" s="2" t="str">
        <f aca="false"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 t="str">
        <f aca="false">IF(OR(F5503="",G5503=""),"",IF(G5503&lt;='RETRATO 2027'!$K$5,"CONCLUÍDA",IF(F5503&lt;='RETRATO 2027'!$K$5,"EM ANDAMENTO","A INICIAR")))</f>
        <v/>
      </c>
    </row>
    <row r="5504" customFormat="false" ht="15" hidden="false" customHeight="false" outlineLevel="0" collapsed="false">
      <c r="M5504" s="2" t="str">
        <f aca="false">IF(C5504="","",IFERROR(INDEX($S$5:$S$304,MATCH(C5504,$R$5:$R$304,0))&amp;"","?"))</f>
        <v/>
      </c>
      <c r="N5504" s="2" t="str">
        <f aca="false"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 t="str">
        <f aca="false">IF(OR(F5504="",G5504=""),"",IF(G5504&lt;='RETRATO 2027'!$K$5,"CONCLUÍDA",IF(F5504&lt;='RETRATO 2027'!$K$5,"EM ANDAMENTO","A INICIAR")))</f>
        <v/>
      </c>
    </row>
    <row r="5505" customFormat="false" ht="15" hidden="false" customHeight="false" outlineLevel="0" collapsed="false">
      <c r="M5505" s="2" t="str">
        <f aca="false">IF(C5505="","",IFERROR(INDEX($S$5:$S$304,MATCH(C5505,$R$5:$R$304,0))&amp;"","?"))</f>
        <v/>
      </c>
      <c r="N5505" s="2" t="str">
        <f aca="false"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 t="str">
        <f aca="false">IF(OR(F5505="",G5505=""),"",IF(G5505&lt;='RETRATO 2027'!$K$5,"CONCLUÍDA",IF(F5505&lt;='RETRATO 2027'!$K$5,"EM ANDAMENTO","A INICIAR")))</f>
        <v/>
      </c>
    </row>
    <row r="5506" customFormat="false" ht="15" hidden="false" customHeight="false" outlineLevel="0" collapsed="false">
      <c r="M5506" s="2" t="str">
        <f aca="false">IF(C5506="","",IFERROR(INDEX($S$5:$S$304,MATCH(C5506,$R$5:$R$304,0))&amp;"","?"))</f>
        <v/>
      </c>
      <c r="N5506" s="2" t="str">
        <f aca="false"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 t="str">
        <f aca="false">IF(OR(F5506="",G5506=""),"",IF(G5506&lt;='RETRATO 2027'!$K$5,"CONCLUÍDA",IF(F5506&lt;='RETRATO 2027'!$K$5,"EM ANDAMENTO","A INICIAR")))</f>
        <v/>
      </c>
    </row>
    <row r="5507" customFormat="false" ht="15" hidden="false" customHeight="false" outlineLevel="0" collapsed="false">
      <c r="M5507" s="2" t="str">
        <f aca="false">IF(C5507="","",IFERROR(INDEX($S$5:$S$304,MATCH(C5507,$R$5:$R$304,0))&amp;"","?"))</f>
        <v/>
      </c>
      <c r="N5507" s="2" t="str">
        <f aca="false"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 t="str">
        <f aca="false">IF(OR(F5507="",G5507=""),"",IF(G5507&lt;='RETRATO 2027'!$K$5,"CONCLUÍDA",IF(F5507&lt;='RETRATO 2027'!$K$5,"EM ANDAMENTO","A INICIAR")))</f>
        <v/>
      </c>
    </row>
    <row r="5508" customFormat="false" ht="15" hidden="false" customHeight="false" outlineLevel="0" collapsed="false">
      <c r="M5508" s="2" t="str">
        <f aca="false">IF(C5508="","",IFERROR(INDEX($S$5:$S$304,MATCH(C5508,$R$5:$R$304,0))&amp;"","?"))</f>
        <v/>
      </c>
      <c r="N5508" s="2" t="str">
        <f aca="false"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 t="str">
        <f aca="false">IF(OR(F5508="",G5508=""),"",IF(G5508&lt;='RETRATO 2027'!$K$5,"CONCLUÍDA",IF(F5508&lt;='RETRATO 2027'!$K$5,"EM ANDAMENTO","A INICIAR")))</f>
        <v/>
      </c>
    </row>
    <row r="5509" customFormat="false" ht="15" hidden="false" customHeight="false" outlineLevel="0" collapsed="false">
      <c r="M5509" s="2" t="str">
        <f aca="false">IF(C5509="","",IFERROR(INDEX($S$5:$S$304,MATCH(C5509,$R$5:$R$304,0))&amp;"","?"))</f>
        <v/>
      </c>
      <c r="N5509" s="2" t="str">
        <f aca="false"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 t="str">
        <f aca="false">IF(OR(F5509="",G5509=""),"",IF(G5509&lt;='RETRATO 2027'!$K$5,"CONCLUÍDA",IF(F5509&lt;='RETRATO 2027'!$K$5,"EM ANDAMENTO","A INICIAR")))</f>
        <v/>
      </c>
    </row>
    <row r="5510" customFormat="false" ht="15" hidden="false" customHeight="false" outlineLevel="0" collapsed="false">
      <c r="M5510" s="2" t="str">
        <f aca="false">IF(C5510="","",IFERROR(INDEX($S$5:$S$304,MATCH(C5510,$R$5:$R$304,0))&amp;"","?"))</f>
        <v/>
      </c>
      <c r="N5510" s="2" t="str">
        <f aca="false"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 t="str">
        <f aca="false">IF(OR(F5510="",G5510=""),"",IF(G5510&lt;='RETRATO 2027'!$K$5,"CONCLUÍDA",IF(F5510&lt;='RETRATO 2027'!$K$5,"EM ANDAMENTO","A INICIAR")))</f>
        <v/>
      </c>
    </row>
    <row r="5511" customFormat="false" ht="15" hidden="false" customHeight="false" outlineLevel="0" collapsed="false">
      <c r="M5511" s="2" t="str">
        <f aca="false">IF(C5511="","",IFERROR(INDEX($S$5:$S$304,MATCH(C5511,$R$5:$R$304,0))&amp;"","?"))</f>
        <v/>
      </c>
      <c r="N5511" s="2" t="str">
        <f aca="false"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 t="str">
        <f aca="false">IF(OR(F5511="",G5511=""),"",IF(G5511&lt;='RETRATO 2027'!$K$5,"CONCLUÍDA",IF(F5511&lt;='RETRATO 2027'!$K$5,"EM ANDAMENTO","A INICIAR")))</f>
        <v/>
      </c>
    </row>
    <row r="5512" customFormat="false" ht="15" hidden="false" customHeight="false" outlineLevel="0" collapsed="false">
      <c r="M5512" s="2" t="str">
        <f aca="false">IF(C5512="","",IFERROR(INDEX($S$5:$S$304,MATCH(C5512,$R$5:$R$304,0))&amp;"","?"))</f>
        <v/>
      </c>
      <c r="N5512" s="2" t="str">
        <f aca="false"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 t="str">
        <f aca="false">IF(OR(F5512="",G5512=""),"",IF(G5512&lt;='RETRATO 2027'!$K$5,"CONCLUÍDA",IF(F5512&lt;='RETRATO 2027'!$K$5,"EM ANDAMENTO","A INICIAR")))</f>
        <v/>
      </c>
    </row>
    <row r="5513" customFormat="false" ht="15" hidden="false" customHeight="false" outlineLevel="0" collapsed="false">
      <c r="M5513" s="2" t="str">
        <f aca="false">IF(C5513="","",IFERROR(INDEX($S$5:$S$304,MATCH(C5513,$R$5:$R$304,0))&amp;"","?"))</f>
        <v/>
      </c>
      <c r="N5513" s="2" t="str">
        <f aca="false"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 t="str">
        <f aca="false">IF(OR(F5513="",G5513=""),"",IF(G5513&lt;='RETRATO 2027'!$K$5,"CONCLUÍDA",IF(F5513&lt;='RETRATO 2027'!$K$5,"EM ANDAMENTO","A INICIAR")))</f>
        <v/>
      </c>
    </row>
    <row r="5514" customFormat="false" ht="15" hidden="false" customHeight="false" outlineLevel="0" collapsed="false">
      <c r="M5514" s="2" t="str">
        <f aca="false">IF(C5514="","",IFERROR(INDEX($S$5:$S$304,MATCH(C5514,$R$5:$R$304,0))&amp;"","?"))</f>
        <v/>
      </c>
      <c r="N5514" s="2" t="str">
        <f aca="false"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 t="str">
        <f aca="false">IF(OR(F5514="",G5514=""),"",IF(G5514&lt;='RETRATO 2027'!$K$5,"CONCLUÍDA",IF(F5514&lt;='RETRATO 2027'!$K$5,"EM ANDAMENTO","A INICIAR")))</f>
        <v/>
      </c>
    </row>
    <row r="5515" customFormat="false" ht="15" hidden="false" customHeight="false" outlineLevel="0" collapsed="false">
      <c r="M5515" s="2" t="str">
        <f aca="false">IF(C5515="","",IFERROR(INDEX($S$5:$S$304,MATCH(C5515,$R$5:$R$304,0))&amp;"","?"))</f>
        <v/>
      </c>
      <c r="N5515" s="2" t="str">
        <f aca="false"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 t="str">
        <f aca="false">IF(OR(F5515="",G5515=""),"",IF(G5515&lt;='RETRATO 2027'!$K$5,"CONCLUÍDA",IF(F5515&lt;='RETRATO 2027'!$K$5,"EM ANDAMENTO","A INICIAR")))</f>
        <v/>
      </c>
    </row>
    <row r="5516" customFormat="false" ht="15" hidden="false" customHeight="false" outlineLevel="0" collapsed="false">
      <c r="M5516" s="2" t="str">
        <f aca="false">IF(C5516="","",IFERROR(INDEX($S$5:$S$304,MATCH(C5516,$R$5:$R$304,0))&amp;"","?"))</f>
        <v/>
      </c>
      <c r="N5516" s="2" t="str">
        <f aca="false"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 t="str">
        <f aca="false">IF(OR(F5516="",G5516=""),"",IF(G5516&lt;='RETRATO 2027'!$K$5,"CONCLUÍDA",IF(F5516&lt;='RETRATO 2027'!$K$5,"EM ANDAMENTO","A INICIAR")))</f>
        <v/>
      </c>
    </row>
    <row r="5517" customFormat="false" ht="15" hidden="false" customHeight="false" outlineLevel="0" collapsed="false">
      <c r="M5517" s="2" t="str">
        <f aca="false">IF(C5517="","",IFERROR(INDEX($S$5:$S$304,MATCH(C5517,$R$5:$R$304,0))&amp;"","?"))</f>
        <v/>
      </c>
      <c r="N5517" s="2" t="str">
        <f aca="false"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 t="str">
        <f aca="false">IF(OR(F5517="",G5517=""),"",IF(G5517&lt;='RETRATO 2027'!$K$5,"CONCLUÍDA",IF(F5517&lt;='RETRATO 2027'!$K$5,"EM ANDAMENTO","A INICIAR")))</f>
        <v/>
      </c>
    </row>
    <row r="5518" customFormat="false" ht="15" hidden="false" customHeight="false" outlineLevel="0" collapsed="false">
      <c r="M5518" s="2" t="str">
        <f aca="false">IF(C5518="","",IFERROR(INDEX($S$5:$S$304,MATCH(C5518,$R$5:$R$304,0))&amp;"","?"))</f>
        <v/>
      </c>
      <c r="N5518" s="2" t="str">
        <f aca="false"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 t="str">
        <f aca="false">IF(OR(F5518="",G5518=""),"",IF(G5518&lt;='RETRATO 2027'!$K$5,"CONCLUÍDA",IF(F5518&lt;='RETRATO 2027'!$K$5,"EM ANDAMENTO","A INICIAR")))</f>
        <v/>
      </c>
    </row>
    <row r="5519" customFormat="false" ht="15" hidden="false" customHeight="false" outlineLevel="0" collapsed="false">
      <c r="M5519" s="2" t="str">
        <f aca="false">IF(C5519="","",IFERROR(INDEX($S$5:$S$304,MATCH(C5519,$R$5:$R$304,0))&amp;"","?"))</f>
        <v/>
      </c>
      <c r="N5519" s="2" t="str">
        <f aca="false"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 t="str">
        <f aca="false">IF(OR(F5519="",G5519=""),"",IF(G5519&lt;='RETRATO 2027'!$K$5,"CONCLUÍDA",IF(F5519&lt;='RETRATO 2027'!$K$5,"EM ANDAMENTO","A INICIAR")))</f>
        <v/>
      </c>
    </row>
    <row r="5520" customFormat="false" ht="15" hidden="false" customHeight="false" outlineLevel="0" collapsed="false">
      <c r="M5520" s="2" t="str">
        <f aca="false">IF(C5520="","",IFERROR(INDEX($S$5:$S$304,MATCH(C5520,$R$5:$R$304,0))&amp;"","?"))</f>
        <v/>
      </c>
      <c r="N5520" s="2" t="str">
        <f aca="false"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 t="str">
        <f aca="false">IF(OR(F5520="",G5520=""),"",IF(G5520&lt;='RETRATO 2027'!$K$5,"CONCLUÍDA",IF(F5520&lt;='RETRATO 2027'!$K$5,"EM ANDAMENTO","A INICIAR")))</f>
        <v/>
      </c>
    </row>
    <row r="5521" customFormat="false" ht="15" hidden="false" customHeight="false" outlineLevel="0" collapsed="false">
      <c r="M5521" s="2" t="str">
        <f aca="false">IF(C5521="","",IFERROR(INDEX($S$5:$S$304,MATCH(C5521,$R$5:$R$304,0))&amp;"","?"))</f>
        <v/>
      </c>
      <c r="N5521" s="2" t="str">
        <f aca="false"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 t="str">
        <f aca="false">IF(OR(F5521="",G5521=""),"",IF(G5521&lt;='RETRATO 2027'!$K$5,"CONCLUÍDA",IF(F5521&lt;='RETRATO 2027'!$K$5,"EM ANDAMENTO","A INICIAR")))</f>
        <v/>
      </c>
    </row>
    <row r="5522" customFormat="false" ht="15" hidden="false" customHeight="false" outlineLevel="0" collapsed="false">
      <c r="M5522" s="2" t="str">
        <f aca="false">IF(C5522="","",IFERROR(INDEX($S$5:$S$304,MATCH(C5522,$R$5:$R$304,0))&amp;"","?"))</f>
        <v/>
      </c>
      <c r="N5522" s="2" t="str">
        <f aca="false"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 t="str">
        <f aca="false">IF(OR(F5522="",G5522=""),"",IF(G5522&lt;='RETRATO 2027'!$K$5,"CONCLUÍDA",IF(F5522&lt;='RETRATO 2027'!$K$5,"EM ANDAMENTO","A INICIAR")))</f>
        <v/>
      </c>
    </row>
    <row r="5523" customFormat="false" ht="15" hidden="false" customHeight="false" outlineLevel="0" collapsed="false">
      <c r="M5523" s="2" t="str">
        <f aca="false">IF(C5523="","",IFERROR(INDEX($S$5:$S$304,MATCH(C5523,$R$5:$R$304,0))&amp;"","?"))</f>
        <v/>
      </c>
      <c r="N5523" s="2" t="str">
        <f aca="false"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 t="str">
        <f aca="false">IF(OR(F5523="",G5523=""),"",IF(G5523&lt;='RETRATO 2027'!$K$5,"CONCLUÍDA",IF(F5523&lt;='RETRATO 2027'!$K$5,"EM ANDAMENTO","A INICIAR")))</f>
        <v/>
      </c>
    </row>
    <row r="5524" customFormat="false" ht="15" hidden="false" customHeight="false" outlineLevel="0" collapsed="false">
      <c r="M5524" s="2" t="str">
        <f aca="false">IF(C5524="","",IFERROR(INDEX($S$5:$S$304,MATCH(C5524,$R$5:$R$304,0))&amp;"","?"))</f>
        <v/>
      </c>
      <c r="N5524" s="2" t="str">
        <f aca="false"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 t="str">
        <f aca="false">IF(OR(F5524="",G5524=""),"",IF(G5524&lt;='RETRATO 2027'!$K$5,"CONCLUÍDA",IF(F5524&lt;='RETRATO 2027'!$K$5,"EM ANDAMENTO","A INICIAR")))</f>
        <v/>
      </c>
    </row>
    <row r="5525" customFormat="false" ht="15" hidden="false" customHeight="false" outlineLevel="0" collapsed="false">
      <c r="M5525" s="2" t="str">
        <f aca="false">IF(C5525="","",IFERROR(INDEX($S$5:$S$304,MATCH(C5525,$R$5:$R$304,0))&amp;"","?"))</f>
        <v/>
      </c>
      <c r="N5525" s="2" t="str">
        <f aca="false"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 t="str">
        <f aca="false">IF(OR(F5525="",G5525=""),"",IF(G5525&lt;='RETRATO 2027'!$K$5,"CONCLUÍDA",IF(F5525&lt;='RETRATO 2027'!$K$5,"EM ANDAMENTO","A INICIAR")))</f>
        <v/>
      </c>
    </row>
    <row r="5526" customFormat="false" ht="15" hidden="false" customHeight="false" outlineLevel="0" collapsed="false">
      <c r="M5526" s="2" t="str">
        <f aca="false">IF(C5526="","",IFERROR(INDEX($S$5:$S$304,MATCH(C5526,$R$5:$R$304,0))&amp;"","?"))</f>
        <v/>
      </c>
      <c r="N5526" s="2" t="str">
        <f aca="false"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 t="str">
        <f aca="false">IF(OR(F5526="",G5526=""),"",IF(G5526&lt;='RETRATO 2027'!$K$5,"CONCLUÍDA",IF(F5526&lt;='RETRATO 2027'!$K$5,"EM ANDAMENTO","A INICIAR")))</f>
        <v/>
      </c>
    </row>
    <row r="5527" customFormat="false" ht="15" hidden="false" customHeight="false" outlineLevel="0" collapsed="false">
      <c r="M5527" s="2" t="str">
        <f aca="false">IF(C5527="","",IFERROR(INDEX($S$5:$S$304,MATCH(C5527,$R$5:$R$304,0))&amp;"","?"))</f>
        <v/>
      </c>
      <c r="N5527" s="2" t="str">
        <f aca="false"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 t="str">
        <f aca="false">IF(OR(F5527="",G5527=""),"",IF(G5527&lt;='RETRATO 2027'!$K$5,"CONCLUÍDA",IF(F5527&lt;='RETRATO 2027'!$K$5,"EM ANDAMENTO","A INICIAR")))</f>
        <v/>
      </c>
    </row>
    <row r="5528" customFormat="false" ht="15" hidden="false" customHeight="false" outlineLevel="0" collapsed="false">
      <c r="M5528" s="2" t="str">
        <f aca="false">IF(C5528="","",IFERROR(INDEX($S$5:$S$304,MATCH(C5528,$R$5:$R$304,0))&amp;"","?"))</f>
        <v/>
      </c>
      <c r="N5528" s="2" t="str">
        <f aca="false"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 t="str">
        <f aca="false">IF(OR(F5528="",G5528=""),"",IF(G5528&lt;='RETRATO 2027'!$K$5,"CONCLUÍDA",IF(F5528&lt;='RETRATO 2027'!$K$5,"EM ANDAMENTO","A INICIAR")))</f>
        <v/>
      </c>
    </row>
    <row r="5529" customFormat="false" ht="15" hidden="false" customHeight="false" outlineLevel="0" collapsed="false">
      <c r="M5529" s="2" t="str">
        <f aca="false">IF(C5529="","",IFERROR(INDEX($S$5:$S$304,MATCH(C5529,$R$5:$R$304,0))&amp;"","?"))</f>
        <v/>
      </c>
      <c r="N5529" s="2" t="str">
        <f aca="false"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 t="str">
        <f aca="false">IF(OR(F5529="",G5529=""),"",IF(G5529&lt;='RETRATO 2027'!$K$5,"CONCLUÍDA",IF(F5529&lt;='RETRATO 2027'!$K$5,"EM ANDAMENTO","A INICIAR")))</f>
        <v/>
      </c>
    </row>
    <row r="5530" customFormat="false" ht="15" hidden="false" customHeight="false" outlineLevel="0" collapsed="false">
      <c r="M5530" s="2" t="str">
        <f aca="false">IF(C5530="","",IFERROR(INDEX($S$5:$S$304,MATCH(C5530,$R$5:$R$304,0))&amp;"","?"))</f>
        <v/>
      </c>
      <c r="N5530" s="2" t="str">
        <f aca="false"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 t="str">
        <f aca="false">IF(OR(F5530="",G5530=""),"",IF(G5530&lt;='RETRATO 2027'!$K$5,"CONCLUÍDA",IF(F5530&lt;='RETRATO 2027'!$K$5,"EM ANDAMENTO","A INICIAR")))</f>
        <v/>
      </c>
    </row>
    <row r="5531" customFormat="false" ht="15" hidden="false" customHeight="false" outlineLevel="0" collapsed="false">
      <c r="M5531" s="2" t="str">
        <f aca="false">IF(C5531="","",IFERROR(INDEX($S$5:$S$304,MATCH(C5531,$R$5:$R$304,0))&amp;"","?"))</f>
        <v/>
      </c>
      <c r="N5531" s="2" t="str">
        <f aca="false"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 t="str">
        <f aca="false">IF(OR(F5531="",G5531=""),"",IF(G5531&lt;='RETRATO 2027'!$K$5,"CONCLUÍDA",IF(F5531&lt;='RETRATO 2027'!$K$5,"EM ANDAMENTO","A INICIAR")))</f>
        <v/>
      </c>
    </row>
    <row r="5532" customFormat="false" ht="15" hidden="false" customHeight="false" outlineLevel="0" collapsed="false">
      <c r="M5532" s="2" t="str">
        <f aca="false">IF(C5532="","",IFERROR(INDEX($S$5:$S$304,MATCH(C5532,$R$5:$R$304,0))&amp;"","?"))</f>
        <v/>
      </c>
      <c r="N5532" s="2" t="str">
        <f aca="false"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 t="str">
        <f aca="false">IF(OR(F5532="",G5532=""),"",IF(G5532&lt;='RETRATO 2027'!$K$5,"CONCLUÍDA",IF(F5532&lt;='RETRATO 2027'!$K$5,"EM ANDAMENTO","A INICIAR")))</f>
        <v/>
      </c>
    </row>
    <row r="5533" customFormat="false" ht="15" hidden="false" customHeight="false" outlineLevel="0" collapsed="false">
      <c r="M5533" s="2" t="str">
        <f aca="false">IF(C5533="","",IFERROR(INDEX($S$5:$S$304,MATCH(C5533,$R$5:$R$304,0))&amp;"","?"))</f>
        <v/>
      </c>
      <c r="N5533" s="2" t="str">
        <f aca="false"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 t="str">
        <f aca="false">IF(OR(F5533="",G5533=""),"",IF(G5533&lt;='RETRATO 2027'!$K$5,"CONCLUÍDA",IF(F5533&lt;='RETRATO 2027'!$K$5,"EM ANDAMENTO","A INICIAR")))</f>
        <v/>
      </c>
    </row>
    <row r="5534" customFormat="false" ht="15" hidden="false" customHeight="false" outlineLevel="0" collapsed="false">
      <c r="M5534" s="2" t="str">
        <f aca="false">IF(C5534="","",IFERROR(INDEX($S$5:$S$304,MATCH(C5534,$R$5:$R$304,0))&amp;"","?"))</f>
        <v/>
      </c>
      <c r="N5534" s="2" t="str">
        <f aca="false"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 t="str">
        <f aca="false">IF(OR(F5534="",G5534=""),"",IF(G5534&lt;='RETRATO 2027'!$K$5,"CONCLUÍDA",IF(F5534&lt;='RETRATO 2027'!$K$5,"EM ANDAMENTO","A INICIAR")))</f>
        <v/>
      </c>
    </row>
    <row r="5535" customFormat="false" ht="15" hidden="false" customHeight="false" outlineLevel="0" collapsed="false">
      <c r="M5535" s="2" t="str">
        <f aca="false">IF(C5535="","",IFERROR(INDEX($S$5:$S$304,MATCH(C5535,$R$5:$R$304,0))&amp;"","?"))</f>
        <v/>
      </c>
      <c r="N5535" s="2" t="str">
        <f aca="false"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 t="str">
        <f aca="false">IF(OR(F5535="",G5535=""),"",IF(G5535&lt;='RETRATO 2027'!$K$5,"CONCLUÍDA",IF(F5535&lt;='RETRATO 2027'!$K$5,"EM ANDAMENTO","A INICIAR")))</f>
        <v/>
      </c>
    </row>
    <row r="5536" customFormat="false" ht="15" hidden="false" customHeight="false" outlineLevel="0" collapsed="false">
      <c r="M5536" s="2" t="str">
        <f aca="false">IF(C5536="","",IFERROR(INDEX($S$5:$S$304,MATCH(C5536,$R$5:$R$304,0))&amp;"","?"))</f>
        <v/>
      </c>
      <c r="N5536" s="2" t="str">
        <f aca="false"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 t="str">
        <f aca="false">IF(OR(F5536="",G5536=""),"",IF(G5536&lt;='RETRATO 2027'!$K$5,"CONCLUÍDA",IF(F5536&lt;='RETRATO 2027'!$K$5,"EM ANDAMENTO","A INICIAR")))</f>
        <v/>
      </c>
    </row>
    <row r="5537" customFormat="false" ht="15" hidden="false" customHeight="false" outlineLevel="0" collapsed="false">
      <c r="M5537" s="2" t="str">
        <f aca="false">IF(C5537="","",IFERROR(INDEX($S$5:$S$304,MATCH(C5537,$R$5:$R$304,0))&amp;"","?"))</f>
        <v/>
      </c>
      <c r="N5537" s="2" t="str">
        <f aca="false"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 t="str">
        <f aca="false">IF(OR(F5537="",G5537=""),"",IF(G5537&lt;='RETRATO 2027'!$K$5,"CONCLUÍDA",IF(F5537&lt;='RETRATO 2027'!$K$5,"EM ANDAMENTO","A INICIAR")))</f>
        <v/>
      </c>
    </row>
    <row r="5538" customFormat="false" ht="15" hidden="false" customHeight="false" outlineLevel="0" collapsed="false">
      <c r="M5538" s="2" t="str">
        <f aca="false">IF(C5538="","",IFERROR(INDEX($S$5:$S$304,MATCH(C5538,$R$5:$R$304,0))&amp;"","?"))</f>
        <v/>
      </c>
      <c r="N5538" s="2" t="str">
        <f aca="false"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 t="str">
        <f aca="false">IF(OR(F5538="",G5538=""),"",IF(G5538&lt;='RETRATO 2027'!$K$5,"CONCLUÍDA",IF(F5538&lt;='RETRATO 2027'!$K$5,"EM ANDAMENTO","A INICIAR")))</f>
        <v/>
      </c>
    </row>
    <row r="5539" customFormat="false" ht="15" hidden="false" customHeight="false" outlineLevel="0" collapsed="false">
      <c r="M5539" s="2" t="str">
        <f aca="false">IF(C5539="","",IFERROR(INDEX($S$5:$S$304,MATCH(C5539,$R$5:$R$304,0))&amp;"","?"))</f>
        <v/>
      </c>
      <c r="N5539" s="2" t="str">
        <f aca="false"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 t="str">
        <f aca="false">IF(OR(F5539="",G5539=""),"",IF(G5539&lt;='RETRATO 2027'!$K$5,"CONCLUÍDA",IF(F5539&lt;='RETRATO 2027'!$K$5,"EM ANDAMENTO","A INICIAR")))</f>
        <v/>
      </c>
    </row>
    <row r="5540" customFormat="false" ht="15" hidden="false" customHeight="false" outlineLevel="0" collapsed="false">
      <c r="M5540" s="2" t="str">
        <f aca="false">IF(C5540="","",IFERROR(INDEX($S$5:$S$304,MATCH(C5540,$R$5:$R$304,0))&amp;"","?"))</f>
        <v/>
      </c>
      <c r="N5540" s="2" t="str">
        <f aca="false"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 t="str">
        <f aca="false">IF(OR(F5540="",G5540=""),"",IF(G5540&lt;='RETRATO 2027'!$K$5,"CONCLUÍDA",IF(F5540&lt;='RETRATO 2027'!$K$5,"EM ANDAMENTO","A INICIAR")))</f>
        <v/>
      </c>
    </row>
    <row r="5541" customFormat="false" ht="15" hidden="false" customHeight="false" outlineLevel="0" collapsed="false">
      <c r="M5541" s="2" t="str">
        <f aca="false">IF(C5541="","",IFERROR(INDEX($S$5:$S$304,MATCH(C5541,$R$5:$R$304,0))&amp;"","?"))</f>
        <v/>
      </c>
      <c r="N5541" s="2" t="str">
        <f aca="false"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 t="str">
        <f aca="false">IF(OR(F5541="",G5541=""),"",IF(G5541&lt;='RETRATO 2027'!$K$5,"CONCLUÍDA",IF(F5541&lt;='RETRATO 2027'!$K$5,"EM ANDAMENTO","A INICIAR")))</f>
        <v/>
      </c>
    </row>
    <row r="5542" customFormat="false" ht="15" hidden="false" customHeight="false" outlineLevel="0" collapsed="false">
      <c r="M5542" s="2" t="str">
        <f aca="false">IF(C5542="","",IFERROR(INDEX($S$5:$S$304,MATCH(C5542,$R$5:$R$304,0))&amp;"","?"))</f>
        <v/>
      </c>
      <c r="N5542" s="2" t="str">
        <f aca="false"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 t="str">
        <f aca="false">IF(OR(F5542="",G5542=""),"",IF(G5542&lt;='RETRATO 2027'!$K$5,"CONCLUÍDA",IF(F5542&lt;='RETRATO 2027'!$K$5,"EM ANDAMENTO","A INICIAR")))</f>
        <v/>
      </c>
    </row>
    <row r="5543" customFormat="false" ht="15" hidden="false" customHeight="false" outlineLevel="0" collapsed="false">
      <c r="M5543" s="2" t="str">
        <f aca="false">IF(C5543="","",IFERROR(INDEX($S$5:$S$304,MATCH(C5543,$R$5:$R$304,0))&amp;"","?"))</f>
        <v/>
      </c>
      <c r="N5543" s="2" t="str">
        <f aca="false"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 t="str">
        <f aca="false">IF(OR(F5543="",G5543=""),"",IF(G5543&lt;='RETRATO 2027'!$K$5,"CONCLUÍDA",IF(F5543&lt;='RETRATO 2027'!$K$5,"EM ANDAMENTO","A INICIAR")))</f>
        <v/>
      </c>
    </row>
    <row r="5544" customFormat="false" ht="15" hidden="false" customHeight="false" outlineLevel="0" collapsed="false">
      <c r="M5544" s="2" t="str">
        <f aca="false">IF(C5544="","",IFERROR(INDEX($S$5:$S$304,MATCH(C5544,$R$5:$R$304,0))&amp;"","?"))</f>
        <v/>
      </c>
      <c r="N5544" s="2" t="str">
        <f aca="false"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 t="str">
        <f aca="false">IF(OR(F5544="",G5544=""),"",IF(G5544&lt;='RETRATO 2027'!$K$5,"CONCLUÍDA",IF(F5544&lt;='RETRATO 2027'!$K$5,"EM ANDAMENTO","A INICIAR")))</f>
        <v/>
      </c>
    </row>
    <row r="5545" customFormat="false" ht="15" hidden="false" customHeight="false" outlineLevel="0" collapsed="false">
      <c r="M5545" s="2" t="str">
        <f aca="false">IF(C5545="","",IFERROR(INDEX($S$5:$S$304,MATCH(C5545,$R$5:$R$304,0))&amp;"","?"))</f>
        <v/>
      </c>
      <c r="N5545" s="2" t="str">
        <f aca="false"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 t="str">
        <f aca="false">IF(OR(F5545="",G5545=""),"",IF(G5545&lt;='RETRATO 2027'!$K$5,"CONCLUÍDA",IF(F5545&lt;='RETRATO 2027'!$K$5,"EM ANDAMENTO","A INICIAR")))</f>
        <v/>
      </c>
    </row>
    <row r="5546" customFormat="false" ht="15" hidden="false" customHeight="false" outlineLevel="0" collapsed="false">
      <c r="M5546" s="2" t="str">
        <f aca="false">IF(C5546="","",IFERROR(INDEX($S$5:$S$304,MATCH(C5546,$R$5:$R$304,0))&amp;"","?"))</f>
        <v/>
      </c>
      <c r="N5546" s="2" t="str">
        <f aca="false"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 t="str">
        <f aca="false">IF(OR(F5546="",G5546=""),"",IF(G5546&lt;='RETRATO 2027'!$K$5,"CONCLUÍDA",IF(F5546&lt;='RETRATO 2027'!$K$5,"EM ANDAMENTO","A INICIAR")))</f>
        <v/>
      </c>
    </row>
    <row r="5547" customFormat="false" ht="15" hidden="false" customHeight="false" outlineLevel="0" collapsed="false">
      <c r="M5547" s="2" t="str">
        <f aca="false">IF(C5547="","",IFERROR(INDEX($S$5:$S$304,MATCH(C5547,$R$5:$R$304,0))&amp;"","?"))</f>
        <v/>
      </c>
      <c r="N5547" s="2" t="str">
        <f aca="false"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 t="str">
        <f aca="false">IF(OR(F5547="",G5547=""),"",IF(G5547&lt;='RETRATO 2027'!$K$5,"CONCLUÍDA",IF(F5547&lt;='RETRATO 2027'!$K$5,"EM ANDAMENTO","A INICIAR")))</f>
        <v/>
      </c>
    </row>
    <row r="5548" customFormat="false" ht="15" hidden="false" customHeight="false" outlineLevel="0" collapsed="false">
      <c r="M5548" s="2" t="str">
        <f aca="false">IF(C5548="","",IFERROR(INDEX($S$5:$S$304,MATCH(C5548,$R$5:$R$304,0))&amp;"","?"))</f>
        <v/>
      </c>
      <c r="N5548" s="2" t="str">
        <f aca="false"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 t="str">
        <f aca="false">IF(OR(F5548="",G5548=""),"",IF(G5548&lt;='RETRATO 2027'!$K$5,"CONCLUÍDA",IF(F5548&lt;='RETRATO 2027'!$K$5,"EM ANDAMENTO","A INICIAR")))</f>
        <v/>
      </c>
    </row>
    <row r="5549" customFormat="false" ht="15" hidden="false" customHeight="false" outlineLevel="0" collapsed="false">
      <c r="M5549" s="2" t="str">
        <f aca="false">IF(C5549="","",IFERROR(INDEX($S$5:$S$304,MATCH(C5549,$R$5:$R$304,0))&amp;"","?"))</f>
        <v/>
      </c>
      <c r="N5549" s="2" t="str">
        <f aca="false"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 t="str">
        <f aca="false">IF(OR(F5549="",G5549=""),"",IF(G5549&lt;='RETRATO 2027'!$K$5,"CONCLUÍDA",IF(F5549&lt;='RETRATO 2027'!$K$5,"EM ANDAMENTO","A INICIAR")))</f>
        <v/>
      </c>
    </row>
    <row r="5550" customFormat="false" ht="15" hidden="false" customHeight="false" outlineLevel="0" collapsed="false">
      <c r="M5550" s="2" t="str">
        <f aca="false">IF(C5550="","",IFERROR(INDEX($S$5:$S$304,MATCH(C5550,$R$5:$R$304,0))&amp;"","?"))</f>
        <v/>
      </c>
      <c r="N5550" s="2" t="str">
        <f aca="false"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 t="str">
        <f aca="false">IF(OR(F5550="",G5550=""),"",IF(G5550&lt;='RETRATO 2027'!$K$5,"CONCLUÍDA",IF(F5550&lt;='RETRATO 2027'!$K$5,"EM ANDAMENTO","A INICIAR")))</f>
        <v/>
      </c>
    </row>
    <row r="5551" customFormat="false" ht="15" hidden="false" customHeight="false" outlineLevel="0" collapsed="false">
      <c r="M5551" s="2" t="str">
        <f aca="false">IF(C5551="","",IFERROR(INDEX($S$5:$S$304,MATCH(C5551,$R$5:$R$304,0))&amp;"","?"))</f>
        <v/>
      </c>
      <c r="N5551" s="2" t="str">
        <f aca="false"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 t="str">
        <f aca="false">IF(OR(F5551="",G5551=""),"",IF(G5551&lt;='RETRATO 2027'!$K$5,"CONCLUÍDA",IF(F5551&lt;='RETRATO 2027'!$K$5,"EM ANDAMENTO","A INICIAR")))</f>
        <v/>
      </c>
    </row>
    <row r="5552" customFormat="false" ht="15" hidden="false" customHeight="false" outlineLevel="0" collapsed="false">
      <c r="M5552" s="2" t="str">
        <f aca="false">IF(C5552="","",IFERROR(INDEX($S$5:$S$304,MATCH(C5552,$R$5:$R$304,0))&amp;"","?"))</f>
        <v/>
      </c>
      <c r="N5552" s="2" t="str">
        <f aca="false"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 t="str">
        <f aca="false">IF(OR(F5552="",G5552=""),"",IF(G5552&lt;='RETRATO 2027'!$K$5,"CONCLUÍDA",IF(F5552&lt;='RETRATO 2027'!$K$5,"EM ANDAMENTO","A INICIAR")))</f>
        <v/>
      </c>
    </row>
    <row r="5553" customFormat="false" ht="15" hidden="false" customHeight="false" outlineLevel="0" collapsed="false">
      <c r="M5553" s="2" t="str">
        <f aca="false">IF(C5553="","",IFERROR(INDEX($S$5:$S$304,MATCH(C5553,$R$5:$R$304,0))&amp;"","?"))</f>
        <v/>
      </c>
      <c r="N5553" s="2" t="str">
        <f aca="false"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 t="str">
        <f aca="false">IF(OR(F5553="",G5553=""),"",IF(G5553&lt;='RETRATO 2027'!$K$5,"CONCLUÍDA",IF(F5553&lt;='RETRATO 2027'!$K$5,"EM ANDAMENTO","A INICIAR")))</f>
        <v/>
      </c>
    </row>
    <row r="5554" customFormat="false" ht="15" hidden="false" customHeight="false" outlineLevel="0" collapsed="false">
      <c r="M5554" s="2" t="str">
        <f aca="false">IF(C5554="","",IFERROR(INDEX($S$5:$S$304,MATCH(C5554,$R$5:$R$304,0))&amp;"","?"))</f>
        <v/>
      </c>
      <c r="N5554" s="2" t="str">
        <f aca="false"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 t="str">
        <f aca="false">IF(OR(F5554="",G5554=""),"",IF(G5554&lt;='RETRATO 2027'!$K$5,"CONCLUÍDA",IF(F5554&lt;='RETRATO 2027'!$K$5,"EM ANDAMENTO","A INICIAR")))</f>
        <v/>
      </c>
    </row>
    <row r="5555" customFormat="false" ht="15" hidden="false" customHeight="false" outlineLevel="0" collapsed="false">
      <c r="M5555" s="2" t="str">
        <f aca="false">IF(C5555="","",IFERROR(INDEX($S$5:$S$304,MATCH(C5555,$R$5:$R$304,0))&amp;"","?"))</f>
        <v/>
      </c>
      <c r="N5555" s="2" t="str">
        <f aca="false"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 t="str">
        <f aca="false">IF(OR(F5555="",G5555=""),"",IF(G5555&lt;='RETRATO 2027'!$K$5,"CONCLUÍDA",IF(F5555&lt;='RETRATO 2027'!$K$5,"EM ANDAMENTO","A INICIAR")))</f>
        <v/>
      </c>
    </row>
    <row r="5556" customFormat="false" ht="15" hidden="false" customHeight="false" outlineLevel="0" collapsed="false">
      <c r="M5556" s="2" t="str">
        <f aca="false">IF(C5556="","",IFERROR(INDEX($S$5:$S$304,MATCH(C5556,$R$5:$R$304,0))&amp;"","?"))</f>
        <v/>
      </c>
      <c r="N5556" s="2" t="str">
        <f aca="false"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 t="str">
        <f aca="false">IF(OR(F5556="",G5556=""),"",IF(G5556&lt;='RETRATO 2027'!$K$5,"CONCLUÍDA",IF(F5556&lt;='RETRATO 2027'!$K$5,"EM ANDAMENTO","A INICIAR")))</f>
        <v/>
      </c>
    </row>
    <row r="5557" customFormat="false" ht="15" hidden="false" customHeight="false" outlineLevel="0" collapsed="false">
      <c r="M5557" s="2" t="str">
        <f aca="false">IF(C5557="","",IFERROR(INDEX($S$5:$S$304,MATCH(C5557,$R$5:$R$304,0))&amp;"","?"))</f>
        <v/>
      </c>
      <c r="N5557" s="2" t="str">
        <f aca="false"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 t="str">
        <f aca="false">IF(OR(F5557="",G5557=""),"",IF(G5557&lt;='RETRATO 2027'!$K$5,"CONCLUÍDA",IF(F5557&lt;='RETRATO 2027'!$K$5,"EM ANDAMENTO","A INICIAR")))</f>
        <v/>
      </c>
    </row>
    <row r="5558" customFormat="false" ht="15" hidden="false" customHeight="false" outlineLevel="0" collapsed="false">
      <c r="M5558" s="2" t="str">
        <f aca="false">IF(C5558="","",IFERROR(INDEX($S$5:$S$304,MATCH(C5558,$R$5:$R$304,0))&amp;"","?"))</f>
        <v/>
      </c>
      <c r="N5558" s="2" t="str">
        <f aca="false"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 t="str">
        <f aca="false">IF(OR(F5558="",G5558=""),"",IF(G5558&lt;='RETRATO 2027'!$K$5,"CONCLUÍDA",IF(F5558&lt;='RETRATO 2027'!$K$5,"EM ANDAMENTO","A INICIAR")))</f>
        <v/>
      </c>
    </row>
    <row r="5559" customFormat="false" ht="15" hidden="false" customHeight="false" outlineLevel="0" collapsed="false">
      <c r="M5559" s="2" t="str">
        <f aca="false">IF(C5559="","",IFERROR(INDEX($S$5:$S$304,MATCH(C5559,$R$5:$R$304,0))&amp;"","?"))</f>
        <v/>
      </c>
      <c r="N5559" s="2" t="str">
        <f aca="false"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 t="str">
        <f aca="false">IF(OR(F5559="",G5559=""),"",IF(G5559&lt;='RETRATO 2027'!$K$5,"CONCLUÍDA",IF(F5559&lt;='RETRATO 2027'!$K$5,"EM ANDAMENTO","A INICIAR")))</f>
        <v/>
      </c>
    </row>
    <row r="5560" customFormat="false" ht="15" hidden="false" customHeight="false" outlineLevel="0" collapsed="false">
      <c r="M5560" s="2" t="str">
        <f aca="false">IF(C5560="","",IFERROR(INDEX($S$5:$S$304,MATCH(C5560,$R$5:$R$304,0))&amp;"","?"))</f>
        <v/>
      </c>
      <c r="N5560" s="2" t="str">
        <f aca="false"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 t="str">
        <f aca="false">IF(OR(F5560="",G5560=""),"",IF(G5560&lt;='RETRATO 2027'!$K$5,"CONCLUÍDA",IF(F5560&lt;='RETRATO 2027'!$K$5,"EM ANDAMENTO","A INICIAR")))</f>
        <v/>
      </c>
    </row>
    <row r="5561" customFormat="false" ht="15" hidden="false" customHeight="false" outlineLevel="0" collapsed="false">
      <c r="M5561" s="2" t="str">
        <f aca="false">IF(C5561="","",IFERROR(INDEX($S$5:$S$304,MATCH(C5561,$R$5:$R$304,0))&amp;"","?"))</f>
        <v/>
      </c>
      <c r="N5561" s="2" t="str">
        <f aca="false"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 t="str">
        <f aca="false">IF(OR(F5561="",G5561=""),"",IF(G5561&lt;='RETRATO 2027'!$K$5,"CONCLUÍDA",IF(F5561&lt;='RETRATO 2027'!$K$5,"EM ANDAMENTO","A INICIAR")))</f>
        <v/>
      </c>
    </row>
    <row r="5562" customFormat="false" ht="15" hidden="false" customHeight="false" outlineLevel="0" collapsed="false">
      <c r="M5562" s="2" t="str">
        <f aca="false">IF(C5562="","",IFERROR(INDEX($S$5:$S$304,MATCH(C5562,$R$5:$R$304,0))&amp;"","?"))</f>
        <v/>
      </c>
      <c r="N5562" s="2" t="str">
        <f aca="false"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 t="str">
        <f aca="false">IF(OR(F5562="",G5562=""),"",IF(G5562&lt;='RETRATO 2027'!$K$5,"CONCLUÍDA",IF(F5562&lt;='RETRATO 2027'!$K$5,"EM ANDAMENTO","A INICIAR")))</f>
        <v/>
      </c>
    </row>
    <row r="5563" customFormat="false" ht="15" hidden="false" customHeight="false" outlineLevel="0" collapsed="false">
      <c r="M5563" s="2" t="str">
        <f aca="false">IF(C5563="","",IFERROR(INDEX($S$5:$S$304,MATCH(C5563,$R$5:$R$304,0))&amp;"","?"))</f>
        <v/>
      </c>
      <c r="N5563" s="2" t="str">
        <f aca="false"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 t="str">
        <f aca="false">IF(OR(F5563="",G5563=""),"",IF(G5563&lt;='RETRATO 2027'!$K$5,"CONCLUÍDA",IF(F5563&lt;='RETRATO 2027'!$K$5,"EM ANDAMENTO","A INICIAR")))</f>
        <v/>
      </c>
    </row>
    <row r="5564" customFormat="false" ht="15" hidden="false" customHeight="false" outlineLevel="0" collapsed="false">
      <c r="M5564" s="2" t="str">
        <f aca="false">IF(C5564="","",IFERROR(INDEX($S$5:$S$304,MATCH(C5564,$R$5:$R$304,0))&amp;"","?"))</f>
        <v/>
      </c>
      <c r="N5564" s="2" t="str">
        <f aca="false"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 t="str">
        <f aca="false">IF(OR(F5564="",G5564=""),"",IF(G5564&lt;='RETRATO 2027'!$K$5,"CONCLUÍDA",IF(F5564&lt;='RETRATO 2027'!$K$5,"EM ANDAMENTO","A INICIAR")))</f>
        <v/>
      </c>
    </row>
    <row r="5565" customFormat="false" ht="15" hidden="false" customHeight="false" outlineLevel="0" collapsed="false">
      <c r="M5565" s="2" t="str">
        <f aca="false">IF(C5565="","",IFERROR(INDEX($S$5:$S$304,MATCH(C5565,$R$5:$R$304,0))&amp;"","?"))</f>
        <v/>
      </c>
      <c r="N5565" s="2" t="str">
        <f aca="false"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 t="str">
        <f aca="false">IF(OR(F5565="",G5565=""),"",IF(G5565&lt;='RETRATO 2027'!$K$5,"CONCLUÍDA",IF(F5565&lt;='RETRATO 2027'!$K$5,"EM ANDAMENTO","A INICIAR")))</f>
        <v/>
      </c>
    </row>
    <row r="5566" customFormat="false" ht="15" hidden="false" customHeight="false" outlineLevel="0" collapsed="false">
      <c r="M5566" s="2" t="str">
        <f aca="false">IF(C5566="","",IFERROR(INDEX($S$5:$S$304,MATCH(C5566,$R$5:$R$304,0))&amp;"","?"))</f>
        <v/>
      </c>
      <c r="N5566" s="2" t="str">
        <f aca="false"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 t="str">
        <f aca="false">IF(OR(F5566="",G5566=""),"",IF(G5566&lt;='RETRATO 2027'!$K$5,"CONCLUÍDA",IF(F5566&lt;='RETRATO 2027'!$K$5,"EM ANDAMENTO","A INICIAR")))</f>
        <v/>
      </c>
    </row>
    <row r="5567" customFormat="false" ht="15" hidden="false" customHeight="false" outlineLevel="0" collapsed="false">
      <c r="M5567" s="2" t="str">
        <f aca="false">IF(C5567="","",IFERROR(INDEX($S$5:$S$304,MATCH(C5567,$R$5:$R$304,0))&amp;"","?"))</f>
        <v/>
      </c>
      <c r="N5567" s="2" t="str">
        <f aca="false"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 t="str">
        <f aca="false">IF(OR(F5567="",G5567=""),"",IF(G5567&lt;='RETRATO 2027'!$K$5,"CONCLUÍDA",IF(F5567&lt;='RETRATO 2027'!$K$5,"EM ANDAMENTO","A INICIAR")))</f>
        <v/>
      </c>
    </row>
    <row r="5568" customFormat="false" ht="15" hidden="false" customHeight="false" outlineLevel="0" collapsed="false">
      <c r="M5568" s="2" t="str">
        <f aca="false">IF(C5568="","",IFERROR(INDEX($S$5:$S$304,MATCH(C5568,$R$5:$R$304,0))&amp;"","?"))</f>
        <v/>
      </c>
      <c r="N5568" s="2" t="str">
        <f aca="false"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 t="str">
        <f aca="false">IF(OR(F5568="",G5568=""),"",IF(G5568&lt;='RETRATO 2027'!$K$5,"CONCLUÍDA",IF(F5568&lt;='RETRATO 2027'!$K$5,"EM ANDAMENTO","A INICIAR")))</f>
        <v/>
      </c>
    </row>
    <row r="5569" customFormat="false" ht="15" hidden="false" customHeight="false" outlineLevel="0" collapsed="false">
      <c r="M5569" s="2" t="str">
        <f aca="false">IF(C5569="","",IFERROR(INDEX($S$5:$S$304,MATCH(C5569,$R$5:$R$304,0))&amp;"","?"))</f>
        <v/>
      </c>
      <c r="N5569" s="2" t="str">
        <f aca="false"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 t="str">
        <f aca="false">IF(OR(F5569="",G5569=""),"",IF(G5569&lt;='RETRATO 2027'!$K$5,"CONCLUÍDA",IF(F5569&lt;='RETRATO 2027'!$K$5,"EM ANDAMENTO","A INICIAR")))</f>
        <v/>
      </c>
    </row>
    <row r="5570" customFormat="false" ht="15" hidden="false" customHeight="false" outlineLevel="0" collapsed="false">
      <c r="M5570" s="2" t="str">
        <f aca="false">IF(C5570="","",IFERROR(INDEX($S$5:$S$304,MATCH(C5570,$R$5:$R$304,0))&amp;"","?"))</f>
        <v/>
      </c>
      <c r="N5570" s="2" t="str">
        <f aca="false"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 t="str">
        <f aca="false">IF(OR(F5570="",G5570=""),"",IF(G5570&lt;='RETRATO 2027'!$K$5,"CONCLUÍDA",IF(F5570&lt;='RETRATO 2027'!$K$5,"EM ANDAMENTO","A INICIAR")))</f>
        <v/>
      </c>
    </row>
    <row r="5571" customFormat="false" ht="15" hidden="false" customHeight="false" outlineLevel="0" collapsed="false">
      <c r="M5571" s="2" t="str">
        <f aca="false">IF(C5571="","",IFERROR(INDEX($S$5:$S$304,MATCH(C5571,$R$5:$R$304,0))&amp;"","?"))</f>
        <v/>
      </c>
      <c r="N5571" s="2" t="str">
        <f aca="false"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 t="str">
        <f aca="false">IF(OR(F5571="",G5571=""),"",IF(G5571&lt;='RETRATO 2027'!$K$5,"CONCLUÍDA",IF(F5571&lt;='RETRATO 2027'!$K$5,"EM ANDAMENTO","A INICIAR")))</f>
        <v/>
      </c>
    </row>
    <row r="5572" customFormat="false" ht="15" hidden="false" customHeight="false" outlineLevel="0" collapsed="false">
      <c r="M5572" s="2" t="str">
        <f aca="false">IF(C5572="","",IFERROR(INDEX($S$5:$S$304,MATCH(C5572,$R$5:$R$304,0))&amp;"","?"))</f>
        <v/>
      </c>
      <c r="N5572" s="2" t="str">
        <f aca="false"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 t="str">
        <f aca="false">IF(OR(F5572="",G5572=""),"",IF(G5572&lt;='RETRATO 2027'!$K$5,"CONCLUÍDA",IF(F5572&lt;='RETRATO 2027'!$K$5,"EM ANDAMENTO","A INICIAR")))</f>
        <v/>
      </c>
    </row>
    <row r="5573" customFormat="false" ht="15" hidden="false" customHeight="false" outlineLevel="0" collapsed="false">
      <c r="M5573" s="2" t="str">
        <f aca="false">IF(C5573="","",IFERROR(INDEX($S$5:$S$304,MATCH(C5573,$R$5:$R$304,0))&amp;"","?"))</f>
        <v/>
      </c>
      <c r="N5573" s="2" t="str">
        <f aca="false"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 t="str">
        <f aca="false">IF(OR(F5573="",G5573=""),"",IF(G5573&lt;='RETRATO 2027'!$K$5,"CONCLUÍDA",IF(F5573&lt;='RETRATO 2027'!$K$5,"EM ANDAMENTO","A INICIAR")))</f>
        <v/>
      </c>
    </row>
    <row r="5574" customFormat="false" ht="15" hidden="false" customHeight="false" outlineLevel="0" collapsed="false">
      <c r="M5574" s="2" t="str">
        <f aca="false">IF(C5574="","",IFERROR(INDEX($S$5:$S$304,MATCH(C5574,$R$5:$R$304,0))&amp;"","?"))</f>
        <v/>
      </c>
      <c r="N5574" s="2" t="str">
        <f aca="false"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 t="str">
        <f aca="false">IF(OR(F5574="",G5574=""),"",IF(G5574&lt;='RETRATO 2027'!$K$5,"CONCLUÍDA",IF(F5574&lt;='RETRATO 2027'!$K$5,"EM ANDAMENTO","A INICIAR")))</f>
        <v/>
      </c>
    </row>
    <row r="5575" customFormat="false" ht="15" hidden="false" customHeight="false" outlineLevel="0" collapsed="false">
      <c r="M5575" s="2" t="str">
        <f aca="false">IF(C5575="","",IFERROR(INDEX($S$5:$S$304,MATCH(C5575,$R$5:$R$304,0))&amp;"","?"))</f>
        <v/>
      </c>
      <c r="N5575" s="2" t="str">
        <f aca="false"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 t="str">
        <f aca="false">IF(OR(F5575="",G5575=""),"",IF(G5575&lt;='RETRATO 2027'!$K$5,"CONCLUÍDA",IF(F5575&lt;='RETRATO 2027'!$K$5,"EM ANDAMENTO","A INICIAR")))</f>
        <v/>
      </c>
    </row>
    <row r="5576" customFormat="false" ht="15" hidden="false" customHeight="false" outlineLevel="0" collapsed="false">
      <c r="M5576" s="2" t="str">
        <f aca="false">IF(C5576="","",IFERROR(INDEX($S$5:$S$304,MATCH(C5576,$R$5:$R$304,0))&amp;"","?"))</f>
        <v/>
      </c>
      <c r="N5576" s="2" t="str">
        <f aca="false"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 t="str">
        <f aca="false">IF(OR(F5576="",G5576=""),"",IF(G5576&lt;='RETRATO 2027'!$K$5,"CONCLUÍDA",IF(F5576&lt;='RETRATO 2027'!$K$5,"EM ANDAMENTO","A INICIAR")))</f>
        <v/>
      </c>
    </row>
    <row r="5577" customFormat="false" ht="15" hidden="false" customHeight="false" outlineLevel="0" collapsed="false">
      <c r="M5577" s="2" t="str">
        <f aca="false">IF(C5577="","",IFERROR(INDEX($S$5:$S$304,MATCH(C5577,$R$5:$R$304,0))&amp;"","?"))</f>
        <v/>
      </c>
      <c r="N5577" s="2" t="str">
        <f aca="false"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 t="str">
        <f aca="false">IF(OR(F5577="",G5577=""),"",IF(G5577&lt;='RETRATO 2027'!$K$5,"CONCLUÍDA",IF(F5577&lt;='RETRATO 2027'!$K$5,"EM ANDAMENTO","A INICIAR")))</f>
        <v/>
      </c>
    </row>
    <row r="5578" customFormat="false" ht="15" hidden="false" customHeight="false" outlineLevel="0" collapsed="false">
      <c r="M5578" s="2" t="str">
        <f aca="false">IF(C5578="","",IFERROR(INDEX($S$5:$S$304,MATCH(C5578,$R$5:$R$304,0))&amp;"","?"))</f>
        <v/>
      </c>
      <c r="N5578" s="2" t="str">
        <f aca="false"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 t="str">
        <f aca="false">IF(OR(F5578="",G5578=""),"",IF(G5578&lt;='RETRATO 2027'!$K$5,"CONCLUÍDA",IF(F5578&lt;='RETRATO 2027'!$K$5,"EM ANDAMENTO","A INICIAR")))</f>
        <v/>
      </c>
    </row>
    <row r="5579" customFormat="false" ht="15" hidden="false" customHeight="false" outlineLevel="0" collapsed="false">
      <c r="M5579" s="2" t="str">
        <f aca="false">IF(C5579="","",IFERROR(INDEX($S$5:$S$304,MATCH(C5579,$R$5:$R$304,0))&amp;"","?"))</f>
        <v/>
      </c>
      <c r="N5579" s="2" t="str">
        <f aca="false"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 t="str">
        <f aca="false">IF(OR(F5579="",G5579=""),"",IF(G5579&lt;='RETRATO 2027'!$K$5,"CONCLUÍDA",IF(F5579&lt;='RETRATO 2027'!$K$5,"EM ANDAMENTO","A INICIAR")))</f>
        <v/>
      </c>
    </row>
    <row r="5580" customFormat="false" ht="15" hidden="false" customHeight="false" outlineLevel="0" collapsed="false">
      <c r="M5580" s="2" t="str">
        <f aca="false">IF(C5580="","",IFERROR(INDEX($S$5:$S$304,MATCH(C5580,$R$5:$R$304,0))&amp;"","?"))</f>
        <v/>
      </c>
      <c r="N5580" s="2" t="str">
        <f aca="false"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 t="str">
        <f aca="false">IF(OR(F5580="",G5580=""),"",IF(G5580&lt;='RETRATO 2027'!$K$5,"CONCLUÍDA",IF(F5580&lt;='RETRATO 2027'!$K$5,"EM ANDAMENTO","A INICIAR")))</f>
        <v/>
      </c>
    </row>
    <row r="5581" customFormat="false" ht="15" hidden="false" customHeight="false" outlineLevel="0" collapsed="false">
      <c r="M5581" s="2" t="str">
        <f aca="false">IF(C5581="","",IFERROR(INDEX($S$5:$S$304,MATCH(C5581,$R$5:$R$304,0))&amp;"","?"))</f>
        <v/>
      </c>
      <c r="N5581" s="2" t="str">
        <f aca="false"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 t="str">
        <f aca="false">IF(OR(F5581="",G5581=""),"",IF(G5581&lt;='RETRATO 2027'!$K$5,"CONCLUÍDA",IF(F5581&lt;='RETRATO 2027'!$K$5,"EM ANDAMENTO","A INICIAR")))</f>
        <v/>
      </c>
    </row>
    <row r="5582" customFormat="false" ht="15" hidden="false" customHeight="false" outlineLevel="0" collapsed="false">
      <c r="M5582" s="2" t="str">
        <f aca="false">IF(C5582="","",IFERROR(INDEX($S$5:$S$304,MATCH(C5582,$R$5:$R$304,0))&amp;"","?"))</f>
        <v/>
      </c>
      <c r="N5582" s="2" t="str">
        <f aca="false"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 t="str">
        <f aca="false">IF(OR(F5582="",G5582=""),"",IF(G5582&lt;='RETRATO 2027'!$K$5,"CONCLUÍDA",IF(F5582&lt;='RETRATO 2027'!$K$5,"EM ANDAMENTO","A INICIAR")))</f>
        <v/>
      </c>
    </row>
    <row r="5583" customFormat="false" ht="15" hidden="false" customHeight="false" outlineLevel="0" collapsed="false">
      <c r="M5583" s="2" t="str">
        <f aca="false">IF(C5583="","",IFERROR(INDEX($S$5:$S$304,MATCH(C5583,$R$5:$R$304,0))&amp;"","?"))</f>
        <v/>
      </c>
      <c r="N5583" s="2" t="str">
        <f aca="false"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 t="str">
        <f aca="false">IF(OR(F5583="",G5583=""),"",IF(G5583&lt;='RETRATO 2027'!$K$5,"CONCLUÍDA",IF(F5583&lt;='RETRATO 2027'!$K$5,"EM ANDAMENTO","A INICIAR")))</f>
        <v/>
      </c>
    </row>
    <row r="5584" customFormat="false" ht="15" hidden="false" customHeight="false" outlineLevel="0" collapsed="false">
      <c r="M5584" s="2" t="str">
        <f aca="false">IF(C5584="","",IFERROR(INDEX($S$5:$S$304,MATCH(C5584,$R$5:$R$304,0))&amp;"","?"))</f>
        <v/>
      </c>
      <c r="N5584" s="2" t="str">
        <f aca="false"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 t="str">
        <f aca="false">IF(OR(F5584="",G5584=""),"",IF(G5584&lt;='RETRATO 2027'!$K$5,"CONCLUÍDA",IF(F5584&lt;='RETRATO 2027'!$K$5,"EM ANDAMENTO","A INICIAR")))</f>
        <v/>
      </c>
    </row>
    <row r="5585" customFormat="false" ht="15" hidden="false" customHeight="false" outlineLevel="0" collapsed="false">
      <c r="M5585" s="2" t="str">
        <f aca="false">IF(C5585="","",IFERROR(INDEX($S$5:$S$304,MATCH(C5585,$R$5:$R$304,0))&amp;"","?"))</f>
        <v/>
      </c>
      <c r="N5585" s="2" t="str">
        <f aca="false"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 t="str">
        <f aca="false">IF(OR(F5585="",G5585=""),"",IF(G5585&lt;='RETRATO 2027'!$K$5,"CONCLUÍDA",IF(F5585&lt;='RETRATO 2027'!$K$5,"EM ANDAMENTO","A INICIAR")))</f>
        <v/>
      </c>
    </row>
    <row r="5586" customFormat="false" ht="15" hidden="false" customHeight="false" outlineLevel="0" collapsed="false">
      <c r="M5586" s="2" t="str">
        <f aca="false">IF(C5586="","",IFERROR(INDEX($S$5:$S$304,MATCH(C5586,$R$5:$R$304,0))&amp;"","?"))</f>
        <v/>
      </c>
      <c r="N5586" s="2" t="str">
        <f aca="false"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 t="str">
        <f aca="false">IF(OR(F5586="",G5586=""),"",IF(G5586&lt;='RETRATO 2027'!$K$5,"CONCLUÍDA",IF(F5586&lt;='RETRATO 2027'!$K$5,"EM ANDAMENTO","A INICIAR")))</f>
        <v/>
      </c>
    </row>
    <row r="5587" customFormat="false" ht="15" hidden="false" customHeight="false" outlineLevel="0" collapsed="false">
      <c r="M5587" s="2" t="str">
        <f aca="false">IF(C5587="","",IFERROR(INDEX($S$5:$S$304,MATCH(C5587,$R$5:$R$304,0))&amp;"","?"))</f>
        <v/>
      </c>
      <c r="N5587" s="2" t="str">
        <f aca="false"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 t="str">
        <f aca="false">IF(OR(F5587="",G5587=""),"",IF(G5587&lt;='RETRATO 2027'!$K$5,"CONCLUÍDA",IF(F5587&lt;='RETRATO 2027'!$K$5,"EM ANDAMENTO","A INICIAR")))</f>
        <v/>
      </c>
    </row>
    <row r="5588" customFormat="false" ht="15" hidden="false" customHeight="false" outlineLevel="0" collapsed="false">
      <c r="M5588" s="2" t="str">
        <f aca="false">IF(C5588="","",IFERROR(INDEX($S$5:$S$304,MATCH(C5588,$R$5:$R$304,0))&amp;"","?"))</f>
        <v/>
      </c>
      <c r="N5588" s="2" t="str">
        <f aca="false"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 t="str">
        <f aca="false">IF(OR(F5588="",G5588=""),"",IF(G5588&lt;='RETRATO 2027'!$K$5,"CONCLUÍDA",IF(F5588&lt;='RETRATO 2027'!$K$5,"EM ANDAMENTO","A INICIAR")))</f>
        <v/>
      </c>
    </row>
    <row r="5589" customFormat="false" ht="15" hidden="false" customHeight="false" outlineLevel="0" collapsed="false">
      <c r="M5589" s="2" t="str">
        <f aca="false">IF(C5589="","",IFERROR(INDEX($S$5:$S$304,MATCH(C5589,$R$5:$R$304,0))&amp;"","?"))</f>
        <v/>
      </c>
      <c r="N5589" s="2" t="str">
        <f aca="false"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 t="str">
        <f aca="false">IF(OR(F5589="",G5589=""),"",IF(G5589&lt;='RETRATO 2027'!$K$5,"CONCLUÍDA",IF(F5589&lt;='RETRATO 2027'!$K$5,"EM ANDAMENTO","A INICIAR")))</f>
        <v/>
      </c>
    </row>
    <row r="5590" customFormat="false" ht="15" hidden="false" customHeight="false" outlineLevel="0" collapsed="false">
      <c r="M5590" s="2" t="str">
        <f aca="false">IF(C5590="","",IFERROR(INDEX($S$5:$S$304,MATCH(C5590,$R$5:$R$304,0))&amp;"","?"))</f>
        <v/>
      </c>
      <c r="N5590" s="2" t="str">
        <f aca="false"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 t="str">
        <f aca="false">IF(OR(F5590="",G5590=""),"",IF(G5590&lt;='RETRATO 2027'!$K$5,"CONCLUÍDA",IF(F5590&lt;='RETRATO 2027'!$K$5,"EM ANDAMENTO","A INICIAR")))</f>
        <v/>
      </c>
    </row>
    <row r="5591" customFormat="false" ht="15" hidden="false" customHeight="false" outlineLevel="0" collapsed="false">
      <c r="M5591" s="2" t="str">
        <f aca="false">IF(C5591="","",IFERROR(INDEX($S$5:$S$304,MATCH(C5591,$R$5:$R$304,0))&amp;"","?"))</f>
        <v/>
      </c>
      <c r="N5591" s="2" t="str">
        <f aca="false"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 t="str">
        <f aca="false">IF(OR(F5591="",G5591=""),"",IF(G5591&lt;='RETRATO 2027'!$K$5,"CONCLUÍDA",IF(F5591&lt;='RETRATO 2027'!$K$5,"EM ANDAMENTO","A INICIAR")))</f>
        <v/>
      </c>
    </row>
    <row r="5592" customFormat="false" ht="15" hidden="false" customHeight="false" outlineLevel="0" collapsed="false">
      <c r="M5592" s="2" t="str">
        <f aca="false">IF(C5592="","",IFERROR(INDEX($S$5:$S$304,MATCH(C5592,$R$5:$R$304,0))&amp;"","?"))</f>
        <v/>
      </c>
      <c r="N5592" s="2" t="str">
        <f aca="false"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 t="str">
        <f aca="false">IF(OR(F5592="",G5592=""),"",IF(G5592&lt;='RETRATO 2027'!$K$5,"CONCLUÍDA",IF(F5592&lt;='RETRATO 2027'!$K$5,"EM ANDAMENTO","A INICIAR")))</f>
        <v/>
      </c>
    </row>
    <row r="5593" customFormat="false" ht="15" hidden="false" customHeight="false" outlineLevel="0" collapsed="false">
      <c r="M5593" s="2" t="str">
        <f aca="false">IF(C5593="","",IFERROR(INDEX($S$5:$S$304,MATCH(C5593,$R$5:$R$304,0))&amp;"","?"))</f>
        <v/>
      </c>
      <c r="N5593" s="2" t="str">
        <f aca="false"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 t="str">
        <f aca="false">IF(OR(F5593="",G5593=""),"",IF(G5593&lt;='RETRATO 2027'!$K$5,"CONCLUÍDA",IF(F5593&lt;='RETRATO 2027'!$K$5,"EM ANDAMENTO","A INICIAR")))</f>
        <v/>
      </c>
    </row>
    <row r="5594" customFormat="false" ht="15" hidden="false" customHeight="false" outlineLevel="0" collapsed="false">
      <c r="M5594" s="2" t="str">
        <f aca="false">IF(C5594="","",IFERROR(INDEX($S$5:$S$304,MATCH(C5594,$R$5:$R$304,0))&amp;"","?"))</f>
        <v/>
      </c>
      <c r="N5594" s="2" t="str">
        <f aca="false"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 t="str">
        <f aca="false">IF(OR(F5594="",G5594=""),"",IF(G5594&lt;='RETRATO 2027'!$K$5,"CONCLUÍDA",IF(F5594&lt;='RETRATO 2027'!$K$5,"EM ANDAMENTO","A INICIAR")))</f>
        <v/>
      </c>
    </row>
    <row r="5595" customFormat="false" ht="15" hidden="false" customHeight="false" outlineLevel="0" collapsed="false">
      <c r="M5595" s="2" t="str">
        <f aca="false">IF(C5595="","",IFERROR(INDEX($S$5:$S$304,MATCH(C5595,$R$5:$R$304,0))&amp;"","?"))</f>
        <v/>
      </c>
      <c r="N5595" s="2" t="str">
        <f aca="false"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 t="str">
        <f aca="false">IF(OR(F5595="",G5595=""),"",IF(G5595&lt;='RETRATO 2027'!$K$5,"CONCLUÍDA",IF(F5595&lt;='RETRATO 2027'!$K$5,"EM ANDAMENTO","A INICIAR")))</f>
        <v/>
      </c>
    </row>
    <row r="5596" customFormat="false" ht="15" hidden="false" customHeight="false" outlineLevel="0" collapsed="false">
      <c r="M5596" s="2" t="str">
        <f aca="false">IF(C5596="","",IFERROR(INDEX($S$5:$S$304,MATCH(C5596,$R$5:$R$304,0))&amp;"","?"))</f>
        <v/>
      </c>
      <c r="N5596" s="2" t="str">
        <f aca="false"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 t="str">
        <f aca="false">IF(OR(F5596="",G5596=""),"",IF(G5596&lt;='RETRATO 2027'!$K$5,"CONCLUÍDA",IF(F5596&lt;='RETRATO 2027'!$K$5,"EM ANDAMENTO","A INICIAR")))</f>
        <v/>
      </c>
    </row>
    <row r="5597" customFormat="false" ht="15" hidden="false" customHeight="false" outlineLevel="0" collapsed="false">
      <c r="M5597" s="2" t="str">
        <f aca="false">IF(C5597="","",IFERROR(INDEX($S$5:$S$304,MATCH(C5597,$R$5:$R$304,0))&amp;"","?"))</f>
        <v/>
      </c>
      <c r="N5597" s="2" t="str">
        <f aca="false"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 t="str">
        <f aca="false">IF(OR(F5597="",G5597=""),"",IF(G5597&lt;='RETRATO 2027'!$K$5,"CONCLUÍDA",IF(F5597&lt;='RETRATO 2027'!$K$5,"EM ANDAMENTO","A INICIAR")))</f>
        <v/>
      </c>
    </row>
    <row r="5598" customFormat="false" ht="15" hidden="false" customHeight="false" outlineLevel="0" collapsed="false">
      <c r="M5598" s="2" t="str">
        <f aca="false">IF(C5598="","",IFERROR(INDEX($S$5:$S$304,MATCH(C5598,$R$5:$R$304,0))&amp;"","?"))</f>
        <v/>
      </c>
      <c r="N5598" s="2" t="str">
        <f aca="false"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 t="str">
        <f aca="false">IF(OR(F5598="",G5598=""),"",IF(G5598&lt;='RETRATO 2027'!$K$5,"CONCLUÍDA",IF(F5598&lt;='RETRATO 2027'!$K$5,"EM ANDAMENTO","A INICIAR")))</f>
        <v/>
      </c>
    </row>
    <row r="5599" customFormat="false" ht="15" hidden="false" customHeight="false" outlineLevel="0" collapsed="false">
      <c r="M5599" s="2" t="str">
        <f aca="false">IF(C5599="","",IFERROR(INDEX($S$5:$S$304,MATCH(C5599,$R$5:$R$304,0))&amp;"","?"))</f>
        <v/>
      </c>
      <c r="N5599" s="2" t="str">
        <f aca="false"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 t="str">
        <f aca="false">IF(OR(F5599="",G5599=""),"",IF(G5599&lt;='RETRATO 2027'!$K$5,"CONCLUÍDA",IF(F5599&lt;='RETRATO 2027'!$K$5,"EM ANDAMENTO","A INICIAR")))</f>
        <v/>
      </c>
    </row>
    <row r="5600" customFormat="false" ht="15" hidden="false" customHeight="false" outlineLevel="0" collapsed="false">
      <c r="M5600" s="2" t="str">
        <f aca="false">IF(C5600="","",IFERROR(INDEX($S$5:$S$304,MATCH(C5600,$R$5:$R$304,0))&amp;"","?"))</f>
        <v/>
      </c>
      <c r="N5600" s="2" t="str">
        <f aca="false"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 t="str">
        <f aca="false">IF(OR(F5600="",G5600=""),"",IF(G5600&lt;='RETRATO 2027'!$K$5,"CONCLUÍDA",IF(F5600&lt;='RETRATO 2027'!$K$5,"EM ANDAMENTO","A INICIAR")))</f>
        <v/>
      </c>
    </row>
    <row r="5601" customFormat="false" ht="15" hidden="false" customHeight="false" outlineLevel="0" collapsed="false">
      <c r="M5601" s="2" t="str">
        <f aca="false">IF(C5601="","",IFERROR(INDEX($S$5:$S$304,MATCH(C5601,$R$5:$R$304,0))&amp;"","?"))</f>
        <v/>
      </c>
      <c r="N5601" s="2" t="str">
        <f aca="false"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 t="str">
        <f aca="false">IF(OR(F5601="",G5601=""),"",IF(G5601&lt;='RETRATO 2027'!$K$5,"CONCLUÍDA",IF(F5601&lt;='RETRATO 2027'!$K$5,"EM ANDAMENTO","A INICIAR")))</f>
        <v/>
      </c>
    </row>
    <row r="5602" customFormat="false" ht="15" hidden="false" customHeight="false" outlineLevel="0" collapsed="false">
      <c r="M5602" s="2" t="str">
        <f aca="false">IF(C5602="","",IFERROR(INDEX($S$5:$S$304,MATCH(C5602,$R$5:$R$304,0))&amp;"","?"))</f>
        <v/>
      </c>
      <c r="N5602" s="2" t="str">
        <f aca="false"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 t="str">
        <f aca="false">IF(OR(F5602="",G5602=""),"",IF(G5602&lt;='RETRATO 2027'!$K$5,"CONCLUÍDA",IF(F5602&lt;='RETRATO 2027'!$K$5,"EM ANDAMENTO","A INICIAR")))</f>
        <v/>
      </c>
    </row>
    <row r="5603" customFormat="false" ht="15" hidden="false" customHeight="false" outlineLevel="0" collapsed="false">
      <c r="M5603" s="2" t="str">
        <f aca="false">IF(C5603="","",IFERROR(INDEX($S$5:$S$304,MATCH(C5603,$R$5:$R$304,0))&amp;"","?"))</f>
        <v/>
      </c>
      <c r="N5603" s="2" t="str">
        <f aca="false"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 t="str">
        <f aca="false">IF(OR(F5603="",G5603=""),"",IF(G5603&lt;='RETRATO 2027'!$K$5,"CONCLUÍDA",IF(F5603&lt;='RETRATO 2027'!$K$5,"EM ANDAMENTO","A INICIAR")))</f>
        <v/>
      </c>
    </row>
    <row r="5604" customFormat="false" ht="15" hidden="false" customHeight="false" outlineLevel="0" collapsed="false">
      <c r="M5604" s="2" t="str">
        <f aca="false">IF(C5604="","",IFERROR(INDEX($S$5:$S$304,MATCH(C5604,$R$5:$R$304,0))&amp;"","?"))</f>
        <v/>
      </c>
      <c r="N5604" s="2" t="str">
        <f aca="false"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 t="str">
        <f aca="false">IF(OR(F5604="",G5604=""),"",IF(G5604&lt;='RETRATO 2027'!$K$5,"CONCLUÍDA",IF(F5604&lt;='RETRATO 2027'!$K$5,"EM ANDAMENTO","A INICIAR")))</f>
        <v/>
      </c>
    </row>
    <row r="5605" customFormat="false" ht="15" hidden="false" customHeight="false" outlineLevel="0" collapsed="false">
      <c r="M5605" s="2" t="str">
        <f aca="false">IF(C5605="","",IFERROR(INDEX($S$5:$S$304,MATCH(C5605,$R$5:$R$304,0))&amp;"","?"))</f>
        <v/>
      </c>
      <c r="N5605" s="2" t="str">
        <f aca="false"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 t="str">
        <f aca="false">IF(OR(F5605="",G5605=""),"",IF(G5605&lt;='RETRATO 2027'!$K$5,"CONCLUÍDA",IF(F5605&lt;='RETRATO 2027'!$K$5,"EM ANDAMENTO","A INICIAR")))</f>
        <v/>
      </c>
    </row>
    <row r="5606" customFormat="false" ht="15" hidden="false" customHeight="false" outlineLevel="0" collapsed="false">
      <c r="M5606" s="2" t="str">
        <f aca="false">IF(C5606="","",IFERROR(INDEX($S$5:$S$304,MATCH(C5606,$R$5:$R$304,0))&amp;"","?"))</f>
        <v/>
      </c>
      <c r="N5606" s="2" t="str">
        <f aca="false"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 t="str">
        <f aca="false">IF(OR(F5606="",G5606=""),"",IF(G5606&lt;='RETRATO 2027'!$K$5,"CONCLUÍDA",IF(F5606&lt;='RETRATO 2027'!$K$5,"EM ANDAMENTO","A INICIAR")))</f>
        <v/>
      </c>
    </row>
    <row r="5607" customFormat="false" ht="15" hidden="false" customHeight="false" outlineLevel="0" collapsed="false">
      <c r="M5607" s="2" t="str">
        <f aca="false">IF(C5607="","",IFERROR(INDEX($S$5:$S$304,MATCH(C5607,$R$5:$R$304,0))&amp;"","?"))</f>
        <v/>
      </c>
      <c r="N5607" s="2" t="str">
        <f aca="false"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 t="str">
        <f aca="false">IF(OR(F5607="",G5607=""),"",IF(G5607&lt;='RETRATO 2027'!$K$5,"CONCLUÍDA",IF(F5607&lt;='RETRATO 2027'!$K$5,"EM ANDAMENTO","A INICIAR")))</f>
        <v/>
      </c>
    </row>
    <row r="5608" customFormat="false" ht="15" hidden="false" customHeight="false" outlineLevel="0" collapsed="false">
      <c r="M5608" s="2" t="str">
        <f aca="false">IF(C5608="","",IFERROR(INDEX($S$5:$S$304,MATCH(C5608,$R$5:$R$304,0))&amp;"","?"))</f>
        <v/>
      </c>
      <c r="N5608" s="2" t="str">
        <f aca="false"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 t="str">
        <f aca="false">IF(OR(F5608="",G5608=""),"",IF(G5608&lt;='RETRATO 2027'!$K$5,"CONCLUÍDA",IF(F5608&lt;='RETRATO 2027'!$K$5,"EM ANDAMENTO","A INICIAR")))</f>
        <v/>
      </c>
    </row>
    <row r="5609" customFormat="false" ht="15" hidden="false" customHeight="false" outlineLevel="0" collapsed="false">
      <c r="M5609" s="2" t="str">
        <f aca="false">IF(C5609="","",IFERROR(INDEX($S$5:$S$304,MATCH(C5609,$R$5:$R$304,0))&amp;"","?"))</f>
        <v/>
      </c>
      <c r="N5609" s="2" t="str">
        <f aca="false"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 t="str">
        <f aca="false">IF(OR(F5609="",G5609=""),"",IF(G5609&lt;='RETRATO 2027'!$K$5,"CONCLUÍDA",IF(F5609&lt;='RETRATO 2027'!$K$5,"EM ANDAMENTO","A INICIAR")))</f>
        <v/>
      </c>
    </row>
    <row r="5610" customFormat="false" ht="15" hidden="false" customHeight="false" outlineLevel="0" collapsed="false">
      <c r="M5610" s="2" t="str">
        <f aca="false">IF(C5610="","",IFERROR(INDEX($S$5:$S$304,MATCH(C5610,$R$5:$R$304,0))&amp;"","?"))</f>
        <v/>
      </c>
      <c r="N5610" s="2" t="str">
        <f aca="false"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 t="str">
        <f aca="false">IF(OR(F5610="",G5610=""),"",IF(G5610&lt;='RETRATO 2027'!$K$5,"CONCLUÍDA",IF(F5610&lt;='RETRATO 2027'!$K$5,"EM ANDAMENTO","A INICIAR")))</f>
        <v/>
      </c>
    </row>
    <row r="5611" customFormat="false" ht="15" hidden="false" customHeight="false" outlineLevel="0" collapsed="false">
      <c r="M5611" s="2" t="str">
        <f aca="false">IF(C5611="","",IFERROR(INDEX($S$5:$S$304,MATCH(C5611,$R$5:$R$304,0))&amp;"","?"))</f>
        <v/>
      </c>
      <c r="N5611" s="2" t="str">
        <f aca="false"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 t="str">
        <f aca="false">IF(OR(F5611="",G5611=""),"",IF(G5611&lt;='RETRATO 2027'!$K$5,"CONCLUÍDA",IF(F5611&lt;='RETRATO 2027'!$K$5,"EM ANDAMENTO","A INICIAR")))</f>
        <v/>
      </c>
    </row>
    <row r="5612" customFormat="false" ht="15" hidden="false" customHeight="false" outlineLevel="0" collapsed="false">
      <c r="M5612" s="2" t="str">
        <f aca="false">IF(C5612="","",IFERROR(INDEX($S$5:$S$304,MATCH(C5612,$R$5:$R$304,0))&amp;"","?"))</f>
        <v/>
      </c>
      <c r="N5612" s="2" t="str">
        <f aca="false"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 t="str">
        <f aca="false">IF(OR(F5612="",G5612=""),"",IF(G5612&lt;='RETRATO 2027'!$K$5,"CONCLUÍDA",IF(F5612&lt;='RETRATO 2027'!$K$5,"EM ANDAMENTO","A INICIAR")))</f>
        <v/>
      </c>
    </row>
    <row r="5613" customFormat="false" ht="15" hidden="false" customHeight="false" outlineLevel="0" collapsed="false">
      <c r="M5613" s="2" t="str">
        <f aca="false">IF(C5613="","",IFERROR(INDEX($S$5:$S$304,MATCH(C5613,$R$5:$R$304,0))&amp;"","?"))</f>
        <v/>
      </c>
      <c r="N5613" s="2" t="str">
        <f aca="false"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 t="str">
        <f aca="false">IF(OR(F5613="",G5613=""),"",IF(G5613&lt;='RETRATO 2027'!$K$5,"CONCLUÍDA",IF(F5613&lt;='RETRATO 2027'!$K$5,"EM ANDAMENTO","A INICIAR")))</f>
        <v/>
      </c>
    </row>
    <row r="5614" customFormat="false" ht="15" hidden="false" customHeight="false" outlineLevel="0" collapsed="false">
      <c r="M5614" s="2" t="str">
        <f aca="false">IF(C5614="","",IFERROR(INDEX($S$5:$S$304,MATCH(C5614,$R$5:$R$304,0))&amp;"","?"))</f>
        <v/>
      </c>
      <c r="N5614" s="2" t="str">
        <f aca="false"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 t="str">
        <f aca="false">IF(OR(F5614="",G5614=""),"",IF(G5614&lt;='RETRATO 2027'!$K$5,"CONCLUÍDA",IF(F5614&lt;='RETRATO 2027'!$K$5,"EM ANDAMENTO","A INICIAR")))</f>
        <v/>
      </c>
    </row>
    <row r="5615" customFormat="false" ht="15" hidden="false" customHeight="false" outlineLevel="0" collapsed="false">
      <c r="M5615" s="2" t="str">
        <f aca="false">IF(C5615="","",IFERROR(INDEX($S$5:$S$304,MATCH(C5615,$R$5:$R$304,0))&amp;"","?"))</f>
        <v/>
      </c>
      <c r="N5615" s="2" t="str">
        <f aca="false"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 t="str">
        <f aca="false">IF(OR(F5615="",G5615=""),"",IF(G5615&lt;='RETRATO 2027'!$K$5,"CONCLUÍDA",IF(F5615&lt;='RETRATO 2027'!$K$5,"EM ANDAMENTO","A INICIAR")))</f>
        <v/>
      </c>
    </row>
    <row r="5616" customFormat="false" ht="15" hidden="false" customHeight="false" outlineLevel="0" collapsed="false">
      <c r="M5616" s="2" t="str">
        <f aca="false">IF(C5616="","",IFERROR(INDEX($S$5:$S$304,MATCH(C5616,$R$5:$R$304,0))&amp;"","?"))</f>
        <v/>
      </c>
      <c r="N5616" s="2" t="str">
        <f aca="false"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 t="str">
        <f aca="false">IF(OR(F5616="",G5616=""),"",IF(G5616&lt;='RETRATO 2027'!$K$5,"CONCLUÍDA",IF(F5616&lt;='RETRATO 2027'!$K$5,"EM ANDAMENTO","A INICIAR")))</f>
        <v/>
      </c>
    </row>
    <row r="5617" customFormat="false" ht="15" hidden="false" customHeight="false" outlineLevel="0" collapsed="false">
      <c r="M5617" s="2" t="str">
        <f aca="false">IF(C5617="","",IFERROR(INDEX($S$5:$S$304,MATCH(C5617,$R$5:$R$304,0))&amp;"","?"))</f>
        <v/>
      </c>
      <c r="N5617" s="2" t="str">
        <f aca="false"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 t="str">
        <f aca="false">IF(OR(F5617="",G5617=""),"",IF(G5617&lt;='RETRATO 2027'!$K$5,"CONCLUÍDA",IF(F5617&lt;='RETRATO 2027'!$K$5,"EM ANDAMENTO","A INICIAR")))</f>
        <v/>
      </c>
    </row>
    <row r="5618" customFormat="false" ht="15" hidden="false" customHeight="false" outlineLevel="0" collapsed="false">
      <c r="M5618" s="2" t="str">
        <f aca="false">IF(C5618="","",IFERROR(INDEX($S$5:$S$304,MATCH(C5618,$R$5:$R$304,0))&amp;"","?"))</f>
        <v/>
      </c>
      <c r="N5618" s="2" t="str">
        <f aca="false"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 t="str">
        <f aca="false">IF(OR(F5618="",G5618=""),"",IF(G5618&lt;='RETRATO 2027'!$K$5,"CONCLUÍDA",IF(F5618&lt;='RETRATO 2027'!$K$5,"EM ANDAMENTO","A INICIAR")))</f>
        <v/>
      </c>
    </row>
    <row r="5619" customFormat="false" ht="15" hidden="false" customHeight="false" outlineLevel="0" collapsed="false">
      <c r="M5619" s="2" t="str">
        <f aca="false">IF(C5619="","",IFERROR(INDEX($S$5:$S$304,MATCH(C5619,$R$5:$R$304,0))&amp;"","?"))</f>
        <v/>
      </c>
      <c r="N5619" s="2" t="str">
        <f aca="false"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 t="str">
        <f aca="false">IF(OR(F5619="",G5619=""),"",IF(G5619&lt;='RETRATO 2027'!$K$5,"CONCLUÍDA",IF(F5619&lt;='RETRATO 2027'!$K$5,"EM ANDAMENTO","A INICIAR")))</f>
        <v/>
      </c>
    </row>
    <row r="5620" customFormat="false" ht="15" hidden="false" customHeight="false" outlineLevel="0" collapsed="false">
      <c r="M5620" s="2" t="str">
        <f aca="false">IF(C5620="","",IFERROR(INDEX($S$5:$S$304,MATCH(C5620,$R$5:$R$304,0))&amp;"","?"))</f>
        <v/>
      </c>
      <c r="N5620" s="2" t="str">
        <f aca="false"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 t="str">
        <f aca="false">IF(OR(F5620="",G5620=""),"",IF(G5620&lt;='RETRATO 2027'!$K$5,"CONCLUÍDA",IF(F5620&lt;='RETRATO 2027'!$K$5,"EM ANDAMENTO","A INICIAR")))</f>
        <v/>
      </c>
    </row>
    <row r="5621" customFormat="false" ht="15" hidden="false" customHeight="false" outlineLevel="0" collapsed="false">
      <c r="M5621" s="2" t="str">
        <f aca="false">IF(C5621="","",IFERROR(INDEX($S$5:$S$304,MATCH(C5621,$R$5:$R$304,0))&amp;"","?"))</f>
        <v/>
      </c>
      <c r="N5621" s="2" t="str">
        <f aca="false"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 t="str">
        <f aca="false">IF(OR(F5621="",G5621=""),"",IF(G5621&lt;='RETRATO 2027'!$K$5,"CONCLUÍDA",IF(F5621&lt;='RETRATO 2027'!$K$5,"EM ANDAMENTO","A INICIAR")))</f>
        <v/>
      </c>
    </row>
    <row r="5622" customFormat="false" ht="15" hidden="false" customHeight="false" outlineLevel="0" collapsed="false">
      <c r="M5622" s="2" t="str">
        <f aca="false">IF(C5622="","",IFERROR(INDEX($S$5:$S$304,MATCH(C5622,$R$5:$R$304,0))&amp;"","?"))</f>
        <v/>
      </c>
      <c r="N5622" s="2" t="str">
        <f aca="false"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 t="str">
        <f aca="false">IF(OR(F5622="",G5622=""),"",IF(G5622&lt;='RETRATO 2027'!$K$5,"CONCLUÍDA",IF(F5622&lt;='RETRATO 2027'!$K$5,"EM ANDAMENTO","A INICIAR")))</f>
        <v/>
      </c>
    </row>
    <row r="5623" customFormat="false" ht="15" hidden="false" customHeight="false" outlineLevel="0" collapsed="false">
      <c r="M5623" s="2" t="str">
        <f aca="false">IF(C5623="","",IFERROR(INDEX($S$5:$S$304,MATCH(C5623,$R$5:$R$304,0))&amp;"","?"))</f>
        <v/>
      </c>
      <c r="N5623" s="2" t="str">
        <f aca="false"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 t="str">
        <f aca="false">IF(OR(F5623="",G5623=""),"",IF(G5623&lt;='RETRATO 2027'!$K$5,"CONCLUÍDA",IF(F5623&lt;='RETRATO 2027'!$K$5,"EM ANDAMENTO","A INICIAR")))</f>
        <v/>
      </c>
    </row>
    <row r="5624" customFormat="false" ht="15" hidden="false" customHeight="false" outlineLevel="0" collapsed="false">
      <c r="M5624" s="2" t="str">
        <f aca="false">IF(C5624="","",IFERROR(INDEX($S$5:$S$304,MATCH(C5624,$R$5:$R$304,0))&amp;"","?"))</f>
        <v/>
      </c>
      <c r="N5624" s="2" t="str">
        <f aca="false"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 t="str">
        <f aca="false">IF(OR(F5624="",G5624=""),"",IF(G5624&lt;='RETRATO 2027'!$K$5,"CONCLUÍDA",IF(F5624&lt;='RETRATO 2027'!$K$5,"EM ANDAMENTO","A INICIAR")))</f>
        <v/>
      </c>
    </row>
    <row r="5625" customFormat="false" ht="15" hidden="false" customHeight="false" outlineLevel="0" collapsed="false">
      <c r="M5625" s="2" t="str">
        <f aca="false">IF(C5625="","",IFERROR(INDEX($S$5:$S$304,MATCH(C5625,$R$5:$R$304,0))&amp;"","?"))</f>
        <v/>
      </c>
      <c r="N5625" s="2" t="str">
        <f aca="false"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 t="str">
        <f aca="false">IF(OR(F5625="",G5625=""),"",IF(G5625&lt;='RETRATO 2027'!$K$5,"CONCLUÍDA",IF(F5625&lt;='RETRATO 2027'!$K$5,"EM ANDAMENTO","A INICIAR")))</f>
        <v/>
      </c>
    </row>
    <row r="5626" customFormat="false" ht="15" hidden="false" customHeight="false" outlineLevel="0" collapsed="false">
      <c r="M5626" s="2" t="str">
        <f aca="false">IF(C5626="","",IFERROR(INDEX($S$5:$S$304,MATCH(C5626,$R$5:$R$304,0))&amp;"","?"))</f>
        <v/>
      </c>
      <c r="N5626" s="2" t="str">
        <f aca="false"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 t="str">
        <f aca="false">IF(OR(F5626="",G5626=""),"",IF(G5626&lt;='RETRATO 2027'!$K$5,"CONCLUÍDA",IF(F5626&lt;='RETRATO 2027'!$K$5,"EM ANDAMENTO","A INICIAR")))</f>
        <v/>
      </c>
    </row>
    <row r="5627" customFormat="false" ht="15" hidden="false" customHeight="false" outlineLevel="0" collapsed="false">
      <c r="M5627" s="2" t="str">
        <f aca="false">IF(C5627="","",IFERROR(INDEX($S$5:$S$304,MATCH(C5627,$R$5:$R$304,0))&amp;"","?"))</f>
        <v/>
      </c>
      <c r="N5627" s="2" t="str">
        <f aca="false"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 t="str">
        <f aca="false">IF(OR(F5627="",G5627=""),"",IF(G5627&lt;='RETRATO 2027'!$K$5,"CONCLUÍDA",IF(F5627&lt;='RETRATO 2027'!$K$5,"EM ANDAMENTO","A INICIAR")))</f>
        <v/>
      </c>
    </row>
    <row r="5628" customFormat="false" ht="15" hidden="false" customHeight="false" outlineLevel="0" collapsed="false">
      <c r="M5628" s="2" t="str">
        <f aca="false">IF(C5628="","",IFERROR(INDEX($S$5:$S$304,MATCH(C5628,$R$5:$R$304,0))&amp;"","?"))</f>
        <v/>
      </c>
      <c r="N5628" s="2" t="str">
        <f aca="false"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 t="str">
        <f aca="false">IF(OR(F5628="",G5628=""),"",IF(G5628&lt;='RETRATO 2027'!$K$5,"CONCLUÍDA",IF(F5628&lt;='RETRATO 2027'!$K$5,"EM ANDAMENTO","A INICIAR")))</f>
        <v/>
      </c>
    </row>
    <row r="5629" customFormat="false" ht="15" hidden="false" customHeight="false" outlineLevel="0" collapsed="false">
      <c r="M5629" s="2" t="str">
        <f aca="false">IF(C5629="","",IFERROR(INDEX($S$5:$S$304,MATCH(C5629,$R$5:$R$304,0))&amp;"","?"))</f>
        <v/>
      </c>
      <c r="N5629" s="2" t="str">
        <f aca="false"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 t="str">
        <f aca="false">IF(OR(F5629="",G5629=""),"",IF(G5629&lt;='RETRATO 2027'!$K$5,"CONCLUÍDA",IF(F5629&lt;='RETRATO 2027'!$K$5,"EM ANDAMENTO","A INICIAR")))</f>
        <v/>
      </c>
    </row>
    <row r="5630" customFormat="false" ht="15" hidden="false" customHeight="false" outlineLevel="0" collapsed="false">
      <c r="M5630" s="2" t="str">
        <f aca="false">IF(C5630="","",IFERROR(INDEX($S$5:$S$304,MATCH(C5630,$R$5:$R$304,0))&amp;"","?"))</f>
        <v/>
      </c>
      <c r="N5630" s="2" t="str">
        <f aca="false"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 t="str">
        <f aca="false">IF(OR(F5630="",G5630=""),"",IF(G5630&lt;='RETRATO 2027'!$K$5,"CONCLUÍDA",IF(F5630&lt;='RETRATO 2027'!$K$5,"EM ANDAMENTO","A INICIAR")))</f>
        <v/>
      </c>
    </row>
    <row r="5631" customFormat="false" ht="15" hidden="false" customHeight="false" outlineLevel="0" collapsed="false">
      <c r="M5631" s="2" t="str">
        <f aca="false">IF(C5631="","",IFERROR(INDEX($S$5:$S$304,MATCH(C5631,$R$5:$R$304,0))&amp;"","?"))</f>
        <v/>
      </c>
      <c r="N5631" s="2" t="str">
        <f aca="false"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 t="str">
        <f aca="false">IF(OR(F5631="",G5631=""),"",IF(G5631&lt;='RETRATO 2027'!$K$5,"CONCLUÍDA",IF(F5631&lt;='RETRATO 2027'!$K$5,"EM ANDAMENTO","A INICIAR")))</f>
        <v/>
      </c>
    </row>
    <row r="5632" customFormat="false" ht="15" hidden="false" customHeight="false" outlineLevel="0" collapsed="false">
      <c r="M5632" s="2" t="str">
        <f aca="false">IF(C5632="","",IFERROR(INDEX($S$5:$S$304,MATCH(C5632,$R$5:$R$304,0))&amp;"","?"))</f>
        <v/>
      </c>
      <c r="N5632" s="2" t="str">
        <f aca="false"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 t="str">
        <f aca="false">IF(OR(F5632="",G5632=""),"",IF(G5632&lt;='RETRATO 2027'!$K$5,"CONCLUÍDA",IF(F5632&lt;='RETRATO 2027'!$K$5,"EM ANDAMENTO","A INICIAR")))</f>
        <v/>
      </c>
    </row>
    <row r="5633" customFormat="false" ht="15" hidden="false" customHeight="false" outlineLevel="0" collapsed="false">
      <c r="M5633" s="2" t="str">
        <f aca="false">IF(C5633="","",IFERROR(INDEX($S$5:$S$304,MATCH(C5633,$R$5:$R$304,0))&amp;"","?"))</f>
        <v/>
      </c>
      <c r="N5633" s="2" t="str">
        <f aca="false"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 t="str">
        <f aca="false">IF(OR(F5633="",G5633=""),"",IF(G5633&lt;='RETRATO 2027'!$K$5,"CONCLUÍDA",IF(F5633&lt;='RETRATO 2027'!$K$5,"EM ANDAMENTO","A INICIAR")))</f>
        <v/>
      </c>
    </row>
    <row r="5634" customFormat="false" ht="15" hidden="false" customHeight="false" outlineLevel="0" collapsed="false">
      <c r="M5634" s="2" t="str">
        <f aca="false">IF(C5634="","",IFERROR(INDEX($S$5:$S$304,MATCH(C5634,$R$5:$R$304,0))&amp;"","?"))</f>
        <v/>
      </c>
      <c r="N5634" s="2" t="str">
        <f aca="false"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 t="str">
        <f aca="false">IF(OR(F5634="",G5634=""),"",IF(G5634&lt;='RETRATO 2027'!$K$5,"CONCLUÍDA",IF(F5634&lt;='RETRATO 2027'!$K$5,"EM ANDAMENTO","A INICIAR")))</f>
        <v/>
      </c>
    </row>
    <row r="5635" customFormat="false" ht="15" hidden="false" customHeight="false" outlineLevel="0" collapsed="false">
      <c r="M5635" s="2" t="str">
        <f aca="false">IF(C5635="","",IFERROR(INDEX($S$5:$S$304,MATCH(C5635,$R$5:$R$304,0))&amp;"","?"))</f>
        <v/>
      </c>
      <c r="N5635" s="2" t="str">
        <f aca="false"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 t="str">
        <f aca="false">IF(OR(F5635="",G5635=""),"",IF(G5635&lt;='RETRATO 2027'!$K$5,"CONCLUÍDA",IF(F5635&lt;='RETRATO 2027'!$K$5,"EM ANDAMENTO","A INICIAR")))</f>
        <v/>
      </c>
    </row>
    <row r="5636" customFormat="false" ht="15" hidden="false" customHeight="false" outlineLevel="0" collapsed="false">
      <c r="M5636" s="2" t="str">
        <f aca="false">IF(C5636="","",IFERROR(INDEX($S$5:$S$304,MATCH(C5636,$R$5:$R$304,0))&amp;"","?"))</f>
        <v/>
      </c>
      <c r="N5636" s="2" t="str">
        <f aca="false"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 t="str">
        <f aca="false">IF(OR(F5636="",G5636=""),"",IF(G5636&lt;='RETRATO 2027'!$K$5,"CONCLUÍDA",IF(F5636&lt;='RETRATO 2027'!$K$5,"EM ANDAMENTO","A INICIAR")))</f>
        <v/>
      </c>
    </row>
    <row r="5637" customFormat="false" ht="15" hidden="false" customHeight="false" outlineLevel="0" collapsed="false">
      <c r="M5637" s="2" t="str">
        <f aca="false">IF(C5637="","",IFERROR(INDEX($S$5:$S$304,MATCH(C5637,$R$5:$R$304,0))&amp;"","?"))</f>
        <v/>
      </c>
      <c r="N5637" s="2" t="str">
        <f aca="false"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 t="str">
        <f aca="false">IF(OR(F5637="",G5637=""),"",IF(G5637&lt;='RETRATO 2027'!$K$5,"CONCLUÍDA",IF(F5637&lt;='RETRATO 2027'!$K$5,"EM ANDAMENTO","A INICIAR")))</f>
        <v/>
      </c>
    </row>
    <row r="5638" customFormat="false" ht="15" hidden="false" customHeight="false" outlineLevel="0" collapsed="false">
      <c r="M5638" s="2" t="str">
        <f aca="false">IF(C5638="","",IFERROR(INDEX($S$5:$S$304,MATCH(C5638,$R$5:$R$304,0))&amp;"","?"))</f>
        <v/>
      </c>
      <c r="N5638" s="2" t="str">
        <f aca="false"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 t="str">
        <f aca="false">IF(OR(F5638="",G5638=""),"",IF(G5638&lt;='RETRATO 2027'!$K$5,"CONCLUÍDA",IF(F5638&lt;='RETRATO 2027'!$K$5,"EM ANDAMENTO","A INICIAR")))</f>
        <v/>
      </c>
    </row>
    <row r="5639" customFormat="false" ht="15" hidden="false" customHeight="false" outlineLevel="0" collapsed="false">
      <c r="M5639" s="2" t="str">
        <f aca="false">IF(C5639="","",IFERROR(INDEX($S$5:$S$304,MATCH(C5639,$R$5:$R$304,0))&amp;"","?"))</f>
        <v/>
      </c>
      <c r="N5639" s="2" t="str">
        <f aca="false"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 t="str">
        <f aca="false">IF(OR(F5639="",G5639=""),"",IF(G5639&lt;='RETRATO 2027'!$K$5,"CONCLUÍDA",IF(F5639&lt;='RETRATO 2027'!$K$5,"EM ANDAMENTO","A INICIAR")))</f>
        <v/>
      </c>
    </row>
    <row r="5640" customFormat="false" ht="15" hidden="false" customHeight="false" outlineLevel="0" collapsed="false">
      <c r="M5640" s="2" t="str">
        <f aca="false">IF(C5640="","",IFERROR(INDEX($S$5:$S$304,MATCH(C5640,$R$5:$R$304,0))&amp;"","?"))</f>
        <v/>
      </c>
      <c r="N5640" s="2" t="str">
        <f aca="false"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 t="str">
        <f aca="false">IF(OR(F5640="",G5640=""),"",IF(G5640&lt;='RETRATO 2027'!$K$5,"CONCLUÍDA",IF(F5640&lt;='RETRATO 2027'!$K$5,"EM ANDAMENTO","A INICIAR")))</f>
        <v/>
      </c>
    </row>
    <row r="5641" customFormat="false" ht="15" hidden="false" customHeight="false" outlineLevel="0" collapsed="false">
      <c r="M5641" s="2" t="str">
        <f aca="false">IF(C5641="","",IFERROR(INDEX($S$5:$S$304,MATCH(C5641,$R$5:$R$304,0))&amp;"","?"))</f>
        <v/>
      </c>
      <c r="N5641" s="2" t="str">
        <f aca="false"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 t="str">
        <f aca="false">IF(OR(F5641="",G5641=""),"",IF(G5641&lt;='RETRATO 2027'!$K$5,"CONCLUÍDA",IF(F5641&lt;='RETRATO 2027'!$K$5,"EM ANDAMENTO","A INICIAR")))</f>
        <v/>
      </c>
    </row>
    <row r="5642" customFormat="false" ht="15" hidden="false" customHeight="false" outlineLevel="0" collapsed="false">
      <c r="M5642" s="2" t="str">
        <f aca="false">IF(C5642="","",IFERROR(INDEX($S$5:$S$304,MATCH(C5642,$R$5:$R$304,0))&amp;"","?"))</f>
        <v/>
      </c>
      <c r="N5642" s="2" t="str">
        <f aca="false"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 t="str">
        <f aca="false">IF(OR(F5642="",G5642=""),"",IF(G5642&lt;='RETRATO 2027'!$K$5,"CONCLUÍDA",IF(F5642&lt;='RETRATO 2027'!$K$5,"EM ANDAMENTO","A INICIAR")))</f>
        <v/>
      </c>
    </row>
    <row r="5643" customFormat="false" ht="15" hidden="false" customHeight="false" outlineLevel="0" collapsed="false">
      <c r="M5643" s="2" t="str">
        <f aca="false">IF(C5643="","",IFERROR(INDEX($S$5:$S$304,MATCH(C5643,$R$5:$R$304,0))&amp;"","?"))</f>
        <v/>
      </c>
      <c r="N5643" s="2" t="str">
        <f aca="false"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 t="str">
        <f aca="false">IF(OR(F5643="",G5643=""),"",IF(G5643&lt;='RETRATO 2027'!$K$5,"CONCLUÍDA",IF(F5643&lt;='RETRATO 2027'!$K$5,"EM ANDAMENTO","A INICIAR")))</f>
        <v/>
      </c>
    </row>
    <row r="5644" customFormat="false" ht="15" hidden="false" customHeight="false" outlineLevel="0" collapsed="false">
      <c r="M5644" s="2" t="str">
        <f aca="false">IF(C5644="","",IFERROR(INDEX($S$5:$S$304,MATCH(C5644,$R$5:$R$304,0))&amp;"","?"))</f>
        <v/>
      </c>
      <c r="N5644" s="2" t="str">
        <f aca="false"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 t="str">
        <f aca="false">IF(OR(F5644="",G5644=""),"",IF(G5644&lt;='RETRATO 2027'!$K$5,"CONCLUÍDA",IF(F5644&lt;='RETRATO 2027'!$K$5,"EM ANDAMENTO","A INICIAR")))</f>
        <v/>
      </c>
    </row>
    <row r="5645" customFormat="false" ht="15" hidden="false" customHeight="false" outlineLevel="0" collapsed="false">
      <c r="M5645" s="2" t="str">
        <f aca="false">IF(C5645="","",IFERROR(INDEX($S$5:$S$304,MATCH(C5645,$R$5:$R$304,0))&amp;"","?"))</f>
        <v/>
      </c>
      <c r="N5645" s="2" t="str">
        <f aca="false"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 t="str">
        <f aca="false">IF(OR(F5645="",G5645=""),"",IF(G5645&lt;='RETRATO 2027'!$K$5,"CONCLUÍDA",IF(F5645&lt;='RETRATO 2027'!$K$5,"EM ANDAMENTO","A INICIAR")))</f>
        <v/>
      </c>
    </row>
    <row r="5646" customFormat="false" ht="15" hidden="false" customHeight="false" outlineLevel="0" collapsed="false">
      <c r="M5646" s="2" t="str">
        <f aca="false">IF(C5646="","",IFERROR(INDEX($S$5:$S$304,MATCH(C5646,$R$5:$R$304,0))&amp;"","?"))</f>
        <v/>
      </c>
      <c r="N5646" s="2" t="str">
        <f aca="false"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 t="str">
        <f aca="false">IF(OR(F5646="",G5646=""),"",IF(G5646&lt;='RETRATO 2027'!$K$5,"CONCLUÍDA",IF(F5646&lt;='RETRATO 2027'!$K$5,"EM ANDAMENTO","A INICIAR")))</f>
        <v/>
      </c>
    </row>
    <row r="5647" customFormat="false" ht="15" hidden="false" customHeight="false" outlineLevel="0" collapsed="false">
      <c r="M5647" s="2" t="str">
        <f aca="false">IF(C5647="","",IFERROR(INDEX($S$5:$S$304,MATCH(C5647,$R$5:$R$304,0))&amp;"","?"))</f>
        <v/>
      </c>
      <c r="N5647" s="2" t="str">
        <f aca="false"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 t="str">
        <f aca="false">IF(OR(F5647="",G5647=""),"",IF(G5647&lt;='RETRATO 2027'!$K$5,"CONCLUÍDA",IF(F5647&lt;='RETRATO 2027'!$K$5,"EM ANDAMENTO","A INICIAR")))</f>
        <v/>
      </c>
    </row>
    <row r="5648" customFormat="false" ht="15" hidden="false" customHeight="false" outlineLevel="0" collapsed="false">
      <c r="M5648" s="2" t="str">
        <f aca="false">IF(C5648="","",IFERROR(INDEX($S$5:$S$304,MATCH(C5648,$R$5:$R$304,0))&amp;"","?"))</f>
        <v/>
      </c>
      <c r="N5648" s="2" t="str">
        <f aca="false"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 t="str">
        <f aca="false">IF(OR(F5648="",G5648=""),"",IF(G5648&lt;='RETRATO 2027'!$K$5,"CONCLUÍDA",IF(F5648&lt;='RETRATO 2027'!$K$5,"EM ANDAMENTO","A INICIAR")))</f>
        <v/>
      </c>
    </row>
    <row r="5649" customFormat="false" ht="15" hidden="false" customHeight="false" outlineLevel="0" collapsed="false">
      <c r="M5649" s="2" t="str">
        <f aca="false">IF(C5649="","",IFERROR(INDEX($S$5:$S$304,MATCH(C5649,$R$5:$R$304,0))&amp;"","?"))</f>
        <v/>
      </c>
      <c r="N5649" s="2" t="str">
        <f aca="false"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 t="str">
        <f aca="false">IF(OR(F5649="",G5649=""),"",IF(G5649&lt;='RETRATO 2027'!$K$5,"CONCLUÍDA",IF(F5649&lt;='RETRATO 2027'!$K$5,"EM ANDAMENTO","A INICIAR")))</f>
        <v/>
      </c>
    </row>
    <row r="5650" customFormat="false" ht="15" hidden="false" customHeight="false" outlineLevel="0" collapsed="false">
      <c r="M5650" s="2" t="str">
        <f aca="false">IF(C5650="","",IFERROR(INDEX($S$5:$S$304,MATCH(C5650,$R$5:$R$304,0))&amp;"","?"))</f>
        <v/>
      </c>
      <c r="N5650" s="2" t="str">
        <f aca="false"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 t="str">
        <f aca="false">IF(OR(F5650="",G5650=""),"",IF(G5650&lt;='RETRATO 2027'!$K$5,"CONCLUÍDA",IF(F5650&lt;='RETRATO 2027'!$K$5,"EM ANDAMENTO","A INICIAR")))</f>
        <v/>
      </c>
    </row>
    <row r="5651" customFormat="false" ht="15" hidden="false" customHeight="false" outlineLevel="0" collapsed="false">
      <c r="M5651" s="2" t="str">
        <f aca="false">IF(C5651="","",IFERROR(INDEX($S$5:$S$304,MATCH(C5651,$R$5:$R$304,0))&amp;"","?"))</f>
        <v/>
      </c>
      <c r="N5651" s="2" t="str">
        <f aca="false"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 t="str">
        <f aca="false">IF(OR(F5651="",G5651=""),"",IF(G5651&lt;='RETRATO 2027'!$K$5,"CONCLUÍDA",IF(F5651&lt;='RETRATO 2027'!$K$5,"EM ANDAMENTO","A INICIAR")))</f>
        <v/>
      </c>
    </row>
    <row r="5652" customFormat="false" ht="15" hidden="false" customHeight="false" outlineLevel="0" collapsed="false">
      <c r="M5652" s="2" t="str">
        <f aca="false">IF(C5652="","",IFERROR(INDEX($S$5:$S$304,MATCH(C5652,$R$5:$R$304,0))&amp;"","?"))</f>
        <v/>
      </c>
      <c r="N5652" s="2" t="str">
        <f aca="false"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 t="str">
        <f aca="false">IF(OR(F5652="",G5652=""),"",IF(G5652&lt;='RETRATO 2027'!$K$5,"CONCLUÍDA",IF(F5652&lt;='RETRATO 2027'!$K$5,"EM ANDAMENTO","A INICIAR")))</f>
        <v/>
      </c>
    </row>
    <row r="5653" customFormat="false" ht="15" hidden="false" customHeight="false" outlineLevel="0" collapsed="false">
      <c r="M5653" s="2" t="str">
        <f aca="false">IF(C5653="","",IFERROR(INDEX($S$5:$S$304,MATCH(C5653,$R$5:$R$304,0))&amp;"","?"))</f>
        <v/>
      </c>
      <c r="N5653" s="2" t="str">
        <f aca="false"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 t="str">
        <f aca="false">IF(OR(F5653="",G5653=""),"",IF(G5653&lt;='RETRATO 2027'!$K$5,"CONCLUÍDA",IF(F5653&lt;='RETRATO 2027'!$K$5,"EM ANDAMENTO","A INICIAR")))</f>
        <v/>
      </c>
    </row>
    <row r="5654" customFormat="false" ht="15" hidden="false" customHeight="false" outlineLevel="0" collapsed="false">
      <c r="M5654" s="2" t="str">
        <f aca="false">IF(C5654="","",IFERROR(INDEX($S$5:$S$304,MATCH(C5654,$R$5:$R$304,0))&amp;"","?"))</f>
        <v/>
      </c>
      <c r="N5654" s="2" t="str">
        <f aca="false"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 t="str">
        <f aca="false">IF(OR(F5654="",G5654=""),"",IF(G5654&lt;='RETRATO 2027'!$K$5,"CONCLUÍDA",IF(F5654&lt;='RETRATO 2027'!$K$5,"EM ANDAMENTO","A INICIAR")))</f>
        <v/>
      </c>
    </row>
    <row r="5655" customFormat="false" ht="15" hidden="false" customHeight="false" outlineLevel="0" collapsed="false">
      <c r="M5655" s="2" t="str">
        <f aca="false">IF(C5655="","",IFERROR(INDEX($S$5:$S$304,MATCH(C5655,$R$5:$R$304,0))&amp;"","?"))</f>
        <v/>
      </c>
      <c r="N5655" s="2" t="str">
        <f aca="false"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 t="str">
        <f aca="false">IF(OR(F5655="",G5655=""),"",IF(G5655&lt;='RETRATO 2027'!$K$5,"CONCLUÍDA",IF(F5655&lt;='RETRATO 2027'!$K$5,"EM ANDAMENTO","A INICIAR")))</f>
        <v/>
      </c>
    </row>
    <row r="5656" customFormat="false" ht="15" hidden="false" customHeight="false" outlineLevel="0" collapsed="false">
      <c r="M5656" s="2" t="str">
        <f aca="false">IF(C5656="","",IFERROR(INDEX($S$5:$S$304,MATCH(C5656,$R$5:$R$304,0))&amp;"","?"))</f>
        <v/>
      </c>
      <c r="N5656" s="2" t="str">
        <f aca="false"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 t="str">
        <f aca="false">IF(OR(F5656="",G5656=""),"",IF(G5656&lt;='RETRATO 2027'!$K$5,"CONCLUÍDA",IF(F5656&lt;='RETRATO 2027'!$K$5,"EM ANDAMENTO","A INICIAR")))</f>
        <v/>
      </c>
    </row>
    <row r="5657" customFormat="false" ht="15" hidden="false" customHeight="false" outlineLevel="0" collapsed="false">
      <c r="M5657" s="2" t="str">
        <f aca="false">IF(C5657="","",IFERROR(INDEX($S$5:$S$304,MATCH(C5657,$R$5:$R$304,0))&amp;"","?"))</f>
        <v/>
      </c>
      <c r="N5657" s="2" t="str">
        <f aca="false"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 t="str">
        <f aca="false">IF(OR(F5657="",G5657=""),"",IF(G5657&lt;='RETRATO 2027'!$K$5,"CONCLUÍDA",IF(F5657&lt;='RETRATO 2027'!$K$5,"EM ANDAMENTO","A INICIAR")))</f>
        <v/>
      </c>
    </row>
    <row r="5658" customFormat="false" ht="15" hidden="false" customHeight="false" outlineLevel="0" collapsed="false">
      <c r="M5658" s="2" t="str">
        <f aca="false">IF(C5658="","",IFERROR(INDEX($S$5:$S$304,MATCH(C5658,$R$5:$R$304,0))&amp;"","?"))</f>
        <v/>
      </c>
      <c r="N5658" s="2" t="str">
        <f aca="false"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 t="str">
        <f aca="false">IF(OR(F5658="",G5658=""),"",IF(G5658&lt;='RETRATO 2027'!$K$5,"CONCLUÍDA",IF(F5658&lt;='RETRATO 2027'!$K$5,"EM ANDAMENTO","A INICIAR")))</f>
        <v/>
      </c>
    </row>
    <row r="5659" customFormat="false" ht="15" hidden="false" customHeight="false" outlineLevel="0" collapsed="false">
      <c r="M5659" s="2" t="str">
        <f aca="false">IF(C5659="","",IFERROR(INDEX($S$5:$S$304,MATCH(C5659,$R$5:$R$304,0))&amp;"","?"))</f>
        <v/>
      </c>
      <c r="N5659" s="2" t="str">
        <f aca="false"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 t="str">
        <f aca="false">IF(OR(F5659="",G5659=""),"",IF(G5659&lt;='RETRATO 2027'!$K$5,"CONCLUÍDA",IF(F5659&lt;='RETRATO 2027'!$K$5,"EM ANDAMENTO","A INICIAR")))</f>
        <v/>
      </c>
    </row>
    <row r="5660" customFormat="false" ht="15" hidden="false" customHeight="false" outlineLevel="0" collapsed="false">
      <c r="M5660" s="2" t="str">
        <f aca="false">IF(C5660="","",IFERROR(INDEX($S$5:$S$304,MATCH(C5660,$R$5:$R$304,0))&amp;"","?"))</f>
        <v/>
      </c>
      <c r="N5660" s="2" t="str">
        <f aca="false"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 t="str">
        <f aca="false">IF(OR(F5660="",G5660=""),"",IF(G5660&lt;='RETRATO 2027'!$K$5,"CONCLUÍDA",IF(F5660&lt;='RETRATO 2027'!$K$5,"EM ANDAMENTO","A INICIAR")))</f>
        <v/>
      </c>
    </row>
    <row r="5661" customFormat="false" ht="15" hidden="false" customHeight="false" outlineLevel="0" collapsed="false">
      <c r="M5661" s="2" t="str">
        <f aca="false">IF(C5661="","",IFERROR(INDEX($S$5:$S$304,MATCH(C5661,$R$5:$R$304,0))&amp;"","?"))</f>
        <v/>
      </c>
      <c r="N5661" s="2" t="str">
        <f aca="false"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 t="str">
        <f aca="false">IF(OR(F5661="",G5661=""),"",IF(G5661&lt;='RETRATO 2027'!$K$5,"CONCLUÍDA",IF(F5661&lt;='RETRATO 2027'!$K$5,"EM ANDAMENTO","A INICIAR")))</f>
        <v/>
      </c>
    </row>
    <row r="5662" customFormat="false" ht="15" hidden="false" customHeight="false" outlineLevel="0" collapsed="false">
      <c r="M5662" s="2" t="str">
        <f aca="false">IF(C5662="","",IFERROR(INDEX($S$5:$S$304,MATCH(C5662,$R$5:$R$304,0))&amp;"","?"))</f>
        <v/>
      </c>
      <c r="N5662" s="2" t="str">
        <f aca="false"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 t="str">
        <f aca="false">IF(OR(F5662="",G5662=""),"",IF(G5662&lt;='RETRATO 2027'!$K$5,"CONCLUÍDA",IF(F5662&lt;='RETRATO 2027'!$K$5,"EM ANDAMENTO","A INICIAR")))</f>
        <v/>
      </c>
    </row>
    <row r="5663" customFormat="false" ht="15" hidden="false" customHeight="false" outlineLevel="0" collapsed="false">
      <c r="M5663" s="2" t="str">
        <f aca="false">IF(C5663="","",IFERROR(INDEX($S$5:$S$304,MATCH(C5663,$R$5:$R$304,0))&amp;"","?"))</f>
        <v/>
      </c>
      <c r="N5663" s="2" t="str">
        <f aca="false"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 t="str">
        <f aca="false">IF(OR(F5663="",G5663=""),"",IF(G5663&lt;='RETRATO 2027'!$K$5,"CONCLUÍDA",IF(F5663&lt;='RETRATO 2027'!$K$5,"EM ANDAMENTO","A INICIAR")))</f>
        <v/>
      </c>
    </row>
    <row r="5664" customFormat="false" ht="15" hidden="false" customHeight="false" outlineLevel="0" collapsed="false">
      <c r="M5664" s="2" t="str">
        <f aca="false">IF(C5664="","",IFERROR(INDEX($S$5:$S$304,MATCH(C5664,$R$5:$R$304,0))&amp;"","?"))</f>
        <v/>
      </c>
      <c r="N5664" s="2" t="str">
        <f aca="false"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 t="str">
        <f aca="false">IF(OR(F5664="",G5664=""),"",IF(G5664&lt;='RETRATO 2027'!$K$5,"CONCLUÍDA",IF(F5664&lt;='RETRATO 2027'!$K$5,"EM ANDAMENTO","A INICIAR")))</f>
        <v/>
      </c>
    </row>
    <row r="5665" customFormat="false" ht="15" hidden="false" customHeight="false" outlineLevel="0" collapsed="false">
      <c r="M5665" s="2" t="str">
        <f aca="false">IF(C5665="","",IFERROR(INDEX($S$5:$S$304,MATCH(C5665,$R$5:$R$304,0))&amp;"","?"))</f>
        <v/>
      </c>
      <c r="N5665" s="2" t="str">
        <f aca="false"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 t="str">
        <f aca="false">IF(OR(F5665="",G5665=""),"",IF(G5665&lt;='RETRATO 2027'!$K$5,"CONCLUÍDA",IF(F5665&lt;='RETRATO 2027'!$K$5,"EM ANDAMENTO","A INICIAR")))</f>
        <v/>
      </c>
    </row>
    <row r="5666" customFormat="false" ht="15" hidden="false" customHeight="false" outlineLevel="0" collapsed="false">
      <c r="M5666" s="2" t="str">
        <f aca="false">IF(C5666="","",IFERROR(INDEX($S$5:$S$304,MATCH(C5666,$R$5:$R$304,0))&amp;"","?"))</f>
        <v/>
      </c>
      <c r="N5666" s="2" t="str">
        <f aca="false"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 t="str">
        <f aca="false">IF(OR(F5666="",G5666=""),"",IF(G5666&lt;='RETRATO 2027'!$K$5,"CONCLUÍDA",IF(F5666&lt;='RETRATO 2027'!$K$5,"EM ANDAMENTO","A INICIAR")))</f>
        <v/>
      </c>
    </row>
    <row r="5667" customFormat="false" ht="15" hidden="false" customHeight="false" outlineLevel="0" collapsed="false">
      <c r="M5667" s="2" t="str">
        <f aca="false">IF(C5667="","",IFERROR(INDEX($S$5:$S$304,MATCH(C5667,$R$5:$R$304,0))&amp;"","?"))</f>
        <v/>
      </c>
      <c r="N5667" s="2" t="str">
        <f aca="false"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 t="str">
        <f aca="false">IF(OR(F5667="",G5667=""),"",IF(G5667&lt;='RETRATO 2027'!$K$5,"CONCLUÍDA",IF(F5667&lt;='RETRATO 2027'!$K$5,"EM ANDAMENTO","A INICIAR")))</f>
        <v/>
      </c>
    </row>
    <row r="5668" customFormat="false" ht="15" hidden="false" customHeight="false" outlineLevel="0" collapsed="false">
      <c r="M5668" s="2" t="str">
        <f aca="false">IF(C5668="","",IFERROR(INDEX($S$5:$S$304,MATCH(C5668,$R$5:$R$304,0))&amp;"","?"))</f>
        <v/>
      </c>
      <c r="N5668" s="2" t="str">
        <f aca="false"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 t="str">
        <f aca="false">IF(OR(F5668="",G5668=""),"",IF(G5668&lt;='RETRATO 2027'!$K$5,"CONCLUÍDA",IF(F5668&lt;='RETRATO 2027'!$K$5,"EM ANDAMENTO","A INICIAR")))</f>
        <v/>
      </c>
    </row>
    <row r="5669" customFormat="false" ht="15" hidden="false" customHeight="false" outlineLevel="0" collapsed="false">
      <c r="M5669" s="2" t="str">
        <f aca="false">IF(C5669="","",IFERROR(INDEX($S$5:$S$304,MATCH(C5669,$R$5:$R$304,0))&amp;"","?"))</f>
        <v/>
      </c>
      <c r="N5669" s="2" t="str">
        <f aca="false"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 t="str">
        <f aca="false">IF(OR(F5669="",G5669=""),"",IF(G5669&lt;='RETRATO 2027'!$K$5,"CONCLUÍDA",IF(F5669&lt;='RETRATO 2027'!$K$5,"EM ANDAMENTO","A INICIAR")))</f>
        <v/>
      </c>
    </row>
    <row r="5670" customFormat="false" ht="15" hidden="false" customHeight="false" outlineLevel="0" collapsed="false">
      <c r="M5670" s="2" t="str">
        <f aca="false">IF(C5670="","",IFERROR(INDEX($S$5:$S$304,MATCH(C5670,$R$5:$R$304,0))&amp;"","?"))</f>
        <v/>
      </c>
      <c r="N5670" s="2" t="str">
        <f aca="false"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 t="str">
        <f aca="false">IF(OR(F5670="",G5670=""),"",IF(G5670&lt;='RETRATO 2027'!$K$5,"CONCLUÍDA",IF(F5670&lt;='RETRATO 2027'!$K$5,"EM ANDAMENTO","A INICIAR")))</f>
        <v/>
      </c>
    </row>
    <row r="5671" customFormat="false" ht="15" hidden="false" customHeight="false" outlineLevel="0" collapsed="false">
      <c r="M5671" s="2" t="str">
        <f aca="false">IF(C5671="","",IFERROR(INDEX($S$5:$S$304,MATCH(C5671,$R$5:$R$304,0))&amp;"","?"))</f>
        <v/>
      </c>
      <c r="N5671" s="2" t="str">
        <f aca="false"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 t="str">
        <f aca="false">IF(OR(F5671="",G5671=""),"",IF(G5671&lt;='RETRATO 2027'!$K$5,"CONCLUÍDA",IF(F5671&lt;='RETRATO 2027'!$K$5,"EM ANDAMENTO","A INICIAR")))</f>
        <v/>
      </c>
    </row>
    <row r="5672" customFormat="false" ht="15" hidden="false" customHeight="false" outlineLevel="0" collapsed="false">
      <c r="M5672" s="2" t="str">
        <f aca="false">IF(C5672="","",IFERROR(INDEX($S$5:$S$304,MATCH(C5672,$R$5:$R$304,0))&amp;"","?"))</f>
        <v/>
      </c>
      <c r="N5672" s="2" t="str">
        <f aca="false"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 t="str">
        <f aca="false">IF(OR(F5672="",G5672=""),"",IF(G5672&lt;='RETRATO 2027'!$K$5,"CONCLUÍDA",IF(F5672&lt;='RETRATO 2027'!$K$5,"EM ANDAMENTO","A INICIAR")))</f>
        <v/>
      </c>
    </row>
    <row r="5673" customFormat="false" ht="15" hidden="false" customHeight="false" outlineLevel="0" collapsed="false">
      <c r="M5673" s="2" t="str">
        <f aca="false">IF(C5673="","",IFERROR(INDEX($S$5:$S$304,MATCH(C5673,$R$5:$R$304,0))&amp;"","?"))</f>
        <v/>
      </c>
      <c r="N5673" s="2" t="str">
        <f aca="false"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 t="str">
        <f aca="false">IF(OR(F5673="",G5673=""),"",IF(G5673&lt;='RETRATO 2027'!$K$5,"CONCLUÍDA",IF(F5673&lt;='RETRATO 2027'!$K$5,"EM ANDAMENTO","A INICIAR")))</f>
        <v/>
      </c>
    </row>
    <row r="5674" customFormat="false" ht="15" hidden="false" customHeight="false" outlineLevel="0" collapsed="false">
      <c r="M5674" s="2" t="str">
        <f aca="false">IF(C5674="","",IFERROR(INDEX($S$5:$S$304,MATCH(C5674,$R$5:$R$304,0))&amp;"","?"))</f>
        <v/>
      </c>
      <c r="N5674" s="2" t="str">
        <f aca="false"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 t="str">
        <f aca="false">IF(OR(F5674="",G5674=""),"",IF(G5674&lt;='RETRATO 2027'!$K$5,"CONCLUÍDA",IF(F5674&lt;='RETRATO 2027'!$K$5,"EM ANDAMENTO","A INICIAR")))</f>
        <v/>
      </c>
    </row>
    <row r="5675" customFormat="false" ht="15" hidden="false" customHeight="false" outlineLevel="0" collapsed="false">
      <c r="M5675" s="2" t="str">
        <f aca="false">IF(C5675="","",IFERROR(INDEX($S$5:$S$304,MATCH(C5675,$R$5:$R$304,0))&amp;"","?"))</f>
        <v/>
      </c>
      <c r="N5675" s="2" t="str">
        <f aca="false"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 t="str">
        <f aca="false">IF(OR(F5675="",G5675=""),"",IF(G5675&lt;='RETRATO 2027'!$K$5,"CONCLUÍDA",IF(F5675&lt;='RETRATO 2027'!$K$5,"EM ANDAMENTO","A INICIAR")))</f>
        <v/>
      </c>
    </row>
    <row r="5676" customFormat="false" ht="15" hidden="false" customHeight="false" outlineLevel="0" collapsed="false">
      <c r="M5676" s="2" t="str">
        <f aca="false">IF(C5676="","",IFERROR(INDEX($S$5:$S$304,MATCH(C5676,$R$5:$R$304,0))&amp;"","?"))</f>
        <v/>
      </c>
      <c r="N5676" s="2" t="str">
        <f aca="false"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 t="str">
        <f aca="false">IF(OR(F5676="",G5676=""),"",IF(G5676&lt;='RETRATO 2027'!$K$5,"CONCLUÍDA",IF(F5676&lt;='RETRATO 2027'!$K$5,"EM ANDAMENTO","A INICIAR")))</f>
        <v/>
      </c>
    </row>
    <row r="5677" customFormat="false" ht="15" hidden="false" customHeight="false" outlineLevel="0" collapsed="false">
      <c r="M5677" s="2" t="str">
        <f aca="false">IF(C5677="","",IFERROR(INDEX($S$5:$S$304,MATCH(C5677,$R$5:$R$304,0))&amp;"","?"))</f>
        <v/>
      </c>
      <c r="N5677" s="2" t="str">
        <f aca="false"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 t="str">
        <f aca="false">IF(OR(F5677="",G5677=""),"",IF(G5677&lt;='RETRATO 2027'!$K$5,"CONCLUÍDA",IF(F5677&lt;='RETRATO 2027'!$K$5,"EM ANDAMENTO","A INICIAR")))</f>
        <v/>
      </c>
    </row>
    <row r="5678" customFormat="false" ht="15" hidden="false" customHeight="false" outlineLevel="0" collapsed="false">
      <c r="M5678" s="2" t="str">
        <f aca="false">IF(C5678="","",IFERROR(INDEX($S$5:$S$304,MATCH(C5678,$R$5:$R$304,0))&amp;"","?"))</f>
        <v/>
      </c>
      <c r="N5678" s="2" t="str">
        <f aca="false"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 t="str">
        <f aca="false">IF(OR(F5678="",G5678=""),"",IF(G5678&lt;='RETRATO 2027'!$K$5,"CONCLUÍDA",IF(F5678&lt;='RETRATO 2027'!$K$5,"EM ANDAMENTO","A INICIAR")))</f>
        <v/>
      </c>
    </row>
    <row r="5679" customFormat="false" ht="15" hidden="false" customHeight="false" outlineLevel="0" collapsed="false">
      <c r="M5679" s="2" t="str">
        <f aca="false">IF(C5679="","",IFERROR(INDEX($S$5:$S$304,MATCH(C5679,$R$5:$R$304,0))&amp;"","?"))</f>
        <v/>
      </c>
      <c r="N5679" s="2" t="str">
        <f aca="false"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 t="str">
        <f aca="false">IF(OR(F5679="",G5679=""),"",IF(G5679&lt;='RETRATO 2027'!$K$5,"CONCLUÍDA",IF(F5679&lt;='RETRATO 2027'!$K$5,"EM ANDAMENTO","A INICIAR")))</f>
        <v/>
      </c>
    </row>
    <row r="5680" customFormat="false" ht="15" hidden="false" customHeight="false" outlineLevel="0" collapsed="false">
      <c r="M5680" s="2" t="str">
        <f aca="false">IF(C5680="","",IFERROR(INDEX($S$5:$S$304,MATCH(C5680,$R$5:$R$304,0))&amp;"","?"))</f>
        <v/>
      </c>
      <c r="N5680" s="2" t="str">
        <f aca="false"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 t="str">
        <f aca="false">IF(OR(F5680="",G5680=""),"",IF(G5680&lt;='RETRATO 2027'!$K$5,"CONCLUÍDA",IF(F5680&lt;='RETRATO 2027'!$K$5,"EM ANDAMENTO","A INICIAR")))</f>
        <v/>
      </c>
    </row>
    <row r="5681" customFormat="false" ht="15" hidden="false" customHeight="false" outlineLevel="0" collapsed="false">
      <c r="M5681" s="2" t="str">
        <f aca="false">IF(C5681="","",IFERROR(INDEX($S$5:$S$304,MATCH(C5681,$R$5:$R$304,0))&amp;"","?"))</f>
        <v/>
      </c>
      <c r="N5681" s="2" t="str">
        <f aca="false"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 t="str">
        <f aca="false">IF(OR(F5681="",G5681=""),"",IF(G5681&lt;='RETRATO 2027'!$K$5,"CONCLUÍDA",IF(F5681&lt;='RETRATO 2027'!$K$5,"EM ANDAMENTO","A INICIAR")))</f>
        <v/>
      </c>
    </row>
    <row r="5682" customFormat="false" ht="15" hidden="false" customHeight="false" outlineLevel="0" collapsed="false">
      <c r="M5682" s="2" t="str">
        <f aca="false">IF(C5682="","",IFERROR(INDEX($S$5:$S$304,MATCH(C5682,$R$5:$R$304,0))&amp;"","?"))</f>
        <v/>
      </c>
      <c r="N5682" s="2" t="str">
        <f aca="false"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 t="str">
        <f aca="false">IF(OR(F5682="",G5682=""),"",IF(G5682&lt;='RETRATO 2027'!$K$5,"CONCLUÍDA",IF(F5682&lt;='RETRATO 2027'!$K$5,"EM ANDAMENTO","A INICIAR")))</f>
        <v/>
      </c>
    </row>
    <row r="5683" customFormat="false" ht="15" hidden="false" customHeight="false" outlineLevel="0" collapsed="false">
      <c r="M5683" s="2" t="str">
        <f aca="false">IF(C5683="","",IFERROR(INDEX($S$5:$S$304,MATCH(C5683,$R$5:$R$304,0))&amp;"","?"))</f>
        <v/>
      </c>
      <c r="N5683" s="2" t="str">
        <f aca="false"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 t="str">
        <f aca="false">IF(OR(F5683="",G5683=""),"",IF(G5683&lt;='RETRATO 2027'!$K$5,"CONCLUÍDA",IF(F5683&lt;='RETRATO 2027'!$K$5,"EM ANDAMENTO","A INICIAR")))</f>
        <v/>
      </c>
    </row>
    <row r="5684" customFormat="false" ht="15" hidden="false" customHeight="false" outlineLevel="0" collapsed="false">
      <c r="M5684" s="2" t="str">
        <f aca="false">IF(C5684="","",IFERROR(INDEX($S$5:$S$304,MATCH(C5684,$R$5:$R$304,0))&amp;"","?"))</f>
        <v/>
      </c>
      <c r="N5684" s="2" t="str">
        <f aca="false"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 t="str">
        <f aca="false">IF(OR(F5684="",G5684=""),"",IF(G5684&lt;='RETRATO 2027'!$K$5,"CONCLUÍDA",IF(F5684&lt;='RETRATO 2027'!$K$5,"EM ANDAMENTO","A INICIAR")))</f>
        <v/>
      </c>
    </row>
    <row r="5685" customFormat="false" ht="15" hidden="false" customHeight="false" outlineLevel="0" collapsed="false">
      <c r="M5685" s="2" t="str">
        <f aca="false">IF(C5685="","",IFERROR(INDEX($S$5:$S$304,MATCH(C5685,$R$5:$R$304,0))&amp;"","?"))</f>
        <v/>
      </c>
      <c r="N5685" s="2" t="str">
        <f aca="false"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 t="str">
        <f aca="false">IF(OR(F5685="",G5685=""),"",IF(G5685&lt;='RETRATO 2027'!$K$5,"CONCLUÍDA",IF(F5685&lt;='RETRATO 2027'!$K$5,"EM ANDAMENTO","A INICIAR")))</f>
        <v/>
      </c>
    </row>
    <row r="5686" customFormat="false" ht="15" hidden="false" customHeight="false" outlineLevel="0" collapsed="false">
      <c r="M5686" s="2" t="str">
        <f aca="false">IF(C5686="","",IFERROR(INDEX($S$5:$S$304,MATCH(C5686,$R$5:$R$304,0))&amp;"","?"))</f>
        <v/>
      </c>
      <c r="N5686" s="2" t="str">
        <f aca="false"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 t="str">
        <f aca="false">IF(OR(F5686="",G5686=""),"",IF(G5686&lt;='RETRATO 2027'!$K$5,"CONCLUÍDA",IF(F5686&lt;='RETRATO 2027'!$K$5,"EM ANDAMENTO","A INICIAR")))</f>
        <v/>
      </c>
    </row>
    <row r="5687" customFormat="false" ht="15" hidden="false" customHeight="false" outlineLevel="0" collapsed="false">
      <c r="M5687" s="2" t="str">
        <f aca="false">IF(C5687="","",IFERROR(INDEX($S$5:$S$304,MATCH(C5687,$R$5:$R$304,0))&amp;"","?"))</f>
        <v/>
      </c>
      <c r="N5687" s="2" t="str">
        <f aca="false"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 t="str">
        <f aca="false">IF(OR(F5687="",G5687=""),"",IF(G5687&lt;='RETRATO 2027'!$K$5,"CONCLUÍDA",IF(F5687&lt;='RETRATO 2027'!$K$5,"EM ANDAMENTO","A INICIAR")))</f>
        <v/>
      </c>
    </row>
    <row r="5688" customFormat="false" ht="15" hidden="false" customHeight="false" outlineLevel="0" collapsed="false">
      <c r="M5688" s="2" t="str">
        <f aca="false">IF(C5688="","",IFERROR(INDEX($S$5:$S$304,MATCH(C5688,$R$5:$R$304,0))&amp;"","?"))</f>
        <v/>
      </c>
      <c r="N5688" s="2" t="str">
        <f aca="false"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 t="str">
        <f aca="false">IF(OR(F5688="",G5688=""),"",IF(G5688&lt;='RETRATO 2027'!$K$5,"CONCLUÍDA",IF(F5688&lt;='RETRATO 2027'!$K$5,"EM ANDAMENTO","A INICIAR")))</f>
        <v/>
      </c>
    </row>
    <row r="5689" customFormat="false" ht="15" hidden="false" customHeight="false" outlineLevel="0" collapsed="false">
      <c r="M5689" s="2" t="str">
        <f aca="false">IF(C5689="","",IFERROR(INDEX($S$5:$S$304,MATCH(C5689,$R$5:$R$304,0))&amp;"","?"))</f>
        <v/>
      </c>
      <c r="N5689" s="2" t="str">
        <f aca="false"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 t="str">
        <f aca="false">IF(OR(F5689="",G5689=""),"",IF(G5689&lt;='RETRATO 2027'!$K$5,"CONCLUÍDA",IF(F5689&lt;='RETRATO 2027'!$K$5,"EM ANDAMENTO","A INICIAR")))</f>
        <v/>
      </c>
    </row>
    <row r="5690" customFormat="false" ht="15" hidden="false" customHeight="false" outlineLevel="0" collapsed="false">
      <c r="M5690" s="2" t="str">
        <f aca="false">IF(C5690="","",IFERROR(INDEX($S$5:$S$304,MATCH(C5690,$R$5:$R$304,0))&amp;"","?"))</f>
        <v/>
      </c>
      <c r="N5690" s="2" t="str">
        <f aca="false"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 t="str">
        <f aca="false">IF(OR(F5690="",G5690=""),"",IF(G5690&lt;='RETRATO 2027'!$K$5,"CONCLUÍDA",IF(F5690&lt;='RETRATO 2027'!$K$5,"EM ANDAMENTO","A INICIAR")))</f>
        <v/>
      </c>
    </row>
    <row r="5691" customFormat="false" ht="15" hidden="false" customHeight="false" outlineLevel="0" collapsed="false">
      <c r="M5691" s="2" t="str">
        <f aca="false">IF(C5691="","",IFERROR(INDEX($S$5:$S$304,MATCH(C5691,$R$5:$R$304,0))&amp;"","?"))</f>
        <v/>
      </c>
      <c r="N5691" s="2" t="str">
        <f aca="false"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 t="str">
        <f aca="false">IF(OR(F5691="",G5691=""),"",IF(G5691&lt;='RETRATO 2027'!$K$5,"CONCLUÍDA",IF(F5691&lt;='RETRATO 2027'!$K$5,"EM ANDAMENTO","A INICIAR")))</f>
        <v/>
      </c>
    </row>
    <row r="5692" customFormat="false" ht="15" hidden="false" customHeight="false" outlineLevel="0" collapsed="false">
      <c r="M5692" s="2" t="str">
        <f aca="false">IF(C5692="","",IFERROR(INDEX($S$5:$S$304,MATCH(C5692,$R$5:$R$304,0))&amp;"","?"))</f>
        <v/>
      </c>
      <c r="N5692" s="2" t="str">
        <f aca="false"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 t="str">
        <f aca="false">IF(OR(F5692="",G5692=""),"",IF(G5692&lt;='RETRATO 2027'!$K$5,"CONCLUÍDA",IF(F5692&lt;='RETRATO 2027'!$K$5,"EM ANDAMENTO","A INICIAR")))</f>
        <v/>
      </c>
    </row>
    <row r="5693" customFormat="false" ht="15" hidden="false" customHeight="false" outlineLevel="0" collapsed="false">
      <c r="M5693" s="2" t="str">
        <f aca="false">IF(C5693="","",IFERROR(INDEX($S$5:$S$304,MATCH(C5693,$R$5:$R$304,0))&amp;"","?"))</f>
        <v/>
      </c>
      <c r="N5693" s="2" t="str">
        <f aca="false"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 t="str">
        <f aca="false">IF(OR(F5693="",G5693=""),"",IF(G5693&lt;='RETRATO 2027'!$K$5,"CONCLUÍDA",IF(F5693&lt;='RETRATO 2027'!$K$5,"EM ANDAMENTO","A INICIAR")))</f>
        <v/>
      </c>
    </row>
    <row r="5694" customFormat="false" ht="15" hidden="false" customHeight="false" outlineLevel="0" collapsed="false">
      <c r="M5694" s="2" t="str">
        <f aca="false">IF(C5694="","",IFERROR(INDEX($S$5:$S$304,MATCH(C5694,$R$5:$R$304,0))&amp;"","?"))</f>
        <v/>
      </c>
      <c r="N5694" s="2" t="str">
        <f aca="false"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 t="str">
        <f aca="false">IF(OR(F5694="",G5694=""),"",IF(G5694&lt;='RETRATO 2027'!$K$5,"CONCLUÍDA",IF(F5694&lt;='RETRATO 2027'!$K$5,"EM ANDAMENTO","A INICIAR")))</f>
        <v/>
      </c>
    </row>
    <row r="5695" customFormat="false" ht="15" hidden="false" customHeight="false" outlineLevel="0" collapsed="false">
      <c r="M5695" s="2" t="str">
        <f aca="false">IF(C5695="","",IFERROR(INDEX($S$5:$S$304,MATCH(C5695,$R$5:$R$304,0))&amp;"","?"))</f>
        <v/>
      </c>
      <c r="N5695" s="2" t="str">
        <f aca="false"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 t="str">
        <f aca="false">IF(OR(F5695="",G5695=""),"",IF(G5695&lt;='RETRATO 2027'!$K$5,"CONCLUÍDA",IF(F5695&lt;='RETRATO 2027'!$K$5,"EM ANDAMENTO","A INICIAR")))</f>
        <v/>
      </c>
    </row>
    <row r="5696" customFormat="false" ht="15" hidden="false" customHeight="false" outlineLevel="0" collapsed="false">
      <c r="M5696" s="2" t="str">
        <f aca="false">IF(C5696="","",IFERROR(INDEX($S$5:$S$304,MATCH(C5696,$R$5:$R$304,0))&amp;"","?"))</f>
        <v/>
      </c>
      <c r="N5696" s="2" t="str">
        <f aca="false"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 t="str">
        <f aca="false">IF(OR(F5696="",G5696=""),"",IF(G5696&lt;='RETRATO 2027'!$K$5,"CONCLUÍDA",IF(F5696&lt;='RETRATO 2027'!$K$5,"EM ANDAMENTO","A INICIAR")))</f>
        <v/>
      </c>
    </row>
    <row r="5697" customFormat="false" ht="15" hidden="false" customHeight="false" outlineLevel="0" collapsed="false">
      <c r="M5697" s="2" t="str">
        <f aca="false">IF(C5697="","",IFERROR(INDEX($S$5:$S$304,MATCH(C5697,$R$5:$R$304,0))&amp;"","?"))</f>
        <v/>
      </c>
      <c r="N5697" s="2" t="str">
        <f aca="false"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 t="str">
        <f aca="false">IF(OR(F5697="",G5697=""),"",IF(G5697&lt;='RETRATO 2027'!$K$5,"CONCLUÍDA",IF(F5697&lt;='RETRATO 2027'!$K$5,"EM ANDAMENTO","A INICIAR")))</f>
        <v/>
      </c>
    </row>
    <row r="5698" customFormat="false" ht="15" hidden="false" customHeight="false" outlineLevel="0" collapsed="false">
      <c r="M5698" s="2" t="str">
        <f aca="false">IF(C5698="","",IFERROR(INDEX($S$5:$S$304,MATCH(C5698,$R$5:$R$304,0))&amp;"","?"))</f>
        <v/>
      </c>
      <c r="N5698" s="2" t="str">
        <f aca="false"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 t="str">
        <f aca="false">IF(OR(F5698="",G5698=""),"",IF(G5698&lt;='RETRATO 2027'!$K$5,"CONCLUÍDA",IF(F5698&lt;='RETRATO 2027'!$K$5,"EM ANDAMENTO","A INICIAR")))</f>
        <v/>
      </c>
    </row>
    <row r="5699" customFormat="false" ht="15" hidden="false" customHeight="false" outlineLevel="0" collapsed="false">
      <c r="M5699" s="2" t="str">
        <f aca="false">IF(C5699="","",IFERROR(INDEX($S$5:$S$304,MATCH(C5699,$R$5:$R$304,0))&amp;"","?"))</f>
        <v/>
      </c>
      <c r="N5699" s="2" t="str">
        <f aca="false"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 t="str">
        <f aca="false">IF(OR(F5699="",G5699=""),"",IF(G5699&lt;='RETRATO 2027'!$K$5,"CONCLUÍDA",IF(F5699&lt;='RETRATO 2027'!$K$5,"EM ANDAMENTO","A INICIAR")))</f>
        <v/>
      </c>
    </row>
    <row r="5700" customFormat="false" ht="15" hidden="false" customHeight="false" outlineLevel="0" collapsed="false">
      <c r="M5700" s="2" t="str">
        <f aca="false">IF(C5700="","",IFERROR(INDEX($S$5:$S$304,MATCH(C5700,$R$5:$R$304,0))&amp;"","?"))</f>
        <v/>
      </c>
      <c r="N5700" s="2" t="str">
        <f aca="false"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 t="str">
        <f aca="false">IF(OR(F5700="",G5700=""),"",IF(G5700&lt;='RETRATO 2027'!$K$5,"CONCLUÍDA",IF(F5700&lt;='RETRATO 2027'!$K$5,"EM ANDAMENTO","A INICIAR")))</f>
        <v/>
      </c>
    </row>
    <row r="5701" customFormat="false" ht="15" hidden="false" customHeight="false" outlineLevel="0" collapsed="false">
      <c r="M5701" s="2" t="str">
        <f aca="false">IF(C5701="","",IFERROR(INDEX($S$5:$S$304,MATCH(C5701,$R$5:$R$304,0))&amp;"","?"))</f>
        <v/>
      </c>
      <c r="N5701" s="2" t="str">
        <f aca="false"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 t="str">
        <f aca="false">IF(OR(F5701="",G5701=""),"",IF(G5701&lt;='RETRATO 2027'!$K$5,"CONCLUÍDA",IF(F5701&lt;='RETRATO 2027'!$K$5,"EM ANDAMENTO","A INICIAR")))</f>
        <v/>
      </c>
    </row>
    <row r="5702" customFormat="false" ht="15" hidden="false" customHeight="false" outlineLevel="0" collapsed="false">
      <c r="M5702" s="2" t="str">
        <f aca="false">IF(C5702="","",IFERROR(INDEX($S$5:$S$304,MATCH(C5702,$R$5:$R$304,0))&amp;"","?"))</f>
        <v/>
      </c>
      <c r="N5702" s="2" t="str">
        <f aca="false"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 t="str">
        <f aca="false">IF(OR(F5702="",G5702=""),"",IF(G5702&lt;='RETRATO 2027'!$K$5,"CONCLUÍDA",IF(F5702&lt;='RETRATO 2027'!$K$5,"EM ANDAMENTO","A INICIAR")))</f>
        <v/>
      </c>
    </row>
    <row r="5703" customFormat="false" ht="15" hidden="false" customHeight="false" outlineLevel="0" collapsed="false">
      <c r="M5703" s="2" t="str">
        <f aca="false">IF(C5703="","",IFERROR(INDEX($S$5:$S$304,MATCH(C5703,$R$5:$R$304,0))&amp;"","?"))</f>
        <v/>
      </c>
      <c r="N5703" s="2" t="str">
        <f aca="false"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 t="str">
        <f aca="false">IF(OR(F5703="",G5703=""),"",IF(G5703&lt;='RETRATO 2027'!$K$5,"CONCLUÍDA",IF(F5703&lt;='RETRATO 2027'!$K$5,"EM ANDAMENTO","A INICIAR")))</f>
        <v/>
      </c>
    </row>
    <row r="5704" customFormat="false" ht="15" hidden="false" customHeight="false" outlineLevel="0" collapsed="false">
      <c r="M5704" s="2" t="str">
        <f aca="false">IF(C5704="","",IFERROR(INDEX($S$5:$S$304,MATCH(C5704,$R$5:$R$304,0))&amp;"","?"))</f>
        <v/>
      </c>
      <c r="N5704" s="2" t="str">
        <f aca="false"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 t="str">
        <f aca="false">IF(OR(F5704="",G5704=""),"",IF(G5704&lt;='RETRATO 2027'!$K$5,"CONCLUÍDA",IF(F5704&lt;='RETRATO 2027'!$K$5,"EM ANDAMENTO","A INICIAR")))</f>
        <v/>
      </c>
    </row>
    <row r="5705" customFormat="false" ht="15" hidden="false" customHeight="false" outlineLevel="0" collapsed="false">
      <c r="M5705" s="2" t="str">
        <f aca="false">IF(C5705="","",IFERROR(INDEX($S$5:$S$304,MATCH(C5705,$R$5:$R$304,0))&amp;"","?"))</f>
        <v/>
      </c>
      <c r="N5705" s="2" t="str">
        <f aca="false"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 t="str">
        <f aca="false">IF(OR(F5705="",G5705=""),"",IF(G5705&lt;='RETRATO 2027'!$K$5,"CONCLUÍDA",IF(F5705&lt;='RETRATO 2027'!$K$5,"EM ANDAMENTO","A INICIAR")))</f>
        <v/>
      </c>
    </row>
    <row r="5706" customFormat="false" ht="15" hidden="false" customHeight="false" outlineLevel="0" collapsed="false">
      <c r="M5706" s="2" t="str">
        <f aca="false">IF(C5706="","",IFERROR(INDEX($S$5:$S$304,MATCH(C5706,$R$5:$R$304,0))&amp;"","?"))</f>
        <v/>
      </c>
      <c r="N5706" s="2" t="str">
        <f aca="false"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 t="str">
        <f aca="false">IF(OR(F5706="",G5706=""),"",IF(G5706&lt;='RETRATO 2027'!$K$5,"CONCLUÍDA",IF(F5706&lt;='RETRATO 2027'!$K$5,"EM ANDAMENTO","A INICIAR")))</f>
        <v/>
      </c>
    </row>
    <row r="5707" customFormat="false" ht="15" hidden="false" customHeight="false" outlineLevel="0" collapsed="false">
      <c r="M5707" s="2" t="str">
        <f aca="false">IF(C5707="","",IFERROR(INDEX($S$5:$S$304,MATCH(C5707,$R$5:$R$304,0))&amp;"","?"))</f>
        <v/>
      </c>
      <c r="N5707" s="2" t="str">
        <f aca="false"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 t="str">
        <f aca="false">IF(OR(F5707="",G5707=""),"",IF(G5707&lt;='RETRATO 2027'!$K$5,"CONCLUÍDA",IF(F5707&lt;='RETRATO 2027'!$K$5,"EM ANDAMENTO","A INICIAR")))</f>
        <v/>
      </c>
    </row>
    <row r="5708" customFormat="false" ht="15" hidden="false" customHeight="false" outlineLevel="0" collapsed="false">
      <c r="M5708" s="2" t="str">
        <f aca="false">IF(C5708="","",IFERROR(INDEX($S$5:$S$304,MATCH(C5708,$R$5:$R$304,0))&amp;"","?"))</f>
        <v/>
      </c>
      <c r="N5708" s="2" t="str">
        <f aca="false"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 t="str">
        <f aca="false">IF(OR(F5708="",G5708=""),"",IF(G5708&lt;='RETRATO 2027'!$K$5,"CONCLUÍDA",IF(F5708&lt;='RETRATO 2027'!$K$5,"EM ANDAMENTO","A INICIAR")))</f>
        <v/>
      </c>
    </row>
    <row r="5709" customFormat="false" ht="15" hidden="false" customHeight="false" outlineLevel="0" collapsed="false">
      <c r="M5709" s="2" t="str">
        <f aca="false">IF(C5709="","",IFERROR(INDEX($S$5:$S$304,MATCH(C5709,$R$5:$R$304,0))&amp;"","?"))</f>
        <v/>
      </c>
      <c r="N5709" s="2" t="str">
        <f aca="false"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 t="str">
        <f aca="false">IF(OR(F5709="",G5709=""),"",IF(G5709&lt;='RETRATO 2027'!$K$5,"CONCLUÍDA",IF(F5709&lt;='RETRATO 2027'!$K$5,"EM ANDAMENTO","A INICIAR")))</f>
        <v/>
      </c>
    </row>
    <row r="5710" customFormat="false" ht="15" hidden="false" customHeight="false" outlineLevel="0" collapsed="false">
      <c r="M5710" s="2" t="str">
        <f aca="false">IF(C5710="","",IFERROR(INDEX($S$5:$S$304,MATCH(C5710,$R$5:$R$304,0))&amp;"","?"))</f>
        <v/>
      </c>
      <c r="N5710" s="2" t="str">
        <f aca="false"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 t="str">
        <f aca="false">IF(OR(F5710="",G5710=""),"",IF(G5710&lt;='RETRATO 2027'!$K$5,"CONCLUÍDA",IF(F5710&lt;='RETRATO 2027'!$K$5,"EM ANDAMENTO","A INICIAR")))</f>
        <v/>
      </c>
    </row>
    <row r="5711" customFormat="false" ht="15" hidden="false" customHeight="false" outlineLevel="0" collapsed="false">
      <c r="M5711" s="2" t="str">
        <f aca="false">IF(C5711="","",IFERROR(INDEX($S$5:$S$304,MATCH(C5711,$R$5:$R$304,0))&amp;"","?"))</f>
        <v/>
      </c>
      <c r="N5711" s="2" t="str">
        <f aca="false"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 t="str">
        <f aca="false">IF(OR(F5711="",G5711=""),"",IF(G5711&lt;='RETRATO 2027'!$K$5,"CONCLUÍDA",IF(F5711&lt;='RETRATO 2027'!$K$5,"EM ANDAMENTO","A INICIAR")))</f>
        <v/>
      </c>
    </row>
    <row r="5712" customFormat="false" ht="15" hidden="false" customHeight="false" outlineLevel="0" collapsed="false">
      <c r="M5712" s="2" t="str">
        <f aca="false">IF(C5712="","",IFERROR(INDEX($S$5:$S$304,MATCH(C5712,$R$5:$R$304,0))&amp;"","?"))</f>
        <v/>
      </c>
      <c r="N5712" s="2" t="str">
        <f aca="false"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 t="str">
        <f aca="false">IF(OR(F5712="",G5712=""),"",IF(G5712&lt;='RETRATO 2027'!$K$5,"CONCLUÍDA",IF(F5712&lt;='RETRATO 2027'!$K$5,"EM ANDAMENTO","A INICIAR")))</f>
        <v/>
      </c>
    </row>
    <row r="5713" customFormat="false" ht="15" hidden="false" customHeight="false" outlineLevel="0" collapsed="false">
      <c r="M5713" s="2" t="str">
        <f aca="false">IF(C5713="","",IFERROR(INDEX($S$5:$S$304,MATCH(C5713,$R$5:$R$304,0))&amp;"","?"))</f>
        <v/>
      </c>
      <c r="N5713" s="2" t="str">
        <f aca="false"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 t="str">
        <f aca="false">IF(OR(F5713="",G5713=""),"",IF(G5713&lt;='RETRATO 2027'!$K$5,"CONCLUÍDA",IF(F5713&lt;='RETRATO 2027'!$K$5,"EM ANDAMENTO","A INICIAR")))</f>
        <v/>
      </c>
    </row>
    <row r="5714" customFormat="false" ht="15" hidden="false" customHeight="false" outlineLevel="0" collapsed="false">
      <c r="M5714" s="2" t="str">
        <f aca="false">IF(C5714="","",IFERROR(INDEX($S$5:$S$304,MATCH(C5714,$R$5:$R$304,0))&amp;"","?"))</f>
        <v/>
      </c>
      <c r="N5714" s="2" t="str">
        <f aca="false"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 t="str">
        <f aca="false">IF(OR(F5714="",G5714=""),"",IF(G5714&lt;='RETRATO 2027'!$K$5,"CONCLUÍDA",IF(F5714&lt;='RETRATO 2027'!$K$5,"EM ANDAMENTO","A INICIAR")))</f>
        <v/>
      </c>
    </row>
    <row r="5715" customFormat="false" ht="15" hidden="false" customHeight="false" outlineLevel="0" collapsed="false">
      <c r="M5715" s="2" t="str">
        <f aca="false">IF(C5715="","",IFERROR(INDEX($S$5:$S$304,MATCH(C5715,$R$5:$R$304,0))&amp;"","?"))</f>
        <v/>
      </c>
      <c r="N5715" s="2" t="str">
        <f aca="false"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 t="str">
        <f aca="false">IF(OR(F5715="",G5715=""),"",IF(G5715&lt;='RETRATO 2027'!$K$5,"CONCLUÍDA",IF(F5715&lt;='RETRATO 2027'!$K$5,"EM ANDAMENTO","A INICIAR")))</f>
        <v/>
      </c>
    </row>
    <row r="5716" customFormat="false" ht="15" hidden="false" customHeight="false" outlineLevel="0" collapsed="false">
      <c r="M5716" s="2" t="str">
        <f aca="false">IF(C5716="","",IFERROR(INDEX($S$5:$S$304,MATCH(C5716,$R$5:$R$304,0))&amp;"","?"))</f>
        <v/>
      </c>
      <c r="N5716" s="2" t="str">
        <f aca="false"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 t="str">
        <f aca="false">IF(OR(F5716="",G5716=""),"",IF(G5716&lt;='RETRATO 2027'!$K$5,"CONCLUÍDA",IF(F5716&lt;='RETRATO 2027'!$K$5,"EM ANDAMENTO","A INICIAR")))</f>
        <v/>
      </c>
    </row>
    <row r="5717" customFormat="false" ht="15" hidden="false" customHeight="false" outlineLevel="0" collapsed="false">
      <c r="M5717" s="2" t="str">
        <f aca="false">IF(C5717="","",IFERROR(INDEX($S$5:$S$304,MATCH(C5717,$R$5:$R$304,0))&amp;"","?"))</f>
        <v/>
      </c>
      <c r="N5717" s="2" t="str">
        <f aca="false"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 t="str">
        <f aca="false">IF(OR(F5717="",G5717=""),"",IF(G5717&lt;='RETRATO 2027'!$K$5,"CONCLUÍDA",IF(F5717&lt;='RETRATO 2027'!$K$5,"EM ANDAMENTO","A INICIAR")))</f>
        <v/>
      </c>
    </row>
    <row r="5718" customFormat="false" ht="15" hidden="false" customHeight="false" outlineLevel="0" collapsed="false">
      <c r="M5718" s="2" t="str">
        <f aca="false">IF(C5718="","",IFERROR(INDEX($S$5:$S$304,MATCH(C5718,$R$5:$R$304,0))&amp;"","?"))</f>
        <v/>
      </c>
      <c r="N5718" s="2" t="str">
        <f aca="false"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 t="str">
        <f aca="false">IF(OR(F5718="",G5718=""),"",IF(G5718&lt;='RETRATO 2027'!$K$5,"CONCLUÍDA",IF(F5718&lt;='RETRATO 2027'!$K$5,"EM ANDAMENTO","A INICIAR")))</f>
        <v/>
      </c>
    </row>
    <row r="5719" customFormat="false" ht="15" hidden="false" customHeight="false" outlineLevel="0" collapsed="false">
      <c r="M5719" s="2" t="str">
        <f aca="false">IF(C5719="","",IFERROR(INDEX($S$5:$S$304,MATCH(C5719,$R$5:$R$304,0))&amp;"","?"))</f>
        <v/>
      </c>
      <c r="N5719" s="2" t="str">
        <f aca="false"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 t="str">
        <f aca="false">IF(OR(F5719="",G5719=""),"",IF(G5719&lt;='RETRATO 2027'!$K$5,"CONCLUÍDA",IF(F5719&lt;='RETRATO 2027'!$K$5,"EM ANDAMENTO","A INICIAR")))</f>
        <v/>
      </c>
    </row>
    <row r="5720" customFormat="false" ht="15" hidden="false" customHeight="false" outlineLevel="0" collapsed="false">
      <c r="M5720" s="2" t="str">
        <f aca="false">IF(C5720="","",IFERROR(INDEX($S$5:$S$304,MATCH(C5720,$R$5:$R$304,0))&amp;"","?"))</f>
        <v/>
      </c>
      <c r="N5720" s="2" t="str">
        <f aca="false"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 t="str">
        <f aca="false">IF(OR(F5720="",G5720=""),"",IF(G5720&lt;='RETRATO 2027'!$K$5,"CONCLUÍDA",IF(F5720&lt;='RETRATO 2027'!$K$5,"EM ANDAMENTO","A INICIAR")))</f>
        <v/>
      </c>
    </row>
    <row r="5721" customFormat="false" ht="15" hidden="false" customHeight="false" outlineLevel="0" collapsed="false">
      <c r="M5721" s="2" t="str">
        <f aca="false">IF(C5721="","",IFERROR(INDEX($S$5:$S$304,MATCH(C5721,$R$5:$R$304,0))&amp;"","?"))</f>
        <v/>
      </c>
      <c r="N5721" s="2" t="str">
        <f aca="false"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 t="str">
        <f aca="false">IF(OR(F5721="",G5721=""),"",IF(G5721&lt;='RETRATO 2027'!$K$5,"CONCLUÍDA",IF(F5721&lt;='RETRATO 2027'!$K$5,"EM ANDAMENTO","A INICIAR")))</f>
        <v/>
      </c>
    </row>
    <row r="5722" customFormat="false" ht="15" hidden="false" customHeight="false" outlineLevel="0" collapsed="false">
      <c r="M5722" s="2" t="str">
        <f aca="false">IF(C5722="","",IFERROR(INDEX($S$5:$S$304,MATCH(C5722,$R$5:$R$304,0))&amp;"","?"))</f>
        <v/>
      </c>
      <c r="N5722" s="2" t="str">
        <f aca="false"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 t="str">
        <f aca="false">IF(OR(F5722="",G5722=""),"",IF(G5722&lt;='RETRATO 2027'!$K$5,"CONCLUÍDA",IF(F5722&lt;='RETRATO 2027'!$K$5,"EM ANDAMENTO","A INICIAR")))</f>
        <v/>
      </c>
    </row>
    <row r="5723" customFormat="false" ht="15" hidden="false" customHeight="false" outlineLevel="0" collapsed="false">
      <c r="M5723" s="2" t="str">
        <f aca="false">IF(C5723="","",IFERROR(INDEX($S$5:$S$304,MATCH(C5723,$R$5:$R$304,0))&amp;"","?"))</f>
        <v/>
      </c>
      <c r="N5723" s="2" t="str">
        <f aca="false"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 t="str">
        <f aca="false">IF(OR(F5723="",G5723=""),"",IF(G5723&lt;='RETRATO 2027'!$K$5,"CONCLUÍDA",IF(F5723&lt;='RETRATO 2027'!$K$5,"EM ANDAMENTO","A INICIAR")))</f>
        <v/>
      </c>
    </row>
    <row r="5724" customFormat="false" ht="15" hidden="false" customHeight="false" outlineLevel="0" collapsed="false">
      <c r="M5724" s="2" t="str">
        <f aca="false">IF(C5724="","",IFERROR(INDEX($S$5:$S$304,MATCH(C5724,$R$5:$R$304,0))&amp;"","?"))</f>
        <v/>
      </c>
      <c r="N5724" s="2" t="str">
        <f aca="false"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 t="str">
        <f aca="false">IF(OR(F5724="",G5724=""),"",IF(G5724&lt;='RETRATO 2027'!$K$5,"CONCLUÍDA",IF(F5724&lt;='RETRATO 2027'!$K$5,"EM ANDAMENTO","A INICIAR")))</f>
        <v/>
      </c>
    </row>
    <row r="5725" customFormat="false" ht="15" hidden="false" customHeight="false" outlineLevel="0" collapsed="false">
      <c r="M5725" s="2" t="str">
        <f aca="false">IF(C5725="","",IFERROR(INDEX($S$5:$S$304,MATCH(C5725,$R$5:$R$304,0))&amp;"","?"))</f>
        <v/>
      </c>
      <c r="N5725" s="2" t="str">
        <f aca="false"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 t="str">
        <f aca="false">IF(OR(F5725="",G5725=""),"",IF(G5725&lt;='RETRATO 2027'!$K$5,"CONCLUÍDA",IF(F5725&lt;='RETRATO 2027'!$K$5,"EM ANDAMENTO","A INICIAR")))</f>
        <v/>
      </c>
    </row>
    <row r="5726" customFormat="false" ht="15" hidden="false" customHeight="false" outlineLevel="0" collapsed="false">
      <c r="M5726" s="2" t="str">
        <f aca="false">IF(C5726="","",IFERROR(INDEX($S$5:$S$304,MATCH(C5726,$R$5:$R$304,0))&amp;"","?"))</f>
        <v/>
      </c>
      <c r="N5726" s="2" t="str">
        <f aca="false"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 t="str">
        <f aca="false">IF(OR(F5726="",G5726=""),"",IF(G5726&lt;='RETRATO 2027'!$K$5,"CONCLUÍDA",IF(F5726&lt;='RETRATO 2027'!$K$5,"EM ANDAMENTO","A INICIAR")))</f>
        <v/>
      </c>
    </row>
    <row r="5727" customFormat="false" ht="15" hidden="false" customHeight="false" outlineLevel="0" collapsed="false">
      <c r="M5727" s="2" t="str">
        <f aca="false">IF(C5727="","",IFERROR(INDEX($S$5:$S$304,MATCH(C5727,$R$5:$R$304,0))&amp;"","?"))</f>
        <v/>
      </c>
      <c r="N5727" s="2" t="str">
        <f aca="false"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 t="str">
        <f aca="false">IF(OR(F5727="",G5727=""),"",IF(G5727&lt;='RETRATO 2027'!$K$5,"CONCLUÍDA",IF(F5727&lt;='RETRATO 2027'!$K$5,"EM ANDAMENTO","A INICIAR")))</f>
        <v/>
      </c>
    </row>
    <row r="5728" customFormat="false" ht="15" hidden="false" customHeight="false" outlineLevel="0" collapsed="false">
      <c r="M5728" s="2" t="str">
        <f aca="false">IF(C5728="","",IFERROR(INDEX($S$5:$S$304,MATCH(C5728,$R$5:$R$304,0))&amp;"","?"))</f>
        <v/>
      </c>
      <c r="N5728" s="2" t="str">
        <f aca="false"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 t="str">
        <f aca="false">IF(OR(F5728="",G5728=""),"",IF(G5728&lt;='RETRATO 2027'!$K$5,"CONCLUÍDA",IF(F5728&lt;='RETRATO 2027'!$K$5,"EM ANDAMENTO","A INICIAR")))</f>
        <v/>
      </c>
    </row>
    <row r="5729" customFormat="false" ht="15" hidden="false" customHeight="false" outlineLevel="0" collapsed="false">
      <c r="M5729" s="2" t="str">
        <f aca="false">IF(C5729="","",IFERROR(INDEX($S$5:$S$304,MATCH(C5729,$R$5:$R$304,0))&amp;"","?"))</f>
        <v/>
      </c>
      <c r="N5729" s="2" t="str">
        <f aca="false"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 t="str">
        <f aca="false">IF(OR(F5729="",G5729=""),"",IF(G5729&lt;='RETRATO 2027'!$K$5,"CONCLUÍDA",IF(F5729&lt;='RETRATO 2027'!$K$5,"EM ANDAMENTO","A INICIAR")))</f>
        <v/>
      </c>
    </row>
    <row r="5730" customFormat="false" ht="15" hidden="false" customHeight="false" outlineLevel="0" collapsed="false">
      <c r="M5730" s="2" t="str">
        <f aca="false">IF(C5730="","",IFERROR(INDEX($S$5:$S$304,MATCH(C5730,$R$5:$R$304,0))&amp;"","?"))</f>
        <v/>
      </c>
      <c r="N5730" s="2" t="str">
        <f aca="false"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 t="str">
        <f aca="false">IF(OR(F5730="",G5730=""),"",IF(G5730&lt;='RETRATO 2027'!$K$5,"CONCLUÍDA",IF(F5730&lt;='RETRATO 2027'!$K$5,"EM ANDAMENTO","A INICIAR")))</f>
        <v/>
      </c>
    </row>
    <row r="5731" customFormat="false" ht="15" hidden="false" customHeight="false" outlineLevel="0" collapsed="false">
      <c r="M5731" s="2" t="str">
        <f aca="false">IF(C5731="","",IFERROR(INDEX($S$5:$S$304,MATCH(C5731,$R$5:$R$304,0))&amp;"","?"))</f>
        <v/>
      </c>
      <c r="N5731" s="2" t="str">
        <f aca="false"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 t="str">
        <f aca="false">IF(OR(F5731="",G5731=""),"",IF(G5731&lt;='RETRATO 2027'!$K$5,"CONCLUÍDA",IF(F5731&lt;='RETRATO 2027'!$K$5,"EM ANDAMENTO","A INICIAR")))</f>
        <v/>
      </c>
    </row>
    <row r="5732" customFormat="false" ht="15" hidden="false" customHeight="false" outlineLevel="0" collapsed="false">
      <c r="M5732" s="2" t="str">
        <f aca="false">IF(C5732="","",IFERROR(INDEX($S$5:$S$304,MATCH(C5732,$R$5:$R$304,0))&amp;"","?"))</f>
        <v/>
      </c>
      <c r="N5732" s="2" t="str">
        <f aca="false"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 t="str">
        <f aca="false">IF(OR(F5732="",G5732=""),"",IF(G5732&lt;='RETRATO 2027'!$K$5,"CONCLUÍDA",IF(F5732&lt;='RETRATO 2027'!$K$5,"EM ANDAMENTO","A INICIAR")))</f>
        <v/>
      </c>
    </row>
    <row r="5733" customFormat="false" ht="15" hidden="false" customHeight="false" outlineLevel="0" collapsed="false">
      <c r="M5733" s="2" t="str">
        <f aca="false">IF(C5733="","",IFERROR(INDEX($S$5:$S$304,MATCH(C5733,$R$5:$R$304,0))&amp;"","?"))</f>
        <v/>
      </c>
      <c r="N5733" s="2" t="str">
        <f aca="false"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 t="str">
        <f aca="false">IF(OR(F5733="",G5733=""),"",IF(G5733&lt;='RETRATO 2027'!$K$5,"CONCLUÍDA",IF(F5733&lt;='RETRATO 2027'!$K$5,"EM ANDAMENTO","A INICIAR")))</f>
        <v/>
      </c>
    </row>
    <row r="5734" customFormat="false" ht="15" hidden="false" customHeight="false" outlineLevel="0" collapsed="false">
      <c r="M5734" s="2" t="str">
        <f aca="false">IF(C5734="","",IFERROR(INDEX($S$5:$S$304,MATCH(C5734,$R$5:$R$304,0))&amp;"","?"))</f>
        <v/>
      </c>
      <c r="N5734" s="2" t="str">
        <f aca="false"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 t="str">
        <f aca="false">IF(OR(F5734="",G5734=""),"",IF(G5734&lt;='RETRATO 2027'!$K$5,"CONCLUÍDA",IF(F5734&lt;='RETRATO 2027'!$K$5,"EM ANDAMENTO","A INICIAR")))</f>
        <v/>
      </c>
    </row>
    <row r="5735" customFormat="false" ht="15" hidden="false" customHeight="false" outlineLevel="0" collapsed="false">
      <c r="M5735" s="2" t="str">
        <f aca="false">IF(C5735="","",IFERROR(INDEX($S$5:$S$304,MATCH(C5735,$R$5:$R$304,0))&amp;"","?"))</f>
        <v/>
      </c>
      <c r="N5735" s="2" t="str">
        <f aca="false"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 t="str">
        <f aca="false">IF(OR(F5735="",G5735=""),"",IF(G5735&lt;='RETRATO 2027'!$K$5,"CONCLUÍDA",IF(F5735&lt;='RETRATO 2027'!$K$5,"EM ANDAMENTO","A INICIAR")))</f>
        <v/>
      </c>
    </row>
    <row r="5736" customFormat="false" ht="15" hidden="false" customHeight="false" outlineLevel="0" collapsed="false">
      <c r="M5736" s="2" t="str">
        <f aca="false">IF(C5736="","",IFERROR(INDEX($S$5:$S$304,MATCH(C5736,$R$5:$R$304,0))&amp;"","?"))</f>
        <v/>
      </c>
      <c r="N5736" s="2" t="str">
        <f aca="false"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 t="str">
        <f aca="false">IF(OR(F5736="",G5736=""),"",IF(G5736&lt;='RETRATO 2027'!$K$5,"CONCLUÍDA",IF(F5736&lt;='RETRATO 2027'!$K$5,"EM ANDAMENTO","A INICIAR")))</f>
        <v/>
      </c>
    </row>
    <row r="5737" customFormat="false" ht="15" hidden="false" customHeight="false" outlineLevel="0" collapsed="false">
      <c r="M5737" s="2" t="str">
        <f aca="false">IF(C5737="","",IFERROR(INDEX($S$5:$S$304,MATCH(C5737,$R$5:$R$304,0))&amp;"","?"))</f>
        <v/>
      </c>
      <c r="N5737" s="2" t="str">
        <f aca="false"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 t="str">
        <f aca="false">IF(OR(F5737="",G5737=""),"",IF(G5737&lt;='RETRATO 2027'!$K$5,"CONCLUÍDA",IF(F5737&lt;='RETRATO 2027'!$K$5,"EM ANDAMENTO","A INICIAR")))</f>
        <v/>
      </c>
    </row>
    <row r="5738" customFormat="false" ht="15" hidden="false" customHeight="false" outlineLevel="0" collapsed="false">
      <c r="M5738" s="2" t="str">
        <f aca="false">IF(C5738="","",IFERROR(INDEX($S$5:$S$304,MATCH(C5738,$R$5:$R$304,0))&amp;"","?"))</f>
        <v/>
      </c>
      <c r="N5738" s="2" t="str">
        <f aca="false"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 t="str">
        <f aca="false">IF(OR(F5738="",G5738=""),"",IF(G5738&lt;='RETRATO 2027'!$K$5,"CONCLUÍDA",IF(F5738&lt;='RETRATO 2027'!$K$5,"EM ANDAMENTO","A INICIAR")))</f>
        <v/>
      </c>
    </row>
    <row r="5739" customFormat="false" ht="15" hidden="false" customHeight="false" outlineLevel="0" collapsed="false">
      <c r="M5739" s="2" t="str">
        <f aca="false">IF(C5739="","",IFERROR(INDEX($S$5:$S$304,MATCH(C5739,$R$5:$R$304,0))&amp;"","?"))</f>
        <v/>
      </c>
      <c r="N5739" s="2" t="str">
        <f aca="false"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 t="str">
        <f aca="false">IF(OR(F5739="",G5739=""),"",IF(G5739&lt;='RETRATO 2027'!$K$5,"CONCLUÍDA",IF(F5739&lt;='RETRATO 2027'!$K$5,"EM ANDAMENTO","A INICIAR")))</f>
        <v/>
      </c>
    </row>
    <row r="5740" customFormat="false" ht="15" hidden="false" customHeight="false" outlineLevel="0" collapsed="false">
      <c r="M5740" s="2" t="str">
        <f aca="false">IF(C5740="","",IFERROR(INDEX($S$5:$S$304,MATCH(C5740,$R$5:$R$304,0))&amp;"","?"))</f>
        <v/>
      </c>
      <c r="N5740" s="2" t="str">
        <f aca="false"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 t="str">
        <f aca="false">IF(OR(F5740="",G5740=""),"",IF(G5740&lt;='RETRATO 2027'!$K$5,"CONCLUÍDA",IF(F5740&lt;='RETRATO 2027'!$K$5,"EM ANDAMENTO","A INICIAR")))</f>
        <v/>
      </c>
    </row>
    <row r="5741" customFormat="false" ht="15" hidden="false" customHeight="false" outlineLevel="0" collapsed="false">
      <c r="M5741" s="2" t="str">
        <f aca="false">IF(C5741="","",IFERROR(INDEX($S$5:$S$304,MATCH(C5741,$R$5:$R$304,0))&amp;"","?"))</f>
        <v/>
      </c>
      <c r="N5741" s="2" t="str">
        <f aca="false"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 t="str">
        <f aca="false">IF(OR(F5741="",G5741=""),"",IF(G5741&lt;='RETRATO 2027'!$K$5,"CONCLUÍDA",IF(F5741&lt;='RETRATO 2027'!$K$5,"EM ANDAMENTO","A INICIAR")))</f>
        <v/>
      </c>
    </row>
    <row r="5742" customFormat="false" ht="15" hidden="false" customHeight="false" outlineLevel="0" collapsed="false">
      <c r="M5742" s="2" t="str">
        <f aca="false">IF(C5742="","",IFERROR(INDEX($S$5:$S$304,MATCH(C5742,$R$5:$R$304,0))&amp;"","?"))</f>
        <v/>
      </c>
      <c r="N5742" s="2" t="str">
        <f aca="false"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 t="str">
        <f aca="false">IF(OR(F5742="",G5742=""),"",IF(G5742&lt;='RETRATO 2027'!$K$5,"CONCLUÍDA",IF(F5742&lt;='RETRATO 2027'!$K$5,"EM ANDAMENTO","A INICIAR")))</f>
        <v/>
      </c>
    </row>
    <row r="5743" customFormat="false" ht="15" hidden="false" customHeight="false" outlineLevel="0" collapsed="false">
      <c r="M5743" s="2" t="str">
        <f aca="false">IF(C5743="","",IFERROR(INDEX($S$5:$S$304,MATCH(C5743,$R$5:$R$304,0))&amp;"","?"))</f>
        <v/>
      </c>
      <c r="N5743" s="2" t="str">
        <f aca="false"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 t="str">
        <f aca="false">IF(OR(F5743="",G5743=""),"",IF(G5743&lt;='RETRATO 2027'!$K$5,"CONCLUÍDA",IF(F5743&lt;='RETRATO 2027'!$K$5,"EM ANDAMENTO","A INICIAR")))</f>
        <v/>
      </c>
    </row>
    <row r="5744" customFormat="false" ht="15" hidden="false" customHeight="false" outlineLevel="0" collapsed="false">
      <c r="M5744" s="2" t="str">
        <f aca="false">IF(C5744="","",IFERROR(INDEX($S$5:$S$304,MATCH(C5744,$R$5:$R$304,0))&amp;"","?"))</f>
        <v/>
      </c>
      <c r="N5744" s="2" t="str">
        <f aca="false"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 t="str">
        <f aca="false">IF(OR(F5744="",G5744=""),"",IF(G5744&lt;='RETRATO 2027'!$K$5,"CONCLUÍDA",IF(F5744&lt;='RETRATO 2027'!$K$5,"EM ANDAMENTO","A INICIAR")))</f>
        <v/>
      </c>
    </row>
    <row r="5745" customFormat="false" ht="15" hidden="false" customHeight="false" outlineLevel="0" collapsed="false">
      <c r="M5745" s="2" t="str">
        <f aca="false">IF(C5745="","",IFERROR(INDEX($S$5:$S$304,MATCH(C5745,$R$5:$R$304,0))&amp;"","?"))</f>
        <v/>
      </c>
      <c r="N5745" s="2" t="str">
        <f aca="false"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 t="str">
        <f aca="false">IF(OR(F5745="",G5745=""),"",IF(G5745&lt;='RETRATO 2027'!$K$5,"CONCLUÍDA",IF(F5745&lt;='RETRATO 2027'!$K$5,"EM ANDAMENTO","A INICIAR")))</f>
        <v/>
      </c>
    </row>
    <row r="5746" customFormat="false" ht="15" hidden="false" customHeight="false" outlineLevel="0" collapsed="false">
      <c r="M5746" s="2" t="str">
        <f aca="false">IF(C5746="","",IFERROR(INDEX($S$5:$S$304,MATCH(C5746,$R$5:$R$304,0))&amp;"","?"))</f>
        <v/>
      </c>
      <c r="N5746" s="2" t="str">
        <f aca="false"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 t="str">
        <f aca="false">IF(OR(F5746="",G5746=""),"",IF(G5746&lt;='RETRATO 2027'!$K$5,"CONCLUÍDA",IF(F5746&lt;='RETRATO 2027'!$K$5,"EM ANDAMENTO","A INICIAR")))</f>
        <v/>
      </c>
    </row>
    <row r="5747" customFormat="false" ht="15" hidden="false" customHeight="false" outlineLevel="0" collapsed="false">
      <c r="M5747" s="2" t="str">
        <f aca="false">IF(C5747="","",IFERROR(INDEX($S$5:$S$304,MATCH(C5747,$R$5:$R$304,0))&amp;"","?"))</f>
        <v/>
      </c>
      <c r="N5747" s="2" t="str">
        <f aca="false"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 t="str">
        <f aca="false">IF(OR(F5747="",G5747=""),"",IF(G5747&lt;='RETRATO 2027'!$K$5,"CONCLUÍDA",IF(F5747&lt;='RETRATO 2027'!$K$5,"EM ANDAMENTO","A INICIAR")))</f>
        <v/>
      </c>
    </row>
    <row r="5748" customFormat="false" ht="15" hidden="false" customHeight="false" outlineLevel="0" collapsed="false">
      <c r="M5748" s="2" t="str">
        <f aca="false">IF(C5748="","",IFERROR(INDEX($S$5:$S$304,MATCH(C5748,$R$5:$R$304,0))&amp;"","?"))</f>
        <v/>
      </c>
      <c r="N5748" s="2" t="str">
        <f aca="false"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 t="str">
        <f aca="false">IF(OR(F5748="",G5748=""),"",IF(G5748&lt;='RETRATO 2027'!$K$5,"CONCLUÍDA",IF(F5748&lt;='RETRATO 2027'!$K$5,"EM ANDAMENTO","A INICIAR")))</f>
        <v/>
      </c>
    </row>
    <row r="5749" customFormat="false" ht="15" hidden="false" customHeight="false" outlineLevel="0" collapsed="false">
      <c r="M5749" s="2" t="str">
        <f aca="false">IF(C5749="","",IFERROR(INDEX($S$5:$S$304,MATCH(C5749,$R$5:$R$304,0))&amp;"","?"))</f>
        <v/>
      </c>
      <c r="N5749" s="2" t="str">
        <f aca="false"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 t="str">
        <f aca="false">IF(OR(F5749="",G5749=""),"",IF(G5749&lt;='RETRATO 2027'!$K$5,"CONCLUÍDA",IF(F5749&lt;='RETRATO 2027'!$K$5,"EM ANDAMENTO","A INICIAR")))</f>
        <v/>
      </c>
    </row>
    <row r="5750" customFormat="false" ht="15" hidden="false" customHeight="false" outlineLevel="0" collapsed="false">
      <c r="M5750" s="2" t="str">
        <f aca="false">IF(C5750="","",IFERROR(INDEX($S$5:$S$304,MATCH(C5750,$R$5:$R$304,0))&amp;"","?"))</f>
        <v/>
      </c>
      <c r="N5750" s="2" t="str">
        <f aca="false"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 t="str">
        <f aca="false">IF(OR(F5750="",G5750=""),"",IF(G5750&lt;='RETRATO 2027'!$K$5,"CONCLUÍDA",IF(F5750&lt;='RETRATO 2027'!$K$5,"EM ANDAMENTO","A INICIAR")))</f>
        <v/>
      </c>
    </row>
    <row r="5751" customFormat="false" ht="15" hidden="false" customHeight="false" outlineLevel="0" collapsed="false">
      <c r="M5751" s="2" t="str">
        <f aca="false">IF(C5751="","",IFERROR(INDEX($S$5:$S$304,MATCH(C5751,$R$5:$R$304,0))&amp;"","?"))</f>
        <v/>
      </c>
      <c r="N5751" s="2" t="str">
        <f aca="false"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 t="str">
        <f aca="false">IF(OR(F5751="",G5751=""),"",IF(G5751&lt;='RETRATO 2027'!$K$5,"CONCLUÍDA",IF(F5751&lt;='RETRATO 2027'!$K$5,"EM ANDAMENTO","A INICIAR")))</f>
        <v/>
      </c>
    </row>
    <row r="5752" customFormat="false" ht="15" hidden="false" customHeight="false" outlineLevel="0" collapsed="false">
      <c r="M5752" s="2" t="str">
        <f aca="false">IF(C5752="","",IFERROR(INDEX($S$5:$S$304,MATCH(C5752,$R$5:$R$304,0))&amp;"","?"))</f>
        <v/>
      </c>
      <c r="N5752" s="2" t="str">
        <f aca="false"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 t="str">
        <f aca="false">IF(OR(F5752="",G5752=""),"",IF(G5752&lt;='RETRATO 2027'!$K$5,"CONCLUÍDA",IF(F5752&lt;='RETRATO 2027'!$K$5,"EM ANDAMENTO","A INICIAR")))</f>
        <v/>
      </c>
    </row>
    <row r="5753" customFormat="false" ht="15" hidden="false" customHeight="false" outlineLevel="0" collapsed="false">
      <c r="M5753" s="2" t="str">
        <f aca="false">IF(C5753="","",IFERROR(INDEX($S$5:$S$304,MATCH(C5753,$R$5:$R$304,0))&amp;"","?"))</f>
        <v/>
      </c>
      <c r="N5753" s="2" t="str">
        <f aca="false"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 t="str">
        <f aca="false">IF(OR(F5753="",G5753=""),"",IF(G5753&lt;='RETRATO 2027'!$K$5,"CONCLUÍDA",IF(F5753&lt;='RETRATO 2027'!$K$5,"EM ANDAMENTO","A INICIAR")))</f>
        <v/>
      </c>
    </row>
    <row r="5754" customFormat="false" ht="15" hidden="false" customHeight="false" outlineLevel="0" collapsed="false">
      <c r="M5754" s="2" t="str">
        <f aca="false">IF(C5754="","",IFERROR(INDEX($S$5:$S$304,MATCH(C5754,$R$5:$R$304,0))&amp;"","?"))</f>
        <v/>
      </c>
      <c r="N5754" s="2" t="str">
        <f aca="false"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 t="str">
        <f aca="false">IF(OR(F5754="",G5754=""),"",IF(G5754&lt;='RETRATO 2027'!$K$5,"CONCLUÍDA",IF(F5754&lt;='RETRATO 2027'!$K$5,"EM ANDAMENTO","A INICIAR")))</f>
        <v/>
      </c>
    </row>
    <row r="5755" customFormat="false" ht="15" hidden="false" customHeight="false" outlineLevel="0" collapsed="false">
      <c r="M5755" s="2" t="str">
        <f aca="false">IF(C5755="","",IFERROR(INDEX($S$5:$S$304,MATCH(C5755,$R$5:$R$304,0))&amp;"","?"))</f>
        <v/>
      </c>
      <c r="N5755" s="2" t="str">
        <f aca="false"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 t="str">
        <f aca="false">IF(OR(F5755="",G5755=""),"",IF(G5755&lt;='RETRATO 2027'!$K$5,"CONCLUÍDA",IF(F5755&lt;='RETRATO 2027'!$K$5,"EM ANDAMENTO","A INICIAR")))</f>
        <v/>
      </c>
    </row>
    <row r="5756" customFormat="false" ht="15" hidden="false" customHeight="false" outlineLevel="0" collapsed="false">
      <c r="M5756" s="2" t="str">
        <f aca="false">IF(C5756="","",IFERROR(INDEX($S$5:$S$304,MATCH(C5756,$R$5:$R$304,0))&amp;"","?"))</f>
        <v/>
      </c>
      <c r="N5756" s="2" t="str">
        <f aca="false"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 t="str">
        <f aca="false">IF(OR(F5756="",G5756=""),"",IF(G5756&lt;='RETRATO 2027'!$K$5,"CONCLUÍDA",IF(F5756&lt;='RETRATO 2027'!$K$5,"EM ANDAMENTO","A INICIAR")))</f>
        <v/>
      </c>
    </row>
    <row r="5757" customFormat="false" ht="15" hidden="false" customHeight="false" outlineLevel="0" collapsed="false">
      <c r="M5757" s="2" t="str">
        <f aca="false">IF(C5757="","",IFERROR(INDEX($S$5:$S$304,MATCH(C5757,$R$5:$R$304,0))&amp;"","?"))</f>
        <v/>
      </c>
      <c r="N5757" s="2" t="str">
        <f aca="false"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 t="str">
        <f aca="false">IF(OR(F5757="",G5757=""),"",IF(G5757&lt;='RETRATO 2027'!$K$5,"CONCLUÍDA",IF(F5757&lt;='RETRATO 2027'!$K$5,"EM ANDAMENTO","A INICIAR")))</f>
        <v/>
      </c>
    </row>
    <row r="5758" customFormat="false" ht="15" hidden="false" customHeight="false" outlineLevel="0" collapsed="false">
      <c r="M5758" s="2" t="str">
        <f aca="false">IF(C5758="","",IFERROR(INDEX($S$5:$S$304,MATCH(C5758,$R$5:$R$304,0))&amp;"","?"))</f>
        <v/>
      </c>
      <c r="N5758" s="2" t="str">
        <f aca="false"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 t="str">
        <f aca="false">IF(OR(F5758="",G5758=""),"",IF(G5758&lt;='RETRATO 2027'!$K$5,"CONCLUÍDA",IF(F5758&lt;='RETRATO 2027'!$K$5,"EM ANDAMENTO","A INICIAR")))</f>
        <v/>
      </c>
    </row>
    <row r="5759" customFormat="false" ht="15" hidden="false" customHeight="false" outlineLevel="0" collapsed="false">
      <c r="M5759" s="2" t="str">
        <f aca="false">IF(C5759="","",IFERROR(INDEX($S$5:$S$304,MATCH(C5759,$R$5:$R$304,0))&amp;"","?"))</f>
        <v/>
      </c>
      <c r="N5759" s="2" t="str">
        <f aca="false"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 t="str">
        <f aca="false">IF(OR(F5759="",G5759=""),"",IF(G5759&lt;='RETRATO 2027'!$K$5,"CONCLUÍDA",IF(F5759&lt;='RETRATO 2027'!$K$5,"EM ANDAMENTO","A INICIAR")))</f>
        <v/>
      </c>
    </row>
    <row r="5760" customFormat="false" ht="15" hidden="false" customHeight="false" outlineLevel="0" collapsed="false">
      <c r="M5760" s="2" t="str">
        <f aca="false">IF(C5760="","",IFERROR(INDEX($S$5:$S$304,MATCH(C5760,$R$5:$R$304,0))&amp;"","?"))</f>
        <v/>
      </c>
      <c r="N5760" s="2" t="str">
        <f aca="false"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 t="str">
        <f aca="false">IF(OR(F5760="",G5760=""),"",IF(G5760&lt;='RETRATO 2027'!$K$5,"CONCLUÍDA",IF(F5760&lt;='RETRATO 2027'!$K$5,"EM ANDAMENTO","A INICIAR")))</f>
        <v/>
      </c>
    </row>
    <row r="5761" customFormat="false" ht="15" hidden="false" customHeight="false" outlineLevel="0" collapsed="false">
      <c r="M5761" s="2" t="str">
        <f aca="false">IF(C5761="","",IFERROR(INDEX($S$5:$S$304,MATCH(C5761,$R$5:$R$304,0))&amp;"","?"))</f>
        <v/>
      </c>
      <c r="N5761" s="2" t="str">
        <f aca="false"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 t="str">
        <f aca="false">IF(OR(F5761="",G5761=""),"",IF(G5761&lt;='RETRATO 2027'!$K$5,"CONCLUÍDA",IF(F5761&lt;='RETRATO 2027'!$K$5,"EM ANDAMENTO","A INICIAR")))</f>
        <v/>
      </c>
    </row>
    <row r="5762" customFormat="false" ht="15" hidden="false" customHeight="false" outlineLevel="0" collapsed="false">
      <c r="M5762" s="2" t="str">
        <f aca="false">IF(C5762="","",IFERROR(INDEX($S$5:$S$304,MATCH(C5762,$R$5:$R$304,0))&amp;"","?"))</f>
        <v/>
      </c>
      <c r="N5762" s="2" t="str">
        <f aca="false"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 t="str">
        <f aca="false">IF(OR(F5762="",G5762=""),"",IF(G5762&lt;='RETRATO 2027'!$K$5,"CONCLUÍDA",IF(F5762&lt;='RETRATO 2027'!$K$5,"EM ANDAMENTO","A INICIAR")))</f>
        <v/>
      </c>
    </row>
    <row r="5763" customFormat="false" ht="15" hidden="false" customHeight="false" outlineLevel="0" collapsed="false">
      <c r="M5763" s="2" t="str">
        <f aca="false">IF(C5763="","",IFERROR(INDEX($S$5:$S$304,MATCH(C5763,$R$5:$R$304,0))&amp;"","?"))</f>
        <v/>
      </c>
      <c r="N5763" s="2" t="str">
        <f aca="false"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 t="str">
        <f aca="false">IF(OR(F5763="",G5763=""),"",IF(G5763&lt;='RETRATO 2027'!$K$5,"CONCLUÍDA",IF(F5763&lt;='RETRATO 2027'!$K$5,"EM ANDAMENTO","A INICIAR")))</f>
        <v/>
      </c>
    </row>
    <row r="5764" customFormat="false" ht="15" hidden="false" customHeight="false" outlineLevel="0" collapsed="false">
      <c r="M5764" s="2" t="str">
        <f aca="false">IF(C5764="","",IFERROR(INDEX($S$5:$S$304,MATCH(C5764,$R$5:$R$304,0))&amp;"","?"))</f>
        <v/>
      </c>
      <c r="N5764" s="2" t="str">
        <f aca="false"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 t="str">
        <f aca="false">IF(OR(F5764="",G5764=""),"",IF(G5764&lt;='RETRATO 2027'!$K$5,"CONCLUÍDA",IF(F5764&lt;='RETRATO 2027'!$K$5,"EM ANDAMENTO","A INICIAR")))</f>
        <v/>
      </c>
    </row>
    <row r="5765" customFormat="false" ht="15" hidden="false" customHeight="false" outlineLevel="0" collapsed="false">
      <c r="M5765" s="2" t="str">
        <f aca="false">IF(C5765="","",IFERROR(INDEX($S$5:$S$304,MATCH(C5765,$R$5:$R$304,0))&amp;"","?"))</f>
        <v/>
      </c>
      <c r="N5765" s="2" t="str">
        <f aca="false"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 t="str">
        <f aca="false">IF(OR(F5765="",G5765=""),"",IF(G5765&lt;='RETRATO 2027'!$K$5,"CONCLUÍDA",IF(F5765&lt;='RETRATO 2027'!$K$5,"EM ANDAMENTO","A INICIAR")))</f>
        <v/>
      </c>
    </row>
    <row r="5766" customFormat="false" ht="15" hidden="false" customHeight="false" outlineLevel="0" collapsed="false">
      <c r="M5766" s="2" t="str">
        <f aca="false">IF(C5766="","",IFERROR(INDEX($S$5:$S$304,MATCH(C5766,$R$5:$R$304,0))&amp;"","?"))</f>
        <v/>
      </c>
      <c r="N5766" s="2" t="str">
        <f aca="false"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 t="str">
        <f aca="false">IF(OR(F5766="",G5766=""),"",IF(G5766&lt;='RETRATO 2027'!$K$5,"CONCLUÍDA",IF(F5766&lt;='RETRATO 2027'!$K$5,"EM ANDAMENTO","A INICIAR")))</f>
        <v/>
      </c>
    </row>
    <row r="5767" customFormat="false" ht="15" hidden="false" customHeight="false" outlineLevel="0" collapsed="false">
      <c r="M5767" s="2" t="str">
        <f aca="false">IF(C5767="","",IFERROR(INDEX($S$5:$S$304,MATCH(C5767,$R$5:$R$304,0))&amp;"","?"))</f>
        <v/>
      </c>
      <c r="N5767" s="2" t="str">
        <f aca="false"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 t="str">
        <f aca="false">IF(OR(F5767="",G5767=""),"",IF(G5767&lt;='RETRATO 2027'!$K$5,"CONCLUÍDA",IF(F5767&lt;='RETRATO 2027'!$K$5,"EM ANDAMENTO","A INICIAR")))</f>
        <v/>
      </c>
    </row>
    <row r="5768" customFormat="false" ht="15" hidden="false" customHeight="false" outlineLevel="0" collapsed="false">
      <c r="M5768" s="2" t="str">
        <f aca="false">IF(C5768="","",IFERROR(INDEX($S$5:$S$304,MATCH(C5768,$R$5:$R$304,0))&amp;"","?"))</f>
        <v/>
      </c>
      <c r="N5768" s="2" t="str">
        <f aca="false"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 t="str">
        <f aca="false">IF(OR(F5768="",G5768=""),"",IF(G5768&lt;='RETRATO 2027'!$K$5,"CONCLUÍDA",IF(F5768&lt;='RETRATO 2027'!$K$5,"EM ANDAMENTO","A INICIAR")))</f>
        <v/>
      </c>
    </row>
    <row r="5769" customFormat="false" ht="15" hidden="false" customHeight="false" outlineLevel="0" collapsed="false">
      <c r="M5769" s="2" t="str">
        <f aca="false">IF(C5769="","",IFERROR(INDEX($S$5:$S$304,MATCH(C5769,$R$5:$R$304,0))&amp;"","?"))</f>
        <v/>
      </c>
      <c r="N5769" s="2" t="str">
        <f aca="false"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 t="str">
        <f aca="false">IF(OR(F5769="",G5769=""),"",IF(G5769&lt;='RETRATO 2027'!$K$5,"CONCLUÍDA",IF(F5769&lt;='RETRATO 2027'!$K$5,"EM ANDAMENTO","A INICIAR")))</f>
        <v/>
      </c>
    </row>
    <row r="5770" customFormat="false" ht="15" hidden="false" customHeight="false" outlineLevel="0" collapsed="false">
      <c r="M5770" s="2" t="str">
        <f aca="false">IF(C5770="","",IFERROR(INDEX($S$5:$S$304,MATCH(C5770,$R$5:$R$304,0))&amp;"","?"))</f>
        <v/>
      </c>
      <c r="N5770" s="2" t="str">
        <f aca="false"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 t="str">
        <f aca="false">IF(OR(F5770="",G5770=""),"",IF(G5770&lt;='RETRATO 2027'!$K$5,"CONCLUÍDA",IF(F5770&lt;='RETRATO 2027'!$K$5,"EM ANDAMENTO","A INICIAR")))</f>
        <v/>
      </c>
    </row>
    <row r="5771" customFormat="false" ht="15" hidden="false" customHeight="false" outlineLevel="0" collapsed="false">
      <c r="M5771" s="2" t="str">
        <f aca="false">IF(C5771="","",IFERROR(INDEX($S$5:$S$304,MATCH(C5771,$R$5:$R$304,0))&amp;"","?"))</f>
        <v/>
      </c>
      <c r="N5771" s="2" t="str">
        <f aca="false"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 t="str">
        <f aca="false">IF(OR(F5771="",G5771=""),"",IF(G5771&lt;='RETRATO 2027'!$K$5,"CONCLUÍDA",IF(F5771&lt;='RETRATO 2027'!$K$5,"EM ANDAMENTO","A INICIAR")))</f>
        <v/>
      </c>
    </row>
    <row r="5772" customFormat="false" ht="15" hidden="false" customHeight="false" outlineLevel="0" collapsed="false">
      <c r="M5772" s="2" t="str">
        <f aca="false">IF(C5772="","",IFERROR(INDEX($S$5:$S$304,MATCH(C5772,$R$5:$R$304,0))&amp;"","?"))</f>
        <v/>
      </c>
      <c r="N5772" s="2" t="str">
        <f aca="false"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 t="str">
        <f aca="false">IF(OR(F5772="",G5772=""),"",IF(G5772&lt;='RETRATO 2027'!$K$5,"CONCLUÍDA",IF(F5772&lt;='RETRATO 2027'!$K$5,"EM ANDAMENTO","A INICIAR")))</f>
        <v/>
      </c>
    </row>
    <row r="5773" customFormat="false" ht="15" hidden="false" customHeight="false" outlineLevel="0" collapsed="false">
      <c r="M5773" s="2" t="str">
        <f aca="false">IF(C5773="","",IFERROR(INDEX($S$5:$S$304,MATCH(C5773,$R$5:$R$304,0))&amp;"","?"))</f>
        <v/>
      </c>
      <c r="N5773" s="2" t="str">
        <f aca="false"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 t="str">
        <f aca="false">IF(OR(F5773="",G5773=""),"",IF(G5773&lt;='RETRATO 2027'!$K$5,"CONCLUÍDA",IF(F5773&lt;='RETRATO 2027'!$K$5,"EM ANDAMENTO","A INICIAR")))</f>
        <v/>
      </c>
    </row>
    <row r="5774" customFormat="false" ht="15" hidden="false" customHeight="false" outlineLevel="0" collapsed="false">
      <c r="M5774" s="2" t="str">
        <f aca="false">IF(C5774="","",IFERROR(INDEX($S$5:$S$304,MATCH(C5774,$R$5:$R$304,0))&amp;"","?"))</f>
        <v/>
      </c>
      <c r="N5774" s="2" t="str">
        <f aca="false"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 t="str">
        <f aca="false">IF(OR(F5774="",G5774=""),"",IF(G5774&lt;='RETRATO 2027'!$K$5,"CONCLUÍDA",IF(F5774&lt;='RETRATO 2027'!$K$5,"EM ANDAMENTO","A INICIAR")))</f>
        <v/>
      </c>
    </row>
    <row r="5775" customFormat="false" ht="15" hidden="false" customHeight="false" outlineLevel="0" collapsed="false">
      <c r="M5775" s="2" t="str">
        <f aca="false">IF(C5775="","",IFERROR(INDEX($S$5:$S$304,MATCH(C5775,$R$5:$R$304,0))&amp;"","?"))</f>
        <v/>
      </c>
      <c r="N5775" s="2" t="str">
        <f aca="false"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 t="str">
        <f aca="false">IF(OR(F5775="",G5775=""),"",IF(G5775&lt;='RETRATO 2027'!$K$5,"CONCLUÍDA",IF(F5775&lt;='RETRATO 2027'!$K$5,"EM ANDAMENTO","A INICIAR")))</f>
        <v/>
      </c>
    </row>
    <row r="5776" customFormat="false" ht="15" hidden="false" customHeight="false" outlineLevel="0" collapsed="false">
      <c r="M5776" s="2" t="str">
        <f aca="false">IF(C5776="","",IFERROR(INDEX($S$5:$S$304,MATCH(C5776,$R$5:$R$304,0))&amp;"","?"))</f>
        <v/>
      </c>
      <c r="N5776" s="2" t="str">
        <f aca="false"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 t="str">
        <f aca="false">IF(OR(F5776="",G5776=""),"",IF(G5776&lt;='RETRATO 2027'!$K$5,"CONCLUÍDA",IF(F5776&lt;='RETRATO 2027'!$K$5,"EM ANDAMENTO","A INICIAR")))</f>
        <v/>
      </c>
    </row>
    <row r="5777" customFormat="false" ht="15" hidden="false" customHeight="false" outlineLevel="0" collapsed="false">
      <c r="M5777" s="2" t="str">
        <f aca="false">IF(C5777="","",IFERROR(INDEX($S$5:$S$304,MATCH(C5777,$R$5:$R$304,0))&amp;"","?"))</f>
        <v/>
      </c>
      <c r="N5777" s="2" t="str">
        <f aca="false"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 t="str">
        <f aca="false">IF(OR(F5777="",G5777=""),"",IF(G5777&lt;='RETRATO 2027'!$K$5,"CONCLUÍDA",IF(F5777&lt;='RETRATO 2027'!$K$5,"EM ANDAMENTO","A INICIAR")))</f>
        <v/>
      </c>
    </row>
    <row r="5778" customFormat="false" ht="15" hidden="false" customHeight="false" outlineLevel="0" collapsed="false">
      <c r="M5778" s="2" t="str">
        <f aca="false">IF(C5778="","",IFERROR(INDEX($S$5:$S$304,MATCH(C5778,$R$5:$R$304,0))&amp;"","?"))</f>
        <v/>
      </c>
      <c r="N5778" s="2" t="str">
        <f aca="false"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 t="str">
        <f aca="false">IF(OR(F5778="",G5778=""),"",IF(G5778&lt;='RETRATO 2027'!$K$5,"CONCLUÍDA",IF(F5778&lt;='RETRATO 2027'!$K$5,"EM ANDAMENTO","A INICIAR")))</f>
        <v/>
      </c>
    </row>
    <row r="5779" customFormat="false" ht="15" hidden="false" customHeight="false" outlineLevel="0" collapsed="false">
      <c r="M5779" s="2" t="str">
        <f aca="false">IF(C5779="","",IFERROR(INDEX($S$5:$S$304,MATCH(C5779,$R$5:$R$304,0))&amp;"","?"))</f>
        <v/>
      </c>
      <c r="N5779" s="2" t="str">
        <f aca="false"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 t="str">
        <f aca="false">IF(OR(F5779="",G5779=""),"",IF(G5779&lt;='RETRATO 2027'!$K$5,"CONCLUÍDA",IF(F5779&lt;='RETRATO 2027'!$K$5,"EM ANDAMENTO","A INICIAR")))</f>
        <v/>
      </c>
    </row>
    <row r="5780" customFormat="false" ht="15" hidden="false" customHeight="false" outlineLevel="0" collapsed="false">
      <c r="M5780" s="2" t="str">
        <f aca="false">IF(C5780="","",IFERROR(INDEX($S$5:$S$304,MATCH(C5780,$R$5:$R$304,0))&amp;"","?"))</f>
        <v/>
      </c>
      <c r="N5780" s="2" t="str">
        <f aca="false"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 t="str">
        <f aca="false">IF(OR(F5780="",G5780=""),"",IF(G5780&lt;='RETRATO 2027'!$K$5,"CONCLUÍDA",IF(F5780&lt;='RETRATO 2027'!$K$5,"EM ANDAMENTO","A INICIAR")))</f>
        <v/>
      </c>
    </row>
    <row r="5781" customFormat="false" ht="15" hidden="false" customHeight="false" outlineLevel="0" collapsed="false">
      <c r="M5781" s="2" t="str">
        <f aca="false">IF(C5781="","",IFERROR(INDEX($S$5:$S$304,MATCH(C5781,$R$5:$R$304,0))&amp;"","?"))</f>
        <v/>
      </c>
      <c r="N5781" s="2" t="str">
        <f aca="false"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 t="str">
        <f aca="false">IF(OR(F5781="",G5781=""),"",IF(G5781&lt;='RETRATO 2027'!$K$5,"CONCLUÍDA",IF(F5781&lt;='RETRATO 2027'!$K$5,"EM ANDAMENTO","A INICIAR")))</f>
        <v/>
      </c>
    </row>
    <row r="5782" customFormat="false" ht="15" hidden="false" customHeight="false" outlineLevel="0" collapsed="false">
      <c r="M5782" s="2" t="str">
        <f aca="false">IF(C5782="","",IFERROR(INDEX($S$5:$S$304,MATCH(C5782,$R$5:$R$304,0))&amp;"","?"))</f>
        <v/>
      </c>
      <c r="N5782" s="2" t="str">
        <f aca="false"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 t="str">
        <f aca="false">IF(OR(F5782="",G5782=""),"",IF(G5782&lt;='RETRATO 2027'!$K$5,"CONCLUÍDA",IF(F5782&lt;='RETRATO 2027'!$K$5,"EM ANDAMENTO","A INICIAR")))</f>
        <v/>
      </c>
    </row>
    <row r="5783" customFormat="false" ht="15" hidden="false" customHeight="false" outlineLevel="0" collapsed="false">
      <c r="M5783" s="2" t="str">
        <f aca="false">IF(C5783="","",IFERROR(INDEX($S$5:$S$304,MATCH(C5783,$R$5:$R$304,0))&amp;"","?"))</f>
        <v/>
      </c>
      <c r="N5783" s="2" t="str">
        <f aca="false"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 t="str">
        <f aca="false">IF(OR(F5783="",G5783=""),"",IF(G5783&lt;='RETRATO 2027'!$K$5,"CONCLUÍDA",IF(F5783&lt;='RETRATO 2027'!$K$5,"EM ANDAMENTO","A INICIAR")))</f>
        <v/>
      </c>
    </row>
    <row r="5784" customFormat="false" ht="15" hidden="false" customHeight="false" outlineLevel="0" collapsed="false">
      <c r="M5784" s="2" t="str">
        <f aca="false">IF(C5784="","",IFERROR(INDEX($S$5:$S$304,MATCH(C5784,$R$5:$R$304,0))&amp;"","?"))</f>
        <v/>
      </c>
      <c r="N5784" s="2" t="str">
        <f aca="false"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 t="str">
        <f aca="false">IF(OR(F5784="",G5784=""),"",IF(G5784&lt;='RETRATO 2027'!$K$5,"CONCLUÍDA",IF(F5784&lt;='RETRATO 2027'!$K$5,"EM ANDAMENTO","A INICIAR")))</f>
        <v/>
      </c>
    </row>
    <row r="5785" customFormat="false" ht="15" hidden="false" customHeight="false" outlineLevel="0" collapsed="false">
      <c r="M5785" s="2" t="str">
        <f aca="false">IF(C5785="","",IFERROR(INDEX($S$5:$S$304,MATCH(C5785,$R$5:$R$304,0))&amp;"","?"))</f>
        <v/>
      </c>
      <c r="N5785" s="2" t="str">
        <f aca="false"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 t="str">
        <f aca="false">IF(OR(F5785="",G5785=""),"",IF(G5785&lt;='RETRATO 2027'!$K$5,"CONCLUÍDA",IF(F5785&lt;='RETRATO 2027'!$K$5,"EM ANDAMENTO","A INICIAR")))</f>
        <v/>
      </c>
    </row>
    <row r="5786" customFormat="false" ht="15" hidden="false" customHeight="false" outlineLevel="0" collapsed="false">
      <c r="M5786" s="2" t="str">
        <f aca="false">IF(C5786="","",IFERROR(INDEX($S$5:$S$304,MATCH(C5786,$R$5:$R$304,0))&amp;"","?"))</f>
        <v/>
      </c>
      <c r="N5786" s="2" t="str">
        <f aca="false"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 t="str">
        <f aca="false">IF(OR(F5786="",G5786=""),"",IF(G5786&lt;='RETRATO 2027'!$K$5,"CONCLUÍDA",IF(F5786&lt;='RETRATO 2027'!$K$5,"EM ANDAMENTO","A INICIAR")))</f>
        <v/>
      </c>
    </row>
    <row r="5787" customFormat="false" ht="15" hidden="false" customHeight="false" outlineLevel="0" collapsed="false">
      <c r="M5787" s="2" t="str">
        <f aca="false">IF(C5787="","",IFERROR(INDEX($S$5:$S$304,MATCH(C5787,$R$5:$R$304,0))&amp;"","?"))</f>
        <v/>
      </c>
      <c r="N5787" s="2" t="str">
        <f aca="false"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 t="str">
        <f aca="false">IF(OR(F5787="",G5787=""),"",IF(G5787&lt;='RETRATO 2027'!$K$5,"CONCLUÍDA",IF(F5787&lt;='RETRATO 2027'!$K$5,"EM ANDAMENTO","A INICIAR")))</f>
        <v/>
      </c>
    </row>
    <row r="5788" customFormat="false" ht="15" hidden="false" customHeight="false" outlineLevel="0" collapsed="false">
      <c r="M5788" s="2" t="str">
        <f aca="false">IF(C5788="","",IFERROR(INDEX($S$5:$S$304,MATCH(C5788,$R$5:$R$304,0))&amp;"","?"))</f>
        <v/>
      </c>
      <c r="N5788" s="2" t="str">
        <f aca="false"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 t="str">
        <f aca="false">IF(OR(F5788="",G5788=""),"",IF(G5788&lt;='RETRATO 2027'!$K$5,"CONCLUÍDA",IF(F5788&lt;='RETRATO 2027'!$K$5,"EM ANDAMENTO","A INICIAR")))</f>
        <v/>
      </c>
    </row>
    <row r="5789" customFormat="false" ht="15" hidden="false" customHeight="false" outlineLevel="0" collapsed="false">
      <c r="M5789" s="2" t="str">
        <f aca="false">IF(C5789="","",IFERROR(INDEX($S$5:$S$304,MATCH(C5789,$R$5:$R$304,0))&amp;"","?"))</f>
        <v/>
      </c>
      <c r="N5789" s="2" t="str">
        <f aca="false"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 t="str">
        <f aca="false">IF(OR(F5789="",G5789=""),"",IF(G5789&lt;='RETRATO 2027'!$K$5,"CONCLUÍDA",IF(F5789&lt;='RETRATO 2027'!$K$5,"EM ANDAMENTO","A INICIAR")))</f>
        <v/>
      </c>
    </row>
    <row r="5790" customFormat="false" ht="15" hidden="false" customHeight="false" outlineLevel="0" collapsed="false">
      <c r="M5790" s="2" t="str">
        <f aca="false">IF(C5790="","",IFERROR(INDEX($S$5:$S$304,MATCH(C5790,$R$5:$R$304,0))&amp;"","?"))</f>
        <v/>
      </c>
      <c r="N5790" s="2" t="str">
        <f aca="false"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 t="str">
        <f aca="false">IF(OR(F5790="",G5790=""),"",IF(G5790&lt;='RETRATO 2027'!$K$5,"CONCLUÍDA",IF(F5790&lt;='RETRATO 2027'!$K$5,"EM ANDAMENTO","A INICIAR")))</f>
        <v/>
      </c>
    </row>
    <row r="5791" customFormat="false" ht="15" hidden="false" customHeight="false" outlineLevel="0" collapsed="false">
      <c r="M5791" s="2" t="str">
        <f aca="false">IF(C5791="","",IFERROR(INDEX($S$5:$S$304,MATCH(C5791,$R$5:$R$304,0))&amp;"","?"))</f>
        <v/>
      </c>
      <c r="N5791" s="2" t="str">
        <f aca="false"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 t="str">
        <f aca="false">IF(OR(F5791="",G5791=""),"",IF(G5791&lt;='RETRATO 2027'!$K$5,"CONCLUÍDA",IF(F5791&lt;='RETRATO 2027'!$K$5,"EM ANDAMENTO","A INICIAR")))</f>
        <v/>
      </c>
    </row>
    <row r="5792" customFormat="false" ht="15" hidden="false" customHeight="false" outlineLevel="0" collapsed="false">
      <c r="M5792" s="2" t="str">
        <f aca="false">IF(C5792="","",IFERROR(INDEX($S$5:$S$304,MATCH(C5792,$R$5:$R$304,0))&amp;"","?"))</f>
        <v/>
      </c>
      <c r="N5792" s="2" t="str">
        <f aca="false"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 t="str">
        <f aca="false">IF(OR(F5792="",G5792=""),"",IF(G5792&lt;='RETRATO 2027'!$K$5,"CONCLUÍDA",IF(F5792&lt;='RETRATO 2027'!$K$5,"EM ANDAMENTO","A INICIAR")))</f>
        <v/>
      </c>
    </row>
    <row r="5793" customFormat="false" ht="15" hidden="false" customHeight="false" outlineLevel="0" collapsed="false">
      <c r="M5793" s="2" t="str">
        <f aca="false">IF(C5793="","",IFERROR(INDEX($S$5:$S$304,MATCH(C5793,$R$5:$R$304,0))&amp;"","?"))</f>
        <v/>
      </c>
      <c r="N5793" s="2" t="str">
        <f aca="false"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 t="str">
        <f aca="false">IF(OR(F5793="",G5793=""),"",IF(G5793&lt;='RETRATO 2027'!$K$5,"CONCLUÍDA",IF(F5793&lt;='RETRATO 2027'!$K$5,"EM ANDAMENTO","A INICIAR")))</f>
        <v/>
      </c>
    </row>
    <row r="5794" customFormat="false" ht="15" hidden="false" customHeight="false" outlineLevel="0" collapsed="false">
      <c r="M5794" s="2" t="str">
        <f aca="false">IF(C5794="","",IFERROR(INDEX($S$5:$S$304,MATCH(C5794,$R$5:$R$304,0))&amp;"","?"))</f>
        <v/>
      </c>
      <c r="N5794" s="2" t="str">
        <f aca="false"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 t="str">
        <f aca="false">IF(OR(F5794="",G5794=""),"",IF(G5794&lt;='RETRATO 2027'!$K$5,"CONCLUÍDA",IF(F5794&lt;='RETRATO 2027'!$K$5,"EM ANDAMENTO","A INICIAR")))</f>
        <v/>
      </c>
    </row>
    <row r="5795" customFormat="false" ht="15" hidden="false" customHeight="false" outlineLevel="0" collapsed="false">
      <c r="M5795" s="2" t="str">
        <f aca="false">IF(C5795="","",IFERROR(INDEX($S$5:$S$304,MATCH(C5795,$R$5:$R$304,0))&amp;"","?"))</f>
        <v/>
      </c>
      <c r="N5795" s="2" t="str">
        <f aca="false"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 t="str">
        <f aca="false">IF(OR(F5795="",G5795=""),"",IF(G5795&lt;='RETRATO 2027'!$K$5,"CONCLUÍDA",IF(F5795&lt;='RETRATO 2027'!$K$5,"EM ANDAMENTO","A INICIAR")))</f>
        <v/>
      </c>
    </row>
    <row r="5796" customFormat="false" ht="15" hidden="false" customHeight="false" outlineLevel="0" collapsed="false">
      <c r="M5796" s="2" t="str">
        <f aca="false">IF(C5796="","",IFERROR(INDEX($S$5:$S$304,MATCH(C5796,$R$5:$R$304,0))&amp;"","?"))</f>
        <v/>
      </c>
      <c r="N5796" s="2" t="str">
        <f aca="false"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 t="str">
        <f aca="false">IF(OR(F5796="",G5796=""),"",IF(G5796&lt;='RETRATO 2027'!$K$5,"CONCLUÍDA",IF(F5796&lt;='RETRATO 2027'!$K$5,"EM ANDAMENTO","A INICIAR")))</f>
        <v/>
      </c>
    </row>
    <row r="5797" customFormat="false" ht="15" hidden="false" customHeight="false" outlineLevel="0" collapsed="false">
      <c r="M5797" s="2" t="str">
        <f aca="false">IF(C5797="","",IFERROR(INDEX($S$5:$S$304,MATCH(C5797,$R$5:$R$304,0))&amp;"","?"))</f>
        <v/>
      </c>
      <c r="N5797" s="2" t="str">
        <f aca="false"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 t="str">
        <f aca="false">IF(OR(F5797="",G5797=""),"",IF(G5797&lt;='RETRATO 2027'!$K$5,"CONCLUÍDA",IF(F5797&lt;='RETRATO 2027'!$K$5,"EM ANDAMENTO","A INICIAR")))</f>
        <v/>
      </c>
    </row>
    <row r="5798" customFormat="false" ht="15" hidden="false" customHeight="false" outlineLevel="0" collapsed="false">
      <c r="M5798" s="2" t="str">
        <f aca="false">IF(C5798="","",IFERROR(INDEX($S$5:$S$304,MATCH(C5798,$R$5:$R$304,0))&amp;"","?"))</f>
        <v/>
      </c>
      <c r="N5798" s="2" t="str">
        <f aca="false"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 t="str">
        <f aca="false">IF(OR(F5798="",G5798=""),"",IF(G5798&lt;='RETRATO 2027'!$K$5,"CONCLUÍDA",IF(F5798&lt;='RETRATO 2027'!$K$5,"EM ANDAMENTO","A INICIAR")))</f>
        <v/>
      </c>
    </row>
    <row r="5799" customFormat="false" ht="15" hidden="false" customHeight="false" outlineLevel="0" collapsed="false">
      <c r="M5799" s="2" t="str">
        <f aca="false">IF(C5799="","",IFERROR(INDEX($S$5:$S$304,MATCH(C5799,$R$5:$R$304,0))&amp;"","?"))</f>
        <v/>
      </c>
      <c r="N5799" s="2" t="str">
        <f aca="false"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 t="str">
        <f aca="false">IF(OR(F5799="",G5799=""),"",IF(G5799&lt;='RETRATO 2027'!$K$5,"CONCLUÍDA",IF(F5799&lt;='RETRATO 2027'!$K$5,"EM ANDAMENTO","A INICIAR")))</f>
        <v/>
      </c>
    </row>
    <row r="5800" customFormat="false" ht="15" hidden="false" customHeight="false" outlineLevel="0" collapsed="false">
      <c r="M5800" s="2" t="str">
        <f aca="false">IF(C5800="","",IFERROR(INDEX($S$5:$S$304,MATCH(C5800,$R$5:$R$304,0))&amp;"","?"))</f>
        <v/>
      </c>
      <c r="N5800" s="2" t="str">
        <f aca="false"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 t="str">
        <f aca="false">IF(OR(F5800="",G5800=""),"",IF(G5800&lt;='RETRATO 2027'!$K$5,"CONCLUÍDA",IF(F5800&lt;='RETRATO 2027'!$K$5,"EM ANDAMENTO","A INICIAR")))</f>
        <v/>
      </c>
    </row>
    <row r="5801" customFormat="false" ht="15" hidden="false" customHeight="false" outlineLevel="0" collapsed="false">
      <c r="M5801" s="2" t="str">
        <f aca="false">IF(C5801="","",IFERROR(INDEX($S$5:$S$304,MATCH(C5801,$R$5:$R$304,0))&amp;"","?"))</f>
        <v/>
      </c>
      <c r="N5801" s="2" t="str">
        <f aca="false"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 t="str">
        <f aca="false">IF(OR(F5801="",G5801=""),"",IF(G5801&lt;='RETRATO 2027'!$K$5,"CONCLUÍDA",IF(F5801&lt;='RETRATO 2027'!$K$5,"EM ANDAMENTO","A INICIAR")))</f>
        <v/>
      </c>
    </row>
    <row r="5802" customFormat="false" ht="15" hidden="false" customHeight="false" outlineLevel="0" collapsed="false">
      <c r="M5802" s="2" t="str">
        <f aca="false">IF(C5802="","",IFERROR(INDEX($S$5:$S$304,MATCH(C5802,$R$5:$R$304,0))&amp;"","?"))</f>
        <v/>
      </c>
      <c r="N5802" s="2" t="str">
        <f aca="false"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 t="str">
        <f aca="false">IF(OR(F5802="",G5802=""),"",IF(G5802&lt;='RETRATO 2027'!$K$5,"CONCLUÍDA",IF(F5802&lt;='RETRATO 2027'!$K$5,"EM ANDAMENTO","A INICIAR")))</f>
        <v/>
      </c>
    </row>
    <row r="5803" customFormat="false" ht="15" hidden="false" customHeight="false" outlineLevel="0" collapsed="false">
      <c r="M5803" s="2" t="str">
        <f aca="false">IF(C5803="","",IFERROR(INDEX($S$5:$S$304,MATCH(C5803,$R$5:$R$304,0))&amp;"","?"))</f>
        <v/>
      </c>
      <c r="N5803" s="2" t="str">
        <f aca="false"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 t="str">
        <f aca="false">IF(OR(F5803="",G5803=""),"",IF(G5803&lt;='RETRATO 2027'!$K$5,"CONCLUÍDA",IF(F5803&lt;='RETRATO 2027'!$K$5,"EM ANDAMENTO","A INICIAR")))</f>
        <v/>
      </c>
    </row>
    <row r="5804" customFormat="false" ht="15" hidden="false" customHeight="false" outlineLevel="0" collapsed="false">
      <c r="M5804" s="2" t="str">
        <f aca="false">IF(C5804="","",IFERROR(INDEX($S$5:$S$304,MATCH(C5804,$R$5:$R$304,0))&amp;"","?"))</f>
        <v/>
      </c>
      <c r="N5804" s="2" t="str">
        <f aca="false"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 t="str">
        <f aca="false">IF(OR(F5804="",G5804=""),"",IF(G5804&lt;='RETRATO 2027'!$K$5,"CONCLUÍDA",IF(F5804&lt;='RETRATO 2027'!$K$5,"EM ANDAMENTO","A INICIAR")))</f>
        <v/>
      </c>
    </row>
    <row r="5805" customFormat="false" ht="15" hidden="false" customHeight="false" outlineLevel="0" collapsed="false">
      <c r="M5805" s="2" t="str">
        <f aca="false">IF(C5805="","",IFERROR(INDEX($S$5:$S$304,MATCH(C5805,$R$5:$R$304,0))&amp;"","?"))</f>
        <v/>
      </c>
      <c r="N5805" s="2" t="str">
        <f aca="false"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 t="str">
        <f aca="false">IF(OR(F5805="",G5805=""),"",IF(G5805&lt;='RETRATO 2027'!$K$5,"CONCLUÍDA",IF(F5805&lt;='RETRATO 2027'!$K$5,"EM ANDAMENTO","A INICIAR")))</f>
        <v/>
      </c>
    </row>
    <row r="5806" customFormat="false" ht="15" hidden="false" customHeight="false" outlineLevel="0" collapsed="false">
      <c r="M5806" s="2" t="str">
        <f aca="false">IF(C5806="","",IFERROR(INDEX($S$5:$S$304,MATCH(C5806,$R$5:$R$304,0))&amp;"","?"))</f>
        <v/>
      </c>
      <c r="N5806" s="2" t="str">
        <f aca="false"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 t="str">
        <f aca="false">IF(OR(F5806="",G5806=""),"",IF(G5806&lt;='RETRATO 2027'!$K$5,"CONCLUÍDA",IF(F5806&lt;='RETRATO 2027'!$K$5,"EM ANDAMENTO","A INICIAR")))</f>
        <v/>
      </c>
    </row>
    <row r="5807" customFormat="false" ht="15" hidden="false" customHeight="false" outlineLevel="0" collapsed="false">
      <c r="M5807" s="2" t="str">
        <f aca="false">IF(C5807="","",IFERROR(INDEX($S$5:$S$304,MATCH(C5807,$R$5:$R$304,0))&amp;"","?"))</f>
        <v/>
      </c>
      <c r="N5807" s="2" t="str">
        <f aca="false"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 t="str">
        <f aca="false">IF(OR(F5807="",G5807=""),"",IF(G5807&lt;='RETRATO 2027'!$K$5,"CONCLUÍDA",IF(F5807&lt;='RETRATO 2027'!$K$5,"EM ANDAMENTO","A INICIAR")))</f>
        <v/>
      </c>
    </row>
    <row r="5808" customFormat="false" ht="15" hidden="false" customHeight="false" outlineLevel="0" collapsed="false">
      <c r="M5808" s="2" t="str">
        <f aca="false">IF(C5808="","",IFERROR(INDEX($S$5:$S$304,MATCH(C5808,$R$5:$R$304,0))&amp;"","?"))</f>
        <v/>
      </c>
      <c r="N5808" s="2" t="str">
        <f aca="false"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 t="str">
        <f aca="false">IF(OR(F5808="",G5808=""),"",IF(G5808&lt;='RETRATO 2027'!$K$5,"CONCLUÍDA",IF(F5808&lt;='RETRATO 2027'!$K$5,"EM ANDAMENTO","A INICIAR")))</f>
        <v/>
      </c>
    </row>
    <row r="5809" customFormat="false" ht="15" hidden="false" customHeight="false" outlineLevel="0" collapsed="false">
      <c r="M5809" s="2" t="str">
        <f aca="false">IF(C5809="","",IFERROR(INDEX($S$5:$S$304,MATCH(C5809,$R$5:$R$304,0))&amp;"","?"))</f>
        <v/>
      </c>
      <c r="N5809" s="2" t="str">
        <f aca="false"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 t="str">
        <f aca="false">IF(OR(F5809="",G5809=""),"",IF(G5809&lt;='RETRATO 2027'!$K$5,"CONCLUÍDA",IF(F5809&lt;='RETRATO 2027'!$K$5,"EM ANDAMENTO","A INICIAR")))</f>
        <v/>
      </c>
    </row>
    <row r="5810" customFormat="false" ht="15" hidden="false" customHeight="false" outlineLevel="0" collapsed="false">
      <c r="M5810" s="2" t="str">
        <f aca="false">IF(C5810="","",IFERROR(INDEX($S$5:$S$304,MATCH(C5810,$R$5:$R$304,0))&amp;"","?"))</f>
        <v/>
      </c>
      <c r="N5810" s="2" t="str">
        <f aca="false"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 t="str">
        <f aca="false">IF(OR(F5810="",G5810=""),"",IF(G5810&lt;='RETRATO 2027'!$K$5,"CONCLUÍDA",IF(F5810&lt;='RETRATO 2027'!$K$5,"EM ANDAMENTO","A INICIAR")))</f>
        <v/>
      </c>
    </row>
    <row r="5811" customFormat="false" ht="15" hidden="false" customHeight="false" outlineLevel="0" collapsed="false">
      <c r="M5811" s="2" t="str">
        <f aca="false">IF(C5811="","",IFERROR(INDEX($S$5:$S$304,MATCH(C5811,$R$5:$R$304,0))&amp;"","?"))</f>
        <v/>
      </c>
      <c r="N5811" s="2" t="str">
        <f aca="false"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 t="str">
        <f aca="false">IF(OR(F5811="",G5811=""),"",IF(G5811&lt;='RETRATO 2027'!$K$5,"CONCLUÍDA",IF(F5811&lt;='RETRATO 2027'!$K$5,"EM ANDAMENTO","A INICIAR")))</f>
        <v/>
      </c>
    </row>
    <row r="5812" customFormat="false" ht="15" hidden="false" customHeight="false" outlineLevel="0" collapsed="false">
      <c r="M5812" s="2" t="str">
        <f aca="false">IF(C5812="","",IFERROR(INDEX($S$5:$S$304,MATCH(C5812,$R$5:$R$304,0))&amp;"","?"))</f>
        <v/>
      </c>
      <c r="N5812" s="2" t="str">
        <f aca="false"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 t="str">
        <f aca="false">IF(OR(F5812="",G5812=""),"",IF(G5812&lt;='RETRATO 2027'!$K$5,"CONCLUÍDA",IF(F5812&lt;='RETRATO 2027'!$K$5,"EM ANDAMENTO","A INICIAR")))</f>
        <v/>
      </c>
    </row>
    <row r="5813" customFormat="false" ht="15" hidden="false" customHeight="false" outlineLevel="0" collapsed="false">
      <c r="M5813" s="2" t="str">
        <f aca="false">IF(C5813="","",IFERROR(INDEX($S$5:$S$304,MATCH(C5813,$R$5:$R$304,0))&amp;"","?"))</f>
        <v/>
      </c>
      <c r="N5813" s="2" t="str">
        <f aca="false"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 t="str">
        <f aca="false">IF(OR(F5813="",G5813=""),"",IF(G5813&lt;='RETRATO 2027'!$K$5,"CONCLUÍDA",IF(F5813&lt;='RETRATO 2027'!$K$5,"EM ANDAMENTO","A INICIAR")))</f>
        <v/>
      </c>
    </row>
    <row r="5814" customFormat="false" ht="15" hidden="false" customHeight="false" outlineLevel="0" collapsed="false">
      <c r="M5814" s="2" t="str">
        <f aca="false">IF(C5814="","",IFERROR(INDEX($S$5:$S$304,MATCH(C5814,$R$5:$R$304,0))&amp;"","?"))</f>
        <v/>
      </c>
      <c r="N5814" s="2" t="str">
        <f aca="false"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 t="str">
        <f aca="false">IF(OR(F5814="",G5814=""),"",IF(G5814&lt;='RETRATO 2027'!$K$5,"CONCLUÍDA",IF(F5814&lt;='RETRATO 2027'!$K$5,"EM ANDAMENTO","A INICIAR")))</f>
        <v/>
      </c>
    </row>
    <row r="5815" customFormat="false" ht="15" hidden="false" customHeight="false" outlineLevel="0" collapsed="false">
      <c r="M5815" s="2" t="str">
        <f aca="false">IF(C5815="","",IFERROR(INDEX($S$5:$S$304,MATCH(C5815,$R$5:$R$304,0))&amp;"","?"))</f>
        <v/>
      </c>
      <c r="N5815" s="2" t="str">
        <f aca="false"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 t="str">
        <f aca="false">IF(OR(F5815="",G5815=""),"",IF(G5815&lt;='RETRATO 2027'!$K$5,"CONCLUÍDA",IF(F5815&lt;='RETRATO 2027'!$K$5,"EM ANDAMENTO","A INICIAR")))</f>
        <v/>
      </c>
    </row>
    <row r="5816" customFormat="false" ht="15" hidden="false" customHeight="false" outlineLevel="0" collapsed="false">
      <c r="M5816" s="2" t="str">
        <f aca="false">IF(C5816="","",IFERROR(INDEX($S$5:$S$304,MATCH(C5816,$R$5:$R$304,0))&amp;"","?"))</f>
        <v/>
      </c>
      <c r="N5816" s="2" t="str">
        <f aca="false"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 t="str">
        <f aca="false">IF(OR(F5816="",G5816=""),"",IF(G5816&lt;='RETRATO 2027'!$K$5,"CONCLUÍDA",IF(F5816&lt;='RETRATO 2027'!$K$5,"EM ANDAMENTO","A INICIAR")))</f>
        <v/>
      </c>
    </row>
    <row r="5817" customFormat="false" ht="15" hidden="false" customHeight="false" outlineLevel="0" collapsed="false">
      <c r="M5817" s="2" t="str">
        <f aca="false">IF(C5817="","",IFERROR(INDEX($S$5:$S$304,MATCH(C5817,$R$5:$R$304,0))&amp;"","?"))</f>
        <v/>
      </c>
      <c r="N5817" s="2" t="str">
        <f aca="false"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 t="str">
        <f aca="false">IF(OR(F5817="",G5817=""),"",IF(G5817&lt;='RETRATO 2027'!$K$5,"CONCLUÍDA",IF(F5817&lt;='RETRATO 2027'!$K$5,"EM ANDAMENTO","A INICIAR")))</f>
        <v/>
      </c>
    </row>
    <row r="5818" customFormat="false" ht="15" hidden="false" customHeight="false" outlineLevel="0" collapsed="false">
      <c r="M5818" s="2" t="str">
        <f aca="false">IF(C5818="","",IFERROR(INDEX($S$5:$S$304,MATCH(C5818,$R$5:$R$304,0))&amp;"","?"))</f>
        <v/>
      </c>
      <c r="N5818" s="2" t="str">
        <f aca="false"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 t="str">
        <f aca="false">IF(OR(F5818="",G5818=""),"",IF(G5818&lt;='RETRATO 2027'!$K$5,"CONCLUÍDA",IF(F5818&lt;='RETRATO 2027'!$K$5,"EM ANDAMENTO","A INICIAR")))</f>
        <v/>
      </c>
    </row>
    <row r="5819" customFormat="false" ht="15" hidden="false" customHeight="false" outlineLevel="0" collapsed="false">
      <c r="M5819" s="2" t="str">
        <f aca="false">IF(C5819="","",IFERROR(INDEX($S$5:$S$304,MATCH(C5819,$R$5:$R$304,0))&amp;"","?"))</f>
        <v/>
      </c>
      <c r="N5819" s="2" t="str">
        <f aca="false"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 t="str">
        <f aca="false">IF(OR(F5819="",G5819=""),"",IF(G5819&lt;='RETRATO 2027'!$K$5,"CONCLUÍDA",IF(F5819&lt;='RETRATO 2027'!$K$5,"EM ANDAMENTO","A INICIAR")))</f>
        <v/>
      </c>
    </row>
    <row r="5820" customFormat="false" ht="15" hidden="false" customHeight="false" outlineLevel="0" collapsed="false">
      <c r="M5820" s="2" t="str">
        <f aca="false">IF(C5820="","",IFERROR(INDEX($S$5:$S$304,MATCH(C5820,$R$5:$R$304,0))&amp;"","?"))</f>
        <v/>
      </c>
      <c r="N5820" s="2" t="str">
        <f aca="false"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 t="str">
        <f aca="false">IF(OR(F5820="",G5820=""),"",IF(G5820&lt;='RETRATO 2027'!$K$5,"CONCLUÍDA",IF(F5820&lt;='RETRATO 2027'!$K$5,"EM ANDAMENTO","A INICIAR")))</f>
        <v/>
      </c>
    </row>
    <row r="5821" customFormat="false" ht="15" hidden="false" customHeight="false" outlineLevel="0" collapsed="false">
      <c r="M5821" s="2" t="str">
        <f aca="false">IF(C5821="","",IFERROR(INDEX($S$5:$S$304,MATCH(C5821,$R$5:$R$304,0))&amp;"","?"))</f>
        <v/>
      </c>
      <c r="N5821" s="2" t="str">
        <f aca="false"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 t="str">
        <f aca="false">IF(OR(F5821="",G5821=""),"",IF(G5821&lt;='RETRATO 2027'!$K$5,"CONCLUÍDA",IF(F5821&lt;='RETRATO 2027'!$K$5,"EM ANDAMENTO","A INICIAR")))</f>
        <v/>
      </c>
    </row>
    <row r="5822" customFormat="false" ht="15" hidden="false" customHeight="false" outlineLevel="0" collapsed="false">
      <c r="M5822" s="2" t="str">
        <f aca="false">IF(C5822="","",IFERROR(INDEX($S$5:$S$304,MATCH(C5822,$R$5:$R$304,0))&amp;"","?"))</f>
        <v/>
      </c>
      <c r="N5822" s="2" t="str">
        <f aca="false"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 t="str">
        <f aca="false">IF(OR(F5822="",G5822=""),"",IF(G5822&lt;='RETRATO 2027'!$K$5,"CONCLUÍDA",IF(F5822&lt;='RETRATO 2027'!$K$5,"EM ANDAMENTO","A INICIAR")))</f>
        <v/>
      </c>
    </row>
    <row r="5823" customFormat="false" ht="15" hidden="false" customHeight="false" outlineLevel="0" collapsed="false">
      <c r="M5823" s="2" t="str">
        <f aca="false">IF(C5823="","",IFERROR(INDEX($S$5:$S$304,MATCH(C5823,$R$5:$R$304,0))&amp;"","?"))</f>
        <v/>
      </c>
      <c r="N5823" s="2" t="str">
        <f aca="false"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 t="str">
        <f aca="false">IF(OR(F5823="",G5823=""),"",IF(G5823&lt;='RETRATO 2027'!$K$5,"CONCLUÍDA",IF(F5823&lt;='RETRATO 2027'!$K$5,"EM ANDAMENTO","A INICIAR")))</f>
        <v/>
      </c>
    </row>
    <row r="5824" customFormat="false" ht="15" hidden="false" customHeight="false" outlineLevel="0" collapsed="false">
      <c r="M5824" s="2" t="str">
        <f aca="false">IF(C5824="","",IFERROR(INDEX($S$5:$S$304,MATCH(C5824,$R$5:$R$304,0))&amp;"","?"))</f>
        <v/>
      </c>
      <c r="N5824" s="2" t="str">
        <f aca="false"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 t="str">
        <f aca="false">IF(OR(F5824="",G5824=""),"",IF(G5824&lt;='RETRATO 2027'!$K$5,"CONCLUÍDA",IF(F5824&lt;='RETRATO 2027'!$K$5,"EM ANDAMENTO","A INICIAR")))</f>
        <v/>
      </c>
    </row>
    <row r="5825" customFormat="false" ht="15" hidden="false" customHeight="false" outlineLevel="0" collapsed="false">
      <c r="M5825" s="2" t="str">
        <f aca="false">IF(C5825="","",IFERROR(INDEX($S$5:$S$304,MATCH(C5825,$R$5:$R$304,0))&amp;"","?"))</f>
        <v/>
      </c>
      <c r="N5825" s="2" t="str">
        <f aca="false"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 t="str">
        <f aca="false">IF(OR(F5825="",G5825=""),"",IF(G5825&lt;='RETRATO 2027'!$K$5,"CONCLUÍDA",IF(F5825&lt;='RETRATO 2027'!$K$5,"EM ANDAMENTO","A INICIAR")))</f>
        <v/>
      </c>
    </row>
    <row r="5826" customFormat="false" ht="15" hidden="false" customHeight="false" outlineLevel="0" collapsed="false">
      <c r="M5826" s="2" t="str">
        <f aca="false">IF(C5826="","",IFERROR(INDEX($S$5:$S$304,MATCH(C5826,$R$5:$R$304,0))&amp;"","?"))</f>
        <v/>
      </c>
      <c r="N5826" s="2" t="str">
        <f aca="false"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 t="str">
        <f aca="false">IF(OR(F5826="",G5826=""),"",IF(G5826&lt;='RETRATO 2027'!$K$5,"CONCLUÍDA",IF(F5826&lt;='RETRATO 2027'!$K$5,"EM ANDAMENTO","A INICIAR")))</f>
        <v/>
      </c>
    </row>
    <row r="5827" customFormat="false" ht="15" hidden="false" customHeight="false" outlineLevel="0" collapsed="false">
      <c r="M5827" s="2" t="str">
        <f aca="false">IF(C5827="","",IFERROR(INDEX($S$5:$S$304,MATCH(C5827,$R$5:$R$304,0))&amp;"","?"))</f>
        <v/>
      </c>
      <c r="N5827" s="2" t="str">
        <f aca="false"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 t="str">
        <f aca="false">IF(OR(F5827="",G5827=""),"",IF(G5827&lt;='RETRATO 2027'!$K$5,"CONCLUÍDA",IF(F5827&lt;='RETRATO 2027'!$K$5,"EM ANDAMENTO","A INICIAR")))</f>
        <v/>
      </c>
    </row>
    <row r="5828" customFormat="false" ht="15" hidden="false" customHeight="false" outlineLevel="0" collapsed="false">
      <c r="M5828" s="2" t="str">
        <f aca="false">IF(C5828="","",IFERROR(INDEX($S$5:$S$304,MATCH(C5828,$R$5:$R$304,0))&amp;"","?"))</f>
        <v/>
      </c>
      <c r="N5828" s="2" t="str">
        <f aca="false"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 t="str">
        <f aca="false">IF(OR(F5828="",G5828=""),"",IF(G5828&lt;='RETRATO 2027'!$K$5,"CONCLUÍDA",IF(F5828&lt;='RETRATO 2027'!$K$5,"EM ANDAMENTO","A INICIAR")))</f>
        <v/>
      </c>
    </row>
    <row r="5829" customFormat="false" ht="15" hidden="false" customHeight="false" outlineLevel="0" collapsed="false">
      <c r="M5829" s="2" t="str">
        <f aca="false">IF(C5829="","",IFERROR(INDEX($S$5:$S$304,MATCH(C5829,$R$5:$R$304,0))&amp;"","?"))</f>
        <v/>
      </c>
      <c r="N5829" s="2" t="str">
        <f aca="false"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 t="str">
        <f aca="false">IF(OR(F5829="",G5829=""),"",IF(G5829&lt;='RETRATO 2027'!$K$5,"CONCLUÍDA",IF(F5829&lt;='RETRATO 2027'!$K$5,"EM ANDAMENTO","A INICIAR")))</f>
        <v/>
      </c>
    </row>
    <row r="5830" customFormat="false" ht="15" hidden="false" customHeight="false" outlineLevel="0" collapsed="false">
      <c r="M5830" s="2" t="str">
        <f aca="false">IF(C5830="","",IFERROR(INDEX($S$5:$S$304,MATCH(C5830,$R$5:$R$304,0))&amp;"","?"))</f>
        <v/>
      </c>
      <c r="N5830" s="2" t="str">
        <f aca="false"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 t="str">
        <f aca="false">IF(OR(F5830="",G5830=""),"",IF(G5830&lt;='RETRATO 2027'!$K$5,"CONCLUÍDA",IF(F5830&lt;='RETRATO 2027'!$K$5,"EM ANDAMENTO","A INICIAR")))</f>
        <v/>
      </c>
    </row>
    <row r="5831" customFormat="false" ht="15" hidden="false" customHeight="false" outlineLevel="0" collapsed="false">
      <c r="M5831" s="2" t="str">
        <f aca="false">IF(C5831="","",IFERROR(INDEX($S$5:$S$304,MATCH(C5831,$R$5:$R$304,0))&amp;"","?"))</f>
        <v/>
      </c>
      <c r="N5831" s="2" t="str">
        <f aca="false"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 t="str">
        <f aca="false">IF(OR(F5831="",G5831=""),"",IF(G5831&lt;='RETRATO 2027'!$K$5,"CONCLUÍDA",IF(F5831&lt;='RETRATO 2027'!$K$5,"EM ANDAMENTO","A INICIAR")))</f>
        <v/>
      </c>
    </row>
    <row r="5832" customFormat="false" ht="15" hidden="false" customHeight="false" outlineLevel="0" collapsed="false">
      <c r="M5832" s="2" t="str">
        <f aca="false">IF(C5832="","",IFERROR(INDEX($S$5:$S$304,MATCH(C5832,$R$5:$R$304,0))&amp;"","?"))</f>
        <v/>
      </c>
      <c r="N5832" s="2" t="str">
        <f aca="false"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 t="str">
        <f aca="false">IF(OR(F5832="",G5832=""),"",IF(G5832&lt;='RETRATO 2027'!$K$5,"CONCLUÍDA",IF(F5832&lt;='RETRATO 2027'!$K$5,"EM ANDAMENTO","A INICIAR")))</f>
        <v/>
      </c>
    </row>
    <row r="5833" customFormat="false" ht="15" hidden="false" customHeight="false" outlineLevel="0" collapsed="false">
      <c r="M5833" s="2" t="str">
        <f aca="false">IF(C5833="","",IFERROR(INDEX($S$5:$S$304,MATCH(C5833,$R$5:$R$304,0))&amp;"","?"))</f>
        <v/>
      </c>
      <c r="N5833" s="2" t="str">
        <f aca="false"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 t="str">
        <f aca="false">IF(OR(F5833="",G5833=""),"",IF(G5833&lt;='RETRATO 2027'!$K$5,"CONCLUÍDA",IF(F5833&lt;='RETRATO 2027'!$K$5,"EM ANDAMENTO","A INICIAR")))</f>
        <v/>
      </c>
    </row>
    <row r="5834" customFormat="false" ht="15" hidden="false" customHeight="false" outlineLevel="0" collapsed="false">
      <c r="M5834" s="2" t="str">
        <f aca="false">IF(C5834="","",IFERROR(INDEX($S$5:$S$304,MATCH(C5834,$R$5:$R$304,0))&amp;"","?"))</f>
        <v/>
      </c>
      <c r="N5834" s="2" t="str">
        <f aca="false"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 t="str">
        <f aca="false">IF(OR(F5834="",G5834=""),"",IF(G5834&lt;='RETRATO 2027'!$K$5,"CONCLUÍDA",IF(F5834&lt;='RETRATO 2027'!$K$5,"EM ANDAMENTO","A INICIAR")))</f>
        <v/>
      </c>
    </row>
    <row r="5835" customFormat="false" ht="15" hidden="false" customHeight="false" outlineLevel="0" collapsed="false">
      <c r="M5835" s="2" t="str">
        <f aca="false">IF(C5835="","",IFERROR(INDEX($S$5:$S$304,MATCH(C5835,$R$5:$R$304,0))&amp;"","?"))</f>
        <v/>
      </c>
      <c r="N5835" s="2" t="str">
        <f aca="false"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 t="str">
        <f aca="false">IF(OR(F5835="",G5835=""),"",IF(G5835&lt;='RETRATO 2027'!$K$5,"CONCLUÍDA",IF(F5835&lt;='RETRATO 2027'!$K$5,"EM ANDAMENTO","A INICIAR")))</f>
        <v/>
      </c>
    </row>
    <row r="5836" customFormat="false" ht="15" hidden="false" customHeight="false" outlineLevel="0" collapsed="false">
      <c r="M5836" s="2" t="str">
        <f aca="false">IF(C5836="","",IFERROR(INDEX($S$5:$S$304,MATCH(C5836,$R$5:$R$304,0))&amp;"","?"))</f>
        <v/>
      </c>
      <c r="N5836" s="2" t="str">
        <f aca="false"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 t="str">
        <f aca="false">IF(OR(F5836="",G5836=""),"",IF(G5836&lt;='RETRATO 2027'!$K$5,"CONCLUÍDA",IF(F5836&lt;='RETRATO 2027'!$K$5,"EM ANDAMENTO","A INICIAR")))</f>
        <v/>
      </c>
    </row>
    <row r="5837" customFormat="false" ht="15" hidden="false" customHeight="false" outlineLevel="0" collapsed="false">
      <c r="M5837" s="2" t="str">
        <f aca="false">IF(C5837="","",IFERROR(INDEX($S$5:$S$304,MATCH(C5837,$R$5:$R$304,0))&amp;"","?"))</f>
        <v/>
      </c>
      <c r="N5837" s="2" t="str">
        <f aca="false"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 t="str">
        <f aca="false">IF(OR(F5837="",G5837=""),"",IF(G5837&lt;='RETRATO 2027'!$K$5,"CONCLUÍDA",IF(F5837&lt;='RETRATO 2027'!$K$5,"EM ANDAMENTO","A INICIAR")))</f>
        <v/>
      </c>
    </row>
    <row r="5838" customFormat="false" ht="15" hidden="false" customHeight="false" outlineLevel="0" collapsed="false">
      <c r="M5838" s="2" t="str">
        <f aca="false">IF(C5838="","",IFERROR(INDEX($S$5:$S$304,MATCH(C5838,$R$5:$R$304,0))&amp;"","?"))</f>
        <v/>
      </c>
      <c r="N5838" s="2" t="str">
        <f aca="false"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 t="str">
        <f aca="false">IF(OR(F5838="",G5838=""),"",IF(G5838&lt;='RETRATO 2027'!$K$5,"CONCLUÍDA",IF(F5838&lt;='RETRATO 2027'!$K$5,"EM ANDAMENTO","A INICIAR")))</f>
        <v/>
      </c>
    </row>
    <row r="5839" customFormat="false" ht="15" hidden="false" customHeight="false" outlineLevel="0" collapsed="false">
      <c r="M5839" s="2" t="str">
        <f aca="false">IF(C5839="","",IFERROR(INDEX($S$5:$S$304,MATCH(C5839,$R$5:$R$304,0))&amp;"","?"))</f>
        <v/>
      </c>
      <c r="N5839" s="2" t="str">
        <f aca="false"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 t="str">
        <f aca="false">IF(OR(F5839="",G5839=""),"",IF(G5839&lt;='RETRATO 2027'!$K$5,"CONCLUÍDA",IF(F5839&lt;='RETRATO 2027'!$K$5,"EM ANDAMENTO","A INICIAR")))</f>
        <v/>
      </c>
    </row>
    <row r="5840" customFormat="false" ht="15" hidden="false" customHeight="false" outlineLevel="0" collapsed="false">
      <c r="M5840" s="2" t="str">
        <f aca="false">IF(C5840="","",IFERROR(INDEX($S$5:$S$304,MATCH(C5840,$R$5:$R$304,0))&amp;"","?"))</f>
        <v/>
      </c>
      <c r="N5840" s="2" t="str">
        <f aca="false"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 t="str">
        <f aca="false">IF(OR(F5840="",G5840=""),"",IF(G5840&lt;='RETRATO 2027'!$K$5,"CONCLUÍDA",IF(F5840&lt;='RETRATO 2027'!$K$5,"EM ANDAMENTO","A INICIAR")))</f>
        <v/>
      </c>
    </row>
    <row r="5841" customFormat="false" ht="15" hidden="false" customHeight="false" outlineLevel="0" collapsed="false">
      <c r="M5841" s="2" t="str">
        <f aca="false">IF(C5841="","",IFERROR(INDEX($S$5:$S$304,MATCH(C5841,$R$5:$R$304,0))&amp;"","?"))</f>
        <v/>
      </c>
      <c r="N5841" s="2" t="str">
        <f aca="false"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 t="str">
        <f aca="false">IF(OR(F5841="",G5841=""),"",IF(G5841&lt;='RETRATO 2027'!$K$5,"CONCLUÍDA",IF(F5841&lt;='RETRATO 2027'!$K$5,"EM ANDAMENTO","A INICIAR")))</f>
        <v/>
      </c>
    </row>
    <row r="5842" customFormat="false" ht="15" hidden="false" customHeight="false" outlineLevel="0" collapsed="false">
      <c r="M5842" s="2" t="str">
        <f aca="false">IF(C5842="","",IFERROR(INDEX($S$5:$S$304,MATCH(C5842,$R$5:$R$304,0))&amp;"","?"))</f>
        <v/>
      </c>
      <c r="N5842" s="2" t="str">
        <f aca="false"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 t="str">
        <f aca="false">IF(OR(F5842="",G5842=""),"",IF(G5842&lt;='RETRATO 2027'!$K$5,"CONCLUÍDA",IF(F5842&lt;='RETRATO 2027'!$K$5,"EM ANDAMENTO","A INICIAR")))</f>
        <v/>
      </c>
    </row>
    <row r="5843" customFormat="false" ht="15" hidden="false" customHeight="false" outlineLevel="0" collapsed="false">
      <c r="M5843" s="2" t="str">
        <f aca="false">IF(C5843="","",IFERROR(INDEX($S$5:$S$304,MATCH(C5843,$R$5:$R$304,0))&amp;"","?"))</f>
        <v/>
      </c>
      <c r="N5843" s="2" t="str">
        <f aca="false"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 t="str">
        <f aca="false">IF(OR(F5843="",G5843=""),"",IF(G5843&lt;='RETRATO 2027'!$K$5,"CONCLUÍDA",IF(F5843&lt;='RETRATO 2027'!$K$5,"EM ANDAMENTO","A INICIAR")))</f>
        <v/>
      </c>
    </row>
    <row r="5844" customFormat="false" ht="15" hidden="false" customHeight="false" outlineLevel="0" collapsed="false">
      <c r="M5844" s="2" t="str">
        <f aca="false">IF(C5844="","",IFERROR(INDEX($S$5:$S$304,MATCH(C5844,$R$5:$R$304,0))&amp;"","?"))</f>
        <v/>
      </c>
      <c r="N5844" s="2" t="str">
        <f aca="false"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 t="str">
        <f aca="false">IF(OR(F5844="",G5844=""),"",IF(G5844&lt;='RETRATO 2027'!$K$5,"CONCLUÍDA",IF(F5844&lt;='RETRATO 2027'!$K$5,"EM ANDAMENTO","A INICIAR")))</f>
        <v/>
      </c>
    </row>
    <row r="5845" customFormat="false" ht="15" hidden="false" customHeight="false" outlineLevel="0" collapsed="false">
      <c r="M5845" s="2" t="str">
        <f aca="false">IF(C5845="","",IFERROR(INDEX($S$5:$S$304,MATCH(C5845,$R$5:$R$304,0))&amp;"","?"))</f>
        <v/>
      </c>
      <c r="N5845" s="2" t="str">
        <f aca="false"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 t="str">
        <f aca="false">IF(OR(F5845="",G5845=""),"",IF(G5845&lt;='RETRATO 2027'!$K$5,"CONCLUÍDA",IF(F5845&lt;='RETRATO 2027'!$K$5,"EM ANDAMENTO","A INICIAR")))</f>
        <v/>
      </c>
    </row>
    <row r="5846" customFormat="false" ht="15" hidden="false" customHeight="false" outlineLevel="0" collapsed="false">
      <c r="M5846" s="2" t="str">
        <f aca="false">IF(C5846="","",IFERROR(INDEX($S$5:$S$304,MATCH(C5846,$R$5:$R$304,0))&amp;"","?"))</f>
        <v/>
      </c>
      <c r="N5846" s="2" t="str">
        <f aca="false"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 t="str">
        <f aca="false">IF(OR(F5846="",G5846=""),"",IF(G5846&lt;='RETRATO 2027'!$K$5,"CONCLUÍDA",IF(F5846&lt;='RETRATO 2027'!$K$5,"EM ANDAMENTO","A INICIAR")))</f>
        <v/>
      </c>
    </row>
    <row r="5847" customFormat="false" ht="15" hidden="false" customHeight="false" outlineLevel="0" collapsed="false">
      <c r="M5847" s="2" t="str">
        <f aca="false">IF(C5847="","",IFERROR(INDEX($S$5:$S$304,MATCH(C5847,$R$5:$R$304,0))&amp;"","?"))</f>
        <v/>
      </c>
      <c r="N5847" s="2" t="str">
        <f aca="false"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 t="str">
        <f aca="false">IF(OR(F5847="",G5847=""),"",IF(G5847&lt;='RETRATO 2027'!$K$5,"CONCLUÍDA",IF(F5847&lt;='RETRATO 2027'!$K$5,"EM ANDAMENTO","A INICIAR")))</f>
        <v/>
      </c>
    </row>
    <row r="5848" customFormat="false" ht="15" hidden="false" customHeight="false" outlineLevel="0" collapsed="false">
      <c r="M5848" s="2" t="str">
        <f aca="false">IF(C5848="","",IFERROR(INDEX($S$5:$S$304,MATCH(C5848,$R$5:$R$304,0))&amp;"","?"))</f>
        <v/>
      </c>
      <c r="N5848" s="2" t="str">
        <f aca="false"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 t="str">
        <f aca="false">IF(OR(F5848="",G5848=""),"",IF(G5848&lt;='RETRATO 2027'!$K$5,"CONCLUÍDA",IF(F5848&lt;='RETRATO 2027'!$K$5,"EM ANDAMENTO","A INICIAR")))</f>
        <v/>
      </c>
    </row>
    <row r="5849" customFormat="false" ht="15" hidden="false" customHeight="false" outlineLevel="0" collapsed="false">
      <c r="M5849" s="2" t="str">
        <f aca="false">IF(C5849="","",IFERROR(INDEX($S$5:$S$304,MATCH(C5849,$R$5:$R$304,0))&amp;"","?"))</f>
        <v/>
      </c>
      <c r="N5849" s="2" t="str">
        <f aca="false"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 t="str">
        <f aca="false">IF(OR(F5849="",G5849=""),"",IF(G5849&lt;='RETRATO 2027'!$K$5,"CONCLUÍDA",IF(F5849&lt;='RETRATO 2027'!$K$5,"EM ANDAMENTO","A INICIAR")))</f>
        <v/>
      </c>
    </row>
    <row r="5850" customFormat="false" ht="15" hidden="false" customHeight="false" outlineLevel="0" collapsed="false">
      <c r="M5850" s="2" t="str">
        <f aca="false">IF(C5850="","",IFERROR(INDEX($S$5:$S$304,MATCH(C5850,$R$5:$R$304,0))&amp;"","?"))</f>
        <v/>
      </c>
      <c r="N5850" s="2" t="str">
        <f aca="false"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 t="str">
        <f aca="false">IF(OR(F5850="",G5850=""),"",IF(G5850&lt;='RETRATO 2027'!$K$5,"CONCLUÍDA",IF(F5850&lt;='RETRATO 2027'!$K$5,"EM ANDAMENTO","A INICIAR")))</f>
        <v/>
      </c>
    </row>
    <row r="5851" customFormat="false" ht="15" hidden="false" customHeight="false" outlineLevel="0" collapsed="false">
      <c r="M5851" s="2" t="str">
        <f aca="false">IF(C5851="","",IFERROR(INDEX($S$5:$S$304,MATCH(C5851,$R$5:$R$304,0))&amp;"","?"))</f>
        <v/>
      </c>
      <c r="N5851" s="2" t="str">
        <f aca="false"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 t="str">
        <f aca="false">IF(OR(F5851="",G5851=""),"",IF(G5851&lt;='RETRATO 2027'!$K$5,"CONCLUÍDA",IF(F5851&lt;='RETRATO 2027'!$K$5,"EM ANDAMENTO","A INICIAR")))</f>
        <v/>
      </c>
    </row>
    <row r="5852" customFormat="false" ht="15" hidden="false" customHeight="false" outlineLevel="0" collapsed="false">
      <c r="M5852" s="2" t="str">
        <f aca="false">IF(C5852="","",IFERROR(INDEX($S$5:$S$304,MATCH(C5852,$R$5:$R$304,0))&amp;"","?"))</f>
        <v/>
      </c>
      <c r="N5852" s="2" t="str">
        <f aca="false"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 t="str">
        <f aca="false">IF(OR(F5852="",G5852=""),"",IF(G5852&lt;='RETRATO 2027'!$K$5,"CONCLUÍDA",IF(F5852&lt;='RETRATO 2027'!$K$5,"EM ANDAMENTO","A INICIAR")))</f>
        <v/>
      </c>
    </row>
    <row r="5853" customFormat="false" ht="15" hidden="false" customHeight="false" outlineLevel="0" collapsed="false">
      <c r="M5853" s="2" t="str">
        <f aca="false">IF(C5853="","",IFERROR(INDEX($S$5:$S$304,MATCH(C5853,$R$5:$R$304,0))&amp;"","?"))</f>
        <v/>
      </c>
      <c r="N5853" s="2" t="str">
        <f aca="false"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 t="str">
        <f aca="false">IF(OR(F5853="",G5853=""),"",IF(G5853&lt;='RETRATO 2027'!$K$5,"CONCLUÍDA",IF(F5853&lt;='RETRATO 2027'!$K$5,"EM ANDAMENTO","A INICIAR")))</f>
        <v/>
      </c>
    </row>
    <row r="5854" customFormat="false" ht="15" hidden="false" customHeight="false" outlineLevel="0" collapsed="false">
      <c r="M5854" s="2" t="str">
        <f aca="false">IF(C5854="","",IFERROR(INDEX($S$5:$S$304,MATCH(C5854,$R$5:$R$304,0))&amp;"","?"))</f>
        <v/>
      </c>
      <c r="N5854" s="2" t="str">
        <f aca="false"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 t="str">
        <f aca="false">IF(OR(F5854="",G5854=""),"",IF(G5854&lt;='RETRATO 2027'!$K$5,"CONCLUÍDA",IF(F5854&lt;='RETRATO 2027'!$K$5,"EM ANDAMENTO","A INICIAR")))</f>
        <v/>
      </c>
    </row>
    <row r="5855" customFormat="false" ht="15" hidden="false" customHeight="false" outlineLevel="0" collapsed="false">
      <c r="M5855" s="2" t="str">
        <f aca="false">IF(C5855="","",IFERROR(INDEX($S$5:$S$304,MATCH(C5855,$R$5:$R$304,0))&amp;"","?"))</f>
        <v/>
      </c>
      <c r="N5855" s="2" t="str">
        <f aca="false"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 t="str">
        <f aca="false">IF(OR(F5855="",G5855=""),"",IF(G5855&lt;='RETRATO 2027'!$K$5,"CONCLUÍDA",IF(F5855&lt;='RETRATO 2027'!$K$5,"EM ANDAMENTO","A INICIAR")))</f>
        <v/>
      </c>
    </row>
    <row r="5856" customFormat="false" ht="15" hidden="false" customHeight="false" outlineLevel="0" collapsed="false">
      <c r="M5856" s="2" t="str">
        <f aca="false">IF(C5856="","",IFERROR(INDEX($S$5:$S$304,MATCH(C5856,$R$5:$R$304,0))&amp;"","?"))</f>
        <v/>
      </c>
      <c r="N5856" s="2" t="str">
        <f aca="false"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 t="str">
        <f aca="false">IF(OR(F5856="",G5856=""),"",IF(G5856&lt;='RETRATO 2027'!$K$5,"CONCLUÍDA",IF(F5856&lt;='RETRATO 2027'!$K$5,"EM ANDAMENTO","A INICIAR")))</f>
        <v/>
      </c>
    </row>
    <row r="5857" customFormat="false" ht="15" hidden="false" customHeight="false" outlineLevel="0" collapsed="false">
      <c r="M5857" s="2" t="str">
        <f aca="false">IF(C5857="","",IFERROR(INDEX($S$5:$S$304,MATCH(C5857,$R$5:$R$304,0))&amp;"","?"))</f>
        <v/>
      </c>
      <c r="N5857" s="2" t="str">
        <f aca="false"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 t="str">
        <f aca="false">IF(OR(F5857="",G5857=""),"",IF(G5857&lt;='RETRATO 2027'!$K$5,"CONCLUÍDA",IF(F5857&lt;='RETRATO 2027'!$K$5,"EM ANDAMENTO","A INICIAR")))</f>
        <v/>
      </c>
    </row>
    <row r="5858" customFormat="false" ht="15" hidden="false" customHeight="false" outlineLevel="0" collapsed="false">
      <c r="M5858" s="2" t="str">
        <f aca="false">IF(C5858="","",IFERROR(INDEX($S$5:$S$304,MATCH(C5858,$R$5:$R$304,0))&amp;"","?"))</f>
        <v/>
      </c>
      <c r="N5858" s="2" t="str">
        <f aca="false"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 t="str">
        <f aca="false">IF(OR(F5858="",G5858=""),"",IF(G5858&lt;='RETRATO 2027'!$K$5,"CONCLUÍDA",IF(F5858&lt;='RETRATO 2027'!$K$5,"EM ANDAMENTO","A INICIAR")))</f>
        <v/>
      </c>
    </row>
    <row r="5859" customFormat="false" ht="15" hidden="false" customHeight="false" outlineLevel="0" collapsed="false">
      <c r="M5859" s="2" t="str">
        <f aca="false">IF(C5859="","",IFERROR(INDEX($S$5:$S$304,MATCH(C5859,$R$5:$R$304,0))&amp;"","?"))</f>
        <v/>
      </c>
      <c r="N5859" s="2" t="str">
        <f aca="false"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 t="str">
        <f aca="false">IF(OR(F5859="",G5859=""),"",IF(G5859&lt;='RETRATO 2027'!$K$5,"CONCLUÍDA",IF(F5859&lt;='RETRATO 2027'!$K$5,"EM ANDAMENTO","A INICIAR")))</f>
        <v/>
      </c>
    </row>
    <row r="5860" customFormat="false" ht="15" hidden="false" customHeight="false" outlineLevel="0" collapsed="false">
      <c r="M5860" s="2" t="str">
        <f aca="false">IF(C5860="","",IFERROR(INDEX($S$5:$S$304,MATCH(C5860,$R$5:$R$304,0))&amp;"","?"))</f>
        <v/>
      </c>
      <c r="N5860" s="2" t="str">
        <f aca="false"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 t="str">
        <f aca="false">IF(OR(F5860="",G5860=""),"",IF(G5860&lt;='RETRATO 2027'!$K$5,"CONCLUÍDA",IF(F5860&lt;='RETRATO 2027'!$K$5,"EM ANDAMENTO","A INICIAR")))</f>
        <v/>
      </c>
    </row>
    <row r="5861" customFormat="false" ht="15" hidden="false" customHeight="false" outlineLevel="0" collapsed="false">
      <c r="M5861" s="2" t="str">
        <f aca="false">IF(C5861="","",IFERROR(INDEX($S$5:$S$304,MATCH(C5861,$R$5:$R$304,0))&amp;"","?"))</f>
        <v/>
      </c>
      <c r="N5861" s="2" t="str">
        <f aca="false"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 t="str">
        <f aca="false">IF(OR(F5861="",G5861=""),"",IF(G5861&lt;='RETRATO 2027'!$K$5,"CONCLUÍDA",IF(F5861&lt;='RETRATO 2027'!$K$5,"EM ANDAMENTO","A INICIAR")))</f>
        <v/>
      </c>
    </row>
    <row r="5862" customFormat="false" ht="15" hidden="false" customHeight="false" outlineLevel="0" collapsed="false">
      <c r="M5862" s="2" t="str">
        <f aca="false">IF(C5862="","",IFERROR(INDEX($S$5:$S$304,MATCH(C5862,$R$5:$R$304,0))&amp;"","?"))</f>
        <v/>
      </c>
      <c r="N5862" s="2" t="str">
        <f aca="false"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 t="str">
        <f aca="false">IF(OR(F5862="",G5862=""),"",IF(G5862&lt;='RETRATO 2027'!$K$5,"CONCLUÍDA",IF(F5862&lt;='RETRATO 2027'!$K$5,"EM ANDAMENTO","A INICIAR")))</f>
        <v/>
      </c>
    </row>
    <row r="5863" customFormat="false" ht="15" hidden="false" customHeight="false" outlineLevel="0" collapsed="false">
      <c r="M5863" s="2" t="str">
        <f aca="false">IF(C5863="","",IFERROR(INDEX($S$5:$S$304,MATCH(C5863,$R$5:$R$304,0))&amp;"","?"))</f>
        <v/>
      </c>
      <c r="N5863" s="2" t="str">
        <f aca="false"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 t="str">
        <f aca="false">IF(OR(F5863="",G5863=""),"",IF(G5863&lt;='RETRATO 2027'!$K$5,"CONCLUÍDA",IF(F5863&lt;='RETRATO 2027'!$K$5,"EM ANDAMENTO","A INICIAR")))</f>
        <v/>
      </c>
    </row>
    <row r="5864" customFormat="false" ht="15" hidden="false" customHeight="false" outlineLevel="0" collapsed="false">
      <c r="M5864" s="2" t="str">
        <f aca="false">IF(C5864="","",IFERROR(INDEX($S$5:$S$304,MATCH(C5864,$R$5:$R$304,0))&amp;"","?"))</f>
        <v/>
      </c>
      <c r="N5864" s="2" t="str">
        <f aca="false"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 t="str">
        <f aca="false">IF(OR(F5864="",G5864=""),"",IF(G5864&lt;='RETRATO 2027'!$K$5,"CONCLUÍDA",IF(F5864&lt;='RETRATO 2027'!$K$5,"EM ANDAMENTO","A INICIAR")))</f>
        <v/>
      </c>
    </row>
    <row r="5865" customFormat="false" ht="15" hidden="false" customHeight="false" outlineLevel="0" collapsed="false">
      <c r="M5865" s="2" t="str">
        <f aca="false">IF(C5865="","",IFERROR(INDEX($S$5:$S$304,MATCH(C5865,$R$5:$R$304,0))&amp;"","?"))</f>
        <v/>
      </c>
      <c r="N5865" s="2" t="str">
        <f aca="false"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 t="str">
        <f aca="false">IF(OR(F5865="",G5865=""),"",IF(G5865&lt;='RETRATO 2027'!$K$5,"CONCLUÍDA",IF(F5865&lt;='RETRATO 2027'!$K$5,"EM ANDAMENTO","A INICIAR")))</f>
        <v/>
      </c>
    </row>
    <row r="5866" customFormat="false" ht="15" hidden="false" customHeight="false" outlineLevel="0" collapsed="false">
      <c r="M5866" s="2" t="str">
        <f aca="false">IF(C5866="","",IFERROR(INDEX($S$5:$S$304,MATCH(C5866,$R$5:$R$304,0))&amp;"","?"))</f>
        <v/>
      </c>
      <c r="N5866" s="2" t="str">
        <f aca="false"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 t="str">
        <f aca="false">IF(OR(F5866="",G5866=""),"",IF(G5866&lt;='RETRATO 2027'!$K$5,"CONCLUÍDA",IF(F5866&lt;='RETRATO 2027'!$K$5,"EM ANDAMENTO","A INICIAR")))</f>
        <v/>
      </c>
    </row>
    <row r="5867" customFormat="false" ht="15" hidden="false" customHeight="false" outlineLevel="0" collapsed="false">
      <c r="M5867" s="2" t="str">
        <f aca="false">IF(C5867="","",IFERROR(INDEX($S$5:$S$304,MATCH(C5867,$R$5:$R$304,0))&amp;"","?"))</f>
        <v/>
      </c>
      <c r="N5867" s="2" t="str">
        <f aca="false"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 t="str">
        <f aca="false">IF(OR(F5867="",G5867=""),"",IF(G5867&lt;='RETRATO 2027'!$K$5,"CONCLUÍDA",IF(F5867&lt;='RETRATO 2027'!$K$5,"EM ANDAMENTO","A INICIAR")))</f>
        <v/>
      </c>
    </row>
    <row r="5868" customFormat="false" ht="15" hidden="false" customHeight="false" outlineLevel="0" collapsed="false">
      <c r="M5868" s="2" t="str">
        <f aca="false">IF(C5868="","",IFERROR(INDEX($S$5:$S$304,MATCH(C5868,$R$5:$R$304,0))&amp;"","?"))</f>
        <v/>
      </c>
      <c r="N5868" s="2" t="str">
        <f aca="false"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 t="str">
        <f aca="false">IF(OR(F5868="",G5868=""),"",IF(G5868&lt;='RETRATO 2027'!$K$5,"CONCLUÍDA",IF(F5868&lt;='RETRATO 2027'!$K$5,"EM ANDAMENTO","A INICIAR")))</f>
        <v/>
      </c>
    </row>
    <row r="5869" customFormat="false" ht="15" hidden="false" customHeight="false" outlineLevel="0" collapsed="false">
      <c r="M5869" s="2" t="str">
        <f aca="false">IF(C5869="","",IFERROR(INDEX($S$5:$S$304,MATCH(C5869,$R$5:$R$304,0))&amp;"","?"))</f>
        <v/>
      </c>
      <c r="N5869" s="2" t="str">
        <f aca="false"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 t="str">
        <f aca="false">IF(OR(F5869="",G5869=""),"",IF(G5869&lt;='RETRATO 2027'!$K$5,"CONCLUÍDA",IF(F5869&lt;='RETRATO 2027'!$K$5,"EM ANDAMENTO","A INICIAR")))</f>
        <v/>
      </c>
    </row>
    <row r="5870" customFormat="false" ht="15" hidden="false" customHeight="false" outlineLevel="0" collapsed="false">
      <c r="M5870" s="2" t="str">
        <f aca="false">IF(C5870="","",IFERROR(INDEX($S$5:$S$304,MATCH(C5870,$R$5:$R$304,0))&amp;"","?"))</f>
        <v/>
      </c>
      <c r="N5870" s="2" t="str">
        <f aca="false"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 t="str">
        <f aca="false">IF(OR(F5870="",G5870=""),"",IF(G5870&lt;='RETRATO 2027'!$K$5,"CONCLUÍDA",IF(F5870&lt;='RETRATO 2027'!$K$5,"EM ANDAMENTO","A INICIAR")))</f>
        <v/>
      </c>
    </row>
    <row r="5871" customFormat="false" ht="15" hidden="false" customHeight="false" outlineLevel="0" collapsed="false">
      <c r="M5871" s="2" t="str">
        <f aca="false">IF(C5871="","",IFERROR(INDEX($S$5:$S$304,MATCH(C5871,$R$5:$R$304,0))&amp;"","?"))</f>
        <v/>
      </c>
      <c r="N5871" s="2" t="str">
        <f aca="false"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 t="str">
        <f aca="false">IF(OR(F5871="",G5871=""),"",IF(G5871&lt;='RETRATO 2027'!$K$5,"CONCLUÍDA",IF(F5871&lt;='RETRATO 2027'!$K$5,"EM ANDAMENTO","A INICIAR")))</f>
        <v/>
      </c>
    </row>
    <row r="5872" customFormat="false" ht="15" hidden="false" customHeight="false" outlineLevel="0" collapsed="false">
      <c r="M5872" s="2" t="str">
        <f aca="false">IF(C5872="","",IFERROR(INDEX($S$5:$S$304,MATCH(C5872,$R$5:$R$304,0))&amp;"","?"))</f>
        <v/>
      </c>
      <c r="N5872" s="2" t="str">
        <f aca="false"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 t="str">
        <f aca="false">IF(OR(F5872="",G5872=""),"",IF(G5872&lt;='RETRATO 2027'!$K$5,"CONCLUÍDA",IF(F5872&lt;='RETRATO 2027'!$K$5,"EM ANDAMENTO","A INICIAR")))</f>
        <v/>
      </c>
    </row>
    <row r="5873" customFormat="false" ht="15" hidden="false" customHeight="false" outlineLevel="0" collapsed="false">
      <c r="M5873" s="2" t="str">
        <f aca="false">IF(C5873="","",IFERROR(INDEX($S$5:$S$304,MATCH(C5873,$R$5:$R$304,0))&amp;"","?"))</f>
        <v/>
      </c>
      <c r="N5873" s="2" t="str">
        <f aca="false"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 t="str">
        <f aca="false">IF(OR(F5873="",G5873=""),"",IF(G5873&lt;='RETRATO 2027'!$K$5,"CONCLUÍDA",IF(F5873&lt;='RETRATO 2027'!$K$5,"EM ANDAMENTO","A INICIAR")))</f>
        <v/>
      </c>
    </row>
    <row r="5874" customFormat="false" ht="15" hidden="false" customHeight="false" outlineLevel="0" collapsed="false">
      <c r="M5874" s="2" t="str">
        <f aca="false">IF(C5874="","",IFERROR(INDEX($S$5:$S$304,MATCH(C5874,$R$5:$R$304,0))&amp;"","?"))</f>
        <v/>
      </c>
      <c r="N5874" s="2" t="str">
        <f aca="false"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 t="str">
        <f aca="false">IF(OR(F5874="",G5874=""),"",IF(G5874&lt;='RETRATO 2027'!$K$5,"CONCLUÍDA",IF(F5874&lt;='RETRATO 2027'!$K$5,"EM ANDAMENTO","A INICIAR")))</f>
        <v/>
      </c>
    </row>
    <row r="5875" customFormat="false" ht="15" hidden="false" customHeight="false" outlineLevel="0" collapsed="false">
      <c r="M5875" s="2" t="str">
        <f aca="false">IF(C5875="","",IFERROR(INDEX($S$5:$S$304,MATCH(C5875,$R$5:$R$304,0))&amp;"","?"))</f>
        <v/>
      </c>
      <c r="N5875" s="2" t="str">
        <f aca="false"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 t="str">
        <f aca="false">IF(OR(F5875="",G5875=""),"",IF(G5875&lt;='RETRATO 2027'!$K$5,"CONCLUÍDA",IF(F5875&lt;='RETRATO 2027'!$K$5,"EM ANDAMENTO","A INICIAR")))</f>
        <v/>
      </c>
    </row>
    <row r="5876" customFormat="false" ht="15" hidden="false" customHeight="false" outlineLevel="0" collapsed="false">
      <c r="M5876" s="2" t="str">
        <f aca="false">IF(C5876="","",IFERROR(INDEX($S$5:$S$304,MATCH(C5876,$R$5:$R$304,0))&amp;"","?"))</f>
        <v/>
      </c>
      <c r="N5876" s="2" t="str">
        <f aca="false"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 t="str">
        <f aca="false">IF(OR(F5876="",G5876=""),"",IF(G5876&lt;='RETRATO 2027'!$K$5,"CONCLUÍDA",IF(F5876&lt;='RETRATO 2027'!$K$5,"EM ANDAMENTO","A INICIAR")))</f>
        <v/>
      </c>
    </row>
    <row r="5877" customFormat="false" ht="15" hidden="false" customHeight="false" outlineLevel="0" collapsed="false">
      <c r="M5877" s="2" t="str">
        <f aca="false">IF(C5877="","",IFERROR(INDEX($S$5:$S$304,MATCH(C5877,$R$5:$R$304,0))&amp;"","?"))</f>
        <v/>
      </c>
      <c r="N5877" s="2" t="str">
        <f aca="false"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 t="str">
        <f aca="false">IF(OR(F5877="",G5877=""),"",IF(G5877&lt;='RETRATO 2027'!$K$5,"CONCLUÍDA",IF(F5877&lt;='RETRATO 2027'!$K$5,"EM ANDAMENTO","A INICIAR")))</f>
        <v/>
      </c>
    </row>
    <row r="5878" customFormat="false" ht="15" hidden="false" customHeight="false" outlineLevel="0" collapsed="false">
      <c r="M5878" s="2" t="str">
        <f aca="false">IF(C5878="","",IFERROR(INDEX($S$5:$S$304,MATCH(C5878,$R$5:$R$304,0))&amp;"","?"))</f>
        <v/>
      </c>
      <c r="N5878" s="2" t="str">
        <f aca="false"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 t="str">
        <f aca="false">IF(OR(F5878="",G5878=""),"",IF(G5878&lt;='RETRATO 2027'!$K$5,"CONCLUÍDA",IF(F5878&lt;='RETRATO 2027'!$K$5,"EM ANDAMENTO","A INICIAR")))</f>
        <v/>
      </c>
    </row>
    <row r="5879" customFormat="false" ht="15" hidden="false" customHeight="false" outlineLevel="0" collapsed="false">
      <c r="M5879" s="2" t="str">
        <f aca="false">IF(C5879="","",IFERROR(INDEX($S$5:$S$304,MATCH(C5879,$R$5:$R$304,0))&amp;"","?"))</f>
        <v/>
      </c>
      <c r="N5879" s="2" t="str">
        <f aca="false"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 t="str">
        <f aca="false">IF(OR(F5879="",G5879=""),"",IF(G5879&lt;='RETRATO 2027'!$K$5,"CONCLUÍDA",IF(F5879&lt;='RETRATO 2027'!$K$5,"EM ANDAMENTO","A INICIAR")))</f>
        <v/>
      </c>
    </row>
    <row r="5880" customFormat="false" ht="15" hidden="false" customHeight="false" outlineLevel="0" collapsed="false">
      <c r="M5880" s="2" t="str">
        <f aca="false">IF(C5880="","",IFERROR(INDEX($S$5:$S$304,MATCH(C5880,$R$5:$R$304,0))&amp;"","?"))</f>
        <v/>
      </c>
      <c r="N5880" s="2" t="str">
        <f aca="false"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 t="str">
        <f aca="false">IF(OR(F5880="",G5880=""),"",IF(G5880&lt;='RETRATO 2027'!$K$5,"CONCLUÍDA",IF(F5880&lt;='RETRATO 2027'!$K$5,"EM ANDAMENTO","A INICIAR")))</f>
        <v/>
      </c>
    </row>
    <row r="5881" customFormat="false" ht="15" hidden="false" customHeight="false" outlineLevel="0" collapsed="false">
      <c r="M5881" s="2" t="str">
        <f aca="false">IF(C5881="","",IFERROR(INDEX($S$5:$S$304,MATCH(C5881,$R$5:$R$304,0))&amp;"","?"))</f>
        <v/>
      </c>
      <c r="N5881" s="2" t="str">
        <f aca="false"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 t="str">
        <f aca="false">IF(OR(F5881="",G5881=""),"",IF(G5881&lt;='RETRATO 2027'!$K$5,"CONCLUÍDA",IF(F5881&lt;='RETRATO 2027'!$K$5,"EM ANDAMENTO","A INICIAR")))</f>
        <v/>
      </c>
    </row>
    <row r="5882" customFormat="false" ht="15" hidden="false" customHeight="false" outlineLevel="0" collapsed="false">
      <c r="M5882" s="2" t="str">
        <f aca="false">IF(C5882="","",IFERROR(INDEX($S$5:$S$304,MATCH(C5882,$R$5:$R$304,0))&amp;"","?"))</f>
        <v/>
      </c>
      <c r="N5882" s="2" t="str">
        <f aca="false"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 t="str">
        <f aca="false">IF(OR(F5882="",G5882=""),"",IF(G5882&lt;='RETRATO 2027'!$K$5,"CONCLUÍDA",IF(F5882&lt;='RETRATO 2027'!$K$5,"EM ANDAMENTO","A INICIAR")))</f>
        <v/>
      </c>
    </row>
    <row r="5883" customFormat="false" ht="15" hidden="false" customHeight="false" outlineLevel="0" collapsed="false">
      <c r="M5883" s="2" t="str">
        <f aca="false">IF(C5883="","",IFERROR(INDEX($S$5:$S$304,MATCH(C5883,$R$5:$R$304,0))&amp;"","?"))</f>
        <v/>
      </c>
      <c r="N5883" s="2" t="str">
        <f aca="false"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 t="str">
        <f aca="false">IF(OR(F5883="",G5883=""),"",IF(G5883&lt;='RETRATO 2027'!$K$5,"CONCLUÍDA",IF(F5883&lt;='RETRATO 2027'!$K$5,"EM ANDAMENTO","A INICIAR")))</f>
        <v/>
      </c>
    </row>
    <row r="5884" customFormat="false" ht="15" hidden="false" customHeight="false" outlineLevel="0" collapsed="false">
      <c r="M5884" s="2" t="str">
        <f aca="false">IF(C5884="","",IFERROR(INDEX($S$5:$S$304,MATCH(C5884,$R$5:$R$304,0))&amp;"","?"))</f>
        <v/>
      </c>
      <c r="N5884" s="2" t="str">
        <f aca="false"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 t="str">
        <f aca="false">IF(OR(F5884="",G5884=""),"",IF(G5884&lt;='RETRATO 2027'!$K$5,"CONCLUÍDA",IF(F5884&lt;='RETRATO 2027'!$K$5,"EM ANDAMENTO","A INICIAR")))</f>
        <v/>
      </c>
    </row>
    <row r="5885" customFormat="false" ht="15" hidden="false" customHeight="false" outlineLevel="0" collapsed="false">
      <c r="M5885" s="2" t="str">
        <f aca="false">IF(C5885="","",IFERROR(INDEX($S$5:$S$304,MATCH(C5885,$R$5:$R$304,0))&amp;"","?"))</f>
        <v/>
      </c>
      <c r="N5885" s="2" t="str">
        <f aca="false"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 t="str">
        <f aca="false">IF(OR(F5885="",G5885=""),"",IF(G5885&lt;='RETRATO 2027'!$K$5,"CONCLUÍDA",IF(F5885&lt;='RETRATO 2027'!$K$5,"EM ANDAMENTO","A INICIAR")))</f>
        <v/>
      </c>
    </row>
    <row r="5886" customFormat="false" ht="15" hidden="false" customHeight="false" outlineLevel="0" collapsed="false">
      <c r="M5886" s="2" t="str">
        <f aca="false">IF(C5886="","",IFERROR(INDEX($S$5:$S$304,MATCH(C5886,$R$5:$R$304,0))&amp;"","?"))</f>
        <v/>
      </c>
      <c r="N5886" s="2" t="str">
        <f aca="false"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 t="str">
        <f aca="false">IF(OR(F5886="",G5886=""),"",IF(G5886&lt;='RETRATO 2027'!$K$5,"CONCLUÍDA",IF(F5886&lt;='RETRATO 2027'!$K$5,"EM ANDAMENTO","A INICIAR")))</f>
        <v/>
      </c>
    </row>
    <row r="5887" customFormat="false" ht="15" hidden="false" customHeight="false" outlineLevel="0" collapsed="false">
      <c r="M5887" s="2" t="str">
        <f aca="false">IF(C5887="","",IFERROR(INDEX($S$5:$S$304,MATCH(C5887,$R$5:$R$304,0))&amp;"","?"))</f>
        <v/>
      </c>
      <c r="N5887" s="2" t="str">
        <f aca="false"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 t="str">
        <f aca="false">IF(OR(F5887="",G5887=""),"",IF(G5887&lt;='RETRATO 2027'!$K$5,"CONCLUÍDA",IF(F5887&lt;='RETRATO 2027'!$K$5,"EM ANDAMENTO","A INICIAR")))</f>
        <v/>
      </c>
    </row>
    <row r="5888" customFormat="false" ht="15" hidden="false" customHeight="false" outlineLevel="0" collapsed="false">
      <c r="M5888" s="2" t="str">
        <f aca="false">IF(C5888="","",IFERROR(INDEX($S$5:$S$304,MATCH(C5888,$R$5:$R$304,0))&amp;"","?"))</f>
        <v/>
      </c>
      <c r="N5888" s="2" t="str">
        <f aca="false"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 t="str">
        <f aca="false">IF(OR(F5888="",G5888=""),"",IF(G5888&lt;='RETRATO 2027'!$K$5,"CONCLUÍDA",IF(F5888&lt;='RETRATO 2027'!$K$5,"EM ANDAMENTO","A INICIAR")))</f>
        <v/>
      </c>
    </row>
    <row r="5889" customFormat="false" ht="15" hidden="false" customHeight="false" outlineLevel="0" collapsed="false">
      <c r="M5889" s="2" t="str">
        <f aca="false">IF(C5889="","",IFERROR(INDEX($S$5:$S$304,MATCH(C5889,$R$5:$R$304,0))&amp;"","?"))</f>
        <v/>
      </c>
      <c r="N5889" s="2" t="str">
        <f aca="false"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 t="str">
        <f aca="false">IF(OR(F5889="",G5889=""),"",IF(G5889&lt;='RETRATO 2027'!$K$5,"CONCLUÍDA",IF(F5889&lt;='RETRATO 2027'!$K$5,"EM ANDAMENTO","A INICIAR")))</f>
        <v/>
      </c>
    </row>
    <row r="5890" customFormat="false" ht="15" hidden="false" customHeight="false" outlineLevel="0" collapsed="false">
      <c r="M5890" s="2" t="str">
        <f aca="false">IF(C5890="","",IFERROR(INDEX($S$5:$S$304,MATCH(C5890,$R$5:$R$304,0))&amp;"","?"))</f>
        <v/>
      </c>
      <c r="N5890" s="2" t="str">
        <f aca="false"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 t="str">
        <f aca="false">IF(OR(F5890="",G5890=""),"",IF(G5890&lt;='RETRATO 2027'!$K$5,"CONCLUÍDA",IF(F5890&lt;='RETRATO 2027'!$K$5,"EM ANDAMENTO","A INICIAR")))</f>
        <v/>
      </c>
    </row>
    <row r="5891" customFormat="false" ht="15" hidden="false" customHeight="false" outlineLevel="0" collapsed="false">
      <c r="M5891" s="2" t="str">
        <f aca="false">IF(C5891="","",IFERROR(INDEX($S$5:$S$304,MATCH(C5891,$R$5:$R$304,0))&amp;"","?"))</f>
        <v/>
      </c>
      <c r="N5891" s="2" t="str">
        <f aca="false"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 t="str">
        <f aca="false">IF(OR(F5891="",G5891=""),"",IF(G5891&lt;='RETRATO 2027'!$K$5,"CONCLUÍDA",IF(F5891&lt;='RETRATO 2027'!$K$5,"EM ANDAMENTO","A INICIAR")))</f>
        <v/>
      </c>
    </row>
    <row r="5892" customFormat="false" ht="15" hidden="false" customHeight="false" outlineLevel="0" collapsed="false">
      <c r="M5892" s="2" t="str">
        <f aca="false">IF(C5892="","",IFERROR(INDEX($S$5:$S$304,MATCH(C5892,$R$5:$R$304,0))&amp;"","?"))</f>
        <v/>
      </c>
      <c r="N5892" s="2" t="str">
        <f aca="false"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 t="str">
        <f aca="false">IF(OR(F5892="",G5892=""),"",IF(G5892&lt;='RETRATO 2027'!$K$5,"CONCLUÍDA",IF(F5892&lt;='RETRATO 2027'!$K$5,"EM ANDAMENTO","A INICIAR")))</f>
        <v/>
      </c>
    </row>
    <row r="5893" customFormat="false" ht="15" hidden="false" customHeight="false" outlineLevel="0" collapsed="false">
      <c r="M5893" s="2" t="str">
        <f aca="false">IF(C5893="","",IFERROR(INDEX($S$5:$S$304,MATCH(C5893,$R$5:$R$304,0))&amp;"","?"))</f>
        <v/>
      </c>
      <c r="N5893" s="2" t="str">
        <f aca="false"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 t="str">
        <f aca="false">IF(OR(F5893="",G5893=""),"",IF(G5893&lt;='RETRATO 2027'!$K$5,"CONCLUÍDA",IF(F5893&lt;='RETRATO 2027'!$K$5,"EM ANDAMENTO","A INICIAR")))</f>
        <v/>
      </c>
    </row>
    <row r="5894" customFormat="false" ht="15" hidden="false" customHeight="false" outlineLevel="0" collapsed="false">
      <c r="M5894" s="2" t="str">
        <f aca="false">IF(C5894="","",IFERROR(INDEX($S$5:$S$304,MATCH(C5894,$R$5:$R$304,0))&amp;"","?"))</f>
        <v/>
      </c>
      <c r="N5894" s="2" t="str">
        <f aca="false"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 t="str">
        <f aca="false">IF(OR(F5894="",G5894=""),"",IF(G5894&lt;='RETRATO 2027'!$K$5,"CONCLUÍDA",IF(F5894&lt;='RETRATO 2027'!$K$5,"EM ANDAMENTO","A INICIAR")))</f>
        <v/>
      </c>
    </row>
    <row r="5895" customFormat="false" ht="15" hidden="false" customHeight="false" outlineLevel="0" collapsed="false">
      <c r="M5895" s="2" t="str">
        <f aca="false">IF(C5895="","",IFERROR(INDEX($S$5:$S$304,MATCH(C5895,$R$5:$R$304,0))&amp;"","?"))</f>
        <v/>
      </c>
      <c r="N5895" s="2" t="str">
        <f aca="false"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 t="str">
        <f aca="false">IF(OR(F5895="",G5895=""),"",IF(G5895&lt;='RETRATO 2027'!$K$5,"CONCLUÍDA",IF(F5895&lt;='RETRATO 2027'!$K$5,"EM ANDAMENTO","A INICIAR")))</f>
        <v/>
      </c>
    </row>
    <row r="5896" customFormat="false" ht="15" hidden="false" customHeight="false" outlineLevel="0" collapsed="false">
      <c r="M5896" s="2" t="str">
        <f aca="false">IF(C5896="","",IFERROR(INDEX($S$5:$S$304,MATCH(C5896,$R$5:$R$304,0))&amp;"","?"))</f>
        <v/>
      </c>
      <c r="N5896" s="2" t="str">
        <f aca="false"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 t="str">
        <f aca="false">IF(OR(F5896="",G5896=""),"",IF(G5896&lt;='RETRATO 2027'!$K$5,"CONCLUÍDA",IF(F5896&lt;='RETRATO 2027'!$K$5,"EM ANDAMENTO","A INICIAR")))</f>
        <v/>
      </c>
    </row>
    <row r="5897" customFormat="false" ht="15" hidden="false" customHeight="false" outlineLevel="0" collapsed="false">
      <c r="M5897" s="2" t="str">
        <f aca="false">IF(C5897="","",IFERROR(INDEX($S$5:$S$304,MATCH(C5897,$R$5:$R$304,0))&amp;"","?"))</f>
        <v/>
      </c>
      <c r="N5897" s="2" t="str">
        <f aca="false"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 t="str">
        <f aca="false">IF(OR(F5897="",G5897=""),"",IF(G5897&lt;='RETRATO 2027'!$K$5,"CONCLUÍDA",IF(F5897&lt;='RETRATO 2027'!$K$5,"EM ANDAMENTO","A INICIAR")))</f>
        <v/>
      </c>
    </row>
    <row r="5898" customFormat="false" ht="15" hidden="false" customHeight="false" outlineLevel="0" collapsed="false">
      <c r="M5898" s="2" t="str">
        <f aca="false">IF(C5898="","",IFERROR(INDEX($S$5:$S$304,MATCH(C5898,$R$5:$R$304,0))&amp;"","?"))</f>
        <v/>
      </c>
      <c r="N5898" s="2" t="str">
        <f aca="false"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 t="str">
        <f aca="false">IF(OR(F5898="",G5898=""),"",IF(G5898&lt;='RETRATO 2027'!$K$5,"CONCLUÍDA",IF(F5898&lt;='RETRATO 2027'!$K$5,"EM ANDAMENTO","A INICIAR")))</f>
        <v/>
      </c>
    </row>
    <row r="5899" customFormat="false" ht="15" hidden="false" customHeight="false" outlineLevel="0" collapsed="false">
      <c r="M5899" s="2" t="str">
        <f aca="false">IF(C5899="","",IFERROR(INDEX($S$5:$S$304,MATCH(C5899,$R$5:$R$304,0))&amp;"","?"))</f>
        <v/>
      </c>
      <c r="N5899" s="2" t="str">
        <f aca="false"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 t="str">
        <f aca="false">IF(OR(F5899="",G5899=""),"",IF(G5899&lt;='RETRATO 2027'!$K$5,"CONCLUÍDA",IF(F5899&lt;='RETRATO 2027'!$K$5,"EM ANDAMENTO","A INICIAR")))</f>
        <v/>
      </c>
    </row>
    <row r="5900" customFormat="false" ht="15" hidden="false" customHeight="false" outlineLevel="0" collapsed="false">
      <c r="M5900" s="2" t="str">
        <f aca="false">IF(C5900="","",IFERROR(INDEX($S$5:$S$304,MATCH(C5900,$R$5:$R$304,0))&amp;"","?"))</f>
        <v/>
      </c>
      <c r="N5900" s="2" t="str">
        <f aca="false"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 t="str">
        <f aca="false">IF(OR(F5900="",G5900=""),"",IF(G5900&lt;='RETRATO 2027'!$K$5,"CONCLUÍDA",IF(F5900&lt;='RETRATO 2027'!$K$5,"EM ANDAMENTO","A INICIAR")))</f>
        <v/>
      </c>
    </row>
    <row r="5901" customFormat="false" ht="15" hidden="false" customHeight="false" outlineLevel="0" collapsed="false">
      <c r="M5901" s="2" t="str">
        <f aca="false">IF(C5901="","",IFERROR(INDEX($S$5:$S$304,MATCH(C5901,$R$5:$R$304,0))&amp;"","?"))</f>
        <v/>
      </c>
      <c r="N5901" s="2" t="str">
        <f aca="false"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 t="str">
        <f aca="false">IF(OR(F5901="",G5901=""),"",IF(G5901&lt;='RETRATO 2027'!$K$5,"CONCLUÍDA",IF(F5901&lt;='RETRATO 2027'!$K$5,"EM ANDAMENTO","A INICIAR")))</f>
        <v/>
      </c>
    </row>
    <row r="5902" customFormat="false" ht="15" hidden="false" customHeight="false" outlineLevel="0" collapsed="false">
      <c r="M5902" s="2" t="str">
        <f aca="false">IF(C5902="","",IFERROR(INDEX($S$5:$S$304,MATCH(C5902,$R$5:$R$304,0))&amp;"","?"))</f>
        <v/>
      </c>
      <c r="N5902" s="2" t="str">
        <f aca="false"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 t="str">
        <f aca="false">IF(OR(F5902="",G5902=""),"",IF(G5902&lt;='RETRATO 2027'!$K$5,"CONCLUÍDA",IF(F5902&lt;='RETRATO 2027'!$K$5,"EM ANDAMENTO","A INICIAR")))</f>
        <v/>
      </c>
    </row>
    <row r="5903" customFormat="false" ht="15" hidden="false" customHeight="false" outlineLevel="0" collapsed="false">
      <c r="M5903" s="2" t="str">
        <f aca="false">IF(C5903="","",IFERROR(INDEX($S$5:$S$304,MATCH(C5903,$R$5:$R$304,0))&amp;"","?"))</f>
        <v/>
      </c>
      <c r="N5903" s="2" t="str">
        <f aca="false"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 t="str">
        <f aca="false">IF(OR(F5903="",G5903=""),"",IF(G5903&lt;='RETRATO 2027'!$K$5,"CONCLUÍDA",IF(F5903&lt;='RETRATO 2027'!$K$5,"EM ANDAMENTO","A INICIAR")))</f>
        <v/>
      </c>
    </row>
    <row r="5904" customFormat="false" ht="15" hidden="false" customHeight="false" outlineLevel="0" collapsed="false">
      <c r="M5904" s="2" t="str">
        <f aca="false">IF(C5904="","",IFERROR(INDEX($S$5:$S$304,MATCH(C5904,$R$5:$R$304,0))&amp;"","?"))</f>
        <v/>
      </c>
      <c r="N5904" s="2" t="str">
        <f aca="false"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 t="str">
        <f aca="false">IF(OR(F5904="",G5904=""),"",IF(G5904&lt;='RETRATO 2027'!$K$5,"CONCLUÍDA",IF(F5904&lt;='RETRATO 2027'!$K$5,"EM ANDAMENTO","A INICIAR")))</f>
        <v/>
      </c>
    </row>
    <row r="5905" customFormat="false" ht="15" hidden="false" customHeight="false" outlineLevel="0" collapsed="false">
      <c r="M5905" s="2" t="str">
        <f aca="false">IF(C5905="","",IFERROR(INDEX($S$5:$S$304,MATCH(C5905,$R$5:$R$304,0))&amp;"","?"))</f>
        <v/>
      </c>
      <c r="N5905" s="2" t="str">
        <f aca="false"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 t="str">
        <f aca="false">IF(OR(F5905="",G5905=""),"",IF(G5905&lt;='RETRATO 2027'!$K$5,"CONCLUÍDA",IF(F5905&lt;='RETRATO 2027'!$K$5,"EM ANDAMENTO","A INICIAR")))</f>
        <v/>
      </c>
    </row>
    <row r="5906" customFormat="false" ht="15" hidden="false" customHeight="false" outlineLevel="0" collapsed="false">
      <c r="M5906" s="2" t="str">
        <f aca="false">IF(C5906="","",IFERROR(INDEX($S$5:$S$304,MATCH(C5906,$R$5:$R$304,0))&amp;"","?"))</f>
        <v/>
      </c>
      <c r="N5906" s="2" t="str">
        <f aca="false"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 t="str">
        <f aca="false">IF(OR(F5906="",G5906=""),"",IF(G5906&lt;='RETRATO 2027'!$K$5,"CONCLUÍDA",IF(F5906&lt;='RETRATO 2027'!$K$5,"EM ANDAMENTO","A INICIAR")))</f>
        <v/>
      </c>
    </row>
    <row r="5907" customFormat="false" ht="15" hidden="false" customHeight="false" outlineLevel="0" collapsed="false">
      <c r="M5907" s="2" t="str">
        <f aca="false">IF(C5907="","",IFERROR(INDEX($S$5:$S$304,MATCH(C5907,$R$5:$R$304,0))&amp;"","?"))</f>
        <v/>
      </c>
      <c r="N5907" s="2" t="str">
        <f aca="false"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 t="str">
        <f aca="false">IF(OR(F5907="",G5907=""),"",IF(G5907&lt;='RETRATO 2027'!$K$5,"CONCLUÍDA",IF(F5907&lt;='RETRATO 2027'!$K$5,"EM ANDAMENTO","A INICIAR")))</f>
        <v/>
      </c>
    </row>
    <row r="5908" customFormat="false" ht="15" hidden="false" customHeight="false" outlineLevel="0" collapsed="false">
      <c r="M5908" s="2" t="str">
        <f aca="false">IF(C5908="","",IFERROR(INDEX($S$5:$S$304,MATCH(C5908,$R$5:$R$304,0))&amp;"","?"))</f>
        <v/>
      </c>
      <c r="N5908" s="2" t="str">
        <f aca="false"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 t="str">
        <f aca="false">IF(OR(F5908="",G5908=""),"",IF(G5908&lt;='RETRATO 2027'!$K$5,"CONCLUÍDA",IF(F5908&lt;='RETRATO 2027'!$K$5,"EM ANDAMENTO","A INICIAR")))</f>
        <v/>
      </c>
    </row>
    <row r="5909" customFormat="false" ht="15" hidden="false" customHeight="false" outlineLevel="0" collapsed="false">
      <c r="M5909" s="2" t="str">
        <f aca="false">IF(C5909="","",IFERROR(INDEX($S$5:$S$304,MATCH(C5909,$R$5:$R$304,0))&amp;"","?"))</f>
        <v/>
      </c>
      <c r="N5909" s="2" t="str">
        <f aca="false"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 t="str">
        <f aca="false">IF(OR(F5909="",G5909=""),"",IF(G5909&lt;='RETRATO 2027'!$K$5,"CONCLUÍDA",IF(F5909&lt;='RETRATO 2027'!$K$5,"EM ANDAMENTO","A INICIAR")))</f>
        <v/>
      </c>
    </row>
    <row r="5910" customFormat="false" ht="15" hidden="false" customHeight="false" outlineLevel="0" collapsed="false">
      <c r="M5910" s="2" t="str">
        <f aca="false">IF(C5910="","",IFERROR(INDEX($S$5:$S$304,MATCH(C5910,$R$5:$R$304,0))&amp;"","?"))</f>
        <v/>
      </c>
      <c r="N5910" s="2" t="str">
        <f aca="false"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 t="str">
        <f aca="false">IF(OR(F5910="",G5910=""),"",IF(G5910&lt;='RETRATO 2027'!$K$5,"CONCLUÍDA",IF(F5910&lt;='RETRATO 2027'!$K$5,"EM ANDAMENTO","A INICIAR")))</f>
        <v/>
      </c>
    </row>
    <row r="5911" customFormat="false" ht="15" hidden="false" customHeight="false" outlineLevel="0" collapsed="false">
      <c r="M5911" s="2" t="str">
        <f aca="false">IF(C5911="","",IFERROR(INDEX($S$5:$S$304,MATCH(C5911,$R$5:$R$304,0))&amp;"","?"))</f>
        <v/>
      </c>
      <c r="N5911" s="2" t="str">
        <f aca="false"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 t="str">
        <f aca="false">IF(OR(F5911="",G5911=""),"",IF(G5911&lt;='RETRATO 2027'!$K$5,"CONCLUÍDA",IF(F5911&lt;='RETRATO 2027'!$K$5,"EM ANDAMENTO","A INICIAR")))</f>
        <v/>
      </c>
    </row>
    <row r="5912" customFormat="false" ht="15" hidden="false" customHeight="false" outlineLevel="0" collapsed="false">
      <c r="M5912" s="2" t="str">
        <f aca="false">IF(C5912="","",IFERROR(INDEX($S$5:$S$304,MATCH(C5912,$R$5:$R$304,0))&amp;"","?"))</f>
        <v/>
      </c>
      <c r="N5912" s="2" t="str">
        <f aca="false"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 t="str">
        <f aca="false">IF(OR(F5912="",G5912=""),"",IF(G5912&lt;='RETRATO 2027'!$K$5,"CONCLUÍDA",IF(F5912&lt;='RETRATO 2027'!$K$5,"EM ANDAMENTO","A INICIAR")))</f>
        <v/>
      </c>
    </row>
    <row r="5913" customFormat="false" ht="15" hidden="false" customHeight="false" outlineLevel="0" collapsed="false">
      <c r="M5913" s="2" t="str">
        <f aca="false">IF(C5913="","",IFERROR(INDEX($S$5:$S$304,MATCH(C5913,$R$5:$R$304,0))&amp;"","?"))</f>
        <v/>
      </c>
      <c r="N5913" s="2" t="str">
        <f aca="false"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 t="str">
        <f aca="false">IF(OR(F5913="",G5913=""),"",IF(G5913&lt;='RETRATO 2027'!$K$5,"CONCLUÍDA",IF(F5913&lt;='RETRATO 2027'!$K$5,"EM ANDAMENTO","A INICIAR")))</f>
        <v/>
      </c>
    </row>
    <row r="5914" customFormat="false" ht="15" hidden="false" customHeight="false" outlineLevel="0" collapsed="false">
      <c r="M5914" s="2" t="str">
        <f aca="false">IF(C5914="","",IFERROR(INDEX($S$5:$S$304,MATCH(C5914,$R$5:$R$304,0))&amp;"","?"))</f>
        <v/>
      </c>
      <c r="N5914" s="2" t="str">
        <f aca="false"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 t="str">
        <f aca="false">IF(OR(F5914="",G5914=""),"",IF(G5914&lt;='RETRATO 2027'!$K$5,"CONCLUÍDA",IF(F5914&lt;='RETRATO 2027'!$K$5,"EM ANDAMENTO","A INICIAR")))</f>
        <v/>
      </c>
    </row>
    <row r="5915" customFormat="false" ht="15" hidden="false" customHeight="false" outlineLevel="0" collapsed="false">
      <c r="M5915" s="2" t="str">
        <f aca="false">IF(C5915="","",IFERROR(INDEX($S$5:$S$304,MATCH(C5915,$R$5:$R$304,0))&amp;"","?"))</f>
        <v/>
      </c>
      <c r="N5915" s="2" t="str">
        <f aca="false"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 t="str">
        <f aca="false">IF(OR(F5915="",G5915=""),"",IF(G5915&lt;='RETRATO 2027'!$K$5,"CONCLUÍDA",IF(F5915&lt;='RETRATO 2027'!$K$5,"EM ANDAMENTO","A INICIAR")))</f>
        <v/>
      </c>
    </row>
    <row r="5916" customFormat="false" ht="15" hidden="false" customHeight="false" outlineLevel="0" collapsed="false">
      <c r="M5916" s="2" t="str">
        <f aca="false">IF(C5916="","",IFERROR(INDEX($S$5:$S$304,MATCH(C5916,$R$5:$R$304,0))&amp;"","?"))</f>
        <v/>
      </c>
      <c r="N5916" s="2" t="str">
        <f aca="false"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 t="str">
        <f aca="false">IF(OR(F5916="",G5916=""),"",IF(G5916&lt;='RETRATO 2027'!$K$5,"CONCLUÍDA",IF(F5916&lt;='RETRATO 2027'!$K$5,"EM ANDAMENTO","A INICIAR")))</f>
        <v/>
      </c>
    </row>
    <row r="5917" customFormat="false" ht="15" hidden="false" customHeight="false" outlineLevel="0" collapsed="false">
      <c r="M5917" s="2" t="str">
        <f aca="false">IF(C5917="","",IFERROR(INDEX($S$5:$S$304,MATCH(C5917,$R$5:$R$304,0))&amp;"","?"))</f>
        <v/>
      </c>
      <c r="N5917" s="2" t="str">
        <f aca="false"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 t="str">
        <f aca="false">IF(OR(F5917="",G5917=""),"",IF(G5917&lt;='RETRATO 2027'!$K$5,"CONCLUÍDA",IF(F5917&lt;='RETRATO 2027'!$K$5,"EM ANDAMENTO","A INICIAR")))</f>
        <v/>
      </c>
    </row>
    <row r="5918" customFormat="false" ht="15" hidden="false" customHeight="false" outlineLevel="0" collapsed="false">
      <c r="M5918" s="2" t="str">
        <f aca="false">IF(C5918="","",IFERROR(INDEX($S$5:$S$304,MATCH(C5918,$R$5:$R$304,0))&amp;"","?"))</f>
        <v/>
      </c>
      <c r="N5918" s="2" t="str">
        <f aca="false"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 t="str">
        <f aca="false">IF(OR(F5918="",G5918=""),"",IF(G5918&lt;='RETRATO 2027'!$K$5,"CONCLUÍDA",IF(F5918&lt;='RETRATO 2027'!$K$5,"EM ANDAMENTO","A INICIAR")))</f>
        <v/>
      </c>
    </row>
    <row r="5919" customFormat="false" ht="15" hidden="false" customHeight="false" outlineLevel="0" collapsed="false">
      <c r="M5919" s="2" t="str">
        <f aca="false">IF(C5919="","",IFERROR(INDEX($S$5:$S$304,MATCH(C5919,$R$5:$R$304,0))&amp;"","?"))</f>
        <v/>
      </c>
      <c r="N5919" s="2" t="str">
        <f aca="false"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 t="str">
        <f aca="false">IF(OR(F5919="",G5919=""),"",IF(G5919&lt;='RETRATO 2027'!$K$5,"CONCLUÍDA",IF(F5919&lt;='RETRATO 2027'!$K$5,"EM ANDAMENTO","A INICIAR")))</f>
        <v/>
      </c>
    </row>
    <row r="5920" customFormat="false" ht="15" hidden="false" customHeight="false" outlineLevel="0" collapsed="false">
      <c r="M5920" s="2" t="str">
        <f aca="false">IF(C5920="","",IFERROR(INDEX($S$5:$S$304,MATCH(C5920,$R$5:$R$304,0))&amp;"","?"))</f>
        <v/>
      </c>
      <c r="N5920" s="2" t="str">
        <f aca="false"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 t="str">
        <f aca="false">IF(OR(F5920="",G5920=""),"",IF(G5920&lt;='RETRATO 2027'!$K$5,"CONCLUÍDA",IF(F5920&lt;='RETRATO 2027'!$K$5,"EM ANDAMENTO","A INICIAR")))</f>
        <v/>
      </c>
    </row>
    <row r="5921" customFormat="false" ht="15" hidden="false" customHeight="false" outlineLevel="0" collapsed="false">
      <c r="M5921" s="2" t="str">
        <f aca="false">IF(C5921="","",IFERROR(INDEX($S$5:$S$304,MATCH(C5921,$R$5:$R$304,0))&amp;"","?"))</f>
        <v/>
      </c>
      <c r="N5921" s="2" t="str">
        <f aca="false"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 t="str">
        <f aca="false">IF(OR(F5921="",G5921=""),"",IF(G5921&lt;='RETRATO 2027'!$K$5,"CONCLUÍDA",IF(F5921&lt;='RETRATO 2027'!$K$5,"EM ANDAMENTO","A INICIAR")))</f>
        <v/>
      </c>
    </row>
    <row r="5922" customFormat="false" ht="15" hidden="false" customHeight="false" outlineLevel="0" collapsed="false">
      <c r="M5922" s="2" t="str">
        <f aca="false">IF(C5922="","",IFERROR(INDEX($S$5:$S$304,MATCH(C5922,$R$5:$R$304,0))&amp;"","?"))</f>
        <v/>
      </c>
      <c r="N5922" s="2" t="str">
        <f aca="false"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 t="str">
        <f aca="false">IF(OR(F5922="",G5922=""),"",IF(G5922&lt;='RETRATO 2027'!$K$5,"CONCLUÍDA",IF(F5922&lt;='RETRATO 2027'!$K$5,"EM ANDAMENTO","A INICIAR")))</f>
        <v/>
      </c>
    </row>
    <row r="5923" customFormat="false" ht="15" hidden="false" customHeight="false" outlineLevel="0" collapsed="false">
      <c r="M5923" s="2" t="str">
        <f aca="false">IF(C5923="","",IFERROR(INDEX($S$5:$S$304,MATCH(C5923,$R$5:$R$304,0))&amp;"","?"))</f>
        <v/>
      </c>
      <c r="N5923" s="2" t="str">
        <f aca="false"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 t="str">
        <f aca="false">IF(OR(F5923="",G5923=""),"",IF(G5923&lt;='RETRATO 2027'!$K$5,"CONCLUÍDA",IF(F5923&lt;='RETRATO 2027'!$K$5,"EM ANDAMENTO","A INICIAR")))</f>
        <v/>
      </c>
    </row>
    <row r="5924" customFormat="false" ht="15" hidden="false" customHeight="false" outlineLevel="0" collapsed="false">
      <c r="M5924" s="2" t="str">
        <f aca="false">IF(C5924="","",IFERROR(INDEX($S$5:$S$304,MATCH(C5924,$R$5:$R$304,0))&amp;"","?"))</f>
        <v/>
      </c>
      <c r="N5924" s="2" t="str">
        <f aca="false"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 t="str">
        <f aca="false">IF(OR(F5924="",G5924=""),"",IF(G5924&lt;='RETRATO 2027'!$K$5,"CONCLUÍDA",IF(F5924&lt;='RETRATO 2027'!$K$5,"EM ANDAMENTO","A INICIAR")))</f>
        <v/>
      </c>
    </row>
    <row r="5925" customFormat="false" ht="15" hidden="false" customHeight="false" outlineLevel="0" collapsed="false">
      <c r="M5925" s="2" t="str">
        <f aca="false">IF(C5925="","",IFERROR(INDEX($S$5:$S$304,MATCH(C5925,$R$5:$R$304,0))&amp;"","?"))</f>
        <v/>
      </c>
      <c r="N5925" s="2" t="str">
        <f aca="false"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 t="str">
        <f aca="false">IF(OR(F5925="",G5925=""),"",IF(G5925&lt;='RETRATO 2027'!$K$5,"CONCLUÍDA",IF(F5925&lt;='RETRATO 2027'!$K$5,"EM ANDAMENTO","A INICIAR")))</f>
        <v/>
      </c>
    </row>
    <row r="5926" customFormat="false" ht="15" hidden="false" customHeight="false" outlineLevel="0" collapsed="false">
      <c r="M5926" s="2" t="str">
        <f aca="false">IF(C5926="","",IFERROR(INDEX($S$5:$S$304,MATCH(C5926,$R$5:$R$304,0))&amp;"","?"))</f>
        <v/>
      </c>
      <c r="N5926" s="2" t="str">
        <f aca="false"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 t="str">
        <f aca="false">IF(OR(F5926="",G5926=""),"",IF(G5926&lt;='RETRATO 2027'!$K$5,"CONCLUÍDA",IF(F5926&lt;='RETRATO 2027'!$K$5,"EM ANDAMENTO","A INICIAR")))</f>
        <v/>
      </c>
    </row>
    <row r="5927" customFormat="false" ht="15" hidden="false" customHeight="false" outlineLevel="0" collapsed="false">
      <c r="M5927" s="2" t="str">
        <f aca="false">IF(C5927="","",IFERROR(INDEX($S$5:$S$304,MATCH(C5927,$R$5:$R$304,0))&amp;"","?"))</f>
        <v/>
      </c>
      <c r="N5927" s="2" t="str">
        <f aca="false"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 t="str">
        <f aca="false">IF(OR(F5927="",G5927=""),"",IF(G5927&lt;='RETRATO 2027'!$K$5,"CONCLUÍDA",IF(F5927&lt;='RETRATO 2027'!$K$5,"EM ANDAMENTO","A INICIAR")))</f>
        <v/>
      </c>
    </row>
    <row r="5928" customFormat="false" ht="15" hidden="false" customHeight="false" outlineLevel="0" collapsed="false">
      <c r="M5928" s="2" t="str">
        <f aca="false">IF(C5928="","",IFERROR(INDEX($S$5:$S$304,MATCH(C5928,$R$5:$R$304,0))&amp;"","?"))</f>
        <v/>
      </c>
      <c r="N5928" s="2" t="str">
        <f aca="false"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 t="str">
        <f aca="false">IF(OR(F5928="",G5928=""),"",IF(G5928&lt;='RETRATO 2027'!$K$5,"CONCLUÍDA",IF(F5928&lt;='RETRATO 2027'!$K$5,"EM ANDAMENTO","A INICIAR")))</f>
        <v/>
      </c>
    </row>
    <row r="5929" customFormat="false" ht="15" hidden="false" customHeight="false" outlineLevel="0" collapsed="false">
      <c r="M5929" s="2" t="str">
        <f aca="false">IF(C5929="","",IFERROR(INDEX($S$5:$S$304,MATCH(C5929,$R$5:$R$304,0))&amp;"","?"))</f>
        <v/>
      </c>
      <c r="N5929" s="2" t="str">
        <f aca="false"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 t="str">
        <f aca="false">IF(OR(F5929="",G5929=""),"",IF(G5929&lt;='RETRATO 2027'!$K$5,"CONCLUÍDA",IF(F5929&lt;='RETRATO 2027'!$K$5,"EM ANDAMENTO","A INICIAR")))</f>
        <v/>
      </c>
    </row>
    <row r="5930" customFormat="false" ht="15" hidden="false" customHeight="false" outlineLevel="0" collapsed="false">
      <c r="M5930" s="2" t="str">
        <f aca="false">IF(C5930="","",IFERROR(INDEX($S$5:$S$304,MATCH(C5930,$R$5:$R$304,0))&amp;"","?"))</f>
        <v/>
      </c>
      <c r="N5930" s="2" t="str">
        <f aca="false"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 t="str">
        <f aca="false">IF(OR(F5930="",G5930=""),"",IF(G5930&lt;='RETRATO 2027'!$K$5,"CONCLUÍDA",IF(F5930&lt;='RETRATO 2027'!$K$5,"EM ANDAMENTO","A INICIAR")))</f>
        <v/>
      </c>
    </row>
    <row r="5931" customFormat="false" ht="15" hidden="false" customHeight="false" outlineLevel="0" collapsed="false">
      <c r="M5931" s="2" t="str">
        <f aca="false">IF(C5931="","",IFERROR(INDEX($S$5:$S$304,MATCH(C5931,$R$5:$R$304,0))&amp;"","?"))</f>
        <v/>
      </c>
      <c r="N5931" s="2" t="str">
        <f aca="false"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 t="str">
        <f aca="false">IF(OR(F5931="",G5931=""),"",IF(G5931&lt;='RETRATO 2027'!$K$5,"CONCLUÍDA",IF(F5931&lt;='RETRATO 2027'!$K$5,"EM ANDAMENTO","A INICIAR")))</f>
        <v/>
      </c>
    </row>
    <row r="5932" customFormat="false" ht="15" hidden="false" customHeight="false" outlineLevel="0" collapsed="false">
      <c r="M5932" s="2" t="str">
        <f aca="false">IF(C5932="","",IFERROR(INDEX($S$5:$S$304,MATCH(C5932,$R$5:$R$304,0))&amp;"","?"))</f>
        <v/>
      </c>
      <c r="N5932" s="2" t="str">
        <f aca="false"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 t="str">
        <f aca="false">IF(OR(F5932="",G5932=""),"",IF(G5932&lt;='RETRATO 2027'!$K$5,"CONCLUÍDA",IF(F5932&lt;='RETRATO 2027'!$K$5,"EM ANDAMENTO","A INICIAR")))</f>
        <v/>
      </c>
    </row>
    <row r="5933" customFormat="false" ht="15" hidden="false" customHeight="false" outlineLevel="0" collapsed="false">
      <c r="M5933" s="2" t="str">
        <f aca="false">IF(C5933="","",IFERROR(INDEX($S$5:$S$304,MATCH(C5933,$R$5:$R$304,0))&amp;"","?"))</f>
        <v/>
      </c>
      <c r="N5933" s="2" t="str">
        <f aca="false"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 t="str">
        <f aca="false">IF(OR(F5933="",G5933=""),"",IF(G5933&lt;='RETRATO 2027'!$K$5,"CONCLUÍDA",IF(F5933&lt;='RETRATO 2027'!$K$5,"EM ANDAMENTO","A INICIAR")))</f>
        <v/>
      </c>
    </row>
    <row r="5934" customFormat="false" ht="15" hidden="false" customHeight="false" outlineLevel="0" collapsed="false">
      <c r="M5934" s="2" t="str">
        <f aca="false">IF(C5934="","",IFERROR(INDEX($S$5:$S$304,MATCH(C5934,$R$5:$R$304,0))&amp;"","?"))</f>
        <v/>
      </c>
      <c r="N5934" s="2" t="str">
        <f aca="false"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 t="str">
        <f aca="false">IF(OR(F5934="",G5934=""),"",IF(G5934&lt;='RETRATO 2027'!$K$5,"CONCLUÍDA",IF(F5934&lt;='RETRATO 2027'!$K$5,"EM ANDAMENTO","A INICIAR")))</f>
        <v/>
      </c>
    </row>
    <row r="5935" customFormat="false" ht="15" hidden="false" customHeight="false" outlineLevel="0" collapsed="false">
      <c r="M5935" s="2" t="str">
        <f aca="false">IF(C5935="","",IFERROR(INDEX($S$5:$S$304,MATCH(C5935,$R$5:$R$304,0))&amp;"","?"))</f>
        <v/>
      </c>
      <c r="N5935" s="2" t="str">
        <f aca="false"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 t="str">
        <f aca="false">IF(OR(F5935="",G5935=""),"",IF(G5935&lt;='RETRATO 2027'!$K$5,"CONCLUÍDA",IF(F5935&lt;='RETRATO 2027'!$K$5,"EM ANDAMENTO","A INICIAR")))</f>
        <v/>
      </c>
    </row>
    <row r="5936" customFormat="false" ht="15" hidden="false" customHeight="false" outlineLevel="0" collapsed="false">
      <c r="M5936" s="2" t="str">
        <f aca="false">IF(C5936="","",IFERROR(INDEX($S$5:$S$304,MATCH(C5936,$R$5:$R$304,0))&amp;"","?"))</f>
        <v/>
      </c>
      <c r="N5936" s="2" t="str">
        <f aca="false"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 t="str">
        <f aca="false">IF(OR(F5936="",G5936=""),"",IF(G5936&lt;='RETRATO 2027'!$K$5,"CONCLUÍDA",IF(F5936&lt;='RETRATO 2027'!$K$5,"EM ANDAMENTO","A INICIAR")))</f>
        <v/>
      </c>
    </row>
    <row r="5937" customFormat="false" ht="15" hidden="false" customHeight="false" outlineLevel="0" collapsed="false">
      <c r="M5937" s="2" t="str">
        <f aca="false">IF(C5937="","",IFERROR(INDEX($S$5:$S$304,MATCH(C5937,$R$5:$R$304,0))&amp;"","?"))</f>
        <v/>
      </c>
      <c r="N5937" s="2" t="str">
        <f aca="false"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 t="str">
        <f aca="false">IF(OR(F5937="",G5937=""),"",IF(G5937&lt;='RETRATO 2027'!$K$5,"CONCLUÍDA",IF(F5937&lt;='RETRATO 2027'!$K$5,"EM ANDAMENTO","A INICIAR")))</f>
        <v/>
      </c>
    </row>
    <row r="5938" customFormat="false" ht="15" hidden="false" customHeight="false" outlineLevel="0" collapsed="false">
      <c r="M5938" s="2" t="str">
        <f aca="false">IF(C5938="","",IFERROR(INDEX($S$5:$S$304,MATCH(C5938,$R$5:$R$304,0))&amp;"","?"))</f>
        <v/>
      </c>
      <c r="N5938" s="2" t="str">
        <f aca="false"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 t="str">
        <f aca="false">IF(OR(F5938="",G5938=""),"",IF(G5938&lt;='RETRATO 2027'!$K$5,"CONCLUÍDA",IF(F5938&lt;='RETRATO 2027'!$K$5,"EM ANDAMENTO","A INICIAR")))</f>
        <v/>
      </c>
    </row>
    <row r="5939" customFormat="false" ht="15" hidden="false" customHeight="false" outlineLevel="0" collapsed="false">
      <c r="M5939" s="2" t="str">
        <f aca="false">IF(C5939="","",IFERROR(INDEX($S$5:$S$304,MATCH(C5939,$R$5:$R$304,0))&amp;"","?"))</f>
        <v/>
      </c>
      <c r="N5939" s="2" t="str">
        <f aca="false"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 t="str">
        <f aca="false">IF(OR(F5939="",G5939=""),"",IF(G5939&lt;='RETRATO 2027'!$K$5,"CONCLUÍDA",IF(F5939&lt;='RETRATO 2027'!$K$5,"EM ANDAMENTO","A INICIAR")))</f>
        <v/>
      </c>
    </row>
    <row r="5940" customFormat="false" ht="15" hidden="false" customHeight="false" outlineLevel="0" collapsed="false">
      <c r="M5940" s="2" t="str">
        <f aca="false">IF(C5940="","",IFERROR(INDEX($S$5:$S$304,MATCH(C5940,$R$5:$R$304,0))&amp;"","?"))</f>
        <v/>
      </c>
      <c r="N5940" s="2" t="str">
        <f aca="false"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 t="str">
        <f aca="false">IF(OR(F5940="",G5940=""),"",IF(G5940&lt;='RETRATO 2027'!$K$5,"CONCLUÍDA",IF(F5940&lt;='RETRATO 2027'!$K$5,"EM ANDAMENTO","A INICIAR")))</f>
        <v/>
      </c>
    </row>
    <row r="5941" customFormat="false" ht="15" hidden="false" customHeight="false" outlineLevel="0" collapsed="false">
      <c r="M5941" s="2" t="str">
        <f aca="false">IF(C5941="","",IFERROR(INDEX($S$5:$S$304,MATCH(C5941,$R$5:$R$304,0))&amp;"","?"))</f>
        <v/>
      </c>
      <c r="N5941" s="2" t="str">
        <f aca="false"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 t="str">
        <f aca="false">IF(OR(F5941="",G5941=""),"",IF(G5941&lt;='RETRATO 2027'!$K$5,"CONCLUÍDA",IF(F5941&lt;='RETRATO 2027'!$K$5,"EM ANDAMENTO","A INICIAR")))</f>
        <v/>
      </c>
    </row>
    <row r="5942" customFormat="false" ht="15" hidden="false" customHeight="false" outlineLevel="0" collapsed="false">
      <c r="M5942" s="2" t="str">
        <f aca="false">IF(C5942="","",IFERROR(INDEX($S$5:$S$304,MATCH(C5942,$R$5:$R$304,0))&amp;"","?"))</f>
        <v/>
      </c>
      <c r="N5942" s="2" t="str">
        <f aca="false"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 t="str">
        <f aca="false">IF(OR(F5942="",G5942=""),"",IF(G5942&lt;='RETRATO 2027'!$K$5,"CONCLUÍDA",IF(F5942&lt;='RETRATO 2027'!$K$5,"EM ANDAMENTO","A INICIAR")))</f>
        <v/>
      </c>
    </row>
    <row r="5943" customFormat="false" ht="15" hidden="false" customHeight="false" outlineLevel="0" collapsed="false">
      <c r="M5943" s="2" t="str">
        <f aca="false">IF(C5943="","",IFERROR(INDEX($S$5:$S$304,MATCH(C5943,$R$5:$R$304,0))&amp;"","?"))</f>
        <v/>
      </c>
      <c r="N5943" s="2" t="str">
        <f aca="false"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 t="str">
        <f aca="false">IF(OR(F5943="",G5943=""),"",IF(G5943&lt;='RETRATO 2027'!$K$5,"CONCLUÍDA",IF(F5943&lt;='RETRATO 2027'!$K$5,"EM ANDAMENTO","A INICIAR")))</f>
        <v/>
      </c>
    </row>
    <row r="5944" customFormat="false" ht="15" hidden="false" customHeight="false" outlineLevel="0" collapsed="false">
      <c r="M5944" s="2" t="str">
        <f aca="false">IF(C5944="","",IFERROR(INDEX($S$5:$S$304,MATCH(C5944,$R$5:$R$304,0))&amp;"","?"))</f>
        <v/>
      </c>
      <c r="N5944" s="2" t="str">
        <f aca="false"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 t="str">
        <f aca="false">IF(OR(F5944="",G5944=""),"",IF(G5944&lt;='RETRATO 2027'!$K$5,"CONCLUÍDA",IF(F5944&lt;='RETRATO 2027'!$K$5,"EM ANDAMENTO","A INICIAR")))</f>
        <v/>
      </c>
    </row>
    <row r="5945" customFormat="false" ht="15" hidden="false" customHeight="false" outlineLevel="0" collapsed="false">
      <c r="M5945" s="2" t="str">
        <f aca="false">IF(C5945="","",IFERROR(INDEX($S$5:$S$304,MATCH(C5945,$R$5:$R$304,0))&amp;"","?"))</f>
        <v/>
      </c>
      <c r="N5945" s="2" t="str">
        <f aca="false"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 t="str">
        <f aca="false">IF(OR(F5945="",G5945=""),"",IF(G5945&lt;='RETRATO 2027'!$K$5,"CONCLUÍDA",IF(F5945&lt;='RETRATO 2027'!$K$5,"EM ANDAMENTO","A INICIAR")))</f>
        <v/>
      </c>
    </row>
    <row r="5946" customFormat="false" ht="15" hidden="false" customHeight="false" outlineLevel="0" collapsed="false">
      <c r="M5946" s="2" t="str">
        <f aca="false">IF(C5946="","",IFERROR(INDEX($S$5:$S$304,MATCH(C5946,$R$5:$R$304,0))&amp;"","?"))</f>
        <v/>
      </c>
      <c r="N5946" s="2" t="str">
        <f aca="false"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 t="str">
        <f aca="false">IF(OR(F5946="",G5946=""),"",IF(G5946&lt;='RETRATO 2027'!$K$5,"CONCLUÍDA",IF(F5946&lt;='RETRATO 2027'!$K$5,"EM ANDAMENTO","A INICIAR")))</f>
        <v/>
      </c>
    </row>
    <row r="5947" customFormat="false" ht="15" hidden="false" customHeight="false" outlineLevel="0" collapsed="false">
      <c r="M5947" s="2" t="str">
        <f aca="false">IF(C5947="","",IFERROR(INDEX($S$5:$S$304,MATCH(C5947,$R$5:$R$304,0))&amp;"","?"))</f>
        <v/>
      </c>
      <c r="N5947" s="2" t="str">
        <f aca="false"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 t="str">
        <f aca="false">IF(OR(F5947="",G5947=""),"",IF(G5947&lt;='RETRATO 2027'!$K$5,"CONCLUÍDA",IF(F5947&lt;='RETRATO 2027'!$K$5,"EM ANDAMENTO","A INICIAR")))</f>
        <v/>
      </c>
    </row>
    <row r="5948" customFormat="false" ht="15" hidden="false" customHeight="false" outlineLevel="0" collapsed="false">
      <c r="M5948" s="2" t="str">
        <f aca="false">IF(C5948="","",IFERROR(INDEX($S$5:$S$304,MATCH(C5948,$R$5:$R$304,0))&amp;"","?"))</f>
        <v/>
      </c>
      <c r="N5948" s="2" t="str">
        <f aca="false"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 t="str">
        <f aca="false">IF(OR(F5948="",G5948=""),"",IF(G5948&lt;='RETRATO 2027'!$K$5,"CONCLUÍDA",IF(F5948&lt;='RETRATO 2027'!$K$5,"EM ANDAMENTO","A INICIAR")))</f>
        <v/>
      </c>
    </row>
    <row r="5949" customFormat="false" ht="15" hidden="false" customHeight="false" outlineLevel="0" collapsed="false">
      <c r="M5949" s="2" t="str">
        <f aca="false">IF(C5949="","",IFERROR(INDEX($S$5:$S$304,MATCH(C5949,$R$5:$R$304,0))&amp;"","?"))</f>
        <v/>
      </c>
      <c r="N5949" s="2" t="str">
        <f aca="false"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 t="str">
        <f aca="false">IF(OR(F5949="",G5949=""),"",IF(G5949&lt;='RETRATO 2027'!$K$5,"CONCLUÍDA",IF(F5949&lt;='RETRATO 2027'!$K$5,"EM ANDAMENTO","A INICIAR")))</f>
        <v/>
      </c>
    </row>
    <row r="5950" customFormat="false" ht="15" hidden="false" customHeight="false" outlineLevel="0" collapsed="false">
      <c r="M5950" s="2" t="str">
        <f aca="false">IF(C5950="","",IFERROR(INDEX($S$5:$S$304,MATCH(C5950,$R$5:$R$304,0))&amp;"","?"))</f>
        <v/>
      </c>
      <c r="N5950" s="2" t="str">
        <f aca="false"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 t="str">
        <f aca="false">IF(OR(F5950="",G5950=""),"",IF(G5950&lt;='RETRATO 2027'!$K$5,"CONCLUÍDA",IF(F5950&lt;='RETRATO 2027'!$K$5,"EM ANDAMENTO","A INICIAR")))</f>
        <v/>
      </c>
    </row>
    <row r="5951" customFormat="false" ht="15" hidden="false" customHeight="false" outlineLevel="0" collapsed="false">
      <c r="M5951" s="2" t="str">
        <f aca="false">IF(C5951="","",IFERROR(INDEX($S$5:$S$304,MATCH(C5951,$R$5:$R$304,0))&amp;"","?"))</f>
        <v/>
      </c>
      <c r="N5951" s="2" t="str">
        <f aca="false"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 t="str">
        <f aca="false">IF(OR(F5951="",G5951=""),"",IF(G5951&lt;='RETRATO 2027'!$K$5,"CONCLUÍDA",IF(F5951&lt;='RETRATO 2027'!$K$5,"EM ANDAMENTO","A INICIAR")))</f>
        <v/>
      </c>
    </row>
    <row r="5952" customFormat="false" ht="15" hidden="false" customHeight="false" outlineLevel="0" collapsed="false">
      <c r="M5952" s="2" t="str">
        <f aca="false">IF(C5952="","",IFERROR(INDEX($S$5:$S$304,MATCH(C5952,$R$5:$R$304,0))&amp;"","?"))</f>
        <v/>
      </c>
      <c r="N5952" s="2" t="str">
        <f aca="false"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 t="str">
        <f aca="false">IF(OR(F5952="",G5952=""),"",IF(G5952&lt;='RETRATO 2027'!$K$5,"CONCLUÍDA",IF(F5952&lt;='RETRATO 2027'!$K$5,"EM ANDAMENTO","A INICIAR")))</f>
        <v/>
      </c>
    </row>
    <row r="5953" customFormat="false" ht="15" hidden="false" customHeight="false" outlineLevel="0" collapsed="false">
      <c r="M5953" s="2" t="str">
        <f aca="false">IF(C5953="","",IFERROR(INDEX($S$5:$S$304,MATCH(C5953,$R$5:$R$304,0))&amp;"","?"))</f>
        <v/>
      </c>
      <c r="N5953" s="2" t="str">
        <f aca="false"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 t="str">
        <f aca="false">IF(OR(F5953="",G5953=""),"",IF(G5953&lt;='RETRATO 2027'!$K$5,"CONCLUÍDA",IF(F5953&lt;='RETRATO 2027'!$K$5,"EM ANDAMENTO","A INICIAR")))</f>
        <v/>
      </c>
    </row>
    <row r="5954" customFormat="false" ht="15" hidden="false" customHeight="false" outlineLevel="0" collapsed="false">
      <c r="M5954" s="2" t="str">
        <f aca="false">IF(C5954="","",IFERROR(INDEX($S$5:$S$304,MATCH(C5954,$R$5:$R$304,0))&amp;"","?"))</f>
        <v/>
      </c>
      <c r="N5954" s="2" t="str">
        <f aca="false"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 t="str">
        <f aca="false">IF(OR(F5954="",G5954=""),"",IF(G5954&lt;='RETRATO 2027'!$K$5,"CONCLUÍDA",IF(F5954&lt;='RETRATO 2027'!$K$5,"EM ANDAMENTO","A INICIAR")))</f>
        <v/>
      </c>
    </row>
    <row r="5955" customFormat="false" ht="15" hidden="false" customHeight="false" outlineLevel="0" collapsed="false">
      <c r="M5955" s="2" t="str">
        <f aca="false">IF(C5955="","",IFERROR(INDEX($S$5:$S$304,MATCH(C5955,$R$5:$R$304,0))&amp;"","?"))</f>
        <v/>
      </c>
      <c r="N5955" s="2" t="str">
        <f aca="false"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 t="str">
        <f aca="false">IF(OR(F5955="",G5955=""),"",IF(G5955&lt;='RETRATO 2027'!$K$5,"CONCLUÍDA",IF(F5955&lt;='RETRATO 2027'!$K$5,"EM ANDAMENTO","A INICIAR")))</f>
        <v/>
      </c>
    </row>
    <row r="5956" customFormat="false" ht="15" hidden="false" customHeight="false" outlineLevel="0" collapsed="false">
      <c r="M5956" s="2" t="str">
        <f aca="false">IF(C5956="","",IFERROR(INDEX($S$5:$S$304,MATCH(C5956,$R$5:$R$304,0))&amp;"","?"))</f>
        <v/>
      </c>
      <c r="N5956" s="2" t="str">
        <f aca="false"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 t="str">
        <f aca="false">IF(OR(F5956="",G5956=""),"",IF(G5956&lt;='RETRATO 2027'!$K$5,"CONCLUÍDA",IF(F5956&lt;='RETRATO 2027'!$K$5,"EM ANDAMENTO","A INICIAR")))</f>
        <v/>
      </c>
    </row>
    <row r="5957" customFormat="false" ht="15" hidden="false" customHeight="false" outlineLevel="0" collapsed="false">
      <c r="M5957" s="2" t="str">
        <f aca="false">IF(C5957="","",IFERROR(INDEX($S$5:$S$304,MATCH(C5957,$R$5:$R$304,0))&amp;"","?"))</f>
        <v/>
      </c>
      <c r="N5957" s="2" t="str">
        <f aca="false"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 t="str">
        <f aca="false">IF(OR(F5957="",G5957=""),"",IF(G5957&lt;='RETRATO 2027'!$K$5,"CONCLUÍDA",IF(F5957&lt;='RETRATO 2027'!$K$5,"EM ANDAMENTO","A INICIAR")))</f>
        <v/>
      </c>
    </row>
    <row r="5958" customFormat="false" ht="15" hidden="false" customHeight="false" outlineLevel="0" collapsed="false">
      <c r="M5958" s="2" t="str">
        <f aca="false">IF(C5958="","",IFERROR(INDEX($S$5:$S$304,MATCH(C5958,$R$5:$R$304,0))&amp;"","?"))</f>
        <v/>
      </c>
      <c r="N5958" s="2" t="str">
        <f aca="false"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 t="str">
        <f aca="false">IF(OR(F5958="",G5958=""),"",IF(G5958&lt;='RETRATO 2027'!$K$5,"CONCLUÍDA",IF(F5958&lt;='RETRATO 2027'!$K$5,"EM ANDAMENTO","A INICIAR")))</f>
        <v/>
      </c>
    </row>
    <row r="5959" customFormat="false" ht="15" hidden="false" customHeight="false" outlineLevel="0" collapsed="false">
      <c r="M5959" s="2" t="str">
        <f aca="false">IF(C5959="","",IFERROR(INDEX($S$5:$S$304,MATCH(C5959,$R$5:$R$304,0))&amp;"","?"))</f>
        <v/>
      </c>
      <c r="N5959" s="2" t="str">
        <f aca="false"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 t="str">
        <f aca="false">IF(OR(F5959="",G5959=""),"",IF(G5959&lt;='RETRATO 2027'!$K$5,"CONCLUÍDA",IF(F5959&lt;='RETRATO 2027'!$K$5,"EM ANDAMENTO","A INICIAR")))</f>
        <v/>
      </c>
    </row>
    <row r="5960" customFormat="false" ht="15" hidden="false" customHeight="false" outlineLevel="0" collapsed="false">
      <c r="M5960" s="2" t="str">
        <f aca="false">IF(C5960="","",IFERROR(INDEX($S$5:$S$304,MATCH(C5960,$R$5:$R$304,0))&amp;"","?"))</f>
        <v/>
      </c>
      <c r="N5960" s="2" t="str">
        <f aca="false"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 t="str">
        <f aca="false">IF(OR(F5960="",G5960=""),"",IF(G5960&lt;='RETRATO 2027'!$K$5,"CONCLUÍDA",IF(F5960&lt;='RETRATO 2027'!$K$5,"EM ANDAMENTO","A INICIAR")))</f>
        <v/>
      </c>
    </row>
    <row r="5961" customFormat="false" ht="15" hidden="false" customHeight="false" outlineLevel="0" collapsed="false">
      <c r="M5961" s="2" t="str">
        <f aca="false">IF(C5961="","",IFERROR(INDEX($S$5:$S$304,MATCH(C5961,$R$5:$R$304,0))&amp;"","?"))</f>
        <v/>
      </c>
      <c r="N5961" s="2" t="str">
        <f aca="false"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 t="str">
        <f aca="false">IF(OR(F5961="",G5961=""),"",IF(G5961&lt;='RETRATO 2027'!$K$5,"CONCLUÍDA",IF(F5961&lt;='RETRATO 2027'!$K$5,"EM ANDAMENTO","A INICIAR")))</f>
        <v/>
      </c>
    </row>
    <row r="5962" customFormat="false" ht="15" hidden="false" customHeight="false" outlineLevel="0" collapsed="false">
      <c r="M5962" s="2" t="str">
        <f aca="false">IF(C5962="","",IFERROR(INDEX($S$5:$S$304,MATCH(C5962,$R$5:$R$304,0))&amp;"","?"))</f>
        <v/>
      </c>
      <c r="N5962" s="2" t="str">
        <f aca="false"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 t="str">
        <f aca="false">IF(OR(F5962="",G5962=""),"",IF(G5962&lt;='RETRATO 2027'!$K$5,"CONCLUÍDA",IF(F5962&lt;='RETRATO 2027'!$K$5,"EM ANDAMENTO","A INICIAR")))</f>
        <v/>
      </c>
    </row>
    <row r="5963" customFormat="false" ht="15" hidden="false" customHeight="false" outlineLevel="0" collapsed="false">
      <c r="M5963" s="2" t="str">
        <f aca="false">IF(C5963="","",IFERROR(INDEX($S$5:$S$304,MATCH(C5963,$R$5:$R$304,0))&amp;"","?"))</f>
        <v/>
      </c>
      <c r="N5963" s="2" t="str">
        <f aca="false"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 t="str">
        <f aca="false">IF(OR(F5963="",G5963=""),"",IF(G5963&lt;='RETRATO 2027'!$K$5,"CONCLUÍDA",IF(F5963&lt;='RETRATO 2027'!$K$5,"EM ANDAMENTO","A INICIAR")))</f>
        <v/>
      </c>
    </row>
    <row r="5964" customFormat="false" ht="15" hidden="false" customHeight="false" outlineLevel="0" collapsed="false">
      <c r="M5964" s="2" t="str">
        <f aca="false">IF(C5964="","",IFERROR(INDEX($S$5:$S$304,MATCH(C5964,$R$5:$R$304,0))&amp;"","?"))</f>
        <v/>
      </c>
      <c r="N5964" s="2" t="str">
        <f aca="false"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 t="str">
        <f aca="false">IF(OR(F5964="",G5964=""),"",IF(G5964&lt;='RETRATO 2027'!$K$5,"CONCLUÍDA",IF(F5964&lt;='RETRATO 2027'!$K$5,"EM ANDAMENTO","A INICIAR")))</f>
        <v/>
      </c>
    </row>
    <row r="5965" customFormat="false" ht="15" hidden="false" customHeight="false" outlineLevel="0" collapsed="false">
      <c r="M5965" s="2" t="str">
        <f aca="false">IF(C5965="","",IFERROR(INDEX($S$5:$S$304,MATCH(C5965,$R$5:$R$304,0))&amp;"","?"))</f>
        <v/>
      </c>
      <c r="N5965" s="2" t="str">
        <f aca="false"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 t="str">
        <f aca="false">IF(OR(F5965="",G5965=""),"",IF(G5965&lt;='RETRATO 2027'!$K$5,"CONCLUÍDA",IF(F5965&lt;='RETRATO 2027'!$K$5,"EM ANDAMENTO","A INICIAR")))</f>
        <v/>
      </c>
    </row>
    <row r="5966" customFormat="false" ht="15" hidden="false" customHeight="false" outlineLevel="0" collapsed="false">
      <c r="M5966" s="2" t="str">
        <f aca="false">IF(C5966="","",IFERROR(INDEX($S$5:$S$304,MATCH(C5966,$R$5:$R$304,0))&amp;"","?"))</f>
        <v/>
      </c>
      <c r="N5966" s="2" t="str">
        <f aca="false"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 t="str">
        <f aca="false">IF(OR(F5966="",G5966=""),"",IF(G5966&lt;='RETRATO 2027'!$K$5,"CONCLUÍDA",IF(F5966&lt;='RETRATO 2027'!$K$5,"EM ANDAMENTO","A INICIAR")))</f>
        <v/>
      </c>
    </row>
    <row r="5967" customFormat="false" ht="15" hidden="false" customHeight="false" outlineLevel="0" collapsed="false">
      <c r="M5967" s="2" t="str">
        <f aca="false">IF(C5967="","",IFERROR(INDEX($S$5:$S$304,MATCH(C5967,$R$5:$R$304,0))&amp;"","?"))</f>
        <v/>
      </c>
      <c r="N5967" s="2" t="str">
        <f aca="false"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 t="str">
        <f aca="false">IF(OR(F5967="",G5967=""),"",IF(G5967&lt;='RETRATO 2027'!$K$5,"CONCLUÍDA",IF(F5967&lt;='RETRATO 2027'!$K$5,"EM ANDAMENTO","A INICIAR")))</f>
        <v/>
      </c>
    </row>
    <row r="5968" customFormat="false" ht="15" hidden="false" customHeight="false" outlineLevel="0" collapsed="false">
      <c r="M5968" s="2" t="str">
        <f aca="false">IF(C5968="","",IFERROR(INDEX($S$5:$S$304,MATCH(C5968,$R$5:$R$304,0))&amp;"","?"))</f>
        <v/>
      </c>
      <c r="N5968" s="2" t="str">
        <f aca="false"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 t="str">
        <f aca="false">IF(OR(F5968="",G5968=""),"",IF(G5968&lt;='RETRATO 2027'!$K$5,"CONCLUÍDA",IF(F5968&lt;='RETRATO 2027'!$K$5,"EM ANDAMENTO","A INICIAR")))</f>
        <v/>
      </c>
    </row>
    <row r="5969" customFormat="false" ht="15" hidden="false" customHeight="false" outlineLevel="0" collapsed="false">
      <c r="M5969" s="2" t="str">
        <f aca="false">IF(C5969="","",IFERROR(INDEX($S$5:$S$304,MATCH(C5969,$R$5:$R$304,0))&amp;"","?"))</f>
        <v/>
      </c>
      <c r="N5969" s="2" t="str">
        <f aca="false"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 t="str">
        <f aca="false">IF(OR(F5969="",G5969=""),"",IF(G5969&lt;='RETRATO 2027'!$K$5,"CONCLUÍDA",IF(F5969&lt;='RETRATO 2027'!$K$5,"EM ANDAMENTO","A INICIAR")))</f>
        <v/>
      </c>
    </row>
    <row r="5970" customFormat="false" ht="15" hidden="false" customHeight="false" outlineLevel="0" collapsed="false">
      <c r="M5970" s="2" t="str">
        <f aca="false">IF(C5970="","",IFERROR(INDEX($S$5:$S$304,MATCH(C5970,$R$5:$R$304,0))&amp;"","?"))</f>
        <v/>
      </c>
      <c r="N5970" s="2" t="str">
        <f aca="false"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 t="str">
        <f aca="false">IF(OR(F5970="",G5970=""),"",IF(G5970&lt;='RETRATO 2027'!$K$5,"CONCLUÍDA",IF(F5970&lt;='RETRATO 2027'!$K$5,"EM ANDAMENTO","A INICIAR")))</f>
        <v/>
      </c>
    </row>
    <row r="5971" customFormat="false" ht="15" hidden="false" customHeight="false" outlineLevel="0" collapsed="false">
      <c r="M5971" s="2" t="str">
        <f aca="false">IF(C5971="","",IFERROR(INDEX($S$5:$S$304,MATCH(C5971,$R$5:$R$304,0))&amp;"","?"))</f>
        <v/>
      </c>
      <c r="N5971" s="2" t="str">
        <f aca="false"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 t="str">
        <f aca="false">IF(OR(F5971="",G5971=""),"",IF(G5971&lt;='RETRATO 2027'!$K$5,"CONCLUÍDA",IF(F5971&lt;='RETRATO 2027'!$K$5,"EM ANDAMENTO","A INICIAR")))</f>
        <v/>
      </c>
    </row>
    <row r="5972" customFormat="false" ht="15" hidden="false" customHeight="false" outlineLevel="0" collapsed="false">
      <c r="M5972" s="2" t="str">
        <f aca="false">IF(C5972="","",IFERROR(INDEX($S$5:$S$304,MATCH(C5972,$R$5:$R$304,0))&amp;"","?"))</f>
        <v/>
      </c>
      <c r="N5972" s="2" t="str">
        <f aca="false"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 t="str">
        <f aca="false">IF(OR(F5972="",G5972=""),"",IF(G5972&lt;='RETRATO 2027'!$K$5,"CONCLUÍDA",IF(F5972&lt;='RETRATO 2027'!$K$5,"EM ANDAMENTO","A INICIAR")))</f>
        <v/>
      </c>
    </row>
    <row r="5973" customFormat="false" ht="15" hidden="false" customHeight="false" outlineLevel="0" collapsed="false">
      <c r="M5973" s="2" t="str">
        <f aca="false">IF(C5973="","",IFERROR(INDEX($S$5:$S$304,MATCH(C5973,$R$5:$R$304,0))&amp;"","?"))</f>
        <v/>
      </c>
      <c r="N5973" s="2" t="str">
        <f aca="false"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 t="str">
        <f aca="false">IF(OR(F5973="",G5973=""),"",IF(G5973&lt;='RETRATO 2027'!$K$5,"CONCLUÍDA",IF(F5973&lt;='RETRATO 2027'!$K$5,"EM ANDAMENTO","A INICIAR")))</f>
        <v/>
      </c>
    </row>
    <row r="5974" customFormat="false" ht="15" hidden="false" customHeight="false" outlineLevel="0" collapsed="false">
      <c r="M5974" s="2" t="str">
        <f aca="false">IF(C5974="","",IFERROR(INDEX($S$5:$S$304,MATCH(C5974,$R$5:$R$304,0))&amp;"","?"))</f>
        <v/>
      </c>
      <c r="N5974" s="2" t="str">
        <f aca="false"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 t="str">
        <f aca="false">IF(OR(F5974="",G5974=""),"",IF(G5974&lt;='RETRATO 2027'!$K$5,"CONCLUÍDA",IF(F5974&lt;='RETRATO 2027'!$K$5,"EM ANDAMENTO","A INICIAR")))</f>
        <v/>
      </c>
    </row>
    <row r="5975" customFormat="false" ht="15" hidden="false" customHeight="false" outlineLevel="0" collapsed="false">
      <c r="M5975" s="2" t="str">
        <f aca="false">IF(C5975="","",IFERROR(INDEX($S$5:$S$304,MATCH(C5975,$R$5:$R$304,0))&amp;"","?"))</f>
        <v/>
      </c>
      <c r="N5975" s="2" t="str">
        <f aca="false"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 t="str">
        <f aca="false">IF(OR(F5975="",G5975=""),"",IF(G5975&lt;='RETRATO 2027'!$K$5,"CONCLUÍDA",IF(F5975&lt;='RETRATO 2027'!$K$5,"EM ANDAMENTO","A INICIAR")))</f>
        <v/>
      </c>
    </row>
    <row r="5976" customFormat="false" ht="15" hidden="false" customHeight="false" outlineLevel="0" collapsed="false">
      <c r="M5976" s="2" t="str">
        <f aca="false">IF(C5976="","",IFERROR(INDEX($S$5:$S$304,MATCH(C5976,$R$5:$R$304,0))&amp;"","?"))</f>
        <v/>
      </c>
      <c r="N5976" s="2" t="str">
        <f aca="false"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 t="str">
        <f aca="false">IF(OR(F5976="",G5976=""),"",IF(G5976&lt;='RETRATO 2027'!$K$5,"CONCLUÍDA",IF(F5976&lt;='RETRATO 2027'!$K$5,"EM ANDAMENTO","A INICIAR")))</f>
        <v/>
      </c>
    </row>
    <row r="5977" customFormat="false" ht="15" hidden="false" customHeight="false" outlineLevel="0" collapsed="false">
      <c r="M5977" s="2" t="str">
        <f aca="false">IF(C5977="","",IFERROR(INDEX($S$5:$S$304,MATCH(C5977,$R$5:$R$304,0))&amp;"","?"))</f>
        <v/>
      </c>
      <c r="N5977" s="2" t="str">
        <f aca="false"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 t="str">
        <f aca="false">IF(OR(F5977="",G5977=""),"",IF(G5977&lt;='RETRATO 2027'!$K$5,"CONCLUÍDA",IF(F5977&lt;='RETRATO 2027'!$K$5,"EM ANDAMENTO","A INICIAR")))</f>
        <v/>
      </c>
    </row>
    <row r="5978" customFormat="false" ht="15" hidden="false" customHeight="false" outlineLevel="0" collapsed="false">
      <c r="M5978" s="2" t="str">
        <f aca="false">IF(C5978="","",IFERROR(INDEX($S$5:$S$304,MATCH(C5978,$R$5:$R$304,0))&amp;"","?"))</f>
        <v/>
      </c>
      <c r="N5978" s="2" t="str">
        <f aca="false"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 t="str">
        <f aca="false">IF(OR(F5978="",G5978=""),"",IF(G5978&lt;='RETRATO 2027'!$K$5,"CONCLUÍDA",IF(F5978&lt;='RETRATO 2027'!$K$5,"EM ANDAMENTO","A INICIAR")))</f>
        <v/>
      </c>
    </row>
    <row r="5979" customFormat="false" ht="15" hidden="false" customHeight="false" outlineLevel="0" collapsed="false">
      <c r="M5979" s="2" t="str">
        <f aca="false">IF(C5979="","",IFERROR(INDEX($S$5:$S$304,MATCH(C5979,$R$5:$R$304,0))&amp;"","?"))</f>
        <v/>
      </c>
      <c r="N5979" s="2" t="str">
        <f aca="false"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 t="str">
        <f aca="false">IF(OR(F5979="",G5979=""),"",IF(G5979&lt;='RETRATO 2027'!$K$5,"CONCLUÍDA",IF(F5979&lt;='RETRATO 2027'!$K$5,"EM ANDAMENTO","A INICIAR")))</f>
        <v/>
      </c>
    </row>
    <row r="5980" customFormat="false" ht="15" hidden="false" customHeight="false" outlineLevel="0" collapsed="false">
      <c r="M5980" s="2" t="str">
        <f aca="false">IF(C5980="","",IFERROR(INDEX($S$5:$S$304,MATCH(C5980,$R$5:$R$304,0))&amp;"","?"))</f>
        <v/>
      </c>
      <c r="N5980" s="2" t="str">
        <f aca="false"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 t="str">
        <f aca="false">IF(OR(F5980="",G5980=""),"",IF(G5980&lt;='RETRATO 2027'!$K$5,"CONCLUÍDA",IF(F5980&lt;='RETRATO 2027'!$K$5,"EM ANDAMENTO","A INICIAR")))</f>
        <v/>
      </c>
    </row>
    <row r="5981" customFormat="false" ht="15" hidden="false" customHeight="false" outlineLevel="0" collapsed="false">
      <c r="M5981" s="2" t="str">
        <f aca="false">IF(C5981="","",IFERROR(INDEX($S$5:$S$304,MATCH(C5981,$R$5:$R$304,0))&amp;"","?"))</f>
        <v/>
      </c>
      <c r="N5981" s="2" t="str">
        <f aca="false"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 t="str">
        <f aca="false">IF(OR(F5981="",G5981=""),"",IF(G5981&lt;='RETRATO 2027'!$K$5,"CONCLUÍDA",IF(F5981&lt;='RETRATO 2027'!$K$5,"EM ANDAMENTO","A INICIAR")))</f>
        <v/>
      </c>
    </row>
    <row r="5982" customFormat="false" ht="15" hidden="false" customHeight="false" outlineLevel="0" collapsed="false">
      <c r="M5982" s="2" t="str">
        <f aca="false">IF(C5982="","",IFERROR(INDEX($S$5:$S$304,MATCH(C5982,$R$5:$R$304,0))&amp;"","?"))</f>
        <v/>
      </c>
      <c r="N5982" s="2" t="str">
        <f aca="false"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 t="str">
        <f aca="false">IF(OR(F5982="",G5982=""),"",IF(G5982&lt;='RETRATO 2027'!$K$5,"CONCLUÍDA",IF(F5982&lt;='RETRATO 2027'!$K$5,"EM ANDAMENTO","A INICIAR")))</f>
        <v/>
      </c>
    </row>
    <row r="5983" customFormat="false" ht="15" hidden="false" customHeight="false" outlineLevel="0" collapsed="false">
      <c r="M5983" s="2" t="str">
        <f aca="false">IF(C5983="","",IFERROR(INDEX($S$5:$S$304,MATCH(C5983,$R$5:$R$304,0))&amp;"","?"))</f>
        <v/>
      </c>
      <c r="N5983" s="2" t="str">
        <f aca="false"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 t="str">
        <f aca="false">IF(OR(F5983="",G5983=""),"",IF(G5983&lt;='RETRATO 2027'!$K$5,"CONCLUÍDA",IF(F5983&lt;='RETRATO 2027'!$K$5,"EM ANDAMENTO","A INICIAR")))</f>
        <v/>
      </c>
    </row>
    <row r="5984" customFormat="false" ht="15" hidden="false" customHeight="false" outlineLevel="0" collapsed="false">
      <c r="M5984" s="2" t="str">
        <f aca="false">IF(C5984="","",IFERROR(INDEX($S$5:$S$304,MATCH(C5984,$R$5:$R$304,0))&amp;"","?"))</f>
        <v/>
      </c>
      <c r="N5984" s="2" t="str">
        <f aca="false"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 t="str">
        <f aca="false">IF(OR(F5984="",G5984=""),"",IF(G5984&lt;='RETRATO 2027'!$K$5,"CONCLUÍDA",IF(F5984&lt;='RETRATO 2027'!$K$5,"EM ANDAMENTO","A INICIAR")))</f>
        <v/>
      </c>
    </row>
    <row r="5985" customFormat="false" ht="15" hidden="false" customHeight="false" outlineLevel="0" collapsed="false">
      <c r="M5985" s="2" t="str">
        <f aca="false">IF(C5985="","",IFERROR(INDEX($S$5:$S$304,MATCH(C5985,$R$5:$R$304,0))&amp;"","?"))</f>
        <v/>
      </c>
      <c r="N5985" s="2" t="str">
        <f aca="false"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 t="str">
        <f aca="false">IF(OR(F5985="",G5985=""),"",IF(G5985&lt;='RETRATO 2027'!$K$5,"CONCLUÍDA",IF(F5985&lt;='RETRATO 2027'!$K$5,"EM ANDAMENTO","A INICIAR")))</f>
        <v/>
      </c>
    </row>
    <row r="5986" customFormat="false" ht="15" hidden="false" customHeight="false" outlineLevel="0" collapsed="false">
      <c r="M5986" s="2" t="str">
        <f aca="false">IF(C5986="","",IFERROR(INDEX($S$5:$S$304,MATCH(C5986,$R$5:$R$304,0))&amp;"","?"))</f>
        <v/>
      </c>
      <c r="N5986" s="2" t="str">
        <f aca="false"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 t="str">
        <f aca="false">IF(OR(F5986="",G5986=""),"",IF(G5986&lt;='RETRATO 2027'!$K$5,"CONCLUÍDA",IF(F5986&lt;='RETRATO 2027'!$K$5,"EM ANDAMENTO","A INICIAR")))</f>
        <v/>
      </c>
    </row>
    <row r="5987" customFormat="false" ht="15" hidden="false" customHeight="false" outlineLevel="0" collapsed="false">
      <c r="M5987" s="2" t="str">
        <f aca="false">IF(C5987="","",IFERROR(INDEX($S$5:$S$304,MATCH(C5987,$R$5:$R$304,0))&amp;"","?"))</f>
        <v/>
      </c>
      <c r="N5987" s="2" t="str">
        <f aca="false"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 t="str">
        <f aca="false">IF(OR(F5987="",G5987=""),"",IF(G5987&lt;='RETRATO 2027'!$K$5,"CONCLUÍDA",IF(F5987&lt;='RETRATO 2027'!$K$5,"EM ANDAMENTO","A INICIAR")))</f>
        <v/>
      </c>
    </row>
    <row r="5988" customFormat="false" ht="15" hidden="false" customHeight="false" outlineLevel="0" collapsed="false">
      <c r="M5988" s="2" t="str">
        <f aca="false">IF(C5988="","",IFERROR(INDEX($S$5:$S$304,MATCH(C5988,$R$5:$R$304,0))&amp;"","?"))</f>
        <v/>
      </c>
      <c r="N5988" s="2" t="str">
        <f aca="false"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 t="str">
        <f aca="false">IF(OR(F5988="",G5988=""),"",IF(G5988&lt;='RETRATO 2027'!$K$5,"CONCLUÍDA",IF(F5988&lt;='RETRATO 2027'!$K$5,"EM ANDAMENTO","A INICIAR")))</f>
        <v/>
      </c>
    </row>
    <row r="5989" customFormat="false" ht="15" hidden="false" customHeight="false" outlineLevel="0" collapsed="false">
      <c r="M5989" s="2" t="str">
        <f aca="false">IF(C5989="","",IFERROR(INDEX($S$5:$S$304,MATCH(C5989,$R$5:$R$304,0))&amp;"","?"))</f>
        <v/>
      </c>
      <c r="N5989" s="2" t="str">
        <f aca="false"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 t="str">
        <f aca="false">IF(OR(F5989="",G5989=""),"",IF(G5989&lt;='RETRATO 2027'!$K$5,"CONCLUÍDA",IF(F5989&lt;='RETRATO 2027'!$K$5,"EM ANDAMENTO","A INICIAR")))</f>
        <v/>
      </c>
    </row>
    <row r="5990" customFormat="false" ht="15" hidden="false" customHeight="false" outlineLevel="0" collapsed="false">
      <c r="M5990" s="2" t="str">
        <f aca="false">IF(C5990="","",IFERROR(INDEX($S$5:$S$304,MATCH(C5990,$R$5:$R$304,0))&amp;"","?"))</f>
        <v/>
      </c>
      <c r="N5990" s="2" t="str">
        <f aca="false"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 t="str">
        <f aca="false">IF(OR(F5990="",G5990=""),"",IF(G5990&lt;='RETRATO 2027'!$K$5,"CONCLUÍDA",IF(F5990&lt;='RETRATO 2027'!$K$5,"EM ANDAMENTO","A INICIAR")))</f>
        <v/>
      </c>
    </row>
    <row r="5991" customFormat="false" ht="15" hidden="false" customHeight="false" outlineLevel="0" collapsed="false">
      <c r="M5991" s="2" t="str">
        <f aca="false">IF(C5991="","",IFERROR(INDEX($S$5:$S$304,MATCH(C5991,$R$5:$R$304,0))&amp;"","?"))</f>
        <v/>
      </c>
      <c r="N5991" s="2" t="str">
        <f aca="false"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 t="str">
        <f aca="false">IF(OR(F5991="",G5991=""),"",IF(G5991&lt;='RETRATO 2027'!$K$5,"CONCLUÍDA",IF(F5991&lt;='RETRATO 2027'!$K$5,"EM ANDAMENTO","A INICIAR")))</f>
        <v/>
      </c>
    </row>
    <row r="5992" customFormat="false" ht="15" hidden="false" customHeight="false" outlineLevel="0" collapsed="false">
      <c r="M5992" s="2" t="str">
        <f aca="false">IF(C5992="","",IFERROR(INDEX($S$5:$S$304,MATCH(C5992,$R$5:$R$304,0))&amp;"","?"))</f>
        <v/>
      </c>
      <c r="N5992" s="2" t="str">
        <f aca="false"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 t="str">
        <f aca="false">IF(OR(F5992="",G5992=""),"",IF(G5992&lt;='RETRATO 2027'!$K$5,"CONCLUÍDA",IF(F5992&lt;='RETRATO 2027'!$K$5,"EM ANDAMENTO","A INICIAR")))</f>
        <v/>
      </c>
    </row>
    <row r="5993" customFormat="false" ht="15" hidden="false" customHeight="false" outlineLevel="0" collapsed="false">
      <c r="M5993" s="2" t="str">
        <f aca="false">IF(C5993="","",IFERROR(INDEX($S$5:$S$304,MATCH(C5993,$R$5:$R$304,0))&amp;"","?"))</f>
        <v/>
      </c>
      <c r="N5993" s="2" t="str">
        <f aca="false"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 t="str">
        <f aca="false">IF(OR(F5993="",G5993=""),"",IF(G5993&lt;='RETRATO 2027'!$K$5,"CONCLUÍDA",IF(F5993&lt;='RETRATO 2027'!$K$5,"EM ANDAMENTO","A INICIAR")))</f>
        <v/>
      </c>
    </row>
    <row r="5994" customFormat="false" ht="15" hidden="false" customHeight="false" outlineLevel="0" collapsed="false">
      <c r="M5994" s="2" t="str">
        <f aca="false">IF(C5994="","",IFERROR(INDEX($S$5:$S$304,MATCH(C5994,$R$5:$R$304,0))&amp;"","?"))</f>
        <v/>
      </c>
      <c r="N5994" s="2" t="str">
        <f aca="false"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 t="str">
        <f aca="false">IF(OR(F5994="",G5994=""),"",IF(G5994&lt;='RETRATO 2027'!$K$5,"CONCLUÍDA",IF(F5994&lt;='RETRATO 2027'!$K$5,"EM ANDAMENTO","A INICIAR")))</f>
        <v/>
      </c>
    </row>
    <row r="5995" customFormat="false" ht="15" hidden="false" customHeight="false" outlineLevel="0" collapsed="false">
      <c r="M5995" s="2" t="str">
        <f aca="false">IF(C5995="","",IFERROR(INDEX($S$5:$S$304,MATCH(C5995,$R$5:$R$304,0))&amp;"","?"))</f>
        <v/>
      </c>
      <c r="N5995" s="2" t="str">
        <f aca="false"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 t="str">
        <f aca="false">IF(OR(F5995="",G5995=""),"",IF(G5995&lt;='RETRATO 2027'!$K$5,"CONCLUÍDA",IF(F5995&lt;='RETRATO 2027'!$K$5,"EM ANDAMENTO","A INICIAR")))</f>
        <v/>
      </c>
    </row>
    <row r="5996" customFormat="false" ht="15" hidden="false" customHeight="false" outlineLevel="0" collapsed="false">
      <c r="M5996" s="2" t="str">
        <f aca="false">IF(C5996="","",IFERROR(INDEX($S$5:$S$304,MATCH(C5996,$R$5:$R$304,0))&amp;"","?"))</f>
        <v/>
      </c>
      <c r="N5996" s="2" t="str">
        <f aca="false"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 t="str">
        <f aca="false">IF(OR(F5996="",G5996=""),"",IF(G5996&lt;='RETRATO 2027'!$K$5,"CONCLUÍDA",IF(F5996&lt;='RETRATO 2027'!$K$5,"EM ANDAMENTO","A INICIAR")))</f>
        <v/>
      </c>
    </row>
    <row r="5997" customFormat="false" ht="15" hidden="false" customHeight="false" outlineLevel="0" collapsed="false">
      <c r="M5997" s="2" t="str">
        <f aca="false">IF(C5997="","",IFERROR(INDEX($S$5:$S$304,MATCH(C5997,$R$5:$R$304,0))&amp;"","?"))</f>
        <v/>
      </c>
      <c r="N5997" s="2" t="str">
        <f aca="false"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 t="str">
        <f aca="false">IF(OR(F5997="",G5997=""),"",IF(G5997&lt;='RETRATO 2027'!$K$5,"CONCLUÍDA",IF(F5997&lt;='RETRATO 2027'!$K$5,"EM ANDAMENTO","A INICIAR")))</f>
        <v/>
      </c>
    </row>
    <row r="5998" customFormat="false" ht="15" hidden="false" customHeight="false" outlineLevel="0" collapsed="false">
      <c r="M5998" s="2" t="str">
        <f aca="false">IF(C5998="","",IFERROR(INDEX($S$5:$S$304,MATCH(C5998,$R$5:$R$304,0))&amp;"","?"))</f>
        <v/>
      </c>
      <c r="N5998" s="2" t="str">
        <f aca="false"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 t="str">
        <f aca="false">IF(OR(F5998="",G5998=""),"",IF(G5998&lt;='RETRATO 2027'!$K$5,"CONCLUÍDA",IF(F5998&lt;='RETRATO 2027'!$K$5,"EM ANDAMENTO","A INICIAR")))</f>
        <v/>
      </c>
    </row>
    <row r="5999" customFormat="false" ht="15" hidden="false" customHeight="false" outlineLevel="0" collapsed="false">
      <c r="M5999" s="2" t="str">
        <f aca="false">IF(C5999="","",IFERROR(INDEX($S$5:$S$304,MATCH(C5999,$R$5:$R$304,0))&amp;"","?"))</f>
        <v/>
      </c>
      <c r="N5999" s="2" t="str">
        <f aca="false"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 t="str">
        <f aca="false">IF(OR(F5999="",G5999=""),"",IF(G5999&lt;='RETRATO 2027'!$K$5,"CONCLUÍDA",IF(F5999&lt;='RETRATO 2027'!$K$5,"EM ANDAMENTO","A INICIAR")))</f>
        <v/>
      </c>
    </row>
    <row r="6000" customFormat="false" ht="15" hidden="false" customHeight="false" outlineLevel="0" collapsed="false">
      <c r="M6000" s="2" t="str">
        <f aca="false">IF(C6000="","",IFERROR(INDEX($S$5:$S$304,MATCH(C6000,$R$5:$R$304,0))&amp;"","?"))</f>
        <v/>
      </c>
      <c r="N6000" s="2" t="str">
        <f aca="false"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 t="str">
        <f aca="false">IF(OR(F6000="",G6000=""),"",IF(G6000&lt;='RETRATO 2027'!$K$5,"CONCLUÍDA",IF(F6000&lt;='RETRATO 2027'!$K$5,"EM ANDAMENTO","A INICIAR")))</f>
        <v/>
      </c>
    </row>
    <row r="6001" customFormat="false" ht="15" hidden="false" customHeight="false" outlineLevel="0" collapsed="false">
      <c r="M6001" s="2" t="str">
        <f aca="false">IF(C6001="","",IFERROR(INDEX($S$5:$S$304,MATCH(C6001,$R$5:$R$304,0))&amp;"","?"))</f>
        <v/>
      </c>
      <c r="N6001" s="2" t="str">
        <f aca="false"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 t="str">
        <f aca="false">IF(OR(F6001="",G6001=""),"",IF(G6001&lt;='RETRATO 2027'!$K$5,"CONCLUÍDA",IF(F6001&lt;='RETRATO 2027'!$K$5,"EM ANDAMENTO","A INICIAR")))</f>
        <v/>
      </c>
    </row>
    <row r="6002" customFormat="false" ht="15" hidden="false" customHeight="false" outlineLevel="0" collapsed="false">
      <c r="M6002" s="2" t="str">
        <f aca="false">IF(C6002="","",IFERROR(INDEX($S$5:$S$304,MATCH(C6002,$R$5:$R$304,0))&amp;"","?"))</f>
        <v/>
      </c>
      <c r="N6002" s="2" t="str">
        <f aca="false"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 t="str">
        <f aca="false">IF(OR(F6002="",G6002=""),"",IF(G6002&lt;='RETRATO 2027'!$K$5,"CONCLUÍDA",IF(F6002&lt;='RETRATO 2027'!$K$5,"EM ANDAMENTO","A INICIAR")))</f>
        <v/>
      </c>
    </row>
    <row r="6003" customFormat="false" ht="15" hidden="false" customHeight="false" outlineLevel="0" collapsed="false">
      <c r="M6003" s="2" t="str">
        <f aca="false">IF(C6003="","",IFERROR(INDEX($S$5:$S$304,MATCH(C6003,$R$5:$R$304,0))&amp;"","?"))</f>
        <v/>
      </c>
      <c r="N6003" s="2" t="str">
        <f aca="false"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 t="str">
        <f aca="false">IF(OR(F6003="",G6003=""),"",IF(G6003&lt;='RETRATO 2027'!$K$5,"CONCLUÍDA",IF(F6003&lt;='RETRATO 2027'!$K$5,"EM ANDAMENTO","A INICIAR")))</f>
        <v/>
      </c>
    </row>
    <row r="6004" customFormat="false" ht="15" hidden="false" customHeight="false" outlineLevel="0" collapsed="false">
      <c r="M6004" s="2" t="str">
        <f aca="false">IF(C6004="","",IFERROR(INDEX($S$5:$S$304,MATCH(C6004,$R$5:$R$304,0))&amp;"","?"))</f>
        <v/>
      </c>
      <c r="N6004" s="2" t="str">
        <f aca="false"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 t="str">
        <f aca="false">IF(OR(F6004="",G6004=""),"",IF(G6004&lt;='RETRATO 2027'!$K$5,"CONCLUÍDA",IF(F6004&lt;='RETRATO 2027'!$K$5,"EM ANDAMENTO","A INICIAR")))</f>
        <v/>
      </c>
    </row>
  </sheetData>
  <conditionalFormatting sqref="O2">
    <cfRule type="cellIs" priority="2" operator="greaterThan" aboveAverage="0" equalAverage="0" bottom="0" percent="0" rank="0" text="" dxfId="5">
      <formula>0</formula>
    </cfRule>
  </conditionalFormatting>
  <conditionalFormatting sqref="M5:M6004">
    <cfRule type="cellIs" priority="3" operator="equal" aboveAverage="0" equalAverage="0" bottom="0" percent="0" rank="0" text="" dxfId="5">
      <formula>"?"</formula>
    </cfRule>
  </conditionalFormatting>
  <dataValidations count="1">
    <dataValidation allowBlank="true" errorStyle="stop" operator="between" showDropDown="false" showErrorMessage="false" showInputMessage="false" sqref="U5:U304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BW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75" min="4" style="0" width="8"/>
  </cols>
  <sheetData>
    <row r="1" customFormat="false" ht="15" hidden="false" customHeight="false" outlineLevel="0" collapsed="false">
      <c r="A1" s="3" t="s">
        <v>2858</v>
      </c>
    </row>
    <row r="2" customFormat="false" ht="15" hidden="false" customHeight="false" outlineLevel="0" collapsed="false">
      <c r="A2" s="2" t="s">
        <v>2859</v>
      </c>
      <c r="B2" s="128" t="n">
        <f aca="false">IFERROR(IF(ISNUMBER('CURVA PREVISION'!J2),DATE(YEAR('CURVA PREVISION'!J2),MONTH('CURVA PREVISION'!J2),1),DATE(VALUE(RIGHT('CURVA PREVISION'!J2,4)),VALUE(MID('CURVA PREVISION'!J2,4,2)),1)),"")</f>
        <v>45809</v>
      </c>
      <c r="C2" s="2" t="s">
        <v>2860</v>
      </c>
      <c r="D2" s="64" t="n">
        <f aca="false">COUNTIF('CURVA PREVISION'!$I$2:$KZ$2,"??/??/????")+COUNT('CURVA PREVISION'!$I$2:$KZ$2)</f>
        <v>47</v>
      </c>
    </row>
    <row r="3" customFormat="false" ht="15" hidden="false" customHeight="false" outlineLevel="0" collapsed="false">
      <c r="C3" s="123" t="s">
        <v>2861</v>
      </c>
      <c r="D3" s="129" t="n">
        <f aca="false">IF($B$2="","",(YEAR(D4)-YEAR($B$2))*12+MONTH(D4)-MONTH($B$2))</f>
        <v>-6</v>
      </c>
      <c r="E3" s="129" t="n">
        <f aca="false">IF($B$2="","",(YEAR(E4)-YEAR($B$2))*12+MONTH(E4)-MONTH($B$2))</f>
        <v>-5</v>
      </c>
      <c r="F3" s="129" t="n">
        <f aca="false">IF($B$2="","",(YEAR(F4)-YEAR($B$2))*12+MONTH(F4)-MONTH($B$2))</f>
        <v>-4</v>
      </c>
      <c r="G3" s="129" t="n">
        <f aca="false">IF($B$2="","",(YEAR(G4)-YEAR($B$2))*12+MONTH(G4)-MONTH($B$2))</f>
        <v>-3</v>
      </c>
      <c r="H3" s="129" t="n">
        <f aca="false">IF($B$2="","",(YEAR(H4)-YEAR($B$2))*12+MONTH(H4)-MONTH($B$2))</f>
        <v>-2</v>
      </c>
      <c r="I3" s="129" t="n">
        <f aca="false">IF($B$2="","",(YEAR(I4)-YEAR($B$2))*12+MONTH(I4)-MONTH($B$2))</f>
        <v>-1</v>
      </c>
      <c r="J3" s="129" t="n">
        <f aca="false">IF($B$2="","",(YEAR(J4)-YEAR($B$2))*12+MONTH(J4)-MONTH($B$2))</f>
        <v>0</v>
      </c>
      <c r="K3" s="129" t="n">
        <f aca="false">IF($B$2="","",(YEAR(K4)-YEAR($B$2))*12+MONTH(K4)-MONTH($B$2))</f>
        <v>1</v>
      </c>
      <c r="L3" s="129" t="n">
        <f aca="false">IF($B$2="","",(YEAR(L4)-YEAR($B$2))*12+MONTH(L4)-MONTH($B$2))</f>
        <v>2</v>
      </c>
      <c r="M3" s="129" t="n">
        <f aca="false">IF($B$2="","",(YEAR(M4)-YEAR($B$2))*12+MONTH(M4)-MONTH($B$2))</f>
        <v>3</v>
      </c>
      <c r="N3" s="129" t="n">
        <f aca="false">IF($B$2="","",(YEAR(N4)-YEAR($B$2))*12+MONTH(N4)-MONTH($B$2))</f>
        <v>4</v>
      </c>
      <c r="O3" s="129" t="n">
        <f aca="false">IF($B$2="","",(YEAR(O4)-YEAR($B$2))*12+MONTH(O4)-MONTH($B$2))</f>
        <v>5</v>
      </c>
      <c r="P3" s="129" t="n">
        <f aca="false">IF($B$2="","",(YEAR(P4)-YEAR($B$2))*12+MONTH(P4)-MONTH($B$2))</f>
        <v>6</v>
      </c>
      <c r="Q3" s="129" t="n">
        <f aca="false">IF($B$2="","",(YEAR(Q4)-YEAR($B$2))*12+MONTH(Q4)-MONTH($B$2))</f>
        <v>7</v>
      </c>
      <c r="R3" s="129" t="n">
        <f aca="false">IF($B$2="","",(YEAR(R4)-YEAR($B$2))*12+MONTH(R4)-MONTH($B$2))</f>
        <v>8</v>
      </c>
      <c r="S3" s="129" t="n">
        <f aca="false">IF($B$2="","",(YEAR(S4)-YEAR($B$2))*12+MONTH(S4)-MONTH($B$2))</f>
        <v>9</v>
      </c>
      <c r="T3" s="129" t="n">
        <f aca="false">IF($B$2="","",(YEAR(T4)-YEAR($B$2))*12+MONTH(T4)-MONTH($B$2))</f>
        <v>10</v>
      </c>
      <c r="U3" s="129" t="n">
        <f aca="false">IF($B$2="","",(YEAR(U4)-YEAR($B$2))*12+MONTH(U4)-MONTH($B$2))</f>
        <v>11</v>
      </c>
      <c r="V3" s="129" t="n">
        <f aca="false">IF($B$2="","",(YEAR(V4)-YEAR($B$2))*12+MONTH(V4)-MONTH($B$2))</f>
        <v>12</v>
      </c>
      <c r="W3" s="129" t="n">
        <f aca="false">IF($B$2="","",(YEAR(W4)-YEAR($B$2))*12+MONTH(W4)-MONTH($B$2))</f>
        <v>13</v>
      </c>
      <c r="X3" s="129" t="n">
        <f aca="false">IF($B$2="","",(YEAR(X4)-YEAR($B$2))*12+MONTH(X4)-MONTH($B$2))</f>
        <v>14</v>
      </c>
      <c r="Y3" s="129" t="n">
        <f aca="false">IF($B$2="","",(YEAR(Y4)-YEAR($B$2))*12+MONTH(Y4)-MONTH($B$2))</f>
        <v>15</v>
      </c>
      <c r="Z3" s="129" t="n">
        <f aca="false">IF($B$2="","",(YEAR(Z4)-YEAR($B$2))*12+MONTH(Z4)-MONTH($B$2))</f>
        <v>16</v>
      </c>
      <c r="AA3" s="129" t="n">
        <f aca="false">IF($B$2="","",(YEAR(AA4)-YEAR($B$2))*12+MONTH(AA4)-MONTH($B$2))</f>
        <v>17</v>
      </c>
      <c r="AB3" s="129" t="n">
        <f aca="false">IF($B$2="","",(YEAR(AB4)-YEAR($B$2))*12+MONTH(AB4)-MONTH($B$2))</f>
        <v>18</v>
      </c>
      <c r="AC3" s="129" t="n">
        <f aca="false">IF($B$2="","",(YEAR(AC4)-YEAR($B$2))*12+MONTH(AC4)-MONTH($B$2))</f>
        <v>19</v>
      </c>
      <c r="AD3" s="129" t="n">
        <f aca="false">IF($B$2="","",(YEAR(AD4)-YEAR($B$2))*12+MONTH(AD4)-MONTH($B$2))</f>
        <v>20</v>
      </c>
      <c r="AE3" s="129" t="n">
        <f aca="false">IF($B$2="","",(YEAR(AE4)-YEAR($B$2))*12+MONTH(AE4)-MONTH($B$2))</f>
        <v>21</v>
      </c>
      <c r="AF3" s="129" t="n">
        <f aca="false">IF($B$2="","",(YEAR(AF4)-YEAR($B$2))*12+MONTH(AF4)-MONTH($B$2))</f>
        <v>22</v>
      </c>
      <c r="AG3" s="129" t="n">
        <f aca="false">IF($B$2="","",(YEAR(AG4)-YEAR($B$2))*12+MONTH(AG4)-MONTH($B$2))</f>
        <v>23</v>
      </c>
      <c r="AH3" s="129" t="n">
        <f aca="false">IF($B$2="","",(YEAR(AH4)-YEAR($B$2))*12+MONTH(AH4)-MONTH($B$2))</f>
        <v>24</v>
      </c>
      <c r="AI3" s="129" t="n">
        <f aca="false">IF($B$2="","",(YEAR(AI4)-YEAR($B$2))*12+MONTH(AI4)-MONTH($B$2))</f>
        <v>25</v>
      </c>
      <c r="AJ3" s="129" t="n">
        <f aca="false">IF($B$2="","",(YEAR(AJ4)-YEAR($B$2))*12+MONTH(AJ4)-MONTH($B$2))</f>
        <v>26</v>
      </c>
      <c r="AK3" s="129" t="n">
        <f aca="false">IF($B$2="","",(YEAR(AK4)-YEAR($B$2))*12+MONTH(AK4)-MONTH($B$2))</f>
        <v>27</v>
      </c>
      <c r="AL3" s="129" t="n">
        <f aca="false">IF($B$2="","",(YEAR(AL4)-YEAR($B$2))*12+MONTH(AL4)-MONTH($B$2))</f>
        <v>28</v>
      </c>
      <c r="AM3" s="129" t="n">
        <f aca="false">IF($B$2="","",(YEAR(AM4)-YEAR($B$2))*12+MONTH(AM4)-MONTH($B$2))</f>
        <v>29</v>
      </c>
      <c r="AN3" s="129" t="n">
        <f aca="false">IF($B$2="","",(YEAR(AN4)-YEAR($B$2))*12+MONTH(AN4)-MONTH($B$2))</f>
        <v>30</v>
      </c>
      <c r="AO3" s="129" t="n">
        <f aca="false">IF($B$2="","",(YEAR(AO4)-YEAR($B$2))*12+MONTH(AO4)-MONTH($B$2))</f>
        <v>31</v>
      </c>
      <c r="AP3" s="129" t="n">
        <f aca="false">IF($B$2="","",(YEAR(AP4)-YEAR($B$2))*12+MONTH(AP4)-MONTH($B$2))</f>
        <v>32</v>
      </c>
      <c r="AQ3" s="129" t="n">
        <f aca="false">IF($B$2="","",(YEAR(AQ4)-YEAR($B$2))*12+MONTH(AQ4)-MONTH($B$2))</f>
        <v>33</v>
      </c>
      <c r="AR3" s="129" t="n">
        <f aca="false">IF($B$2="","",(YEAR(AR4)-YEAR($B$2))*12+MONTH(AR4)-MONTH($B$2))</f>
        <v>34</v>
      </c>
      <c r="AS3" s="129" t="n">
        <f aca="false">IF($B$2="","",(YEAR(AS4)-YEAR($B$2))*12+MONTH(AS4)-MONTH($B$2))</f>
        <v>35</v>
      </c>
      <c r="AT3" s="129" t="n">
        <f aca="false">IF($B$2="","",(YEAR(AT4)-YEAR($B$2))*12+MONTH(AT4)-MONTH($B$2))</f>
        <v>36</v>
      </c>
      <c r="AU3" s="129" t="n">
        <f aca="false">IF($B$2="","",(YEAR(AU4)-YEAR($B$2))*12+MONTH(AU4)-MONTH($B$2))</f>
        <v>37</v>
      </c>
      <c r="AV3" s="129" t="n">
        <f aca="false">IF($B$2="","",(YEAR(AV4)-YEAR($B$2))*12+MONTH(AV4)-MONTH($B$2))</f>
        <v>38</v>
      </c>
      <c r="AW3" s="129" t="n">
        <f aca="false">IF($B$2="","",(YEAR(AW4)-YEAR($B$2))*12+MONTH(AW4)-MONTH($B$2))</f>
        <v>39</v>
      </c>
      <c r="AX3" s="129" t="n">
        <f aca="false">IF($B$2="","",(YEAR(AX4)-YEAR($B$2))*12+MONTH(AX4)-MONTH($B$2))</f>
        <v>40</v>
      </c>
      <c r="AY3" s="129" t="n">
        <f aca="false">IF($B$2="","",(YEAR(AY4)-YEAR($B$2))*12+MONTH(AY4)-MONTH($B$2))</f>
        <v>41</v>
      </c>
      <c r="AZ3" s="129" t="n">
        <f aca="false">IF($B$2="","",(YEAR(AZ4)-YEAR($B$2))*12+MONTH(AZ4)-MONTH($B$2))</f>
        <v>42</v>
      </c>
      <c r="BA3" s="129" t="n">
        <f aca="false">IF($B$2="","",(YEAR(BA4)-YEAR($B$2))*12+MONTH(BA4)-MONTH($B$2))</f>
        <v>43</v>
      </c>
      <c r="BB3" s="129" t="n">
        <f aca="false">IF($B$2="","",(YEAR(BB4)-YEAR($B$2))*12+MONTH(BB4)-MONTH($B$2))</f>
        <v>44</v>
      </c>
      <c r="BC3" s="129" t="n">
        <f aca="false">IF($B$2="","",(YEAR(BC4)-YEAR($B$2))*12+MONTH(BC4)-MONTH($B$2))</f>
        <v>45</v>
      </c>
      <c r="BD3" s="129" t="n">
        <f aca="false">IF($B$2="","",(YEAR(BD4)-YEAR($B$2))*12+MONTH(BD4)-MONTH($B$2))</f>
        <v>46</v>
      </c>
      <c r="BE3" s="129" t="n">
        <f aca="false">IF($B$2="","",(YEAR(BE4)-YEAR($B$2))*12+MONTH(BE4)-MONTH($B$2))</f>
        <v>47</v>
      </c>
      <c r="BF3" s="129" t="n">
        <f aca="false">IF($B$2="","",(YEAR(BF4)-YEAR($B$2))*12+MONTH(BF4)-MONTH($B$2))</f>
        <v>48</v>
      </c>
      <c r="BG3" s="129" t="n">
        <f aca="false">IF($B$2="","",(YEAR(BG4)-YEAR($B$2))*12+MONTH(BG4)-MONTH($B$2))</f>
        <v>49</v>
      </c>
      <c r="BH3" s="129" t="n">
        <f aca="false">IF($B$2="","",(YEAR(BH4)-YEAR($B$2))*12+MONTH(BH4)-MONTH($B$2))</f>
        <v>50</v>
      </c>
      <c r="BI3" s="129" t="n">
        <f aca="false">IF($B$2="","",(YEAR(BI4)-YEAR($B$2))*12+MONTH(BI4)-MONTH($B$2))</f>
        <v>51</v>
      </c>
      <c r="BJ3" s="129" t="n">
        <f aca="false">IF($B$2="","",(YEAR(BJ4)-YEAR($B$2))*12+MONTH(BJ4)-MONTH($B$2))</f>
        <v>52</v>
      </c>
      <c r="BK3" s="129" t="n">
        <f aca="false">IF($B$2="","",(YEAR(BK4)-YEAR($B$2))*12+MONTH(BK4)-MONTH($B$2))</f>
        <v>53</v>
      </c>
      <c r="BL3" s="129" t="n">
        <f aca="false">IF($B$2="","",(YEAR(BL4)-YEAR($B$2))*12+MONTH(BL4)-MONTH($B$2))</f>
        <v>54</v>
      </c>
      <c r="BM3" s="129" t="n">
        <f aca="false">IF($B$2="","",(YEAR(BM4)-YEAR($B$2))*12+MONTH(BM4)-MONTH($B$2))</f>
        <v>55</v>
      </c>
      <c r="BN3" s="129" t="n">
        <f aca="false">IF($B$2="","",(YEAR(BN4)-YEAR($B$2))*12+MONTH(BN4)-MONTH($B$2))</f>
        <v>56</v>
      </c>
      <c r="BO3" s="129" t="n">
        <f aca="false">IF($B$2="","",(YEAR(BO4)-YEAR($B$2))*12+MONTH(BO4)-MONTH($B$2))</f>
        <v>57</v>
      </c>
      <c r="BP3" s="129" t="n">
        <f aca="false">IF($B$2="","",(YEAR(BP4)-YEAR($B$2))*12+MONTH(BP4)-MONTH($B$2))</f>
        <v>58</v>
      </c>
      <c r="BQ3" s="129" t="n">
        <f aca="false">IF($B$2="","",(YEAR(BQ4)-YEAR($B$2))*12+MONTH(BQ4)-MONTH($B$2))</f>
        <v>59</v>
      </c>
      <c r="BR3" s="129" t="n">
        <f aca="false">IF($B$2="","",(YEAR(BR4)-YEAR($B$2))*12+MONTH(BR4)-MONTH($B$2))</f>
        <v>60</v>
      </c>
      <c r="BS3" s="129" t="n">
        <f aca="false">IF($B$2="","",(YEAR(BS4)-YEAR($B$2))*12+MONTH(BS4)-MONTH($B$2))</f>
        <v>61</v>
      </c>
      <c r="BT3" s="129" t="n">
        <f aca="false">IF($B$2="","",(YEAR(BT4)-YEAR($B$2))*12+MONTH(BT4)-MONTH($B$2))</f>
        <v>62</v>
      </c>
      <c r="BU3" s="129" t="n">
        <f aca="false">IF($B$2="","",(YEAR(BU4)-YEAR($B$2))*12+MONTH(BU4)-MONTH($B$2))</f>
        <v>63</v>
      </c>
      <c r="BV3" s="129" t="n">
        <f aca="false">IF($B$2="","",(YEAR(BV4)-YEAR($B$2))*12+MONTH(BV4)-MONTH($B$2))</f>
        <v>64</v>
      </c>
      <c r="BW3" s="129" t="n">
        <f aca="false">IF($B$2="","",(YEAR(BW4)-YEAR($B$2))*12+MONTH(BW4)-MONTH($B$2))</f>
        <v>65</v>
      </c>
    </row>
    <row r="4" customFormat="false" ht="31.5" hidden="false" customHeight="true" outlineLevel="0" collapsed="false">
      <c r="A4" s="54" t="s">
        <v>115</v>
      </c>
      <c r="B4" s="54" t="s">
        <v>2862</v>
      </c>
      <c r="C4" s="54" t="s">
        <v>2863</v>
      </c>
      <c r="D4" s="130" t="n">
        <f aca="false">'MODELO PARA BI'!H1</f>
        <v>45627</v>
      </c>
      <c r="E4" s="130" t="n">
        <f aca="false">'MODELO PARA BI'!I1</f>
        <v>45658</v>
      </c>
      <c r="F4" s="130" t="n">
        <f aca="false">'MODELO PARA BI'!J1</f>
        <v>45689</v>
      </c>
      <c r="G4" s="130" t="n">
        <f aca="false">'MODELO PARA BI'!K1</f>
        <v>45717</v>
      </c>
      <c r="H4" s="130" t="n">
        <f aca="false">'MODELO PARA BI'!L1</f>
        <v>45748</v>
      </c>
      <c r="I4" s="130" t="n">
        <f aca="false">'MODELO PARA BI'!M1</f>
        <v>45778</v>
      </c>
      <c r="J4" s="130" t="n">
        <f aca="false">'MODELO PARA BI'!N1</f>
        <v>45809</v>
      </c>
      <c r="K4" s="130" t="n">
        <f aca="false">'MODELO PARA BI'!O1</f>
        <v>45839</v>
      </c>
      <c r="L4" s="130" t="n">
        <f aca="false">'MODELO PARA BI'!P1</f>
        <v>45870</v>
      </c>
      <c r="M4" s="130" t="n">
        <f aca="false">'MODELO PARA BI'!Q1</f>
        <v>45901</v>
      </c>
      <c r="N4" s="130" t="n">
        <f aca="false">'MODELO PARA BI'!R1</f>
        <v>45931</v>
      </c>
      <c r="O4" s="130" t="n">
        <f aca="false">'MODELO PARA BI'!S1</f>
        <v>45962</v>
      </c>
      <c r="P4" s="130" t="n">
        <f aca="false">'MODELO PARA BI'!T1</f>
        <v>45992</v>
      </c>
      <c r="Q4" s="130" t="n">
        <f aca="false">'MODELO PARA BI'!U1</f>
        <v>46023</v>
      </c>
      <c r="R4" s="130" t="n">
        <f aca="false">'MODELO PARA BI'!V1</f>
        <v>46054</v>
      </c>
      <c r="S4" s="130" t="n">
        <f aca="false">'MODELO PARA BI'!W1</f>
        <v>46082</v>
      </c>
      <c r="T4" s="130" t="n">
        <f aca="false">'MODELO PARA BI'!X1</f>
        <v>46113</v>
      </c>
      <c r="U4" s="130" t="n">
        <f aca="false">'MODELO PARA BI'!Y1</f>
        <v>46143</v>
      </c>
      <c r="V4" s="130" t="n">
        <f aca="false">'MODELO PARA BI'!Z1</f>
        <v>46174</v>
      </c>
      <c r="W4" s="130" t="n">
        <f aca="false">'MODELO PARA BI'!AA1</f>
        <v>46204</v>
      </c>
      <c r="X4" s="130" t="n">
        <f aca="false">'MODELO PARA BI'!AB1</f>
        <v>46235</v>
      </c>
      <c r="Y4" s="130" t="n">
        <f aca="false">'MODELO PARA BI'!AC1</f>
        <v>46266</v>
      </c>
      <c r="Z4" s="130" t="n">
        <f aca="false">'MODELO PARA BI'!AD1</f>
        <v>46296</v>
      </c>
      <c r="AA4" s="130" t="n">
        <f aca="false">'MODELO PARA BI'!AE1</f>
        <v>46327</v>
      </c>
      <c r="AB4" s="130" t="n">
        <f aca="false">'MODELO PARA BI'!AF1</f>
        <v>46357</v>
      </c>
      <c r="AC4" s="130" t="n">
        <f aca="false">'MODELO PARA BI'!AG1</f>
        <v>46388</v>
      </c>
      <c r="AD4" s="130" t="n">
        <f aca="false">'MODELO PARA BI'!AH1</f>
        <v>46419</v>
      </c>
      <c r="AE4" s="130" t="n">
        <f aca="false">'MODELO PARA BI'!AI1</f>
        <v>46447</v>
      </c>
      <c r="AF4" s="130" t="n">
        <f aca="false">'MODELO PARA BI'!AJ1</f>
        <v>46478</v>
      </c>
      <c r="AG4" s="130" t="n">
        <f aca="false">'MODELO PARA BI'!AK1</f>
        <v>46508</v>
      </c>
      <c r="AH4" s="130" t="n">
        <f aca="false">'MODELO PARA BI'!AL1</f>
        <v>46539</v>
      </c>
      <c r="AI4" s="130" t="n">
        <f aca="false">'MODELO PARA BI'!AM1</f>
        <v>46569</v>
      </c>
      <c r="AJ4" s="130" t="n">
        <f aca="false">'MODELO PARA BI'!AN1</f>
        <v>46600</v>
      </c>
      <c r="AK4" s="130" t="n">
        <f aca="false">'MODELO PARA BI'!AO1</f>
        <v>46631</v>
      </c>
      <c r="AL4" s="130" t="n">
        <f aca="false">'MODELO PARA BI'!AP1</f>
        <v>46661</v>
      </c>
      <c r="AM4" s="130" t="n">
        <f aca="false">'MODELO PARA BI'!AQ1</f>
        <v>46692</v>
      </c>
      <c r="AN4" s="130" t="n">
        <f aca="false">'MODELO PARA BI'!AR1</f>
        <v>46722</v>
      </c>
      <c r="AO4" s="130" t="n">
        <f aca="false">'MODELO PARA BI'!AS1</f>
        <v>46753</v>
      </c>
      <c r="AP4" s="130" t="n">
        <f aca="false">'MODELO PARA BI'!AT1</f>
        <v>46784</v>
      </c>
      <c r="AQ4" s="130" t="n">
        <f aca="false">'MODELO PARA BI'!AU1</f>
        <v>46813</v>
      </c>
      <c r="AR4" s="130" t="n">
        <f aca="false">'MODELO PARA BI'!AV1</f>
        <v>46844</v>
      </c>
      <c r="AS4" s="130" t="n">
        <f aca="false">'MODELO PARA BI'!AW1</f>
        <v>46874</v>
      </c>
      <c r="AT4" s="130" t="n">
        <f aca="false">'MODELO PARA BI'!AX1</f>
        <v>46905</v>
      </c>
      <c r="AU4" s="130" t="n">
        <f aca="false">'MODELO PARA BI'!AY1</f>
        <v>46935</v>
      </c>
      <c r="AV4" s="130" t="n">
        <f aca="false">'MODELO PARA BI'!AZ1</f>
        <v>46966</v>
      </c>
      <c r="AW4" s="130" t="n">
        <f aca="false">'MODELO PARA BI'!BA1</f>
        <v>46997</v>
      </c>
      <c r="AX4" s="130" t="n">
        <f aca="false">'MODELO PARA BI'!BB1</f>
        <v>47027</v>
      </c>
      <c r="AY4" s="130" t="n">
        <f aca="false">'MODELO PARA BI'!BC1</f>
        <v>47058</v>
      </c>
      <c r="AZ4" s="130" t="n">
        <f aca="false">'MODELO PARA BI'!BD1</f>
        <v>47088</v>
      </c>
      <c r="BA4" s="130" t="n">
        <f aca="false">'MODELO PARA BI'!BE1</f>
        <v>47119</v>
      </c>
      <c r="BB4" s="130" t="n">
        <f aca="false">'MODELO PARA BI'!BF1</f>
        <v>47150</v>
      </c>
      <c r="BC4" s="130" t="n">
        <f aca="false">'MODELO PARA BI'!BG1</f>
        <v>47178</v>
      </c>
      <c r="BD4" s="130" t="n">
        <f aca="false">'MODELO PARA BI'!BH1</f>
        <v>47209</v>
      </c>
      <c r="BE4" s="130" t="n">
        <f aca="false">'MODELO PARA BI'!BI1</f>
        <v>47239</v>
      </c>
      <c r="BF4" s="130" t="n">
        <f aca="false">'MODELO PARA BI'!BJ1</f>
        <v>47270</v>
      </c>
      <c r="BG4" s="130" t="n">
        <f aca="false">'MODELO PARA BI'!BK1</f>
        <v>47300</v>
      </c>
      <c r="BH4" s="130" t="n">
        <f aca="false">'MODELO PARA BI'!BL1</f>
        <v>47331</v>
      </c>
      <c r="BI4" s="130" t="n">
        <f aca="false">'MODELO PARA BI'!BM1</f>
        <v>47362</v>
      </c>
      <c r="BJ4" s="130" t="n">
        <f aca="false">'MODELO PARA BI'!BN1</f>
        <v>47392</v>
      </c>
      <c r="BK4" s="130" t="n">
        <f aca="false">'MODELO PARA BI'!BO1</f>
        <v>47423</v>
      </c>
      <c r="BL4" s="130" t="n">
        <f aca="false">'MODELO PARA BI'!BP1</f>
        <v>47453</v>
      </c>
      <c r="BM4" s="130" t="n">
        <f aca="false">'MODELO PARA BI'!BQ1</f>
        <v>47484</v>
      </c>
      <c r="BN4" s="130" t="n">
        <f aca="false">'MODELO PARA BI'!BR1</f>
        <v>47515</v>
      </c>
      <c r="BO4" s="130" t="n">
        <f aca="false">'MODELO PARA BI'!BS1</f>
        <v>47543</v>
      </c>
      <c r="BP4" s="130" t="n">
        <f aca="false">'MODELO PARA BI'!BT1</f>
        <v>47574</v>
      </c>
      <c r="BQ4" s="130" t="n">
        <f aca="false">'MODELO PARA BI'!BU1</f>
        <v>47604</v>
      </c>
      <c r="BR4" s="130" t="n">
        <f aca="false">'MODELO PARA BI'!BV1</f>
        <v>47635</v>
      </c>
      <c r="BS4" s="130" t="n">
        <f aca="false">'MODELO PARA BI'!BW1</f>
        <v>47665</v>
      </c>
      <c r="BT4" s="130" t="n">
        <f aca="false">'MODELO PARA BI'!BX1</f>
        <v>47696</v>
      </c>
      <c r="BU4" s="130" t="n">
        <f aca="false">'MODELO PARA BI'!BY1</f>
        <v>47727</v>
      </c>
      <c r="BV4" s="130" t="n">
        <f aca="false">'MODELO PARA BI'!BZ1</f>
        <v>47757</v>
      </c>
      <c r="BW4" s="130" t="n">
        <f aca="false">'MODELO PARA BI'!CA1</f>
        <v>47788</v>
      </c>
    </row>
    <row r="5" customFormat="false" ht="15" hidden="false" customHeight="false" outlineLevel="0" collapsed="false">
      <c r="A5" s="57" t="str">
        <f aca="false">IF('VALOR POR PL'!R11&lt;&gt;"",'VALOR POR PL'!R11,IF('VALOR POR PL'!Q11="",'VALOR POR PL'!C11,'VALOR POR PL'!Q11))</f>
        <v>01</v>
      </c>
      <c r="B5" s="57" t="str">
        <f aca="false">'VALOR POR PL'!D11</f>
        <v>PROJETOS</v>
      </c>
      <c r="C5" s="64" t="n">
        <f aca="false">IFERROR(MATCH(A5,'CURVA PREVISION'!$B$1:$B$3000,0),"")</f>
        <v>4</v>
      </c>
      <c r="D5" s="131" t="n">
        <f aca="false">IF(OR($C5="",$B$2="",$D$2=0),0,IF(D$3&lt;0,0,N(INDEX('CURVA PREVISION'!$A$1:$KZ$3000,$C5,10+3*MIN(D$3,$D$2-1)))))</f>
        <v>0</v>
      </c>
      <c r="E5" s="131" t="n">
        <f aca="false">IF(OR($C5="",$B$2="",$D$2=0),0,IF(E$3&lt;0,0,N(INDEX('CURVA PREVISION'!$A$1:$KZ$3000,$C5,10+3*MIN(E$3,$D$2-1)))))</f>
        <v>0</v>
      </c>
      <c r="F5" s="131" t="n">
        <f aca="false">IF(OR($C5="",$B$2="",$D$2=0),0,IF(F$3&lt;0,0,N(INDEX('CURVA PREVISION'!$A$1:$KZ$3000,$C5,10+3*MIN(F$3,$D$2-1)))))</f>
        <v>0</v>
      </c>
      <c r="G5" s="131" t="n">
        <f aca="false">IF(OR($C5="",$B$2="",$D$2=0),0,IF(G$3&lt;0,0,N(INDEX('CURVA PREVISION'!$A$1:$KZ$3000,$C5,10+3*MIN(G$3,$D$2-1)))))</f>
        <v>0</v>
      </c>
      <c r="H5" s="131" t="n">
        <f aca="false">IF(OR($C5="",$B$2="",$D$2=0),0,IF(H$3&lt;0,0,N(INDEX('CURVA PREVISION'!$A$1:$KZ$3000,$C5,10+3*MIN(H$3,$D$2-1)))))</f>
        <v>0</v>
      </c>
      <c r="I5" s="131" t="n">
        <f aca="false">IF(OR($C5="",$B$2="",$D$2=0),0,IF(I$3&lt;0,0,N(INDEX('CURVA PREVISION'!$A$1:$KZ$3000,$C5,10+3*MIN(I$3,$D$2-1)))))</f>
        <v>0</v>
      </c>
      <c r="J5" s="131" t="n">
        <f aca="false">IF(OR($C5="",$B$2="",$D$2=0),0,IF(J$3&lt;0,0,N(INDEX('CURVA PREVISION'!$A$1:$KZ$3000,$C5,10+3*MIN(J$3,$D$2-1)))))</f>
        <v>0</v>
      </c>
      <c r="K5" s="131" t="n">
        <f aca="false">IF(OR($C5="",$B$2="",$D$2=0),0,IF(K$3&lt;0,0,N(INDEX('CURVA PREVISION'!$A$1:$KZ$3000,$C5,10+3*MIN(K$3,$D$2-1)))))</f>
        <v>0</v>
      </c>
      <c r="L5" s="131" t="n">
        <f aca="false">IF(OR($C5="",$B$2="",$D$2=0),0,IF(L$3&lt;0,0,N(INDEX('CURVA PREVISION'!$A$1:$KZ$3000,$C5,10+3*MIN(L$3,$D$2-1)))))</f>
        <v>0</v>
      </c>
      <c r="M5" s="131" t="n">
        <f aca="false">IF(OR($C5="",$B$2="",$D$2=0),0,IF(M$3&lt;0,0,N(INDEX('CURVA PREVISION'!$A$1:$KZ$3000,$C5,10+3*MIN(M$3,$D$2-1)))))</f>
        <v>0</v>
      </c>
      <c r="N5" s="131" t="n">
        <f aca="false">IF(OR($C5="",$B$2="",$D$2=0),0,IF(N$3&lt;0,0,N(INDEX('CURVA PREVISION'!$A$1:$KZ$3000,$C5,10+3*MIN(N$3,$D$2-1)))))</f>
        <v>0</v>
      </c>
      <c r="O5" s="131" t="n">
        <f aca="false">IF(OR($C5="",$B$2="",$D$2=0),0,IF(O$3&lt;0,0,N(INDEX('CURVA PREVISION'!$A$1:$KZ$3000,$C5,10+3*MIN(O$3,$D$2-1)))))</f>
        <v>0</v>
      </c>
      <c r="P5" s="131" t="n">
        <f aca="false">IF(OR($C5="",$B$2="",$D$2=0),0,IF(P$3&lt;0,0,N(INDEX('CURVA PREVISION'!$A$1:$KZ$3000,$C5,10+3*MIN(P$3,$D$2-1)))))</f>
        <v>0</v>
      </c>
      <c r="Q5" s="131" t="n">
        <f aca="false">IF(OR($C5="",$B$2="",$D$2=0),0,IF(Q$3&lt;0,0,N(INDEX('CURVA PREVISION'!$A$1:$KZ$3000,$C5,10+3*MIN(Q$3,$D$2-1)))))</f>
        <v>0</v>
      </c>
      <c r="R5" s="131" t="n">
        <f aca="false">IF(OR($C5="",$B$2="",$D$2=0),0,IF(R$3&lt;0,0,N(INDEX('CURVA PREVISION'!$A$1:$KZ$3000,$C5,10+3*MIN(R$3,$D$2-1)))))</f>
        <v>0</v>
      </c>
      <c r="S5" s="131" t="n">
        <f aca="false">IF(OR($C5="",$B$2="",$D$2=0),0,IF(S$3&lt;0,0,N(INDEX('CURVA PREVISION'!$A$1:$KZ$3000,$C5,10+3*MIN(S$3,$D$2-1)))))</f>
        <v>0</v>
      </c>
      <c r="T5" s="131" t="n">
        <f aca="false">IF(OR($C5="",$B$2="",$D$2=0),0,IF(T$3&lt;0,0,N(INDEX('CURVA PREVISION'!$A$1:$KZ$3000,$C5,10+3*MIN(T$3,$D$2-1)))))</f>
        <v>0</v>
      </c>
      <c r="U5" s="131" t="n">
        <f aca="false">IF(OR($C5="",$B$2="",$D$2=0),0,IF(U$3&lt;0,0,N(INDEX('CURVA PREVISION'!$A$1:$KZ$3000,$C5,10+3*MIN(U$3,$D$2-1)))))</f>
        <v>0</v>
      </c>
      <c r="V5" s="131" t="n">
        <f aca="false">IF(OR($C5="",$B$2="",$D$2=0),0,IF(V$3&lt;0,0,N(INDEX('CURVA PREVISION'!$A$1:$KZ$3000,$C5,10+3*MIN(V$3,$D$2-1)))))</f>
        <v>0</v>
      </c>
      <c r="W5" s="131" t="n">
        <f aca="false">IF(OR($C5="",$B$2="",$D$2=0),0,IF(W$3&lt;0,0,N(INDEX('CURVA PREVISION'!$A$1:$KZ$3000,$C5,10+3*MIN(W$3,$D$2-1)))))</f>
        <v>0</v>
      </c>
      <c r="X5" s="131" t="n">
        <f aca="false">IF(OR($C5="",$B$2="",$D$2=0),0,IF(X$3&lt;0,0,N(INDEX('CURVA PREVISION'!$A$1:$KZ$3000,$C5,10+3*MIN(X$3,$D$2-1)))))</f>
        <v>0</v>
      </c>
      <c r="Y5" s="131" t="n">
        <f aca="false">IF(OR($C5="",$B$2="",$D$2=0),0,IF(Y$3&lt;0,0,N(INDEX('CURVA PREVISION'!$A$1:$KZ$3000,$C5,10+3*MIN(Y$3,$D$2-1)))))</f>
        <v>0</v>
      </c>
      <c r="Z5" s="131" t="n">
        <f aca="false">IF(OR($C5="",$B$2="",$D$2=0),0,IF(Z$3&lt;0,0,N(INDEX('CURVA PREVISION'!$A$1:$KZ$3000,$C5,10+3*MIN(Z$3,$D$2-1)))))</f>
        <v>0</v>
      </c>
      <c r="AA5" s="131" t="n">
        <f aca="false">IF(OR($C5="",$B$2="",$D$2=0),0,IF(AA$3&lt;0,0,N(INDEX('CURVA PREVISION'!$A$1:$KZ$3000,$C5,10+3*MIN(AA$3,$D$2-1)))))</f>
        <v>0</v>
      </c>
      <c r="AB5" s="131" t="n">
        <f aca="false">IF(OR($C5="",$B$2="",$D$2=0),0,IF(AB$3&lt;0,0,N(INDEX('CURVA PREVISION'!$A$1:$KZ$3000,$C5,10+3*MIN(AB$3,$D$2-1)))))</f>
        <v>0</v>
      </c>
      <c r="AC5" s="131" t="n">
        <f aca="false">IF(OR($C5="",$B$2="",$D$2=0),0,IF(AC$3&lt;0,0,N(INDEX('CURVA PREVISION'!$A$1:$KZ$3000,$C5,10+3*MIN(AC$3,$D$2-1)))))</f>
        <v>0</v>
      </c>
      <c r="AD5" s="131" t="n">
        <f aca="false">IF(OR($C5="",$B$2="",$D$2=0),0,IF(AD$3&lt;0,0,N(INDEX('CURVA PREVISION'!$A$1:$KZ$3000,$C5,10+3*MIN(AD$3,$D$2-1)))))</f>
        <v>0</v>
      </c>
      <c r="AE5" s="131" t="n">
        <f aca="false">IF(OR($C5="",$B$2="",$D$2=0),0,IF(AE$3&lt;0,0,N(INDEX('CURVA PREVISION'!$A$1:$KZ$3000,$C5,10+3*MIN(AE$3,$D$2-1)))))</f>
        <v>0</v>
      </c>
      <c r="AF5" s="131" t="n">
        <f aca="false">IF(OR($C5="",$B$2="",$D$2=0),0,IF(AF$3&lt;0,0,N(INDEX('CURVA PREVISION'!$A$1:$KZ$3000,$C5,10+3*MIN(AF$3,$D$2-1)))))</f>
        <v>0</v>
      </c>
      <c r="AG5" s="131" t="n">
        <f aca="false">IF(OR($C5="",$B$2="",$D$2=0),0,IF(AG$3&lt;0,0,N(INDEX('CURVA PREVISION'!$A$1:$KZ$3000,$C5,10+3*MIN(AG$3,$D$2-1)))))</f>
        <v>0</v>
      </c>
      <c r="AH5" s="131" t="n">
        <f aca="false">IF(OR($C5="",$B$2="",$D$2=0),0,IF(AH$3&lt;0,0,N(INDEX('CURVA PREVISION'!$A$1:$KZ$3000,$C5,10+3*MIN(AH$3,$D$2-1)))))</f>
        <v>0</v>
      </c>
      <c r="AI5" s="131" t="n">
        <f aca="false">IF(OR($C5="",$B$2="",$D$2=0),0,IF(AI$3&lt;0,0,N(INDEX('CURVA PREVISION'!$A$1:$KZ$3000,$C5,10+3*MIN(AI$3,$D$2-1)))))</f>
        <v>0</v>
      </c>
      <c r="AJ5" s="131" t="n">
        <f aca="false">IF(OR($C5="",$B$2="",$D$2=0),0,IF(AJ$3&lt;0,0,N(INDEX('CURVA PREVISION'!$A$1:$KZ$3000,$C5,10+3*MIN(AJ$3,$D$2-1)))))</f>
        <v>0</v>
      </c>
      <c r="AK5" s="131" t="n">
        <f aca="false">IF(OR($C5="",$B$2="",$D$2=0),0,IF(AK$3&lt;0,0,N(INDEX('CURVA PREVISION'!$A$1:$KZ$3000,$C5,10+3*MIN(AK$3,$D$2-1)))))</f>
        <v>0</v>
      </c>
      <c r="AL5" s="131" t="n">
        <f aca="false">IF(OR($C5="",$B$2="",$D$2=0),0,IF(AL$3&lt;0,0,N(INDEX('CURVA PREVISION'!$A$1:$KZ$3000,$C5,10+3*MIN(AL$3,$D$2-1)))))</f>
        <v>0</v>
      </c>
      <c r="AM5" s="131" t="n">
        <f aca="false">IF(OR($C5="",$B$2="",$D$2=0),0,IF(AM$3&lt;0,0,N(INDEX('CURVA PREVISION'!$A$1:$KZ$3000,$C5,10+3*MIN(AM$3,$D$2-1)))))</f>
        <v>0</v>
      </c>
      <c r="AN5" s="131" t="n">
        <f aca="false">IF(OR($C5="",$B$2="",$D$2=0),0,IF(AN$3&lt;0,0,N(INDEX('CURVA PREVISION'!$A$1:$KZ$3000,$C5,10+3*MIN(AN$3,$D$2-1)))))</f>
        <v>0</v>
      </c>
      <c r="AO5" s="131" t="n">
        <f aca="false">IF(OR($C5="",$B$2="",$D$2=0),0,IF(AO$3&lt;0,0,N(INDEX('CURVA PREVISION'!$A$1:$KZ$3000,$C5,10+3*MIN(AO$3,$D$2-1)))))</f>
        <v>0</v>
      </c>
      <c r="AP5" s="131" t="n">
        <f aca="false">IF(OR($C5="",$B$2="",$D$2=0),0,IF(AP$3&lt;0,0,N(INDEX('CURVA PREVISION'!$A$1:$KZ$3000,$C5,10+3*MIN(AP$3,$D$2-1)))))</f>
        <v>0</v>
      </c>
      <c r="AQ5" s="131" t="n">
        <f aca="false">IF(OR($C5="",$B$2="",$D$2=0),0,IF(AQ$3&lt;0,0,N(INDEX('CURVA PREVISION'!$A$1:$KZ$3000,$C5,10+3*MIN(AQ$3,$D$2-1)))))</f>
        <v>0</v>
      </c>
      <c r="AR5" s="131" t="n">
        <f aca="false">IF(OR($C5="",$B$2="",$D$2=0),0,IF(AR$3&lt;0,0,N(INDEX('CURVA PREVISION'!$A$1:$KZ$3000,$C5,10+3*MIN(AR$3,$D$2-1)))))</f>
        <v>0</v>
      </c>
      <c r="AS5" s="131" t="n">
        <f aca="false">IF(OR($C5="",$B$2="",$D$2=0),0,IF(AS$3&lt;0,0,N(INDEX('CURVA PREVISION'!$A$1:$KZ$3000,$C5,10+3*MIN(AS$3,$D$2-1)))))</f>
        <v>0</v>
      </c>
      <c r="AT5" s="131" t="n">
        <f aca="false">IF(OR($C5="",$B$2="",$D$2=0),0,IF(AT$3&lt;0,0,N(INDEX('CURVA PREVISION'!$A$1:$KZ$3000,$C5,10+3*MIN(AT$3,$D$2-1)))))</f>
        <v>0</v>
      </c>
      <c r="AU5" s="131" t="n">
        <f aca="false">IF(OR($C5="",$B$2="",$D$2=0),0,IF(AU$3&lt;0,0,N(INDEX('CURVA PREVISION'!$A$1:$KZ$3000,$C5,10+3*MIN(AU$3,$D$2-1)))))</f>
        <v>0</v>
      </c>
      <c r="AV5" s="131" t="n">
        <f aca="false">IF(OR($C5="",$B$2="",$D$2=0),0,IF(AV$3&lt;0,0,N(INDEX('CURVA PREVISION'!$A$1:$KZ$3000,$C5,10+3*MIN(AV$3,$D$2-1)))))</f>
        <v>0</v>
      </c>
      <c r="AW5" s="131" t="n">
        <f aca="false">IF(OR($C5="",$B$2="",$D$2=0),0,IF(AW$3&lt;0,0,N(INDEX('CURVA PREVISION'!$A$1:$KZ$3000,$C5,10+3*MIN(AW$3,$D$2-1)))))</f>
        <v>0</v>
      </c>
      <c r="AX5" s="131" t="n">
        <f aca="false">IF(OR($C5="",$B$2="",$D$2=0),0,IF(AX$3&lt;0,0,N(INDEX('CURVA PREVISION'!$A$1:$KZ$3000,$C5,10+3*MIN(AX$3,$D$2-1)))))</f>
        <v>0</v>
      </c>
      <c r="AY5" s="131" t="n">
        <f aca="false">IF(OR($C5="",$B$2="",$D$2=0),0,IF(AY$3&lt;0,0,N(INDEX('CURVA PREVISION'!$A$1:$KZ$3000,$C5,10+3*MIN(AY$3,$D$2-1)))))</f>
        <v>0</v>
      </c>
      <c r="AZ5" s="131" t="n">
        <f aca="false">IF(OR($C5="",$B$2="",$D$2=0),0,IF(AZ$3&lt;0,0,N(INDEX('CURVA PREVISION'!$A$1:$KZ$3000,$C5,10+3*MIN(AZ$3,$D$2-1)))))</f>
        <v>0</v>
      </c>
      <c r="BA5" s="131" t="n">
        <f aca="false">IF(OR($C5="",$B$2="",$D$2=0),0,IF(BA$3&lt;0,0,N(INDEX('CURVA PREVISION'!$A$1:$KZ$3000,$C5,10+3*MIN(BA$3,$D$2-1)))))</f>
        <v>0</v>
      </c>
      <c r="BB5" s="131" t="n">
        <f aca="false">IF(OR($C5="",$B$2="",$D$2=0),0,IF(BB$3&lt;0,0,N(INDEX('CURVA PREVISION'!$A$1:$KZ$3000,$C5,10+3*MIN(BB$3,$D$2-1)))))</f>
        <v>0</v>
      </c>
      <c r="BC5" s="131" t="n">
        <f aca="false">IF(OR($C5="",$B$2="",$D$2=0),0,IF(BC$3&lt;0,0,N(INDEX('CURVA PREVISION'!$A$1:$KZ$3000,$C5,10+3*MIN(BC$3,$D$2-1)))))</f>
        <v>0</v>
      </c>
      <c r="BD5" s="131" t="n">
        <f aca="false">IF(OR($C5="",$B$2="",$D$2=0),0,IF(BD$3&lt;0,0,N(INDEX('CURVA PREVISION'!$A$1:$KZ$3000,$C5,10+3*MIN(BD$3,$D$2-1)))))</f>
        <v>0</v>
      </c>
      <c r="BE5" s="131" t="n">
        <f aca="false">IF(OR($C5="",$B$2="",$D$2=0),0,IF(BE$3&lt;0,0,N(INDEX('CURVA PREVISION'!$A$1:$KZ$3000,$C5,10+3*MIN(BE$3,$D$2-1)))))</f>
        <v>0</v>
      </c>
      <c r="BF5" s="131" t="n">
        <f aca="false">IF(OR($C5="",$B$2="",$D$2=0),0,IF(BF$3&lt;0,0,N(INDEX('CURVA PREVISION'!$A$1:$KZ$3000,$C5,10+3*MIN(BF$3,$D$2-1)))))</f>
        <v>0</v>
      </c>
      <c r="BG5" s="131" t="n">
        <f aca="false">IF(OR($C5="",$B$2="",$D$2=0),0,IF(BG$3&lt;0,0,N(INDEX('CURVA PREVISION'!$A$1:$KZ$3000,$C5,10+3*MIN(BG$3,$D$2-1)))))</f>
        <v>0</v>
      </c>
      <c r="BH5" s="131" t="n">
        <f aca="false">IF(OR($C5="",$B$2="",$D$2=0),0,IF(BH$3&lt;0,0,N(INDEX('CURVA PREVISION'!$A$1:$KZ$3000,$C5,10+3*MIN(BH$3,$D$2-1)))))</f>
        <v>0</v>
      </c>
      <c r="BI5" s="131" t="n">
        <f aca="false">IF(OR($C5="",$B$2="",$D$2=0),0,IF(BI$3&lt;0,0,N(INDEX('CURVA PREVISION'!$A$1:$KZ$3000,$C5,10+3*MIN(BI$3,$D$2-1)))))</f>
        <v>0</v>
      </c>
      <c r="BJ5" s="131" t="n">
        <f aca="false">IF(OR($C5="",$B$2="",$D$2=0),0,IF(BJ$3&lt;0,0,N(INDEX('CURVA PREVISION'!$A$1:$KZ$3000,$C5,10+3*MIN(BJ$3,$D$2-1)))))</f>
        <v>0</v>
      </c>
      <c r="BK5" s="131" t="n">
        <f aca="false">IF(OR($C5="",$B$2="",$D$2=0),0,IF(BK$3&lt;0,0,N(INDEX('CURVA PREVISION'!$A$1:$KZ$3000,$C5,10+3*MIN(BK$3,$D$2-1)))))</f>
        <v>0</v>
      </c>
      <c r="BL5" s="131" t="n">
        <f aca="false">IF(OR($C5="",$B$2="",$D$2=0),0,IF(BL$3&lt;0,0,N(INDEX('CURVA PREVISION'!$A$1:$KZ$3000,$C5,10+3*MIN(BL$3,$D$2-1)))))</f>
        <v>0</v>
      </c>
      <c r="BM5" s="131" t="n">
        <f aca="false">IF(OR($C5="",$B$2="",$D$2=0),0,IF(BM$3&lt;0,0,N(INDEX('CURVA PREVISION'!$A$1:$KZ$3000,$C5,10+3*MIN(BM$3,$D$2-1)))))</f>
        <v>0</v>
      </c>
      <c r="BN5" s="131" t="n">
        <f aca="false">IF(OR($C5="",$B$2="",$D$2=0),0,IF(BN$3&lt;0,0,N(INDEX('CURVA PREVISION'!$A$1:$KZ$3000,$C5,10+3*MIN(BN$3,$D$2-1)))))</f>
        <v>0</v>
      </c>
      <c r="BO5" s="131" t="n">
        <f aca="false">IF(OR($C5="",$B$2="",$D$2=0),0,IF(BO$3&lt;0,0,N(INDEX('CURVA PREVISION'!$A$1:$KZ$3000,$C5,10+3*MIN(BO$3,$D$2-1)))))</f>
        <v>0</v>
      </c>
      <c r="BP5" s="131" t="n">
        <f aca="false">IF(OR($C5="",$B$2="",$D$2=0),0,IF(BP$3&lt;0,0,N(INDEX('CURVA PREVISION'!$A$1:$KZ$3000,$C5,10+3*MIN(BP$3,$D$2-1)))))</f>
        <v>0</v>
      </c>
      <c r="BQ5" s="131" t="n">
        <f aca="false">IF(OR($C5="",$B$2="",$D$2=0),0,IF(BQ$3&lt;0,0,N(INDEX('CURVA PREVISION'!$A$1:$KZ$3000,$C5,10+3*MIN(BQ$3,$D$2-1)))))</f>
        <v>0</v>
      </c>
      <c r="BR5" s="131" t="n">
        <f aca="false">IF(OR($C5="",$B$2="",$D$2=0),0,IF(BR$3&lt;0,0,N(INDEX('CURVA PREVISION'!$A$1:$KZ$3000,$C5,10+3*MIN(BR$3,$D$2-1)))))</f>
        <v>0</v>
      </c>
      <c r="BS5" s="131" t="n">
        <f aca="false">IF(OR($C5="",$B$2="",$D$2=0),0,IF(BS$3&lt;0,0,N(INDEX('CURVA PREVISION'!$A$1:$KZ$3000,$C5,10+3*MIN(BS$3,$D$2-1)))))</f>
        <v>0</v>
      </c>
      <c r="BT5" s="131" t="n">
        <f aca="false">IF(OR($C5="",$B$2="",$D$2=0),0,IF(BT$3&lt;0,0,N(INDEX('CURVA PREVISION'!$A$1:$KZ$3000,$C5,10+3*MIN(BT$3,$D$2-1)))))</f>
        <v>0</v>
      </c>
      <c r="BU5" s="131" t="n">
        <f aca="false">IF(OR($C5="",$B$2="",$D$2=0),0,IF(BU$3&lt;0,0,N(INDEX('CURVA PREVISION'!$A$1:$KZ$3000,$C5,10+3*MIN(BU$3,$D$2-1)))))</f>
        <v>0</v>
      </c>
      <c r="BV5" s="131" t="n">
        <f aca="false">IF(OR($C5="",$B$2="",$D$2=0),0,IF(BV$3&lt;0,0,N(INDEX('CURVA PREVISION'!$A$1:$KZ$3000,$C5,10+3*MIN(BV$3,$D$2-1)))))</f>
        <v>0</v>
      </c>
      <c r="BW5" s="131" t="n">
        <f aca="false">IF(OR($C5="",$B$2="",$D$2=0),0,IF(BW$3&lt;0,0,N(INDEX('CURVA PREVISION'!$A$1:$KZ$3000,$C5,10+3*MIN(BW$3,$D$2-1)))))</f>
        <v>0</v>
      </c>
    </row>
    <row r="6" customFormat="false" ht="15" hidden="false" customHeight="false" outlineLevel="0" collapsed="false">
      <c r="A6" s="57" t="str">
        <f aca="false">IF('VALOR POR PL'!R12&lt;&gt;"",'VALOR POR PL'!R12,IF('VALOR POR PL'!Q12="",'VALOR POR PL'!C12,'VALOR POR PL'!Q12))</f>
        <v>02</v>
      </c>
      <c r="B6" s="57" t="str">
        <f aca="false">'VALOR POR PL'!D12</f>
        <v>SEGUROS</v>
      </c>
      <c r="C6" s="64" t="n">
        <f aca="false">IFERROR(MATCH(A6,'CURVA PREVISION'!$B$1:$B$3000,0),"")</f>
        <v>6</v>
      </c>
      <c r="D6" s="131" t="n">
        <f aca="false">IF(OR($C6="",$B$2="",$D$2=0),0,IF(D$3&lt;0,0,N(INDEX('CURVA PREVISION'!$A$1:$KZ$3000,$C6,10+3*MIN(D$3,$D$2-1)))))</f>
        <v>0</v>
      </c>
      <c r="E6" s="131" t="n">
        <f aca="false">IF(OR($C6="",$B$2="",$D$2=0),0,IF(E$3&lt;0,0,N(INDEX('CURVA PREVISION'!$A$1:$KZ$3000,$C6,10+3*MIN(E$3,$D$2-1)))))</f>
        <v>0</v>
      </c>
      <c r="F6" s="131" t="n">
        <f aca="false">IF(OR($C6="",$B$2="",$D$2=0),0,IF(F$3&lt;0,0,N(INDEX('CURVA PREVISION'!$A$1:$KZ$3000,$C6,10+3*MIN(F$3,$D$2-1)))))</f>
        <v>0</v>
      </c>
      <c r="G6" s="131" t="n">
        <f aca="false">IF(OR($C6="",$B$2="",$D$2=0),0,IF(G$3&lt;0,0,N(INDEX('CURVA PREVISION'!$A$1:$KZ$3000,$C6,10+3*MIN(G$3,$D$2-1)))))</f>
        <v>0</v>
      </c>
      <c r="H6" s="131" t="n">
        <f aca="false">IF(OR($C6="",$B$2="",$D$2=0),0,IF(H$3&lt;0,0,N(INDEX('CURVA PREVISION'!$A$1:$KZ$3000,$C6,10+3*MIN(H$3,$D$2-1)))))</f>
        <v>0</v>
      </c>
      <c r="I6" s="131" t="n">
        <f aca="false">IF(OR($C6="",$B$2="",$D$2=0),0,IF(I$3&lt;0,0,N(INDEX('CURVA PREVISION'!$A$1:$KZ$3000,$C6,10+3*MIN(I$3,$D$2-1)))))</f>
        <v>0</v>
      </c>
      <c r="J6" s="131" t="n">
        <f aca="false">IF(OR($C6="",$B$2="",$D$2=0),0,IF(J$3&lt;0,0,N(INDEX('CURVA PREVISION'!$A$1:$KZ$3000,$C6,10+3*MIN(J$3,$D$2-1)))))</f>
        <v>0</v>
      </c>
      <c r="K6" s="131" t="n">
        <f aca="false">IF(OR($C6="",$B$2="",$D$2=0),0,IF(K$3&lt;0,0,N(INDEX('CURVA PREVISION'!$A$1:$KZ$3000,$C6,10+3*MIN(K$3,$D$2-1)))))</f>
        <v>0</v>
      </c>
      <c r="L6" s="131" t="n">
        <f aca="false">IF(OR($C6="",$B$2="",$D$2=0),0,IF(L$3&lt;0,0,N(INDEX('CURVA PREVISION'!$A$1:$KZ$3000,$C6,10+3*MIN(L$3,$D$2-1)))))</f>
        <v>0</v>
      </c>
      <c r="M6" s="131" t="n">
        <f aca="false">IF(OR($C6="",$B$2="",$D$2=0),0,IF(M$3&lt;0,0,N(INDEX('CURVA PREVISION'!$A$1:$KZ$3000,$C6,10+3*MIN(M$3,$D$2-1)))))</f>
        <v>0</v>
      </c>
      <c r="N6" s="131" t="n">
        <f aca="false">IF(OR($C6="",$B$2="",$D$2=0),0,IF(N$3&lt;0,0,N(INDEX('CURVA PREVISION'!$A$1:$KZ$3000,$C6,10+3*MIN(N$3,$D$2-1)))))</f>
        <v>0</v>
      </c>
      <c r="O6" s="131" t="n">
        <f aca="false">IF(OR($C6="",$B$2="",$D$2=0),0,IF(O$3&lt;0,0,N(INDEX('CURVA PREVISION'!$A$1:$KZ$3000,$C6,10+3*MIN(O$3,$D$2-1)))))</f>
        <v>0</v>
      </c>
      <c r="P6" s="131" t="n">
        <f aca="false">IF(OR($C6="",$B$2="",$D$2=0),0,IF(P$3&lt;0,0,N(INDEX('CURVA PREVISION'!$A$1:$KZ$3000,$C6,10+3*MIN(P$3,$D$2-1)))))</f>
        <v>0</v>
      </c>
      <c r="Q6" s="131" t="n">
        <f aca="false">IF(OR($C6="",$B$2="",$D$2=0),0,IF(Q$3&lt;0,0,N(INDEX('CURVA PREVISION'!$A$1:$KZ$3000,$C6,10+3*MIN(Q$3,$D$2-1)))))</f>
        <v>0</v>
      </c>
      <c r="R6" s="131" t="n">
        <f aca="false">IF(OR($C6="",$B$2="",$D$2=0),0,IF(R$3&lt;0,0,N(INDEX('CURVA PREVISION'!$A$1:$KZ$3000,$C6,10+3*MIN(R$3,$D$2-1)))))</f>
        <v>0</v>
      </c>
      <c r="S6" s="131" t="n">
        <f aca="false">IF(OR($C6="",$B$2="",$D$2=0),0,IF(S$3&lt;0,0,N(INDEX('CURVA PREVISION'!$A$1:$KZ$3000,$C6,10+3*MIN(S$3,$D$2-1)))))</f>
        <v>0</v>
      </c>
      <c r="T6" s="131" t="n">
        <f aca="false">IF(OR($C6="",$B$2="",$D$2=0),0,IF(T$3&lt;0,0,N(INDEX('CURVA PREVISION'!$A$1:$KZ$3000,$C6,10+3*MIN(T$3,$D$2-1)))))</f>
        <v>0</v>
      </c>
      <c r="U6" s="131" t="n">
        <f aca="false">IF(OR($C6="",$B$2="",$D$2=0),0,IF(U$3&lt;0,0,N(INDEX('CURVA PREVISION'!$A$1:$KZ$3000,$C6,10+3*MIN(U$3,$D$2-1)))))</f>
        <v>0</v>
      </c>
      <c r="V6" s="131" t="n">
        <f aca="false">IF(OR($C6="",$B$2="",$D$2=0),0,IF(V$3&lt;0,0,N(INDEX('CURVA PREVISION'!$A$1:$KZ$3000,$C6,10+3*MIN(V$3,$D$2-1)))))</f>
        <v>0</v>
      </c>
      <c r="W6" s="131" t="n">
        <f aca="false">IF(OR($C6="",$B$2="",$D$2=0),0,IF(W$3&lt;0,0,N(INDEX('CURVA PREVISION'!$A$1:$KZ$3000,$C6,10+3*MIN(W$3,$D$2-1)))))</f>
        <v>0</v>
      </c>
      <c r="X6" s="131" t="n">
        <f aca="false">IF(OR($C6="",$B$2="",$D$2=0),0,IF(X$3&lt;0,0,N(INDEX('CURVA PREVISION'!$A$1:$KZ$3000,$C6,10+3*MIN(X$3,$D$2-1)))))</f>
        <v>0</v>
      </c>
      <c r="Y6" s="131" t="n">
        <f aca="false">IF(OR($C6="",$B$2="",$D$2=0),0,IF(Y$3&lt;0,0,N(INDEX('CURVA PREVISION'!$A$1:$KZ$3000,$C6,10+3*MIN(Y$3,$D$2-1)))))</f>
        <v>0</v>
      </c>
      <c r="Z6" s="131" t="n">
        <f aca="false">IF(OR($C6="",$B$2="",$D$2=0),0,IF(Z$3&lt;0,0,N(INDEX('CURVA PREVISION'!$A$1:$KZ$3000,$C6,10+3*MIN(Z$3,$D$2-1)))))</f>
        <v>0</v>
      </c>
      <c r="AA6" s="131" t="n">
        <f aca="false">IF(OR($C6="",$B$2="",$D$2=0),0,IF(AA$3&lt;0,0,N(INDEX('CURVA PREVISION'!$A$1:$KZ$3000,$C6,10+3*MIN(AA$3,$D$2-1)))))</f>
        <v>0</v>
      </c>
      <c r="AB6" s="131" t="n">
        <f aca="false">IF(OR($C6="",$B$2="",$D$2=0),0,IF(AB$3&lt;0,0,N(INDEX('CURVA PREVISION'!$A$1:$KZ$3000,$C6,10+3*MIN(AB$3,$D$2-1)))))</f>
        <v>0</v>
      </c>
      <c r="AC6" s="131" t="n">
        <f aca="false">IF(OR($C6="",$B$2="",$D$2=0),0,IF(AC$3&lt;0,0,N(INDEX('CURVA PREVISION'!$A$1:$KZ$3000,$C6,10+3*MIN(AC$3,$D$2-1)))))</f>
        <v>0</v>
      </c>
      <c r="AD6" s="131" t="n">
        <f aca="false">IF(OR($C6="",$B$2="",$D$2=0),0,IF(AD$3&lt;0,0,N(INDEX('CURVA PREVISION'!$A$1:$KZ$3000,$C6,10+3*MIN(AD$3,$D$2-1)))))</f>
        <v>0</v>
      </c>
      <c r="AE6" s="131" t="n">
        <f aca="false">IF(OR($C6="",$B$2="",$D$2=0),0,IF(AE$3&lt;0,0,N(INDEX('CURVA PREVISION'!$A$1:$KZ$3000,$C6,10+3*MIN(AE$3,$D$2-1)))))</f>
        <v>0</v>
      </c>
      <c r="AF6" s="131" t="n">
        <f aca="false">IF(OR($C6="",$B$2="",$D$2=0),0,IF(AF$3&lt;0,0,N(INDEX('CURVA PREVISION'!$A$1:$KZ$3000,$C6,10+3*MIN(AF$3,$D$2-1)))))</f>
        <v>0</v>
      </c>
      <c r="AG6" s="131" t="n">
        <f aca="false">IF(OR($C6="",$B$2="",$D$2=0),0,IF(AG$3&lt;0,0,N(INDEX('CURVA PREVISION'!$A$1:$KZ$3000,$C6,10+3*MIN(AG$3,$D$2-1)))))</f>
        <v>0</v>
      </c>
      <c r="AH6" s="131" t="n">
        <f aca="false">IF(OR($C6="",$B$2="",$D$2=0),0,IF(AH$3&lt;0,0,N(INDEX('CURVA PREVISION'!$A$1:$KZ$3000,$C6,10+3*MIN(AH$3,$D$2-1)))))</f>
        <v>0</v>
      </c>
      <c r="AI6" s="131" t="n">
        <f aca="false">IF(OR($C6="",$B$2="",$D$2=0),0,IF(AI$3&lt;0,0,N(INDEX('CURVA PREVISION'!$A$1:$KZ$3000,$C6,10+3*MIN(AI$3,$D$2-1)))))</f>
        <v>0</v>
      </c>
      <c r="AJ6" s="131" t="n">
        <f aca="false">IF(OR($C6="",$B$2="",$D$2=0),0,IF(AJ$3&lt;0,0,N(INDEX('CURVA PREVISION'!$A$1:$KZ$3000,$C6,10+3*MIN(AJ$3,$D$2-1)))))</f>
        <v>0</v>
      </c>
      <c r="AK6" s="131" t="n">
        <f aca="false">IF(OR($C6="",$B$2="",$D$2=0),0,IF(AK$3&lt;0,0,N(INDEX('CURVA PREVISION'!$A$1:$KZ$3000,$C6,10+3*MIN(AK$3,$D$2-1)))))</f>
        <v>0</v>
      </c>
      <c r="AL6" s="131" t="n">
        <f aca="false">IF(OR($C6="",$B$2="",$D$2=0),0,IF(AL$3&lt;0,0,N(INDEX('CURVA PREVISION'!$A$1:$KZ$3000,$C6,10+3*MIN(AL$3,$D$2-1)))))</f>
        <v>0</v>
      </c>
      <c r="AM6" s="131" t="n">
        <f aca="false">IF(OR($C6="",$B$2="",$D$2=0),0,IF(AM$3&lt;0,0,N(INDEX('CURVA PREVISION'!$A$1:$KZ$3000,$C6,10+3*MIN(AM$3,$D$2-1)))))</f>
        <v>0</v>
      </c>
      <c r="AN6" s="131" t="n">
        <f aca="false">IF(OR($C6="",$B$2="",$D$2=0),0,IF(AN$3&lt;0,0,N(INDEX('CURVA PREVISION'!$A$1:$KZ$3000,$C6,10+3*MIN(AN$3,$D$2-1)))))</f>
        <v>0</v>
      </c>
      <c r="AO6" s="131" t="n">
        <f aca="false">IF(OR($C6="",$B$2="",$D$2=0),0,IF(AO$3&lt;0,0,N(INDEX('CURVA PREVISION'!$A$1:$KZ$3000,$C6,10+3*MIN(AO$3,$D$2-1)))))</f>
        <v>0</v>
      </c>
      <c r="AP6" s="131" t="n">
        <f aca="false">IF(OR($C6="",$B$2="",$D$2=0),0,IF(AP$3&lt;0,0,N(INDEX('CURVA PREVISION'!$A$1:$KZ$3000,$C6,10+3*MIN(AP$3,$D$2-1)))))</f>
        <v>0</v>
      </c>
      <c r="AQ6" s="131" t="n">
        <f aca="false">IF(OR($C6="",$B$2="",$D$2=0),0,IF(AQ$3&lt;0,0,N(INDEX('CURVA PREVISION'!$A$1:$KZ$3000,$C6,10+3*MIN(AQ$3,$D$2-1)))))</f>
        <v>0</v>
      </c>
      <c r="AR6" s="131" t="n">
        <f aca="false">IF(OR($C6="",$B$2="",$D$2=0),0,IF(AR$3&lt;0,0,N(INDEX('CURVA PREVISION'!$A$1:$KZ$3000,$C6,10+3*MIN(AR$3,$D$2-1)))))</f>
        <v>0</v>
      </c>
      <c r="AS6" s="131" t="n">
        <f aca="false">IF(OR($C6="",$B$2="",$D$2=0),0,IF(AS$3&lt;0,0,N(INDEX('CURVA PREVISION'!$A$1:$KZ$3000,$C6,10+3*MIN(AS$3,$D$2-1)))))</f>
        <v>0</v>
      </c>
      <c r="AT6" s="131" t="n">
        <f aca="false">IF(OR($C6="",$B$2="",$D$2=0),0,IF(AT$3&lt;0,0,N(INDEX('CURVA PREVISION'!$A$1:$KZ$3000,$C6,10+3*MIN(AT$3,$D$2-1)))))</f>
        <v>0</v>
      </c>
      <c r="AU6" s="131" t="n">
        <f aca="false">IF(OR($C6="",$B$2="",$D$2=0),0,IF(AU$3&lt;0,0,N(INDEX('CURVA PREVISION'!$A$1:$KZ$3000,$C6,10+3*MIN(AU$3,$D$2-1)))))</f>
        <v>0</v>
      </c>
      <c r="AV6" s="131" t="n">
        <f aca="false">IF(OR($C6="",$B$2="",$D$2=0),0,IF(AV$3&lt;0,0,N(INDEX('CURVA PREVISION'!$A$1:$KZ$3000,$C6,10+3*MIN(AV$3,$D$2-1)))))</f>
        <v>0</v>
      </c>
      <c r="AW6" s="131" t="n">
        <f aca="false">IF(OR($C6="",$B$2="",$D$2=0),0,IF(AW$3&lt;0,0,N(INDEX('CURVA PREVISION'!$A$1:$KZ$3000,$C6,10+3*MIN(AW$3,$D$2-1)))))</f>
        <v>0</v>
      </c>
      <c r="AX6" s="131" t="n">
        <f aca="false">IF(OR($C6="",$B$2="",$D$2=0),0,IF(AX$3&lt;0,0,N(INDEX('CURVA PREVISION'!$A$1:$KZ$3000,$C6,10+3*MIN(AX$3,$D$2-1)))))</f>
        <v>0</v>
      </c>
      <c r="AY6" s="131" t="n">
        <f aca="false">IF(OR($C6="",$B$2="",$D$2=0),0,IF(AY$3&lt;0,0,N(INDEX('CURVA PREVISION'!$A$1:$KZ$3000,$C6,10+3*MIN(AY$3,$D$2-1)))))</f>
        <v>0</v>
      </c>
      <c r="AZ6" s="131" t="n">
        <f aca="false">IF(OR($C6="",$B$2="",$D$2=0),0,IF(AZ$3&lt;0,0,N(INDEX('CURVA PREVISION'!$A$1:$KZ$3000,$C6,10+3*MIN(AZ$3,$D$2-1)))))</f>
        <v>0</v>
      </c>
      <c r="BA6" s="131" t="n">
        <f aca="false">IF(OR($C6="",$B$2="",$D$2=0),0,IF(BA$3&lt;0,0,N(INDEX('CURVA PREVISION'!$A$1:$KZ$3000,$C6,10+3*MIN(BA$3,$D$2-1)))))</f>
        <v>0</v>
      </c>
      <c r="BB6" s="131" t="n">
        <f aca="false">IF(OR($C6="",$B$2="",$D$2=0),0,IF(BB$3&lt;0,0,N(INDEX('CURVA PREVISION'!$A$1:$KZ$3000,$C6,10+3*MIN(BB$3,$D$2-1)))))</f>
        <v>0</v>
      </c>
      <c r="BC6" s="131" t="n">
        <f aca="false">IF(OR($C6="",$B$2="",$D$2=0),0,IF(BC$3&lt;0,0,N(INDEX('CURVA PREVISION'!$A$1:$KZ$3000,$C6,10+3*MIN(BC$3,$D$2-1)))))</f>
        <v>0</v>
      </c>
      <c r="BD6" s="131" t="n">
        <f aca="false">IF(OR($C6="",$B$2="",$D$2=0),0,IF(BD$3&lt;0,0,N(INDEX('CURVA PREVISION'!$A$1:$KZ$3000,$C6,10+3*MIN(BD$3,$D$2-1)))))</f>
        <v>0</v>
      </c>
      <c r="BE6" s="131" t="n">
        <f aca="false">IF(OR($C6="",$B$2="",$D$2=0),0,IF(BE$3&lt;0,0,N(INDEX('CURVA PREVISION'!$A$1:$KZ$3000,$C6,10+3*MIN(BE$3,$D$2-1)))))</f>
        <v>0</v>
      </c>
      <c r="BF6" s="131" t="n">
        <f aca="false">IF(OR($C6="",$B$2="",$D$2=0),0,IF(BF$3&lt;0,0,N(INDEX('CURVA PREVISION'!$A$1:$KZ$3000,$C6,10+3*MIN(BF$3,$D$2-1)))))</f>
        <v>0</v>
      </c>
      <c r="BG6" s="131" t="n">
        <f aca="false">IF(OR($C6="",$B$2="",$D$2=0),0,IF(BG$3&lt;0,0,N(INDEX('CURVA PREVISION'!$A$1:$KZ$3000,$C6,10+3*MIN(BG$3,$D$2-1)))))</f>
        <v>0</v>
      </c>
      <c r="BH6" s="131" t="n">
        <f aca="false">IF(OR($C6="",$B$2="",$D$2=0),0,IF(BH$3&lt;0,0,N(INDEX('CURVA PREVISION'!$A$1:$KZ$3000,$C6,10+3*MIN(BH$3,$D$2-1)))))</f>
        <v>0</v>
      </c>
      <c r="BI6" s="131" t="n">
        <f aca="false">IF(OR($C6="",$B$2="",$D$2=0),0,IF(BI$3&lt;0,0,N(INDEX('CURVA PREVISION'!$A$1:$KZ$3000,$C6,10+3*MIN(BI$3,$D$2-1)))))</f>
        <v>0</v>
      </c>
      <c r="BJ6" s="131" t="n">
        <f aca="false">IF(OR($C6="",$B$2="",$D$2=0),0,IF(BJ$3&lt;0,0,N(INDEX('CURVA PREVISION'!$A$1:$KZ$3000,$C6,10+3*MIN(BJ$3,$D$2-1)))))</f>
        <v>0</v>
      </c>
      <c r="BK6" s="131" t="n">
        <f aca="false">IF(OR($C6="",$B$2="",$D$2=0),0,IF(BK$3&lt;0,0,N(INDEX('CURVA PREVISION'!$A$1:$KZ$3000,$C6,10+3*MIN(BK$3,$D$2-1)))))</f>
        <v>0</v>
      </c>
      <c r="BL6" s="131" t="n">
        <f aca="false">IF(OR($C6="",$B$2="",$D$2=0),0,IF(BL$3&lt;0,0,N(INDEX('CURVA PREVISION'!$A$1:$KZ$3000,$C6,10+3*MIN(BL$3,$D$2-1)))))</f>
        <v>0</v>
      </c>
      <c r="BM6" s="131" t="n">
        <f aca="false">IF(OR($C6="",$B$2="",$D$2=0),0,IF(BM$3&lt;0,0,N(INDEX('CURVA PREVISION'!$A$1:$KZ$3000,$C6,10+3*MIN(BM$3,$D$2-1)))))</f>
        <v>0</v>
      </c>
      <c r="BN6" s="131" t="n">
        <f aca="false">IF(OR($C6="",$B$2="",$D$2=0),0,IF(BN$3&lt;0,0,N(INDEX('CURVA PREVISION'!$A$1:$KZ$3000,$C6,10+3*MIN(BN$3,$D$2-1)))))</f>
        <v>0</v>
      </c>
      <c r="BO6" s="131" t="n">
        <f aca="false">IF(OR($C6="",$B$2="",$D$2=0),0,IF(BO$3&lt;0,0,N(INDEX('CURVA PREVISION'!$A$1:$KZ$3000,$C6,10+3*MIN(BO$3,$D$2-1)))))</f>
        <v>0</v>
      </c>
      <c r="BP6" s="131" t="n">
        <f aca="false">IF(OR($C6="",$B$2="",$D$2=0),0,IF(BP$3&lt;0,0,N(INDEX('CURVA PREVISION'!$A$1:$KZ$3000,$C6,10+3*MIN(BP$3,$D$2-1)))))</f>
        <v>0</v>
      </c>
      <c r="BQ6" s="131" t="n">
        <f aca="false">IF(OR($C6="",$B$2="",$D$2=0),0,IF(BQ$3&lt;0,0,N(INDEX('CURVA PREVISION'!$A$1:$KZ$3000,$C6,10+3*MIN(BQ$3,$D$2-1)))))</f>
        <v>0</v>
      </c>
      <c r="BR6" s="131" t="n">
        <f aca="false">IF(OR($C6="",$B$2="",$D$2=0),0,IF(BR$3&lt;0,0,N(INDEX('CURVA PREVISION'!$A$1:$KZ$3000,$C6,10+3*MIN(BR$3,$D$2-1)))))</f>
        <v>0</v>
      </c>
      <c r="BS6" s="131" t="n">
        <f aca="false">IF(OR($C6="",$B$2="",$D$2=0),0,IF(BS$3&lt;0,0,N(INDEX('CURVA PREVISION'!$A$1:$KZ$3000,$C6,10+3*MIN(BS$3,$D$2-1)))))</f>
        <v>0</v>
      </c>
      <c r="BT6" s="131" t="n">
        <f aca="false">IF(OR($C6="",$B$2="",$D$2=0),0,IF(BT$3&lt;0,0,N(INDEX('CURVA PREVISION'!$A$1:$KZ$3000,$C6,10+3*MIN(BT$3,$D$2-1)))))</f>
        <v>0</v>
      </c>
      <c r="BU6" s="131" t="n">
        <f aca="false">IF(OR($C6="",$B$2="",$D$2=0),0,IF(BU$3&lt;0,0,N(INDEX('CURVA PREVISION'!$A$1:$KZ$3000,$C6,10+3*MIN(BU$3,$D$2-1)))))</f>
        <v>0</v>
      </c>
      <c r="BV6" s="131" t="n">
        <f aca="false">IF(OR($C6="",$B$2="",$D$2=0),0,IF(BV$3&lt;0,0,N(INDEX('CURVA PREVISION'!$A$1:$KZ$3000,$C6,10+3*MIN(BV$3,$D$2-1)))))</f>
        <v>0</v>
      </c>
      <c r="BW6" s="131" t="n">
        <f aca="false">IF(OR($C6="",$B$2="",$D$2=0),0,IF(BW$3&lt;0,0,N(INDEX('CURVA PREVISION'!$A$1:$KZ$3000,$C6,10+3*MIN(BW$3,$D$2-1)))))</f>
        <v>0</v>
      </c>
    </row>
    <row r="7" customFormat="false" ht="15" hidden="false" customHeight="false" outlineLevel="0" collapsed="false">
      <c r="A7" s="57" t="str">
        <f aca="false">IF('VALOR POR PL'!R13&lt;&gt;"",'VALOR POR PL'!R13,IF('VALOR POR PL'!Q13="",'VALOR POR PL'!C13,'VALOR POR PL'!Q13))</f>
        <v>03</v>
      </c>
      <c r="B7" s="57" t="str">
        <f aca="false">'VALOR POR PL'!D13</f>
        <v>TAXAS DIVERSAS</v>
      </c>
      <c r="C7" s="64" t="n">
        <f aca="false">IFERROR(MATCH(A7,'CURVA PREVISION'!$B$1:$B$3000,0),"")</f>
        <v>8</v>
      </c>
      <c r="D7" s="131" t="n">
        <f aca="false">IF(OR($C7="",$B$2="",$D$2=0),0,IF(D$3&lt;0,0,N(INDEX('CURVA PREVISION'!$A$1:$KZ$3000,$C7,10+3*MIN(D$3,$D$2-1)))))</f>
        <v>0</v>
      </c>
      <c r="E7" s="131" t="n">
        <f aca="false">IF(OR($C7="",$B$2="",$D$2=0),0,IF(E$3&lt;0,0,N(INDEX('CURVA PREVISION'!$A$1:$KZ$3000,$C7,10+3*MIN(E$3,$D$2-1)))))</f>
        <v>0</v>
      </c>
      <c r="F7" s="131" t="n">
        <f aca="false">IF(OR($C7="",$B$2="",$D$2=0),0,IF(F$3&lt;0,0,N(INDEX('CURVA PREVISION'!$A$1:$KZ$3000,$C7,10+3*MIN(F$3,$D$2-1)))))</f>
        <v>0</v>
      </c>
      <c r="G7" s="131" t="n">
        <f aca="false">IF(OR($C7="",$B$2="",$D$2=0),0,IF(G$3&lt;0,0,N(INDEX('CURVA PREVISION'!$A$1:$KZ$3000,$C7,10+3*MIN(G$3,$D$2-1)))))</f>
        <v>0</v>
      </c>
      <c r="H7" s="131" t="n">
        <f aca="false">IF(OR($C7="",$B$2="",$D$2=0),0,IF(H$3&lt;0,0,N(INDEX('CURVA PREVISION'!$A$1:$KZ$3000,$C7,10+3*MIN(H$3,$D$2-1)))))</f>
        <v>0</v>
      </c>
      <c r="I7" s="131" t="n">
        <f aca="false">IF(OR($C7="",$B$2="",$D$2=0),0,IF(I$3&lt;0,0,N(INDEX('CURVA PREVISION'!$A$1:$KZ$3000,$C7,10+3*MIN(I$3,$D$2-1)))))</f>
        <v>0</v>
      </c>
      <c r="J7" s="131" t="n">
        <f aca="false">IF(OR($C7="",$B$2="",$D$2=0),0,IF(J$3&lt;0,0,N(INDEX('CURVA PREVISION'!$A$1:$KZ$3000,$C7,10+3*MIN(J$3,$D$2-1)))))</f>
        <v>0</v>
      </c>
      <c r="K7" s="131" t="n">
        <f aca="false">IF(OR($C7="",$B$2="",$D$2=0),0,IF(K$3&lt;0,0,N(INDEX('CURVA PREVISION'!$A$1:$KZ$3000,$C7,10+3*MIN(K$3,$D$2-1)))))</f>
        <v>0</v>
      </c>
      <c r="L7" s="131" t="n">
        <f aca="false">IF(OR($C7="",$B$2="",$D$2=0),0,IF(L$3&lt;0,0,N(INDEX('CURVA PREVISION'!$A$1:$KZ$3000,$C7,10+3*MIN(L$3,$D$2-1)))))</f>
        <v>0</v>
      </c>
      <c r="M7" s="131" t="n">
        <f aca="false">IF(OR($C7="",$B$2="",$D$2=0),0,IF(M$3&lt;0,0,N(INDEX('CURVA PREVISION'!$A$1:$KZ$3000,$C7,10+3*MIN(M$3,$D$2-1)))))</f>
        <v>0</v>
      </c>
      <c r="N7" s="131" t="n">
        <f aca="false">IF(OR($C7="",$B$2="",$D$2=0),0,IF(N$3&lt;0,0,N(INDEX('CURVA PREVISION'!$A$1:$KZ$3000,$C7,10+3*MIN(N$3,$D$2-1)))))</f>
        <v>0</v>
      </c>
      <c r="O7" s="131" t="n">
        <f aca="false">IF(OR($C7="",$B$2="",$D$2=0),0,IF(O$3&lt;0,0,N(INDEX('CURVA PREVISION'!$A$1:$KZ$3000,$C7,10+3*MIN(O$3,$D$2-1)))))</f>
        <v>0</v>
      </c>
      <c r="P7" s="131" t="n">
        <f aca="false">IF(OR($C7="",$B$2="",$D$2=0),0,IF(P$3&lt;0,0,N(INDEX('CURVA PREVISION'!$A$1:$KZ$3000,$C7,10+3*MIN(P$3,$D$2-1)))))</f>
        <v>0</v>
      </c>
      <c r="Q7" s="131" t="n">
        <f aca="false">IF(OR($C7="",$B$2="",$D$2=0),0,IF(Q$3&lt;0,0,N(INDEX('CURVA PREVISION'!$A$1:$KZ$3000,$C7,10+3*MIN(Q$3,$D$2-1)))))</f>
        <v>0</v>
      </c>
      <c r="R7" s="131" t="n">
        <f aca="false">IF(OR($C7="",$B$2="",$D$2=0),0,IF(R$3&lt;0,0,N(INDEX('CURVA PREVISION'!$A$1:$KZ$3000,$C7,10+3*MIN(R$3,$D$2-1)))))</f>
        <v>0</v>
      </c>
      <c r="S7" s="131" t="n">
        <f aca="false">IF(OR($C7="",$B$2="",$D$2=0),0,IF(S$3&lt;0,0,N(INDEX('CURVA PREVISION'!$A$1:$KZ$3000,$C7,10+3*MIN(S$3,$D$2-1)))))</f>
        <v>0</v>
      </c>
      <c r="T7" s="131" t="n">
        <f aca="false">IF(OR($C7="",$B$2="",$D$2=0),0,IF(T$3&lt;0,0,N(INDEX('CURVA PREVISION'!$A$1:$KZ$3000,$C7,10+3*MIN(T$3,$D$2-1)))))</f>
        <v>0</v>
      </c>
      <c r="U7" s="131" t="n">
        <f aca="false">IF(OR($C7="",$B$2="",$D$2=0),0,IF(U$3&lt;0,0,N(INDEX('CURVA PREVISION'!$A$1:$KZ$3000,$C7,10+3*MIN(U$3,$D$2-1)))))</f>
        <v>0</v>
      </c>
      <c r="V7" s="131" t="n">
        <f aca="false">IF(OR($C7="",$B$2="",$D$2=0),0,IF(V$3&lt;0,0,N(INDEX('CURVA PREVISION'!$A$1:$KZ$3000,$C7,10+3*MIN(V$3,$D$2-1)))))</f>
        <v>0</v>
      </c>
      <c r="W7" s="131" t="n">
        <f aca="false">IF(OR($C7="",$B$2="",$D$2=0),0,IF(W$3&lt;0,0,N(INDEX('CURVA PREVISION'!$A$1:$KZ$3000,$C7,10+3*MIN(W$3,$D$2-1)))))</f>
        <v>0</v>
      </c>
      <c r="X7" s="131" t="n">
        <f aca="false">IF(OR($C7="",$B$2="",$D$2=0),0,IF(X$3&lt;0,0,N(INDEX('CURVA PREVISION'!$A$1:$KZ$3000,$C7,10+3*MIN(X$3,$D$2-1)))))</f>
        <v>0</v>
      </c>
      <c r="Y7" s="131" t="n">
        <f aca="false">IF(OR($C7="",$B$2="",$D$2=0),0,IF(Y$3&lt;0,0,N(INDEX('CURVA PREVISION'!$A$1:$KZ$3000,$C7,10+3*MIN(Y$3,$D$2-1)))))</f>
        <v>0</v>
      </c>
      <c r="Z7" s="131" t="n">
        <f aca="false">IF(OR($C7="",$B$2="",$D$2=0),0,IF(Z$3&lt;0,0,N(INDEX('CURVA PREVISION'!$A$1:$KZ$3000,$C7,10+3*MIN(Z$3,$D$2-1)))))</f>
        <v>0</v>
      </c>
      <c r="AA7" s="131" t="n">
        <f aca="false">IF(OR($C7="",$B$2="",$D$2=0),0,IF(AA$3&lt;0,0,N(INDEX('CURVA PREVISION'!$A$1:$KZ$3000,$C7,10+3*MIN(AA$3,$D$2-1)))))</f>
        <v>0</v>
      </c>
      <c r="AB7" s="131" t="n">
        <f aca="false">IF(OR($C7="",$B$2="",$D$2=0),0,IF(AB$3&lt;0,0,N(INDEX('CURVA PREVISION'!$A$1:$KZ$3000,$C7,10+3*MIN(AB$3,$D$2-1)))))</f>
        <v>0</v>
      </c>
      <c r="AC7" s="131" t="n">
        <f aca="false">IF(OR($C7="",$B$2="",$D$2=0),0,IF(AC$3&lt;0,0,N(INDEX('CURVA PREVISION'!$A$1:$KZ$3000,$C7,10+3*MIN(AC$3,$D$2-1)))))</f>
        <v>0</v>
      </c>
      <c r="AD7" s="131" t="n">
        <f aca="false">IF(OR($C7="",$B$2="",$D$2=0),0,IF(AD$3&lt;0,0,N(INDEX('CURVA PREVISION'!$A$1:$KZ$3000,$C7,10+3*MIN(AD$3,$D$2-1)))))</f>
        <v>0</v>
      </c>
      <c r="AE7" s="131" t="n">
        <f aca="false">IF(OR($C7="",$B$2="",$D$2=0),0,IF(AE$3&lt;0,0,N(INDEX('CURVA PREVISION'!$A$1:$KZ$3000,$C7,10+3*MIN(AE$3,$D$2-1)))))</f>
        <v>0</v>
      </c>
      <c r="AF7" s="131" t="n">
        <f aca="false">IF(OR($C7="",$B$2="",$D$2=0),0,IF(AF$3&lt;0,0,N(INDEX('CURVA PREVISION'!$A$1:$KZ$3000,$C7,10+3*MIN(AF$3,$D$2-1)))))</f>
        <v>0</v>
      </c>
      <c r="AG7" s="131" t="n">
        <f aca="false">IF(OR($C7="",$B$2="",$D$2=0),0,IF(AG$3&lt;0,0,N(INDEX('CURVA PREVISION'!$A$1:$KZ$3000,$C7,10+3*MIN(AG$3,$D$2-1)))))</f>
        <v>0</v>
      </c>
      <c r="AH7" s="131" t="n">
        <f aca="false">IF(OR($C7="",$B$2="",$D$2=0),0,IF(AH$3&lt;0,0,N(INDEX('CURVA PREVISION'!$A$1:$KZ$3000,$C7,10+3*MIN(AH$3,$D$2-1)))))</f>
        <v>0</v>
      </c>
      <c r="AI7" s="131" t="n">
        <f aca="false">IF(OR($C7="",$B$2="",$D$2=0),0,IF(AI$3&lt;0,0,N(INDEX('CURVA PREVISION'!$A$1:$KZ$3000,$C7,10+3*MIN(AI$3,$D$2-1)))))</f>
        <v>0</v>
      </c>
      <c r="AJ7" s="131" t="n">
        <f aca="false">IF(OR($C7="",$B$2="",$D$2=0),0,IF(AJ$3&lt;0,0,N(INDEX('CURVA PREVISION'!$A$1:$KZ$3000,$C7,10+3*MIN(AJ$3,$D$2-1)))))</f>
        <v>0</v>
      </c>
      <c r="AK7" s="131" t="n">
        <f aca="false">IF(OR($C7="",$B$2="",$D$2=0),0,IF(AK$3&lt;0,0,N(INDEX('CURVA PREVISION'!$A$1:$KZ$3000,$C7,10+3*MIN(AK$3,$D$2-1)))))</f>
        <v>0</v>
      </c>
      <c r="AL7" s="131" t="n">
        <f aca="false">IF(OR($C7="",$B$2="",$D$2=0),0,IF(AL$3&lt;0,0,N(INDEX('CURVA PREVISION'!$A$1:$KZ$3000,$C7,10+3*MIN(AL$3,$D$2-1)))))</f>
        <v>0</v>
      </c>
      <c r="AM7" s="131" t="n">
        <f aca="false">IF(OR($C7="",$B$2="",$D$2=0),0,IF(AM$3&lt;0,0,N(INDEX('CURVA PREVISION'!$A$1:$KZ$3000,$C7,10+3*MIN(AM$3,$D$2-1)))))</f>
        <v>0</v>
      </c>
      <c r="AN7" s="131" t="n">
        <f aca="false">IF(OR($C7="",$B$2="",$D$2=0),0,IF(AN$3&lt;0,0,N(INDEX('CURVA PREVISION'!$A$1:$KZ$3000,$C7,10+3*MIN(AN$3,$D$2-1)))))</f>
        <v>0</v>
      </c>
      <c r="AO7" s="131" t="n">
        <f aca="false">IF(OR($C7="",$B$2="",$D$2=0),0,IF(AO$3&lt;0,0,N(INDEX('CURVA PREVISION'!$A$1:$KZ$3000,$C7,10+3*MIN(AO$3,$D$2-1)))))</f>
        <v>0</v>
      </c>
      <c r="AP7" s="131" t="n">
        <f aca="false">IF(OR($C7="",$B$2="",$D$2=0),0,IF(AP$3&lt;0,0,N(INDEX('CURVA PREVISION'!$A$1:$KZ$3000,$C7,10+3*MIN(AP$3,$D$2-1)))))</f>
        <v>0</v>
      </c>
      <c r="AQ7" s="131" t="n">
        <f aca="false">IF(OR($C7="",$B$2="",$D$2=0),0,IF(AQ$3&lt;0,0,N(INDEX('CURVA PREVISION'!$A$1:$KZ$3000,$C7,10+3*MIN(AQ$3,$D$2-1)))))</f>
        <v>0</v>
      </c>
      <c r="AR7" s="131" t="n">
        <f aca="false">IF(OR($C7="",$B$2="",$D$2=0),0,IF(AR$3&lt;0,0,N(INDEX('CURVA PREVISION'!$A$1:$KZ$3000,$C7,10+3*MIN(AR$3,$D$2-1)))))</f>
        <v>0</v>
      </c>
      <c r="AS7" s="131" t="n">
        <f aca="false">IF(OR($C7="",$B$2="",$D$2=0),0,IF(AS$3&lt;0,0,N(INDEX('CURVA PREVISION'!$A$1:$KZ$3000,$C7,10+3*MIN(AS$3,$D$2-1)))))</f>
        <v>0</v>
      </c>
      <c r="AT7" s="131" t="n">
        <f aca="false">IF(OR($C7="",$B$2="",$D$2=0),0,IF(AT$3&lt;0,0,N(INDEX('CURVA PREVISION'!$A$1:$KZ$3000,$C7,10+3*MIN(AT$3,$D$2-1)))))</f>
        <v>0</v>
      </c>
      <c r="AU7" s="131" t="n">
        <f aca="false">IF(OR($C7="",$B$2="",$D$2=0),0,IF(AU$3&lt;0,0,N(INDEX('CURVA PREVISION'!$A$1:$KZ$3000,$C7,10+3*MIN(AU$3,$D$2-1)))))</f>
        <v>0</v>
      </c>
      <c r="AV7" s="131" t="n">
        <f aca="false">IF(OR($C7="",$B$2="",$D$2=0),0,IF(AV$3&lt;0,0,N(INDEX('CURVA PREVISION'!$A$1:$KZ$3000,$C7,10+3*MIN(AV$3,$D$2-1)))))</f>
        <v>0</v>
      </c>
      <c r="AW7" s="131" t="n">
        <f aca="false">IF(OR($C7="",$B$2="",$D$2=0),0,IF(AW$3&lt;0,0,N(INDEX('CURVA PREVISION'!$A$1:$KZ$3000,$C7,10+3*MIN(AW$3,$D$2-1)))))</f>
        <v>0</v>
      </c>
      <c r="AX7" s="131" t="n">
        <f aca="false">IF(OR($C7="",$B$2="",$D$2=0),0,IF(AX$3&lt;0,0,N(INDEX('CURVA PREVISION'!$A$1:$KZ$3000,$C7,10+3*MIN(AX$3,$D$2-1)))))</f>
        <v>0</v>
      </c>
      <c r="AY7" s="131" t="n">
        <f aca="false">IF(OR($C7="",$B$2="",$D$2=0),0,IF(AY$3&lt;0,0,N(INDEX('CURVA PREVISION'!$A$1:$KZ$3000,$C7,10+3*MIN(AY$3,$D$2-1)))))</f>
        <v>0</v>
      </c>
      <c r="AZ7" s="131" t="n">
        <f aca="false">IF(OR($C7="",$B$2="",$D$2=0),0,IF(AZ$3&lt;0,0,N(INDEX('CURVA PREVISION'!$A$1:$KZ$3000,$C7,10+3*MIN(AZ$3,$D$2-1)))))</f>
        <v>0</v>
      </c>
      <c r="BA7" s="131" t="n">
        <f aca="false">IF(OR($C7="",$B$2="",$D$2=0),0,IF(BA$3&lt;0,0,N(INDEX('CURVA PREVISION'!$A$1:$KZ$3000,$C7,10+3*MIN(BA$3,$D$2-1)))))</f>
        <v>0</v>
      </c>
      <c r="BB7" s="131" t="n">
        <f aca="false">IF(OR($C7="",$B$2="",$D$2=0),0,IF(BB$3&lt;0,0,N(INDEX('CURVA PREVISION'!$A$1:$KZ$3000,$C7,10+3*MIN(BB$3,$D$2-1)))))</f>
        <v>0</v>
      </c>
      <c r="BC7" s="131" t="n">
        <f aca="false">IF(OR($C7="",$B$2="",$D$2=0),0,IF(BC$3&lt;0,0,N(INDEX('CURVA PREVISION'!$A$1:$KZ$3000,$C7,10+3*MIN(BC$3,$D$2-1)))))</f>
        <v>0</v>
      </c>
      <c r="BD7" s="131" t="n">
        <f aca="false">IF(OR($C7="",$B$2="",$D$2=0),0,IF(BD$3&lt;0,0,N(INDEX('CURVA PREVISION'!$A$1:$KZ$3000,$C7,10+3*MIN(BD$3,$D$2-1)))))</f>
        <v>0</v>
      </c>
      <c r="BE7" s="131" t="n">
        <f aca="false">IF(OR($C7="",$B$2="",$D$2=0),0,IF(BE$3&lt;0,0,N(INDEX('CURVA PREVISION'!$A$1:$KZ$3000,$C7,10+3*MIN(BE$3,$D$2-1)))))</f>
        <v>0</v>
      </c>
      <c r="BF7" s="131" t="n">
        <f aca="false">IF(OR($C7="",$B$2="",$D$2=0),0,IF(BF$3&lt;0,0,N(INDEX('CURVA PREVISION'!$A$1:$KZ$3000,$C7,10+3*MIN(BF$3,$D$2-1)))))</f>
        <v>0</v>
      </c>
      <c r="BG7" s="131" t="n">
        <f aca="false">IF(OR($C7="",$B$2="",$D$2=0),0,IF(BG$3&lt;0,0,N(INDEX('CURVA PREVISION'!$A$1:$KZ$3000,$C7,10+3*MIN(BG$3,$D$2-1)))))</f>
        <v>0</v>
      </c>
      <c r="BH7" s="131" t="n">
        <f aca="false">IF(OR($C7="",$B$2="",$D$2=0),0,IF(BH$3&lt;0,0,N(INDEX('CURVA PREVISION'!$A$1:$KZ$3000,$C7,10+3*MIN(BH$3,$D$2-1)))))</f>
        <v>0</v>
      </c>
      <c r="BI7" s="131" t="n">
        <f aca="false">IF(OR($C7="",$B$2="",$D$2=0),0,IF(BI$3&lt;0,0,N(INDEX('CURVA PREVISION'!$A$1:$KZ$3000,$C7,10+3*MIN(BI$3,$D$2-1)))))</f>
        <v>0</v>
      </c>
      <c r="BJ7" s="131" t="n">
        <f aca="false">IF(OR($C7="",$B$2="",$D$2=0),0,IF(BJ$3&lt;0,0,N(INDEX('CURVA PREVISION'!$A$1:$KZ$3000,$C7,10+3*MIN(BJ$3,$D$2-1)))))</f>
        <v>0</v>
      </c>
      <c r="BK7" s="131" t="n">
        <f aca="false">IF(OR($C7="",$B$2="",$D$2=0),0,IF(BK$3&lt;0,0,N(INDEX('CURVA PREVISION'!$A$1:$KZ$3000,$C7,10+3*MIN(BK$3,$D$2-1)))))</f>
        <v>0</v>
      </c>
      <c r="BL7" s="131" t="n">
        <f aca="false">IF(OR($C7="",$B$2="",$D$2=0),0,IF(BL$3&lt;0,0,N(INDEX('CURVA PREVISION'!$A$1:$KZ$3000,$C7,10+3*MIN(BL$3,$D$2-1)))))</f>
        <v>0</v>
      </c>
      <c r="BM7" s="131" t="n">
        <f aca="false">IF(OR($C7="",$B$2="",$D$2=0),0,IF(BM$3&lt;0,0,N(INDEX('CURVA PREVISION'!$A$1:$KZ$3000,$C7,10+3*MIN(BM$3,$D$2-1)))))</f>
        <v>0</v>
      </c>
      <c r="BN7" s="131" t="n">
        <f aca="false">IF(OR($C7="",$B$2="",$D$2=0),0,IF(BN$3&lt;0,0,N(INDEX('CURVA PREVISION'!$A$1:$KZ$3000,$C7,10+3*MIN(BN$3,$D$2-1)))))</f>
        <v>0</v>
      </c>
      <c r="BO7" s="131" t="n">
        <f aca="false">IF(OR($C7="",$B$2="",$D$2=0),0,IF(BO$3&lt;0,0,N(INDEX('CURVA PREVISION'!$A$1:$KZ$3000,$C7,10+3*MIN(BO$3,$D$2-1)))))</f>
        <v>0</v>
      </c>
      <c r="BP7" s="131" t="n">
        <f aca="false">IF(OR($C7="",$B$2="",$D$2=0),0,IF(BP$3&lt;0,0,N(INDEX('CURVA PREVISION'!$A$1:$KZ$3000,$C7,10+3*MIN(BP$3,$D$2-1)))))</f>
        <v>0</v>
      </c>
      <c r="BQ7" s="131" t="n">
        <f aca="false">IF(OR($C7="",$B$2="",$D$2=0),0,IF(BQ$3&lt;0,0,N(INDEX('CURVA PREVISION'!$A$1:$KZ$3000,$C7,10+3*MIN(BQ$3,$D$2-1)))))</f>
        <v>0</v>
      </c>
      <c r="BR7" s="131" t="n">
        <f aca="false">IF(OR($C7="",$B$2="",$D$2=0),0,IF(BR$3&lt;0,0,N(INDEX('CURVA PREVISION'!$A$1:$KZ$3000,$C7,10+3*MIN(BR$3,$D$2-1)))))</f>
        <v>0</v>
      </c>
      <c r="BS7" s="131" t="n">
        <f aca="false">IF(OR($C7="",$B$2="",$D$2=0),0,IF(BS$3&lt;0,0,N(INDEX('CURVA PREVISION'!$A$1:$KZ$3000,$C7,10+3*MIN(BS$3,$D$2-1)))))</f>
        <v>0</v>
      </c>
      <c r="BT7" s="131" t="n">
        <f aca="false">IF(OR($C7="",$B$2="",$D$2=0),0,IF(BT$3&lt;0,0,N(INDEX('CURVA PREVISION'!$A$1:$KZ$3000,$C7,10+3*MIN(BT$3,$D$2-1)))))</f>
        <v>0</v>
      </c>
      <c r="BU7" s="131" t="n">
        <f aca="false">IF(OR($C7="",$B$2="",$D$2=0),0,IF(BU$3&lt;0,0,N(INDEX('CURVA PREVISION'!$A$1:$KZ$3000,$C7,10+3*MIN(BU$3,$D$2-1)))))</f>
        <v>0</v>
      </c>
      <c r="BV7" s="131" t="n">
        <f aca="false">IF(OR($C7="",$B$2="",$D$2=0),0,IF(BV$3&lt;0,0,N(INDEX('CURVA PREVISION'!$A$1:$KZ$3000,$C7,10+3*MIN(BV$3,$D$2-1)))))</f>
        <v>0</v>
      </c>
      <c r="BW7" s="131" t="n">
        <f aca="false">IF(OR($C7="",$B$2="",$D$2=0),0,IF(BW$3&lt;0,0,N(INDEX('CURVA PREVISION'!$A$1:$KZ$3000,$C7,10+3*MIN(BW$3,$D$2-1)))))</f>
        <v>0</v>
      </c>
    </row>
    <row r="8" customFormat="false" ht="15" hidden="false" customHeight="false" outlineLevel="0" collapsed="false">
      <c r="A8" s="57" t="str">
        <f aca="false">IF('VALOR POR PL'!R14&lt;&gt;"",'VALOR POR PL'!R14,IF('VALOR POR PL'!Q14="",'VALOR POR PL'!C14,'VALOR POR PL'!Q14))</f>
        <v>04</v>
      </c>
      <c r="B8" s="57" t="str">
        <f aca="false">'VALOR POR PL'!D14</f>
        <v>BARRACAO DE OBRA</v>
      </c>
      <c r="C8" s="64" t="n">
        <f aca="false">IFERROR(MATCH(A8,'CURVA PREVISION'!$B$1:$B$3000,0),"")</f>
        <v>11</v>
      </c>
      <c r="D8" s="131" t="n">
        <f aca="false">IF(OR($C8="",$B$2="",$D$2=0),0,IF(D$3&lt;0,0,N(INDEX('CURVA PREVISION'!$A$1:$KZ$3000,$C8,10+3*MIN(D$3,$D$2-1)))))</f>
        <v>0</v>
      </c>
      <c r="E8" s="131" t="n">
        <f aca="false">IF(OR($C8="",$B$2="",$D$2=0),0,IF(E$3&lt;0,0,N(INDEX('CURVA PREVISION'!$A$1:$KZ$3000,$C8,10+3*MIN(E$3,$D$2-1)))))</f>
        <v>0</v>
      </c>
      <c r="F8" s="131" t="n">
        <f aca="false">IF(OR($C8="",$B$2="",$D$2=0),0,IF(F$3&lt;0,0,N(INDEX('CURVA PREVISION'!$A$1:$KZ$3000,$C8,10+3*MIN(F$3,$D$2-1)))))</f>
        <v>0</v>
      </c>
      <c r="G8" s="131" t="n">
        <f aca="false">IF(OR($C8="",$B$2="",$D$2=0),0,IF(G$3&lt;0,0,N(INDEX('CURVA PREVISION'!$A$1:$KZ$3000,$C8,10+3*MIN(G$3,$D$2-1)))))</f>
        <v>0</v>
      </c>
      <c r="H8" s="131" t="n">
        <f aca="false">IF(OR($C8="",$B$2="",$D$2=0),0,IF(H$3&lt;0,0,N(INDEX('CURVA PREVISION'!$A$1:$KZ$3000,$C8,10+3*MIN(H$3,$D$2-1)))))</f>
        <v>0</v>
      </c>
      <c r="I8" s="131" t="n">
        <f aca="false">IF(OR($C8="",$B$2="",$D$2=0),0,IF(I$3&lt;0,0,N(INDEX('CURVA PREVISION'!$A$1:$KZ$3000,$C8,10+3*MIN(I$3,$D$2-1)))))</f>
        <v>0</v>
      </c>
      <c r="J8" s="131" t="n">
        <f aca="false">IF(OR($C8="",$B$2="",$D$2=0),0,IF(J$3&lt;0,0,N(INDEX('CURVA PREVISION'!$A$1:$KZ$3000,$C8,10+3*MIN(J$3,$D$2-1)))))</f>
        <v>0</v>
      </c>
      <c r="K8" s="131" t="n">
        <f aca="false">IF(OR($C8="",$B$2="",$D$2=0),0,IF(K$3&lt;0,0,N(INDEX('CURVA PREVISION'!$A$1:$KZ$3000,$C8,10+3*MIN(K$3,$D$2-1)))))</f>
        <v>0</v>
      </c>
      <c r="L8" s="131" t="n">
        <f aca="false">IF(OR($C8="",$B$2="",$D$2=0),0,IF(L$3&lt;0,0,N(INDEX('CURVA PREVISION'!$A$1:$KZ$3000,$C8,10+3*MIN(L$3,$D$2-1)))))</f>
        <v>0</v>
      </c>
      <c r="M8" s="131" t="n">
        <f aca="false">IF(OR($C8="",$B$2="",$D$2=0),0,IF(M$3&lt;0,0,N(INDEX('CURVA PREVISION'!$A$1:$KZ$3000,$C8,10+3*MIN(M$3,$D$2-1)))))</f>
        <v>0</v>
      </c>
      <c r="N8" s="131" t="n">
        <f aca="false">IF(OR($C8="",$B$2="",$D$2=0),0,IF(N$3&lt;0,0,N(INDEX('CURVA PREVISION'!$A$1:$KZ$3000,$C8,10+3*MIN(N$3,$D$2-1)))))</f>
        <v>0</v>
      </c>
      <c r="O8" s="131" t="n">
        <f aca="false">IF(OR($C8="",$B$2="",$D$2=0),0,IF(O$3&lt;0,0,N(INDEX('CURVA PREVISION'!$A$1:$KZ$3000,$C8,10+3*MIN(O$3,$D$2-1)))))</f>
        <v>0</v>
      </c>
      <c r="P8" s="131" t="n">
        <f aca="false">IF(OR($C8="",$B$2="",$D$2=0),0,IF(P$3&lt;0,0,N(INDEX('CURVA PREVISION'!$A$1:$KZ$3000,$C8,10+3*MIN(P$3,$D$2-1)))))</f>
        <v>0</v>
      </c>
      <c r="Q8" s="131" t="n">
        <f aca="false">IF(OR($C8="",$B$2="",$D$2=0),0,IF(Q$3&lt;0,0,N(INDEX('CURVA PREVISION'!$A$1:$KZ$3000,$C8,10+3*MIN(Q$3,$D$2-1)))))</f>
        <v>0</v>
      </c>
      <c r="R8" s="131" t="n">
        <f aca="false">IF(OR($C8="",$B$2="",$D$2=0),0,IF(R$3&lt;0,0,N(INDEX('CURVA PREVISION'!$A$1:$KZ$3000,$C8,10+3*MIN(R$3,$D$2-1)))))</f>
        <v>0</v>
      </c>
      <c r="S8" s="131" t="n">
        <f aca="false">IF(OR($C8="",$B$2="",$D$2=0),0,IF(S$3&lt;0,0,N(INDEX('CURVA PREVISION'!$A$1:$KZ$3000,$C8,10+3*MIN(S$3,$D$2-1)))))</f>
        <v>0</v>
      </c>
      <c r="T8" s="131" t="n">
        <f aca="false">IF(OR($C8="",$B$2="",$D$2=0),0,IF(T$3&lt;0,0,N(INDEX('CURVA PREVISION'!$A$1:$KZ$3000,$C8,10+3*MIN(T$3,$D$2-1)))))</f>
        <v>0</v>
      </c>
      <c r="U8" s="131" t="n">
        <f aca="false">IF(OR($C8="",$B$2="",$D$2=0),0,IF(U$3&lt;0,0,N(INDEX('CURVA PREVISION'!$A$1:$KZ$3000,$C8,10+3*MIN(U$3,$D$2-1)))))</f>
        <v>0</v>
      </c>
      <c r="V8" s="131" t="n">
        <f aca="false">IF(OR($C8="",$B$2="",$D$2=0),0,IF(V$3&lt;0,0,N(INDEX('CURVA PREVISION'!$A$1:$KZ$3000,$C8,10+3*MIN(V$3,$D$2-1)))))</f>
        <v>0</v>
      </c>
      <c r="W8" s="131" t="n">
        <f aca="false">IF(OR($C8="",$B$2="",$D$2=0),0,IF(W$3&lt;0,0,N(INDEX('CURVA PREVISION'!$A$1:$KZ$3000,$C8,10+3*MIN(W$3,$D$2-1)))))</f>
        <v>0</v>
      </c>
      <c r="X8" s="131" t="n">
        <f aca="false">IF(OR($C8="",$B$2="",$D$2=0),0,IF(X$3&lt;0,0,N(INDEX('CURVA PREVISION'!$A$1:$KZ$3000,$C8,10+3*MIN(X$3,$D$2-1)))))</f>
        <v>0</v>
      </c>
      <c r="Y8" s="131" t="n">
        <f aca="false">IF(OR($C8="",$B$2="",$D$2=0),0,IF(Y$3&lt;0,0,N(INDEX('CURVA PREVISION'!$A$1:$KZ$3000,$C8,10+3*MIN(Y$3,$D$2-1)))))</f>
        <v>0</v>
      </c>
      <c r="Z8" s="131" t="n">
        <f aca="false">IF(OR($C8="",$B$2="",$D$2=0),0,IF(Z$3&lt;0,0,N(INDEX('CURVA PREVISION'!$A$1:$KZ$3000,$C8,10+3*MIN(Z$3,$D$2-1)))))</f>
        <v>0</v>
      </c>
      <c r="AA8" s="131" t="n">
        <f aca="false">IF(OR($C8="",$B$2="",$D$2=0),0,IF(AA$3&lt;0,0,N(INDEX('CURVA PREVISION'!$A$1:$KZ$3000,$C8,10+3*MIN(AA$3,$D$2-1)))))</f>
        <v>0</v>
      </c>
      <c r="AB8" s="131" t="n">
        <f aca="false">IF(OR($C8="",$B$2="",$D$2=0),0,IF(AB$3&lt;0,0,N(INDEX('CURVA PREVISION'!$A$1:$KZ$3000,$C8,10+3*MIN(AB$3,$D$2-1)))))</f>
        <v>0</v>
      </c>
      <c r="AC8" s="131" t="n">
        <f aca="false">IF(OR($C8="",$B$2="",$D$2=0),0,IF(AC$3&lt;0,0,N(INDEX('CURVA PREVISION'!$A$1:$KZ$3000,$C8,10+3*MIN(AC$3,$D$2-1)))))</f>
        <v>0</v>
      </c>
      <c r="AD8" s="131" t="n">
        <f aca="false">IF(OR($C8="",$B$2="",$D$2=0),0,IF(AD$3&lt;0,0,N(INDEX('CURVA PREVISION'!$A$1:$KZ$3000,$C8,10+3*MIN(AD$3,$D$2-1)))))</f>
        <v>0</v>
      </c>
      <c r="AE8" s="131" t="n">
        <f aca="false">IF(OR($C8="",$B$2="",$D$2=0),0,IF(AE$3&lt;0,0,N(INDEX('CURVA PREVISION'!$A$1:$KZ$3000,$C8,10+3*MIN(AE$3,$D$2-1)))))</f>
        <v>0</v>
      </c>
      <c r="AF8" s="131" t="n">
        <f aca="false">IF(OR($C8="",$B$2="",$D$2=0),0,IF(AF$3&lt;0,0,N(INDEX('CURVA PREVISION'!$A$1:$KZ$3000,$C8,10+3*MIN(AF$3,$D$2-1)))))</f>
        <v>0</v>
      </c>
      <c r="AG8" s="131" t="n">
        <f aca="false">IF(OR($C8="",$B$2="",$D$2=0),0,IF(AG$3&lt;0,0,N(INDEX('CURVA PREVISION'!$A$1:$KZ$3000,$C8,10+3*MIN(AG$3,$D$2-1)))))</f>
        <v>0</v>
      </c>
      <c r="AH8" s="131" t="n">
        <f aca="false">IF(OR($C8="",$B$2="",$D$2=0),0,IF(AH$3&lt;0,0,N(INDEX('CURVA PREVISION'!$A$1:$KZ$3000,$C8,10+3*MIN(AH$3,$D$2-1)))))</f>
        <v>0</v>
      </c>
      <c r="AI8" s="131" t="n">
        <f aca="false">IF(OR($C8="",$B$2="",$D$2=0),0,IF(AI$3&lt;0,0,N(INDEX('CURVA PREVISION'!$A$1:$KZ$3000,$C8,10+3*MIN(AI$3,$D$2-1)))))</f>
        <v>0</v>
      </c>
      <c r="AJ8" s="131" t="n">
        <f aca="false">IF(OR($C8="",$B$2="",$D$2=0),0,IF(AJ$3&lt;0,0,N(INDEX('CURVA PREVISION'!$A$1:$KZ$3000,$C8,10+3*MIN(AJ$3,$D$2-1)))))</f>
        <v>0</v>
      </c>
      <c r="AK8" s="131" t="n">
        <f aca="false">IF(OR($C8="",$B$2="",$D$2=0),0,IF(AK$3&lt;0,0,N(INDEX('CURVA PREVISION'!$A$1:$KZ$3000,$C8,10+3*MIN(AK$3,$D$2-1)))))</f>
        <v>0</v>
      </c>
      <c r="AL8" s="131" t="n">
        <f aca="false">IF(OR($C8="",$B$2="",$D$2=0),0,IF(AL$3&lt;0,0,N(INDEX('CURVA PREVISION'!$A$1:$KZ$3000,$C8,10+3*MIN(AL$3,$D$2-1)))))</f>
        <v>0</v>
      </c>
      <c r="AM8" s="131" t="n">
        <f aca="false">IF(OR($C8="",$B$2="",$D$2=0),0,IF(AM$3&lt;0,0,N(INDEX('CURVA PREVISION'!$A$1:$KZ$3000,$C8,10+3*MIN(AM$3,$D$2-1)))))</f>
        <v>0</v>
      </c>
      <c r="AN8" s="131" t="n">
        <f aca="false">IF(OR($C8="",$B$2="",$D$2=0),0,IF(AN$3&lt;0,0,N(INDEX('CURVA PREVISION'!$A$1:$KZ$3000,$C8,10+3*MIN(AN$3,$D$2-1)))))</f>
        <v>0</v>
      </c>
      <c r="AO8" s="131" t="n">
        <f aca="false">IF(OR($C8="",$B$2="",$D$2=0),0,IF(AO$3&lt;0,0,N(INDEX('CURVA PREVISION'!$A$1:$KZ$3000,$C8,10+3*MIN(AO$3,$D$2-1)))))</f>
        <v>0</v>
      </c>
      <c r="AP8" s="131" t="n">
        <f aca="false">IF(OR($C8="",$B$2="",$D$2=0),0,IF(AP$3&lt;0,0,N(INDEX('CURVA PREVISION'!$A$1:$KZ$3000,$C8,10+3*MIN(AP$3,$D$2-1)))))</f>
        <v>0</v>
      </c>
      <c r="AQ8" s="131" t="n">
        <f aca="false">IF(OR($C8="",$B$2="",$D$2=0),0,IF(AQ$3&lt;0,0,N(INDEX('CURVA PREVISION'!$A$1:$KZ$3000,$C8,10+3*MIN(AQ$3,$D$2-1)))))</f>
        <v>0</v>
      </c>
      <c r="AR8" s="131" t="n">
        <f aca="false">IF(OR($C8="",$B$2="",$D$2=0),0,IF(AR$3&lt;0,0,N(INDEX('CURVA PREVISION'!$A$1:$KZ$3000,$C8,10+3*MIN(AR$3,$D$2-1)))))</f>
        <v>0</v>
      </c>
      <c r="AS8" s="131" t="n">
        <f aca="false">IF(OR($C8="",$B$2="",$D$2=0),0,IF(AS$3&lt;0,0,N(INDEX('CURVA PREVISION'!$A$1:$KZ$3000,$C8,10+3*MIN(AS$3,$D$2-1)))))</f>
        <v>0</v>
      </c>
      <c r="AT8" s="131" t="n">
        <f aca="false">IF(OR($C8="",$B$2="",$D$2=0),0,IF(AT$3&lt;0,0,N(INDEX('CURVA PREVISION'!$A$1:$KZ$3000,$C8,10+3*MIN(AT$3,$D$2-1)))))</f>
        <v>0</v>
      </c>
      <c r="AU8" s="131" t="n">
        <f aca="false">IF(OR($C8="",$B$2="",$D$2=0),0,IF(AU$3&lt;0,0,N(INDEX('CURVA PREVISION'!$A$1:$KZ$3000,$C8,10+3*MIN(AU$3,$D$2-1)))))</f>
        <v>0</v>
      </c>
      <c r="AV8" s="131" t="n">
        <f aca="false">IF(OR($C8="",$B$2="",$D$2=0),0,IF(AV$3&lt;0,0,N(INDEX('CURVA PREVISION'!$A$1:$KZ$3000,$C8,10+3*MIN(AV$3,$D$2-1)))))</f>
        <v>0</v>
      </c>
      <c r="AW8" s="131" t="n">
        <f aca="false">IF(OR($C8="",$B$2="",$D$2=0),0,IF(AW$3&lt;0,0,N(INDEX('CURVA PREVISION'!$A$1:$KZ$3000,$C8,10+3*MIN(AW$3,$D$2-1)))))</f>
        <v>0</v>
      </c>
      <c r="AX8" s="131" t="n">
        <f aca="false">IF(OR($C8="",$B$2="",$D$2=0),0,IF(AX$3&lt;0,0,N(INDEX('CURVA PREVISION'!$A$1:$KZ$3000,$C8,10+3*MIN(AX$3,$D$2-1)))))</f>
        <v>0</v>
      </c>
      <c r="AY8" s="131" t="n">
        <f aca="false">IF(OR($C8="",$B$2="",$D$2=0),0,IF(AY$3&lt;0,0,N(INDEX('CURVA PREVISION'!$A$1:$KZ$3000,$C8,10+3*MIN(AY$3,$D$2-1)))))</f>
        <v>0</v>
      </c>
      <c r="AZ8" s="131" t="n">
        <f aca="false">IF(OR($C8="",$B$2="",$D$2=0),0,IF(AZ$3&lt;0,0,N(INDEX('CURVA PREVISION'!$A$1:$KZ$3000,$C8,10+3*MIN(AZ$3,$D$2-1)))))</f>
        <v>0</v>
      </c>
      <c r="BA8" s="131" t="n">
        <f aca="false">IF(OR($C8="",$B$2="",$D$2=0),0,IF(BA$3&lt;0,0,N(INDEX('CURVA PREVISION'!$A$1:$KZ$3000,$C8,10+3*MIN(BA$3,$D$2-1)))))</f>
        <v>0</v>
      </c>
      <c r="BB8" s="131" t="n">
        <f aca="false">IF(OR($C8="",$B$2="",$D$2=0),0,IF(BB$3&lt;0,0,N(INDEX('CURVA PREVISION'!$A$1:$KZ$3000,$C8,10+3*MIN(BB$3,$D$2-1)))))</f>
        <v>0</v>
      </c>
      <c r="BC8" s="131" t="n">
        <f aca="false">IF(OR($C8="",$B$2="",$D$2=0),0,IF(BC$3&lt;0,0,N(INDEX('CURVA PREVISION'!$A$1:$KZ$3000,$C8,10+3*MIN(BC$3,$D$2-1)))))</f>
        <v>0</v>
      </c>
      <c r="BD8" s="131" t="n">
        <f aca="false">IF(OR($C8="",$B$2="",$D$2=0),0,IF(BD$3&lt;0,0,N(INDEX('CURVA PREVISION'!$A$1:$KZ$3000,$C8,10+3*MIN(BD$3,$D$2-1)))))</f>
        <v>0</v>
      </c>
      <c r="BE8" s="131" t="n">
        <f aca="false">IF(OR($C8="",$B$2="",$D$2=0),0,IF(BE$3&lt;0,0,N(INDEX('CURVA PREVISION'!$A$1:$KZ$3000,$C8,10+3*MIN(BE$3,$D$2-1)))))</f>
        <v>0</v>
      </c>
      <c r="BF8" s="131" t="n">
        <f aca="false">IF(OR($C8="",$B$2="",$D$2=0),0,IF(BF$3&lt;0,0,N(INDEX('CURVA PREVISION'!$A$1:$KZ$3000,$C8,10+3*MIN(BF$3,$D$2-1)))))</f>
        <v>0</v>
      </c>
      <c r="BG8" s="131" t="n">
        <f aca="false">IF(OR($C8="",$B$2="",$D$2=0),0,IF(BG$3&lt;0,0,N(INDEX('CURVA PREVISION'!$A$1:$KZ$3000,$C8,10+3*MIN(BG$3,$D$2-1)))))</f>
        <v>0</v>
      </c>
      <c r="BH8" s="131" t="n">
        <f aca="false">IF(OR($C8="",$B$2="",$D$2=0),0,IF(BH$3&lt;0,0,N(INDEX('CURVA PREVISION'!$A$1:$KZ$3000,$C8,10+3*MIN(BH$3,$D$2-1)))))</f>
        <v>0</v>
      </c>
      <c r="BI8" s="131" t="n">
        <f aca="false">IF(OR($C8="",$B$2="",$D$2=0),0,IF(BI$3&lt;0,0,N(INDEX('CURVA PREVISION'!$A$1:$KZ$3000,$C8,10+3*MIN(BI$3,$D$2-1)))))</f>
        <v>0</v>
      </c>
      <c r="BJ8" s="131" t="n">
        <f aca="false">IF(OR($C8="",$B$2="",$D$2=0),0,IF(BJ$3&lt;0,0,N(INDEX('CURVA PREVISION'!$A$1:$KZ$3000,$C8,10+3*MIN(BJ$3,$D$2-1)))))</f>
        <v>0</v>
      </c>
      <c r="BK8" s="131" t="n">
        <f aca="false">IF(OR($C8="",$B$2="",$D$2=0),0,IF(BK$3&lt;0,0,N(INDEX('CURVA PREVISION'!$A$1:$KZ$3000,$C8,10+3*MIN(BK$3,$D$2-1)))))</f>
        <v>0</v>
      </c>
      <c r="BL8" s="131" t="n">
        <f aca="false">IF(OR($C8="",$B$2="",$D$2=0),0,IF(BL$3&lt;0,0,N(INDEX('CURVA PREVISION'!$A$1:$KZ$3000,$C8,10+3*MIN(BL$3,$D$2-1)))))</f>
        <v>0</v>
      </c>
      <c r="BM8" s="131" t="n">
        <f aca="false">IF(OR($C8="",$B$2="",$D$2=0),0,IF(BM$3&lt;0,0,N(INDEX('CURVA PREVISION'!$A$1:$KZ$3000,$C8,10+3*MIN(BM$3,$D$2-1)))))</f>
        <v>0</v>
      </c>
      <c r="BN8" s="131" t="n">
        <f aca="false">IF(OR($C8="",$B$2="",$D$2=0),0,IF(BN$3&lt;0,0,N(INDEX('CURVA PREVISION'!$A$1:$KZ$3000,$C8,10+3*MIN(BN$3,$D$2-1)))))</f>
        <v>0</v>
      </c>
      <c r="BO8" s="131" t="n">
        <f aca="false">IF(OR($C8="",$B$2="",$D$2=0),0,IF(BO$3&lt;0,0,N(INDEX('CURVA PREVISION'!$A$1:$KZ$3000,$C8,10+3*MIN(BO$3,$D$2-1)))))</f>
        <v>0</v>
      </c>
      <c r="BP8" s="131" t="n">
        <f aca="false">IF(OR($C8="",$B$2="",$D$2=0),0,IF(BP$3&lt;0,0,N(INDEX('CURVA PREVISION'!$A$1:$KZ$3000,$C8,10+3*MIN(BP$3,$D$2-1)))))</f>
        <v>0</v>
      </c>
      <c r="BQ8" s="131" t="n">
        <f aca="false">IF(OR($C8="",$B$2="",$D$2=0),0,IF(BQ$3&lt;0,0,N(INDEX('CURVA PREVISION'!$A$1:$KZ$3000,$C8,10+3*MIN(BQ$3,$D$2-1)))))</f>
        <v>0</v>
      </c>
      <c r="BR8" s="131" t="n">
        <f aca="false">IF(OR($C8="",$B$2="",$D$2=0),0,IF(BR$3&lt;0,0,N(INDEX('CURVA PREVISION'!$A$1:$KZ$3000,$C8,10+3*MIN(BR$3,$D$2-1)))))</f>
        <v>0</v>
      </c>
      <c r="BS8" s="131" t="n">
        <f aca="false">IF(OR($C8="",$B$2="",$D$2=0),0,IF(BS$3&lt;0,0,N(INDEX('CURVA PREVISION'!$A$1:$KZ$3000,$C8,10+3*MIN(BS$3,$D$2-1)))))</f>
        <v>0</v>
      </c>
      <c r="BT8" s="131" t="n">
        <f aca="false">IF(OR($C8="",$B$2="",$D$2=0),0,IF(BT$3&lt;0,0,N(INDEX('CURVA PREVISION'!$A$1:$KZ$3000,$C8,10+3*MIN(BT$3,$D$2-1)))))</f>
        <v>0</v>
      </c>
      <c r="BU8" s="131" t="n">
        <f aca="false">IF(OR($C8="",$B$2="",$D$2=0),0,IF(BU$3&lt;0,0,N(INDEX('CURVA PREVISION'!$A$1:$KZ$3000,$C8,10+3*MIN(BU$3,$D$2-1)))))</f>
        <v>0</v>
      </c>
      <c r="BV8" s="131" t="n">
        <f aca="false">IF(OR($C8="",$B$2="",$D$2=0),0,IF(BV$3&lt;0,0,N(INDEX('CURVA PREVISION'!$A$1:$KZ$3000,$C8,10+3*MIN(BV$3,$D$2-1)))))</f>
        <v>0</v>
      </c>
      <c r="BW8" s="131" t="n">
        <f aca="false">IF(OR($C8="",$B$2="",$D$2=0),0,IF(BW$3&lt;0,0,N(INDEX('CURVA PREVISION'!$A$1:$KZ$3000,$C8,10+3*MIN(BW$3,$D$2-1)))))</f>
        <v>0</v>
      </c>
    </row>
    <row r="9" customFormat="false" ht="15" hidden="false" customHeight="false" outlineLevel="0" collapsed="false">
      <c r="A9" s="57" t="str">
        <f aca="false">IF('VALOR POR PL'!R15&lt;&gt;"",'VALOR POR PL'!R15,IF('VALOR POR PL'!Q15="",'VALOR POR PL'!C15,'VALOR POR PL'!Q15))</f>
        <v>05</v>
      </c>
      <c r="B9" s="57" t="str">
        <f aca="false">'VALOR POR PL'!D15</f>
        <v>LIGAÇÕES PROVISÓRIAS AGUA, ENERGIA,TELEFONIA, ESGOTO</v>
      </c>
      <c r="C9" s="64" t="n">
        <f aca="false">IFERROR(MATCH(A9,'CURVA PREVISION'!$B$1:$B$3000,0),"")</f>
        <v>69</v>
      </c>
      <c r="D9" s="131" t="n">
        <f aca="false">IF(OR($C9="",$B$2="",$D$2=0),0,IF(D$3&lt;0,0,N(INDEX('CURVA PREVISION'!$A$1:$KZ$3000,$C9,10+3*MIN(D$3,$D$2-1)))))</f>
        <v>0</v>
      </c>
      <c r="E9" s="131" t="n">
        <f aca="false">IF(OR($C9="",$B$2="",$D$2=0),0,IF(E$3&lt;0,0,N(INDEX('CURVA PREVISION'!$A$1:$KZ$3000,$C9,10+3*MIN(E$3,$D$2-1)))))</f>
        <v>0</v>
      </c>
      <c r="F9" s="131" t="n">
        <f aca="false">IF(OR($C9="",$B$2="",$D$2=0),0,IF(F$3&lt;0,0,N(INDEX('CURVA PREVISION'!$A$1:$KZ$3000,$C9,10+3*MIN(F$3,$D$2-1)))))</f>
        <v>0</v>
      </c>
      <c r="G9" s="131" t="n">
        <f aca="false">IF(OR($C9="",$B$2="",$D$2=0),0,IF(G$3&lt;0,0,N(INDEX('CURVA PREVISION'!$A$1:$KZ$3000,$C9,10+3*MIN(G$3,$D$2-1)))))</f>
        <v>0</v>
      </c>
      <c r="H9" s="131" t="n">
        <f aca="false">IF(OR($C9="",$B$2="",$D$2=0),0,IF(H$3&lt;0,0,N(INDEX('CURVA PREVISION'!$A$1:$KZ$3000,$C9,10+3*MIN(H$3,$D$2-1)))))</f>
        <v>0</v>
      </c>
      <c r="I9" s="131" t="n">
        <f aca="false">IF(OR($C9="",$B$2="",$D$2=0),0,IF(I$3&lt;0,0,N(INDEX('CURVA PREVISION'!$A$1:$KZ$3000,$C9,10+3*MIN(I$3,$D$2-1)))))</f>
        <v>0</v>
      </c>
      <c r="J9" s="131" t="n">
        <f aca="false">IF(OR($C9="",$B$2="",$D$2=0),0,IF(J$3&lt;0,0,N(INDEX('CURVA PREVISION'!$A$1:$KZ$3000,$C9,10+3*MIN(J$3,$D$2-1)))))</f>
        <v>0</v>
      </c>
      <c r="K9" s="131" t="n">
        <f aca="false">IF(OR($C9="",$B$2="",$D$2=0),0,IF(K$3&lt;0,0,N(INDEX('CURVA PREVISION'!$A$1:$KZ$3000,$C9,10+3*MIN(K$3,$D$2-1)))))</f>
        <v>0</v>
      </c>
      <c r="L9" s="131" t="n">
        <f aca="false">IF(OR($C9="",$B$2="",$D$2=0),0,IF(L$3&lt;0,0,N(INDEX('CURVA PREVISION'!$A$1:$KZ$3000,$C9,10+3*MIN(L$3,$D$2-1)))))</f>
        <v>0</v>
      </c>
      <c r="M9" s="131" t="n">
        <f aca="false">IF(OR($C9="",$B$2="",$D$2=0),0,IF(M$3&lt;0,0,N(INDEX('CURVA PREVISION'!$A$1:$KZ$3000,$C9,10+3*MIN(M$3,$D$2-1)))))</f>
        <v>0</v>
      </c>
      <c r="N9" s="131" t="n">
        <f aca="false">IF(OR($C9="",$B$2="",$D$2=0),0,IF(N$3&lt;0,0,N(INDEX('CURVA PREVISION'!$A$1:$KZ$3000,$C9,10+3*MIN(N$3,$D$2-1)))))</f>
        <v>0</v>
      </c>
      <c r="O9" s="131" t="n">
        <f aca="false">IF(OR($C9="",$B$2="",$D$2=0),0,IF(O$3&lt;0,0,N(INDEX('CURVA PREVISION'!$A$1:$KZ$3000,$C9,10+3*MIN(O$3,$D$2-1)))))</f>
        <v>0</v>
      </c>
      <c r="P9" s="131" t="n">
        <f aca="false">IF(OR($C9="",$B$2="",$D$2=0),0,IF(P$3&lt;0,0,N(INDEX('CURVA PREVISION'!$A$1:$KZ$3000,$C9,10+3*MIN(P$3,$D$2-1)))))</f>
        <v>0</v>
      </c>
      <c r="Q9" s="131" t="n">
        <f aca="false">IF(OR($C9="",$B$2="",$D$2=0),0,IF(Q$3&lt;0,0,N(INDEX('CURVA PREVISION'!$A$1:$KZ$3000,$C9,10+3*MIN(Q$3,$D$2-1)))))</f>
        <v>0</v>
      </c>
      <c r="R9" s="131" t="n">
        <f aca="false">IF(OR($C9="",$B$2="",$D$2=0),0,IF(R$3&lt;0,0,N(INDEX('CURVA PREVISION'!$A$1:$KZ$3000,$C9,10+3*MIN(R$3,$D$2-1)))))</f>
        <v>0</v>
      </c>
      <c r="S9" s="131" t="n">
        <f aca="false">IF(OR($C9="",$B$2="",$D$2=0),0,IF(S$3&lt;0,0,N(INDEX('CURVA PREVISION'!$A$1:$KZ$3000,$C9,10+3*MIN(S$3,$D$2-1)))))</f>
        <v>0</v>
      </c>
      <c r="T9" s="131" t="n">
        <f aca="false">IF(OR($C9="",$B$2="",$D$2=0),0,IF(T$3&lt;0,0,N(INDEX('CURVA PREVISION'!$A$1:$KZ$3000,$C9,10+3*MIN(T$3,$D$2-1)))))</f>
        <v>0</v>
      </c>
      <c r="U9" s="131" t="n">
        <f aca="false">IF(OR($C9="",$B$2="",$D$2=0),0,IF(U$3&lt;0,0,N(INDEX('CURVA PREVISION'!$A$1:$KZ$3000,$C9,10+3*MIN(U$3,$D$2-1)))))</f>
        <v>0</v>
      </c>
      <c r="V9" s="131" t="n">
        <f aca="false">IF(OR($C9="",$B$2="",$D$2=0),0,IF(V$3&lt;0,0,N(INDEX('CURVA PREVISION'!$A$1:$KZ$3000,$C9,10+3*MIN(V$3,$D$2-1)))))</f>
        <v>0</v>
      </c>
      <c r="W9" s="131" t="n">
        <f aca="false">IF(OR($C9="",$B$2="",$D$2=0),0,IF(W$3&lt;0,0,N(INDEX('CURVA PREVISION'!$A$1:$KZ$3000,$C9,10+3*MIN(W$3,$D$2-1)))))</f>
        <v>0</v>
      </c>
      <c r="X9" s="131" t="n">
        <f aca="false">IF(OR($C9="",$B$2="",$D$2=0),0,IF(X$3&lt;0,0,N(INDEX('CURVA PREVISION'!$A$1:$KZ$3000,$C9,10+3*MIN(X$3,$D$2-1)))))</f>
        <v>0</v>
      </c>
      <c r="Y9" s="131" t="n">
        <f aca="false">IF(OR($C9="",$B$2="",$D$2=0),0,IF(Y$3&lt;0,0,N(INDEX('CURVA PREVISION'!$A$1:$KZ$3000,$C9,10+3*MIN(Y$3,$D$2-1)))))</f>
        <v>0</v>
      </c>
      <c r="Z9" s="131" t="n">
        <f aca="false">IF(OR($C9="",$B$2="",$D$2=0),0,IF(Z$3&lt;0,0,N(INDEX('CURVA PREVISION'!$A$1:$KZ$3000,$C9,10+3*MIN(Z$3,$D$2-1)))))</f>
        <v>0</v>
      </c>
      <c r="AA9" s="131" t="n">
        <f aca="false">IF(OR($C9="",$B$2="",$D$2=0),0,IF(AA$3&lt;0,0,N(INDEX('CURVA PREVISION'!$A$1:$KZ$3000,$C9,10+3*MIN(AA$3,$D$2-1)))))</f>
        <v>0</v>
      </c>
      <c r="AB9" s="131" t="n">
        <f aca="false">IF(OR($C9="",$B$2="",$D$2=0),0,IF(AB$3&lt;0,0,N(INDEX('CURVA PREVISION'!$A$1:$KZ$3000,$C9,10+3*MIN(AB$3,$D$2-1)))))</f>
        <v>0</v>
      </c>
      <c r="AC9" s="131" t="n">
        <f aca="false">IF(OR($C9="",$B$2="",$D$2=0),0,IF(AC$3&lt;0,0,N(INDEX('CURVA PREVISION'!$A$1:$KZ$3000,$C9,10+3*MIN(AC$3,$D$2-1)))))</f>
        <v>0</v>
      </c>
      <c r="AD9" s="131" t="n">
        <f aca="false">IF(OR($C9="",$B$2="",$D$2=0),0,IF(AD$3&lt;0,0,N(INDEX('CURVA PREVISION'!$A$1:$KZ$3000,$C9,10+3*MIN(AD$3,$D$2-1)))))</f>
        <v>0</v>
      </c>
      <c r="AE9" s="131" t="n">
        <f aca="false">IF(OR($C9="",$B$2="",$D$2=0),0,IF(AE$3&lt;0,0,N(INDEX('CURVA PREVISION'!$A$1:$KZ$3000,$C9,10+3*MIN(AE$3,$D$2-1)))))</f>
        <v>0</v>
      </c>
      <c r="AF9" s="131" t="n">
        <f aca="false">IF(OR($C9="",$B$2="",$D$2=0),0,IF(AF$3&lt;0,0,N(INDEX('CURVA PREVISION'!$A$1:$KZ$3000,$C9,10+3*MIN(AF$3,$D$2-1)))))</f>
        <v>0</v>
      </c>
      <c r="AG9" s="131" t="n">
        <f aca="false">IF(OR($C9="",$B$2="",$D$2=0),0,IF(AG$3&lt;0,0,N(INDEX('CURVA PREVISION'!$A$1:$KZ$3000,$C9,10+3*MIN(AG$3,$D$2-1)))))</f>
        <v>0</v>
      </c>
      <c r="AH9" s="131" t="n">
        <f aca="false">IF(OR($C9="",$B$2="",$D$2=0),0,IF(AH$3&lt;0,0,N(INDEX('CURVA PREVISION'!$A$1:$KZ$3000,$C9,10+3*MIN(AH$3,$D$2-1)))))</f>
        <v>0</v>
      </c>
      <c r="AI9" s="131" t="n">
        <f aca="false">IF(OR($C9="",$B$2="",$D$2=0),0,IF(AI$3&lt;0,0,N(INDEX('CURVA PREVISION'!$A$1:$KZ$3000,$C9,10+3*MIN(AI$3,$D$2-1)))))</f>
        <v>0</v>
      </c>
      <c r="AJ9" s="131" t="n">
        <f aca="false">IF(OR($C9="",$B$2="",$D$2=0),0,IF(AJ$3&lt;0,0,N(INDEX('CURVA PREVISION'!$A$1:$KZ$3000,$C9,10+3*MIN(AJ$3,$D$2-1)))))</f>
        <v>0</v>
      </c>
      <c r="AK9" s="131" t="n">
        <f aca="false">IF(OR($C9="",$B$2="",$D$2=0),0,IF(AK$3&lt;0,0,N(INDEX('CURVA PREVISION'!$A$1:$KZ$3000,$C9,10+3*MIN(AK$3,$D$2-1)))))</f>
        <v>0</v>
      </c>
      <c r="AL9" s="131" t="n">
        <f aca="false">IF(OR($C9="",$B$2="",$D$2=0),0,IF(AL$3&lt;0,0,N(INDEX('CURVA PREVISION'!$A$1:$KZ$3000,$C9,10+3*MIN(AL$3,$D$2-1)))))</f>
        <v>0</v>
      </c>
      <c r="AM9" s="131" t="n">
        <f aca="false">IF(OR($C9="",$B$2="",$D$2=0),0,IF(AM$3&lt;0,0,N(INDEX('CURVA PREVISION'!$A$1:$KZ$3000,$C9,10+3*MIN(AM$3,$D$2-1)))))</f>
        <v>0</v>
      </c>
      <c r="AN9" s="131" t="n">
        <f aca="false">IF(OR($C9="",$B$2="",$D$2=0),0,IF(AN$3&lt;0,0,N(INDEX('CURVA PREVISION'!$A$1:$KZ$3000,$C9,10+3*MIN(AN$3,$D$2-1)))))</f>
        <v>0</v>
      </c>
      <c r="AO9" s="131" t="n">
        <f aca="false">IF(OR($C9="",$B$2="",$D$2=0),0,IF(AO$3&lt;0,0,N(INDEX('CURVA PREVISION'!$A$1:$KZ$3000,$C9,10+3*MIN(AO$3,$D$2-1)))))</f>
        <v>0</v>
      </c>
      <c r="AP9" s="131" t="n">
        <f aca="false">IF(OR($C9="",$B$2="",$D$2=0),0,IF(AP$3&lt;0,0,N(INDEX('CURVA PREVISION'!$A$1:$KZ$3000,$C9,10+3*MIN(AP$3,$D$2-1)))))</f>
        <v>0</v>
      </c>
      <c r="AQ9" s="131" t="n">
        <f aca="false">IF(OR($C9="",$B$2="",$D$2=0),0,IF(AQ$3&lt;0,0,N(INDEX('CURVA PREVISION'!$A$1:$KZ$3000,$C9,10+3*MIN(AQ$3,$D$2-1)))))</f>
        <v>0</v>
      </c>
      <c r="AR9" s="131" t="n">
        <f aca="false">IF(OR($C9="",$B$2="",$D$2=0),0,IF(AR$3&lt;0,0,N(INDEX('CURVA PREVISION'!$A$1:$KZ$3000,$C9,10+3*MIN(AR$3,$D$2-1)))))</f>
        <v>0</v>
      </c>
      <c r="AS9" s="131" t="n">
        <f aca="false">IF(OR($C9="",$B$2="",$D$2=0),0,IF(AS$3&lt;0,0,N(INDEX('CURVA PREVISION'!$A$1:$KZ$3000,$C9,10+3*MIN(AS$3,$D$2-1)))))</f>
        <v>0</v>
      </c>
      <c r="AT9" s="131" t="n">
        <f aca="false">IF(OR($C9="",$B$2="",$D$2=0),0,IF(AT$3&lt;0,0,N(INDEX('CURVA PREVISION'!$A$1:$KZ$3000,$C9,10+3*MIN(AT$3,$D$2-1)))))</f>
        <v>0</v>
      </c>
      <c r="AU9" s="131" t="n">
        <f aca="false">IF(OR($C9="",$B$2="",$D$2=0),0,IF(AU$3&lt;0,0,N(INDEX('CURVA PREVISION'!$A$1:$KZ$3000,$C9,10+3*MIN(AU$3,$D$2-1)))))</f>
        <v>0</v>
      </c>
      <c r="AV9" s="131" t="n">
        <f aca="false">IF(OR($C9="",$B$2="",$D$2=0),0,IF(AV$3&lt;0,0,N(INDEX('CURVA PREVISION'!$A$1:$KZ$3000,$C9,10+3*MIN(AV$3,$D$2-1)))))</f>
        <v>0</v>
      </c>
      <c r="AW9" s="131" t="n">
        <f aca="false">IF(OR($C9="",$B$2="",$D$2=0),0,IF(AW$3&lt;0,0,N(INDEX('CURVA PREVISION'!$A$1:$KZ$3000,$C9,10+3*MIN(AW$3,$D$2-1)))))</f>
        <v>0</v>
      </c>
      <c r="AX9" s="131" t="n">
        <f aca="false">IF(OR($C9="",$B$2="",$D$2=0),0,IF(AX$3&lt;0,0,N(INDEX('CURVA PREVISION'!$A$1:$KZ$3000,$C9,10+3*MIN(AX$3,$D$2-1)))))</f>
        <v>0</v>
      </c>
      <c r="AY9" s="131" t="n">
        <f aca="false">IF(OR($C9="",$B$2="",$D$2=0),0,IF(AY$3&lt;0,0,N(INDEX('CURVA PREVISION'!$A$1:$KZ$3000,$C9,10+3*MIN(AY$3,$D$2-1)))))</f>
        <v>0</v>
      </c>
      <c r="AZ9" s="131" t="n">
        <f aca="false">IF(OR($C9="",$B$2="",$D$2=0),0,IF(AZ$3&lt;0,0,N(INDEX('CURVA PREVISION'!$A$1:$KZ$3000,$C9,10+3*MIN(AZ$3,$D$2-1)))))</f>
        <v>0</v>
      </c>
      <c r="BA9" s="131" t="n">
        <f aca="false">IF(OR($C9="",$B$2="",$D$2=0),0,IF(BA$3&lt;0,0,N(INDEX('CURVA PREVISION'!$A$1:$KZ$3000,$C9,10+3*MIN(BA$3,$D$2-1)))))</f>
        <v>0</v>
      </c>
      <c r="BB9" s="131" t="n">
        <f aca="false">IF(OR($C9="",$B$2="",$D$2=0),0,IF(BB$3&lt;0,0,N(INDEX('CURVA PREVISION'!$A$1:$KZ$3000,$C9,10+3*MIN(BB$3,$D$2-1)))))</f>
        <v>0</v>
      </c>
      <c r="BC9" s="131" t="n">
        <f aca="false">IF(OR($C9="",$B$2="",$D$2=0),0,IF(BC$3&lt;0,0,N(INDEX('CURVA PREVISION'!$A$1:$KZ$3000,$C9,10+3*MIN(BC$3,$D$2-1)))))</f>
        <v>0</v>
      </c>
      <c r="BD9" s="131" t="n">
        <f aca="false">IF(OR($C9="",$B$2="",$D$2=0),0,IF(BD$3&lt;0,0,N(INDEX('CURVA PREVISION'!$A$1:$KZ$3000,$C9,10+3*MIN(BD$3,$D$2-1)))))</f>
        <v>0</v>
      </c>
      <c r="BE9" s="131" t="n">
        <f aca="false">IF(OR($C9="",$B$2="",$D$2=0),0,IF(BE$3&lt;0,0,N(INDEX('CURVA PREVISION'!$A$1:$KZ$3000,$C9,10+3*MIN(BE$3,$D$2-1)))))</f>
        <v>0</v>
      </c>
      <c r="BF9" s="131" t="n">
        <f aca="false">IF(OR($C9="",$B$2="",$D$2=0),0,IF(BF$3&lt;0,0,N(INDEX('CURVA PREVISION'!$A$1:$KZ$3000,$C9,10+3*MIN(BF$3,$D$2-1)))))</f>
        <v>0</v>
      </c>
      <c r="BG9" s="131" t="n">
        <f aca="false">IF(OR($C9="",$B$2="",$D$2=0),0,IF(BG$3&lt;0,0,N(INDEX('CURVA PREVISION'!$A$1:$KZ$3000,$C9,10+3*MIN(BG$3,$D$2-1)))))</f>
        <v>0</v>
      </c>
      <c r="BH9" s="131" t="n">
        <f aca="false">IF(OR($C9="",$B$2="",$D$2=0),0,IF(BH$3&lt;0,0,N(INDEX('CURVA PREVISION'!$A$1:$KZ$3000,$C9,10+3*MIN(BH$3,$D$2-1)))))</f>
        <v>0</v>
      </c>
      <c r="BI9" s="131" t="n">
        <f aca="false">IF(OR($C9="",$B$2="",$D$2=0),0,IF(BI$3&lt;0,0,N(INDEX('CURVA PREVISION'!$A$1:$KZ$3000,$C9,10+3*MIN(BI$3,$D$2-1)))))</f>
        <v>0</v>
      </c>
      <c r="BJ9" s="131" t="n">
        <f aca="false">IF(OR($C9="",$B$2="",$D$2=0),0,IF(BJ$3&lt;0,0,N(INDEX('CURVA PREVISION'!$A$1:$KZ$3000,$C9,10+3*MIN(BJ$3,$D$2-1)))))</f>
        <v>0</v>
      </c>
      <c r="BK9" s="131" t="n">
        <f aca="false">IF(OR($C9="",$B$2="",$D$2=0),0,IF(BK$3&lt;0,0,N(INDEX('CURVA PREVISION'!$A$1:$KZ$3000,$C9,10+3*MIN(BK$3,$D$2-1)))))</f>
        <v>0</v>
      </c>
      <c r="BL9" s="131" t="n">
        <f aca="false">IF(OR($C9="",$B$2="",$D$2=0),0,IF(BL$3&lt;0,0,N(INDEX('CURVA PREVISION'!$A$1:$KZ$3000,$C9,10+3*MIN(BL$3,$D$2-1)))))</f>
        <v>0</v>
      </c>
      <c r="BM9" s="131" t="n">
        <f aca="false">IF(OR($C9="",$B$2="",$D$2=0),0,IF(BM$3&lt;0,0,N(INDEX('CURVA PREVISION'!$A$1:$KZ$3000,$C9,10+3*MIN(BM$3,$D$2-1)))))</f>
        <v>0</v>
      </c>
      <c r="BN9" s="131" t="n">
        <f aca="false">IF(OR($C9="",$B$2="",$D$2=0),0,IF(BN$3&lt;0,0,N(INDEX('CURVA PREVISION'!$A$1:$KZ$3000,$C9,10+3*MIN(BN$3,$D$2-1)))))</f>
        <v>0</v>
      </c>
      <c r="BO9" s="131" t="n">
        <f aca="false">IF(OR($C9="",$B$2="",$D$2=0),0,IF(BO$3&lt;0,0,N(INDEX('CURVA PREVISION'!$A$1:$KZ$3000,$C9,10+3*MIN(BO$3,$D$2-1)))))</f>
        <v>0</v>
      </c>
      <c r="BP9" s="131" t="n">
        <f aca="false">IF(OR($C9="",$B$2="",$D$2=0),0,IF(BP$3&lt;0,0,N(INDEX('CURVA PREVISION'!$A$1:$KZ$3000,$C9,10+3*MIN(BP$3,$D$2-1)))))</f>
        <v>0</v>
      </c>
      <c r="BQ9" s="131" t="n">
        <f aca="false">IF(OR($C9="",$B$2="",$D$2=0),0,IF(BQ$3&lt;0,0,N(INDEX('CURVA PREVISION'!$A$1:$KZ$3000,$C9,10+3*MIN(BQ$3,$D$2-1)))))</f>
        <v>0</v>
      </c>
      <c r="BR9" s="131" t="n">
        <f aca="false">IF(OR($C9="",$B$2="",$D$2=0),0,IF(BR$3&lt;0,0,N(INDEX('CURVA PREVISION'!$A$1:$KZ$3000,$C9,10+3*MIN(BR$3,$D$2-1)))))</f>
        <v>0</v>
      </c>
      <c r="BS9" s="131" t="n">
        <f aca="false">IF(OR($C9="",$B$2="",$D$2=0),0,IF(BS$3&lt;0,0,N(INDEX('CURVA PREVISION'!$A$1:$KZ$3000,$C9,10+3*MIN(BS$3,$D$2-1)))))</f>
        <v>0</v>
      </c>
      <c r="BT9" s="131" t="n">
        <f aca="false">IF(OR($C9="",$B$2="",$D$2=0),0,IF(BT$3&lt;0,0,N(INDEX('CURVA PREVISION'!$A$1:$KZ$3000,$C9,10+3*MIN(BT$3,$D$2-1)))))</f>
        <v>0</v>
      </c>
      <c r="BU9" s="131" t="n">
        <f aca="false">IF(OR($C9="",$B$2="",$D$2=0),0,IF(BU$3&lt;0,0,N(INDEX('CURVA PREVISION'!$A$1:$KZ$3000,$C9,10+3*MIN(BU$3,$D$2-1)))))</f>
        <v>0</v>
      </c>
      <c r="BV9" s="131" t="n">
        <f aca="false">IF(OR($C9="",$B$2="",$D$2=0),0,IF(BV$3&lt;0,0,N(INDEX('CURVA PREVISION'!$A$1:$KZ$3000,$C9,10+3*MIN(BV$3,$D$2-1)))))</f>
        <v>0</v>
      </c>
      <c r="BW9" s="131" t="n">
        <f aca="false">IF(OR($C9="",$B$2="",$D$2=0),0,IF(BW$3&lt;0,0,N(INDEX('CURVA PREVISION'!$A$1:$KZ$3000,$C9,10+3*MIN(BW$3,$D$2-1)))))</f>
        <v>0</v>
      </c>
    </row>
    <row r="10" customFormat="false" ht="15" hidden="false" customHeight="false" outlineLevel="0" collapsed="false">
      <c r="A10" s="57" t="str">
        <f aca="false">IF('VALOR POR PL'!R16&lt;&gt;"",'VALOR POR PL'!R16,IF('VALOR POR PL'!Q16="",'VALOR POR PL'!C16,'VALOR POR PL'!Q16))</f>
        <v>06</v>
      </c>
      <c r="B10" s="57" t="str">
        <f aca="false">'VALOR POR PL'!D16</f>
        <v>CONSUMO DE ÁGUA, ENERGIA, ETC.</v>
      </c>
      <c r="C10" s="64" t="n">
        <f aca="false">IFERROR(MATCH(A10,'CURVA PREVISION'!$B$1:$B$3000,0),"")</f>
        <v>73</v>
      </c>
      <c r="D10" s="131" t="n">
        <f aca="false">IF(OR($C10="",$B$2="",$D$2=0),0,IF(D$3&lt;0,0,N(INDEX('CURVA PREVISION'!$A$1:$KZ$3000,$C10,10+3*MIN(D$3,$D$2-1)))))</f>
        <v>0</v>
      </c>
      <c r="E10" s="131" t="n">
        <f aca="false">IF(OR($C10="",$B$2="",$D$2=0),0,IF(E$3&lt;0,0,N(INDEX('CURVA PREVISION'!$A$1:$KZ$3000,$C10,10+3*MIN(E$3,$D$2-1)))))</f>
        <v>0</v>
      </c>
      <c r="F10" s="131" t="n">
        <f aca="false">IF(OR($C10="",$B$2="",$D$2=0),0,IF(F$3&lt;0,0,N(INDEX('CURVA PREVISION'!$A$1:$KZ$3000,$C10,10+3*MIN(F$3,$D$2-1)))))</f>
        <v>0</v>
      </c>
      <c r="G10" s="131" t="n">
        <f aca="false">IF(OR($C10="",$B$2="",$D$2=0),0,IF(G$3&lt;0,0,N(INDEX('CURVA PREVISION'!$A$1:$KZ$3000,$C10,10+3*MIN(G$3,$D$2-1)))))</f>
        <v>0</v>
      </c>
      <c r="H10" s="131" t="n">
        <f aca="false">IF(OR($C10="",$B$2="",$D$2=0),0,IF(H$3&lt;0,0,N(INDEX('CURVA PREVISION'!$A$1:$KZ$3000,$C10,10+3*MIN(H$3,$D$2-1)))))</f>
        <v>0</v>
      </c>
      <c r="I10" s="131" t="n">
        <f aca="false">IF(OR($C10="",$B$2="",$D$2=0),0,IF(I$3&lt;0,0,N(INDEX('CURVA PREVISION'!$A$1:$KZ$3000,$C10,10+3*MIN(I$3,$D$2-1)))))</f>
        <v>0</v>
      </c>
      <c r="J10" s="131" t="n">
        <f aca="false">IF(OR($C10="",$B$2="",$D$2=0),0,IF(J$3&lt;0,0,N(INDEX('CURVA PREVISION'!$A$1:$KZ$3000,$C10,10+3*MIN(J$3,$D$2-1)))))</f>
        <v>0</v>
      </c>
      <c r="K10" s="131" t="n">
        <f aca="false">IF(OR($C10="",$B$2="",$D$2=0),0,IF(K$3&lt;0,0,N(INDEX('CURVA PREVISION'!$A$1:$KZ$3000,$C10,10+3*MIN(K$3,$D$2-1)))))</f>
        <v>0</v>
      </c>
      <c r="L10" s="131" t="n">
        <f aca="false">IF(OR($C10="",$B$2="",$D$2=0),0,IF(L$3&lt;0,0,N(INDEX('CURVA PREVISION'!$A$1:$KZ$3000,$C10,10+3*MIN(L$3,$D$2-1)))))</f>
        <v>0</v>
      </c>
      <c r="M10" s="131" t="n">
        <f aca="false">IF(OR($C10="",$B$2="",$D$2=0),0,IF(M$3&lt;0,0,N(INDEX('CURVA PREVISION'!$A$1:$KZ$3000,$C10,10+3*MIN(M$3,$D$2-1)))))</f>
        <v>0</v>
      </c>
      <c r="N10" s="131" t="n">
        <f aca="false">IF(OR($C10="",$B$2="",$D$2=0),0,IF(N$3&lt;0,0,N(INDEX('CURVA PREVISION'!$A$1:$KZ$3000,$C10,10+3*MIN(N$3,$D$2-1)))))</f>
        <v>0</v>
      </c>
      <c r="O10" s="131" t="n">
        <f aca="false">IF(OR($C10="",$B$2="",$D$2=0),0,IF(O$3&lt;0,0,N(INDEX('CURVA PREVISION'!$A$1:$KZ$3000,$C10,10+3*MIN(O$3,$D$2-1)))))</f>
        <v>0</v>
      </c>
      <c r="P10" s="131" t="n">
        <f aca="false">IF(OR($C10="",$B$2="",$D$2=0),0,IF(P$3&lt;0,0,N(INDEX('CURVA PREVISION'!$A$1:$KZ$3000,$C10,10+3*MIN(P$3,$D$2-1)))))</f>
        <v>0</v>
      </c>
      <c r="Q10" s="131" t="n">
        <f aca="false">IF(OR($C10="",$B$2="",$D$2=0),0,IF(Q$3&lt;0,0,N(INDEX('CURVA PREVISION'!$A$1:$KZ$3000,$C10,10+3*MIN(Q$3,$D$2-1)))))</f>
        <v>0</v>
      </c>
      <c r="R10" s="131" t="n">
        <f aca="false">IF(OR($C10="",$B$2="",$D$2=0),0,IF(R$3&lt;0,0,N(INDEX('CURVA PREVISION'!$A$1:$KZ$3000,$C10,10+3*MIN(R$3,$D$2-1)))))</f>
        <v>0</v>
      </c>
      <c r="S10" s="131" t="n">
        <f aca="false">IF(OR($C10="",$B$2="",$D$2=0),0,IF(S$3&lt;0,0,N(INDEX('CURVA PREVISION'!$A$1:$KZ$3000,$C10,10+3*MIN(S$3,$D$2-1)))))</f>
        <v>0</v>
      </c>
      <c r="T10" s="131" t="n">
        <f aca="false">IF(OR($C10="",$B$2="",$D$2=0),0,IF(T$3&lt;0,0,N(INDEX('CURVA PREVISION'!$A$1:$KZ$3000,$C10,10+3*MIN(T$3,$D$2-1)))))</f>
        <v>0</v>
      </c>
      <c r="U10" s="131" t="n">
        <f aca="false">IF(OR($C10="",$B$2="",$D$2=0),0,IF(U$3&lt;0,0,N(INDEX('CURVA PREVISION'!$A$1:$KZ$3000,$C10,10+3*MIN(U$3,$D$2-1)))))</f>
        <v>0</v>
      </c>
      <c r="V10" s="131" t="n">
        <f aca="false">IF(OR($C10="",$B$2="",$D$2=0),0,IF(V$3&lt;0,0,N(INDEX('CURVA PREVISION'!$A$1:$KZ$3000,$C10,10+3*MIN(V$3,$D$2-1)))))</f>
        <v>0</v>
      </c>
      <c r="W10" s="131" t="n">
        <f aca="false">IF(OR($C10="",$B$2="",$D$2=0),0,IF(W$3&lt;0,0,N(INDEX('CURVA PREVISION'!$A$1:$KZ$3000,$C10,10+3*MIN(W$3,$D$2-1)))))</f>
        <v>0</v>
      </c>
      <c r="X10" s="131" t="n">
        <f aca="false">IF(OR($C10="",$B$2="",$D$2=0),0,IF(X$3&lt;0,0,N(INDEX('CURVA PREVISION'!$A$1:$KZ$3000,$C10,10+3*MIN(X$3,$D$2-1)))))</f>
        <v>0</v>
      </c>
      <c r="Y10" s="131" t="n">
        <f aca="false">IF(OR($C10="",$B$2="",$D$2=0),0,IF(Y$3&lt;0,0,N(INDEX('CURVA PREVISION'!$A$1:$KZ$3000,$C10,10+3*MIN(Y$3,$D$2-1)))))</f>
        <v>0</v>
      </c>
      <c r="Z10" s="131" t="n">
        <f aca="false">IF(OR($C10="",$B$2="",$D$2=0),0,IF(Z$3&lt;0,0,N(INDEX('CURVA PREVISION'!$A$1:$KZ$3000,$C10,10+3*MIN(Z$3,$D$2-1)))))</f>
        <v>0</v>
      </c>
      <c r="AA10" s="131" t="n">
        <f aca="false">IF(OR($C10="",$B$2="",$D$2=0),0,IF(AA$3&lt;0,0,N(INDEX('CURVA PREVISION'!$A$1:$KZ$3000,$C10,10+3*MIN(AA$3,$D$2-1)))))</f>
        <v>0</v>
      </c>
      <c r="AB10" s="131" t="n">
        <f aca="false">IF(OR($C10="",$B$2="",$D$2=0),0,IF(AB$3&lt;0,0,N(INDEX('CURVA PREVISION'!$A$1:$KZ$3000,$C10,10+3*MIN(AB$3,$D$2-1)))))</f>
        <v>0</v>
      </c>
      <c r="AC10" s="131" t="n">
        <f aca="false">IF(OR($C10="",$B$2="",$D$2=0),0,IF(AC$3&lt;0,0,N(INDEX('CURVA PREVISION'!$A$1:$KZ$3000,$C10,10+3*MIN(AC$3,$D$2-1)))))</f>
        <v>0</v>
      </c>
      <c r="AD10" s="131" t="n">
        <f aca="false">IF(OR($C10="",$B$2="",$D$2=0),0,IF(AD$3&lt;0,0,N(INDEX('CURVA PREVISION'!$A$1:$KZ$3000,$C10,10+3*MIN(AD$3,$D$2-1)))))</f>
        <v>0</v>
      </c>
      <c r="AE10" s="131" t="n">
        <f aca="false">IF(OR($C10="",$B$2="",$D$2=0),0,IF(AE$3&lt;0,0,N(INDEX('CURVA PREVISION'!$A$1:$KZ$3000,$C10,10+3*MIN(AE$3,$D$2-1)))))</f>
        <v>0</v>
      </c>
      <c r="AF10" s="131" t="n">
        <f aca="false">IF(OR($C10="",$B$2="",$D$2=0),0,IF(AF$3&lt;0,0,N(INDEX('CURVA PREVISION'!$A$1:$KZ$3000,$C10,10+3*MIN(AF$3,$D$2-1)))))</f>
        <v>0</v>
      </c>
      <c r="AG10" s="131" t="n">
        <f aca="false">IF(OR($C10="",$B$2="",$D$2=0),0,IF(AG$3&lt;0,0,N(INDEX('CURVA PREVISION'!$A$1:$KZ$3000,$C10,10+3*MIN(AG$3,$D$2-1)))))</f>
        <v>0</v>
      </c>
      <c r="AH10" s="131" t="n">
        <f aca="false">IF(OR($C10="",$B$2="",$D$2=0),0,IF(AH$3&lt;0,0,N(INDEX('CURVA PREVISION'!$A$1:$KZ$3000,$C10,10+3*MIN(AH$3,$D$2-1)))))</f>
        <v>0</v>
      </c>
      <c r="AI10" s="131" t="n">
        <f aca="false">IF(OR($C10="",$B$2="",$D$2=0),0,IF(AI$3&lt;0,0,N(INDEX('CURVA PREVISION'!$A$1:$KZ$3000,$C10,10+3*MIN(AI$3,$D$2-1)))))</f>
        <v>0</v>
      </c>
      <c r="AJ10" s="131" t="n">
        <f aca="false">IF(OR($C10="",$B$2="",$D$2=0),0,IF(AJ$3&lt;0,0,N(INDEX('CURVA PREVISION'!$A$1:$KZ$3000,$C10,10+3*MIN(AJ$3,$D$2-1)))))</f>
        <v>0</v>
      </c>
      <c r="AK10" s="131" t="n">
        <f aca="false">IF(OR($C10="",$B$2="",$D$2=0),0,IF(AK$3&lt;0,0,N(INDEX('CURVA PREVISION'!$A$1:$KZ$3000,$C10,10+3*MIN(AK$3,$D$2-1)))))</f>
        <v>0</v>
      </c>
      <c r="AL10" s="131" t="n">
        <f aca="false">IF(OR($C10="",$B$2="",$D$2=0),0,IF(AL$3&lt;0,0,N(INDEX('CURVA PREVISION'!$A$1:$KZ$3000,$C10,10+3*MIN(AL$3,$D$2-1)))))</f>
        <v>0</v>
      </c>
      <c r="AM10" s="131" t="n">
        <f aca="false">IF(OR($C10="",$B$2="",$D$2=0),0,IF(AM$3&lt;0,0,N(INDEX('CURVA PREVISION'!$A$1:$KZ$3000,$C10,10+3*MIN(AM$3,$D$2-1)))))</f>
        <v>0</v>
      </c>
      <c r="AN10" s="131" t="n">
        <f aca="false">IF(OR($C10="",$B$2="",$D$2=0),0,IF(AN$3&lt;0,0,N(INDEX('CURVA PREVISION'!$A$1:$KZ$3000,$C10,10+3*MIN(AN$3,$D$2-1)))))</f>
        <v>0</v>
      </c>
      <c r="AO10" s="131" t="n">
        <f aca="false">IF(OR($C10="",$B$2="",$D$2=0),0,IF(AO$3&lt;0,0,N(INDEX('CURVA PREVISION'!$A$1:$KZ$3000,$C10,10+3*MIN(AO$3,$D$2-1)))))</f>
        <v>0</v>
      </c>
      <c r="AP10" s="131" t="n">
        <f aca="false">IF(OR($C10="",$B$2="",$D$2=0),0,IF(AP$3&lt;0,0,N(INDEX('CURVA PREVISION'!$A$1:$KZ$3000,$C10,10+3*MIN(AP$3,$D$2-1)))))</f>
        <v>0</v>
      </c>
      <c r="AQ10" s="131" t="n">
        <f aca="false">IF(OR($C10="",$B$2="",$D$2=0),0,IF(AQ$3&lt;0,0,N(INDEX('CURVA PREVISION'!$A$1:$KZ$3000,$C10,10+3*MIN(AQ$3,$D$2-1)))))</f>
        <v>0</v>
      </c>
      <c r="AR10" s="131" t="n">
        <f aca="false">IF(OR($C10="",$B$2="",$D$2=0),0,IF(AR$3&lt;0,0,N(INDEX('CURVA PREVISION'!$A$1:$KZ$3000,$C10,10+3*MIN(AR$3,$D$2-1)))))</f>
        <v>0</v>
      </c>
      <c r="AS10" s="131" t="n">
        <f aca="false">IF(OR($C10="",$B$2="",$D$2=0),0,IF(AS$3&lt;0,0,N(INDEX('CURVA PREVISION'!$A$1:$KZ$3000,$C10,10+3*MIN(AS$3,$D$2-1)))))</f>
        <v>0</v>
      </c>
      <c r="AT10" s="131" t="n">
        <f aca="false">IF(OR($C10="",$B$2="",$D$2=0),0,IF(AT$3&lt;0,0,N(INDEX('CURVA PREVISION'!$A$1:$KZ$3000,$C10,10+3*MIN(AT$3,$D$2-1)))))</f>
        <v>0</v>
      </c>
      <c r="AU10" s="131" t="n">
        <f aca="false">IF(OR($C10="",$B$2="",$D$2=0),0,IF(AU$3&lt;0,0,N(INDEX('CURVA PREVISION'!$A$1:$KZ$3000,$C10,10+3*MIN(AU$3,$D$2-1)))))</f>
        <v>0</v>
      </c>
      <c r="AV10" s="131" t="n">
        <f aca="false">IF(OR($C10="",$B$2="",$D$2=0),0,IF(AV$3&lt;0,0,N(INDEX('CURVA PREVISION'!$A$1:$KZ$3000,$C10,10+3*MIN(AV$3,$D$2-1)))))</f>
        <v>0</v>
      </c>
      <c r="AW10" s="131" t="n">
        <f aca="false">IF(OR($C10="",$B$2="",$D$2=0),0,IF(AW$3&lt;0,0,N(INDEX('CURVA PREVISION'!$A$1:$KZ$3000,$C10,10+3*MIN(AW$3,$D$2-1)))))</f>
        <v>0</v>
      </c>
      <c r="AX10" s="131" t="n">
        <f aca="false">IF(OR($C10="",$B$2="",$D$2=0),0,IF(AX$3&lt;0,0,N(INDEX('CURVA PREVISION'!$A$1:$KZ$3000,$C10,10+3*MIN(AX$3,$D$2-1)))))</f>
        <v>0</v>
      </c>
      <c r="AY10" s="131" t="n">
        <f aca="false">IF(OR($C10="",$B$2="",$D$2=0),0,IF(AY$3&lt;0,0,N(INDEX('CURVA PREVISION'!$A$1:$KZ$3000,$C10,10+3*MIN(AY$3,$D$2-1)))))</f>
        <v>0</v>
      </c>
      <c r="AZ10" s="131" t="n">
        <f aca="false">IF(OR($C10="",$B$2="",$D$2=0),0,IF(AZ$3&lt;0,0,N(INDEX('CURVA PREVISION'!$A$1:$KZ$3000,$C10,10+3*MIN(AZ$3,$D$2-1)))))</f>
        <v>0</v>
      </c>
      <c r="BA10" s="131" t="n">
        <f aca="false">IF(OR($C10="",$B$2="",$D$2=0),0,IF(BA$3&lt;0,0,N(INDEX('CURVA PREVISION'!$A$1:$KZ$3000,$C10,10+3*MIN(BA$3,$D$2-1)))))</f>
        <v>0</v>
      </c>
      <c r="BB10" s="131" t="n">
        <f aca="false">IF(OR($C10="",$B$2="",$D$2=0),0,IF(BB$3&lt;0,0,N(INDEX('CURVA PREVISION'!$A$1:$KZ$3000,$C10,10+3*MIN(BB$3,$D$2-1)))))</f>
        <v>0</v>
      </c>
      <c r="BC10" s="131" t="n">
        <f aca="false">IF(OR($C10="",$B$2="",$D$2=0),0,IF(BC$3&lt;0,0,N(INDEX('CURVA PREVISION'!$A$1:$KZ$3000,$C10,10+3*MIN(BC$3,$D$2-1)))))</f>
        <v>0</v>
      </c>
      <c r="BD10" s="131" t="n">
        <f aca="false">IF(OR($C10="",$B$2="",$D$2=0),0,IF(BD$3&lt;0,0,N(INDEX('CURVA PREVISION'!$A$1:$KZ$3000,$C10,10+3*MIN(BD$3,$D$2-1)))))</f>
        <v>0</v>
      </c>
      <c r="BE10" s="131" t="n">
        <f aca="false">IF(OR($C10="",$B$2="",$D$2=0),0,IF(BE$3&lt;0,0,N(INDEX('CURVA PREVISION'!$A$1:$KZ$3000,$C10,10+3*MIN(BE$3,$D$2-1)))))</f>
        <v>0</v>
      </c>
      <c r="BF10" s="131" t="n">
        <f aca="false">IF(OR($C10="",$B$2="",$D$2=0),0,IF(BF$3&lt;0,0,N(INDEX('CURVA PREVISION'!$A$1:$KZ$3000,$C10,10+3*MIN(BF$3,$D$2-1)))))</f>
        <v>0</v>
      </c>
      <c r="BG10" s="131" t="n">
        <f aca="false">IF(OR($C10="",$B$2="",$D$2=0),0,IF(BG$3&lt;0,0,N(INDEX('CURVA PREVISION'!$A$1:$KZ$3000,$C10,10+3*MIN(BG$3,$D$2-1)))))</f>
        <v>0</v>
      </c>
      <c r="BH10" s="131" t="n">
        <f aca="false">IF(OR($C10="",$B$2="",$D$2=0),0,IF(BH$3&lt;0,0,N(INDEX('CURVA PREVISION'!$A$1:$KZ$3000,$C10,10+3*MIN(BH$3,$D$2-1)))))</f>
        <v>0</v>
      </c>
      <c r="BI10" s="131" t="n">
        <f aca="false">IF(OR($C10="",$B$2="",$D$2=0),0,IF(BI$3&lt;0,0,N(INDEX('CURVA PREVISION'!$A$1:$KZ$3000,$C10,10+3*MIN(BI$3,$D$2-1)))))</f>
        <v>0</v>
      </c>
      <c r="BJ10" s="131" t="n">
        <f aca="false">IF(OR($C10="",$B$2="",$D$2=0),0,IF(BJ$3&lt;0,0,N(INDEX('CURVA PREVISION'!$A$1:$KZ$3000,$C10,10+3*MIN(BJ$3,$D$2-1)))))</f>
        <v>0</v>
      </c>
      <c r="BK10" s="131" t="n">
        <f aca="false">IF(OR($C10="",$B$2="",$D$2=0),0,IF(BK$3&lt;0,0,N(INDEX('CURVA PREVISION'!$A$1:$KZ$3000,$C10,10+3*MIN(BK$3,$D$2-1)))))</f>
        <v>0</v>
      </c>
      <c r="BL10" s="131" t="n">
        <f aca="false">IF(OR($C10="",$B$2="",$D$2=0),0,IF(BL$3&lt;0,0,N(INDEX('CURVA PREVISION'!$A$1:$KZ$3000,$C10,10+3*MIN(BL$3,$D$2-1)))))</f>
        <v>0</v>
      </c>
      <c r="BM10" s="131" t="n">
        <f aca="false">IF(OR($C10="",$B$2="",$D$2=0),0,IF(BM$3&lt;0,0,N(INDEX('CURVA PREVISION'!$A$1:$KZ$3000,$C10,10+3*MIN(BM$3,$D$2-1)))))</f>
        <v>0</v>
      </c>
      <c r="BN10" s="131" t="n">
        <f aca="false">IF(OR($C10="",$B$2="",$D$2=0),0,IF(BN$3&lt;0,0,N(INDEX('CURVA PREVISION'!$A$1:$KZ$3000,$C10,10+3*MIN(BN$3,$D$2-1)))))</f>
        <v>0</v>
      </c>
      <c r="BO10" s="131" t="n">
        <f aca="false">IF(OR($C10="",$B$2="",$D$2=0),0,IF(BO$3&lt;0,0,N(INDEX('CURVA PREVISION'!$A$1:$KZ$3000,$C10,10+3*MIN(BO$3,$D$2-1)))))</f>
        <v>0</v>
      </c>
      <c r="BP10" s="131" t="n">
        <f aca="false">IF(OR($C10="",$B$2="",$D$2=0),0,IF(BP$3&lt;0,0,N(INDEX('CURVA PREVISION'!$A$1:$KZ$3000,$C10,10+3*MIN(BP$3,$D$2-1)))))</f>
        <v>0</v>
      </c>
      <c r="BQ10" s="131" t="n">
        <f aca="false">IF(OR($C10="",$B$2="",$D$2=0),0,IF(BQ$3&lt;0,0,N(INDEX('CURVA PREVISION'!$A$1:$KZ$3000,$C10,10+3*MIN(BQ$3,$D$2-1)))))</f>
        <v>0</v>
      </c>
      <c r="BR10" s="131" t="n">
        <f aca="false">IF(OR($C10="",$B$2="",$D$2=0),0,IF(BR$3&lt;0,0,N(INDEX('CURVA PREVISION'!$A$1:$KZ$3000,$C10,10+3*MIN(BR$3,$D$2-1)))))</f>
        <v>0</v>
      </c>
      <c r="BS10" s="131" t="n">
        <f aca="false">IF(OR($C10="",$B$2="",$D$2=0),0,IF(BS$3&lt;0,0,N(INDEX('CURVA PREVISION'!$A$1:$KZ$3000,$C10,10+3*MIN(BS$3,$D$2-1)))))</f>
        <v>0</v>
      </c>
      <c r="BT10" s="131" t="n">
        <f aca="false">IF(OR($C10="",$B$2="",$D$2=0),0,IF(BT$3&lt;0,0,N(INDEX('CURVA PREVISION'!$A$1:$KZ$3000,$C10,10+3*MIN(BT$3,$D$2-1)))))</f>
        <v>0</v>
      </c>
      <c r="BU10" s="131" t="n">
        <f aca="false">IF(OR($C10="",$B$2="",$D$2=0),0,IF(BU$3&lt;0,0,N(INDEX('CURVA PREVISION'!$A$1:$KZ$3000,$C10,10+3*MIN(BU$3,$D$2-1)))))</f>
        <v>0</v>
      </c>
      <c r="BV10" s="131" t="n">
        <f aca="false">IF(OR($C10="",$B$2="",$D$2=0),0,IF(BV$3&lt;0,0,N(INDEX('CURVA PREVISION'!$A$1:$KZ$3000,$C10,10+3*MIN(BV$3,$D$2-1)))))</f>
        <v>0</v>
      </c>
      <c r="BW10" s="131" t="n">
        <f aca="false">IF(OR($C10="",$B$2="",$D$2=0),0,IF(BW$3&lt;0,0,N(INDEX('CURVA PREVISION'!$A$1:$KZ$3000,$C10,10+3*MIN(BW$3,$D$2-1)))))</f>
        <v>0</v>
      </c>
    </row>
    <row r="11" customFormat="false" ht="15" hidden="false" customHeight="false" outlineLevel="0" collapsed="false">
      <c r="A11" s="57" t="str">
        <f aca="false">IF('VALOR POR PL'!R17&lt;&gt;"",'VALOR POR PL'!R17,IF('VALOR POR PL'!Q17="",'VALOR POR PL'!C17,'VALOR POR PL'!Q17))</f>
        <v>07</v>
      </c>
      <c r="B11" s="57" t="str">
        <f aca="false">'VALOR POR PL'!D17</f>
        <v>DIVERSOS</v>
      </c>
      <c r="C11" s="64" t="n">
        <f aca="false">IFERROR(MATCH(A11,'CURVA PREVISION'!$B$1:$B$3000,0),"")</f>
        <v>78</v>
      </c>
      <c r="D11" s="131" t="n">
        <f aca="false">IF(OR($C11="",$B$2="",$D$2=0),0,IF(D$3&lt;0,0,N(INDEX('CURVA PREVISION'!$A$1:$KZ$3000,$C11,10+3*MIN(D$3,$D$2-1)))))</f>
        <v>0</v>
      </c>
      <c r="E11" s="131" t="n">
        <f aca="false">IF(OR($C11="",$B$2="",$D$2=0),0,IF(E$3&lt;0,0,N(INDEX('CURVA PREVISION'!$A$1:$KZ$3000,$C11,10+3*MIN(E$3,$D$2-1)))))</f>
        <v>0</v>
      </c>
      <c r="F11" s="131" t="n">
        <f aca="false">IF(OR($C11="",$B$2="",$D$2=0),0,IF(F$3&lt;0,0,N(INDEX('CURVA PREVISION'!$A$1:$KZ$3000,$C11,10+3*MIN(F$3,$D$2-1)))))</f>
        <v>0</v>
      </c>
      <c r="G11" s="131" t="n">
        <f aca="false">IF(OR($C11="",$B$2="",$D$2=0),0,IF(G$3&lt;0,0,N(INDEX('CURVA PREVISION'!$A$1:$KZ$3000,$C11,10+3*MIN(G$3,$D$2-1)))))</f>
        <v>0</v>
      </c>
      <c r="H11" s="131" t="n">
        <f aca="false">IF(OR($C11="",$B$2="",$D$2=0),0,IF(H$3&lt;0,0,N(INDEX('CURVA PREVISION'!$A$1:$KZ$3000,$C11,10+3*MIN(H$3,$D$2-1)))))</f>
        <v>0</v>
      </c>
      <c r="I11" s="131" t="n">
        <f aca="false">IF(OR($C11="",$B$2="",$D$2=0),0,IF(I$3&lt;0,0,N(INDEX('CURVA PREVISION'!$A$1:$KZ$3000,$C11,10+3*MIN(I$3,$D$2-1)))))</f>
        <v>0</v>
      </c>
      <c r="J11" s="131" t="n">
        <f aca="false">IF(OR($C11="",$B$2="",$D$2=0),0,IF(J$3&lt;0,0,N(INDEX('CURVA PREVISION'!$A$1:$KZ$3000,$C11,10+3*MIN(J$3,$D$2-1)))))</f>
        <v>0</v>
      </c>
      <c r="K11" s="131" t="n">
        <f aca="false">IF(OR($C11="",$B$2="",$D$2=0),0,IF(K$3&lt;0,0,N(INDEX('CURVA PREVISION'!$A$1:$KZ$3000,$C11,10+3*MIN(K$3,$D$2-1)))))</f>
        <v>0</v>
      </c>
      <c r="L11" s="131" t="n">
        <f aca="false">IF(OR($C11="",$B$2="",$D$2=0),0,IF(L$3&lt;0,0,N(INDEX('CURVA PREVISION'!$A$1:$KZ$3000,$C11,10+3*MIN(L$3,$D$2-1)))))</f>
        <v>0</v>
      </c>
      <c r="M11" s="131" t="n">
        <f aca="false">IF(OR($C11="",$B$2="",$D$2=0),0,IF(M$3&lt;0,0,N(INDEX('CURVA PREVISION'!$A$1:$KZ$3000,$C11,10+3*MIN(M$3,$D$2-1)))))</f>
        <v>0</v>
      </c>
      <c r="N11" s="131" t="n">
        <f aca="false">IF(OR($C11="",$B$2="",$D$2=0),0,IF(N$3&lt;0,0,N(INDEX('CURVA PREVISION'!$A$1:$KZ$3000,$C11,10+3*MIN(N$3,$D$2-1)))))</f>
        <v>0</v>
      </c>
      <c r="O11" s="131" t="n">
        <f aca="false">IF(OR($C11="",$B$2="",$D$2=0),0,IF(O$3&lt;0,0,N(INDEX('CURVA PREVISION'!$A$1:$KZ$3000,$C11,10+3*MIN(O$3,$D$2-1)))))</f>
        <v>0</v>
      </c>
      <c r="P11" s="131" t="n">
        <f aca="false">IF(OR($C11="",$B$2="",$D$2=0),0,IF(P$3&lt;0,0,N(INDEX('CURVA PREVISION'!$A$1:$KZ$3000,$C11,10+3*MIN(P$3,$D$2-1)))))</f>
        <v>0</v>
      </c>
      <c r="Q11" s="131" t="n">
        <f aca="false">IF(OR($C11="",$B$2="",$D$2=0),0,IF(Q$3&lt;0,0,N(INDEX('CURVA PREVISION'!$A$1:$KZ$3000,$C11,10+3*MIN(Q$3,$D$2-1)))))</f>
        <v>0</v>
      </c>
      <c r="R11" s="131" t="n">
        <f aca="false">IF(OR($C11="",$B$2="",$D$2=0),0,IF(R$3&lt;0,0,N(INDEX('CURVA PREVISION'!$A$1:$KZ$3000,$C11,10+3*MIN(R$3,$D$2-1)))))</f>
        <v>0</v>
      </c>
      <c r="S11" s="131" t="n">
        <f aca="false">IF(OR($C11="",$B$2="",$D$2=0),0,IF(S$3&lt;0,0,N(INDEX('CURVA PREVISION'!$A$1:$KZ$3000,$C11,10+3*MIN(S$3,$D$2-1)))))</f>
        <v>0</v>
      </c>
      <c r="T11" s="131" t="n">
        <f aca="false">IF(OR($C11="",$B$2="",$D$2=0),0,IF(T$3&lt;0,0,N(INDEX('CURVA PREVISION'!$A$1:$KZ$3000,$C11,10+3*MIN(T$3,$D$2-1)))))</f>
        <v>0</v>
      </c>
      <c r="U11" s="131" t="n">
        <f aca="false">IF(OR($C11="",$B$2="",$D$2=0),0,IF(U$3&lt;0,0,N(INDEX('CURVA PREVISION'!$A$1:$KZ$3000,$C11,10+3*MIN(U$3,$D$2-1)))))</f>
        <v>0</v>
      </c>
      <c r="V11" s="131" t="n">
        <f aca="false">IF(OR($C11="",$B$2="",$D$2=0),0,IF(V$3&lt;0,0,N(INDEX('CURVA PREVISION'!$A$1:$KZ$3000,$C11,10+3*MIN(V$3,$D$2-1)))))</f>
        <v>0</v>
      </c>
      <c r="W11" s="131" t="n">
        <f aca="false">IF(OR($C11="",$B$2="",$D$2=0),0,IF(W$3&lt;0,0,N(INDEX('CURVA PREVISION'!$A$1:$KZ$3000,$C11,10+3*MIN(W$3,$D$2-1)))))</f>
        <v>0</v>
      </c>
      <c r="X11" s="131" t="n">
        <f aca="false">IF(OR($C11="",$B$2="",$D$2=0),0,IF(X$3&lt;0,0,N(INDEX('CURVA PREVISION'!$A$1:$KZ$3000,$C11,10+3*MIN(X$3,$D$2-1)))))</f>
        <v>0</v>
      </c>
      <c r="Y11" s="131" t="n">
        <f aca="false">IF(OR($C11="",$B$2="",$D$2=0),0,IF(Y$3&lt;0,0,N(INDEX('CURVA PREVISION'!$A$1:$KZ$3000,$C11,10+3*MIN(Y$3,$D$2-1)))))</f>
        <v>0</v>
      </c>
      <c r="Z11" s="131" t="n">
        <f aca="false">IF(OR($C11="",$B$2="",$D$2=0),0,IF(Z$3&lt;0,0,N(INDEX('CURVA PREVISION'!$A$1:$KZ$3000,$C11,10+3*MIN(Z$3,$D$2-1)))))</f>
        <v>0</v>
      </c>
      <c r="AA11" s="131" t="n">
        <f aca="false">IF(OR($C11="",$B$2="",$D$2=0),0,IF(AA$3&lt;0,0,N(INDEX('CURVA PREVISION'!$A$1:$KZ$3000,$C11,10+3*MIN(AA$3,$D$2-1)))))</f>
        <v>0</v>
      </c>
      <c r="AB11" s="131" t="n">
        <f aca="false">IF(OR($C11="",$B$2="",$D$2=0),0,IF(AB$3&lt;0,0,N(INDEX('CURVA PREVISION'!$A$1:$KZ$3000,$C11,10+3*MIN(AB$3,$D$2-1)))))</f>
        <v>0</v>
      </c>
      <c r="AC11" s="131" t="n">
        <f aca="false">IF(OR($C11="",$B$2="",$D$2=0),0,IF(AC$3&lt;0,0,N(INDEX('CURVA PREVISION'!$A$1:$KZ$3000,$C11,10+3*MIN(AC$3,$D$2-1)))))</f>
        <v>0</v>
      </c>
      <c r="AD11" s="131" t="n">
        <f aca="false">IF(OR($C11="",$B$2="",$D$2=0),0,IF(AD$3&lt;0,0,N(INDEX('CURVA PREVISION'!$A$1:$KZ$3000,$C11,10+3*MIN(AD$3,$D$2-1)))))</f>
        <v>0</v>
      </c>
      <c r="AE11" s="131" t="n">
        <f aca="false">IF(OR($C11="",$B$2="",$D$2=0),0,IF(AE$3&lt;0,0,N(INDEX('CURVA PREVISION'!$A$1:$KZ$3000,$C11,10+3*MIN(AE$3,$D$2-1)))))</f>
        <v>0</v>
      </c>
      <c r="AF11" s="131" t="n">
        <f aca="false">IF(OR($C11="",$B$2="",$D$2=0),0,IF(AF$3&lt;0,0,N(INDEX('CURVA PREVISION'!$A$1:$KZ$3000,$C11,10+3*MIN(AF$3,$D$2-1)))))</f>
        <v>0</v>
      </c>
      <c r="AG11" s="131" t="n">
        <f aca="false">IF(OR($C11="",$B$2="",$D$2=0),0,IF(AG$3&lt;0,0,N(INDEX('CURVA PREVISION'!$A$1:$KZ$3000,$C11,10+3*MIN(AG$3,$D$2-1)))))</f>
        <v>0</v>
      </c>
      <c r="AH11" s="131" t="n">
        <f aca="false">IF(OR($C11="",$B$2="",$D$2=0),0,IF(AH$3&lt;0,0,N(INDEX('CURVA PREVISION'!$A$1:$KZ$3000,$C11,10+3*MIN(AH$3,$D$2-1)))))</f>
        <v>0</v>
      </c>
      <c r="AI11" s="131" t="n">
        <f aca="false">IF(OR($C11="",$B$2="",$D$2=0),0,IF(AI$3&lt;0,0,N(INDEX('CURVA PREVISION'!$A$1:$KZ$3000,$C11,10+3*MIN(AI$3,$D$2-1)))))</f>
        <v>0</v>
      </c>
      <c r="AJ11" s="131" t="n">
        <f aca="false">IF(OR($C11="",$B$2="",$D$2=0),0,IF(AJ$3&lt;0,0,N(INDEX('CURVA PREVISION'!$A$1:$KZ$3000,$C11,10+3*MIN(AJ$3,$D$2-1)))))</f>
        <v>0</v>
      </c>
      <c r="AK11" s="131" t="n">
        <f aca="false">IF(OR($C11="",$B$2="",$D$2=0),0,IF(AK$3&lt;0,0,N(INDEX('CURVA PREVISION'!$A$1:$KZ$3000,$C11,10+3*MIN(AK$3,$D$2-1)))))</f>
        <v>0</v>
      </c>
      <c r="AL11" s="131" t="n">
        <f aca="false">IF(OR($C11="",$B$2="",$D$2=0),0,IF(AL$3&lt;0,0,N(INDEX('CURVA PREVISION'!$A$1:$KZ$3000,$C11,10+3*MIN(AL$3,$D$2-1)))))</f>
        <v>0</v>
      </c>
      <c r="AM11" s="131" t="n">
        <f aca="false">IF(OR($C11="",$B$2="",$D$2=0),0,IF(AM$3&lt;0,0,N(INDEX('CURVA PREVISION'!$A$1:$KZ$3000,$C11,10+3*MIN(AM$3,$D$2-1)))))</f>
        <v>0</v>
      </c>
      <c r="AN11" s="131" t="n">
        <f aca="false">IF(OR($C11="",$B$2="",$D$2=0),0,IF(AN$3&lt;0,0,N(INDEX('CURVA PREVISION'!$A$1:$KZ$3000,$C11,10+3*MIN(AN$3,$D$2-1)))))</f>
        <v>0</v>
      </c>
      <c r="AO11" s="131" t="n">
        <f aca="false">IF(OR($C11="",$B$2="",$D$2=0),0,IF(AO$3&lt;0,0,N(INDEX('CURVA PREVISION'!$A$1:$KZ$3000,$C11,10+3*MIN(AO$3,$D$2-1)))))</f>
        <v>0</v>
      </c>
      <c r="AP11" s="131" t="n">
        <f aca="false">IF(OR($C11="",$B$2="",$D$2=0),0,IF(AP$3&lt;0,0,N(INDEX('CURVA PREVISION'!$A$1:$KZ$3000,$C11,10+3*MIN(AP$3,$D$2-1)))))</f>
        <v>0</v>
      </c>
      <c r="AQ11" s="131" t="n">
        <f aca="false">IF(OR($C11="",$B$2="",$D$2=0),0,IF(AQ$3&lt;0,0,N(INDEX('CURVA PREVISION'!$A$1:$KZ$3000,$C11,10+3*MIN(AQ$3,$D$2-1)))))</f>
        <v>0</v>
      </c>
      <c r="AR11" s="131" t="n">
        <f aca="false">IF(OR($C11="",$B$2="",$D$2=0),0,IF(AR$3&lt;0,0,N(INDEX('CURVA PREVISION'!$A$1:$KZ$3000,$C11,10+3*MIN(AR$3,$D$2-1)))))</f>
        <v>0</v>
      </c>
      <c r="AS11" s="131" t="n">
        <f aca="false">IF(OR($C11="",$B$2="",$D$2=0),0,IF(AS$3&lt;0,0,N(INDEX('CURVA PREVISION'!$A$1:$KZ$3000,$C11,10+3*MIN(AS$3,$D$2-1)))))</f>
        <v>0</v>
      </c>
      <c r="AT11" s="131" t="n">
        <f aca="false">IF(OR($C11="",$B$2="",$D$2=0),0,IF(AT$3&lt;0,0,N(INDEX('CURVA PREVISION'!$A$1:$KZ$3000,$C11,10+3*MIN(AT$3,$D$2-1)))))</f>
        <v>0</v>
      </c>
      <c r="AU11" s="131" t="n">
        <f aca="false">IF(OR($C11="",$B$2="",$D$2=0),0,IF(AU$3&lt;0,0,N(INDEX('CURVA PREVISION'!$A$1:$KZ$3000,$C11,10+3*MIN(AU$3,$D$2-1)))))</f>
        <v>0</v>
      </c>
      <c r="AV11" s="131" t="n">
        <f aca="false">IF(OR($C11="",$B$2="",$D$2=0),0,IF(AV$3&lt;0,0,N(INDEX('CURVA PREVISION'!$A$1:$KZ$3000,$C11,10+3*MIN(AV$3,$D$2-1)))))</f>
        <v>0</v>
      </c>
      <c r="AW11" s="131" t="n">
        <f aca="false">IF(OR($C11="",$B$2="",$D$2=0),0,IF(AW$3&lt;0,0,N(INDEX('CURVA PREVISION'!$A$1:$KZ$3000,$C11,10+3*MIN(AW$3,$D$2-1)))))</f>
        <v>0</v>
      </c>
      <c r="AX11" s="131" t="n">
        <f aca="false">IF(OR($C11="",$B$2="",$D$2=0),0,IF(AX$3&lt;0,0,N(INDEX('CURVA PREVISION'!$A$1:$KZ$3000,$C11,10+3*MIN(AX$3,$D$2-1)))))</f>
        <v>0</v>
      </c>
      <c r="AY11" s="131" t="n">
        <f aca="false">IF(OR($C11="",$B$2="",$D$2=0),0,IF(AY$3&lt;0,0,N(INDEX('CURVA PREVISION'!$A$1:$KZ$3000,$C11,10+3*MIN(AY$3,$D$2-1)))))</f>
        <v>0</v>
      </c>
      <c r="AZ11" s="131" t="n">
        <f aca="false">IF(OR($C11="",$B$2="",$D$2=0),0,IF(AZ$3&lt;0,0,N(INDEX('CURVA PREVISION'!$A$1:$KZ$3000,$C11,10+3*MIN(AZ$3,$D$2-1)))))</f>
        <v>0</v>
      </c>
      <c r="BA11" s="131" t="n">
        <f aca="false">IF(OR($C11="",$B$2="",$D$2=0),0,IF(BA$3&lt;0,0,N(INDEX('CURVA PREVISION'!$A$1:$KZ$3000,$C11,10+3*MIN(BA$3,$D$2-1)))))</f>
        <v>0</v>
      </c>
      <c r="BB11" s="131" t="n">
        <f aca="false">IF(OR($C11="",$B$2="",$D$2=0),0,IF(BB$3&lt;0,0,N(INDEX('CURVA PREVISION'!$A$1:$KZ$3000,$C11,10+3*MIN(BB$3,$D$2-1)))))</f>
        <v>0</v>
      </c>
      <c r="BC11" s="131" t="n">
        <f aca="false">IF(OR($C11="",$B$2="",$D$2=0),0,IF(BC$3&lt;0,0,N(INDEX('CURVA PREVISION'!$A$1:$KZ$3000,$C11,10+3*MIN(BC$3,$D$2-1)))))</f>
        <v>0</v>
      </c>
      <c r="BD11" s="131" t="n">
        <f aca="false">IF(OR($C11="",$B$2="",$D$2=0),0,IF(BD$3&lt;0,0,N(INDEX('CURVA PREVISION'!$A$1:$KZ$3000,$C11,10+3*MIN(BD$3,$D$2-1)))))</f>
        <v>0</v>
      </c>
      <c r="BE11" s="131" t="n">
        <f aca="false">IF(OR($C11="",$B$2="",$D$2=0),0,IF(BE$3&lt;0,0,N(INDEX('CURVA PREVISION'!$A$1:$KZ$3000,$C11,10+3*MIN(BE$3,$D$2-1)))))</f>
        <v>0</v>
      </c>
      <c r="BF11" s="131" t="n">
        <f aca="false">IF(OR($C11="",$B$2="",$D$2=0),0,IF(BF$3&lt;0,0,N(INDEX('CURVA PREVISION'!$A$1:$KZ$3000,$C11,10+3*MIN(BF$3,$D$2-1)))))</f>
        <v>0</v>
      </c>
      <c r="BG11" s="131" t="n">
        <f aca="false">IF(OR($C11="",$B$2="",$D$2=0),0,IF(BG$3&lt;0,0,N(INDEX('CURVA PREVISION'!$A$1:$KZ$3000,$C11,10+3*MIN(BG$3,$D$2-1)))))</f>
        <v>0</v>
      </c>
      <c r="BH11" s="131" t="n">
        <f aca="false">IF(OR($C11="",$B$2="",$D$2=0),0,IF(BH$3&lt;0,0,N(INDEX('CURVA PREVISION'!$A$1:$KZ$3000,$C11,10+3*MIN(BH$3,$D$2-1)))))</f>
        <v>0</v>
      </c>
      <c r="BI11" s="131" t="n">
        <f aca="false">IF(OR($C11="",$B$2="",$D$2=0),0,IF(BI$3&lt;0,0,N(INDEX('CURVA PREVISION'!$A$1:$KZ$3000,$C11,10+3*MIN(BI$3,$D$2-1)))))</f>
        <v>0</v>
      </c>
      <c r="BJ11" s="131" t="n">
        <f aca="false">IF(OR($C11="",$B$2="",$D$2=0),0,IF(BJ$3&lt;0,0,N(INDEX('CURVA PREVISION'!$A$1:$KZ$3000,$C11,10+3*MIN(BJ$3,$D$2-1)))))</f>
        <v>0</v>
      </c>
      <c r="BK11" s="131" t="n">
        <f aca="false">IF(OR($C11="",$B$2="",$D$2=0),0,IF(BK$3&lt;0,0,N(INDEX('CURVA PREVISION'!$A$1:$KZ$3000,$C11,10+3*MIN(BK$3,$D$2-1)))))</f>
        <v>0</v>
      </c>
      <c r="BL11" s="131" t="n">
        <f aca="false">IF(OR($C11="",$B$2="",$D$2=0),0,IF(BL$3&lt;0,0,N(INDEX('CURVA PREVISION'!$A$1:$KZ$3000,$C11,10+3*MIN(BL$3,$D$2-1)))))</f>
        <v>0</v>
      </c>
      <c r="BM11" s="131" t="n">
        <f aca="false">IF(OR($C11="",$B$2="",$D$2=0),0,IF(BM$3&lt;0,0,N(INDEX('CURVA PREVISION'!$A$1:$KZ$3000,$C11,10+3*MIN(BM$3,$D$2-1)))))</f>
        <v>0</v>
      </c>
      <c r="BN11" s="131" t="n">
        <f aca="false">IF(OR($C11="",$B$2="",$D$2=0),0,IF(BN$3&lt;0,0,N(INDEX('CURVA PREVISION'!$A$1:$KZ$3000,$C11,10+3*MIN(BN$3,$D$2-1)))))</f>
        <v>0</v>
      </c>
      <c r="BO11" s="131" t="n">
        <f aca="false">IF(OR($C11="",$B$2="",$D$2=0),0,IF(BO$3&lt;0,0,N(INDEX('CURVA PREVISION'!$A$1:$KZ$3000,$C11,10+3*MIN(BO$3,$D$2-1)))))</f>
        <v>0</v>
      </c>
      <c r="BP11" s="131" t="n">
        <f aca="false">IF(OR($C11="",$B$2="",$D$2=0),0,IF(BP$3&lt;0,0,N(INDEX('CURVA PREVISION'!$A$1:$KZ$3000,$C11,10+3*MIN(BP$3,$D$2-1)))))</f>
        <v>0</v>
      </c>
      <c r="BQ11" s="131" t="n">
        <f aca="false">IF(OR($C11="",$B$2="",$D$2=0),0,IF(BQ$3&lt;0,0,N(INDEX('CURVA PREVISION'!$A$1:$KZ$3000,$C11,10+3*MIN(BQ$3,$D$2-1)))))</f>
        <v>0</v>
      </c>
      <c r="BR11" s="131" t="n">
        <f aca="false">IF(OR($C11="",$B$2="",$D$2=0),0,IF(BR$3&lt;0,0,N(INDEX('CURVA PREVISION'!$A$1:$KZ$3000,$C11,10+3*MIN(BR$3,$D$2-1)))))</f>
        <v>0</v>
      </c>
      <c r="BS11" s="131" t="n">
        <f aca="false">IF(OR($C11="",$B$2="",$D$2=0),0,IF(BS$3&lt;0,0,N(INDEX('CURVA PREVISION'!$A$1:$KZ$3000,$C11,10+3*MIN(BS$3,$D$2-1)))))</f>
        <v>0</v>
      </c>
      <c r="BT11" s="131" t="n">
        <f aca="false">IF(OR($C11="",$B$2="",$D$2=0),0,IF(BT$3&lt;0,0,N(INDEX('CURVA PREVISION'!$A$1:$KZ$3000,$C11,10+3*MIN(BT$3,$D$2-1)))))</f>
        <v>0</v>
      </c>
      <c r="BU11" s="131" t="n">
        <f aca="false">IF(OR($C11="",$B$2="",$D$2=0),0,IF(BU$3&lt;0,0,N(INDEX('CURVA PREVISION'!$A$1:$KZ$3000,$C11,10+3*MIN(BU$3,$D$2-1)))))</f>
        <v>0</v>
      </c>
      <c r="BV11" s="131" t="n">
        <f aca="false">IF(OR($C11="",$B$2="",$D$2=0),0,IF(BV$3&lt;0,0,N(INDEX('CURVA PREVISION'!$A$1:$KZ$3000,$C11,10+3*MIN(BV$3,$D$2-1)))))</f>
        <v>0</v>
      </c>
      <c r="BW11" s="131" t="n">
        <f aca="false">IF(OR($C11="",$B$2="",$D$2=0),0,IF(BW$3&lt;0,0,N(INDEX('CURVA PREVISION'!$A$1:$KZ$3000,$C11,10+3*MIN(BW$3,$D$2-1)))))</f>
        <v>0</v>
      </c>
    </row>
    <row r="12" customFormat="false" ht="15" hidden="false" customHeight="false" outlineLevel="0" collapsed="false">
      <c r="A12" s="57" t="str">
        <f aca="false">IF('VALOR POR PL'!R18&lt;&gt;"",'VALOR POR PL'!R18,IF('VALOR POR PL'!Q18="",'VALOR POR PL'!C18,'VALOR POR PL'!Q18))</f>
        <v>08</v>
      </c>
      <c r="B12" s="57" t="str">
        <f aca="false">'VALOR POR PL'!D18</f>
        <v>TRANSPORTES</v>
      </c>
      <c r="C12" s="64" t="n">
        <f aca="false">IFERROR(MATCH(A12,'CURVA PREVISION'!$B$1:$B$3000,0),"")</f>
        <v>84</v>
      </c>
      <c r="D12" s="131" t="n">
        <f aca="false">IF(OR($C12="",$B$2="",$D$2=0),0,IF(D$3&lt;0,0,N(INDEX('CURVA PREVISION'!$A$1:$KZ$3000,$C12,10+3*MIN(D$3,$D$2-1)))))</f>
        <v>0</v>
      </c>
      <c r="E12" s="131" t="n">
        <f aca="false">IF(OR($C12="",$B$2="",$D$2=0),0,IF(E$3&lt;0,0,N(INDEX('CURVA PREVISION'!$A$1:$KZ$3000,$C12,10+3*MIN(E$3,$D$2-1)))))</f>
        <v>0</v>
      </c>
      <c r="F12" s="131" t="n">
        <f aca="false">IF(OR($C12="",$B$2="",$D$2=0),0,IF(F$3&lt;0,0,N(INDEX('CURVA PREVISION'!$A$1:$KZ$3000,$C12,10+3*MIN(F$3,$D$2-1)))))</f>
        <v>0</v>
      </c>
      <c r="G12" s="131" t="n">
        <f aca="false">IF(OR($C12="",$B$2="",$D$2=0),0,IF(G$3&lt;0,0,N(INDEX('CURVA PREVISION'!$A$1:$KZ$3000,$C12,10+3*MIN(G$3,$D$2-1)))))</f>
        <v>0</v>
      </c>
      <c r="H12" s="131" t="n">
        <f aca="false">IF(OR($C12="",$B$2="",$D$2=0),0,IF(H$3&lt;0,0,N(INDEX('CURVA PREVISION'!$A$1:$KZ$3000,$C12,10+3*MIN(H$3,$D$2-1)))))</f>
        <v>0</v>
      </c>
      <c r="I12" s="131" t="n">
        <f aca="false">IF(OR($C12="",$B$2="",$D$2=0),0,IF(I$3&lt;0,0,N(INDEX('CURVA PREVISION'!$A$1:$KZ$3000,$C12,10+3*MIN(I$3,$D$2-1)))))</f>
        <v>0</v>
      </c>
      <c r="J12" s="131" t="n">
        <f aca="false">IF(OR($C12="",$B$2="",$D$2=0),0,IF(J$3&lt;0,0,N(INDEX('CURVA PREVISION'!$A$1:$KZ$3000,$C12,10+3*MIN(J$3,$D$2-1)))))</f>
        <v>0</v>
      </c>
      <c r="K12" s="131" t="n">
        <f aca="false">IF(OR($C12="",$B$2="",$D$2=0),0,IF(K$3&lt;0,0,N(INDEX('CURVA PREVISION'!$A$1:$KZ$3000,$C12,10+3*MIN(K$3,$D$2-1)))))</f>
        <v>0</v>
      </c>
      <c r="L12" s="131" t="n">
        <f aca="false">IF(OR($C12="",$B$2="",$D$2=0),0,IF(L$3&lt;0,0,N(INDEX('CURVA PREVISION'!$A$1:$KZ$3000,$C12,10+3*MIN(L$3,$D$2-1)))))</f>
        <v>0</v>
      </c>
      <c r="M12" s="131" t="n">
        <f aca="false">IF(OR($C12="",$B$2="",$D$2=0),0,IF(M$3&lt;0,0,N(INDEX('CURVA PREVISION'!$A$1:$KZ$3000,$C12,10+3*MIN(M$3,$D$2-1)))))</f>
        <v>0</v>
      </c>
      <c r="N12" s="131" t="n">
        <f aca="false">IF(OR($C12="",$B$2="",$D$2=0),0,IF(N$3&lt;0,0,N(INDEX('CURVA PREVISION'!$A$1:$KZ$3000,$C12,10+3*MIN(N$3,$D$2-1)))))</f>
        <v>0</v>
      </c>
      <c r="O12" s="131" t="n">
        <f aca="false">IF(OR($C12="",$B$2="",$D$2=0),0,IF(O$3&lt;0,0,N(INDEX('CURVA PREVISION'!$A$1:$KZ$3000,$C12,10+3*MIN(O$3,$D$2-1)))))</f>
        <v>0</v>
      </c>
      <c r="P12" s="131" t="n">
        <f aca="false">IF(OR($C12="",$B$2="",$D$2=0),0,IF(P$3&lt;0,0,N(INDEX('CURVA PREVISION'!$A$1:$KZ$3000,$C12,10+3*MIN(P$3,$D$2-1)))))</f>
        <v>0</v>
      </c>
      <c r="Q12" s="131" t="n">
        <f aca="false">IF(OR($C12="",$B$2="",$D$2=0),0,IF(Q$3&lt;0,0,N(INDEX('CURVA PREVISION'!$A$1:$KZ$3000,$C12,10+3*MIN(Q$3,$D$2-1)))))</f>
        <v>0</v>
      </c>
      <c r="R12" s="131" t="n">
        <f aca="false">IF(OR($C12="",$B$2="",$D$2=0),0,IF(R$3&lt;0,0,N(INDEX('CURVA PREVISION'!$A$1:$KZ$3000,$C12,10+3*MIN(R$3,$D$2-1)))))</f>
        <v>0</v>
      </c>
      <c r="S12" s="131" t="n">
        <f aca="false">IF(OR($C12="",$B$2="",$D$2=0),0,IF(S$3&lt;0,0,N(INDEX('CURVA PREVISION'!$A$1:$KZ$3000,$C12,10+3*MIN(S$3,$D$2-1)))))</f>
        <v>0</v>
      </c>
      <c r="T12" s="131" t="n">
        <f aca="false">IF(OR($C12="",$B$2="",$D$2=0),0,IF(T$3&lt;0,0,N(INDEX('CURVA PREVISION'!$A$1:$KZ$3000,$C12,10+3*MIN(T$3,$D$2-1)))))</f>
        <v>0</v>
      </c>
      <c r="U12" s="131" t="n">
        <f aca="false">IF(OR($C12="",$B$2="",$D$2=0),0,IF(U$3&lt;0,0,N(INDEX('CURVA PREVISION'!$A$1:$KZ$3000,$C12,10+3*MIN(U$3,$D$2-1)))))</f>
        <v>0</v>
      </c>
      <c r="V12" s="131" t="n">
        <f aca="false">IF(OR($C12="",$B$2="",$D$2=0),0,IF(V$3&lt;0,0,N(INDEX('CURVA PREVISION'!$A$1:$KZ$3000,$C12,10+3*MIN(V$3,$D$2-1)))))</f>
        <v>0</v>
      </c>
      <c r="W12" s="131" t="n">
        <f aca="false">IF(OR($C12="",$B$2="",$D$2=0),0,IF(W$3&lt;0,0,N(INDEX('CURVA PREVISION'!$A$1:$KZ$3000,$C12,10+3*MIN(W$3,$D$2-1)))))</f>
        <v>0</v>
      </c>
      <c r="X12" s="131" t="n">
        <f aca="false">IF(OR($C12="",$B$2="",$D$2=0),0,IF(X$3&lt;0,0,N(INDEX('CURVA PREVISION'!$A$1:$KZ$3000,$C12,10+3*MIN(X$3,$D$2-1)))))</f>
        <v>0</v>
      </c>
      <c r="Y12" s="131" t="n">
        <f aca="false">IF(OR($C12="",$B$2="",$D$2=0),0,IF(Y$3&lt;0,0,N(INDEX('CURVA PREVISION'!$A$1:$KZ$3000,$C12,10+3*MIN(Y$3,$D$2-1)))))</f>
        <v>0</v>
      </c>
      <c r="Z12" s="131" t="n">
        <f aca="false">IF(OR($C12="",$B$2="",$D$2=0),0,IF(Z$3&lt;0,0,N(INDEX('CURVA PREVISION'!$A$1:$KZ$3000,$C12,10+3*MIN(Z$3,$D$2-1)))))</f>
        <v>0</v>
      </c>
      <c r="AA12" s="131" t="n">
        <f aca="false">IF(OR($C12="",$B$2="",$D$2=0),0,IF(AA$3&lt;0,0,N(INDEX('CURVA PREVISION'!$A$1:$KZ$3000,$C12,10+3*MIN(AA$3,$D$2-1)))))</f>
        <v>0</v>
      </c>
      <c r="AB12" s="131" t="n">
        <f aca="false">IF(OR($C12="",$B$2="",$D$2=0),0,IF(AB$3&lt;0,0,N(INDEX('CURVA PREVISION'!$A$1:$KZ$3000,$C12,10+3*MIN(AB$3,$D$2-1)))))</f>
        <v>0</v>
      </c>
      <c r="AC12" s="131" t="n">
        <f aca="false">IF(OR($C12="",$B$2="",$D$2=0),0,IF(AC$3&lt;0,0,N(INDEX('CURVA PREVISION'!$A$1:$KZ$3000,$C12,10+3*MIN(AC$3,$D$2-1)))))</f>
        <v>0</v>
      </c>
      <c r="AD12" s="131" t="n">
        <f aca="false">IF(OR($C12="",$B$2="",$D$2=0),0,IF(AD$3&lt;0,0,N(INDEX('CURVA PREVISION'!$A$1:$KZ$3000,$C12,10+3*MIN(AD$3,$D$2-1)))))</f>
        <v>0</v>
      </c>
      <c r="AE12" s="131" t="n">
        <f aca="false">IF(OR($C12="",$B$2="",$D$2=0),0,IF(AE$3&lt;0,0,N(INDEX('CURVA PREVISION'!$A$1:$KZ$3000,$C12,10+3*MIN(AE$3,$D$2-1)))))</f>
        <v>0</v>
      </c>
      <c r="AF12" s="131" t="n">
        <f aca="false">IF(OR($C12="",$B$2="",$D$2=0),0,IF(AF$3&lt;0,0,N(INDEX('CURVA PREVISION'!$A$1:$KZ$3000,$C12,10+3*MIN(AF$3,$D$2-1)))))</f>
        <v>0</v>
      </c>
      <c r="AG12" s="131" t="n">
        <f aca="false">IF(OR($C12="",$B$2="",$D$2=0),0,IF(AG$3&lt;0,0,N(INDEX('CURVA PREVISION'!$A$1:$KZ$3000,$C12,10+3*MIN(AG$3,$D$2-1)))))</f>
        <v>0</v>
      </c>
      <c r="AH12" s="131" t="n">
        <f aca="false">IF(OR($C12="",$B$2="",$D$2=0),0,IF(AH$3&lt;0,0,N(INDEX('CURVA PREVISION'!$A$1:$KZ$3000,$C12,10+3*MIN(AH$3,$D$2-1)))))</f>
        <v>0</v>
      </c>
      <c r="AI12" s="131" t="n">
        <f aca="false">IF(OR($C12="",$B$2="",$D$2=0),0,IF(AI$3&lt;0,0,N(INDEX('CURVA PREVISION'!$A$1:$KZ$3000,$C12,10+3*MIN(AI$3,$D$2-1)))))</f>
        <v>0</v>
      </c>
      <c r="AJ12" s="131" t="n">
        <f aca="false">IF(OR($C12="",$B$2="",$D$2=0),0,IF(AJ$3&lt;0,0,N(INDEX('CURVA PREVISION'!$A$1:$KZ$3000,$C12,10+3*MIN(AJ$3,$D$2-1)))))</f>
        <v>0</v>
      </c>
      <c r="AK12" s="131" t="n">
        <f aca="false">IF(OR($C12="",$B$2="",$D$2=0),0,IF(AK$3&lt;0,0,N(INDEX('CURVA PREVISION'!$A$1:$KZ$3000,$C12,10+3*MIN(AK$3,$D$2-1)))))</f>
        <v>0</v>
      </c>
      <c r="AL12" s="131" t="n">
        <f aca="false">IF(OR($C12="",$B$2="",$D$2=0),0,IF(AL$3&lt;0,0,N(INDEX('CURVA PREVISION'!$A$1:$KZ$3000,$C12,10+3*MIN(AL$3,$D$2-1)))))</f>
        <v>0</v>
      </c>
      <c r="AM12" s="131" t="n">
        <f aca="false">IF(OR($C12="",$B$2="",$D$2=0),0,IF(AM$3&lt;0,0,N(INDEX('CURVA PREVISION'!$A$1:$KZ$3000,$C12,10+3*MIN(AM$3,$D$2-1)))))</f>
        <v>0</v>
      </c>
      <c r="AN12" s="131" t="n">
        <f aca="false">IF(OR($C12="",$B$2="",$D$2=0),0,IF(AN$3&lt;0,0,N(INDEX('CURVA PREVISION'!$A$1:$KZ$3000,$C12,10+3*MIN(AN$3,$D$2-1)))))</f>
        <v>0</v>
      </c>
      <c r="AO12" s="131" t="n">
        <f aca="false">IF(OR($C12="",$B$2="",$D$2=0),0,IF(AO$3&lt;0,0,N(INDEX('CURVA PREVISION'!$A$1:$KZ$3000,$C12,10+3*MIN(AO$3,$D$2-1)))))</f>
        <v>0</v>
      </c>
      <c r="AP12" s="131" t="n">
        <f aca="false">IF(OR($C12="",$B$2="",$D$2=0),0,IF(AP$3&lt;0,0,N(INDEX('CURVA PREVISION'!$A$1:$KZ$3000,$C12,10+3*MIN(AP$3,$D$2-1)))))</f>
        <v>0</v>
      </c>
      <c r="AQ12" s="131" t="n">
        <f aca="false">IF(OR($C12="",$B$2="",$D$2=0),0,IF(AQ$3&lt;0,0,N(INDEX('CURVA PREVISION'!$A$1:$KZ$3000,$C12,10+3*MIN(AQ$3,$D$2-1)))))</f>
        <v>0</v>
      </c>
      <c r="AR12" s="131" t="n">
        <f aca="false">IF(OR($C12="",$B$2="",$D$2=0),0,IF(AR$3&lt;0,0,N(INDEX('CURVA PREVISION'!$A$1:$KZ$3000,$C12,10+3*MIN(AR$3,$D$2-1)))))</f>
        <v>0</v>
      </c>
      <c r="AS12" s="131" t="n">
        <f aca="false">IF(OR($C12="",$B$2="",$D$2=0),0,IF(AS$3&lt;0,0,N(INDEX('CURVA PREVISION'!$A$1:$KZ$3000,$C12,10+3*MIN(AS$3,$D$2-1)))))</f>
        <v>0</v>
      </c>
      <c r="AT12" s="131" t="n">
        <f aca="false">IF(OR($C12="",$B$2="",$D$2=0),0,IF(AT$3&lt;0,0,N(INDEX('CURVA PREVISION'!$A$1:$KZ$3000,$C12,10+3*MIN(AT$3,$D$2-1)))))</f>
        <v>0</v>
      </c>
      <c r="AU12" s="131" t="n">
        <f aca="false">IF(OR($C12="",$B$2="",$D$2=0),0,IF(AU$3&lt;0,0,N(INDEX('CURVA PREVISION'!$A$1:$KZ$3000,$C12,10+3*MIN(AU$3,$D$2-1)))))</f>
        <v>0</v>
      </c>
      <c r="AV12" s="131" t="n">
        <f aca="false">IF(OR($C12="",$B$2="",$D$2=0),0,IF(AV$3&lt;0,0,N(INDEX('CURVA PREVISION'!$A$1:$KZ$3000,$C12,10+3*MIN(AV$3,$D$2-1)))))</f>
        <v>0</v>
      </c>
      <c r="AW12" s="131" t="n">
        <f aca="false">IF(OR($C12="",$B$2="",$D$2=0),0,IF(AW$3&lt;0,0,N(INDEX('CURVA PREVISION'!$A$1:$KZ$3000,$C12,10+3*MIN(AW$3,$D$2-1)))))</f>
        <v>0</v>
      </c>
      <c r="AX12" s="131" t="n">
        <f aca="false">IF(OR($C12="",$B$2="",$D$2=0),0,IF(AX$3&lt;0,0,N(INDEX('CURVA PREVISION'!$A$1:$KZ$3000,$C12,10+3*MIN(AX$3,$D$2-1)))))</f>
        <v>0</v>
      </c>
      <c r="AY12" s="131" t="n">
        <f aca="false">IF(OR($C12="",$B$2="",$D$2=0),0,IF(AY$3&lt;0,0,N(INDEX('CURVA PREVISION'!$A$1:$KZ$3000,$C12,10+3*MIN(AY$3,$D$2-1)))))</f>
        <v>0</v>
      </c>
      <c r="AZ12" s="131" t="n">
        <f aca="false">IF(OR($C12="",$B$2="",$D$2=0),0,IF(AZ$3&lt;0,0,N(INDEX('CURVA PREVISION'!$A$1:$KZ$3000,$C12,10+3*MIN(AZ$3,$D$2-1)))))</f>
        <v>0</v>
      </c>
      <c r="BA12" s="131" t="n">
        <f aca="false">IF(OR($C12="",$B$2="",$D$2=0),0,IF(BA$3&lt;0,0,N(INDEX('CURVA PREVISION'!$A$1:$KZ$3000,$C12,10+3*MIN(BA$3,$D$2-1)))))</f>
        <v>0</v>
      </c>
      <c r="BB12" s="131" t="n">
        <f aca="false">IF(OR($C12="",$B$2="",$D$2=0),0,IF(BB$3&lt;0,0,N(INDEX('CURVA PREVISION'!$A$1:$KZ$3000,$C12,10+3*MIN(BB$3,$D$2-1)))))</f>
        <v>0</v>
      </c>
      <c r="BC12" s="131" t="n">
        <f aca="false">IF(OR($C12="",$B$2="",$D$2=0),0,IF(BC$3&lt;0,0,N(INDEX('CURVA PREVISION'!$A$1:$KZ$3000,$C12,10+3*MIN(BC$3,$D$2-1)))))</f>
        <v>0</v>
      </c>
      <c r="BD12" s="131" t="n">
        <f aca="false">IF(OR($C12="",$B$2="",$D$2=0),0,IF(BD$3&lt;0,0,N(INDEX('CURVA PREVISION'!$A$1:$KZ$3000,$C12,10+3*MIN(BD$3,$D$2-1)))))</f>
        <v>0</v>
      </c>
      <c r="BE12" s="131" t="n">
        <f aca="false">IF(OR($C12="",$B$2="",$D$2=0),0,IF(BE$3&lt;0,0,N(INDEX('CURVA PREVISION'!$A$1:$KZ$3000,$C12,10+3*MIN(BE$3,$D$2-1)))))</f>
        <v>0</v>
      </c>
      <c r="BF12" s="131" t="n">
        <f aca="false">IF(OR($C12="",$B$2="",$D$2=0),0,IF(BF$3&lt;0,0,N(INDEX('CURVA PREVISION'!$A$1:$KZ$3000,$C12,10+3*MIN(BF$3,$D$2-1)))))</f>
        <v>0</v>
      </c>
      <c r="BG12" s="131" t="n">
        <f aca="false">IF(OR($C12="",$B$2="",$D$2=0),0,IF(BG$3&lt;0,0,N(INDEX('CURVA PREVISION'!$A$1:$KZ$3000,$C12,10+3*MIN(BG$3,$D$2-1)))))</f>
        <v>0</v>
      </c>
      <c r="BH12" s="131" t="n">
        <f aca="false">IF(OR($C12="",$B$2="",$D$2=0),0,IF(BH$3&lt;0,0,N(INDEX('CURVA PREVISION'!$A$1:$KZ$3000,$C12,10+3*MIN(BH$3,$D$2-1)))))</f>
        <v>0</v>
      </c>
      <c r="BI12" s="131" t="n">
        <f aca="false">IF(OR($C12="",$B$2="",$D$2=0),0,IF(BI$3&lt;0,0,N(INDEX('CURVA PREVISION'!$A$1:$KZ$3000,$C12,10+3*MIN(BI$3,$D$2-1)))))</f>
        <v>0</v>
      </c>
      <c r="BJ12" s="131" t="n">
        <f aca="false">IF(OR($C12="",$B$2="",$D$2=0),0,IF(BJ$3&lt;0,0,N(INDEX('CURVA PREVISION'!$A$1:$KZ$3000,$C12,10+3*MIN(BJ$3,$D$2-1)))))</f>
        <v>0</v>
      </c>
      <c r="BK12" s="131" t="n">
        <f aca="false">IF(OR($C12="",$B$2="",$D$2=0),0,IF(BK$3&lt;0,0,N(INDEX('CURVA PREVISION'!$A$1:$KZ$3000,$C12,10+3*MIN(BK$3,$D$2-1)))))</f>
        <v>0</v>
      </c>
      <c r="BL12" s="131" t="n">
        <f aca="false">IF(OR($C12="",$B$2="",$D$2=0),0,IF(BL$3&lt;0,0,N(INDEX('CURVA PREVISION'!$A$1:$KZ$3000,$C12,10+3*MIN(BL$3,$D$2-1)))))</f>
        <v>0</v>
      </c>
      <c r="BM12" s="131" t="n">
        <f aca="false">IF(OR($C12="",$B$2="",$D$2=0),0,IF(BM$3&lt;0,0,N(INDEX('CURVA PREVISION'!$A$1:$KZ$3000,$C12,10+3*MIN(BM$3,$D$2-1)))))</f>
        <v>0</v>
      </c>
      <c r="BN12" s="131" t="n">
        <f aca="false">IF(OR($C12="",$B$2="",$D$2=0),0,IF(BN$3&lt;0,0,N(INDEX('CURVA PREVISION'!$A$1:$KZ$3000,$C12,10+3*MIN(BN$3,$D$2-1)))))</f>
        <v>0</v>
      </c>
      <c r="BO12" s="131" t="n">
        <f aca="false">IF(OR($C12="",$B$2="",$D$2=0),0,IF(BO$3&lt;0,0,N(INDEX('CURVA PREVISION'!$A$1:$KZ$3000,$C12,10+3*MIN(BO$3,$D$2-1)))))</f>
        <v>0</v>
      </c>
      <c r="BP12" s="131" t="n">
        <f aca="false">IF(OR($C12="",$B$2="",$D$2=0),0,IF(BP$3&lt;0,0,N(INDEX('CURVA PREVISION'!$A$1:$KZ$3000,$C12,10+3*MIN(BP$3,$D$2-1)))))</f>
        <v>0</v>
      </c>
      <c r="BQ12" s="131" t="n">
        <f aca="false">IF(OR($C12="",$B$2="",$D$2=0),0,IF(BQ$3&lt;0,0,N(INDEX('CURVA PREVISION'!$A$1:$KZ$3000,$C12,10+3*MIN(BQ$3,$D$2-1)))))</f>
        <v>0</v>
      </c>
      <c r="BR12" s="131" t="n">
        <f aca="false">IF(OR($C12="",$B$2="",$D$2=0),0,IF(BR$3&lt;0,0,N(INDEX('CURVA PREVISION'!$A$1:$KZ$3000,$C12,10+3*MIN(BR$3,$D$2-1)))))</f>
        <v>0</v>
      </c>
      <c r="BS12" s="131" t="n">
        <f aca="false">IF(OR($C12="",$B$2="",$D$2=0),0,IF(BS$3&lt;0,0,N(INDEX('CURVA PREVISION'!$A$1:$KZ$3000,$C12,10+3*MIN(BS$3,$D$2-1)))))</f>
        <v>0</v>
      </c>
      <c r="BT12" s="131" t="n">
        <f aca="false">IF(OR($C12="",$B$2="",$D$2=0),0,IF(BT$3&lt;0,0,N(INDEX('CURVA PREVISION'!$A$1:$KZ$3000,$C12,10+3*MIN(BT$3,$D$2-1)))))</f>
        <v>0</v>
      </c>
      <c r="BU12" s="131" t="n">
        <f aca="false">IF(OR($C12="",$B$2="",$D$2=0),0,IF(BU$3&lt;0,0,N(INDEX('CURVA PREVISION'!$A$1:$KZ$3000,$C12,10+3*MIN(BU$3,$D$2-1)))))</f>
        <v>0</v>
      </c>
      <c r="BV12" s="131" t="n">
        <f aca="false">IF(OR($C12="",$B$2="",$D$2=0),0,IF(BV$3&lt;0,0,N(INDEX('CURVA PREVISION'!$A$1:$KZ$3000,$C12,10+3*MIN(BV$3,$D$2-1)))))</f>
        <v>0</v>
      </c>
      <c r="BW12" s="131" t="n">
        <f aca="false">IF(OR($C12="",$B$2="",$D$2=0),0,IF(BW$3&lt;0,0,N(INDEX('CURVA PREVISION'!$A$1:$KZ$3000,$C12,10+3*MIN(BW$3,$D$2-1)))))</f>
        <v>0</v>
      </c>
    </row>
    <row r="13" customFormat="false" ht="15" hidden="false" customHeight="false" outlineLevel="0" collapsed="false">
      <c r="A13" s="57" t="str">
        <f aca="false">IF('VALOR POR PL'!R19&lt;&gt;"",'VALOR POR PL'!R19,IF('VALOR POR PL'!Q19="",'VALOR POR PL'!C19,'VALOR POR PL'!Q19))</f>
        <v>09</v>
      </c>
      <c r="B13" s="57" t="str">
        <f aca="false">'VALOR POR PL'!D19</f>
        <v>CONSULTORIAS (OBRAS)</v>
      </c>
      <c r="C13" s="64" t="n">
        <f aca="false">IFERROR(MATCH(A13,'CURVA PREVISION'!$B$1:$B$3000,0),"")</f>
        <v>89</v>
      </c>
      <c r="D13" s="131" t="n">
        <f aca="false">IF(OR($C13="",$B$2="",$D$2=0),0,IF(D$3&lt;0,0,N(INDEX('CURVA PREVISION'!$A$1:$KZ$3000,$C13,10+3*MIN(D$3,$D$2-1)))))</f>
        <v>0</v>
      </c>
      <c r="E13" s="131" t="n">
        <f aca="false">IF(OR($C13="",$B$2="",$D$2=0),0,IF(E$3&lt;0,0,N(INDEX('CURVA PREVISION'!$A$1:$KZ$3000,$C13,10+3*MIN(E$3,$D$2-1)))))</f>
        <v>0</v>
      </c>
      <c r="F13" s="131" t="n">
        <f aca="false">IF(OR($C13="",$B$2="",$D$2=0),0,IF(F$3&lt;0,0,N(INDEX('CURVA PREVISION'!$A$1:$KZ$3000,$C13,10+3*MIN(F$3,$D$2-1)))))</f>
        <v>0</v>
      </c>
      <c r="G13" s="131" t="n">
        <f aca="false">IF(OR($C13="",$B$2="",$D$2=0),0,IF(G$3&lt;0,0,N(INDEX('CURVA PREVISION'!$A$1:$KZ$3000,$C13,10+3*MIN(G$3,$D$2-1)))))</f>
        <v>0</v>
      </c>
      <c r="H13" s="131" t="n">
        <f aca="false">IF(OR($C13="",$B$2="",$D$2=0),0,IF(H$3&lt;0,0,N(INDEX('CURVA PREVISION'!$A$1:$KZ$3000,$C13,10+3*MIN(H$3,$D$2-1)))))</f>
        <v>0</v>
      </c>
      <c r="I13" s="131" t="n">
        <f aca="false">IF(OR($C13="",$B$2="",$D$2=0),0,IF(I$3&lt;0,0,N(INDEX('CURVA PREVISION'!$A$1:$KZ$3000,$C13,10+3*MIN(I$3,$D$2-1)))))</f>
        <v>0</v>
      </c>
      <c r="J13" s="131" t="n">
        <f aca="false">IF(OR($C13="",$B$2="",$D$2=0),0,IF(J$3&lt;0,0,N(INDEX('CURVA PREVISION'!$A$1:$KZ$3000,$C13,10+3*MIN(J$3,$D$2-1)))))</f>
        <v>0</v>
      </c>
      <c r="K13" s="131" t="n">
        <f aca="false">IF(OR($C13="",$B$2="",$D$2=0),0,IF(K$3&lt;0,0,N(INDEX('CURVA PREVISION'!$A$1:$KZ$3000,$C13,10+3*MIN(K$3,$D$2-1)))))</f>
        <v>0</v>
      </c>
      <c r="L13" s="131" t="n">
        <f aca="false">IF(OR($C13="",$B$2="",$D$2=0),0,IF(L$3&lt;0,0,N(INDEX('CURVA PREVISION'!$A$1:$KZ$3000,$C13,10+3*MIN(L$3,$D$2-1)))))</f>
        <v>0</v>
      </c>
      <c r="M13" s="131" t="n">
        <f aca="false">IF(OR($C13="",$B$2="",$D$2=0),0,IF(M$3&lt;0,0,N(INDEX('CURVA PREVISION'!$A$1:$KZ$3000,$C13,10+3*MIN(M$3,$D$2-1)))))</f>
        <v>0</v>
      </c>
      <c r="N13" s="131" t="n">
        <f aca="false">IF(OR($C13="",$B$2="",$D$2=0),0,IF(N$3&lt;0,0,N(INDEX('CURVA PREVISION'!$A$1:$KZ$3000,$C13,10+3*MIN(N$3,$D$2-1)))))</f>
        <v>0</v>
      </c>
      <c r="O13" s="131" t="n">
        <f aca="false">IF(OR($C13="",$B$2="",$D$2=0),0,IF(O$3&lt;0,0,N(INDEX('CURVA PREVISION'!$A$1:$KZ$3000,$C13,10+3*MIN(O$3,$D$2-1)))))</f>
        <v>0</v>
      </c>
      <c r="P13" s="131" t="n">
        <f aca="false">IF(OR($C13="",$B$2="",$D$2=0),0,IF(P$3&lt;0,0,N(INDEX('CURVA PREVISION'!$A$1:$KZ$3000,$C13,10+3*MIN(P$3,$D$2-1)))))</f>
        <v>0</v>
      </c>
      <c r="Q13" s="131" t="n">
        <f aca="false">IF(OR($C13="",$B$2="",$D$2=0),0,IF(Q$3&lt;0,0,N(INDEX('CURVA PREVISION'!$A$1:$KZ$3000,$C13,10+3*MIN(Q$3,$D$2-1)))))</f>
        <v>0</v>
      </c>
      <c r="R13" s="131" t="n">
        <f aca="false">IF(OR($C13="",$B$2="",$D$2=0),0,IF(R$3&lt;0,0,N(INDEX('CURVA PREVISION'!$A$1:$KZ$3000,$C13,10+3*MIN(R$3,$D$2-1)))))</f>
        <v>0</v>
      </c>
      <c r="S13" s="131" t="n">
        <f aca="false">IF(OR($C13="",$B$2="",$D$2=0),0,IF(S$3&lt;0,0,N(INDEX('CURVA PREVISION'!$A$1:$KZ$3000,$C13,10+3*MIN(S$3,$D$2-1)))))</f>
        <v>0</v>
      </c>
      <c r="T13" s="131" t="n">
        <f aca="false">IF(OR($C13="",$B$2="",$D$2=0),0,IF(T$3&lt;0,0,N(INDEX('CURVA PREVISION'!$A$1:$KZ$3000,$C13,10+3*MIN(T$3,$D$2-1)))))</f>
        <v>0</v>
      </c>
      <c r="U13" s="131" t="n">
        <f aca="false">IF(OR($C13="",$B$2="",$D$2=0),0,IF(U$3&lt;0,0,N(INDEX('CURVA PREVISION'!$A$1:$KZ$3000,$C13,10+3*MIN(U$3,$D$2-1)))))</f>
        <v>0</v>
      </c>
      <c r="V13" s="131" t="n">
        <f aca="false">IF(OR($C13="",$B$2="",$D$2=0),0,IF(V$3&lt;0,0,N(INDEX('CURVA PREVISION'!$A$1:$KZ$3000,$C13,10+3*MIN(V$3,$D$2-1)))))</f>
        <v>0</v>
      </c>
      <c r="W13" s="131" t="n">
        <f aca="false">IF(OR($C13="",$B$2="",$D$2=0),0,IF(W$3&lt;0,0,N(INDEX('CURVA PREVISION'!$A$1:$KZ$3000,$C13,10+3*MIN(W$3,$D$2-1)))))</f>
        <v>0</v>
      </c>
      <c r="X13" s="131" t="n">
        <f aca="false">IF(OR($C13="",$B$2="",$D$2=0),0,IF(X$3&lt;0,0,N(INDEX('CURVA PREVISION'!$A$1:$KZ$3000,$C13,10+3*MIN(X$3,$D$2-1)))))</f>
        <v>0</v>
      </c>
      <c r="Y13" s="131" t="n">
        <f aca="false">IF(OR($C13="",$B$2="",$D$2=0),0,IF(Y$3&lt;0,0,N(INDEX('CURVA PREVISION'!$A$1:$KZ$3000,$C13,10+3*MIN(Y$3,$D$2-1)))))</f>
        <v>0</v>
      </c>
      <c r="Z13" s="131" t="n">
        <f aca="false">IF(OR($C13="",$B$2="",$D$2=0),0,IF(Z$3&lt;0,0,N(INDEX('CURVA PREVISION'!$A$1:$KZ$3000,$C13,10+3*MIN(Z$3,$D$2-1)))))</f>
        <v>0</v>
      </c>
      <c r="AA13" s="131" t="n">
        <f aca="false">IF(OR($C13="",$B$2="",$D$2=0),0,IF(AA$3&lt;0,0,N(INDEX('CURVA PREVISION'!$A$1:$KZ$3000,$C13,10+3*MIN(AA$3,$D$2-1)))))</f>
        <v>0</v>
      </c>
      <c r="AB13" s="131" t="n">
        <f aca="false">IF(OR($C13="",$B$2="",$D$2=0),0,IF(AB$3&lt;0,0,N(INDEX('CURVA PREVISION'!$A$1:$KZ$3000,$C13,10+3*MIN(AB$3,$D$2-1)))))</f>
        <v>0</v>
      </c>
      <c r="AC13" s="131" t="n">
        <f aca="false">IF(OR($C13="",$B$2="",$D$2=0),0,IF(AC$3&lt;0,0,N(INDEX('CURVA PREVISION'!$A$1:$KZ$3000,$C13,10+3*MIN(AC$3,$D$2-1)))))</f>
        <v>0</v>
      </c>
      <c r="AD13" s="131" t="n">
        <f aca="false">IF(OR($C13="",$B$2="",$D$2=0),0,IF(AD$3&lt;0,0,N(INDEX('CURVA PREVISION'!$A$1:$KZ$3000,$C13,10+3*MIN(AD$3,$D$2-1)))))</f>
        <v>0</v>
      </c>
      <c r="AE13" s="131" t="n">
        <f aca="false">IF(OR($C13="",$B$2="",$D$2=0),0,IF(AE$3&lt;0,0,N(INDEX('CURVA PREVISION'!$A$1:$KZ$3000,$C13,10+3*MIN(AE$3,$D$2-1)))))</f>
        <v>0</v>
      </c>
      <c r="AF13" s="131" t="n">
        <f aca="false">IF(OR($C13="",$B$2="",$D$2=0),0,IF(AF$3&lt;0,0,N(INDEX('CURVA PREVISION'!$A$1:$KZ$3000,$C13,10+3*MIN(AF$3,$D$2-1)))))</f>
        <v>0</v>
      </c>
      <c r="AG13" s="131" t="n">
        <f aca="false">IF(OR($C13="",$B$2="",$D$2=0),0,IF(AG$3&lt;0,0,N(INDEX('CURVA PREVISION'!$A$1:$KZ$3000,$C13,10+3*MIN(AG$3,$D$2-1)))))</f>
        <v>0</v>
      </c>
      <c r="AH13" s="131" t="n">
        <f aca="false">IF(OR($C13="",$B$2="",$D$2=0),0,IF(AH$3&lt;0,0,N(INDEX('CURVA PREVISION'!$A$1:$KZ$3000,$C13,10+3*MIN(AH$3,$D$2-1)))))</f>
        <v>0</v>
      </c>
      <c r="AI13" s="131" t="n">
        <f aca="false">IF(OR($C13="",$B$2="",$D$2=0),0,IF(AI$3&lt;0,0,N(INDEX('CURVA PREVISION'!$A$1:$KZ$3000,$C13,10+3*MIN(AI$3,$D$2-1)))))</f>
        <v>0</v>
      </c>
      <c r="AJ13" s="131" t="n">
        <f aca="false">IF(OR($C13="",$B$2="",$D$2=0),0,IF(AJ$3&lt;0,0,N(INDEX('CURVA PREVISION'!$A$1:$KZ$3000,$C13,10+3*MIN(AJ$3,$D$2-1)))))</f>
        <v>0</v>
      </c>
      <c r="AK13" s="131" t="n">
        <f aca="false">IF(OR($C13="",$B$2="",$D$2=0),0,IF(AK$3&lt;0,0,N(INDEX('CURVA PREVISION'!$A$1:$KZ$3000,$C13,10+3*MIN(AK$3,$D$2-1)))))</f>
        <v>0</v>
      </c>
      <c r="AL13" s="131" t="n">
        <f aca="false">IF(OR($C13="",$B$2="",$D$2=0),0,IF(AL$3&lt;0,0,N(INDEX('CURVA PREVISION'!$A$1:$KZ$3000,$C13,10+3*MIN(AL$3,$D$2-1)))))</f>
        <v>0</v>
      </c>
      <c r="AM13" s="131" t="n">
        <f aca="false">IF(OR($C13="",$B$2="",$D$2=0),0,IF(AM$3&lt;0,0,N(INDEX('CURVA PREVISION'!$A$1:$KZ$3000,$C13,10+3*MIN(AM$3,$D$2-1)))))</f>
        <v>0</v>
      </c>
      <c r="AN13" s="131" t="n">
        <f aca="false">IF(OR($C13="",$B$2="",$D$2=0),0,IF(AN$3&lt;0,0,N(INDEX('CURVA PREVISION'!$A$1:$KZ$3000,$C13,10+3*MIN(AN$3,$D$2-1)))))</f>
        <v>0</v>
      </c>
      <c r="AO13" s="131" t="n">
        <f aca="false">IF(OR($C13="",$B$2="",$D$2=0),0,IF(AO$3&lt;0,0,N(INDEX('CURVA PREVISION'!$A$1:$KZ$3000,$C13,10+3*MIN(AO$3,$D$2-1)))))</f>
        <v>0</v>
      </c>
      <c r="AP13" s="131" t="n">
        <f aca="false">IF(OR($C13="",$B$2="",$D$2=0),0,IF(AP$3&lt;0,0,N(INDEX('CURVA PREVISION'!$A$1:$KZ$3000,$C13,10+3*MIN(AP$3,$D$2-1)))))</f>
        <v>0</v>
      </c>
      <c r="AQ13" s="131" t="n">
        <f aca="false">IF(OR($C13="",$B$2="",$D$2=0),0,IF(AQ$3&lt;0,0,N(INDEX('CURVA PREVISION'!$A$1:$KZ$3000,$C13,10+3*MIN(AQ$3,$D$2-1)))))</f>
        <v>0</v>
      </c>
      <c r="AR13" s="131" t="n">
        <f aca="false">IF(OR($C13="",$B$2="",$D$2=0),0,IF(AR$3&lt;0,0,N(INDEX('CURVA PREVISION'!$A$1:$KZ$3000,$C13,10+3*MIN(AR$3,$D$2-1)))))</f>
        <v>0</v>
      </c>
      <c r="AS13" s="131" t="n">
        <f aca="false">IF(OR($C13="",$B$2="",$D$2=0),0,IF(AS$3&lt;0,0,N(INDEX('CURVA PREVISION'!$A$1:$KZ$3000,$C13,10+3*MIN(AS$3,$D$2-1)))))</f>
        <v>0</v>
      </c>
      <c r="AT13" s="131" t="n">
        <f aca="false">IF(OR($C13="",$B$2="",$D$2=0),0,IF(AT$3&lt;0,0,N(INDEX('CURVA PREVISION'!$A$1:$KZ$3000,$C13,10+3*MIN(AT$3,$D$2-1)))))</f>
        <v>0</v>
      </c>
      <c r="AU13" s="131" t="n">
        <f aca="false">IF(OR($C13="",$B$2="",$D$2=0),0,IF(AU$3&lt;0,0,N(INDEX('CURVA PREVISION'!$A$1:$KZ$3000,$C13,10+3*MIN(AU$3,$D$2-1)))))</f>
        <v>0</v>
      </c>
      <c r="AV13" s="131" t="n">
        <f aca="false">IF(OR($C13="",$B$2="",$D$2=0),0,IF(AV$3&lt;0,0,N(INDEX('CURVA PREVISION'!$A$1:$KZ$3000,$C13,10+3*MIN(AV$3,$D$2-1)))))</f>
        <v>0</v>
      </c>
      <c r="AW13" s="131" t="n">
        <f aca="false">IF(OR($C13="",$B$2="",$D$2=0),0,IF(AW$3&lt;0,0,N(INDEX('CURVA PREVISION'!$A$1:$KZ$3000,$C13,10+3*MIN(AW$3,$D$2-1)))))</f>
        <v>0</v>
      </c>
      <c r="AX13" s="131" t="n">
        <f aca="false">IF(OR($C13="",$B$2="",$D$2=0),0,IF(AX$3&lt;0,0,N(INDEX('CURVA PREVISION'!$A$1:$KZ$3000,$C13,10+3*MIN(AX$3,$D$2-1)))))</f>
        <v>0</v>
      </c>
      <c r="AY13" s="131" t="n">
        <f aca="false">IF(OR($C13="",$B$2="",$D$2=0),0,IF(AY$3&lt;0,0,N(INDEX('CURVA PREVISION'!$A$1:$KZ$3000,$C13,10+3*MIN(AY$3,$D$2-1)))))</f>
        <v>0</v>
      </c>
      <c r="AZ13" s="131" t="n">
        <f aca="false">IF(OR($C13="",$B$2="",$D$2=0),0,IF(AZ$3&lt;0,0,N(INDEX('CURVA PREVISION'!$A$1:$KZ$3000,$C13,10+3*MIN(AZ$3,$D$2-1)))))</f>
        <v>0</v>
      </c>
      <c r="BA13" s="131" t="n">
        <f aca="false">IF(OR($C13="",$B$2="",$D$2=0),0,IF(BA$3&lt;0,0,N(INDEX('CURVA PREVISION'!$A$1:$KZ$3000,$C13,10+3*MIN(BA$3,$D$2-1)))))</f>
        <v>0</v>
      </c>
      <c r="BB13" s="131" t="n">
        <f aca="false">IF(OR($C13="",$B$2="",$D$2=0),0,IF(BB$3&lt;0,0,N(INDEX('CURVA PREVISION'!$A$1:$KZ$3000,$C13,10+3*MIN(BB$3,$D$2-1)))))</f>
        <v>0</v>
      </c>
      <c r="BC13" s="131" t="n">
        <f aca="false">IF(OR($C13="",$B$2="",$D$2=0),0,IF(BC$3&lt;0,0,N(INDEX('CURVA PREVISION'!$A$1:$KZ$3000,$C13,10+3*MIN(BC$3,$D$2-1)))))</f>
        <v>0</v>
      </c>
      <c r="BD13" s="131" t="n">
        <f aca="false">IF(OR($C13="",$B$2="",$D$2=0),0,IF(BD$3&lt;0,0,N(INDEX('CURVA PREVISION'!$A$1:$KZ$3000,$C13,10+3*MIN(BD$3,$D$2-1)))))</f>
        <v>0</v>
      </c>
      <c r="BE13" s="131" t="n">
        <f aca="false">IF(OR($C13="",$B$2="",$D$2=0),0,IF(BE$3&lt;0,0,N(INDEX('CURVA PREVISION'!$A$1:$KZ$3000,$C13,10+3*MIN(BE$3,$D$2-1)))))</f>
        <v>0</v>
      </c>
      <c r="BF13" s="131" t="n">
        <f aca="false">IF(OR($C13="",$B$2="",$D$2=0),0,IF(BF$3&lt;0,0,N(INDEX('CURVA PREVISION'!$A$1:$KZ$3000,$C13,10+3*MIN(BF$3,$D$2-1)))))</f>
        <v>0</v>
      </c>
      <c r="BG13" s="131" t="n">
        <f aca="false">IF(OR($C13="",$B$2="",$D$2=0),0,IF(BG$3&lt;0,0,N(INDEX('CURVA PREVISION'!$A$1:$KZ$3000,$C13,10+3*MIN(BG$3,$D$2-1)))))</f>
        <v>0</v>
      </c>
      <c r="BH13" s="131" t="n">
        <f aca="false">IF(OR($C13="",$B$2="",$D$2=0),0,IF(BH$3&lt;0,0,N(INDEX('CURVA PREVISION'!$A$1:$KZ$3000,$C13,10+3*MIN(BH$3,$D$2-1)))))</f>
        <v>0</v>
      </c>
      <c r="BI13" s="131" t="n">
        <f aca="false">IF(OR($C13="",$B$2="",$D$2=0),0,IF(BI$3&lt;0,0,N(INDEX('CURVA PREVISION'!$A$1:$KZ$3000,$C13,10+3*MIN(BI$3,$D$2-1)))))</f>
        <v>0</v>
      </c>
      <c r="BJ13" s="131" t="n">
        <f aca="false">IF(OR($C13="",$B$2="",$D$2=0),0,IF(BJ$3&lt;0,0,N(INDEX('CURVA PREVISION'!$A$1:$KZ$3000,$C13,10+3*MIN(BJ$3,$D$2-1)))))</f>
        <v>0</v>
      </c>
      <c r="BK13" s="131" t="n">
        <f aca="false">IF(OR($C13="",$B$2="",$D$2=0),0,IF(BK$3&lt;0,0,N(INDEX('CURVA PREVISION'!$A$1:$KZ$3000,$C13,10+3*MIN(BK$3,$D$2-1)))))</f>
        <v>0</v>
      </c>
      <c r="BL13" s="131" t="n">
        <f aca="false">IF(OR($C13="",$B$2="",$D$2=0),0,IF(BL$3&lt;0,0,N(INDEX('CURVA PREVISION'!$A$1:$KZ$3000,$C13,10+3*MIN(BL$3,$D$2-1)))))</f>
        <v>0</v>
      </c>
      <c r="BM13" s="131" t="n">
        <f aca="false">IF(OR($C13="",$B$2="",$D$2=0),0,IF(BM$3&lt;0,0,N(INDEX('CURVA PREVISION'!$A$1:$KZ$3000,$C13,10+3*MIN(BM$3,$D$2-1)))))</f>
        <v>0</v>
      </c>
      <c r="BN13" s="131" t="n">
        <f aca="false">IF(OR($C13="",$B$2="",$D$2=0),0,IF(BN$3&lt;0,0,N(INDEX('CURVA PREVISION'!$A$1:$KZ$3000,$C13,10+3*MIN(BN$3,$D$2-1)))))</f>
        <v>0</v>
      </c>
      <c r="BO13" s="131" t="n">
        <f aca="false">IF(OR($C13="",$B$2="",$D$2=0),0,IF(BO$3&lt;0,0,N(INDEX('CURVA PREVISION'!$A$1:$KZ$3000,$C13,10+3*MIN(BO$3,$D$2-1)))))</f>
        <v>0</v>
      </c>
      <c r="BP13" s="131" t="n">
        <f aca="false">IF(OR($C13="",$B$2="",$D$2=0),0,IF(BP$3&lt;0,0,N(INDEX('CURVA PREVISION'!$A$1:$KZ$3000,$C13,10+3*MIN(BP$3,$D$2-1)))))</f>
        <v>0</v>
      </c>
      <c r="BQ13" s="131" t="n">
        <f aca="false">IF(OR($C13="",$B$2="",$D$2=0),0,IF(BQ$3&lt;0,0,N(INDEX('CURVA PREVISION'!$A$1:$KZ$3000,$C13,10+3*MIN(BQ$3,$D$2-1)))))</f>
        <v>0</v>
      </c>
      <c r="BR13" s="131" t="n">
        <f aca="false">IF(OR($C13="",$B$2="",$D$2=0),0,IF(BR$3&lt;0,0,N(INDEX('CURVA PREVISION'!$A$1:$KZ$3000,$C13,10+3*MIN(BR$3,$D$2-1)))))</f>
        <v>0</v>
      </c>
      <c r="BS13" s="131" t="n">
        <f aca="false">IF(OR($C13="",$B$2="",$D$2=0),0,IF(BS$3&lt;0,0,N(INDEX('CURVA PREVISION'!$A$1:$KZ$3000,$C13,10+3*MIN(BS$3,$D$2-1)))))</f>
        <v>0</v>
      </c>
      <c r="BT13" s="131" t="n">
        <f aca="false">IF(OR($C13="",$B$2="",$D$2=0),0,IF(BT$3&lt;0,0,N(INDEX('CURVA PREVISION'!$A$1:$KZ$3000,$C13,10+3*MIN(BT$3,$D$2-1)))))</f>
        <v>0</v>
      </c>
      <c r="BU13" s="131" t="n">
        <f aca="false">IF(OR($C13="",$B$2="",$D$2=0),0,IF(BU$3&lt;0,0,N(INDEX('CURVA PREVISION'!$A$1:$KZ$3000,$C13,10+3*MIN(BU$3,$D$2-1)))))</f>
        <v>0</v>
      </c>
      <c r="BV13" s="131" t="n">
        <f aca="false">IF(OR($C13="",$B$2="",$D$2=0),0,IF(BV$3&lt;0,0,N(INDEX('CURVA PREVISION'!$A$1:$KZ$3000,$C13,10+3*MIN(BV$3,$D$2-1)))))</f>
        <v>0</v>
      </c>
      <c r="BW13" s="131" t="n">
        <f aca="false">IF(OR($C13="",$B$2="",$D$2=0),0,IF(BW$3&lt;0,0,N(INDEX('CURVA PREVISION'!$A$1:$KZ$3000,$C13,10+3*MIN(BW$3,$D$2-1)))))</f>
        <v>0</v>
      </c>
    </row>
    <row r="14" customFormat="false" ht="15" hidden="false" customHeight="false" outlineLevel="0" collapsed="false">
      <c r="A14" s="57" t="str">
        <f aca="false">IF('VALOR POR PL'!R20&lt;&gt;"",'VALOR POR PL'!R20,IF('VALOR POR PL'!Q20="",'VALOR POR PL'!C20,'VALOR POR PL'!Q20))</f>
        <v>10</v>
      </c>
      <c r="B14" s="57" t="str">
        <f aca="false">'VALOR POR PL'!D20</f>
        <v>MÃO DE OBRA PRÓPRIA</v>
      </c>
      <c r="C14" s="64" t="n">
        <f aca="false">IFERROR(MATCH(A14,'CURVA PREVISION'!$B$1:$B$3000,0),"")</f>
        <v>105</v>
      </c>
      <c r="D14" s="131" t="n">
        <f aca="false">IF(OR($C14="",$B$2="",$D$2=0),0,IF(D$3&lt;0,0,N(INDEX('CURVA PREVISION'!$A$1:$KZ$3000,$C14,10+3*MIN(D$3,$D$2-1)))))</f>
        <v>0</v>
      </c>
      <c r="E14" s="131" t="n">
        <f aca="false">IF(OR($C14="",$B$2="",$D$2=0),0,IF(E$3&lt;0,0,N(INDEX('CURVA PREVISION'!$A$1:$KZ$3000,$C14,10+3*MIN(E$3,$D$2-1)))))</f>
        <v>0</v>
      </c>
      <c r="F14" s="131" t="n">
        <f aca="false">IF(OR($C14="",$B$2="",$D$2=0),0,IF(F$3&lt;0,0,N(INDEX('CURVA PREVISION'!$A$1:$KZ$3000,$C14,10+3*MIN(F$3,$D$2-1)))))</f>
        <v>0</v>
      </c>
      <c r="G14" s="131" t="n">
        <f aca="false">IF(OR($C14="",$B$2="",$D$2=0),0,IF(G$3&lt;0,0,N(INDEX('CURVA PREVISION'!$A$1:$KZ$3000,$C14,10+3*MIN(G$3,$D$2-1)))))</f>
        <v>0</v>
      </c>
      <c r="H14" s="131" t="n">
        <f aca="false">IF(OR($C14="",$B$2="",$D$2=0),0,IF(H$3&lt;0,0,N(INDEX('CURVA PREVISION'!$A$1:$KZ$3000,$C14,10+3*MIN(H$3,$D$2-1)))))</f>
        <v>0</v>
      </c>
      <c r="I14" s="131" t="n">
        <f aca="false">IF(OR($C14="",$B$2="",$D$2=0),0,IF(I$3&lt;0,0,N(INDEX('CURVA PREVISION'!$A$1:$KZ$3000,$C14,10+3*MIN(I$3,$D$2-1)))))</f>
        <v>0</v>
      </c>
      <c r="J14" s="131" t="n">
        <f aca="false">IF(OR($C14="",$B$2="",$D$2=0),0,IF(J$3&lt;0,0,N(INDEX('CURVA PREVISION'!$A$1:$KZ$3000,$C14,10+3*MIN(J$3,$D$2-1)))))</f>
        <v>0</v>
      </c>
      <c r="K14" s="131" t="n">
        <f aca="false">IF(OR($C14="",$B$2="",$D$2=0),0,IF(K$3&lt;0,0,N(INDEX('CURVA PREVISION'!$A$1:$KZ$3000,$C14,10+3*MIN(K$3,$D$2-1)))))</f>
        <v>0</v>
      </c>
      <c r="L14" s="131" t="n">
        <f aca="false">IF(OR($C14="",$B$2="",$D$2=0),0,IF(L$3&lt;0,0,N(INDEX('CURVA PREVISION'!$A$1:$KZ$3000,$C14,10+3*MIN(L$3,$D$2-1)))))</f>
        <v>0</v>
      </c>
      <c r="M14" s="131" t="n">
        <f aca="false">IF(OR($C14="",$B$2="",$D$2=0),0,IF(M$3&lt;0,0,N(INDEX('CURVA PREVISION'!$A$1:$KZ$3000,$C14,10+3*MIN(M$3,$D$2-1)))))</f>
        <v>0</v>
      </c>
      <c r="N14" s="131" t="n">
        <f aca="false">IF(OR($C14="",$B$2="",$D$2=0),0,IF(N$3&lt;0,0,N(INDEX('CURVA PREVISION'!$A$1:$KZ$3000,$C14,10+3*MIN(N$3,$D$2-1)))))</f>
        <v>0</v>
      </c>
      <c r="O14" s="131" t="n">
        <f aca="false">IF(OR($C14="",$B$2="",$D$2=0),0,IF(O$3&lt;0,0,N(INDEX('CURVA PREVISION'!$A$1:$KZ$3000,$C14,10+3*MIN(O$3,$D$2-1)))))</f>
        <v>0</v>
      </c>
      <c r="P14" s="131" t="n">
        <f aca="false">IF(OR($C14="",$B$2="",$D$2=0),0,IF(P$3&lt;0,0,N(INDEX('CURVA PREVISION'!$A$1:$KZ$3000,$C14,10+3*MIN(P$3,$D$2-1)))))</f>
        <v>0</v>
      </c>
      <c r="Q14" s="131" t="n">
        <f aca="false">IF(OR($C14="",$B$2="",$D$2=0),0,IF(Q$3&lt;0,0,N(INDEX('CURVA PREVISION'!$A$1:$KZ$3000,$C14,10+3*MIN(Q$3,$D$2-1)))))</f>
        <v>0</v>
      </c>
      <c r="R14" s="131" t="n">
        <f aca="false">IF(OR($C14="",$B$2="",$D$2=0),0,IF(R$3&lt;0,0,N(INDEX('CURVA PREVISION'!$A$1:$KZ$3000,$C14,10+3*MIN(R$3,$D$2-1)))))</f>
        <v>0</v>
      </c>
      <c r="S14" s="131" t="n">
        <f aca="false">IF(OR($C14="",$B$2="",$D$2=0),0,IF(S$3&lt;0,0,N(INDEX('CURVA PREVISION'!$A$1:$KZ$3000,$C14,10+3*MIN(S$3,$D$2-1)))))</f>
        <v>0</v>
      </c>
      <c r="T14" s="131" t="n">
        <f aca="false">IF(OR($C14="",$B$2="",$D$2=0),0,IF(T$3&lt;0,0,N(INDEX('CURVA PREVISION'!$A$1:$KZ$3000,$C14,10+3*MIN(T$3,$D$2-1)))))</f>
        <v>0</v>
      </c>
      <c r="U14" s="131" t="n">
        <f aca="false">IF(OR($C14="",$B$2="",$D$2=0),0,IF(U$3&lt;0,0,N(INDEX('CURVA PREVISION'!$A$1:$KZ$3000,$C14,10+3*MIN(U$3,$D$2-1)))))</f>
        <v>0</v>
      </c>
      <c r="V14" s="131" t="n">
        <f aca="false">IF(OR($C14="",$B$2="",$D$2=0),0,IF(V$3&lt;0,0,N(INDEX('CURVA PREVISION'!$A$1:$KZ$3000,$C14,10+3*MIN(V$3,$D$2-1)))))</f>
        <v>0</v>
      </c>
      <c r="W14" s="131" t="n">
        <f aca="false">IF(OR($C14="",$B$2="",$D$2=0),0,IF(W$3&lt;0,0,N(INDEX('CURVA PREVISION'!$A$1:$KZ$3000,$C14,10+3*MIN(W$3,$D$2-1)))))</f>
        <v>0</v>
      </c>
      <c r="X14" s="131" t="n">
        <f aca="false">IF(OR($C14="",$B$2="",$D$2=0),0,IF(X$3&lt;0,0,N(INDEX('CURVA PREVISION'!$A$1:$KZ$3000,$C14,10+3*MIN(X$3,$D$2-1)))))</f>
        <v>0</v>
      </c>
      <c r="Y14" s="131" t="n">
        <f aca="false">IF(OR($C14="",$B$2="",$D$2=0),0,IF(Y$3&lt;0,0,N(INDEX('CURVA PREVISION'!$A$1:$KZ$3000,$C14,10+3*MIN(Y$3,$D$2-1)))))</f>
        <v>0</v>
      </c>
      <c r="Z14" s="131" t="n">
        <f aca="false">IF(OR($C14="",$B$2="",$D$2=0),0,IF(Z$3&lt;0,0,N(INDEX('CURVA PREVISION'!$A$1:$KZ$3000,$C14,10+3*MIN(Z$3,$D$2-1)))))</f>
        <v>0</v>
      </c>
      <c r="AA14" s="131" t="n">
        <f aca="false">IF(OR($C14="",$B$2="",$D$2=0),0,IF(AA$3&lt;0,0,N(INDEX('CURVA PREVISION'!$A$1:$KZ$3000,$C14,10+3*MIN(AA$3,$D$2-1)))))</f>
        <v>0</v>
      </c>
      <c r="AB14" s="131" t="n">
        <f aca="false">IF(OR($C14="",$B$2="",$D$2=0),0,IF(AB$3&lt;0,0,N(INDEX('CURVA PREVISION'!$A$1:$KZ$3000,$C14,10+3*MIN(AB$3,$D$2-1)))))</f>
        <v>0</v>
      </c>
      <c r="AC14" s="131" t="n">
        <f aca="false">IF(OR($C14="",$B$2="",$D$2=0),0,IF(AC$3&lt;0,0,N(INDEX('CURVA PREVISION'!$A$1:$KZ$3000,$C14,10+3*MIN(AC$3,$D$2-1)))))</f>
        <v>0</v>
      </c>
      <c r="AD14" s="131" t="n">
        <f aca="false">IF(OR($C14="",$B$2="",$D$2=0),0,IF(AD$3&lt;0,0,N(INDEX('CURVA PREVISION'!$A$1:$KZ$3000,$C14,10+3*MIN(AD$3,$D$2-1)))))</f>
        <v>0</v>
      </c>
      <c r="AE14" s="131" t="n">
        <f aca="false">IF(OR($C14="",$B$2="",$D$2=0),0,IF(AE$3&lt;0,0,N(INDEX('CURVA PREVISION'!$A$1:$KZ$3000,$C14,10+3*MIN(AE$3,$D$2-1)))))</f>
        <v>0</v>
      </c>
      <c r="AF14" s="131" t="n">
        <f aca="false">IF(OR($C14="",$B$2="",$D$2=0),0,IF(AF$3&lt;0,0,N(INDEX('CURVA PREVISION'!$A$1:$KZ$3000,$C14,10+3*MIN(AF$3,$D$2-1)))))</f>
        <v>0</v>
      </c>
      <c r="AG14" s="131" t="n">
        <f aca="false">IF(OR($C14="",$B$2="",$D$2=0),0,IF(AG$3&lt;0,0,N(INDEX('CURVA PREVISION'!$A$1:$KZ$3000,$C14,10+3*MIN(AG$3,$D$2-1)))))</f>
        <v>0</v>
      </c>
      <c r="AH14" s="131" t="n">
        <f aca="false">IF(OR($C14="",$B$2="",$D$2=0),0,IF(AH$3&lt;0,0,N(INDEX('CURVA PREVISION'!$A$1:$KZ$3000,$C14,10+3*MIN(AH$3,$D$2-1)))))</f>
        <v>0</v>
      </c>
      <c r="AI14" s="131" t="n">
        <f aca="false">IF(OR($C14="",$B$2="",$D$2=0),0,IF(AI$3&lt;0,0,N(INDEX('CURVA PREVISION'!$A$1:$KZ$3000,$C14,10+3*MIN(AI$3,$D$2-1)))))</f>
        <v>0</v>
      </c>
      <c r="AJ14" s="131" t="n">
        <f aca="false">IF(OR($C14="",$B$2="",$D$2=0),0,IF(AJ$3&lt;0,0,N(INDEX('CURVA PREVISION'!$A$1:$KZ$3000,$C14,10+3*MIN(AJ$3,$D$2-1)))))</f>
        <v>0</v>
      </c>
      <c r="AK14" s="131" t="n">
        <f aca="false">IF(OR($C14="",$B$2="",$D$2=0),0,IF(AK$3&lt;0,0,N(INDEX('CURVA PREVISION'!$A$1:$KZ$3000,$C14,10+3*MIN(AK$3,$D$2-1)))))</f>
        <v>0</v>
      </c>
      <c r="AL14" s="131" t="n">
        <f aca="false">IF(OR($C14="",$B$2="",$D$2=0),0,IF(AL$3&lt;0,0,N(INDEX('CURVA PREVISION'!$A$1:$KZ$3000,$C14,10+3*MIN(AL$3,$D$2-1)))))</f>
        <v>0</v>
      </c>
      <c r="AM14" s="131" t="n">
        <f aca="false">IF(OR($C14="",$B$2="",$D$2=0),0,IF(AM$3&lt;0,0,N(INDEX('CURVA PREVISION'!$A$1:$KZ$3000,$C14,10+3*MIN(AM$3,$D$2-1)))))</f>
        <v>0</v>
      </c>
      <c r="AN14" s="131" t="n">
        <f aca="false">IF(OR($C14="",$B$2="",$D$2=0),0,IF(AN$3&lt;0,0,N(INDEX('CURVA PREVISION'!$A$1:$KZ$3000,$C14,10+3*MIN(AN$3,$D$2-1)))))</f>
        <v>0</v>
      </c>
      <c r="AO14" s="131" t="n">
        <f aca="false">IF(OR($C14="",$B$2="",$D$2=0),0,IF(AO$3&lt;0,0,N(INDEX('CURVA PREVISION'!$A$1:$KZ$3000,$C14,10+3*MIN(AO$3,$D$2-1)))))</f>
        <v>0</v>
      </c>
      <c r="AP14" s="131" t="n">
        <f aca="false">IF(OR($C14="",$B$2="",$D$2=0),0,IF(AP$3&lt;0,0,N(INDEX('CURVA PREVISION'!$A$1:$KZ$3000,$C14,10+3*MIN(AP$3,$D$2-1)))))</f>
        <v>0</v>
      </c>
      <c r="AQ14" s="131" t="n">
        <f aca="false">IF(OR($C14="",$B$2="",$D$2=0),0,IF(AQ$3&lt;0,0,N(INDEX('CURVA PREVISION'!$A$1:$KZ$3000,$C14,10+3*MIN(AQ$3,$D$2-1)))))</f>
        <v>0</v>
      </c>
      <c r="AR14" s="131" t="n">
        <f aca="false">IF(OR($C14="",$B$2="",$D$2=0),0,IF(AR$3&lt;0,0,N(INDEX('CURVA PREVISION'!$A$1:$KZ$3000,$C14,10+3*MIN(AR$3,$D$2-1)))))</f>
        <v>0</v>
      </c>
      <c r="AS14" s="131" t="n">
        <f aca="false">IF(OR($C14="",$B$2="",$D$2=0),0,IF(AS$3&lt;0,0,N(INDEX('CURVA PREVISION'!$A$1:$KZ$3000,$C14,10+3*MIN(AS$3,$D$2-1)))))</f>
        <v>0</v>
      </c>
      <c r="AT14" s="131" t="n">
        <f aca="false">IF(OR($C14="",$B$2="",$D$2=0),0,IF(AT$3&lt;0,0,N(INDEX('CURVA PREVISION'!$A$1:$KZ$3000,$C14,10+3*MIN(AT$3,$D$2-1)))))</f>
        <v>0</v>
      </c>
      <c r="AU14" s="131" t="n">
        <f aca="false">IF(OR($C14="",$B$2="",$D$2=0),0,IF(AU$3&lt;0,0,N(INDEX('CURVA PREVISION'!$A$1:$KZ$3000,$C14,10+3*MIN(AU$3,$D$2-1)))))</f>
        <v>0</v>
      </c>
      <c r="AV14" s="131" t="n">
        <f aca="false">IF(OR($C14="",$B$2="",$D$2=0),0,IF(AV$3&lt;0,0,N(INDEX('CURVA PREVISION'!$A$1:$KZ$3000,$C14,10+3*MIN(AV$3,$D$2-1)))))</f>
        <v>0</v>
      </c>
      <c r="AW14" s="131" t="n">
        <f aca="false">IF(OR($C14="",$B$2="",$D$2=0),0,IF(AW$3&lt;0,0,N(INDEX('CURVA PREVISION'!$A$1:$KZ$3000,$C14,10+3*MIN(AW$3,$D$2-1)))))</f>
        <v>0</v>
      </c>
      <c r="AX14" s="131" t="n">
        <f aca="false">IF(OR($C14="",$B$2="",$D$2=0),0,IF(AX$3&lt;0,0,N(INDEX('CURVA PREVISION'!$A$1:$KZ$3000,$C14,10+3*MIN(AX$3,$D$2-1)))))</f>
        <v>0</v>
      </c>
      <c r="AY14" s="131" t="n">
        <f aca="false">IF(OR($C14="",$B$2="",$D$2=0),0,IF(AY$3&lt;0,0,N(INDEX('CURVA PREVISION'!$A$1:$KZ$3000,$C14,10+3*MIN(AY$3,$D$2-1)))))</f>
        <v>0</v>
      </c>
      <c r="AZ14" s="131" t="n">
        <f aca="false">IF(OR($C14="",$B$2="",$D$2=0),0,IF(AZ$3&lt;0,0,N(INDEX('CURVA PREVISION'!$A$1:$KZ$3000,$C14,10+3*MIN(AZ$3,$D$2-1)))))</f>
        <v>0</v>
      </c>
      <c r="BA14" s="131" t="n">
        <f aca="false">IF(OR($C14="",$B$2="",$D$2=0),0,IF(BA$3&lt;0,0,N(INDEX('CURVA PREVISION'!$A$1:$KZ$3000,$C14,10+3*MIN(BA$3,$D$2-1)))))</f>
        <v>0</v>
      </c>
      <c r="BB14" s="131" t="n">
        <f aca="false">IF(OR($C14="",$B$2="",$D$2=0),0,IF(BB$3&lt;0,0,N(INDEX('CURVA PREVISION'!$A$1:$KZ$3000,$C14,10+3*MIN(BB$3,$D$2-1)))))</f>
        <v>0</v>
      </c>
      <c r="BC14" s="131" t="n">
        <f aca="false">IF(OR($C14="",$B$2="",$D$2=0),0,IF(BC$3&lt;0,0,N(INDEX('CURVA PREVISION'!$A$1:$KZ$3000,$C14,10+3*MIN(BC$3,$D$2-1)))))</f>
        <v>0</v>
      </c>
      <c r="BD14" s="131" t="n">
        <f aca="false">IF(OR($C14="",$B$2="",$D$2=0),0,IF(BD$3&lt;0,0,N(INDEX('CURVA PREVISION'!$A$1:$KZ$3000,$C14,10+3*MIN(BD$3,$D$2-1)))))</f>
        <v>0</v>
      </c>
      <c r="BE14" s="131" t="n">
        <f aca="false">IF(OR($C14="",$B$2="",$D$2=0),0,IF(BE$3&lt;0,0,N(INDEX('CURVA PREVISION'!$A$1:$KZ$3000,$C14,10+3*MIN(BE$3,$D$2-1)))))</f>
        <v>0</v>
      </c>
      <c r="BF14" s="131" t="n">
        <f aca="false">IF(OR($C14="",$B$2="",$D$2=0),0,IF(BF$3&lt;0,0,N(INDEX('CURVA PREVISION'!$A$1:$KZ$3000,$C14,10+3*MIN(BF$3,$D$2-1)))))</f>
        <v>0</v>
      </c>
      <c r="BG14" s="131" t="n">
        <f aca="false">IF(OR($C14="",$B$2="",$D$2=0),0,IF(BG$3&lt;0,0,N(INDEX('CURVA PREVISION'!$A$1:$KZ$3000,$C14,10+3*MIN(BG$3,$D$2-1)))))</f>
        <v>0</v>
      </c>
      <c r="BH14" s="131" t="n">
        <f aca="false">IF(OR($C14="",$B$2="",$D$2=0),0,IF(BH$3&lt;0,0,N(INDEX('CURVA PREVISION'!$A$1:$KZ$3000,$C14,10+3*MIN(BH$3,$D$2-1)))))</f>
        <v>0</v>
      </c>
      <c r="BI14" s="131" t="n">
        <f aca="false">IF(OR($C14="",$B$2="",$D$2=0),0,IF(BI$3&lt;0,0,N(INDEX('CURVA PREVISION'!$A$1:$KZ$3000,$C14,10+3*MIN(BI$3,$D$2-1)))))</f>
        <v>0</v>
      </c>
      <c r="BJ14" s="131" t="n">
        <f aca="false">IF(OR($C14="",$B$2="",$D$2=0),0,IF(BJ$3&lt;0,0,N(INDEX('CURVA PREVISION'!$A$1:$KZ$3000,$C14,10+3*MIN(BJ$3,$D$2-1)))))</f>
        <v>0</v>
      </c>
      <c r="BK14" s="131" t="n">
        <f aca="false">IF(OR($C14="",$B$2="",$D$2=0),0,IF(BK$3&lt;0,0,N(INDEX('CURVA PREVISION'!$A$1:$KZ$3000,$C14,10+3*MIN(BK$3,$D$2-1)))))</f>
        <v>0</v>
      </c>
      <c r="BL14" s="131" t="n">
        <f aca="false">IF(OR($C14="",$B$2="",$D$2=0),0,IF(BL$3&lt;0,0,N(INDEX('CURVA PREVISION'!$A$1:$KZ$3000,$C14,10+3*MIN(BL$3,$D$2-1)))))</f>
        <v>0</v>
      </c>
      <c r="BM14" s="131" t="n">
        <f aca="false">IF(OR($C14="",$B$2="",$D$2=0),0,IF(BM$3&lt;0,0,N(INDEX('CURVA PREVISION'!$A$1:$KZ$3000,$C14,10+3*MIN(BM$3,$D$2-1)))))</f>
        <v>0</v>
      </c>
      <c r="BN14" s="131" t="n">
        <f aca="false">IF(OR($C14="",$B$2="",$D$2=0),0,IF(BN$3&lt;0,0,N(INDEX('CURVA PREVISION'!$A$1:$KZ$3000,$C14,10+3*MIN(BN$3,$D$2-1)))))</f>
        <v>0</v>
      </c>
      <c r="BO14" s="131" t="n">
        <f aca="false">IF(OR($C14="",$B$2="",$D$2=0),0,IF(BO$3&lt;0,0,N(INDEX('CURVA PREVISION'!$A$1:$KZ$3000,$C14,10+3*MIN(BO$3,$D$2-1)))))</f>
        <v>0</v>
      </c>
      <c r="BP14" s="131" t="n">
        <f aca="false">IF(OR($C14="",$B$2="",$D$2=0),0,IF(BP$3&lt;0,0,N(INDEX('CURVA PREVISION'!$A$1:$KZ$3000,$C14,10+3*MIN(BP$3,$D$2-1)))))</f>
        <v>0</v>
      </c>
      <c r="BQ14" s="131" t="n">
        <f aca="false">IF(OR($C14="",$B$2="",$D$2=0),0,IF(BQ$3&lt;0,0,N(INDEX('CURVA PREVISION'!$A$1:$KZ$3000,$C14,10+3*MIN(BQ$3,$D$2-1)))))</f>
        <v>0</v>
      </c>
      <c r="BR14" s="131" t="n">
        <f aca="false">IF(OR($C14="",$B$2="",$D$2=0),0,IF(BR$3&lt;0,0,N(INDEX('CURVA PREVISION'!$A$1:$KZ$3000,$C14,10+3*MIN(BR$3,$D$2-1)))))</f>
        <v>0</v>
      </c>
      <c r="BS14" s="131" t="n">
        <f aca="false">IF(OR($C14="",$B$2="",$D$2=0),0,IF(BS$3&lt;0,0,N(INDEX('CURVA PREVISION'!$A$1:$KZ$3000,$C14,10+3*MIN(BS$3,$D$2-1)))))</f>
        <v>0</v>
      </c>
      <c r="BT14" s="131" t="n">
        <f aca="false">IF(OR($C14="",$B$2="",$D$2=0),0,IF(BT$3&lt;0,0,N(INDEX('CURVA PREVISION'!$A$1:$KZ$3000,$C14,10+3*MIN(BT$3,$D$2-1)))))</f>
        <v>0</v>
      </c>
      <c r="BU14" s="131" t="n">
        <f aca="false">IF(OR($C14="",$B$2="",$D$2=0),0,IF(BU$3&lt;0,0,N(INDEX('CURVA PREVISION'!$A$1:$KZ$3000,$C14,10+3*MIN(BU$3,$D$2-1)))))</f>
        <v>0</v>
      </c>
      <c r="BV14" s="131" t="n">
        <f aca="false">IF(OR($C14="",$B$2="",$D$2=0),0,IF(BV$3&lt;0,0,N(INDEX('CURVA PREVISION'!$A$1:$KZ$3000,$C14,10+3*MIN(BV$3,$D$2-1)))))</f>
        <v>0</v>
      </c>
      <c r="BW14" s="131" t="n">
        <f aca="false">IF(OR($C14="",$B$2="",$D$2=0),0,IF(BW$3&lt;0,0,N(INDEX('CURVA PREVISION'!$A$1:$KZ$3000,$C14,10+3*MIN(BW$3,$D$2-1)))))</f>
        <v>0</v>
      </c>
    </row>
    <row r="15" customFormat="false" ht="15" hidden="false" customHeight="false" outlineLevel="0" collapsed="false">
      <c r="A15" s="57" t="str">
        <f aca="false">IF('VALOR POR PL'!R21&lt;&gt;"",'VALOR POR PL'!R21,IF('VALOR POR PL'!Q21="",'VALOR POR PL'!C21,'VALOR POR PL'!Q21))</f>
        <v>11</v>
      </c>
      <c r="B15" s="57" t="str">
        <f aca="false">'VALOR POR PL'!D21</f>
        <v>EQUIPAMENTOS E FERRAMENTAS</v>
      </c>
      <c r="C15" s="64" t="n">
        <f aca="false">IFERROR(MATCH(A15,'CURVA PREVISION'!$B$1:$B$3000,0),"")</f>
        <v>151</v>
      </c>
      <c r="D15" s="131" t="n">
        <f aca="false">IF(OR($C15="",$B$2="",$D$2=0),0,IF(D$3&lt;0,0,N(INDEX('CURVA PREVISION'!$A$1:$KZ$3000,$C15,10+3*MIN(D$3,$D$2-1)))))</f>
        <v>0</v>
      </c>
      <c r="E15" s="131" t="n">
        <f aca="false">IF(OR($C15="",$B$2="",$D$2=0),0,IF(E$3&lt;0,0,N(INDEX('CURVA PREVISION'!$A$1:$KZ$3000,$C15,10+3*MIN(E$3,$D$2-1)))))</f>
        <v>0</v>
      </c>
      <c r="F15" s="131" t="n">
        <f aca="false">IF(OR($C15="",$B$2="",$D$2=0),0,IF(F$3&lt;0,0,N(INDEX('CURVA PREVISION'!$A$1:$KZ$3000,$C15,10+3*MIN(F$3,$D$2-1)))))</f>
        <v>0</v>
      </c>
      <c r="G15" s="131" t="n">
        <f aca="false">IF(OR($C15="",$B$2="",$D$2=0),0,IF(G$3&lt;0,0,N(INDEX('CURVA PREVISION'!$A$1:$KZ$3000,$C15,10+3*MIN(G$3,$D$2-1)))))</f>
        <v>0</v>
      </c>
      <c r="H15" s="131" t="n">
        <f aca="false">IF(OR($C15="",$B$2="",$D$2=0),0,IF(H$3&lt;0,0,N(INDEX('CURVA PREVISION'!$A$1:$KZ$3000,$C15,10+3*MIN(H$3,$D$2-1)))))</f>
        <v>0</v>
      </c>
      <c r="I15" s="131" t="n">
        <f aca="false">IF(OR($C15="",$B$2="",$D$2=0),0,IF(I$3&lt;0,0,N(INDEX('CURVA PREVISION'!$A$1:$KZ$3000,$C15,10+3*MIN(I$3,$D$2-1)))))</f>
        <v>0</v>
      </c>
      <c r="J15" s="131" t="n">
        <f aca="false">IF(OR($C15="",$B$2="",$D$2=0),0,IF(J$3&lt;0,0,N(INDEX('CURVA PREVISION'!$A$1:$KZ$3000,$C15,10+3*MIN(J$3,$D$2-1)))))</f>
        <v>0</v>
      </c>
      <c r="K15" s="131" t="n">
        <f aca="false">IF(OR($C15="",$B$2="",$D$2=0),0,IF(K$3&lt;0,0,N(INDEX('CURVA PREVISION'!$A$1:$KZ$3000,$C15,10+3*MIN(K$3,$D$2-1)))))</f>
        <v>0</v>
      </c>
      <c r="L15" s="131" t="n">
        <f aca="false">IF(OR($C15="",$B$2="",$D$2=0),0,IF(L$3&lt;0,0,N(INDEX('CURVA PREVISION'!$A$1:$KZ$3000,$C15,10+3*MIN(L$3,$D$2-1)))))</f>
        <v>0</v>
      </c>
      <c r="M15" s="131" t="n">
        <f aca="false">IF(OR($C15="",$B$2="",$D$2=0),0,IF(M$3&lt;0,0,N(INDEX('CURVA PREVISION'!$A$1:$KZ$3000,$C15,10+3*MIN(M$3,$D$2-1)))))</f>
        <v>0</v>
      </c>
      <c r="N15" s="131" t="n">
        <f aca="false">IF(OR($C15="",$B$2="",$D$2=0),0,IF(N$3&lt;0,0,N(INDEX('CURVA PREVISION'!$A$1:$KZ$3000,$C15,10+3*MIN(N$3,$D$2-1)))))</f>
        <v>0</v>
      </c>
      <c r="O15" s="131" t="n">
        <f aca="false">IF(OR($C15="",$B$2="",$D$2=0),0,IF(O$3&lt;0,0,N(INDEX('CURVA PREVISION'!$A$1:$KZ$3000,$C15,10+3*MIN(O$3,$D$2-1)))))</f>
        <v>0</v>
      </c>
      <c r="P15" s="131" t="n">
        <f aca="false">IF(OR($C15="",$B$2="",$D$2=0),0,IF(P$3&lt;0,0,N(INDEX('CURVA PREVISION'!$A$1:$KZ$3000,$C15,10+3*MIN(P$3,$D$2-1)))))</f>
        <v>0</v>
      </c>
      <c r="Q15" s="131" t="n">
        <f aca="false">IF(OR($C15="",$B$2="",$D$2=0),0,IF(Q$3&lt;0,0,N(INDEX('CURVA PREVISION'!$A$1:$KZ$3000,$C15,10+3*MIN(Q$3,$D$2-1)))))</f>
        <v>0</v>
      </c>
      <c r="R15" s="131" t="n">
        <f aca="false">IF(OR($C15="",$B$2="",$D$2=0),0,IF(R$3&lt;0,0,N(INDEX('CURVA PREVISION'!$A$1:$KZ$3000,$C15,10+3*MIN(R$3,$D$2-1)))))</f>
        <v>0</v>
      </c>
      <c r="S15" s="131" t="n">
        <f aca="false">IF(OR($C15="",$B$2="",$D$2=0),0,IF(S$3&lt;0,0,N(INDEX('CURVA PREVISION'!$A$1:$KZ$3000,$C15,10+3*MIN(S$3,$D$2-1)))))</f>
        <v>0</v>
      </c>
      <c r="T15" s="131" t="n">
        <f aca="false">IF(OR($C15="",$B$2="",$D$2=0),0,IF(T$3&lt;0,0,N(INDEX('CURVA PREVISION'!$A$1:$KZ$3000,$C15,10+3*MIN(T$3,$D$2-1)))))</f>
        <v>0</v>
      </c>
      <c r="U15" s="131" t="n">
        <f aca="false">IF(OR($C15="",$B$2="",$D$2=0),0,IF(U$3&lt;0,0,N(INDEX('CURVA PREVISION'!$A$1:$KZ$3000,$C15,10+3*MIN(U$3,$D$2-1)))))</f>
        <v>0</v>
      </c>
      <c r="V15" s="131" t="n">
        <f aca="false">IF(OR($C15="",$B$2="",$D$2=0),0,IF(V$3&lt;0,0,N(INDEX('CURVA PREVISION'!$A$1:$KZ$3000,$C15,10+3*MIN(V$3,$D$2-1)))))</f>
        <v>0</v>
      </c>
      <c r="W15" s="131" t="n">
        <f aca="false">IF(OR($C15="",$B$2="",$D$2=0),0,IF(W$3&lt;0,0,N(INDEX('CURVA PREVISION'!$A$1:$KZ$3000,$C15,10+3*MIN(W$3,$D$2-1)))))</f>
        <v>0</v>
      </c>
      <c r="X15" s="131" t="n">
        <f aca="false">IF(OR($C15="",$B$2="",$D$2=0),0,IF(X$3&lt;0,0,N(INDEX('CURVA PREVISION'!$A$1:$KZ$3000,$C15,10+3*MIN(X$3,$D$2-1)))))</f>
        <v>0</v>
      </c>
      <c r="Y15" s="131" t="n">
        <f aca="false">IF(OR($C15="",$B$2="",$D$2=0),0,IF(Y$3&lt;0,0,N(INDEX('CURVA PREVISION'!$A$1:$KZ$3000,$C15,10+3*MIN(Y$3,$D$2-1)))))</f>
        <v>0</v>
      </c>
      <c r="Z15" s="131" t="n">
        <f aca="false">IF(OR($C15="",$B$2="",$D$2=0),0,IF(Z$3&lt;0,0,N(INDEX('CURVA PREVISION'!$A$1:$KZ$3000,$C15,10+3*MIN(Z$3,$D$2-1)))))</f>
        <v>0</v>
      </c>
      <c r="AA15" s="131" t="n">
        <f aca="false">IF(OR($C15="",$B$2="",$D$2=0),0,IF(AA$3&lt;0,0,N(INDEX('CURVA PREVISION'!$A$1:$KZ$3000,$C15,10+3*MIN(AA$3,$D$2-1)))))</f>
        <v>0</v>
      </c>
      <c r="AB15" s="131" t="n">
        <f aca="false">IF(OR($C15="",$B$2="",$D$2=0),0,IF(AB$3&lt;0,0,N(INDEX('CURVA PREVISION'!$A$1:$KZ$3000,$C15,10+3*MIN(AB$3,$D$2-1)))))</f>
        <v>0</v>
      </c>
      <c r="AC15" s="131" t="n">
        <f aca="false">IF(OR($C15="",$B$2="",$D$2=0),0,IF(AC$3&lt;0,0,N(INDEX('CURVA PREVISION'!$A$1:$KZ$3000,$C15,10+3*MIN(AC$3,$D$2-1)))))</f>
        <v>0</v>
      </c>
      <c r="AD15" s="131" t="n">
        <f aca="false">IF(OR($C15="",$B$2="",$D$2=0),0,IF(AD$3&lt;0,0,N(INDEX('CURVA PREVISION'!$A$1:$KZ$3000,$C15,10+3*MIN(AD$3,$D$2-1)))))</f>
        <v>0</v>
      </c>
      <c r="AE15" s="131" t="n">
        <f aca="false">IF(OR($C15="",$B$2="",$D$2=0),0,IF(AE$3&lt;0,0,N(INDEX('CURVA PREVISION'!$A$1:$KZ$3000,$C15,10+3*MIN(AE$3,$D$2-1)))))</f>
        <v>0</v>
      </c>
      <c r="AF15" s="131" t="n">
        <f aca="false">IF(OR($C15="",$B$2="",$D$2=0),0,IF(AF$3&lt;0,0,N(INDEX('CURVA PREVISION'!$A$1:$KZ$3000,$C15,10+3*MIN(AF$3,$D$2-1)))))</f>
        <v>0</v>
      </c>
      <c r="AG15" s="131" t="n">
        <f aca="false">IF(OR($C15="",$B$2="",$D$2=0),0,IF(AG$3&lt;0,0,N(INDEX('CURVA PREVISION'!$A$1:$KZ$3000,$C15,10+3*MIN(AG$3,$D$2-1)))))</f>
        <v>0</v>
      </c>
      <c r="AH15" s="131" t="n">
        <f aca="false">IF(OR($C15="",$B$2="",$D$2=0),0,IF(AH$3&lt;0,0,N(INDEX('CURVA PREVISION'!$A$1:$KZ$3000,$C15,10+3*MIN(AH$3,$D$2-1)))))</f>
        <v>0</v>
      </c>
      <c r="AI15" s="131" t="n">
        <f aca="false">IF(OR($C15="",$B$2="",$D$2=0),0,IF(AI$3&lt;0,0,N(INDEX('CURVA PREVISION'!$A$1:$KZ$3000,$C15,10+3*MIN(AI$3,$D$2-1)))))</f>
        <v>0</v>
      </c>
      <c r="AJ15" s="131" t="n">
        <f aca="false">IF(OR($C15="",$B$2="",$D$2=0),0,IF(AJ$3&lt;0,0,N(INDEX('CURVA PREVISION'!$A$1:$KZ$3000,$C15,10+3*MIN(AJ$3,$D$2-1)))))</f>
        <v>0</v>
      </c>
      <c r="AK15" s="131" t="n">
        <f aca="false">IF(OR($C15="",$B$2="",$D$2=0),0,IF(AK$3&lt;0,0,N(INDEX('CURVA PREVISION'!$A$1:$KZ$3000,$C15,10+3*MIN(AK$3,$D$2-1)))))</f>
        <v>0</v>
      </c>
      <c r="AL15" s="131" t="n">
        <f aca="false">IF(OR($C15="",$B$2="",$D$2=0),0,IF(AL$3&lt;0,0,N(INDEX('CURVA PREVISION'!$A$1:$KZ$3000,$C15,10+3*MIN(AL$3,$D$2-1)))))</f>
        <v>0</v>
      </c>
      <c r="AM15" s="131" t="n">
        <f aca="false">IF(OR($C15="",$B$2="",$D$2=0),0,IF(AM$3&lt;0,0,N(INDEX('CURVA PREVISION'!$A$1:$KZ$3000,$C15,10+3*MIN(AM$3,$D$2-1)))))</f>
        <v>0</v>
      </c>
      <c r="AN15" s="131" t="n">
        <f aca="false">IF(OR($C15="",$B$2="",$D$2=0),0,IF(AN$3&lt;0,0,N(INDEX('CURVA PREVISION'!$A$1:$KZ$3000,$C15,10+3*MIN(AN$3,$D$2-1)))))</f>
        <v>0</v>
      </c>
      <c r="AO15" s="131" t="n">
        <f aca="false">IF(OR($C15="",$B$2="",$D$2=0),0,IF(AO$3&lt;0,0,N(INDEX('CURVA PREVISION'!$A$1:$KZ$3000,$C15,10+3*MIN(AO$3,$D$2-1)))))</f>
        <v>0</v>
      </c>
      <c r="AP15" s="131" t="n">
        <f aca="false">IF(OR($C15="",$B$2="",$D$2=0),0,IF(AP$3&lt;0,0,N(INDEX('CURVA PREVISION'!$A$1:$KZ$3000,$C15,10+3*MIN(AP$3,$D$2-1)))))</f>
        <v>0</v>
      </c>
      <c r="AQ15" s="131" t="n">
        <f aca="false">IF(OR($C15="",$B$2="",$D$2=0),0,IF(AQ$3&lt;0,0,N(INDEX('CURVA PREVISION'!$A$1:$KZ$3000,$C15,10+3*MIN(AQ$3,$D$2-1)))))</f>
        <v>0</v>
      </c>
      <c r="AR15" s="131" t="n">
        <f aca="false">IF(OR($C15="",$B$2="",$D$2=0),0,IF(AR$3&lt;0,0,N(INDEX('CURVA PREVISION'!$A$1:$KZ$3000,$C15,10+3*MIN(AR$3,$D$2-1)))))</f>
        <v>0</v>
      </c>
      <c r="AS15" s="131" t="n">
        <f aca="false">IF(OR($C15="",$B$2="",$D$2=0),0,IF(AS$3&lt;0,0,N(INDEX('CURVA PREVISION'!$A$1:$KZ$3000,$C15,10+3*MIN(AS$3,$D$2-1)))))</f>
        <v>0</v>
      </c>
      <c r="AT15" s="131" t="n">
        <f aca="false">IF(OR($C15="",$B$2="",$D$2=0),0,IF(AT$3&lt;0,0,N(INDEX('CURVA PREVISION'!$A$1:$KZ$3000,$C15,10+3*MIN(AT$3,$D$2-1)))))</f>
        <v>0</v>
      </c>
      <c r="AU15" s="131" t="n">
        <f aca="false">IF(OR($C15="",$B$2="",$D$2=0),0,IF(AU$3&lt;0,0,N(INDEX('CURVA PREVISION'!$A$1:$KZ$3000,$C15,10+3*MIN(AU$3,$D$2-1)))))</f>
        <v>0</v>
      </c>
      <c r="AV15" s="131" t="n">
        <f aca="false">IF(OR($C15="",$B$2="",$D$2=0),0,IF(AV$3&lt;0,0,N(INDEX('CURVA PREVISION'!$A$1:$KZ$3000,$C15,10+3*MIN(AV$3,$D$2-1)))))</f>
        <v>0</v>
      </c>
      <c r="AW15" s="131" t="n">
        <f aca="false">IF(OR($C15="",$B$2="",$D$2=0),0,IF(AW$3&lt;0,0,N(INDEX('CURVA PREVISION'!$A$1:$KZ$3000,$C15,10+3*MIN(AW$3,$D$2-1)))))</f>
        <v>0</v>
      </c>
      <c r="AX15" s="131" t="n">
        <f aca="false">IF(OR($C15="",$B$2="",$D$2=0),0,IF(AX$3&lt;0,0,N(INDEX('CURVA PREVISION'!$A$1:$KZ$3000,$C15,10+3*MIN(AX$3,$D$2-1)))))</f>
        <v>0</v>
      </c>
      <c r="AY15" s="131" t="n">
        <f aca="false">IF(OR($C15="",$B$2="",$D$2=0),0,IF(AY$3&lt;0,0,N(INDEX('CURVA PREVISION'!$A$1:$KZ$3000,$C15,10+3*MIN(AY$3,$D$2-1)))))</f>
        <v>0</v>
      </c>
      <c r="AZ15" s="131" t="n">
        <f aca="false">IF(OR($C15="",$B$2="",$D$2=0),0,IF(AZ$3&lt;0,0,N(INDEX('CURVA PREVISION'!$A$1:$KZ$3000,$C15,10+3*MIN(AZ$3,$D$2-1)))))</f>
        <v>0</v>
      </c>
      <c r="BA15" s="131" t="n">
        <f aca="false">IF(OR($C15="",$B$2="",$D$2=0),0,IF(BA$3&lt;0,0,N(INDEX('CURVA PREVISION'!$A$1:$KZ$3000,$C15,10+3*MIN(BA$3,$D$2-1)))))</f>
        <v>0</v>
      </c>
      <c r="BB15" s="131" t="n">
        <f aca="false">IF(OR($C15="",$B$2="",$D$2=0),0,IF(BB$3&lt;0,0,N(INDEX('CURVA PREVISION'!$A$1:$KZ$3000,$C15,10+3*MIN(BB$3,$D$2-1)))))</f>
        <v>0</v>
      </c>
      <c r="BC15" s="131" t="n">
        <f aca="false">IF(OR($C15="",$B$2="",$D$2=0),0,IF(BC$3&lt;0,0,N(INDEX('CURVA PREVISION'!$A$1:$KZ$3000,$C15,10+3*MIN(BC$3,$D$2-1)))))</f>
        <v>0</v>
      </c>
      <c r="BD15" s="131" t="n">
        <f aca="false">IF(OR($C15="",$B$2="",$D$2=0),0,IF(BD$3&lt;0,0,N(INDEX('CURVA PREVISION'!$A$1:$KZ$3000,$C15,10+3*MIN(BD$3,$D$2-1)))))</f>
        <v>0</v>
      </c>
      <c r="BE15" s="131" t="n">
        <f aca="false">IF(OR($C15="",$B$2="",$D$2=0),0,IF(BE$3&lt;0,0,N(INDEX('CURVA PREVISION'!$A$1:$KZ$3000,$C15,10+3*MIN(BE$3,$D$2-1)))))</f>
        <v>0</v>
      </c>
      <c r="BF15" s="131" t="n">
        <f aca="false">IF(OR($C15="",$B$2="",$D$2=0),0,IF(BF$3&lt;0,0,N(INDEX('CURVA PREVISION'!$A$1:$KZ$3000,$C15,10+3*MIN(BF$3,$D$2-1)))))</f>
        <v>0</v>
      </c>
      <c r="BG15" s="131" t="n">
        <f aca="false">IF(OR($C15="",$B$2="",$D$2=0),0,IF(BG$3&lt;0,0,N(INDEX('CURVA PREVISION'!$A$1:$KZ$3000,$C15,10+3*MIN(BG$3,$D$2-1)))))</f>
        <v>0</v>
      </c>
      <c r="BH15" s="131" t="n">
        <f aca="false">IF(OR($C15="",$B$2="",$D$2=0),0,IF(BH$3&lt;0,0,N(INDEX('CURVA PREVISION'!$A$1:$KZ$3000,$C15,10+3*MIN(BH$3,$D$2-1)))))</f>
        <v>0</v>
      </c>
      <c r="BI15" s="131" t="n">
        <f aca="false">IF(OR($C15="",$B$2="",$D$2=0),0,IF(BI$3&lt;0,0,N(INDEX('CURVA PREVISION'!$A$1:$KZ$3000,$C15,10+3*MIN(BI$3,$D$2-1)))))</f>
        <v>0</v>
      </c>
      <c r="BJ15" s="131" t="n">
        <f aca="false">IF(OR($C15="",$B$2="",$D$2=0),0,IF(BJ$3&lt;0,0,N(INDEX('CURVA PREVISION'!$A$1:$KZ$3000,$C15,10+3*MIN(BJ$3,$D$2-1)))))</f>
        <v>0</v>
      </c>
      <c r="BK15" s="131" t="n">
        <f aca="false">IF(OR($C15="",$B$2="",$D$2=0),0,IF(BK$3&lt;0,0,N(INDEX('CURVA PREVISION'!$A$1:$KZ$3000,$C15,10+3*MIN(BK$3,$D$2-1)))))</f>
        <v>0</v>
      </c>
      <c r="BL15" s="131" t="n">
        <f aca="false">IF(OR($C15="",$B$2="",$D$2=0),0,IF(BL$3&lt;0,0,N(INDEX('CURVA PREVISION'!$A$1:$KZ$3000,$C15,10+3*MIN(BL$3,$D$2-1)))))</f>
        <v>0</v>
      </c>
      <c r="BM15" s="131" t="n">
        <f aca="false">IF(OR($C15="",$B$2="",$D$2=0),0,IF(BM$3&lt;0,0,N(INDEX('CURVA PREVISION'!$A$1:$KZ$3000,$C15,10+3*MIN(BM$3,$D$2-1)))))</f>
        <v>0</v>
      </c>
      <c r="BN15" s="131" t="n">
        <f aca="false">IF(OR($C15="",$B$2="",$D$2=0),0,IF(BN$3&lt;0,0,N(INDEX('CURVA PREVISION'!$A$1:$KZ$3000,$C15,10+3*MIN(BN$3,$D$2-1)))))</f>
        <v>0</v>
      </c>
      <c r="BO15" s="131" t="n">
        <f aca="false">IF(OR($C15="",$B$2="",$D$2=0),0,IF(BO$3&lt;0,0,N(INDEX('CURVA PREVISION'!$A$1:$KZ$3000,$C15,10+3*MIN(BO$3,$D$2-1)))))</f>
        <v>0</v>
      </c>
      <c r="BP15" s="131" t="n">
        <f aca="false">IF(OR($C15="",$B$2="",$D$2=0),0,IF(BP$3&lt;0,0,N(INDEX('CURVA PREVISION'!$A$1:$KZ$3000,$C15,10+3*MIN(BP$3,$D$2-1)))))</f>
        <v>0</v>
      </c>
      <c r="BQ15" s="131" t="n">
        <f aca="false">IF(OR($C15="",$B$2="",$D$2=0),0,IF(BQ$3&lt;0,0,N(INDEX('CURVA PREVISION'!$A$1:$KZ$3000,$C15,10+3*MIN(BQ$3,$D$2-1)))))</f>
        <v>0</v>
      </c>
      <c r="BR15" s="131" t="n">
        <f aca="false">IF(OR($C15="",$B$2="",$D$2=0),0,IF(BR$3&lt;0,0,N(INDEX('CURVA PREVISION'!$A$1:$KZ$3000,$C15,10+3*MIN(BR$3,$D$2-1)))))</f>
        <v>0</v>
      </c>
      <c r="BS15" s="131" t="n">
        <f aca="false">IF(OR($C15="",$B$2="",$D$2=0),0,IF(BS$3&lt;0,0,N(INDEX('CURVA PREVISION'!$A$1:$KZ$3000,$C15,10+3*MIN(BS$3,$D$2-1)))))</f>
        <v>0</v>
      </c>
      <c r="BT15" s="131" t="n">
        <f aca="false">IF(OR($C15="",$B$2="",$D$2=0),0,IF(BT$3&lt;0,0,N(INDEX('CURVA PREVISION'!$A$1:$KZ$3000,$C15,10+3*MIN(BT$3,$D$2-1)))))</f>
        <v>0</v>
      </c>
      <c r="BU15" s="131" t="n">
        <f aca="false">IF(OR($C15="",$B$2="",$D$2=0),0,IF(BU$3&lt;0,0,N(INDEX('CURVA PREVISION'!$A$1:$KZ$3000,$C15,10+3*MIN(BU$3,$D$2-1)))))</f>
        <v>0</v>
      </c>
      <c r="BV15" s="131" t="n">
        <f aca="false">IF(OR($C15="",$B$2="",$D$2=0),0,IF(BV$3&lt;0,0,N(INDEX('CURVA PREVISION'!$A$1:$KZ$3000,$C15,10+3*MIN(BV$3,$D$2-1)))))</f>
        <v>0</v>
      </c>
      <c r="BW15" s="131" t="n">
        <f aca="false">IF(OR($C15="",$B$2="",$D$2=0),0,IF(BW$3&lt;0,0,N(INDEX('CURVA PREVISION'!$A$1:$KZ$3000,$C15,10+3*MIN(BW$3,$D$2-1)))))</f>
        <v>0</v>
      </c>
    </row>
    <row r="16" customFormat="false" ht="15" hidden="false" customHeight="false" outlineLevel="0" collapsed="false">
      <c r="A16" s="57" t="str">
        <f aca="false">IF('VALOR POR PL'!R22&lt;&gt;"",'VALOR POR PL'!R22,IF('VALOR POR PL'!Q22="",'VALOR POR PL'!C22,'VALOR POR PL'!Q22))</f>
        <v>12</v>
      </c>
      <c r="B16" s="57" t="str">
        <f aca="false">'VALOR POR PL'!D22</f>
        <v>SERVIÇOS INICIAIS</v>
      </c>
      <c r="C16" s="64" t="n">
        <f aca="false">IFERROR(MATCH(A16,'CURVA PREVISION'!$B$1:$B$3000,0),"")</f>
        <v>240</v>
      </c>
      <c r="D16" s="131" t="n">
        <f aca="false">IF(OR($C16="",$B$2="",$D$2=0),0,IF(D$3&lt;0,0,N(INDEX('CURVA PREVISION'!$A$1:$KZ$3000,$C16,10+3*MIN(D$3,$D$2-1)))))</f>
        <v>0</v>
      </c>
      <c r="E16" s="131" t="n">
        <f aca="false">IF(OR($C16="",$B$2="",$D$2=0),0,IF(E$3&lt;0,0,N(INDEX('CURVA PREVISION'!$A$1:$KZ$3000,$C16,10+3*MIN(E$3,$D$2-1)))))</f>
        <v>0</v>
      </c>
      <c r="F16" s="131" t="n">
        <f aca="false">IF(OR($C16="",$B$2="",$D$2=0),0,IF(F$3&lt;0,0,N(INDEX('CURVA PREVISION'!$A$1:$KZ$3000,$C16,10+3*MIN(F$3,$D$2-1)))))</f>
        <v>0</v>
      </c>
      <c r="G16" s="131" t="n">
        <f aca="false">IF(OR($C16="",$B$2="",$D$2=0),0,IF(G$3&lt;0,0,N(INDEX('CURVA PREVISION'!$A$1:$KZ$3000,$C16,10+3*MIN(G$3,$D$2-1)))))</f>
        <v>0</v>
      </c>
      <c r="H16" s="131" t="n">
        <f aca="false">IF(OR($C16="",$B$2="",$D$2=0),0,IF(H$3&lt;0,0,N(INDEX('CURVA PREVISION'!$A$1:$KZ$3000,$C16,10+3*MIN(H$3,$D$2-1)))))</f>
        <v>0</v>
      </c>
      <c r="I16" s="131" t="n">
        <f aca="false">IF(OR($C16="",$B$2="",$D$2=0),0,IF(I$3&lt;0,0,N(INDEX('CURVA PREVISION'!$A$1:$KZ$3000,$C16,10+3*MIN(I$3,$D$2-1)))))</f>
        <v>0</v>
      </c>
      <c r="J16" s="131" t="n">
        <f aca="false">IF(OR($C16="",$B$2="",$D$2=0),0,IF(J$3&lt;0,0,N(INDEX('CURVA PREVISION'!$A$1:$KZ$3000,$C16,10+3*MIN(J$3,$D$2-1)))))</f>
        <v>15.31</v>
      </c>
      <c r="K16" s="131" t="n">
        <f aca="false">IF(OR($C16="",$B$2="",$D$2=0),0,IF(K$3&lt;0,0,N(INDEX('CURVA PREVISION'!$A$1:$KZ$3000,$C16,10+3*MIN(K$3,$D$2-1)))))</f>
        <v>100</v>
      </c>
      <c r="L16" s="131" t="n">
        <f aca="false">IF(OR($C16="",$B$2="",$D$2=0),0,IF(L$3&lt;0,0,N(INDEX('CURVA PREVISION'!$A$1:$KZ$3000,$C16,10+3*MIN(L$3,$D$2-1)))))</f>
        <v>100</v>
      </c>
      <c r="M16" s="131" t="n">
        <f aca="false">IF(OR($C16="",$B$2="",$D$2=0),0,IF(M$3&lt;0,0,N(INDEX('CURVA PREVISION'!$A$1:$KZ$3000,$C16,10+3*MIN(M$3,$D$2-1)))))</f>
        <v>100</v>
      </c>
      <c r="N16" s="131" t="n">
        <f aca="false">IF(OR($C16="",$B$2="",$D$2=0),0,IF(N$3&lt;0,0,N(INDEX('CURVA PREVISION'!$A$1:$KZ$3000,$C16,10+3*MIN(N$3,$D$2-1)))))</f>
        <v>100</v>
      </c>
      <c r="O16" s="131" t="n">
        <f aca="false">IF(OR($C16="",$B$2="",$D$2=0),0,IF(O$3&lt;0,0,N(INDEX('CURVA PREVISION'!$A$1:$KZ$3000,$C16,10+3*MIN(O$3,$D$2-1)))))</f>
        <v>100</v>
      </c>
      <c r="P16" s="131" t="n">
        <f aca="false">IF(OR($C16="",$B$2="",$D$2=0),0,IF(P$3&lt;0,0,N(INDEX('CURVA PREVISION'!$A$1:$KZ$3000,$C16,10+3*MIN(P$3,$D$2-1)))))</f>
        <v>100</v>
      </c>
      <c r="Q16" s="131" t="n">
        <f aca="false">IF(OR($C16="",$B$2="",$D$2=0),0,IF(Q$3&lt;0,0,N(INDEX('CURVA PREVISION'!$A$1:$KZ$3000,$C16,10+3*MIN(Q$3,$D$2-1)))))</f>
        <v>100</v>
      </c>
      <c r="R16" s="131" t="n">
        <f aca="false">IF(OR($C16="",$B$2="",$D$2=0),0,IF(R$3&lt;0,0,N(INDEX('CURVA PREVISION'!$A$1:$KZ$3000,$C16,10+3*MIN(R$3,$D$2-1)))))</f>
        <v>100</v>
      </c>
      <c r="S16" s="131" t="n">
        <f aca="false">IF(OR($C16="",$B$2="",$D$2=0),0,IF(S$3&lt;0,0,N(INDEX('CURVA PREVISION'!$A$1:$KZ$3000,$C16,10+3*MIN(S$3,$D$2-1)))))</f>
        <v>100</v>
      </c>
      <c r="T16" s="131" t="n">
        <f aca="false">IF(OR($C16="",$B$2="",$D$2=0),0,IF(T$3&lt;0,0,N(INDEX('CURVA PREVISION'!$A$1:$KZ$3000,$C16,10+3*MIN(T$3,$D$2-1)))))</f>
        <v>100</v>
      </c>
      <c r="U16" s="131" t="n">
        <f aca="false">IF(OR($C16="",$B$2="",$D$2=0),0,IF(U$3&lt;0,0,N(INDEX('CURVA PREVISION'!$A$1:$KZ$3000,$C16,10+3*MIN(U$3,$D$2-1)))))</f>
        <v>100</v>
      </c>
      <c r="V16" s="131" t="n">
        <f aca="false">IF(OR($C16="",$B$2="",$D$2=0),0,IF(V$3&lt;0,0,N(INDEX('CURVA PREVISION'!$A$1:$KZ$3000,$C16,10+3*MIN(V$3,$D$2-1)))))</f>
        <v>100</v>
      </c>
      <c r="W16" s="131" t="n">
        <f aca="false">IF(OR($C16="",$B$2="",$D$2=0),0,IF(W$3&lt;0,0,N(INDEX('CURVA PREVISION'!$A$1:$KZ$3000,$C16,10+3*MIN(W$3,$D$2-1)))))</f>
        <v>100</v>
      </c>
      <c r="X16" s="131" t="n">
        <f aca="false">IF(OR($C16="",$B$2="",$D$2=0),0,IF(X$3&lt;0,0,N(INDEX('CURVA PREVISION'!$A$1:$KZ$3000,$C16,10+3*MIN(X$3,$D$2-1)))))</f>
        <v>100</v>
      </c>
      <c r="Y16" s="131" t="n">
        <f aca="false">IF(OR($C16="",$B$2="",$D$2=0),0,IF(Y$3&lt;0,0,N(INDEX('CURVA PREVISION'!$A$1:$KZ$3000,$C16,10+3*MIN(Y$3,$D$2-1)))))</f>
        <v>100</v>
      </c>
      <c r="Z16" s="131" t="n">
        <f aca="false">IF(OR($C16="",$B$2="",$D$2=0),0,IF(Z$3&lt;0,0,N(INDEX('CURVA PREVISION'!$A$1:$KZ$3000,$C16,10+3*MIN(Z$3,$D$2-1)))))</f>
        <v>100</v>
      </c>
      <c r="AA16" s="131" t="n">
        <f aca="false">IF(OR($C16="",$B$2="",$D$2=0),0,IF(AA$3&lt;0,0,N(INDEX('CURVA PREVISION'!$A$1:$KZ$3000,$C16,10+3*MIN(AA$3,$D$2-1)))))</f>
        <v>100</v>
      </c>
      <c r="AB16" s="131" t="n">
        <f aca="false">IF(OR($C16="",$B$2="",$D$2=0),0,IF(AB$3&lt;0,0,N(INDEX('CURVA PREVISION'!$A$1:$KZ$3000,$C16,10+3*MIN(AB$3,$D$2-1)))))</f>
        <v>100</v>
      </c>
      <c r="AC16" s="131" t="n">
        <f aca="false">IF(OR($C16="",$B$2="",$D$2=0),0,IF(AC$3&lt;0,0,N(INDEX('CURVA PREVISION'!$A$1:$KZ$3000,$C16,10+3*MIN(AC$3,$D$2-1)))))</f>
        <v>100</v>
      </c>
      <c r="AD16" s="131" t="n">
        <f aca="false">IF(OR($C16="",$B$2="",$D$2=0),0,IF(AD$3&lt;0,0,N(INDEX('CURVA PREVISION'!$A$1:$KZ$3000,$C16,10+3*MIN(AD$3,$D$2-1)))))</f>
        <v>100</v>
      </c>
      <c r="AE16" s="131" t="n">
        <f aca="false">IF(OR($C16="",$B$2="",$D$2=0),0,IF(AE$3&lt;0,0,N(INDEX('CURVA PREVISION'!$A$1:$KZ$3000,$C16,10+3*MIN(AE$3,$D$2-1)))))</f>
        <v>100</v>
      </c>
      <c r="AF16" s="131" t="n">
        <f aca="false">IF(OR($C16="",$B$2="",$D$2=0),0,IF(AF$3&lt;0,0,N(INDEX('CURVA PREVISION'!$A$1:$KZ$3000,$C16,10+3*MIN(AF$3,$D$2-1)))))</f>
        <v>100</v>
      </c>
      <c r="AG16" s="131" t="n">
        <f aca="false">IF(OR($C16="",$B$2="",$D$2=0),0,IF(AG$3&lt;0,0,N(INDEX('CURVA PREVISION'!$A$1:$KZ$3000,$C16,10+3*MIN(AG$3,$D$2-1)))))</f>
        <v>100</v>
      </c>
      <c r="AH16" s="131" t="n">
        <f aca="false">IF(OR($C16="",$B$2="",$D$2=0),0,IF(AH$3&lt;0,0,N(INDEX('CURVA PREVISION'!$A$1:$KZ$3000,$C16,10+3*MIN(AH$3,$D$2-1)))))</f>
        <v>100</v>
      </c>
      <c r="AI16" s="131" t="n">
        <f aca="false">IF(OR($C16="",$B$2="",$D$2=0),0,IF(AI$3&lt;0,0,N(INDEX('CURVA PREVISION'!$A$1:$KZ$3000,$C16,10+3*MIN(AI$3,$D$2-1)))))</f>
        <v>100</v>
      </c>
      <c r="AJ16" s="131" t="n">
        <f aca="false">IF(OR($C16="",$B$2="",$D$2=0),0,IF(AJ$3&lt;0,0,N(INDEX('CURVA PREVISION'!$A$1:$KZ$3000,$C16,10+3*MIN(AJ$3,$D$2-1)))))</f>
        <v>100</v>
      </c>
      <c r="AK16" s="131" t="n">
        <f aca="false">IF(OR($C16="",$B$2="",$D$2=0),0,IF(AK$3&lt;0,0,N(INDEX('CURVA PREVISION'!$A$1:$KZ$3000,$C16,10+3*MIN(AK$3,$D$2-1)))))</f>
        <v>100</v>
      </c>
      <c r="AL16" s="131" t="n">
        <f aca="false">IF(OR($C16="",$B$2="",$D$2=0),0,IF(AL$3&lt;0,0,N(INDEX('CURVA PREVISION'!$A$1:$KZ$3000,$C16,10+3*MIN(AL$3,$D$2-1)))))</f>
        <v>100</v>
      </c>
      <c r="AM16" s="131" t="n">
        <f aca="false">IF(OR($C16="",$B$2="",$D$2=0),0,IF(AM$3&lt;0,0,N(INDEX('CURVA PREVISION'!$A$1:$KZ$3000,$C16,10+3*MIN(AM$3,$D$2-1)))))</f>
        <v>100</v>
      </c>
      <c r="AN16" s="131" t="n">
        <f aca="false">IF(OR($C16="",$B$2="",$D$2=0),0,IF(AN$3&lt;0,0,N(INDEX('CURVA PREVISION'!$A$1:$KZ$3000,$C16,10+3*MIN(AN$3,$D$2-1)))))</f>
        <v>100</v>
      </c>
      <c r="AO16" s="131" t="n">
        <f aca="false">IF(OR($C16="",$B$2="",$D$2=0),0,IF(AO$3&lt;0,0,N(INDEX('CURVA PREVISION'!$A$1:$KZ$3000,$C16,10+3*MIN(AO$3,$D$2-1)))))</f>
        <v>100</v>
      </c>
      <c r="AP16" s="131" t="n">
        <f aca="false">IF(OR($C16="",$B$2="",$D$2=0),0,IF(AP$3&lt;0,0,N(INDEX('CURVA PREVISION'!$A$1:$KZ$3000,$C16,10+3*MIN(AP$3,$D$2-1)))))</f>
        <v>100</v>
      </c>
      <c r="AQ16" s="131" t="n">
        <f aca="false">IF(OR($C16="",$B$2="",$D$2=0),0,IF(AQ$3&lt;0,0,N(INDEX('CURVA PREVISION'!$A$1:$KZ$3000,$C16,10+3*MIN(AQ$3,$D$2-1)))))</f>
        <v>100</v>
      </c>
      <c r="AR16" s="131" t="n">
        <f aca="false">IF(OR($C16="",$B$2="",$D$2=0),0,IF(AR$3&lt;0,0,N(INDEX('CURVA PREVISION'!$A$1:$KZ$3000,$C16,10+3*MIN(AR$3,$D$2-1)))))</f>
        <v>100</v>
      </c>
      <c r="AS16" s="131" t="n">
        <f aca="false">IF(OR($C16="",$B$2="",$D$2=0),0,IF(AS$3&lt;0,0,N(INDEX('CURVA PREVISION'!$A$1:$KZ$3000,$C16,10+3*MIN(AS$3,$D$2-1)))))</f>
        <v>100</v>
      </c>
      <c r="AT16" s="131" t="n">
        <f aca="false">IF(OR($C16="",$B$2="",$D$2=0),0,IF(AT$3&lt;0,0,N(INDEX('CURVA PREVISION'!$A$1:$KZ$3000,$C16,10+3*MIN(AT$3,$D$2-1)))))</f>
        <v>100</v>
      </c>
      <c r="AU16" s="131" t="n">
        <f aca="false">IF(OR($C16="",$B$2="",$D$2=0),0,IF(AU$3&lt;0,0,N(INDEX('CURVA PREVISION'!$A$1:$KZ$3000,$C16,10+3*MIN(AU$3,$D$2-1)))))</f>
        <v>100</v>
      </c>
      <c r="AV16" s="131" t="n">
        <f aca="false">IF(OR($C16="",$B$2="",$D$2=0),0,IF(AV$3&lt;0,0,N(INDEX('CURVA PREVISION'!$A$1:$KZ$3000,$C16,10+3*MIN(AV$3,$D$2-1)))))</f>
        <v>100</v>
      </c>
      <c r="AW16" s="131" t="n">
        <f aca="false">IF(OR($C16="",$B$2="",$D$2=0),0,IF(AW$3&lt;0,0,N(INDEX('CURVA PREVISION'!$A$1:$KZ$3000,$C16,10+3*MIN(AW$3,$D$2-1)))))</f>
        <v>100</v>
      </c>
      <c r="AX16" s="131" t="n">
        <f aca="false">IF(OR($C16="",$B$2="",$D$2=0),0,IF(AX$3&lt;0,0,N(INDEX('CURVA PREVISION'!$A$1:$KZ$3000,$C16,10+3*MIN(AX$3,$D$2-1)))))</f>
        <v>100</v>
      </c>
      <c r="AY16" s="131" t="n">
        <f aca="false">IF(OR($C16="",$B$2="",$D$2=0),0,IF(AY$3&lt;0,0,N(INDEX('CURVA PREVISION'!$A$1:$KZ$3000,$C16,10+3*MIN(AY$3,$D$2-1)))))</f>
        <v>100</v>
      </c>
      <c r="AZ16" s="131" t="n">
        <f aca="false">IF(OR($C16="",$B$2="",$D$2=0),0,IF(AZ$3&lt;0,0,N(INDEX('CURVA PREVISION'!$A$1:$KZ$3000,$C16,10+3*MIN(AZ$3,$D$2-1)))))</f>
        <v>100</v>
      </c>
      <c r="BA16" s="131" t="n">
        <f aca="false">IF(OR($C16="",$B$2="",$D$2=0),0,IF(BA$3&lt;0,0,N(INDEX('CURVA PREVISION'!$A$1:$KZ$3000,$C16,10+3*MIN(BA$3,$D$2-1)))))</f>
        <v>100</v>
      </c>
      <c r="BB16" s="131" t="n">
        <f aca="false">IF(OR($C16="",$B$2="",$D$2=0),0,IF(BB$3&lt;0,0,N(INDEX('CURVA PREVISION'!$A$1:$KZ$3000,$C16,10+3*MIN(BB$3,$D$2-1)))))</f>
        <v>100</v>
      </c>
      <c r="BC16" s="131" t="n">
        <f aca="false">IF(OR($C16="",$B$2="",$D$2=0),0,IF(BC$3&lt;0,0,N(INDEX('CURVA PREVISION'!$A$1:$KZ$3000,$C16,10+3*MIN(BC$3,$D$2-1)))))</f>
        <v>100</v>
      </c>
      <c r="BD16" s="131" t="n">
        <f aca="false">IF(OR($C16="",$B$2="",$D$2=0),0,IF(BD$3&lt;0,0,N(INDEX('CURVA PREVISION'!$A$1:$KZ$3000,$C16,10+3*MIN(BD$3,$D$2-1)))))</f>
        <v>100</v>
      </c>
      <c r="BE16" s="131" t="n">
        <f aca="false">IF(OR($C16="",$B$2="",$D$2=0),0,IF(BE$3&lt;0,0,N(INDEX('CURVA PREVISION'!$A$1:$KZ$3000,$C16,10+3*MIN(BE$3,$D$2-1)))))</f>
        <v>100</v>
      </c>
      <c r="BF16" s="131" t="n">
        <f aca="false">IF(OR($C16="",$B$2="",$D$2=0),0,IF(BF$3&lt;0,0,N(INDEX('CURVA PREVISION'!$A$1:$KZ$3000,$C16,10+3*MIN(BF$3,$D$2-1)))))</f>
        <v>100</v>
      </c>
      <c r="BG16" s="131" t="n">
        <f aca="false">IF(OR($C16="",$B$2="",$D$2=0),0,IF(BG$3&lt;0,0,N(INDEX('CURVA PREVISION'!$A$1:$KZ$3000,$C16,10+3*MIN(BG$3,$D$2-1)))))</f>
        <v>100</v>
      </c>
      <c r="BH16" s="131" t="n">
        <f aca="false">IF(OR($C16="",$B$2="",$D$2=0),0,IF(BH$3&lt;0,0,N(INDEX('CURVA PREVISION'!$A$1:$KZ$3000,$C16,10+3*MIN(BH$3,$D$2-1)))))</f>
        <v>100</v>
      </c>
      <c r="BI16" s="131" t="n">
        <f aca="false">IF(OR($C16="",$B$2="",$D$2=0),0,IF(BI$3&lt;0,0,N(INDEX('CURVA PREVISION'!$A$1:$KZ$3000,$C16,10+3*MIN(BI$3,$D$2-1)))))</f>
        <v>100</v>
      </c>
      <c r="BJ16" s="131" t="n">
        <f aca="false">IF(OR($C16="",$B$2="",$D$2=0),0,IF(BJ$3&lt;0,0,N(INDEX('CURVA PREVISION'!$A$1:$KZ$3000,$C16,10+3*MIN(BJ$3,$D$2-1)))))</f>
        <v>100</v>
      </c>
      <c r="BK16" s="131" t="n">
        <f aca="false">IF(OR($C16="",$B$2="",$D$2=0),0,IF(BK$3&lt;0,0,N(INDEX('CURVA PREVISION'!$A$1:$KZ$3000,$C16,10+3*MIN(BK$3,$D$2-1)))))</f>
        <v>100</v>
      </c>
      <c r="BL16" s="131" t="n">
        <f aca="false">IF(OR($C16="",$B$2="",$D$2=0),0,IF(BL$3&lt;0,0,N(INDEX('CURVA PREVISION'!$A$1:$KZ$3000,$C16,10+3*MIN(BL$3,$D$2-1)))))</f>
        <v>100</v>
      </c>
      <c r="BM16" s="131" t="n">
        <f aca="false">IF(OR($C16="",$B$2="",$D$2=0),0,IF(BM$3&lt;0,0,N(INDEX('CURVA PREVISION'!$A$1:$KZ$3000,$C16,10+3*MIN(BM$3,$D$2-1)))))</f>
        <v>100</v>
      </c>
      <c r="BN16" s="131" t="n">
        <f aca="false">IF(OR($C16="",$B$2="",$D$2=0),0,IF(BN$3&lt;0,0,N(INDEX('CURVA PREVISION'!$A$1:$KZ$3000,$C16,10+3*MIN(BN$3,$D$2-1)))))</f>
        <v>100</v>
      </c>
      <c r="BO16" s="131" t="n">
        <f aca="false">IF(OR($C16="",$B$2="",$D$2=0),0,IF(BO$3&lt;0,0,N(INDEX('CURVA PREVISION'!$A$1:$KZ$3000,$C16,10+3*MIN(BO$3,$D$2-1)))))</f>
        <v>100</v>
      </c>
      <c r="BP16" s="131" t="n">
        <f aca="false">IF(OR($C16="",$B$2="",$D$2=0),0,IF(BP$3&lt;0,0,N(INDEX('CURVA PREVISION'!$A$1:$KZ$3000,$C16,10+3*MIN(BP$3,$D$2-1)))))</f>
        <v>100</v>
      </c>
      <c r="BQ16" s="131" t="n">
        <f aca="false">IF(OR($C16="",$B$2="",$D$2=0),0,IF(BQ$3&lt;0,0,N(INDEX('CURVA PREVISION'!$A$1:$KZ$3000,$C16,10+3*MIN(BQ$3,$D$2-1)))))</f>
        <v>100</v>
      </c>
      <c r="BR16" s="131" t="n">
        <f aca="false">IF(OR($C16="",$B$2="",$D$2=0),0,IF(BR$3&lt;0,0,N(INDEX('CURVA PREVISION'!$A$1:$KZ$3000,$C16,10+3*MIN(BR$3,$D$2-1)))))</f>
        <v>100</v>
      </c>
      <c r="BS16" s="131" t="n">
        <f aca="false">IF(OR($C16="",$B$2="",$D$2=0),0,IF(BS$3&lt;0,0,N(INDEX('CURVA PREVISION'!$A$1:$KZ$3000,$C16,10+3*MIN(BS$3,$D$2-1)))))</f>
        <v>100</v>
      </c>
      <c r="BT16" s="131" t="n">
        <f aca="false">IF(OR($C16="",$B$2="",$D$2=0),0,IF(BT$3&lt;0,0,N(INDEX('CURVA PREVISION'!$A$1:$KZ$3000,$C16,10+3*MIN(BT$3,$D$2-1)))))</f>
        <v>100</v>
      </c>
      <c r="BU16" s="131" t="n">
        <f aca="false">IF(OR($C16="",$B$2="",$D$2=0),0,IF(BU$3&lt;0,0,N(INDEX('CURVA PREVISION'!$A$1:$KZ$3000,$C16,10+3*MIN(BU$3,$D$2-1)))))</f>
        <v>100</v>
      </c>
      <c r="BV16" s="131" t="n">
        <f aca="false">IF(OR($C16="",$B$2="",$D$2=0),0,IF(BV$3&lt;0,0,N(INDEX('CURVA PREVISION'!$A$1:$KZ$3000,$C16,10+3*MIN(BV$3,$D$2-1)))))</f>
        <v>100</v>
      </c>
      <c r="BW16" s="131" t="n">
        <f aca="false">IF(OR($C16="",$B$2="",$D$2=0),0,IF(BW$3&lt;0,0,N(INDEX('CURVA PREVISION'!$A$1:$KZ$3000,$C16,10+3*MIN(BW$3,$D$2-1)))))</f>
        <v>100</v>
      </c>
    </row>
    <row r="17" customFormat="false" ht="15" hidden="false" customHeight="false" outlineLevel="0" collapsed="false">
      <c r="A17" s="57" t="str">
        <f aca="false">IF('VALOR POR PL'!R23&lt;&gt;"",'VALOR POR PL'!R23,IF('VALOR POR PL'!Q23="",'VALOR POR PL'!C23,'VALOR POR PL'!Q23))</f>
        <v>13</v>
      </c>
      <c r="B17" s="57" t="str">
        <f aca="false">'VALOR POR PL'!D23</f>
        <v>CONTENÇÃO</v>
      </c>
      <c r="C17" s="64" t="n">
        <f aca="false">IFERROR(MATCH(A17,'CURVA PREVISION'!$B$1:$B$3000,0),"")</f>
        <v>246</v>
      </c>
      <c r="D17" s="131" t="n">
        <f aca="false">IF(OR($C17="",$B$2="",$D$2=0),0,IF(D$3&lt;0,0,N(INDEX('CURVA PREVISION'!$A$1:$KZ$3000,$C17,10+3*MIN(D$3,$D$2-1)))))</f>
        <v>0</v>
      </c>
      <c r="E17" s="131" t="n">
        <f aca="false">IF(OR($C17="",$B$2="",$D$2=0),0,IF(E$3&lt;0,0,N(INDEX('CURVA PREVISION'!$A$1:$KZ$3000,$C17,10+3*MIN(E$3,$D$2-1)))))</f>
        <v>0</v>
      </c>
      <c r="F17" s="131" t="n">
        <f aca="false">IF(OR($C17="",$B$2="",$D$2=0),0,IF(F$3&lt;0,0,N(INDEX('CURVA PREVISION'!$A$1:$KZ$3000,$C17,10+3*MIN(F$3,$D$2-1)))))</f>
        <v>0</v>
      </c>
      <c r="G17" s="131" t="n">
        <f aca="false">IF(OR($C17="",$B$2="",$D$2=0),0,IF(G$3&lt;0,0,N(INDEX('CURVA PREVISION'!$A$1:$KZ$3000,$C17,10+3*MIN(G$3,$D$2-1)))))</f>
        <v>0</v>
      </c>
      <c r="H17" s="131" t="n">
        <f aca="false">IF(OR($C17="",$B$2="",$D$2=0),0,IF(H$3&lt;0,0,N(INDEX('CURVA PREVISION'!$A$1:$KZ$3000,$C17,10+3*MIN(H$3,$D$2-1)))))</f>
        <v>0</v>
      </c>
      <c r="I17" s="131" t="n">
        <f aca="false">IF(OR($C17="",$B$2="",$D$2=0),0,IF(I$3&lt;0,0,N(INDEX('CURVA PREVISION'!$A$1:$KZ$3000,$C17,10+3*MIN(I$3,$D$2-1)))))</f>
        <v>0</v>
      </c>
      <c r="J17" s="131" t="n">
        <f aca="false">IF(OR($C17="",$B$2="",$D$2=0),0,IF(J$3&lt;0,0,N(INDEX('CURVA PREVISION'!$A$1:$KZ$3000,$C17,10+3*MIN(J$3,$D$2-1)))))</f>
        <v>0</v>
      </c>
      <c r="K17" s="131" t="n">
        <f aca="false">IF(OR($C17="",$B$2="",$D$2=0),0,IF(K$3&lt;0,0,N(INDEX('CURVA PREVISION'!$A$1:$KZ$3000,$C17,10+3*MIN(K$3,$D$2-1)))))</f>
        <v>32.58</v>
      </c>
      <c r="L17" s="131" t="n">
        <f aca="false">IF(OR($C17="",$B$2="",$D$2=0),0,IF(L$3&lt;0,0,N(INDEX('CURVA PREVISION'!$A$1:$KZ$3000,$C17,10+3*MIN(L$3,$D$2-1)))))</f>
        <v>68.78</v>
      </c>
      <c r="M17" s="131" t="n">
        <f aca="false">IF(OR($C17="",$B$2="",$D$2=0),0,IF(M$3&lt;0,0,N(INDEX('CURVA PREVISION'!$A$1:$KZ$3000,$C17,10+3*MIN(M$3,$D$2-1)))))</f>
        <v>72.62</v>
      </c>
      <c r="N17" s="131" t="n">
        <f aca="false">IF(OR($C17="",$B$2="",$D$2=0),0,IF(N$3&lt;0,0,N(INDEX('CURVA PREVISION'!$A$1:$KZ$3000,$C17,10+3*MIN(N$3,$D$2-1)))))</f>
        <v>77.3</v>
      </c>
      <c r="O17" s="131" t="n">
        <f aca="false">IF(OR($C17="",$B$2="",$D$2=0),0,IF(O$3&lt;0,0,N(INDEX('CURVA PREVISION'!$A$1:$KZ$3000,$C17,10+3*MIN(O$3,$D$2-1)))))</f>
        <v>77.3</v>
      </c>
      <c r="P17" s="131" t="n">
        <f aca="false">IF(OR($C17="",$B$2="",$D$2=0),0,IF(P$3&lt;0,0,N(INDEX('CURVA PREVISION'!$A$1:$KZ$3000,$C17,10+3*MIN(P$3,$D$2-1)))))</f>
        <v>77.3</v>
      </c>
      <c r="Q17" s="131" t="n">
        <f aca="false">IF(OR($C17="",$B$2="",$D$2=0),0,IF(Q$3&lt;0,0,N(INDEX('CURVA PREVISION'!$A$1:$KZ$3000,$C17,10+3*MIN(Q$3,$D$2-1)))))</f>
        <v>77.3</v>
      </c>
      <c r="R17" s="131" t="n">
        <f aca="false">IF(OR($C17="",$B$2="",$D$2=0),0,IF(R$3&lt;0,0,N(INDEX('CURVA PREVISION'!$A$1:$KZ$3000,$C17,10+3*MIN(R$3,$D$2-1)))))</f>
        <v>77.3</v>
      </c>
      <c r="S17" s="131" t="n">
        <f aca="false">IF(OR($C17="",$B$2="",$D$2=0),0,IF(S$3&lt;0,0,N(INDEX('CURVA PREVISION'!$A$1:$KZ$3000,$C17,10+3*MIN(S$3,$D$2-1)))))</f>
        <v>77.3</v>
      </c>
      <c r="T17" s="131" t="n">
        <f aca="false">IF(OR($C17="",$B$2="",$D$2=0),0,IF(T$3&lt;0,0,N(INDEX('CURVA PREVISION'!$A$1:$KZ$3000,$C17,10+3*MIN(T$3,$D$2-1)))))</f>
        <v>77.3</v>
      </c>
      <c r="U17" s="131" t="n">
        <f aca="false">IF(OR($C17="",$B$2="",$D$2=0),0,IF(U$3&lt;0,0,N(INDEX('CURVA PREVISION'!$A$1:$KZ$3000,$C17,10+3*MIN(U$3,$D$2-1)))))</f>
        <v>77.3</v>
      </c>
      <c r="V17" s="131" t="n">
        <f aca="false">IF(OR($C17="",$B$2="",$D$2=0),0,IF(V$3&lt;0,0,N(INDEX('CURVA PREVISION'!$A$1:$KZ$3000,$C17,10+3*MIN(V$3,$D$2-1)))))</f>
        <v>77.3</v>
      </c>
      <c r="W17" s="131" t="n">
        <f aca="false">IF(OR($C17="",$B$2="",$D$2=0),0,IF(W$3&lt;0,0,N(INDEX('CURVA PREVISION'!$A$1:$KZ$3000,$C17,10+3*MIN(W$3,$D$2-1)))))</f>
        <v>77.3</v>
      </c>
      <c r="X17" s="131" t="n">
        <f aca="false">IF(OR($C17="",$B$2="",$D$2=0),0,IF(X$3&lt;0,0,N(INDEX('CURVA PREVISION'!$A$1:$KZ$3000,$C17,10+3*MIN(X$3,$D$2-1)))))</f>
        <v>77.3</v>
      </c>
      <c r="Y17" s="131" t="n">
        <f aca="false">IF(OR($C17="",$B$2="",$D$2=0),0,IF(Y$3&lt;0,0,N(INDEX('CURVA PREVISION'!$A$1:$KZ$3000,$C17,10+3*MIN(Y$3,$D$2-1)))))</f>
        <v>77.3</v>
      </c>
      <c r="Z17" s="131" t="n">
        <f aca="false">IF(OR($C17="",$B$2="",$D$2=0),0,IF(Z$3&lt;0,0,N(INDEX('CURVA PREVISION'!$A$1:$KZ$3000,$C17,10+3*MIN(Z$3,$D$2-1)))))</f>
        <v>83.42</v>
      </c>
      <c r="AA17" s="131" t="n">
        <f aca="false">IF(OR($C17="",$B$2="",$D$2=0),0,IF(AA$3&lt;0,0,N(INDEX('CURVA PREVISION'!$A$1:$KZ$3000,$C17,10+3*MIN(AA$3,$D$2-1)))))</f>
        <v>95.87</v>
      </c>
      <c r="AB17" s="131" t="n">
        <f aca="false">IF(OR($C17="",$B$2="",$D$2=0),0,IF(AB$3&lt;0,0,N(INDEX('CURVA PREVISION'!$A$1:$KZ$3000,$C17,10+3*MIN(AB$3,$D$2-1)))))</f>
        <v>97.07</v>
      </c>
      <c r="AC17" s="131" t="n">
        <f aca="false">IF(OR($C17="",$B$2="",$D$2=0),0,IF(AC$3&lt;0,0,N(INDEX('CURVA PREVISION'!$A$1:$KZ$3000,$C17,10+3*MIN(AC$3,$D$2-1)))))</f>
        <v>97.07</v>
      </c>
      <c r="AD17" s="131" t="n">
        <f aca="false">IF(OR($C17="",$B$2="",$D$2=0),0,IF(AD$3&lt;0,0,N(INDEX('CURVA PREVISION'!$A$1:$KZ$3000,$C17,10+3*MIN(AD$3,$D$2-1)))))</f>
        <v>97.07</v>
      </c>
      <c r="AE17" s="131" t="n">
        <f aca="false">IF(OR($C17="",$B$2="",$D$2=0),0,IF(AE$3&lt;0,0,N(INDEX('CURVA PREVISION'!$A$1:$KZ$3000,$C17,10+3*MIN(AE$3,$D$2-1)))))</f>
        <v>97.07</v>
      </c>
      <c r="AF17" s="131" t="n">
        <f aca="false">IF(OR($C17="",$B$2="",$D$2=0),0,IF(AF$3&lt;0,0,N(INDEX('CURVA PREVISION'!$A$1:$KZ$3000,$C17,10+3*MIN(AF$3,$D$2-1)))))</f>
        <v>99.07</v>
      </c>
      <c r="AG17" s="131" t="n">
        <f aca="false">IF(OR($C17="",$B$2="",$D$2=0),0,IF(AG$3&lt;0,0,N(INDEX('CURVA PREVISION'!$A$1:$KZ$3000,$C17,10+3*MIN(AG$3,$D$2-1)))))</f>
        <v>100</v>
      </c>
      <c r="AH17" s="131" t="n">
        <f aca="false">IF(OR($C17="",$B$2="",$D$2=0),0,IF(AH$3&lt;0,0,N(INDEX('CURVA PREVISION'!$A$1:$KZ$3000,$C17,10+3*MIN(AH$3,$D$2-1)))))</f>
        <v>100</v>
      </c>
      <c r="AI17" s="131" t="n">
        <f aca="false">IF(OR($C17="",$B$2="",$D$2=0),0,IF(AI$3&lt;0,0,N(INDEX('CURVA PREVISION'!$A$1:$KZ$3000,$C17,10+3*MIN(AI$3,$D$2-1)))))</f>
        <v>100</v>
      </c>
      <c r="AJ17" s="131" t="n">
        <f aca="false">IF(OR($C17="",$B$2="",$D$2=0),0,IF(AJ$3&lt;0,0,N(INDEX('CURVA PREVISION'!$A$1:$KZ$3000,$C17,10+3*MIN(AJ$3,$D$2-1)))))</f>
        <v>100</v>
      </c>
      <c r="AK17" s="131" t="n">
        <f aca="false">IF(OR($C17="",$B$2="",$D$2=0),0,IF(AK$3&lt;0,0,N(INDEX('CURVA PREVISION'!$A$1:$KZ$3000,$C17,10+3*MIN(AK$3,$D$2-1)))))</f>
        <v>100</v>
      </c>
      <c r="AL17" s="131" t="n">
        <f aca="false">IF(OR($C17="",$B$2="",$D$2=0),0,IF(AL$3&lt;0,0,N(INDEX('CURVA PREVISION'!$A$1:$KZ$3000,$C17,10+3*MIN(AL$3,$D$2-1)))))</f>
        <v>100</v>
      </c>
      <c r="AM17" s="131" t="n">
        <f aca="false">IF(OR($C17="",$B$2="",$D$2=0),0,IF(AM$3&lt;0,0,N(INDEX('CURVA PREVISION'!$A$1:$KZ$3000,$C17,10+3*MIN(AM$3,$D$2-1)))))</f>
        <v>100</v>
      </c>
      <c r="AN17" s="131" t="n">
        <f aca="false">IF(OR($C17="",$B$2="",$D$2=0),0,IF(AN$3&lt;0,0,N(INDEX('CURVA PREVISION'!$A$1:$KZ$3000,$C17,10+3*MIN(AN$3,$D$2-1)))))</f>
        <v>100</v>
      </c>
      <c r="AO17" s="131" t="n">
        <f aca="false">IF(OR($C17="",$B$2="",$D$2=0),0,IF(AO$3&lt;0,0,N(INDEX('CURVA PREVISION'!$A$1:$KZ$3000,$C17,10+3*MIN(AO$3,$D$2-1)))))</f>
        <v>100</v>
      </c>
      <c r="AP17" s="131" t="n">
        <f aca="false">IF(OR($C17="",$B$2="",$D$2=0),0,IF(AP$3&lt;0,0,N(INDEX('CURVA PREVISION'!$A$1:$KZ$3000,$C17,10+3*MIN(AP$3,$D$2-1)))))</f>
        <v>100</v>
      </c>
      <c r="AQ17" s="131" t="n">
        <f aca="false">IF(OR($C17="",$B$2="",$D$2=0),0,IF(AQ$3&lt;0,0,N(INDEX('CURVA PREVISION'!$A$1:$KZ$3000,$C17,10+3*MIN(AQ$3,$D$2-1)))))</f>
        <v>100</v>
      </c>
      <c r="AR17" s="131" t="n">
        <f aca="false">IF(OR($C17="",$B$2="",$D$2=0),0,IF(AR$3&lt;0,0,N(INDEX('CURVA PREVISION'!$A$1:$KZ$3000,$C17,10+3*MIN(AR$3,$D$2-1)))))</f>
        <v>100</v>
      </c>
      <c r="AS17" s="131" t="n">
        <f aca="false">IF(OR($C17="",$B$2="",$D$2=0),0,IF(AS$3&lt;0,0,N(INDEX('CURVA PREVISION'!$A$1:$KZ$3000,$C17,10+3*MIN(AS$3,$D$2-1)))))</f>
        <v>100</v>
      </c>
      <c r="AT17" s="131" t="n">
        <f aca="false">IF(OR($C17="",$B$2="",$D$2=0),0,IF(AT$3&lt;0,0,N(INDEX('CURVA PREVISION'!$A$1:$KZ$3000,$C17,10+3*MIN(AT$3,$D$2-1)))))</f>
        <v>100</v>
      </c>
      <c r="AU17" s="131" t="n">
        <f aca="false">IF(OR($C17="",$B$2="",$D$2=0),0,IF(AU$3&lt;0,0,N(INDEX('CURVA PREVISION'!$A$1:$KZ$3000,$C17,10+3*MIN(AU$3,$D$2-1)))))</f>
        <v>100</v>
      </c>
      <c r="AV17" s="131" t="n">
        <f aca="false">IF(OR($C17="",$B$2="",$D$2=0),0,IF(AV$3&lt;0,0,N(INDEX('CURVA PREVISION'!$A$1:$KZ$3000,$C17,10+3*MIN(AV$3,$D$2-1)))))</f>
        <v>100</v>
      </c>
      <c r="AW17" s="131" t="n">
        <f aca="false">IF(OR($C17="",$B$2="",$D$2=0),0,IF(AW$3&lt;0,0,N(INDEX('CURVA PREVISION'!$A$1:$KZ$3000,$C17,10+3*MIN(AW$3,$D$2-1)))))</f>
        <v>100</v>
      </c>
      <c r="AX17" s="131" t="n">
        <f aca="false">IF(OR($C17="",$B$2="",$D$2=0),0,IF(AX$3&lt;0,0,N(INDEX('CURVA PREVISION'!$A$1:$KZ$3000,$C17,10+3*MIN(AX$3,$D$2-1)))))</f>
        <v>100</v>
      </c>
      <c r="AY17" s="131" t="n">
        <f aca="false">IF(OR($C17="",$B$2="",$D$2=0),0,IF(AY$3&lt;0,0,N(INDEX('CURVA PREVISION'!$A$1:$KZ$3000,$C17,10+3*MIN(AY$3,$D$2-1)))))</f>
        <v>100</v>
      </c>
      <c r="AZ17" s="131" t="n">
        <f aca="false">IF(OR($C17="",$B$2="",$D$2=0),0,IF(AZ$3&lt;0,0,N(INDEX('CURVA PREVISION'!$A$1:$KZ$3000,$C17,10+3*MIN(AZ$3,$D$2-1)))))</f>
        <v>100</v>
      </c>
      <c r="BA17" s="131" t="n">
        <f aca="false">IF(OR($C17="",$B$2="",$D$2=0),0,IF(BA$3&lt;0,0,N(INDEX('CURVA PREVISION'!$A$1:$KZ$3000,$C17,10+3*MIN(BA$3,$D$2-1)))))</f>
        <v>100</v>
      </c>
      <c r="BB17" s="131" t="n">
        <f aca="false">IF(OR($C17="",$B$2="",$D$2=0),0,IF(BB$3&lt;0,0,N(INDEX('CURVA PREVISION'!$A$1:$KZ$3000,$C17,10+3*MIN(BB$3,$D$2-1)))))</f>
        <v>100</v>
      </c>
      <c r="BC17" s="131" t="n">
        <f aca="false">IF(OR($C17="",$B$2="",$D$2=0),0,IF(BC$3&lt;0,0,N(INDEX('CURVA PREVISION'!$A$1:$KZ$3000,$C17,10+3*MIN(BC$3,$D$2-1)))))</f>
        <v>100</v>
      </c>
      <c r="BD17" s="131" t="n">
        <f aca="false">IF(OR($C17="",$B$2="",$D$2=0),0,IF(BD$3&lt;0,0,N(INDEX('CURVA PREVISION'!$A$1:$KZ$3000,$C17,10+3*MIN(BD$3,$D$2-1)))))</f>
        <v>100</v>
      </c>
      <c r="BE17" s="131" t="n">
        <f aca="false">IF(OR($C17="",$B$2="",$D$2=0),0,IF(BE$3&lt;0,0,N(INDEX('CURVA PREVISION'!$A$1:$KZ$3000,$C17,10+3*MIN(BE$3,$D$2-1)))))</f>
        <v>100</v>
      </c>
      <c r="BF17" s="131" t="n">
        <f aca="false">IF(OR($C17="",$B$2="",$D$2=0),0,IF(BF$3&lt;0,0,N(INDEX('CURVA PREVISION'!$A$1:$KZ$3000,$C17,10+3*MIN(BF$3,$D$2-1)))))</f>
        <v>100</v>
      </c>
      <c r="BG17" s="131" t="n">
        <f aca="false">IF(OR($C17="",$B$2="",$D$2=0),0,IF(BG$3&lt;0,0,N(INDEX('CURVA PREVISION'!$A$1:$KZ$3000,$C17,10+3*MIN(BG$3,$D$2-1)))))</f>
        <v>100</v>
      </c>
      <c r="BH17" s="131" t="n">
        <f aca="false">IF(OR($C17="",$B$2="",$D$2=0),0,IF(BH$3&lt;0,0,N(INDEX('CURVA PREVISION'!$A$1:$KZ$3000,$C17,10+3*MIN(BH$3,$D$2-1)))))</f>
        <v>100</v>
      </c>
      <c r="BI17" s="131" t="n">
        <f aca="false">IF(OR($C17="",$B$2="",$D$2=0),0,IF(BI$3&lt;0,0,N(INDEX('CURVA PREVISION'!$A$1:$KZ$3000,$C17,10+3*MIN(BI$3,$D$2-1)))))</f>
        <v>100</v>
      </c>
      <c r="BJ17" s="131" t="n">
        <f aca="false">IF(OR($C17="",$B$2="",$D$2=0),0,IF(BJ$3&lt;0,0,N(INDEX('CURVA PREVISION'!$A$1:$KZ$3000,$C17,10+3*MIN(BJ$3,$D$2-1)))))</f>
        <v>100</v>
      </c>
      <c r="BK17" s="131" t="n">
        <f aca="false">IF(OR($C17="",$B$2="",$D$2=0),0,IF(BK$3&lt;0,0,N(INDEX('CURVA PREVISION'!$A$1:$KZ$3000,$C17,10+3*MIN(BK$3,$D$2-1)))))</f>
        <v>100</v>
      </c>
      <c r="BL17" s="131" t="n">
        <f aca="false">IF(OR($C17="",$B$2="",$D$2=0),0,IF(BL$3&lt;0,0,N(INDEX('CURVA PREVISION'!$A$1:$KZ$3000,$C17,10+3*MIN(BL$3,$D$2-1)))))</f>
        <v>100</v>
      </c>
      <c r="BM17" s="131" t="n">
        <f aca="false">IF(OR($C17="",$B$2="",$D$2=0),0,IF(BM$3&lt;0,0,N(INDEX('CURVA PREVISION'!$A$1:$KZ$3000,$C17,10+3*MIN(BM$3,$D$2-1)))))</f>
        <v>100</v>
      </c>
      <c r="BN17" s="131" t="n">
        <f aca="false">IF(OR($C17="",$B$2="",$D$2=0),0,IF(BN$3&lt;0,0,N(INDEX('CURVA PREVISION'!$A$1:$KZ$3000,$C17,10+3*MIN(BN$3,$D$2-1)))))</f>
        <v>100</v>
      </c>
      <c r="BO17" s="131" t="n">
        <f aca="false">IF(OR($C17="",$B$2="",$D$2=0),0,IF(BO$3&lt;0,0,N(INDEX('CURVA PREVISION'!$A$1:$KZ$3000,$C17,10+3*MIN(BO$3,$D$2-1)))))</f>
        <v>100</v>
      </c>
      <c r="BP17" s="131" t="n">
        <f aca="false">IF(OR($C17="",$B$2="",$D$2=0),0,IF(BP$3&lt;0,0,N(INDEX('CURVA PREVISION'!$A$1:$KZ$3000,$C17,10+3*MIN(BP$3,$D$2-1)))))</f>
        <v>100</v>
      </c>
      <c r="BQ17" s="131" t="n">
        <f aca="false">IF(OR($C17="",$B$2="",$D$2=0),0,IF(BQ$3&lt;0,0,N(INDEX('CURVA PREVISION'!$A$1:$KZ$3000,$C17,10+3*MIN(BQ$3,$D$2-1)))))</f>
        <v>100</v>
      </c>
      <c r="BR17" s="131" t="n">
        <f aca="false">IF(OR($C17="",$B$2="",$D$2=0),0,IF(BR$3&lt;0,0,N(INDEX('CURVA PREVISION'!$A$1:$KZ$3000,$C17,10+3*MIN(BR$3,$D$2-1)))))</f>
        <v>100</v>
      </c>
      <c r="BS17" s="131" t="n">
        <f aca="false">IF(OR($C17="",$B$2="",$D$2=0),0,IF(BS$3&lt;0,0,N(INDEX('CURVA PREVISION'!$A$1:$KZ$3000,$C17,10+3*MIN(BS$3,$D$2-1)))))</f>
        <v>100</v>
      </c>
      <c r="BT17" s="131" t="n">
        <f aca="false">IF(OR($C17="",$B$2="",$D$2=0),0,IF(BT$3&lt;0,0,N(INDEX('CURVA PREVISION'!$A$1:$KZ$3000,$C17,10+3*MIN(BT$3,$D$2-1)))))</f>
        <v>100</v>
      </c>
      <c r="BU17" s="131" t="n">
        <f aca="false">IF(OR($C17="",$B$2="",$D$2=0),0,IF(BU$3&lt;0,0,N(INDEX('CURVA PREVISION'!$A$1:$KZ$3000,$C17,10+3*MIN(BU$3,$D$2-1)))))</f>
        <v>100</v>
      </c>
      <c r="BV17" s="131" t="n">
        <f aca="false">IF(OR($C17="",$B$2="",$D$2=0),0,IF(BV$3&lt;0,0,N(INDEX('CURVA PREVISION'!$A$1:$KZ$3000,$C17,10+3*MIN(BV$3,$D$2-1)))))</f>
        <v>100</v>
      </c>
      <c r="BW17" s="131" t="n">
        <f aca="false">IF(OR($C17="",$B$2="",$D$2=0),0,IF(BW$3&lt;0,0,N(INDEX('CURVA PREVISION'!$A$1:$KZ$3000,$C17,10+3*MIN(BW$3,$D$2-1)))))</f>
        <v>100</v>
      </c>
    </row>
    <row r="18" customFormat="false" ht="15" hidden="false" customHeight="false" outlineLevel="0" collapsed="false">
      <c r="A18" s="57" t="str">
        <f aca="false">IF('VALOR POR PL'!R24&lt;&gt;"",'VALOR POR PL'!R24,IF('VALOR POR PL'!Q24="",'VALOR POR PL'!C24,'VALOR POR PL'!Q24))</f>
        <v>14</v>
      </c>
      <c r="B18" s="57" t="str">
        <f aca="false">'VALOR POR PL'!D24</f>
        <v>TERRAPLENAGEM</v>
      </c>
      <c r="C18" s="64" t="n">
        <f aca="false">IFERROR(MATCH(A18,'CURVA PREVISION'!$B$1:$B$3000,0),"")</f>
        <v>275</v>
      </c>
      <c r="D18" s="131" t="n">
        <f aca="false">IF(OR($C18="",$B$2="",$D$2=0),0,IF(D$3&lt;0,0,N(INDEX('CURVA PREVISION'!$A$1:$KZ$3000,$C18,10+3*MIN(D$3,$D$2-1)))))</f>
        <v>0</v>
      </c>
      <c r="E18" s="131" t="n">
        <f aca="false">IF(OR($C18="",$B$2="",$D$2=0),0,IF(E$3&lt;0,0,N(INDEX('CURVA PREVISION'!$A$1:$KZ$3000,$C18,10+3*MIN(E$3,$D$2-1)))))</f>
        <v>0</v>
      </c>
      <c r="F18" s="131" t="n">
        <f aca="false">IF(OR($C18="",$B$2="",$D$2=0),0,IF(F$3&lt;0,0,N(INDEX('CURVA PREVISION'!$A$1:$KZ$3000,$C18,10+3*MIN(F$3,$D$2-1)))))</f>
        <v>0</v>
      </c>
      <c r="G18" s="131" t="n">
        <f aca="false">IF(OR($C18="",$B$2="",$D$2=0),0,IF(G$3&lt;0,0,N(INDEX('CURVA PREVISION'!$A$1:$KZ$3000,$C18,10+3*MIN(G$3,$D$2-1)))))</f>
        <v>0</v>
      </c>
      <c r="H18" s="131" t="n">
        <f aca="false">IF(OR($C18="",$B$2="",$D$2=0),0,IF(H$3&lt;0,0,N(INDEX('CURVA PREVISION'!$A$1:$KZ$3000,$C18,10+3*MIN(H$3,$D$2-1)))))</f>
        <v>0</v>
      </c>
      <c r="I18" s="131" t="n">
        <f aca="false">IF(OR($C18="",$B$2="",$D$2=0),0,IF(I$3&lt;0,0,N(INDEX('CURVA PREVISION'!$A$1:$KZ$3000,$C18,10+3*MIN(I$3,$D$2-1)))))</f>
        <v>0</v>
      </c>
      <c r="J18" s="131" t="n">
        <f aca="false">IF(OR($C18="",$B$2="",$D$2=0),0,IF(J$3&lt;0,0,N(INDEX('CURVA PREVISION'!$A$1:$KZ$3000,$C18,10+3*MIN(J$3,$D$2-1)))))</f>
        <v>0</v>
      </c>
      <c r="K18" s="131" t="n">
        <f aca="false">IF(OR($C18="",$B$2="",$D$2=0),0,IF(K$3&lt;0,0,N(INDEX('CURVA PREVISION'!$A$1:$KZ$3000,$C18,10+3*MIN(K$3,$D$2-1)))))</f>
        <v>0</v>
      </c>
      <c r="L18" s="131" t="n">
        <f aca="false">IF(OR($C18="",$B$2="",$D$2=0),0,IF(L$3&lt;0,0,N(INDEX('CURVA PREVISION'!$A$1:$KZ$3000,$C18,10+3*MIN(L$3,$D$2-1)))))</f>
        <v>0</v>
      </c>
      <c r="M18" s="131" t="n">
        <f aca="false">IF(OR($C18="",$B$2="",$D$2=0),0,IF(M$3&lt;0,0,N(INDEX('CURVA PREVISION'!$A$1:$KZ$3000,$C18,10+3*MIN(M$3,$D$2-1)))))</f>
        <v>0</v>
      </c>
      <c r="N18" s="131" t="n">
        <f aca="false">IF(OR($C18="",$B$2="",$D$2=0),0,IF(N$3&lt;0,0,N(INDEX('CURVA PREVISION'!$A$1:$KZ$3000,$C18,10+3*MIN(N$3,$D$2-1)))))</f>
        <v>0</v>
      </c>
      <c r="O18" s="131" t="n">
        <f aca="false">IF(OR($C18="",$B$2="",$D$2=0),0,IF(O$3&lt;0,0,N(INDEX('CURVA PREVISION'!$A$1:$KZ$3000,$C18,10+3*MIN(O$3,$D$2-1)))))</f>
        <v>0</v>
      </c>
      <c r="P18" s="131" t="n">
        <f aca="false">IF(OR($C18="",$B$2="",$D$2=0),0,IF(P$3&lt;0,0,N(INDEX('CURVA PREVISION'!$A$1:$KZ$3000,$C18,10+3*MIN(P$3,$D$2-1)))))</f>
        <v>0</v>
      </c>
      <c r="Q18" s="131" t="n">
        <f aca="false">IF(OR($C18="",$B$2="",$D$2=0),0,IF(Q$3&lt;0,0,N(INDEX('CURVA PREVISION'!$A$1:$KZ$3000,$C18,10+3*MIN(Q$3,$D$2-1)))))</f>
        <v>0</v>
      </c>
      <c r="R18" s="131" t="n">
        <f aca="false">IF(OR($C18="",$B$2="",$D$2=0),0,IF(R$3&lt;0,0,N(INDEX('CURVA PREVISION'!$A$1:$KZ$3000,$C18,10+3*MIN(R$3,$D$2-1)))))</f>
        <v>0</v>
      </c>
      <c r="S18" s="131" t="n">
        <f aca="false">IF(OR($C18="",$B$2="",$D$2=0),0,IF(S$3&lt;0,0,N(INDEX('CURVA PREVISION'!$A$1:$KZ$3000,$C18,10+3*MIN(S$3,$D$2-1)))))</f>
        <v>47.53</v>
      </c>
      <c r="T18" s="131" t="n">
        <f aca="false">IF(OR($C18="",$B$2="",$D$2=0),0,IF(T$3&lt;0,0,N(INDEX('CURVA PREVISION'!$A$1:$KZ$3000,$C18,10+3*MIN(T$3,$D$2-1)))))</f>
        <v>86</v>
      </c>
      <c r="U18" s="131" t="n">
        <f aca="false">IF(OR($C18="",$B$2="",$D$2=0),0,IF(U$3&lt;0,0,N(INDEX('CURVA PREVISION'!$A$1:$KZ$3000,$C18,10+3*MIN(U$3,$D$2-1)))))</f>
        <v>86</v>
      </c>
      <c r="V18" s="131" t="n">
        <f aca="false">IF(OR($C18="",$B$2="",$D$2=0),0,IF(V$3&lt;0,0,N(INDEX('CURVA PREVISION'!$A$1:$KZ$3000,$C18,10+3*MIN(V$3,$D$2-1)))))</f>
        <v>86</v>
      </c>
      <c r="W18" s="131" t="n">
        <f aca="false">IF(OR($C18="",$B$2="",$D$2=0),0,IF(W$3&lt;0,0,N(INDEX('CURVA PREVISION'!$A$1:$KZ$3000,$C18,10+3*MIN(W$3,$D$2-1)))))</f>
        <v>86</v>
      </c>
      <c r="X18" s="131" t="n">
        <f aca="false">IF(OR($C18="",$B$2="",$D$2=0),0,IF(X$3&lt;0,0,N(INDEX('CURVA PREVISION'!$A$1:$KZ$3000,$C18,10+3*MIN(X$3,$D$2-1)))))</f>
        <v>86</v>
      </c>
      <c r="Y18" s="131" t="n">
        <f aca="false">IF(OR($C18="",$B$2="",$D$2=0),0,IF(Y$3&lt;0,0,N(INDEX('CURVA PREVISION'!$A$1:$KZ$3000,$C18,10+3*MIN(Y$3,$D$2-1)))))</f>
        <v>94.5</v>
      </c>
      <c r="Z18" s="131" t="n">
        <f aca="false">IF(OR($C18="",$B$2="",$D$2=0),0,IF(Z$3&lt;0,0,N(INDEX('CURVA PREVISION'!$A$1:$KZ$3000,$C18,10+3*MIN(Z$3,$D$2-1)))))</f>
        <v>100</v>
      </c>
      <c r="AA18" s="131" t="n">
        <f aca="false">IF(OR($C18="",$B$2="",$D$2=0),0,IF(AA$3&lt;0,0,N(INDEX('CURVA PREVISION'!$A$1:$KZ$3000,$C18,10+3*MIN(AA$3,$D$2-1)))))</f>
        <v>100</v>
      </c>
      <c r="AB18" s="131" t="n">
        <f aca="false">IF(OR($C18="",$B$2="",$D$2=0),0,IF(AB$3&lt;0,0,N(INDEX('CURVA PREVISION'!$A$1:$KZ$3000,$C18,10+3*MIN(AB$3,$D$2-1)))))</f>
        <v>100</v>
      </c>
      <c r="AC18" s="131" t="n">
        <f aca="false">IF(OR($C18="",$B$2="",$D$2=0),0,IF(AC$3&lt;0,0,N(INDEX('CURVA PREVISION'!$A$1:$KZ$3000,$C18,10+3*MIN(AC$3,$D$2-1)))))</f>
        <v>100</v>
      </c>
      <c r="AD18" s="131" t="n">
        <f aca="false">IF(OR($C18="",$B$2="",$D$2=0),0,IF(AD$3&lt;0,0,N(INDEX('CURVA PREVISION'!$A$1:$KZ$3000,$C18,10+3*MIN(AD$3,$D$2-1)))))</f>
        <v>100</v>
      </c>
      <c r="AE18" s="131" t="n">
        <f aca="false">IF(OR($C18="",$B$2="",$D$2=0),0,IF(AE$3&lt;0,0,N(INDEX('CURVA PREVISION'!$A$1:$KZ$3000,$C18,10+3*MIN(AE$3,$D$2-1)))))</f>
        <v>100</v>
      </c>
      <c r="AF18" s="131" t="n">
        <f aca="false">IF(OR($C18="",$B$2="",$D$2=0),0,IF(AF$3&lt;0,0,N(INDEX('CURVA PREVISION'!$A$1:$KZ$3000,$C18,10+3*MIN(AF$3,$D$2-1)))))</f>
        <v>100</v>
      </c>
      <c r="AG18" s="131" t="n">
        <f aca="false">IF(OR($C18="",$B$2="",$D$2=0),0,IF(AG$3&lt;0,0,N(INDEX('CURVA PREVISION'!$A$1:$KZ$3000,$C18,10+3*MIN(AG$3,$D$2-1)))))</f>
        <v>100</v>
      </c>
      <c r="AH18" s="131" t="n">
        <f aca="false">IF(OR($C18="",$B$2="",$D$2=0),0,IF(AH$3&lt;0,0,N(INDEX('CURVA PREVISION'!$A$1:$KZ$3000,$C18,10+3*MIN(AH$3,$D$2-1)))))</f>
        <v>100</v>
      </c>
      <c r="AI18" s="131" t="n">
        <f aca="false">IF(OR($C18="",$B$2="",$D$2=0),0,IF(AI$3&lt;0,0,N(INDEX('CURVA PREVISION'!$A$1:$KZ$3000,$C18,10+3*MIN(AI$3,$D$2-1)))))</f>
        <v>100</v>
      </c>
      <c r="AJ18" s="131" t="n">
        <f aca="false">IF(OR($C18="",$B$2="",$D$2=0),0,IF(AJ$3&lt;0,0,N(INDEX('CURVA PREVISION'!$A$1:$KZ$3000,$C18,10+3*MIN(AJ$3,$D$2-1)))))</f>
        <v>100</v>
      </c>
      <c r="AK18" s="131" t="n">
        <f aca="false">IF(OR($C18="",$B$2="",$D$2=0),0,IF(AK$3&lt;0,0,N(INDEX('CURVA PREVISION'!$A$1:$KZ$3000,$C18,10+3*MIN(AK$3,$D$2-1)))))</f>
        <v>100</v>
      </c>
      <c r="AL18" s="131" t="n">
        <f aca="false">IF(OR($C18="",$B$2="",$D$2=0),0,IF(AL$3&lt;0,0,N(INDEX('CURVA PREVISION'!$A$1:$KZ$3000,$C18,10+3*MIN(AL$3,$D$2-1)))))</f>
        <v>100</v>
      </c>
      <c r="AM18" s="131" t="n">
        <f aca="false">IF(OR($C18="",$B$2="",$D$2=0),0,IF(AM$3&lt;0,0,N(INDEX('CURVA PREVISION'!$A$1:$KZ$3000,$C18,10+3*MIN(AM$3,$D$2-1)))))</f>
        <v>100</v>
      </c>
      <c r="AN18" s="131" t="n">
        <f aca="false">IF(OR($C18="",$B$2="",$D$2=0),0,IF(AN$3&lt;0,0,N(INDEX('CURVA PREVISION'!$A$1:$KZ$3000,$C18,10+3*MIN(AN$3,$D$2-1)))))</f>
        <v>100</v>
      </c>
      <c r="AO18" s="131" t="n">
        <f aca="false">IF(OR($C18="",$B$2="",$D$2=0),0,IF(AO$3&lt;0,0,N(INDEX('CURVA PREVISION'!$A$1:$KZ$3000,$C18,10+3*MIN(AO$3,$D$2-1)))))</f>
        <v>100</v>
      </c>
      <c r="AP18" s="131" t="n">
        <f aca="false">IF(OR($C18="",$B$2="",$D$2=0),0,IF(AP$3&lt;0,0,N(INDEX('CURVA PREVISION'!$A$1:$KZ$3000,$C18,10+3*MIN(AP$3,$D$2-1)))))</f>
        <v>100</v>
      </c>
      <c r="AQ18" s="131" t="n">
        <f aca="false">IF(OR($C18="",$B$2="",$D$2=0),0,IF(AQ$3&lt;0,0,N(INDEX('CURVA PREVISION'!$A$1:$KZ$3000,$C18,10+3*MIN(AQ$3,$D$2-1)))))</f>
        <v>100</v>
      </c>
      <c r="AR18" s="131" t="n">
        <f aca="false">IF(OR($C18="",$B$2="",$D$2=0),0,IF(AR$3&lt;0,0,N(INDEX('CURVA PREVISION'!$A$1:$KZ$3000,$C18,10+3*MIN(AR$3,$D$2-1)))))</f>
        <v>100</v>
      </c>
      <c r="AS18" s="131" t="n">
        <f aca="false">IF(OR($C18="",$B$2="",$D$2=0),0,IF(AS$3&lt;0,0,N(INDEX('CURVA PREVISION'!$A$1:$KZ$3000,$C18,10+3*MIN(AS$3,$D$2-1)))))</f>
        <v>100</v>
      </c>
      <c r="AT18" s="131" t="n">
        <f aca="false">IF(OR($C18="",$B$2="",$D$2=0),0,IF(AT$3&lt;0,0,N(INDEX('CURVA PREVISION'!$A$1:$KZ$3000,$C18,10+3*MIN(AT$3,$D$2-1)))))</f>
        <v>100</v>
      </c>
      <c r="AU18" s="131" t="n">
        <f aca="false">IF(OR($C18="",$B$2="",$D$2=0),0,IF(AU$3&lt;0,0,N(INDEX('CURVA PREVISION'!$A$1:$KZ$3000,$C18,10+3*MIN(AU$3,$D$2-1)))))</f>
        <v>100</v>
      </c>
      <c r="AV18" s="131" t="n">
        <f aca="false">IF(OR($C18="",$B$2="",$D$2=0),0,IF(AV$3&lt;0,0,N(INDEX('CURVA PREVISION'!$A$1:$KZ$3000,$C18,10+3*MIN(AV$3,$D$2-1)))))</f>
        <v>100</v>
      </c>
      <c r="AW18" s="131" t="n">
        <f aca="false">IF(OR($C18="",$B$2="",$D$2=0),0,IF(AW$3&lt;0,0,N(INDEX('CURVA PREVISION'!$A$1:$KZ$3000,$C18,10+3*MIN(AW$3,$D$2-1)))))</f>
        <v>100</v>
      </c>
      <c r="AX18" s="131" t="n">
        <f aca="false">IF(OR($C18="",$B$2="",$D$2=0),0,IF(AX$3&lt;0,0,N(INDEX('CURVA PREVISION'!$A$1:$KZ$3000,$C18,10+3*MIN(AX$3,$D$2-1)))))</f>
        <v>100</v>
      </c>
      <c r="AY18" s="131" t="n">
        <f aca="false">IF(OR($C18="",$B$2="",$D$2=0),0,IF(AY$3&lt;0,0,N(INDEX('CURVA PREVISION'!$A$1:$KZ$3000,$C18,10+3*MIN(AY$3,$D$2-1)))))</f>
        <v>100</v>
      </c>
      <c r="AZ18" s="131" t="n">
        <f aca="false">IF(OR($C18="",$B$2="",$D$2=0),0,IF(AZ$3&lt;0,0,N(INDEX('CURVA PREVISION'!$A$1:$KZ$3000,$C18,10+3*MIN(AZ$3,$D$2-1)))))</f>
        <v>100</v>
      </c>
      <c r="BA18" s="131" t="n">
        <f aca="false">IF(OR($C18="",$B$2="",$D$2=0),0,IF(BA$3&lt;0,0,N(INDEX('CURVA PREVISION'!$A$1:$KZ$3000,$C18,10+3*MIN(BA$3,$D$2-1)))))</f>
        <v>100</v>
      </c>
      <c r="BB18" s="131" t="n">
        <f aca="false">IF(OR($C18="",$B$2="",$D$2=0),0,IF(BB$3&lt;0,0,N(INDEX('CURVA PREVISION'!$A$1:$KZ$3000,$C18,10+3*MIN(BB$3,$D$2-1)))))</f>
        <v>100</v>
      </c>
      <c r="BC18" s="131" t="n">
        <f aca="false">IF(OR($C18="",$B$2="",$D$2=0),0,IF(BC$3&lt;0,0,N(INDEX('CURVA PREVISION'!$A$1:$KZ$3000,$C18,10+3*MIN(BC$3,$D$2-1)))))</f>
        <v>100</v>
      </c>
      <c r="BD18" s="131" t="n">
        <f aca="false">IF(OR($C18="",$B$2="",$D$2=0),0,IF(BD$3&lt;0,0,N(INDEX('CURVA PREVISION'!$A$1:$KZ$3000,$C18,10+3*MIN(BD$3,$D$2-1)))))</f>
        <v>100</v>
      </c>
      <c r="BE18" s="131" t="n">
        <f aca="false">IF(OR($C18="",$B$2="",$D$2=0),0,IF(BE$3&lt;0,0,N(INDEX('CURVA PREVISION'!$A$1:$KZ$3000,$C18,10+3*MIN(BE$3,$D$2-1)))))</f>
        <v>100</v>
      </c>
      <c r="BF18" s="131" t="n">
        <f aca="false">IF(OR($C18="",$B$2="",$D$2=0),0,IF(BF$3&lt;0,0,N(INDEX('CURVA PREVISION'!$A$1:$KZ$3000,$C18,10+3*MIN(BF$3,$D$2-1)))))</f>
        <v>100</v>
      </c>
      <c r="BG18" s="131" t="n">
        <f aca="false">IF(OR($C18="",$B$2="",$D$2=0),0,IF(BG$3&lt;0,0,N(INDEX('CURVA PREVISION'!$A$1:$KZ$3000,$C18,10+3*MIN(BG$3,$D$2-1)))))</f>
        <v>100</v>
      </c>
      <c r="BH18" s="131" t="n">
        <f aca="false">IF(OR($C18="",$B$2="",$D$2=0),0,IF(BH$3&lt;0,0,N(INDEX('CURVA PREVISION'!$A$1:$KZ$3000,$C18,10+3*MIN(BH$3,$D$2-1)))))</f>
        <v>100</v>
      </c>
      <c r="BI18" s="131" t="n">
        <f aca="false">IF(OR($C18="",$B$2="",$D$2=0),0,IF(BI$3&lt;0,0,N(INDEX('CURVA PREVISION'!$A$1:$KZ$3000,$C18,10+3*MIN(BI$3,$D$2-1)))))</f>
        <v>100</v>
      </c>
      <c r="BJ18" s="131" t="n">
        <f aca="false">IF(OR($C18="",$B$2="",$D$2=0),0,IF(BJ$3&lt;0,0,N(INDEX('CURVA PREVISION'!$A$1:$KZ$3000,$C18,10+3*MIN(BJ$3,$D$2-1)))))</f>
        <v>100</v>
      </c>
      <c r="BK18" s="131" t="n">
        <f aca="false">IF(OR($C18="",$B$2="",$D$2=0),0,IF(BK$3&lt;0,0,N(INDEX('CURVA PREVISION'!$A$1:$KZ$3000,$C18,10+3*MIN(BK$3,$D$2-1)))))</f>
        <v>100</v>
      </c>
      <c r="BL18" s="131" t="n">
        <f aca="false">IF(OR($C18="",$B$2="",$D$2=0),0,IF(BL$3&lt;0,0,N(INDEX('CURVA PREVISION'!$A$1:$KZ$3000,$C18,10+3*MIN(BL$3,$D$2-1)))))</f>
        <v>100</v>
      </c>
      <c r="BM18" s="131" t="n">
        <f aca="false">IF(OR($C18="",$B$2="",$D$2=0),0,IF(BM$3&lt;0,0,N(INDEX('CURVA PREVISION'!$A$1:$KZ$3000,$C18,10+3*MIN(BM$3,$D$2-1)))))</f>
        <v>100</v>
      </c>
      <c r="BN18" s="131" t="n">
        <f aca="false">IF(OR($C18="",$B$2="",$D$2=0),0,IF(BN$3&lt;0,0,N(INDEX('CURVA PREVISION'!$A$1:$KZ$3000,$C18,10+3*MIN(BN$3,$D$2-1)))))</f>
        <v>100</v>
      </c>
      <c r="BO18" s="131" t="n">
        <f aca="false">IF(OR($C18="",$B$2="",$D$2=0),0,IF(BO$3&lt;0,0,N(INDEX('CURVA PREVISION'!$A$1:$KZ$3000,$C18,10+3*MIN(BO$3,$D$2-1)))))</f>
        <v>100</v>
      </c>
      <c r="BP18" s="131" t="n">
        <f aca="false">IF(OR($C18="",$B$2="",$D$2=0),0,IF(BP$3&lt;0,0,N(INDEX('CURVA PREVISION'!$A$1:$KZ$3000,$C18,10+3*MIN(BP$3,$D$2-1)))))</f>
        <v>100</v>
      </c>
      <c r="BQ18" s="131" t="n">
        <f aca="false">IF(OR($C18="",$B$2="",$D$2=0),0,IF(BQ$3&lt;0,0,N(INDEX('CURVA PREVISION'!$A$1:$KZ$3000,$C18,10+3*MIN(BQ$3,$D$2-1)))))</f>
        <v>100</v>
      </c>
      <c r="BR18" s="131" t="n">
        <f aca="false">IF(OR($C18="",$B$2="",$D$2=0),0,IF(BR$3&lt;0,0,N(INDEX('CURVA PREVISION'!$A$1:$KZ$3000,$C18,10+3*MIN(BR$3,$D$2-1)))))</f>
        <v>100</v>
      </c>
      <c r="BS18" s="131" t="n">
        <f aca="false">IF(OR($C18="",$B$2="",$D$2=0),0,IF(BS$3&lt;0,0,N(INDEX('CURVA PREVISION'!$A$1:$KZ$3000,$C18,10+3*MIN(BS$3,$D$2-1)))))</f>
        <v>100</v>
      </c>
      <c r="BT18" s="131" t="n">
        <f aca="false">IF(OR($C18="",$B$2="",$D$2=0),0,IF(BT$3&lt;0,0,N(INDEX('CURVA PREVISION'!$A$1:$KZ$3000,$C18,10+3*MIN(BT$3,$D$2-1)))))</f>
        <v>100</v>
      </c>
      <c r="BU18" s="131" t="n">
        <f aca="false">IF(OR($C18="",$B$2="",$D$2=0),0,IF(BU$3&lt;0,0,N(INDEX('CURVA PREVISION'!$A$1:$KZ$3000,$C18,10+3*MIN(BU$3,$D$2-1)))))</f>
        <v>100</v>
      </c>
      <c r="BV18" s="131" t="n">
        <f aca="false">IF(OR($C18="",$B$2="",$D$2=0),0,IF(BV$3&lt;0,0,N(INDEX('CURVA PREVISION'!$A$1:$KZ$3000,$C18,10+3*MIN(BV$3,$D$2-1)))))</f>
        <v>100</v>
      </c>
      <c r="BW18" s="131" t="n">
        <f aca="false">IF(OR($C18="",$B$2="",$D$2=0),0,IF(BW$3&lt;0,0,N(INDEX('CURVA PREVISION'!$A$1:$KZ$3000,$C18,10+3*MIN(BW$3,$D$2-1)))))</f>
        <v>100</v>
      </c>
    </row>
    <row r="19" customFormat="false" ht="15" hidden="false" customHeight="false" outlineLevel="0" collapsed="false">
      <c r="A19" s="57" t="str">
        <f aca="false">IF('VALOR POR PL'!R25&lt;&gt;"",'VALOR POR PL'!R25,IF('VALOR POR PL'!Q25="",'VALOR POR PL'!C25,'VALOR POR PL'!Q25))</f>
        <v>15</v>
      </c>
      <c r="B19" s="57" t="str">
        <f aca="false">'VALOR POR PL'!D25</f>
        <v>FUNDAÇÃO PROFUNDA</v>
      </c>
      <c r="C19" s="64" t="n">
        <f aca="false">IFERROR(MATCH(A19,'CURVA PREVISION'!$B$1:$B$3000,0),"")</f>
        <v>286</v>
      </c>
      <c r="D19" s="131" t="n">
        <f aca="false">IF(OR($C19="",$B$2="",$D$2=0),0,IF(D$3&lt;0,0,N(INDEX('CURVA PREVISION'!$A$1:$KZ$3000,$C19,10+3*MIN(D$3,$D$2-1)))))</f>
        <v>0</v>
      </c>
      <c r="E19" s="131" t="n">
        <f aca="false">IF(OR($C19="",$B$2="",$D$2=0),0,IF(E$3&lt;0,0,N(INDEX('CURVA PREVISION'!$A$1:$KZ$3000,$C19,10+3*MIN(E$3,$D$2-1)))))</f>
        <v>0</v>
      </c>
      <c r="F19" s="131" t="n">
        <f aca="false">IF(OR($C19="",$B$2="",$D$2=0),0,IF(F$3&lt;0,0,N(INDEX('CURVA PREVISION'!$A$1:$KZ$3000,$C19,10+3*MIN(F$3,$D$2-1)))))</f>
        <v>0</v>
      </c>
      <c r="G19" s="131" t="n">
        <f aca="false">IF(OR($C19="",$B$2="",$D$2=0),0,IF(G$3&lt;0,0,N(INDEX('CURVA PREVISION'!$A$1:$KZ$3000,$C19,10+3*MIN(G$3,$D$2-1)))))</f>
        <v>0</v>
      </c>
      <c r="H19" s="131" t="n">
        <f aca="false">IF(OR($C19="",$B$2="",$D$2=0),0,IF(H$3&lt;0,0,N(INDEX('CURVA PREVISION'!$A$1:$KZ$3000,$C19,10+3*MIN(H$3,$D$2-1)))))</f>
        <v>0</v>
      </c>
      <c r="I19" s="131" t="n">
        <f aca="false">IF(OR($C19="",$B$2="",$D$2=0),0,IF(I$3&lt;0,0,N(INDEX('CURVA PREVISION'!$A$1:$KZ$3000,$C19,10+3*MIN(I$3,$D$2-1)))))</f>
        <v>0</v>
      </c>
      <c r="J19" s="131" t="n">
        <f aca="false">IF(OR($C19="",$B$2="",$D$2=0),0,IF(J$3&lt;0,0,N(INDEX('CURVA PREVISION'!$A$1:$KZ$3000,$C19,10+3*MIN(J$3,$D$2-1)))))</f>
        <v>0</v>
      </c>
      <c r="K19" s="131" t="n">
        <f aca="false">IF(OR($C19="",$B$2="",$D$2=0),0,IF(K$3&lt;0,0,N(INDEX('CURVA PREVISION'!$A$1:$KZ$3000,$C19,10+3*MIN(K$3,$D$2-1)))))</f>
        <v>0</v>
      </c>
      <c r="L19" s="131" t="n">
        <f aca="false">IF(OR($C19="",$B$2="",$D$2=0),0,IF(L$3&lt;0,0,N(INDEX('CURVA PREVISION'!$A$1:$KZ$3000,$C19,10+3*MIN(L$3,$D$2-1)))))</f>
        <v>0</v>
      </c>
      <c r="M19" s="131" t="n">
        <f aca="false">IF(OR($C19="",$B$2="",$D$2=0),0,IF(M$3&lt;0,0,N(INDEX('CURVA PREVISION'!$A$1:$KZ$3000,$C19,10+3*MIN(M$3,$D$2-1)))))</f>
        <v>0</v>
      </c>
      <c r="N19" s="131" t="n">
        <f aca="false">IF(OR($C19="",$B$2="",$D$2=0),0,IF(N$3&lt;0,0,N(INDEX('CURVA PREVISION'!$A$1:$KZ$3000,$C19,10+3*MIN(N$3,$D$2-1)))))</f>
        <v>17.44</v>
      </c>
      <c r="O19" s="131" t="n">
        <f aca="false">IF(OR($C19="",$B$2="",$D$2=0),0,IF(O$3&lt;0,0,N(INDEX('CURVA PREVISION'!$A$1:$KZ$3000,$C19,10+3*MIN(O$3,$D$2-1)))))</f>
        <v>39.53</v>
      </c>
      <c r="P19" s="131" t="n">
        <f aca="false">IF(OR($C19="",$B$2="",$D$2=0),0,IF(P$3&lt;0,0,N(INDEX('CURVA PREVISION'!$A$1:$KZ$3000,$C19,10+3*MIN(P$3,$D$2-1)))))</f>
        <v>55.81</v>
      </c>
      <c r="Q19" s="131" t="n">
        <f aca="false">IF(OR($C19="",$B$2="",$D$2=0),0,IF(Q$3&lt;0,0,N(INDEX('CURVA PREVISION'!$A$1:$KZ$3000,$C19,10+3*MIN(Q$3,$D$2-1)))))</f>
        <v>79.07</v>
      </c>
      <c r="R19" s="131" t="n">
        <f aca="false">IF(OR($C19="",$B$2="",$D$2=0),0,IF(R$3&lt;0,0,N(INDEX('CURVA PREVISION'!$A$1:$KZ$3000,$C19,10+3*MIN(R$3,$D$2-1)))))</f>
        <v>99.53</v>
      </c>
      <c r="S19" s="131" t="n">
        <f aca="false">IF(OR($C19="",$B$2="",$D$2=0),0,IF(S$3&lt;0,0,N(INDEX('CURVA PREVISION'!$A$1:$KZ$3000,$C19,10+3*MIN(S$3,$D$2-1)))))</f>
        <v>100</v>
      </c>
      <c r="T19" s="131" t="n">
        <f aca="false">IF(OR($C19="",$B$2="",$D$2=0),0,IF(T$3&lt;0,0,N(INDEX('CURVA PREVISION'!$A$1:$KZ$3000,$C19,10+3*MIN(T$3,$D$2-1)))))</f>
        <v>100</v>
      </c>
      <c r="U19" s="131" t="n">
        <f aca="false">IF(OR($C19="",$B$2="",$D$2=0),0,IF(U$3&lt;0,0,N(INDEX('CURVA PREVISION'!$A$1:$KZ$3000,$C19,10+3*MIN(U$3,$D$2-1)))))</f>
        <v>100</v>
      </c>
      <c r="V19" s="131" t="n">
        <f aca="false">IF(OR($C19="",$B$2="",$D$2=0),0,IF(V$3&lt;0,0,N(INDEX('CURVA PREVISION'!$A$1:$KZ$3000,$C19,10+3*MIN(V$3,$D$2-1)))))</f>
        <v>100</v>
      </c>
      <c r="W19" s="131" t="n">
        <f aca="false">IF(OR($C19="",$B$2="",$D$2=0),0,IF(W$3&lt;0,0,N(INDEX('CURVA PREVISION'!$A$1:$KZ$3000,$C19,10+3*MIN(W$3,$D$2-1)))))</f>
        <v>100</v>
      </c>
      <c r="X19" s="131" t="n">
        <f aca="false">IF(OR($C19="",$B$2="",$D$2=0),0,IF(X$3&lt;0,0,N(INDEX('CURVA PREVISION'!$A$1:$KZ$3000,$C19,10+3*MIN(X$3,$D$2-1)))))</f>
        <v>100</v>
      </c>
      <c r="Y19" s="131" t="n">
        <f aca="false">IF(OR($C19="",$B$2="",$D$2=0),0,IF(Y$3&lt;0,0,N(INDEX('CURVA PREVISION'!$A$1:$KZ$3000,$C19,10+3*MIN(Y$3,$D$2-1)))))</f>
        <v>100</v>
      </c>
      <c r="Z19" s="131" t="n">
        <f aca="false">IF(OR($C19="",$B$2="",$D$2=0),0,IF(Z$3&lt;0,0,N(INDEX('CURVA PREVISION'!$A$1:$KZ$3000,$C19,10+3*MIN(Z$3,$D$2-1)))))</f>
        <v>100</v>
      </c>
      <c r="AA19" s="131" t="n">
        <f aca="false">IF(OR($C19="",$B$2="",$D$2=0),0,IF(AA$3&lt;0,0,N(INDEX('CURVA PREVISION'!$A$1:$KZ$3000,$C19,10+3*MIN(AA$3,$D$2-1)))))</f>
        <v>100</v>
      </c>
      <c r="AB19" s="131" t="n">
        <f aca="false">IF(OR($C19="",$B$2="",$D$2=0),0,IF(AB$3&lt;0,0,N(INDEX('CURVA PREVISION'!$A$1:$KZ$3000,$C19,10+3*MIN(AB$3,$D$2-1)))))</f>
        <v>100</v>
      </c>
      <c r="AC19" s="131" t="n">
        <f aca="false">IF(OR($C19="",$B$2="",$D$2=0),0,IF(AC$3&lt;0,0,N(INDEX('CURVA PREVISION'!$A$1:$KZ$3000,$C19,10+3*MIN(AC$3,$D$2-1)))))</f>
        <v>100</v>
      </c>
      <c r="AD19" s="131" t="n">
        <f aca="false">IF(OR($C19="",$B$2="",$D$2=0),0,IF(AD$3&lt;0,0,N(INDEX('CURVA PREVISION'!$A$1:$KZ$3000,$C19,10+3*MIN(AD$3,$D$2-1)))))</f>
        <v>100</v>
      </c>
      <c r="AE19" s="131" t="n">
        <f aca="false">IF(OR($C19="",$B$2="",$D$2=0),0,IF(AE$3&lt;0,0,N(INDEX('CURVA PREVISION'!$A$1:$KZ$3000,$C19,10+3*MIN(AE$3,$D$2-1)))))</f>
        <v>100</v>
      </c>
      <c r="AF19" s="131" t="n">
        <f aca="false">IF(OR($C19="",$B$2="",$D$2=0),0,IF(AF$3&lt;0,0,N(INDEX('CURVA PREVISION'!$A$1:$KZ$3000,$C19,10+3*MIN(AF$3,$D$2-1)))))</f>
        <v>100</v>
      </c>
      <c r="AG19" s="131" t="n">
        <f aca="false">IF(OR($C19="",$B$2="",$D$2=0),0,IF(AG$3&lt;0,0,N(INDEX('CURVA PREVISION'!$A$1:$KZ$3000,$C19,10+3*MIN(AG$3,$D$2-1)))))</f>
        <v>100</v>
      </c>
      <c r="AH19" s="131" t="n">
        <f aca="false">IF(OR($C19="",$B$2="",$D$2=0),0,IF(AH$3&lt;0,0,N(INDEX('CURVA PREVISION'!$A$1:$KZ$3000,$C19,10+3*MIN(AH$3,$D$2-1)))))</f>
        <v>100</v>
      </c>
      <c r="AI19" s="131" t="n">
        <f aca="false">IF(OR($C19="",$B$2="",$D$2=0),0,IF(AI$3&lt;0,0,N(INDEX('CURVA PREVISION'!$A$1:$KZ$3000,$C19,10+3*MIN(AI$3,$D$2-1)))))</f>
        <v>100</v>
      </c>
      <c r="AJ19" s="131" t="n">
        <f aca="false">IF(OR($C19="",$B$2="",$D$2=0),0,IF(AJ$3&lt;0,0,N(INDEX('CURVA PREVISION'!$A$1:$KZ$3000,$C19,10+3*MIN(AJ$3,$D$2-1)))))</f>
        <v>100</v>
      </c>
      <c r="AK19" s="131" t="n">
        <f aca="false">IF(OR($C19="",$B$2="",$D$2=0),0,IF(AK$3&lt;0,0,N(INDEX('CURVA PREVISION'!$A$1:$KZ$3000,$C19,10+3*MIN(AK$3,$D$2-1)))))</f>
        <v>100</v>
      </c>
      <c r="AL19" s="131" t="n">
        <f aca="false">IF(OR($C19="",$B$2="",$D$2=0),0,IF(AL$3&lt;0,0,N(INDEX('CURVA PREVISION'!$A$1:$KZ$3000,$C19,10+3*MIN(AL$3,$D$2-1)))))</f>
        <v>100</v>
      </c>
      <c r="AM19" s="131" t="n">
        <f aca="false">IF(OR($C19="",$B$2="",$D$2=0),0,IF(AM$3&lt;0,0,N(INDEX('CURVA PREVISION'!$A$1:$KZ$3000,$C19,10+3*MIN(AM$3,$D$2-1)))))</f>
        <v>100</v>
      </c>
      <c r="AN19" s="131" t="n">
        <f aca="false">IF(OR($C19="",$B$2="",$D$2=0),0,IF(AN$3&lt;0,0,N(INDEX('CURVA PREVISION'!$A$1:$KZ$3000,$C19,10+3*MIN(AN$3,$D$2-1)))))</f>
        <v>100</v>
      </c>
      <c r="AO19" s="131" t="n">
        <f aca="false">IF(OR($C19="",$B$2="",$D$2=0),0,IF(AO$3&lt;0,0,N(INDEX('CURVA PREVISION'!$A$1:$KZ$3000,$C19,10+3*MIN(AO$3,$D$2-1)))))</f>
        <v>100</v>
      </c>
      <c r="AP19" s="131" t="n">
        <f aca="false">IF(OR($C19="",$B$2="",$D$2=0),0,IF(AP$3&lt;0,0,N(INDEX('CURVA PREVISION'!$A$1:$KZ$3000,$C19,10+3*MIN(AP$3,$D$2-1)))))</f>
        <v>100</v>
      </c>
      <c r="AQ19" s="131" t="n">
        <f aca="false">IF(OR($C19="",$B$2="",$D$2=0),0,IF(AQ$3&lt;0,0,N(INDEX('CURVA PREVISION'!$A$1:$KZ$3000,$C19,10+3*MIN(AQ$3,$D$2-1)))))</f>
        <v>100</v>
      </c>
      <c r="AR19" s="131" t="n">
        <f aca="false">IF(OR($C19="",$B$2="",$D$2=0),0,IF(AR$3&lt;0,0,N(INDEX('CURVA PREVISION'!$A$1:$KZ$3000,$C19,10+3*MIN(AR$3,$D$2-1)))))</f>
        <v>100</v>
      </c>
      <c r="AS19" s="131" t="n">
        <f aca="false">IF(OR($C19="",$B$2="",$D$2=0),0,IF(AS$3&lt;0,0,N(INDEX('CURVA PREVISION'!$A$1:$KZ$3000,$C19,10+3*MIN(AS$3,$D$2-1)))))</f>
        <v>100</v>
      </c>
      <c r="AT19" s="131" t="n">
        <f aca="false">IF(OR($C19="",$B$2="",$D$2=0),0,IF(AT$3&lt;0,0,N(INDEX('CURVA PREVISION'!$A$1:$KZ$3000,$C19,10+3*MIN(AT$3,$D$2-1)))))</f>
        <v>100</v>
      </c>
      <c r="AU19" s="131" t="n">
        <f aca="false">IF(OR($C19="",$B$2="",$D$2=0),0,IF(AU$3&lt;0,0,N(INDEX('CURVA PREVISION'!$A$1:$KZ$3000,$C19,10+3*MIN(AU$3,$D$2-1)))))</f>
        <v>100</v>
      </c>
      <c r="AV19" s="131" t="n">
        <f aca="false">IF(OR($C19="",$B$2="",$D$2=0),0,IF(AV$3&lt;0,0,N(INDEX('CURVA PREVISION'!$A$1:$KZ$3000,$C19,10+3*MIN(AV$3,$D$2-1)))))</f>
        <v>100</v>
      </c>
      <c r="AW19" s="131" t="n">
        <f aca="false">IF(OR($C19="",$B$2="",$D$2=0),0,IF(AW$3&lt;0,0,N(INDEX('CURVA PREVISION'!$A$1:$KZ$3000,$C19,10+3*MIN(AW$3,$D$2-1)))))</f>
        <v>100</v>
      </c>
      <c r="AX19" s="131" t="n">
        <f aca="false">IF(OR($C19="",$B$2="",$D$2=0),0,IF(AX$3&lt;0,0,N(INDEX('CURVA PREVISION'!$A$1:$KZ$3000,$C19,10+3*MIN(AX$3,$D$2-1)))))</f>
        <v>100</v>
      </c>
      <c r="AY19" s="131" t="n">
        <f aca="false">IF(OR($C19="",$B$2="",$D$2=0),0,IF(AY$3&lt;0,0,N(INDEX('CURVA PREVISION'!$A$1:$KZ$3000,$C19,10+3*MIN(AY$3,$D$2-1)))))</f>
        <v>100</v>
      </c>
      <c r="AZ19" s="131" t="n">
        <f aca="false">IF(OR($C19="",$B$2="",$D$2=0),0,IF(AZ$3&lt;0,0,N(INDEX('CURVA PREVISION'!$A$1:$KZ$3000,$C19,10+3*MIN(AZ$3,$D$2-1)))))</f>
        <v>100</v>
      </c>
      <c r="BA19" s="131" t="n">
        <f aca="false">IF(OR($C19="",$B$2="",$D$2=0),0,IF(BA$3&lt;0,0,N(INDEX('CURVA PREVISION'!$A$1:$KZ$3000,$C19,10+3*MIN(BA$3,$D$2-1)))))</f>
        <v>100</v>
      </c>
      <c r="BB19" s="131" t="n">
        <f aca="false">IF(OR($C19="",$B$2="",$D$2=0),0,IF(BB$3&lt;0,0,N(INDEX('CURVA PREVISION'!$A$1:$KZ$3000,$C19,10+3*MIN(BB$3,$D$2-1)))))</f>
        <v>100</v>
      </c>
      <c r="BC19" s="131" t="n">
        <f aca="false">IF(OR($C19="",$B$2="",$D$2=0),0,IF(BC$3&lt;0,0,N(INDEX('CURVA PREVISION'!$A$1:$KZ$3000,$C19,10+3*MIN(BC$3,$D$2-1)))))</f>
        <v>100</v>
      </c>
      <c r="BD19" s="131" t="n">
        <f aca="false">IF(OR($C19="",$B$2="",$D$2=0),0,IF(BD$3&lt;0,0,N(INDEX('CURVA PREVISION'!$A$1:$KZ$3000,$C19,10+3*MIN(BD$3,$D$2-1)))))</f>
        <v>100</v>
      </c>
      <c r="BE19" s="131" t="n">
        <f aca="false">IF(OR($C19="",$B$2="",$D$2=0),0,IF(BE$3&lt;0,0,N(INDEX('CURVA PREVISION'!$A$1:$KZ$3000,$C19,10+3*MIN(BE$3,$D$2-1)))))</f>
        <v>100</v>
      </c>
      <c r="BF19" s="131" t="n">
        <f aca="false">IF(OR($C19="",$B$2="",$D$2=0),0,IF(BF$3&lt;0,0,N(INDEX('CURVA PREVISION'!$A$1:$KZ$3000,$C19,10+3*MIN(BF$3,$D$2-1)))))</f>
        <v>100</v>
      </c>
      <c r="BG19" s="131" t="n">
        <f aca="false">IF(OR($C19="",$B$2="",$D$2=0),0,IF(BG$3&lt;0,0,N(INDEX('CURVA PREVISION'!$A$1:$KZ$3000,$C19,10+3*MIN(BG$3,$D$2-1)))))</f>
        <v>100</v>
      </c>
      <c r="BH19" s="131" t="n">
        <f aca="false">IF(OR($C19="",$B$2="",$D$2=0),0,IF(BH$3&lt;0,0,N(INDEX('CURVA PREVISION'!$A$1:$KZ$3000,$C19,10+3*MIN(BH$3,$D$2-1)))))</f>
        <v>100</v>
      </c>
      <c r="BI19" s="131" t="n">
        <f aca="false">IF(OR($C19="",$B$2="",$D$2=0),0,IF(BI$3&lt;0,0,N(INDEX('CURVA PREVISION'!$A$1:$KZ$3000,$C19,10+3*MIN(BI$3,$D$2-1)))))</f>
        <v>100</v>
      </c>
      <c r="BJ19" s="131" t="n">
        <f aca="false">IF(OR($C19="",$B$2="",$D$2=0),0,IF(BJ$3&lt;0,0,N(INDEX('CURVA PREVISION'!$A$1:$KZ$3000,$C19,10+3*MIN(BJ$3,$D$2-1)))))</f>
        <v>100</v>
      </c>
      <c r="BK19" s="131" t="n">
        <f aca="false">IF(OR($C19="",$B$2="",$D$2=0),0,IF(BK$3&lt;0,0,N(INDEX('CURVA PREVISION'!$A$1:$KZ$3000,$C19,10+3*MIN(BK$3,$D$2-1)))))</f>
        <v>100</v>
      </c>
      <c r="BL19" s="131" t="n">
        <f aca="false">IF(OR($C19="",$B$2="",$D$2=0),0,IF(BL$3&lt;0,0,N(INDEX('CURVA PREVISION'!$A$1:$KZ$3000,$C19,10+3*MIN(BL$3,$D$2-1)))))</f>
        <v>100</v>
      </c>
      <c r="BM19" s="131" t="n">
        <f aca="false">IF(OR($C19="",$B$2="",$D$2=0),0,IF(BM$3&lt;0,0,N(INDEX('CURVA PREVISION'!$A$1:$KZ$3000,$C19,10+3*MIN(BM$3,$D$2-1)))))</f>
        <v>100</v>
      </c>
      <c r="BN19" s="131" t="n">
        <f aca="false">IF(OR($C19="",$B$2="",$D$2=0),0,IF(BN$3&lt;0,0,N(INDEX('CURVA PREVISION'!$A$1:$KZ$3000,$C19,10+3*MIN(BN$3,$D$2-1)))))</f>
        <v>100</v>
      </c>
      <c r="BO19" s="131" t="n">
        <f aca="false">IF(OR($C19="",$B$2="",$D$2=0),0,IF(BO$3&lt;0,0,N(INDEX('CURVA PREVISION'!$A$1:$KZ$3000,$C19,10+3*MIN(BO$3,$D$2-1)))))</f>
        <v>100</v>
      </c>
      <c r="BP19" s="131" t="n">
        <f aca="false">IF(OR($C19="",$B$2="",$D$2=0),0,IF(BP$3&lt;0,0,N(INDEX('CURVA PREVISION'!$A$1:$KZ$3000,$C19,10+3*MIN(BP$3,$D$2-1)))))</f>
        <v>100</v>
      </c>
      <c r="BQ19" s="131" t="n">
        <f aca="false">IF(OR($C19="",$B$2="",$D$2=0),0,IF(BQ$3&lt;0,0,N(INDEX('CURVA PREVISION'!$A$1:$KZ$3000,$C19,10+3*MIN(BQ$3,$D$2-1)))))</f>
        <v>100</v>
      </c>
      <c r="BR19" s="131" t="n">
        <f aca="false">IF(OR($C19="",$B$2="",$D$2=0),0,IF(BR$3&lt;0,0,N(INDEX('CURVA PREVISION'!$A$1:$KZ$3000,$C19,10+3*MIN(BR$3,$D$2-1)))))</f>
        <v>100</v>
      </c>
      <c r="BS19" s="131" t="n">
        <f aca="false">IF(OR($C19="",$B$2="",$D$2=0),0,IF(BS$3&lt;0,0,N(INDEX('CURVA PREVISION'!$A$1:$KZ$3000,$C19,10+3*MIN(BS$3,$D$2-1)))))</f>
        <v>100</v>
      </c>
      <c r="BT19" s="131" t="n">
        <f aca="false">IF(OR($C19="",$B$2="",$D$2=0),0,IF(BT$3&lt;0,0,N(INDEX('CURVA PREVISION'!$A$1:$KZ$3000,$C19,10+3*MIN(BT$3,$D$2-1)))))</f>
        <v>100</v>
      </c>
      <c r="BU19" s="131" t="n">
        <f aca="false">IF(OR($C19="",$B$2="",$D$2=0),0,IF(BU$3&lt;0,0,N(INDEX('CURVA PREVISION'!$A$1:$KZ$3000,$C19,10+3*MIN(BU$3,$D$2-1)))))</f>
        <v>100</v>
      </c>
      <c r="BV19" s="131" t="n">
        <f aca="false">IF(OR($C19="",$B$2="",$D$2=0),0,IF(BV$3&lt;0,0,N(INDEX('CURVA PREVISION'!$A$1:$KZ$3000,$C19,10+3*MIN(BV$3,$D$2-1)))))</f>
        <v>100</v>
      </c>
      <c r="BW19" s="131" t="n">
        <f aca="false">IF(OR($C19="",$B$2="",$D$2=0),0,IF(BW$3&lt;0,0,N(INDEX('CURVA PREVISION'!$A$1:$KZ$3000,$C19,10+3*MIN(BW$3,$D$2-1)))))</f>
        <v>100</v>
      </c>
    </row>
    <row r="20" customFormat="false" ht="15" hidden="false" customHeight="false" outlineLevel="0" collapsed="false">
      <c r="A20" s="57" t="str">
        <f aca="false">IF('VALOR POR PL'!R26&lt;&gt;"",'VALOR POR PL'!R26,IF('VALOR POR PL'!Q26="",'VALOR POR PL'!C26,'VALOR POR PL'!Q26))</f>
        <v>16</v>
      </c>
      <c r="B20" s="57" t="str">
        <f aca="false">'VALOR POR PL'!D26</f>
        <v>FUNDAÇÃO SUPERFICIAL</v>
      </c>
      <c r="C20" s="64" t="n">
        <f aca="false">IFERROR(MATCH(A20,'CURVA PREVISION'!$B$1:$B$3000,0),"")</f>
        <v>317</v>
      </c>
      <c r="D20" s="131" t="n">
        <f aca="false">IF(OR($C20="",$B$2="",$D$2=0),0,IF(D$3&lt;0,0,N(INDEX('CURVA PREVISION'!$A$1:$KZ$3000,$C20,10+3*MIN(D$3,$D$2-1)))))</f>
        <v>0</v>
      </c>
      <c r="E20" s="131" t="n">
        <f aca="false">IF(OR($C20="",$B$2="",$D$2=0),0,IF(E$3&lt;0,0,N(INDEX('CURVA PREVISION'!$A$1:$KZ$3000,$C20,10+3*MIN(E$3,$D$2-1)))))</f>
        <v>0</v>
      </c>
      <c r="F20" s="131" t="n">
        <f aca="false">IF(OR($C20="",$B$2="",$D$2=0),0,IF(F$3&lt;0,0,N(INDEX('CURVA PREVISION'!$A$1:$KZ$3000,$C20,10+3*MIN(F$3,$D$2-1)))))</f>
        <v>0</v>
      </c>
      <c r="G20" s="131" t="n">
        <f aca="false">IF(OR($C20="",$B$2="",$D$2=0),0,IF(G$3&lt;0,0,N(INDEX('CURVA PREVISION'!$A$1:$KZ$3000,$C20,10+3*MIN(G$3,$D$2-1)))))</f>
        <v>0</v>
      </c>
      <c r="H20" s="131" t="n">
        <f aca="false">IF(OR($C20="",$B$2="",$D$2=0),0,IF(H$3&lt;0,0,N(INDEX('CURVA PREVISION'!$A$1:$KZ$3000,$C20,10+3*MIN(H$3,$D$2-1)))))</f>
        <v>0</v>
      </c>
      <c r="I20" s="131" t="n">
        <f aca="false">IF(OR($C20="",$B$2="",$D$2=0),0,IF(I$3&lt;0,0,N(INDEX('CURVA PREVISION'!$A$1:$KZ$3000,$C20,10+3*MIN(I$3,$D$2-1)))))</f>
        <v>0</v>
      </c>
      <c r="J20" s="131" t="n">
        <f aca="false">IF(OR($C20="",$B$2="",$D$2=0),0,IF(J$3&lt;0,0,N(INDEX('CURVA PREVISION'!$A$1:$KZ$3000,$C20,10+3*MIN(J$3,$D$2-1)))))</f>
        <v>0</v>
      </c>
      <c r="K20" s="131" t="n">
        <f aca="false">IF(OR($C20="",$B$2="",$D$2=0),0,IF(K$3&lt;0,0,N(INDEX('CURVA PREVISION'!$A$1:$KZ$3000,$C20,10+3*MIN(K$3,$D$2-1)))))</f>
        <v>0</v>
      </c>
      <c r="L20" s="131" t="n">
        <f aca="false">IF(OR($C20="",$B$2="",$D$2=0),0,IF(L$3&lt;0,0,N(INDEX('CURVA PREVISION'!$A$1:$KZ$3000,$C20,10+3*MIN(L$3,$D$2-1)))))</f>
        <v>0</v>
      </c>
      <c r="M20" s="131" t="n">
        <f aca="false">IF(OR($C20="",$B$2="",$D$2=0),0,IF(M$3&lt;0,0,N(INDEX('CURVA PREVISION'!$A$1:$KZ$3000,$C20,10+3*MIN(M$3,$D$2-1)))))</f>
        <v>0</v>
      </c>
      <c r="N20" s="131" t="n">
        <f aca="false">IF(OR($C20="",$B$2="",$D$2=0),0,IF(N$3&lt;0,0,N(INDEX('CURVA PREVISION'!$A$1:$KZ$3000,$C20,10+3*MIN(N$3,$D$2-1)))))</f>
        <v>0</v>
      </c>
      <c r="O20" s="131" t="n">
        <f aca="false">IF(OR($C20="",$B$2="",$D$2=0),0,IF(O$3&lt;0,0,N(INDEX('CURVA PREVISION'!$A$1:$KZ$3000,$C20,10+3*MIN(O$3,$D$2-1)))))</f>
        <v>0</v>
      </c>
      <c r="P20" s="131" t="n">
        <f aca="false">IF(OR($C20="",$B$2="",$D$2=0),0,IF(P$3&lt;0,0,N(INDEX('CURVA PREVISION'!$A$1:$KZ$3000,$C20,10+3*MIN(P$3,$D$2-1)))))</f>
        <v>0</v>
      </c>
      <c r="Q20" s="131" t="n">
        <f aca="false">IF(OR($C20="",$B$2="",$D$2=0),0,IF(Q$3&lt;0,0,N(INDEX('CURVA PREVISION'!$A$1:$KZ$3000,$C20,10+3*MIN(Q$3,$D$2-1)))))</f>
        <v>0</v>
      </c>
      <c r="R20" s="131" t="n">
        <f aca="false">IF(OR($C20="",$B$2="",$D$2=0),0,IF(R$3&lt;0,0,N(INDEX('CURVA PREVISION'!$A$1:$KZ$3000,$C20,10+3*MIN(R$3,$D$2-1)))))</f>
        <v>0</v>
      </c>
      <c r="S20" s="131" t="n">
        <f aca="false">IF(OR($C20="",$B$2="",$D$2=0),0,IF(S$3&lt;0,0,N(INDEX('CURVA PREVISION'!$A$1:$KZ$3000,$C20,10+3*MIN(S$3,$D$2-1)))))</f>
        <v>0</v>
      </c>
      <c r="T20" s="131" t="n">
        <f aca="false">IF(OR($C20="",$B$2="",$D$2=0),0,IF(T$3&lt;0,0,N(INDEX('CURVA PREVISION'!$A$1:$KZ$3000,$C20,10+3*MIN(T$3,$D$2-1)))))</f>
        <v>12.28</v>
      </c>
      <c r="U20" s="131" t="n">
        <f aca="false">IF(OR($C20="",$B$2="",$D$2=0),0,IF(U$3&lt;0,0,N(INDEX('CURVA PREVISION'!$A$1:$KZ$3000,$C20,10+3*MIN(U$3,$D$2-1)))))</f>
        <v>31.16</v>
      </c>
      <c r="V20" s="131" t="n">
        <f aca="false">IF(OR($C20="",$B$2="",$D$2=0),0,IF(V$3&lt;0,0,N(INDEX('CURVA PREVISION'!$A$1:$KZ$3000,$C20,10+3*MIN(V$3,$D$2-1)))))</f>
        <v>50.99</v>
      </c>
      <c r="W20" s="131" t="n">
        <f aca="false">IF(OR($C20="",$B$2="",$D$2=0),0,IF(W$3&lt;0,0,N(INDEX('CURVA PREVISION'!$A$1:$KZ$3000,$C20,10+3*MIN(W$3,$D$2-1)))))</f>
        <v>72.71</v>
      </c>
      <c r="X20" s="131" t="n">
        <f aca="false">IF(OR($C20="",$B$2="",$D$2=0),0,IF(X$3&lt;0,0,N(INDEX('CURVA PREVISION'!$A$1:$KZ$3000,$C20,10+3*MIN(X$3,$D$2-1)))))</f>
        <v>77.44</v>
      </c>
      <c r="Y20" s="131" t="n">
        <f aca="false">IF(OR($C20="",$B$2="",$D$2=0),0,IF(Y$3&lt;0,0,N(INDEX('CURVA PREVISION'!$A$1:$KZ$3000,$C20,10+3*MIN(Y$3,$D$2-1)))))</f>
        <v>77.44</v>
      </c>
      <c r="Z20" s="131" t="n">
        <f aca="false">IF(OR($C20="",$B$2="",$D$2=0),0,IF(Z$3&lt;0,0,N(INDEX('CURVA PREVISION'!$A$1:$KZ$3000,$C20,10+3*MIN(Z$3,$D$2-1)))))</f>
        <v>77.44</v>
      </c>
      <c r="AA20" s="131" t="n">
        <f aca="false">IF(OR($C20="",$B$2="",$D$2=0),0,IF(AA$3&lt;0,0,N(INDEX('CURVA PREVISION'!$A$1:$KZ$3000,$C20,10+3*MIN(AA$3,$D$2-1)))))</f>
        <v>77.44</v>
      </c>
      <c r="AB20" s="131" t="n">
        <f aca="false">IF(OR($C20="",$B$2="",$D$2=0),0,IF(AB$3&lt;0,0,N(INDEX('CURVA PREVISION'!$A$1:$KZ$3000,$C20,10+3*MIN(AB$3,$D$2-1)))))</f>
        <v>77.44</v>
      </c>
      <c r="AC20" s="131" t="n">
        <f aca="false">IF(OR($C20="",$B$2="",$D$2=0),0,IF(AC$3&lt;0,0,N(INDEX('CURVA PREVISION'!$A$1:$KZ$3000,$C20,10+3*MIN(AC$3,$D$2-1)))))</f>
        <v>77.44</v>
      </c>
      <c r="AD20" s="131" t="n">
        <f aca="false">IF(OR($C20="",$B$2="",$D$2=0),0,IF(AD$3&lt;0,0,N(INDEX('CURVA PREVISION'!$A$1:$KZ$3000,$C20,10+3*MIN(AD$3,$D$2-1)))))</f>
        <v>86.22</v>
      </c>
      <c r="AE20" s="131" t="n">
        <f aca="false">IF(OR($C20="",$B$2="",$D$2=0),0,IF(AE$3&lt;0,0,N(INDEX('CURVA PREVISION'!$A$1:$KZ$3000,$C20,10+3*MIN(AE$3,$D$2-1)))))</f>
        <v>91.37</v>
      </c>
      <c r="AF20" s="131" t="n">
        <f aca="false">IF(OR($C20="",$B$2="",$D$2=0),0,IF(AF$3&lt;0,0,N(INDEX('CURVA PREVISION'!$A$1:$KZ$3000,$C20,10+3*MIN(AF$3,$D$2-1)))))</f>
        <v>93.84</v>
      </c>
      <c r="AG20" s="131" t="n">
        <f aca="false">IF(OR($C20="",$B$2="",$D$2=0),0,IF(AG$3&lt;0,0,N(INDEX('CURVA PREVISION'!$A$1:$KZ$3000,$C20,10+3*MIN(AG$3,$D$2-1)))))</f>
        <v>93.84</v>
      </c>
      <c r="AH20" s="131" t="n">
        <f aca="false">IF(OR($C20="",$B$2="",$D$2=0),0,IF(AH$3&lt;0,0,N(INDEX('CURVA PREVISION'!$A$1:$KZ$3000,$C20,10+3*MIN(AH$3,$D$2-1)))))</f>
        <v>93.84</v>
      </c>
      <c r="AI20" s="131" t="n">
        <f aca="false">IF(OR($C20="",$B$2="",$D$2=0),0,IF(AI$3&lt;0,0,N(INDEX('CURVA PREVISION'!$A$1:$KZ$3000,$C20,10+3*MIN(AI$3,$D$2-1)))))</f>
        <v>93.84</v>
      </c>
      <c r="AJ20" s="131" t="n">
        <f aca="false">IF(OR($C20="",$B$2="",$D$2=0),0,IF(AJ$3&lt;0,0,N(INDEX('CURVA PREVISION'!$A$1:$KZ$3000,$C20,10+3*MIN(AJ$3,$D$2-1)))))</f>
        <v>93.84</v>
      </c>
      <c r="AK20" s="131" t="n">
        <f aca="false">IF(OR($C20="",$B$2="",$D$2=0),0,IF(AK$3&lt;0,0,N(INDEX('CURVA PREVISION'!$A$1:$KZ$3000,$C20,10+3*MIN(AK$3,$D$2-1)))))</f>
        <v>93.84</v>
      </c>
      <c r="AL20" s="131" t="n">
        <f aca="false">IF(OR($C20="",$B$2="",$D$2=0),0,IF(AL$3&lt;0,0,N(INDEX('CURVA PREVISION'!$A$1:$KZ$3000,$C20,10+3*MIN(AL$3,$D$2-1)))))</f>
        <v>95.52</v>
      </c>
      <c r="AM20" s="131" t="n">
        <f aca="false">IF(OR($C20="",$B$2="",$D$2=0),0,IF(AM$3&lt;0,0,N(INDEX('CURVA PREVISION'!$A$1:$KZ$3000,$C20,10+3*MIN(AM$3,$D$2-1)))))</f>
        <v>99.25</v>
      </c>
      <c r="AN20" s="131" t="n">
        <f aca="false">IF(OR($C20="",$B$2="",$D$2=0),0,IF(AN$3&lt;0,0,N(INDEX('CURVA PREVISION'!$A$1:$KZ$3000,$C20,10+3*MIN(AN$3,$D$2-1)))))</f>
        <v>100</v>
      </c>
      <c r="AO20" s="131" t="n">
        <f aca="false">IF(OR($C20="",$B$2="",$D$2=0),0,IF(AO$3&lt;0,0,N(INDEX('CURVA PREVISION'!$A$1:$KZ$3000,$C20,10+3*MIN(AO$3,$D$2-1)))))</f>
        <v>100</v>
      </c>
      <c r="AP20" s="131" t="n">
        <f aca="false">IF(OR($C20="",$B$2="",$D$2=0),0,IF(AP$3&lt;0,0,N(INDEX('CURVA PREVISION'!$A$1:$KZ$3000,$C20,10+3*MIN(AP$3,$D$2-1)))))</f>
        <v>100</v>
      </c>
      <c r="AQ20" s="131" t="n">
        <f aca="false">IF(OR($C20="",$B$2="",$D$2=0),0,IF(AQ$3&lt;0,0,N(INDEX('CURVA PREVISION'!$A$1:$KZ$3000,$C20,10+3*MIN(AQ$3,$D$2-1)))))</f>
        <v>100</v>
      </c>
      <c r="AR20" s="131" t="n">
        <f aca="false">IF(OR($C20="",$B$2="",$D$2=0),0,IF(AR$3&lt;0,0,N(INDEX('CURVA PREVISION'!$A$1:$KZ$3000,$C20,10+3*MIN(AR$3,$D$2-1)))))</f>
        <v>100</v>
      </c>
      <c r="AS20" s="131" t="n">
        <f aca="false">IF(OR($C20="",$B$2="",$D$2=0),0,IF(AS$3&lt;0,0,N(INDEX('CURVA PREVISION'!$A$1:$KZ$3000,$C20,10+3*MIN(AS$3,$D$2-1)))))</f>
        <v>100</v>
      </c>
      <c r="AT20" s="131" t="n">
        <f aca="false">IF(OR($C20="",$B$2="",$D$2=0),0,IF(AT$3&lt;0,0,N(INDEX('CURVA PREVISION'!$A$1:$KZ$3000,$C20,10+3*MIN(AT$3,$D$2-1)))))</f>
        <v>100</v>
      </c>
      <c r="AU20" s="131" t="n">
        <f aca="false">IF(OR($C20="",$B$2="",$D$2=0),0,IF(AU$3&lt;0,0,N(INDEX('CURVA PREVISION'!$A$1:$KZ$3000,$C20,10+3*MIN(AU$3,$D$2-1)))))</f>
        <v>100</v>
      </c>
      <c r="AV20" s="131" t="n">
        <f aca="false">IF(OR($C20="",$B$2="",$D$2=0),0,IF(AV$3&lt;0,0,N(INDEX('CURVA PREVISION'!$A$1:$KZ$3000,$C20,10+3*MIN(AV$3,$D$2-1)))))</f>
        <v>100</v>
      </c>
      <c r="AW20" s="131" t="n">
        <f aca="false">IF(OR($C20="",$B$2="",$D$2=0),0,IF(AW$3&lt;0,0,N(INDEX('CURVA PREVISION'!$A$1:$KZ$3000,$C20,10+3*MIN(AW$3,$D$2-1)))))</f>
        <v>100</v>
      </c>
      <c r="AX20" s="131" t="n">
        <f aca="false">IF(OR($C20="",$B$2="",$D$2=0),0,IF(AX$3&lt;0,0,N(INDEX('CURVA PREVISION'!$A$1:$KZ$3000,$C20,10+3*MIN(AX$3,$D$2-1)))))</f>
        <v>100</v>
      </c>
      <c r="AY20" s="131" t="n">
        <f aca="false">IF(OR($C20="",$B$2="",$D$2=0),0,IF(AY$3&lt;0,0,N(INDEX('CURVA PREVISION'!$A$1:$KZ$3000,$C20,10+3*MIN(AY$3,$D$2-1)))))</f>
        <v>100</v>
      </c>
      <c r="AZ20" s="131" t="n">
        <f aca="false">IF(OR($C20="",$B$2="",$D$2=0),0,IF(AZ$3&lt;0,0,N(INDEX('CURVA PREVISION'!$A$1:$KZ$3000,$C20,10+3*MIN(AZ$3,$D$2-1)))))</f>
        <v>100</v>
      </c>
      <c r="BA20" s="131" t="n">
        <f aca="false">IF(OR($C20="",$B$2="",$D$2=0),0,IF(BA$3&lt;0,0,N(INDEX('CURVA PREVISION'!$A$1:$KZ$3000,$C20,10+3*MIN(BA$3,$D$2-1)))))</f>
        <v>100</v>
      </c>
      <c r="BB20" s="131" t="n">
        <f aca="false">IF(OR($C20="",$B$2="",$D$2=0),0,IF(BB$3&lt;0,0,N(INDEX('CURVA PREVISION'!$A$1:$KZ$3000,$C20,10+3*MIN(BB$3,$D$2-1)))))</f>
        <v>100</v>
      </c>
      <c r="BC20" s="131" t="n">
        <f aca="false">IF(OR($C20="",$B$2="",$D$2=0),0,IF(BC$3&lt;0,0,N(INDEX('CURVA PREVISION'!$A$1:$KZ$3000,$C20,10+3*MIN(BC$3,$D$2-1)))))</f>
        <v>100</v>
      </c>
      <c r="BD20" s="131" t="n">
        <f aca="false">IF(OR($C20="",$B$2="",$D$2=0),0,IF(BD$3&lt;0,0,N(INDEX('CURVA PREVISION'!$A$1:$KZ$3000,$C20,10+3*MIN(BD$3,$D$2-1)))))</f>
        <v>100</v>
      </c>
      <c r="BE20" s="131" t="n">
        <f aca="false">IF(OR($C20="",$B$2="",$D$2=0),0,IF(BE$3&lt;0,0,N(INDEX('CURVA PREVISION'!$A$1:$KZ$3000,$C20,10+3*MIN(BE$3,$D$2-1)))))</f>
        <v>100</v>
      </c>
      <c r="BF20" s="131" t="n">
        <f aca="false">IF(OR($C20="",$B$2="",$D$2=0),0,IF(BF$3&lt;0,0,N(INDEX('CURVA PREVISION'!$A$1:$KZ$3000,$C20,10+3*MIN(BF$3,$D$2-1)))))</f>
        <v>100</v>
      </c>
      <c r="BG20" s="131" t="n">
        <f aca="false">IF(OR($C20="",$B$2="",$D$2=0),0,IF(BG$3&lt;0,0,N(INDEX('CURVA PREVISION'!$A$1:$KZ$3000,$C20,10+3*MIN(BG$3,$D$2-1)))))</f>
        <v>100</v>
      </c>
      <c r="BH20" s="131" t="n">
        <f aca="false">IF(OR($C20="",$B$2="",$D$2=0),0,IF(BH$3&lt;0,0,N(INDEX('CURVA PREVISION'!$A$1:$KZ$3000,$C20,10+3*MIN(BH$3,$D$2-1)))))</f>
        <v>100</v>
      </c>
      <c r="BI20" s="131" t="n">
        <f aca="false">IF(OR($C20="",$B$2="",$D$2=0),0,IF(BI$3&lt;0,0,N(INDEX('CURVA PREVISION'!$A$1:$KZ$3000,$C20,10+3*MIN(BI$3,$D$2-1)))))</f>
        <v>100</v>
      </c>
      <c r="BJ20" s="131" t="n">
        <f aca="false">IF(OR($C20="",$B$2="",$D$2=0),0,IF(BJ$3&lt;0,0,N(INDEX('CURVA PREVISION'!$A$1:$KZ$3000,$C20,10+3*MIN(BJ$3,$D$2-1)))))</f>
        <v>100</v>
      </c>
      <c r="BK20" s="131" t="n">
        <f aca="false">IF(OR($C20="",$B$2="",$D$2=0),0,IF(BK$3&lt;0,0,N(INDEX('CURVA PREVISION'!$A$1:$KZ$3000,$C20,10+3*MIN(BK$3,$D$2-1)))))</f>
        <v>100</v>
      </c>
      <c r="BL20" s="131" t="n">
        <f aca="false">IF(OR($C20="",$B$2="",$D$2=0),0,IF(BL$3&lt;0,0,N(INDEX('CURVA PREVISION'!$A$1:$KZ$3000,$C20,10+3*MIN(BL$3,$D$2-1)))))</f>
        <v>100</v>
      </c>
      <c r="BM20" s="131" t="n">
        <f aca="false">IF(OR($C20="",$B$2="",$D$2=0),0,IF(BM$3&lt;0,0,N(INDEX('CURVA PREVISION'!$A$1:$KZ$3000,$C20,10+3*MIN(BM$3,$D$2-1)))))</f>
        <v>100</v>
      </c>
      <c r="BN20" s="131" t="n">
        <f aca="false">IF(OR($C20="",$B$2="",$D$2=0),0,IF(BN$3&lt;0,0,N(INDEX('CURVA PREVISION'!$A$1:$KZ$3000,$C20,10+3*MIN(BN$3,$D$2-1)))))</f>
        <v>100</v>
      </c>
      <c r="BO20" s="131" t="n">
        <f aca="false">IF(OR($C20="",$B$2="",$D$2=0),0,IF(BO$3&lt;0,0,N(INDEX('CURVA PREVISION'!$A$1:$KZ$3000,$C20,10+3*MIN(BO$3,$D$2-1)))))</f>
        <v>100</v>
      </c>
      <c r="BP20" s="131" t="n">
        <f aca="false">IF(OR($C20="",$B$2="",$D$2=0),0,IF(BP$3&lt;0,0,N(INDEX('CURVA PREVISION'!$A$1:$KZ$3000,$C20,10+3*MIN(BP$3,$D$2-1)))))</f>
        <v>100</v>
      </c>
      <c r="BQ20" s="131" t="n">
        <f aca="false">IF(OR($C20="",$B$2="",$D$2=0),0,IF(BQ$3&lt;0,0,N(INDEX('CURVA PREVISION'!$A$1:$KZ$3000,$C20,10+3*MIN(BQ$3,$D$2-1)))))</f>
        <v>100</v>
      </c>
      <c r="BR20" s="131" t="n">
        <f aca="false">IF(OR($C20="",$B$2="",$D$2=0),0,IF(BR$3&lt;0,0,N(INDEX('CURVA PREVISION'!$A$1:$KZ$3000,$C20,10+3*MIN(BR$3,$D$2-1)))))</f>
        <v>100</v>
      </c>
      <c r="BS20" s="131" t="n">
        <f aca="false">IF(OR($C20="",$B$2="",$D$2=0),0,IF(BS$3&lt;0,0,N(INDEX('CURVA PREVISION'!$A$1:$KZ$3000,$C20,10+3*MIN(BS$3,$D$2-1)))))</f>
        <v>100</v>
      </c>
      <c r="BT20" s="131" t="n">
        <f aca="false">IF(OR($C20="",$B$2="",$D$2=0),0,IF(BT$3&lt;0,0,N(INDEX('CURVA PREVISION'!$A$1:$KZ$3000,$C20,10+3*MIN(BT$3,$D$2-1)))))</f>
        <v>100</v>
      </c>
      <c r="BU20" s="131" t="n">
        <f aca="false">IF(OR($C20="",$B$2="",$D$2=0),0,IF(BU$3&lt;0,0,N(INDEX('CURVA PREVISION'!$A$1:$KZ$3000,$C20,10+3*MIN(BU$3,$D$2-1)))))</f>
        <v>100</v>
      </c>
      <c r="BV20" s="131" t="n">
        <f aca="false">IF(OR($C20="",$B$2="",$D$2=0),0,IF(BV$3&lt;0,0,N(INDEX('CURVA PREVISION'!$A$1:$KZ$3000,$C20,10+3*MIN(BV$3,$D$2-1)))))</f>
        <v>100</v>
      </c>
      <c r="BW20" s="131" t="n">
        <f aca="false">IF(OR($C20="",$B$2="",$D$2=0),0,IF(BW$3&lt;0,0,N(INDEX('CURVA PREVISION'!$A$1:$KZ$3000,$C20,10+3*MIN(BW$3,$D$2-1)))))</f>
        <v>100</v>
      </c>
    </row>
    <row r="21" customFormat="false" ht="15" hidden="false" customHeight="false" outlineLevel="0" collapsed="false">
      <c r="A21" s="57" t="str">
        <f aca="false">IF('VALOR POR PL'!R27&lt;&gt;"",'VALOR POR PL'!R27,IF('VALOR POR PL'!Q27="",'VALOR POR PL'!C27,'VALOR POR PL'!Q27))</f>
        <v>17</v>
      </c>
      <c r="B21" s="57" t="str">
        <f aca="false">'VALOR POR PL'!D27</f>
        <v>ESTRUTURA EM CONCRETO ARMADO</v>
      </c>
      <c r="C21" s="64" t="n">
        <f aca="false">IFERROR(MATCH(A21,'CURVA PREVISION'!$B$1:$B$3000,0),"")</f>
        <v>339</v>
      </c>
      <c r="D21" s="131" t="n">
        <f aca="false">IF(OR($C21="",$B$2="",$D$2=0),0,IF(D$3&lt;0,0,N(INDEX('CURVA PREVISION'!$A$1:$KZ$3000,$C21,10+3*MIN(D$3,$D$2-1)))))</f>
        <v>0</v>
      </c>
      <c r="E21" s="131" t="n">
        <f aca="false">IF(OR($C21="",$B$2="",$D$2=0),0,IF(E$3&lt;0,0,N(INDEX('CURVA PREVISION'!$A$1:$KZ$3000,$C21,10+3*MIN(E$3,$D$2-1)))))</f>
        <v>0</v>
      </c>
      <c r="F21" s="131" t="n">
        <f aca="false">IF(OR($C21="",$B$2="",$D$2=0),0,IF(F$3&lt;0,0,N(INDEX('CURVA PREVISION'!$A$1:$KZ$3000,$C21,10+3*MIN(F$3,$D$2-1)))))</f>
        <v>0</v>
      </c>
      <c r="G21" s="131" t="n">
        <f aca="false">IF(OR($C21="",$B$2="",$D$2=0),0,IF(G$3&lt;0,0,N(INDEX('CURVA PREVISION'!$A$1:$KZ$3000,$C21,10+3*MIN(G$3,$D$2-1)))))</f>
        <v>0</v>
      </c>
      <c r="H21" s="131" t="n">
        <f aca="false">IF(OR($C21="",$B$2="",$D$2=0),0,IF(H$3&lt;0,0,N(INDEX('CURVA PREVISION'!$A$1:$KZ$3000,$C21,10+3*MIN(H$3,$D$2-1)))))</f>
        <v>0</v>
      </c>
      <c r="I21" s="131" t="n">
        <f aca="false">IF(OR($C21="",$B$2="",$D$2=0),0,IF(I$3&lt;0,0,N(INDEX('CURVA PREVISION'!$A$1:$KZ$3000,$C21,10+3*MIN(I$3,$D$2-1)))))</f>
        <v>0</v>
      </c>
      <c r="J21" s="131" t="n">
        <f aca="false">IF(OR($C21="",$B$2="",$D$2=0),0,IF(J$3&lt;0,0,N(INDEX('CURVA PREVISION'!$A$1:$KZ$3000,$C21,10+3*MIN(J$3,$D$2-1)))))</f>
        <v>0</v>
      </c>
      <c r="K21" s="131" t="n">
        <f aca="false">IF(OR($C21="",$B$2="",$D$2=0),0,IF(K$3&lt;0,0,N(INDEX('CURVA PREVISION'!$A$1:$KZ$3000,$C21,10+3*MIN(K$3,$D$2-1)))))</f>
        <v>0</v>
      </c>
      <c r="L21" s="131" t="n">
        <f aca="false">IF(OR($C21="",$B$2="",$D$2=0),0,IF(L$3&lt;0,0,N(INDEX('CURVA PREVISION'!$A$1:$KZ$3000,$C21,10+3*MIN(L$3,$D$2-1)))))</f>
        <v>0</v>
      </c>
      <c r="M21" s="131" t="n">
        <f aca="false">IF(OR($C21="",$B$2="",$D$2=0),0,IF(M$3&lt;0,0,N(INDEX('CURVA PREVISION'!$A$1:$KZ$3000,$C21,10+3*MIN(M$3,$D$2-1)))))</f>
        <v>0</v>
      </c>
      <c r="N21" s="131" t="n">
        <f aca="false">IF(OR($C21="",$B$2="",$D$2=0),0,IF(N$3&lt;0,0,N(INDEX('CURVA PREVISION'!$A$1:$KZ$3000,$C21,10+3*MIN(N$3,$D$2-1)))))</f>
        <v>0</v>
      </c>
      <c r="O21" s="131" t="n">
        <f aca="false">IF(OR($C21="",$B$2="",$D$2=0),0,IF(O$3&lt;0,0,N(INDEX('CURVA PREVISION'!$A$1:$KZ$3000,$C21,10+3*MIN(O$3,$D$2-1)))))</f>
        <v>0</v>
      </c>
      <c r="P21" s="131" t="n">
        <f aca="false">IF(OR($C21="",$B$2="",$D$2=0),0,IF(P$3&lt;0,0,N(INDEX('CURVA PREVISION'!$A$1:$KZ$3000,$C21,10+3*MIN(P$3,$D$2-1)))))</f>
        <v>0</v>
      </c>
      <c r="Q21" s="131" t="n">
        <f aca="false">IF(OR($C21="",$B$2="",$D$2=0),0,IF(Q$3&lt;0,0,N(INDEX('CURVA PREVISION'!$A$1:$KZ$3000,$C21,10+3*MIN(Q$3,$D$2-1)))))</f>
        <v>0</v>
      </c>
      <c r="R21" s="131" t="n">
        <f aca="false">IF(OR($C21="",$B$2="",$D$2=0),0,IF(R$3&lt;0,0,N(INDEX('CURVA PREVISION'!$A$1:$KZ$3000,$C21,10+3*MIN(R$3,$D$2-1)))))</f>
        <v>0</v>
      </c>
      <c r="S21" s="131" t="n">
        <f aca="false">IF(OR($C21="",$B$2="",$D$2=0),0,IF(S$3&lt;0,0,N(INDEX('CURVA PREVISION'!$A$1:$KZ$3000,$C21,10+3*MIN(S$3,$D$2-1)))))</f>
        <v>0</v>
      </c>
      <c r="T21" s="131" t="n">
        <f aca="false">IF(OR($C21="",$B$2="",$D$2=0),0,IF(T$3&lt;0,0,N(INDEX('CURVA PREVISION'!$A$1:$KZ$3000,$C21,10+3*MIN(T$3,$D$2-1)))))</f>
        <v>0</v>
      </c>
      <c r="U21" s="131" t="n">
        <f aca="false">IF(OR($C21="",$B$2="",$D$2=0),0,IF(U$3&lt;0,0,N(INDEX('CURVA PREVISION'!$A$1:$KZ$3000,$C21,10+3*MIN(U$3,$D$2-1)))))</f>
        <v>0</v>
      </c>
      <c r="V21" s="131" t="n">
        <f aca="false">IF(OR($C21="",$B$2="",$D$2=0),0,IF(V$3&lt;0,0,N(INDEX('CURVA PREVISION'!$A$1:$KZ$3000,$C21,10+3*MIN(V$3,$D$2-1)))))</f>
        <v>0.81</v>
      </c>
      <c r="W21" s="131" t="n">
        <f aca="false">IF(OR($C21="",$B$2="",$D$2=0),0,IF(W$3&lt;0,0,N(INDEX('CURVA PREVISION'!$A$1:$KZ$3000,$C21,10+3*MIN(W$3,$D$2-1)))))</f>
        <v>2.36</v>
      </c>
      <c r="X21" s="131" t="n">
        <f aca="false">IF(OR($C21="",$B$2="",$D$2=0),0,IF(X$3&lt;0,0,N(INDEX('CURVA PREVISION'!$A$1:$KZ$3000,$C21,10+3*MIN(X$3,$D$2-1)))))</f>
        <v>9.75</v>
      </c>
      <c r="Y21" s="131" t="n">
        <f aca="false">IF(OR($C21="",$B$2="",$D$2=0),0,IF(Y$3&lt;0,0,N(INDEX('CURVA PREVISION'!$A$1:$KZ$3000,$C21,10+3*MIN(Y$3,$D$2-1)))))</f>
        <v>14.82</v>
      </c>
      <c r="Z21" s="131" t="n">
        <f aca="false">IF(OR($C21="",$B$2="",$D$2=0),0,IF(Z$3&lt;0,0,N(INDEX('CURVA PREVISION'!$A$1:$KZ$3000,$C21,10+3*MIN(Z$3,$D$2-1)))))</f>
        <v>20.19</v>
      </c>
      <c r="AA21" s="131" t="n">
        <f aca="false">IF(OR($C21="",$B$2="",$D$2=0),0,IF(AA$3&lt;0,0,N(INDEX('CURVA PREVISION'!$A$1:$KZ$3000,$C21,10+3*MIN(AA$3,$D$2-1)))))</f>
        <v>25.29</v>
      </c>
      <c r="AB21" s="131" t="n">
        <f aca="false">IF(OR($C21="",$B$2="",$D$2=0),0,IF(AB$3&lt;0,0,N(INDEX('CURVA PREVISION'!$A$1:$KZ$3000,$C21,10+3*MIN(AB$3,$D$2-1)))))</f>
        <v>29.8</v>
      </c>
      <c r="AC21" s="131" t="n">
        <f aca="false">IF(OR($C21="",$B$2="",$D$2=0),0,IF(AC$3&lt;0,0,N(INDEX('CURVA PREVISION'!$A$1:$KZ$3000,$C21,10+3*MIN(AC$3,$D$2-1)))))</f>
        <v>36.05</v>
      </c>
      <c r="AD21" s="131" t="n">
        <f aca="false">IF(OR($C21="",$B$2="",$D$2=0),0,IF(AD$3&lt;0,0,N(INDEX('CURVA PREVISION'!$A$1:$KZ$3000,$C21,10+3*MIN(AD$3,$D$2-1)))))</f>
        <v>40.96</v>
      </c>
      <c r="AE21" s="131" t="n">
        <f aca="false">IF(OR($C21="",$B$2="",$D$2=0),0,IF(AE$3&lt;0,0,N(INDEX('CURVA PREVISION'!$A$1:$KZ$3000,$C21,10+3*MIN(AE$3,$D$2-1)))))</f>
        <v>46.13</v>
      </c>
      <c r="AF21" s="131" t="n">
        <f aca="false">IF(OR($C21="",$B$2="",$D$2=0),0,IF(AF$3&lt;0,0,N(INDEX('CURVA PREVISION'!$A$1:$KZ$3000,$C21,10+3*MIN(AF$3,$D$2-1)))))</f>
        <v>52.15</v>
      </c>
      <c r="AG21" s="131" t="n">
        <f aca="false">IF(OR($C21="",$B$2="",$D$2=0),0,IF(AG$3&lt;0,0,N(INDEX('CURVA PREVISION'!$A$1:$KZ$3000,$C21,10+3*MIN(AG$3,$D$2-1)))))</f>
        <v>58.09</v>
      </c>
      <c r="AH21" s="131" t="n">
        <f aca="false">IF(OR($C21="",$B$2="",$D$2=0),0,IF(AH$3&lt;0,0,N(INDEX('CURVA PREVISION'!$A$1:$KZ$3000,$C21,10+3*MIN(AH$3,$D$2-1)))))</f>
        <v>64.66</v>
      </c>
      <c r="AI21" s="131" t="n">
        <f aca="false">IF(OR($C21="",$B$2="",$D$2=0),0,IF(AI$3&lt;0,0,N(INDEX('CURVA PREVISION'!$A$1:$KZ$3000,$C21,10+3*MIN(AI$3,$D$2-1)))))</f>
        <v>70.45</v>
      </c>
      <c r="AJ21" s="131" t="n">
        <f aca="false">IF(OR($C21="",$B$2="",$D$2=0),0,IF(AJ$3&lt;0,0,N(INDEX('CURVA PREVISION'!$A$1:$KZ$3000,$C21,10+3*MIN(AJ$3,$D$2-1)))))</f>
        <v>76.94</v>
      </c>
      <c r="AK21" s="131" t="n">
        <f aca="false">IF(OR($C21="",$B$2="",$D$2=0),0,IF(AK$3&lt;0,0,N(INDEX('CURVA PREVISION'!$A$1:$KZ$3000,$C21,10+3*MIN(AK$3,$D$2-1)))))</f>
        <v>82.63</v>
      </c>
      <c r="AL21" s="131" t="n">
        <f aca="false">IF(OR($C21="",$B$2="",$D$2=0),0,IF(AL$3&lt;0,0,N(INDEX('CURVA PREVISION'!$A$1:$KZ$3000,$C21,10+3*MIN(AL$3,$D$2-1)))))</f>
        <v>88.36</v>
      </c>
      <c r="AM21" s="131" t="n">
        <f aca="false">IF(OR($C21="",$B$2="",$D$2=0),0,IF(AM$3&lt;0,0,N(INDEX('CURVA PREVISION'!$A$1:$KZ$3000,$C21,10+3*MIN(AM$3,$D$2-1)))))</f>
        <v>93.31</v>
      </c>
      <c r="AN21" s="131" t="n">
        <f aca="false">IF(OR($C21="",$B$2="",$D$2=0),0,IF(AN$3&lt;0,0,N(INDEX('CURVA PREVISION'!$A$1:$KZ$3000,$C21,10+3*MIN(AN$3,$D$2-1)))))</f>
        <v>96.62</v>
      </c>
      <c r="AO21" s="131" t="n">
        <f aca="false">IF(OR($C21="",$B$2="",$D$2=0),0,IF(AO$3&lt;0,0,N(INDEX('CURVA PREVISION'!$A$1:$KZ$3000,$C21,10+3*MIN(AO$3,$D$2-1)))))</f>
        <v>99.08</v>
      </c>
      <c r="AP21" s="131" t="n">
        <f aca="false">IF(OR($C21="",$B$2="",$D$2=0),0,IF(AP$3&lt;0,0,N(INDEX('CURVA PREVISION'!$A$1:$KZ$3000,$C21,10+3*MIN(AP$3,$D$2-1)))))</f>
        <v>100</v>
      </c>
      <c r="AQ21" s="131" t="n">
        <f aca="false">IF(OR($C21="",$B$2="",$D$2=0),0,IF(AQ$3&lt;0,0,N(INDEX('CURVA PREVISION'!$A$1:$KZ$3000,$C21,10+3*MIN(AQ$3,$D$2-1)))))</f>
        <v>100</v>
      </c>
      <c r="AR21" s="131" t="n">
        <f aca="false">IF(OR($C21="",$B$2="",$D$2=0),0,IF(AR$3&lt;0,0,N(INDEX('CURVA PREVISION'!$A$1:$KZ$3000,$C21,10+3*MIN(AR$3,$D$2-1)))))</f>
        <v>100</v>
      </c>
      <c r="AS21" s="131" t="n">
        <f aca="false">IF(OR($C21="",$B$2="",$D$2=0),0,IF(AS$3&lt;0,0,N(INDEX('CURVA PREVISION'!$A$1:$KZ$3000,$C21,10+3*MIN(AS$3,$D$2-1)))))</f>
        <v>100</v>
      </c>
      <c r="AT21" s="131" t="n">
        <f aca="false">IF(OR($C21="",$B$2="",$D$2=0),0,IF(AT$3&lt;0,0,N(INDEX('CURVA PREVISION'!$A$1:$KZ$3000,$C21,10+3*MIN(AT$3,$D$2-1)))))</f>
        <v>100</v>
      </c>
      <c r="AU21" s="131" t="n">
        <f aca="false">IF(OR($C21="",$B$2="",$D$2=0),0,IF(AU$3&lt;0,0,N(INDEX('CURVA PREVISION'!$A$1:$KZ$3000,$C21,10+3*MIN(AU$3,$D$2-1)))))</f>
        <v>100</v>
      </c>
      <c r="AV21" s="131" t="n">
        <f aca="false">IF(OR($C21="",$B$2="",$D$2=0),0,IF(AV$3&lt;0,0,N(INDEX('CURVA PREVISION'!$A$1:$KZ$3000,$C21,10+3*MIN(AV$3,$D$2-1)))))</f>
        <v>100</v>
      </c>
      <c r="AW21" s="131" t="n">
        <f aca="false">IF(OR($C21="",$B$2="",$D$2=0),0,IF(AW$3&lt;0,0,N(INDEX('CURVA PREVISION'!$A$1:$KZ$3000,$C21,10+3*MIN(AW$3,$D$2-1)))))</f>
        <v>100</v>
      </c>
      <c r="AX21" s="131" t="n">
        <f aca="false">IF(OR($C21="",$B$2="",$D$2=0),0,IF(AX$3&lt;0,0,N(INDEX('CURVA PREVISION'!$A$1:$KZ$3000,$C21,10+3*MIN(AX$3,$D$2-1)))))</f>
        <v>100</v>
      </c>
      <c r="AY21" s="131" t="n">
        <f aca="false">IF(OR($C21="",$B$2="",$D$2=0),0,IF(AY$3&lt;0,0,N(INDEX('CURVA PREVISION'!$A$1:$KZ$3000,$C21,10+3*MIN(AY$3,$D$2-1)))))</f>
        <v>100</v>
      </c>
      <c r="AZ21" s="131" t="n">
        <f aca="false">IF(OR($C21="",$B$2="",$D$2=0),0,IF(AZ$3&lt;0,0,N(INDEX('CURVA PREVISION'!$A$1:$KZ$3000,$C21,10+3*MIN(AZ$3,$D$2-1)))))</f>
        <v>100</v>
      </c>
      <c r="BA21" s="131" t="n">
        <f aca="false">IF(OR($C21="",$B$2="",$D$2=0),0,IF(BA$3&lt;0,0,N(INDEX('CURVA PREVISION'!$A$1:$KZ$3000,$C21,10+3*MIN(BA$3,$D$2-1)))))</f>
        <v>100</v>
      </c>
      <c r="BB21" s="131" t="n">
        <f aca="false">IF(OR($C21="",$B$2="",$D$2=0),0,IF(BB$3&lt;0,0,N(INDEX('CURVA PREVISION'!$A$1:$KZ$3000,$C21,10+3*MIN(BB$3,$D$2-1)))))</f>
        <v>100</v>
      </c>
      <c r="BC21" s="131" t="n">
        <f aca="false">IF(OR($C21="",$B$2="",$D$2=0),0,IF(BC$3&lt;0,0,N(INDEX('CURVA PREVISION'!$A$1:$KZ$3000,$C21,10+3*MIN(BC$3,$D$2-1)))))</f>
        <v>100</v>
      </c>
      <c r="BD21" s="131" t="n">
        <f aca="false">IF(OR($C21="",$B$2="",$D$2=0),0,IF(BD$3&lt;0,0,N(INDEX('CURVA PREVISION'!$A$1:$KZ$3000,$C21,10+3*MIN(BD$3,$D$2-1)))))</f>
        <v>100</v>
      </c>
      <c r="BE21" s="131" t="n">
        <f aca="false">IF(OR($C21="",$B$2="",$D$2=0),0,IF(BE$3&lt;0,0,N(INDEX('CURVA PREVISION'!$A$1:$KZ$3000,$C21,10+3*MIN(BE$3,$D$2-1)))))</f>
        <v>100</v>
      </c>
      <c r="BF21" s="131" t="n">
        <f aca="false">IF(OR($C21="",$B$2="",$D$2=0),0,IF(BF$3&lt;0,0,N(INDEX('CURVA PREVISION'!$A$1:$KZ$3000,$C21,10+3*MIN(BF$3,$D$2-1)))))</f>
        <v>100</v>
      </c>
      <c r="BG21" s="131" t="n">
        <f aca="false">IF(OR($C21="",$B$2="",$D$2=0),0,IF(BG$3&lt;0,0,N(INDEX('CURVA PREVISION'!$A$1:$KZ$3000,$C21,10+3*MIN(BG$3,$D$2-1)))))</f>
        <v>100</v>
      </c>
      <c r="BH21" s="131" t="n">
        <f aca="false">IF(OR($C21="",$B$2="",$D$2=0),0,IF(BH$3&lt;0,0,N(INDEX('CURVA PREVISION'!$A$1:$KZ$3000,$C21,10+3*MIN(BH$3,$D$2-1)))))</f>
        <v>100</v>
      </c>
      <c r="BI21" s="131" t="n">
        <f aca="false">IF(OR($C21="",$B$2="",$D$2=0),0,IF(BI$3&lt;0,0,N(INDEX('CURVA PREVISION'!$A$1:$KZ$3000,$C21,10+3*MIN(BI$3,$D$2-1)))))</f>
        <v>100</v>
      </c>
      <c r="BJ21" s="131" t="n">
        <f aca="false">IF(OR($C21="",$B$2="",$D$2=0),0,IF(BJ$3&lt;0,0,N(INDEX('CURVA PREVISION'!$A$1:$KZ$3000,$C21,10+3*MIN(BJ$3,$D$2-1)))))</f>
        <v>100</v>
      </c>
      <c r="BK21" s="131" t="n">
        <f aca="false">IF(OR($C21="",$B$2="",$D$2=0),0,IF(BK$3&lt;0,0,N(INDEX('CURVA PREVISION'!$A$1:$KZ$3000,$C21,10+3*MIN(BK$3,$D$2-1)))))</f>
        <v>100</v>
      </c>
      <c r="BL21" s="131" t="n">
        <f aca="false">IF(OR($C21="",$B$2="",$D$2=0),0,IF(BL$3&lt;0,0,N(INDEX('CURVA PREVISION'!$A$1:$KZ$3000,$C21,10+3*MIN(BL$3,$D$2-1)))))</f>
        <v>100</v>
      </c>
      <c r="BM21" s="131" t="n">
        <f aca="false">IF(OR($C21="",$B$2="",$D$2=0),0,IF(BM$3&lt;0,0,N(INDEX('CURVA PREVISION'!$A$1:$KZ$3000,$C21,10+3*MIN(BM$3,$D$2-1)))))</f>
        <v>100</v>
      </c>
      <c r="BN21" s="131" t="n">
        <f aca="false">IF(OR($C21="",$B$2="",$D$2=0),0,IF(BN$3&lt;0,0,N(INDEX('CURVA PREVISION'!$A$1:$KZ$3000,$C21,10+3*MIN(BN$3,$D$2-1)))))</f>
        <v>100</v>
      </c>
      <c r="BO21" s="131" t="n">
        <f aca="false">IF(OR($C21="",$B$2="",$D$2=0),0,IF(BO$3&lt;0,0,N(INDEX('CURVA PREVISION'!$A$1:$KZ$3000,$C21,10+3*MIN(BO$3,$D$2-1)))))</f>
        <v>100</v>
      </c>
      <c r="BP21" s="131" t="n">
        <f aca="false">IF(OR($C21="",$B$2="",$D$2=0),0,IF(BP$3&lt;0,0,N(INDEX('CURVA PREVISION'!$A$1:$KZ$3000,$C21,10+3*MIN(BP$3,$D$2-1)))))</f>
        <v>100</v>
      </c>
      <c r="BQ21" s="131" t="n">
        <f aca="false">IF(OR($C21="",$B$2="",$D$2=0),0,IF(BQ$3&lt;0,0,N(INDEX('CURVA PREVISION'!$A$1:$KZ$3000,$C21,10+3*MIN(BQ$3,$D$2-1)))))</f>
        <v>100</v>
      </c>
      <c r="BR21" s="131" t="n">
        <f aca="false">IF(OR($C21="",$B$2="",$D$2=0),0,IF(BR$3&lt;0,0,N(INDEX('CURVA PREVISION'!$A$1:$KZ$3000,$C21,10+3*MIN(BR$3,$D$2-1)))))</f>
        <v>100</v>
      </c>
      <c r="BS21" s="131" t="n">
        <f aca="false">IF(OR($C21="",$B$2="",$D$2=0),0,IF(BS$3&lt;0,0,N(INDEX('CURVA PREVISION'!$A$1:$KZ$3000,$C21,10+3*MIN(BS$3,$D$2-1)))))</f>
        <v>100</v>
      </c>
      <c r="BT21" s="131" t="n">
        <f aca="false">IF(OR($C21="",$B$2="",$D$2=0),0,IF(BT$3&lt;0,0,N(INDEX('CURVA PREVISION'!$A$1:$KZ$3000,$C21,10+3*MIN(BT$3,$D$2-1)))))</f>
        <v>100</v>
      </c>
      <c r="BU21" s="131" t="n">
        <f aca="false">IF(OR($C21="",$B$2="",$D$2=0),0,IF(BU$3&lt;0,0,N(INDEX('CURVA PREVISION'!$A$1:$KZ$3000,$C21,10+3*MIN(BU$3,$D$2-1)))))</f>
        <v>100</v>
      </c>
      <c r="BV21" s="131" t="n">
        <f aca="false">IF(OR($C21="",$B$2="",$D$2=0),0,IF(BV$3&lt;0,0,N(INDEX('CURVA PREVISION'!$A$1:$KZ$3000,$C21,10+3*MIN(BV$3,$D$2-1)))))</f>
        <v>100</v>
      </c>
      <c r="BW21" s="131" t="n">
        <f aca="false">IF(OR($C21="",$B$2="",$D$2=0),0,IF(BW$3&lt;0,0,N(INDEX('CURVA PREVISION'!$A$1:$KZ$3000,$C21,10+3*MIN(BW$3,$D$2-1)))))</f>
        <v>100</v>
      </c>
    </row>
    <row r="22" customFormat="false" ht="15" hidden="false" customHeight="false" outlineLevel="0" collapsed="false">
      <c r="A22" s="57" t="str">
        <f aca="false">IF('VALOR POR PL'!R28&lt;&gt;"",'VALOR POR PL'!R28,IF('VALOR POR PL'!Q28="",'VALOR POR PL'!C28,'VALOR POR PL'!Q28))</f>
        <v>18</v>
      </c>
      <c r="B22" s="57" t="str">
        <f aca="false">'VALOR POR PL'!D28</f>
        <v>ALVENARIA</v>
      </c>
      <c r="C22" s="64" t="n">
        <f aca="false">IFERROR(MATCH(A22,'CURVA PREVISION'!$B$1:$B$3000,0),"")</f>
        <v>357</v>
      </c>
      <c r="D22" s="131" t="n">
        <f aca="false">IF(OR($C22="",$B$2="",$D$2=0),0,IF(D$3&lt;0,0,N(INDEX('CURVA PREVISION'!$A$1:$KZ$3000,$C22,10+3*MIN(D$3,$D$2-1)))))</f>
        <v>0</v>
      </c>
      <c r="E22" s="131" t="n">
        <f aca="false">IF(OR($C22="",$B$2="",$D$2=0),0,IF(E$3&lt;0,0,N(INDEX('CURVA PREVISION'!$A$1:$KZ$3000,$C22,10+3*MIN(E$3,$D$2-1)))))</f>
        <v>0</v>
      </c>
      <c r="F22" s="131" t="n">
        <f aca="false">IF(OR($C22="",$B$2="",$D$2=0),0,IF(F$3&lt;0,0,N(INDEX('CURVA PREVISION'!$A$1:$KZ$3000,$C22,10+3*MIN(F$3,$D$2-1)))))</f>
        <v>0</v>
      </c>
      <c r="G22" s="131" t="n">
        <f aca="false">IF(OR($C22="",$B$2="",$D$2=0),0,IF(G$3&lt;0,0,N(INDEX('CURVA PREVISION'!$A$1:$KZ$3000,$C22,10+3*MIN(G$3,$D$2-1)))))</f>
        <v>0</v>
      </c>
      <c r="H22" s="131" t="n">
        <f aca="false">IF(OR($C22="",$B$2="",$D$2=0),0,IF(H$3&lt;0,0,N(INDEX('CURVA PREVISION'!$A$1:$KZ$3000,$C22,10+3*MIN(H$3,$D$2-1)))))</f>
        <v>0</v>
      </c>
      <c r="I22" s="131" t="n">
        <f aca="false">IF(OR($C22="",$B$2="",$D$2=0),0,IF(I$3&lt;0,0,N(INDEX('CURVA PREVISION'!$A$1:$KZ$3000,$C22,10+3*MIN(I$3,$D$2-1)))))</f>
        <v>0</v>
      </c>
      <c r="J22" s="131" t="n">
        <f aca="false">IF(OR($C22="",$B$2="",$D$2=0),0,IF(J$3&lt;0,0,N(INDEX('CURVA PREVISION'!$A$1:$KZ$3000,$C22,10+3*MIN(J$3,$D$2-1)))))</f>
        <v>0</v>
      </c>
      <c r="K22" s="131" t="n">
        <f aca="false">IF(OR($C22="",$B$2="",$D$2=0),0,IF(K$3&lt;0,0,N(INDEX('CURVA PREVISION'!$A$1:$KZ$3000,$C22,10+3*MIN(K$3,$D$2-1)))))</f>
        <v>0</v>
      </c>
      <c r="L22" s="131" t="n">
        <f aca="false">IF(OR($C22="",$B$2="",$D$2=0),0,IF(L$3&lt;0,0,N(INDEX('CURVA PREVISION'!$A$1:$KZ$3000,$C22,10+3*MIN(L$3,$D$2-1)))))</f>
        <v>0</v>
      </c>
      <c r="M22" s="131" t="n">
        <f aca="false">IF(OR($C22="",$B$2="",$D$2=0),0,IF(M$3&lt;0,0,N(INDEX('CURVA PREVISION'!$A$1:$KZ$3000,$C22,10+3*MIN(M$3,$D$2-1)))))</f>
        <v>0</v>
      </c>
      <c r="N22" s="131" t="n">
        <f aca="false">IF(OR($C22="",$B$2="",$D$2=0),0,IF(N$3&lt;0,0,N(INDEX('CURVA PREVISION'!$A$1:$KZ$3000,$C22,10+3*MIN(N$3,$D$2-1)))))</f>
        <v>0</v>
      </c>
      <c r="O22" s="131" t="n">
        <f aca="false">IF(OR($C22="",$B$2="",$D$2=0),0,IF(O$3&lt;0,0,N(INDEX('CURVA PREVISION'!$A$1:$KZ$3000,$C22,10+3*MIN(O$3,$D$2-1)))))</f>
        <v>0</v>
      </c>
      <c r="P22" s="131" t="n">
        <f aca="false">IF(OR($C22="",$B$2="",$D$2=0),0,IF(P$3&lt;0,0,N(INDEX('CURVA PREVISION'!$A$1:$KZ$3000,$C22,10+3*MIN(P$3,$D$2-1)))))</f>
        <v>0</v>
      </c>
      <c r="Q22" s="131" t="n">
        <f aca="false">IF(OR($C22="",$B$2="",$D$2=0),0,IF(Q$3&lt;0,0,N(INDEX('CURVA PREVISION'!$A$1:$KZ$3000,$C22,10+3*MIN(Q$3,$D$2-1)))))</f>
        <v>0</v>
      </c>
      <c r="R22" s="131" t="n">
        <f aca="false">IF(OR($C22="",$B$2="",$D$2=0),0,IF(R$3&lt;0,0,N(INDEX('CURVA PREVISION'!$A$1:$KZ$3000,$C22,10+3*MIN(R$3,$D$2-1)))))</f>
        <v>0</v>
      </c>
      <c r="S22" s="131" t="n">
        <f aca="false">IF(OR($C22="",$B$2="",$D$2=0),0,IF(S$3&lt;0,0,N(INDEX('CURVA PREVISION'!$A$1:$KZ$3000,$C22,10+3*MIN(S$3,$D$2-1)))))</f>
        <v>0</v>
      </c>
      <c r="T22" s="131" t="n">
        <f aca="false">IF(OR($C22="",$B$2="",$D$2=0),0,IF(T$3&lt;0,0,N(INDEX('CURVA PREVISION'!$A$1:$KZ$3000,$C22,10+3*MIN(T$3,$D$2-1)))))</f>
        <v>0</v>
      </c>
      <c r="U22" s="131" t="n">
        <f aca="false">IF(OR($C22="",$B$2="",$D$2=0),0,IF(U$3&lt;0,0,N(INDEX('CURVA PREVISION'!$A$1:$KZ$3000,$C22,10+3*MIN(U$3,$D$2-1)))))</f>
        <v>0</v>
      </c>
      <c r="V22" s="131" t="n">
        <f aca="false">IF(OR($C22="",$B$2="",$D$2=0),0,IF(V$3&lt;0,0,N(INDEX('CURVA PREVISION'!$A$1:$KZ$3000,$C22,10+3*MIN(V$3,$D$2-1)))))</f>
        <v>0</v>
      </c>
      <c r="W22" s="131" t="n">
        <f aca="false">IF(OR($C22="",$B$2="",$D$2=0),0,IF(W$3&lt;0,0,N(INDEX('CURVA PREVISION'!$A$1:$KZ$3000,$C22,10+3*MIN(W$3,$D$2-1)))))</f>
        <v>0</v>
      </c>
      <c r="X22" s="131" t="n">
        <f aca="false">IF(OR($C22="",$B$2="",$D$2=0),0,IF(X$3&lt;0,0,N(INDEX('CURVA PREVISION'!$A$1:$KZ$3000,$C22,10+3*MIN(X$3,$D$2-1)))))</f>
        <v>0</v>
      </c>
      <c r="Y22" s="131" t="n">
        <f aca="false">IF(OR($C22="",$B$2="",$D$2=0),0,IF(Y$3&lt;0,0,N(INDEX('CURVA PREVISION'!$A$1:$KZ$3000,$C22,10+3*MIN(Y$3,$D$2-1)))))</f>
        <v>0</v>
      </c>
      <c r="Z22" s="131" t="n">
        <f aca="false">IF(OR($C22="",$B$2="",$D$2=0),0,IF(Z$3&lt;0,0,N(INDEX('CURVA PREVISION'!$A$1:$KZ$3000,$C22,10+3*MIN(Z$3,$D$2-1)))))</f>
        <v>0</v>
      </c>
      <c r="AA22" s="131" t="n">
        <f aca="false">IF(OR($C22="",$B$2="",$D$2=0),0,IF(AA$3&lt;0,0,N(INDEX('CURVA PREVISION'!$A$1:$KZ$3000,$C22,10+3*MIN(AA$3,$D$2-1)))))</f>
        <v>0</v>
      </c>
      <c r="AB22" s="131" t="n">
        <f aca="false">IF(OR($C22="",$B$2="",$D$2=0),0,IF(AB$3&lt;0,0,N(INDEX('CURVA PREVISION'!$A$1:$KZ$3000,$C22,10+3*MIN(AB$3,$D$2-1)))))</f>
        <v>0</v>
      </c>
      <c r="AC22" s="131" t="n">
        <f aca="false">IF(OR($C22="",$B$2="",$D$2=0),0,IF(AC$3&lt;0,0,N(INDEX('CURVA PREVISION'!$A$1:$KZ$3000,$C22,10+3*MIN(AC$3,$D$2-1)))))</f>
        <v>0</v>
      </c>
      <c r="AD22" s="131" t="n">
        <f aca="false">IF(OR($C22="",$B$2="",$D$2=0),0,IF(AD$3&lt;0,0,N(INDEX('CURVA PREVISION'!$A$1:$KZ$3000,$C22,10+3*MIN(AD$3,$D$2-1)))))</f>
        <v>0</v>
      </c>
      <c r="AE22" s="131" t="n">
        <f aca="false">IF(OR($C22="",$B$2="",$D$2=0),0,IF(AE$3&lt;0,0,N(INDEX('CURVA PREVISION'!$A$1:$KZ$3000,$C22,10+3*MIN(AE$3,$D$2-1)))))</f>
        <v>1.11</v>
      </c>
      <c r="AF22" s="131" t="n">
        <f aca="false">IF(OR($C22="",$B$2="",$D$2=0),0,IF(AF$3&lt;0,0,N(INDEX('CURVA PREVISION'!$A$1:$KZ$3000,$C22,10+3*MIN(AF$3,$D$2-1)))))</f>
        <v>4.06</v>
      </c>
      <c r="AG22" s="131" t="n">
        <f aca="false">IF(OR($C22="",$B$2="",$D$2=0),0,IF(AG$3&lt;0,0,N(INDEX('CURVA PREVISION'!$A$1:$KZ$3000,$C22,10+3*MIN(AG$3,$D$2-1)))))</f>
        <v>8.82</v>
      </c>
      <c r="AH22" s="131" t="n">
        <f aca="false">IF(OR($C22="",$B$2="",$D$2=0),0,IF(AH$3&lt;0,0,N(INDEX('CURVA PREVISION'!$A$1:$KZ$3000,$C22,10+3*MIN(AH$3,$D$2-1)))))</f>
        <v>14.34</v>
      </c>
      <c r="AI22" s="131" t="n">
        <f aca="false">IF(OR($C22="",$B$2="",$D$2=0),0,IF(AI$3&lt;0,0,N(INDEX('CURVA PREVISION'!$A$1:$KZ$3000,$C22,10+3*MIN(AI$3,$D$2-1)))))</f>
        <v>20.52</v>
      </c>
      <c r="AJ22" s="131" t="n">
        <f aca="false">IF(OR($C22="",$B$2="",$D$2=0),0,IF(AJ$3&lt;0,0,N(INDEX('CURVA PREVISION'!$A$1:$KZ$3000,$C22,10+3*MIN(AJ$3,$D$2-1)))))</f>
        <v>29.11</v>
      </c>
      <c r="AK22" s="131" t="n">
        <f aca="false">IF(OR($C22="",$B$2="",$D$2=0),0,IF(AK$3&lt;0,0,N(INDEX('CURVA PREVISION'!$A$1:$KZ$3000,$C22,10+3*MIN(AK$3,$D$2-1)))))</f>
        <v>38.66</v>
      </c>
      <c r="AL22" s="131" t="n">
        <f aca="false">IF(OR($C22="",$B$2="",$D$2=0),0,IF(AL$3&lt;0,0,N(INDEX('CURVA PREVISION'!$A$1:$KZ$3000,$C22,10+3*MIN(AL$3,$D$2-1)))))</f>
        <v>49.17</v>
      </c>
      <c r="AM22" s="131" t="n">
        <f aca="false">IF(OR($C22="",$B$2="",$D$2=0),0,IF(AM$3&lt;0,0,N(INDEX('CURVA PREVISION'!$A$1:$KZ$3000,$C22,10+3*MIN(AM$3,$D$2-1)))))</f>
        <v>59.6</v>
      </c>
      <c r="AN22" s="131" t="n">
        <f aca="false">IF(OR($C22="",$B$2="",$D$2=0),0,IF(AN$3&lt;0,0,N(INDEX('CURVA PREVISION'!$A$1:$KZ$3000,$C22,10+3*MIN(AN$3,$D$2-1)))))</f>
        <v>66.84</v>
      </c>
      <c r="AO22" s="131" t="n">
        <f aca="false">IF(OR($C22="",$B$2="",$D$2=0),0,IF(AO$3&lt;0,0,N(INDEX('CURVA PREVISION'!$A$1:$KZ$3000,$C22,10+3*MIN(AO$3,$D$2-1)))))</f>
        <v>74.58</v>
      </c>
      <c r="AP22" s="131" t="n">
        <f aca="false">IF(OR($C22="",$B$2="",$D$2=0),0,IF(AP$3&lt;0,0,N(INDEX('CURVA PREVISION'!$A$1:$KZ$3000,$C22,10+3*MIN(AP$3,$D$2-1)))))</f>
        <v>82.5</v>
      </c>
      <c r="AQ22" s="131" t="n">
        <f aca="false">IF(OR($C22="",$B$2="",$D$2=0),0,IF(AQ$3&lt;0,0,N(INDEX('CURVA PREVISION'!$A$1:$KZ$3000,$C22,10+3*MIN(AQ$3,$D$2-1)))))</f>
        <v>88.86</v>
      </c>
      <c r="AR22" s="131" t="n">
        <f aca="false">IF(OR($C22="",$B$2="",$D$2=0),0,IF(AR$3&lt;0,0,N(INDEX('CURVA PREVISION'!$A$1:$KZ$3000,$C22,10+3*MIN(AR$3,$D$2-1)))))</f>
        <v>93.17</v>
      </c>
      <c r="AS22" s="131" t="n">
        <f aca="false">IF(OR($C22="",$B$2="",$D$2=0),0,IF(AS$3&lt;0,0,N(INDEX('CURVA PREVISION'!$A$1:$KZ$3000,$C22,10+3*MIN(AS$3,$D$2-1)))))</f>
        <v>96.93</v>
      </c>
      <c r="AT22" s="131" t="n">
        <f aca="false">IF(OR($C22="",$B$2="",$D$2=0),0,IF(AT$3&lt;0,0,N(INDEX('CURVA PREVISION'!$A$1:$KZ$3000,$C22,10+3*MIN(AT$3,$D$2-1)))))</f>
        <v>98.03</v>
      </c>
      <c r="AU22" s="131" t="n">
        <f aca="false">IF(OR($C22="",$B$2="",$D$2=0),0,IF(AU$3&lt;0,0,N(INDEX('CURVA PREVISION'!$A$1:$KZ$3000,$C22,10+3*MIN(AU$3,$D$2-1)))))</f>
        <v>99.02</v>
      </c>
      <c r="AV22" s="131" t="n">
        <f aca="false">IF(OR($C22="",$B$2="",$D$2=0),0,IF(AV$3&lt;0,0,N(INDEX('CURVA PREVISION'!$A$1:$KZ$3000,$C22,10+3*MIN(AV$3,$D$2-1)))))</f>
        <v>100</v>
      </c>
      <c r="AW22" s="131" t="n">
        <f aca="false">IF(OR($C22="",$B$2="",$D$2=0),0,IF(AW$3&lt;0,0,N(INDEX('CURVA PREVISION'!$A$1:$KZ$3000,$C22,10+3*MIN(AW$3,$D$2-1)))))</f>
        <v>100</v>
      </c>
      <c r="AX22" s="131" t="n">
        <f aca="false">IF(OR($C22="",$B$2="",$D$2=0),0,IF(AX$3&lt;0,0,N(INDEX('CURVA PREVISION'!$A$1:$KZ$3000,$C22,10+3*MIN(AX$3,$D$2-1)))))</f>
        <v>100</v>
      </c>
      <c r="AY22" s="131" t="n">
        <f aca="false">IF(OR($C22="",$B$2="",$D$2=0),0,IF(AY$3&lt;0,0,N(INDEX('CURVA PREVISION'!$A$1:$KZ$3000,$C22,10+3*MIN(AY$3,$D$2-1)))))</f>
        <v>100</v>
      </c>
      <c r="AZ22" s="131" t="n">
        <f aca="false">IF(OR($C22="",$B$2="",$D$2=0),0,IF(AZ$3&lt;0,0,N(INDEX('CURVA PREVISION'!$A$1:$KZ$3000,$C22,10+3*MIN(AZ$3,$D$2-1)))))</f>
        <v>100</v>
      </c>
      <c r="BA22" s="131" t="n">
        <f aca="false">IF(OR($C22="",$B$2="",$D$2=0),0,IF(BA$3&lt;0,0,N(INDEX('CURVA PREVISION'!$A$1:$KZ$3000,$C22,10+3*MIN(BA$3,$D$2-1)))))</f>
        <v>100</v>
      </c>
      <c r="BB22" s="131" t="n">
        <f aca="false">IF(OR($C22="",$B$2="",$D$2=0),0,IF(BB$3&lt;0,0,N(INDEX('CURVA PREVISION'!$A$1:$KZ$3000,$C22,10+3*MIN(BB$3,$D$2-1)))))</f>
        <v>100</v>
      </c>
      <c r="BC22" s="131" t="n">
        <f aca="false">IF(OR($C22="",$B$2="",$D$2=0),0,IF(BC$3&lt;0,0,N(INDEX('CURVA PREVISION'!$A$1:$KZ$3000,$C22,10+3*MIN(BC$3,$D$2-1)))))</f>
        <v>100</v>
      </c>
      <c r="BD22" s="131" t="n">
        <f aca="false">IF(OR($C22="",$B$2="",$D$2=0),0,IF(BD$3&lt;0,0,N(INDEX('CURVA PREVISION'!$A$1:$KZ$3000,$C22,10+3*MIN(BD$3,$D$2-1)))))</f>
        <v>100</v>
      </c>
      <c r="BE22" s="131" t="n">
        <f aca="false">IF(OR($C22="",$B$2="",$D$2=0),0,IF(BE$3&lt;0,0,N(INDEX('CURVA PREVISION'!$A$1:$KZ$3000,$C22,10+3*MIN(BE$3,$D$2-1)))))</f>
        <v>100</v>
      </c>
      <c r="BF22" s="131" t="n">
        <f aca="false">IF(OR($C22="",$B$2="",$D$2=0),0,IF(BF$3&lt;0,0,N(INDEX('CURVA PREVISION'!$A$1:$KZ$3000,$C22,10+3*MIN(BF$3,$D$2-1)))))</f>
        <v>100</v>
      </c>
      <c r="BG22" s="131" t="n">
        <f aca="false">IF(OR($C22="",$B$2="",$D$2=0),0,IF(BG$3&lt;0,0,N(INDEX('CURVA PREVISION'!$A$1:$KZ$3000,$C22,10+3*MIN(BG$3,$D$2-1)))))</f>
        <v>100</v>
      </c>
      <c r="BH22" s="131" t="n">
        <f aca="false">IF(OR($C22="",$B$2="",$D$2=0),0,IF(BH$3&lt;0,0,N(INDEX('CURVA PREVISION'!$A$1:$KZ$3000,$C22,10+3*MIN(BH$3,$D$2-1)))))</f>
        <v>100</v>
      </c>
      <c r="BI22" s="131" t="n">
        <f aca="false">IF(OR($C22="",$B$2="",$D$2=0),0,IF(BI$3&lt;0,0,N(INDEX('CURVA PREVISION'!$A$1:$KZ$3000,$C22,10+3*MIN(BI$3,$D$2-1)))))</f>
        <v>100</v>
      </c>
      <c r="BJ22" s="131" t="n">
        <f aca="false">IF(OR($C22="",$B$2="",$D$2=0),0,IF(BJ$3&lt;0,0,N(INDEX('CURVA PREVISION'!$A$1:$KZ$3000,$C22,10+3*MIN(BJ$3,$D$2-1)))))</f>
        <v>100</v>
      </c>
      <c r="BK22" s="131" t="n">
        <f aca="false">IF(OR($C22="",$B$2="",$D$2=0),0,IF(BK$3&lt;0,0,N(INDEX('CURVA PREVISION'!$A$1:$KZ$3000,$C22,10+3*MIN(BK$3,$D$2-1)))))</f>
        <v>100</v>
      </c>
      <c r="BL22" s="131" t="n">
        <f aca="false">IF(OR($C22="",$B$2="",$D$2=0),0,IF(BL$3&lt;0,0,N(INDEX('CURVA PREVISION'!$A$1:$KZ$3000,$C22,10+3*MIN(BL$3,$D$2-1)))))</f>
        <v>100</v>
      </c>
      <c r="BM22" s="131" t="n">
        <f aca="false">IF(OR($C22="",$B$2="",$D$2=0),0,IF(BM$3&lt;0,0,N(INDEX('CURVA PREVISION'!$A$1:$KZ$3000,$C22,10+3*MIN(BM$3,$D$2-1)))))</f>
        <v>100</v>
      </c>
      <c r="BN22" s="131" t="n">
        <f aca="false">IF(OR($C22="",$B$2="",$D$2=0),0,IF(BN$3&lt;0,0,N(INDEX('CURVA PREVISION'!$A$1:$KZ$3000,$C22,10+3*MIN(BN$3,$D$2-1)))))</f>
        <v>100</v>
      </c>
      <c r="BO22" s="131" t="n">
        <f aca="false">IF(OR($C22="",$B$2="",$D$2=0),0,IF(BO$3&lt;0,0,N(INDEX('CURVA PREVISION'!$A$1:$KZ$3000,$C22,10+3*MIN(BO$3,$D$2-1)))))</f>
        <v>100</v>
      </c>
      <c r="BP22" s="131" t="n">
        <f aca="false">IF(OR($C22="",$B$2="",$D$2=0),0,IF(BP$3&lt;0,0,N(INDEX('CURVA PREVISION'!$A$1:$KZ$3000,$C22,10+3*MIN(BP$3,$D$2-1)))))</f>
        <v>100</v>
      </c>
      <c r="BQ22" s="131" t="n">
        <f aca="false">IF(OR($C22="",$B$2="",$D$2=0),0,IF(BQ$3&lt;0,0,N(INDEX('CURVA PREVISION'!$A$1:$KZ$3000,$C22,10+3*MIN(BQ$3,$D$2-1)))))</f>
        <v>100</v>
      </c>
      <c r="BR22" s="131" t="n">
        <f aca="false">IF(OR($C22="",$B$2="",$D$2=0),0,IF(BR$3&lt;0,0,N(INDEX('CURVA PREVISION'!$A$1:$KZ$3000,$C22,10+3*MIN(BR$3,$D$2-1)))))</f>
        <v>100</v>
      </c>
      <c r="BS22" s="131" t="n">
        <f aca="false">IF(OR($C22="",$B$2="",$D$2=0),0,IF(BS$3&lt;0,0,N(INDEX('CURVA PREVISION'!$A$1:$KZ$3000,$C22,10+3*MIN(BS$3,$D$2-1)))))</f>
        <v>100</v>
      </c>
      <c r="BT22" s="131" t="n">
        <f aca="false">IF(OR($C22="",$B$2="",$D$2=0),0,IF(BT$3&lt;0,0,N(INDEX('CURVA PREVISION'!$A$1:$KZ$3000,$C22,10+3*MIN(BT$3,$D$2-1)))))</f>
        <v>100</v>
      </c>
      <c r="BU22" s="131" t="n">
        <f aca="false">IF(OR($C22="",$B$2="",$D$2=0),0,IF(BU$3&lt;0,0,N(INDEX('CURVA PREVISION'!$A$1:$KZ$3000,$C22,10+3*MIN(BU$3,$D$2-1)))))</f>
        <v>100</v>
      </c>
      <c r="BV22" s="131" t="n">
        <f aca="false">IF(OR($C22="",$B$2="",$D$2=0),0,IF(BV$3&lt;0,0,N(INDEX('CURVA PREVISION'!$A$1:$KZ$3000,$C22,10+3*MIN(BV$3,$D$2-1)))))</f>
        <v>100</v>
      </c>
      <c r="BW22" s="131" t="n">
        <f aca="false">IF(OR($C22="",$B$2="",$D$2=0),0,IF(BW$3&lt;0,0,N(INDEX('CURVA PREVISION'!$A$1:$KZ$3000,$C22,10+3*MIN(BW$3,$D$2-1)))))</f>
        <v>100</v>
      </c>
    </row>
    <row r="23" customFormat="false" ht="15" hidden="false" customHeight="false" outlineLevel="0" collapsed="false">
      <c r="A23" s="57" t="str">
        <f aca="false">IF('VALOR POR PL'!R29&lt;&gt;"",'VALOR POR PL'!R29,IF('VALOR POR PL'!Q29="",'VALOR POR PL'!C29,'VALOR POR PL'!Q29))</f>
        <v>19</v>
      </c>
      <c r="B23" s="57" t="str">
        <f aca="false">'VALOR POR PL'!D29</f>
        <v>IMPERMEABILIZAÇÃO</v>
      </c>
      <c r="C23" s="64" t="n">
        <f aca="false">IFERROR(MATCH(A23,'CURVA PREVISION'!$B$1:$B$3000,0),"")</f>
        <v>399</v>
      </c>
      <c r="D23" s="131" t="n">
        <f aca="false">IF(OR($C23="",$B$2="",$D$2=0),0,IF(D$3&lt;0,0,N(INDEX('CURVA PREVISION'!$A$1:$KZ$3000,$C23,10+3*MIN(D$3,$D$2-1)))))</f>
        <v>0</v>
      </c>
      <c r="E23" s="131" t="n">
        <f aca="false">IF(OR($C23="",$B$2="",$D$2=0),0,IF(E$3&lt;0,0,N(INDEX('CURVA PREVISION'!$A$1:$KZ$3000,$C23,10+3*MIN(E$3,$D$2-1)))))</f>
        <v>0</v>
      </c>
      <c r="F23" s="131" t="n">
        <f aca="false">IF(OR($C23="",$B$2="",$D$2=0),0,IF(F$3&lt;0,0,N(INDEX('CURVA PREVISION'!$A$1:$KZ$3000,$C23,10+3*MIN(F$3,$D$2-1)))))</f>
        <v>0</v>
      </c>
      <c r="G23" s="131" t="n">
        <f aca="false">IF(OR($C23="",$B$2="",$D$2=0),0,IF(G$3&lt;0,0,N(INDEX('CURVA PREVISION'!$A$1:$KZ$3000,$C23,10+3*MIN(G$3,$D$2-1)))))</f>
        <v>0</v>
      </c>
      <c r="H23" s="131" t="n">
        <f aca="false">IF(OR($C23="",$B$2="",$D$2=0),0,IF(H$3&lt;0,0,N(INDEX('CURVA PREVISION'!$A$1:$KZ$3000,$C23,10+3*MIN(H$3,$D$2-1)))))</f>
        <v>0</v>
      </c>
      <c r="I23" s="131" t="n">
        <f aca="false">IF(OR($C23="",$B$2="",$D$2=0),0,IF(I$3&lt;0,0,N(INDEX('CURVA PREVISION'!$A$1:$KZ$3000,$C23,10+3*MIN(I$3,$D$2-1)))))</f>
        <v>0</v>
      </c>
      <c r="J23" s="131" t="n">
        <f aca="false">IF(OR($C23="",$B$2="",$D$2=0),0,IF(J$3&lt;0,0,N(INDEX('CURVA PREVISION'!$A$1:$KZ$3000,$C23,10+3*MIN(J$3,$D$2-1)))))</f>
        <v>0</v>
      </c>
      <c r="K23" s="131" t="n">
        <f aca="false">IF(OR($C23="",$B$2="",$D$2=0),0,IF(K$3&lt;0,0,N(INDEX('CURVA PREVISION'!$A$1:$KZ$3000,$C23,10+3*MIN(K$3,$D$2-1)))))</f>
        <v>0</v>
      </c>
      <c r="L23" s="131" t="n">
        <f aca="false">IF(OR($C23="",$B$2="",$D$2=0),0,IF(L$3&lt;0,0,N(INDEX('CURVA PREVISION'!$A$1:$KZ$3000,$C23,10+3*MIN(L$3,$D$2-1)))))</f>
        <v>0</v>
      </c>
      <c r="M23" s="131" t="n">
        <f aca="false">IF(OR($C23="",$B$2="",$D$2=0),0,IF(M$3&lt;0,0,N(INDEX('CURVA PREVISION'!$A$1:$KZ$3000,$C23,10+3*MIN(M$3,$D$2-1)))))</f>
        <v>0</v>
      </c>
      <c r="N23" s="131" t="n">
        <f aca="false">IF(OR($C23="",$B$2="",$D$2=0),0,IF(N$3&lt;0,0,N(INDEX('CURVA PREVISION'!$A$1:$KZ$3000,$C23,10+3*MIN(N$3,$D$2-1)))))</f>
        <v>0</v>
      </c>
      <c r="O23" s="131" t="n">
        <f aca="false">IF(OR($C23="",$B$2="",$D$2=0),0,IF(O$3&lt;0,0,N(INDEX('CURVA PREVISION'!$A$1:$KZ$3000,$C23,10+3*MIN(O$3,$D$2-1)))))</f>
        <v>0</v>
      </c>
      <c r="P23" s="131" t="n">
        <f aca="false">IF(OR($C23="",$B$2="",$D$2=0),0,IF(P$3&lt;0,0,N(INDEX('CURVA PREVISION'!$A$1:$KZ$3000,$C23,10+3*MIN(P$3,$D$2-1)))))</f>
        <v>0</v>
      </c>
      <c r="Q23" s="131" t="n">
        <f aca="false">IF(OR($C23="",$B$2="",$D$2=0),0,IF(Q$3&lt;0,0,N(INDEX('CURVA PREVISION'!$A$1:$KZ$3000,$C23,10+3*MIN(Q$3,$D$2-1)))))</f>
        <v>0</v>
      </c>
      <c r="R23" s="131" t="n">
        <f aca="false">IF(OR($C23="",$B$2="",$D$2=0),0,IF(R$3&lt;0,0,N(INDEX('CURVA PREVISION'!$A$1:$KZ$3000,$C23,10+3*MIN(R$3,$D$2-1)))))</f>
        <v>0</v>
      </c>
      <c r="S23" s="131" t="n">
        <f aca="false">IF(OR($C23="",$B$2="",$D$2=0),0,IF(S$3&lt;0,0,N(INDEX('CURVA PREVISION'!$A$1:$KZ$3000,$C23,10+3*MIN(S$3,$D$2-1)))))</f>
        <v>0</v>
      </c>
      <c r="T23" s="131" t="n">
        <f aca="false">IF(OR($C23="",$B$2="",$D$2=0),0,IF(T$3&lt;0,0,N(INDEX('CURVA PREVISION'!$A$1:$KZ$3000,$C23,10+3*MIN(T$3,$D$2-1)))))</f>
        <v>0</v>
      </c>
      <c r="U23" s="131" t="n">
        <f aca="false">IF(OR($C23="",$B$2="",$D$2=0),0,IF(U$3&lt;0,0,N(INDEX('CURVA PREVISION'!$A$1:$KZ$3000,$C23,10+3*MIN(U$3,$D$2-1)))))</f>
        <v>0</v>
      </c>
      <c r="V23" s="131" t="n">
        <f aca="false">IF(OR($C23="",$B$2="",$D$2=0),0,IF(V$3&lt;0,0,N(INDEX('CURVA PREVISION'!$A$1:$KZ$3000,$C23,10+3*MIN(V$3,$D$2-1)))))</f>
        <v>0</v>
      </c>
      <c r="W23" s="131" t="n">
        <f aca="false">IF(OR($C23="",$B$2="",$D$2=0),0,IF(W$3&lt;0,0,N(INDEX('CURVA PREVISION'!$A$1:$KZ$3000,$C23,10+3*MIN(W$3,$D$2-1)))))</f>
        <v>0</v>
      </c>
      <c r="X23" s="131" t="n">
        <f aca="false">IF(OR($C23="",$B$2="",$D$2=0),0,IF(X$3&lt;0,0,N(INDEX('CURVA PREVISION'!$A$1:$KZ$3000,$C23,10+3*MIN(X$3,$D$2-1)))))</f>
        <v>0</v>
      </c>
      <c r="Y23" s="131" t="n">
        <f aca="false">IF(OR($C23="",$B$2="",$D$2=0),0,IF(Y$3&lt;0,0,N(INDEX('CURVA PREVISION'!$A$1:$KZ$3000,$C23,10+3*MIN(Y$3,$D$2-1)))))</f>
        <v>0</v>
      </c>
      <c r="Z23" s="131" t="n">
        <f aca="false">IF(OR($C23="",$B$2="",$D$2=0),0,IF(Z$3&lt;0,0,N(INDEX('CURVA PREVISION'!$A$1:$KZ$3000,$C23,10+3*MIN(Z$3,$D$2-1)))))</f>
        <v>0</v>
      </c>
      <c r="AA23" s="131" t="n">
        <f aca="false">IF(OR($C23="",$B$2="",$D$2=0),0,IF(AA$3&lt;0,0,N(INDEX('CURVA PREVISION'!$A$1:$KZ$3000,$C23,10+3*MIN(AA$3,$D$2-1)))))</f>
        <v>0</v>
      </c>
      <c r="AB23" s="131" t="n">
        <f aca="false">IF(OR($C23="",$B$2="",$D$2=0),0,IF(AB$3&lt;0,0,N(INDEX('CURVA PREVISION'!$A$1:$KZ$3000,$C23,10+3*MIN(AB$3,$D$2-1)))))</f>
        <v>0</v>
      </c>
      <c r="AC23" s="131" t="n">
        <f aca="false">IF(OR($C23="",$B$2="",$D$2=0),0,IF(AC$3&lt;0,0,N(INDEX('CURVA PREVISION'!$A$1:$KZ$3000,$C23,10+3*MIN(AC$3,$D$2-1)))))</f>
        <v>0</v>
      </c>
      <c r="AD23" s="131" t="n">
        <f aca="false">IF(OR($C23="",$B$2="",$D$2=0),0,IF(AD$3&lt;0,0,N(INDEX('CURVA PREVISION'!$A$1:$KZ$3000,$C23,10+3*MIN(AD$3,$D$2-1)))))</f>
        <v>0</v>
      </c>
      <c r="AE23" s="131" t="n">
        <f aca="false">IF(OR($C23="",$B$2="",$D$2=0),0,IF(AE$3&lt;0,0,N(INDEX('CURVA PREVISION'!$A$1:$KZ$3000,$C23,10+3*MIN(AE$3,$D$2-1)))))</f>
        <v>0</v>
      </c>
      <c r="AF23" s="131" t="n">
        <f aca="false">IF(OR($C23="",$B$2="",$D$2=0),0,IF(AF$3&lt;0,0,N(INDEX('CURVA PREVISION'!$A$1:$KZ$3000,$C23,10+3*MIN(AF$3,$D$2-1)))))</f>
        <v>0</v>
      </c>
      <c r="AG23" s="131" t="n">
        <f aca="false">IF(OR($C23="",$B$2="",$D$2=0),0,IF(AG$3&lt;0,0,N(INDEX('CURVA PREVISION'!$A$1:$KZ$3000,$C23,10+3*MIN(AG$3,$D$2-1)))))</f>
        <v>0</v>
      </c>
      <c r="AH23" s="131" t="n">
        <f aca="false">IF(OR($C23="",$B$2="",$D$2=0),0,IF(AH$3&lt;0,0,N(INDEX('CURVA PREVISION'!$A$1:$KZ$3000,$C23,10+3*MIN(AH$3,$D$2-1)))))</f>
        <v>0</v>
      </c>
      <c r="AI23" s="131" t="n">
        <f aca="false">IF(OR($C23="",$B$2="",$D$2=0),0,IF(AI$3&lt;0,0,N(INDEX('CURVA PREVISION'!$A$1:$KZ$3000,$C23,10+3*MIN(AI$3,$D$2-1)))))</f>
        <v>0</v>
      </c>
      <c r="AJ23" s="131" t="n">
        <f aca="false">IF(OR($C23="",$B$2="",$D$2=0),0,IF(AJ$3&lt;0,0,N(INDEX('CURVA PREVISION'!$A$1:$KZ$3000,$C23,10+3*MIN(AJ$3,$D$2-1)))))</f>
        <v>3.97</v>
      </c>
      <c r="AK23" s="131" t="n">
        <f aca="false">IF(OR($C23="",$B$2="",$D$2=0),0,IF(AK$3&lt;0,0,N(INDEX('CURVA PREVISION'!$A$1:$KZ$3000,$C23,10+3*MIN(AK$3,$D$2-1)))))</f>
        <v>9.52</v>
      </c>
      <c r="AL23" s="131" t="n">
        <f aca="false">IF(OR($C23="",$B$2="",$D$2=0),0,IF(AL$3&lt;0,0,N(INDEX('CURVA PREVISION'!$A$1:$KZ$3000,$C23,10+3*MIN(AL$3,$D$2-1)))))</f>
        <v>17.2</v>
      </c>
      <c r="AM23" s="131" t="n">
        <f aca="false">IF(OR($C23="",$B$2="",$D$2=0),0,IF(AM$3&lt;0,0,N(INDEX('CURVA PREVISION'!$A$1:$KZ$3000,$C23,10+3*MIN(AM$3,$D$2-1)))))</f>
        <v>24.87</v>
      </c>
      <c r="AN23" s="131" t="n">
        <f aca="false">IF(OR($C23="",$B$2="",$D$2=0),0,IF(AN$3&lt;0,0,N(INDEX('CURVA PREVISION'!$A$1:$KZ$3000,$C23,10+3*MIN(AN$3,$D$2-1)))))</f>
        <v>30.53</v>
      </c>
      <c r="AO23" s="131" t="n">
        <f aca="false">IF(OR($C23="",$B$2="",$D$2=0),0,IF(AO$3&lt;0,0,N(INDEX('CURVA PREVISION'!$A$1:$KZ$3000,$C23,10+3*MIN(AO$3,$D$2-1)))))</f>
        <v>37.04</v>
      </c>
      <c r="AP23" s="131" t="n">
        <f aca="false">IF(OR($C23="",$B$2="",$D$2=0),0,IF(AP$3&lt;0,0,N(INDEX('CURVA PREVISION'!$A$1:$KZ$3000,$C23,10+3*MIN(AP$3,$D$2-1)))))</f>
        <v>43.54</v>
      </c>
      <c r="AQ23" s="131" t="n">
        <f aca="false">IF(OR($C23="",$B$2="",$D$2=0),0,IF(AQ$3&lt;0,0,N(INDEX('CURVA PREVISION'!$A$1:$KZ$3000,$C23,10+3*MIN(AQ$3,$D$2-1)))))</f>
        <v>56.56</v>
      </c>
      <c r="AR23" s="131" t="n">
        <f aca="false">IF(OR($C23="",$B$2="",$D$2=0),0,IF(AR$3&lt;0,0,N(INDEX('CURVA PREVISION'!$A$1:$KZ$3000,$C23,10+3*MIN(AR$3,$D$2-1)))))</f>
        <v>65.38</v>
      </c>
      <c r="AS23" s="131" t="n">
        <f aca="false">IF(OR($C23="",$B$2="",$D$2=0),0,IF(AS$3&lt;0,0,N(INDEX('CURVA PREVISION'!$A$1:$KZ$3000,$C23,10+3*MIN(AS$3,$D$2-1)))))</f>
        <v>81.36</v>
      </c>
      <c r="AT23" s="131" t="n">
        <f aca="false">IF(OR($C23="",$B$2="",$D$2=0),0,IF(AT$3&lt;0,0,N(INDEX('CURVA PREVISION'!$A$1:$KZ$3000,$C23,10+3*MIN(AT$3,$D$2-1)))))</f>
        <v>94.76</v>
      </c>
      <c r="AU23" s="131" t="n">
        <f aca="false">IF(OR($C23="",$B$2="",$D$2=0),0,IF(AU$3&lt;0,0,N(INDEX('CURVA PREVISION'!$A$1:$KZ$3000,$C23,10+3*MIN(AU$3,$D$2-1)))))</f>
        <v>97.62</v>
      </c>
      <c r="AV23" s="131" t="n">
        <f aca="false">IF(OR($C23="",$B$2="",$D$2=0),0,IF(AV$3&lt;0,0,N(INDEX('CURVA PREVISION'!$A$1:$KZ$3000,$C23,10+3*MIN(AV$3,$D$2-1)))))</f>
        <v>99.74</v>
      </c>
      <c r="AW23" s="131" t="n">
        <f aca="false">IF(OR($C23="",$B$2="",$D$2=0),0,IF(AW$3&lt;0,0,N(INDEX('CURVA PREVISION'!$A$1:$KZ$3000,$C23,10+3*MIN(AW$3,$D$2-1)))))</f>
        <v>100</v>
      </c>
      <c r="AX23" s="131" t="n">
        <f aca="false">IF(OR($C23="",$B$2="",$D$2=0),0,IF(AX$3&lt;0,0,N(INDEX('CURVA PREVISION'!$A$1:$KZ$3000,$C23,10+3*MIN(AX$3,$D$2-1)))))</f>
        <v>100</v>
      </c>
      <c r="AY23" s="131" t="n">
        <f aca="false">IF(OR($C23="",$B$2="",$D$2=0),0,IF(AY$3&lt;0,0,N(INDEX('CURVA PREVISION'!$A$1:$KZ$3000,$C23,10+3*MIN(AY$3,$D$2-1)))))</f>
        <v>100</v>
      </c>
      <c r="AZ23" s="131" t="n">
        <f aca="false">IF(OR($C23="",$B$2="",$D$2=0),0,IF(AZ$3&lt;0,0,N(INDEX('CURVA PREVISION'!$A$1:$KZ$3000,$C23,10+3*MIN(AZ$3,$D$2-1)))))</f>
        <v>100</v>
      </c>
      <c r="BA23" s="131" t="n">
        <f aca="false">IF(OR($C23="",$B$2="",$D$2=0),0,IF(BA$3&lt;0,0,N(INDEX('CURVA PREVISION'!$A$1:$KZ$3000,$C23,10+3*MIN(BA$3,$D$2-1)))))</f>
        <v>100</v>
      </c>
      <c r="BB23" s="131" t="n">
        <f aca="false">IF(OR($C23="",$B$2="",$D$2=0),0,IF(BB$3&lt;0,0,N(INDEX('CURVA PREVISION'!$A$1:$KZ$3000,$C23,10+3*MIN(BB$3,$D$2-1)))))</f>
        <v>100</v>
      </c>
      <c r="BC23" s="131" t="n">
        <f aca="false">IF(OR($C23="",$B$2="",$D$2=0),0,IF(BC$3&lt;0,0,N(INDEX('CURVA PREVISION'!$A$1:$KZ$3000,$C23,10+3*MIN(BC$3,$D$2-1)))))</f>
        <v>100</v>
      </c>
      <c r="BD23" s="131" t="n">
        <f aca="false">IF(OR($C23="",$B$2="",$D$2=0),0,IF(BD$3&lt;0,0,N(INDEX('CURVA PREVISION'!$A$1:$KZ$3000,$C23,10+3*MIN(BD$3,$D$2-1)))))</f>
        <v>100</v>
      </c>
      <c r="BE23" s="131" t="n">
        <f aca="false">IF(OR($C23="",$B$2="",$D$2=0),0,IF(BE$3&lt;0,0,N(INDEX('CURVA PREVISION'!$A$1:$KZ$3000,$C23,10+3*MIN(BE$3,$D$2-1)))))</f>
        <v>100</v>
      </c>
      <c r="BF23" s="131" t="n">
        <f aca="false">IF(OR($C23="",$B$2="",$D$2=0),0,IF(BF$3&lt;0,0,N(INDEX('CURVA PREVISION'!$A$1:$KZ$3000,$C23,10+3*MIN(BF$3,$D$2-1)))))</f>
        <v>100</v>
      </c>
      <c r="BG23" s="131" t="n">
        <f aca="false">IF(OR($C23="",$B$2="",$D$2=0),0,IF(BG$3&lt;0,0,N(INDEX('CURVA PREVISION'!$A$1:$KZ$3000,$C23,10+3*MIN(BG$3,$D$2-1)))))</f>
        <v>100</v>
      </c>
      <c r="BH23" s="131" t="n">
        <f aca="false">IF(OR($C23="",$B$2="",$D$2=0),0,IF(BH$3&lt;0,0,N(INDEX('CURVA PREVISION'!$A$1:$KZ$3000,$C23,10+3*MIN(BH$3,$D$2-1)))))</f>
        <v>100</v>
      </c>
      <c r="BI23" s="131" t="n">
        <f aca="false">IF(OR($C23="",$B$2="",$D$2=0),0,IF(BI$3&lt;0,0,N(INDEX('CURVA PREVISION'!$A$1:$KZ$3000,$C23,10+3*MIN(BI$3,$D$2-1)))))</f>
        <v>100</v>
      </c>
      <c r="BJ23" s="131" t="n">
        <f aca="false">IF(OR($C23="",$B$2="",$D$2=0),0,IF(BJ$3&lt;0,0,N(INDEX('CURVA PREVISION'!$A$1:$KZ$3000,$C23,10+3*MIN(BJ$3,$D$2-1)))))</f>
        <v>100</v>
      </c>
      <c r="BK23" s="131" t="n">
        <f aca="false">IF(OR($C23="",$B$2="",$D$2=0),0,IF(BK$3&lt;0,0,N(INDEX('CURVA PREVISION'!$A$1:$KZ$3000,$C23,10+3*MIN(BK$3,$D$2-1)))))</f>
        <v>100</v>
      </c>
      <c r="BL23" s="131" t="n">
        <f aca="false">IF(OR($C23="",$B$2="",$D$2=0),0,IF(BL$3&lt;0,0,N(INDEX('CURVA PREVISION'!$A$1:$KZ$3000,$C23,10+3*MIN(BL$3,$D$2-1)))))</f>
        <v>100</v>
      </c>
      <c r="BM23" s="131" t="n">
        <f aca="false">IF(OR($C23="",$B$2="",$D$2=0),0,IF(BM$3&lt;0,0,N(INDEX('CURVA PREVISION'!$A$1:$KZ$3000,$C23,10+3*MIN(BM$3,$D$2-1)))))</f>
        <v>100</v>
      </c>
      <c r="BN23" s="131" t="n">
        <f aca="false">IF(OR($C23="",$B$2="",$D$2=0),0,IF(BN$3&lt;0,0,N(INDEX('CURVA PREVISION'!$A$1:$KZ$3000,$C23,10+3*MIN(BN$3,$D$2-1)))))</f>
        <v>100</v>
      </c>
      <c r="BO23" s="131" t="n">
        <f aca="false">IF(OR($C23="",$B$2="",$D$2=0),0,IF(BO$3&lt;0,0,N(INDEX('CURVA PREVISION'!$A$1:$KZ$3000,$C23,10+3*MIN(BO$3,$D$2-1)))))</f>
        <v>100</v>
      </c>
      <c r="BP23" s="131" t="n">
        <f aca="false">IF(OR($C23="",$B$2="",$D$2=0),0,IF(BP$3&lt;0,0,N(INDEX('CURVA PREVISION'!$A$1:$KZ$3000,$C23,10+3*MIN(BP$3,$D$2-1)))))</f>
        <v>100</v>
      </c>
      <c r="BQ23" s="131" t="n">
        <f aca="false">IF(OR($C23="",$B$2="",$D$2=0),0,IF(BQ$3&lt;0,0,N(INDEX('CURVA PREVISION'!$A$1:$KZ$3000,$C23,10+3*MIN(BQ$3,$D$2-1)))))</f>
        <v>100</v>
      </c>
      <c r="BR23" s="131" t="n">
        <f aca="false">IF(OR($C23="",$B$2="",$D$2=0),0,IF(BR$3&lt;0,0,N(INDEX('CURVA PREVISION'!$A$1:$KZ$3000,$C23,10+3*MIN(BR$3,$D$2-1)))))</f>
        <v>100</v>
      </c>
      <c r="BS23" s="131" t="n">
        <f aca="false">IF(OR($C23="",$B$2="",$D$2=0),0,IF(BS$3&lt;0,0,N(INDEX('CURVA PREVISION'!$A$1:$KZ$3000,$C23,10+3*MIN(BS$3,$D$2-1)))))</f>
        <v>100</v>
      </c>
      <c r="BT23" s="131" t="n">
        <f aca="false">IF(OR($C23="",$B$2="",$D$2=0),0,IF(BT$3&lt;0,0,N(INDEX('CURVA PREVISION'!$A$1:$KZ$3000,$C23,10+3*MIN(BT$3,$D$2-1)))))</f>
        <v>100</v>
      </c>
      <c r="BU23" s="131" t="n">
        <f aca="false">IF(OR($C23="",$B$2="",$D$2=0),0,IF(BU$3&lt;0,0,N(INDEX('CURVA PREVISION'!$A$1:$KZ$3000,$C23,10+3*MIN(BU$3,$D$2-1)))))</f>
        <v>100</v>
      </c>
      <c r="BV23" s="131" t="n">
        <f aca="false">IF(OR($C23="",$B$2="",$D$2=0),0,IF(BV$3&lt;0,0,N(INDEX('CURVA PREVISION'!$A$1:$KZ$3000,$C23,10+3*MIN(BV$3,$D$2-1)))))</f>
        <v>100</v>
      </c>
      <c r="BW23" s="131" t="n">
        <f aca="false">IF(OR($C23="",$B$2="",$D$2=0),0,IF(BW$3&lt;0,0,N(INDEX('CURVA PREVISION'!$A$1:$KZ$3000,$C23,10+3*MIN(BW$3,$D$2-1)))))</f>
        <v>100</v>
      </c>
    </row>
    <row r="24" customFormat="false" ht="15" hidden="false" customHeight="false" outlineLevel="0" collapsed="false">
      <c r="A24" s="57" t="str">
        <f aca="false">IF('VALOR POR PL'!R30&lt;&gt;"",'VALOR POR PL'!R30,IF('VALOR POR PL'!Q30="",'VALOR POR PL'!C30,'VALOR POR PL'!Q30))</f>
        <v>20</v>
      </c>
      <c r="B24" s="57" t="str">
        <f aca="false">'VALOR POR PL'!D30</f>
        <v>INSTALAÇÕES ELÉTRICAS</v>
      </c>
      <c r="C24" s="64" t="n">
        <f aca="false">IFERROR(MATCH(A24,'CURVA PREVISION'!$B$1:$B$3000,0),"")</f>
        <v>478</v>
      </c>
      <c r="D24" s="131" t="n">
        <f aca="false">IF(OR($C24="",$B$2="",$D$2=0),0,IF(D$3&lt;0,0,N(INDEX('CURVA PREVISION'!$A$1:$KZ$3000,$C24,10+3*MIN(D$3,$D$2-1)))))</f>
        <v>0</v>
      </c>
      <c r="E24" s="131" t="n">
        <f aca="false">IF(OR($C24="",$B$2="",$D$2=0),0,IF(E$3&lt;0,0,N(INDEX('CURVA PREVISION'!$A$1:$KZ$3000,$C24,10+3*MIN(E$3,$D$2-1)))))</f>
        <v>0</v>
      </c>
      <c r="F24" s="131" t="n">
        <f aca="false">IF(OR($C24="",$B$2="",$D$2=0),0,IF(F$3&lt;0,0,N(INDEX('CURVA PREVISION'!$A$1:$KZ$3000,$C24,10+3*MIN(F$3,$D$2-1)))))</f>
        <v>0</v>
      </c>
      <c r="G24" s="131" t="n">
        <f aca="false">IF(OR($C24="",$B$2="",$D$2=0),0,IF(G$3&lt;0,0,N(INDEX('CURVA PREVISION'!$A$1:$KZ$3000,$C24,10+3*MIN(G$3,$D$2-1)))))</f>
        <v>0</v>
      </c>
      <c r="H24" s="131" t="n">
        <f aca="false">IF(OR($C24="",$B$2="",$D$2=0),0,IF(H$3&lt;0,0,N(INDEX('CURVA PREVISION'!$A$1:$KZ$3000,$C24,10+3*MIN(H$3,$D$2-1)))))</f>
        <v>0</v>
      </c>
      <c r="I24" s="131" t="n">
        <f aca="false">IF(OR($C24="",$B$2="",$D$2=0),0,IF(I$3&lt;0,0,N(INDEX('CURVA PREVISION'!$A$1:$KZ$3000,$C24,10+3*MIN(I$3,$D$2-1)))))</f>
        <v>0</v>
      </c>
      <c r="J24" s="131" t="n">
        <f aca="false">IF(OR($C24="",$B$2="",$D$2=0),0,IF(J$3&lt;0,0,N(INDEX('CURVA PREVISION'!$A$1:$KZ$3000,$C24,10+3*MIN(J$3,$D$2-1)))))</f>
        <v>0</v>
      </c>
      <c r="K24" s="131" t="n">
        <f aca="false">IF(OR($C24="",$B$2="",$D$2=0),0,IF(K$3&lt;0,0,N(INDEX('CURVA PREVISION'!$A$1:$KZ$3000,$C24,10+3*MIN(K$3,$D$2-1)))))</f>
        <v>0</v>
      </c>
      <c r="L24" s="131" t="n">
        <f aca="false">IF(OR($C24="",$B$2="",$D$2=0),0,IF(L$3&lt;0,0,N(INDEX('CURVA PREVISION'!$A$1:$KZ$3000,$C24,10+3*MIN(L$3,$D$2-1)))))</f>
        <v>0</v>
      </c>
      <c r="M24" s="131" t="n">
        <f aca="false">IF(OR($C24="",$B$2="",$D$2=0),0,IF(M$3&lt;0,0,N(INDEX('CURVA PREVISION'!$A$1:$KZ$3000,$C24,10+3*MIN(M$3,$D$2-1)))))</f>
        <v>0</v>
      </c>
      <c r="N24" s="131" t="n">
        <f aca="false">IF(OR($C24="",$B$2="",$D$2=0),0,IF(N$3&lt;0,0,N(INDEX('CURVA PREVISION'!$A$1:$KZ$3000,$C24,10+3*MIN(N$3,$D$2-1)))))</f>
        <v>0</v>
      </c>
      <c r="O24" s="131" t="n">
        <f aca="false">IF(OR($C24="",$B$2="",$D$2=0),0,IF(O$3&lt;0,0,N(INDEX('CURVA PREVISION'!$A$1:$KZ$3000,$C24,10+3*MIN(O$3,$D$2-1)))))</f>
        <v>0</v>
      </c>
      <c r="P24" s="131" t="n">
        <f aca="false">IF(OR($C24="",$B$2="",$D$2=0),0,IF(P$3&lt;0,0,N(INDEX('CURVA PREVISION'!$A$1:$KZ$3000,$C24,10+3*MIN(P$3,$D$2-1)))))</f>
        <v>0</v>
      </c>
      <c r="Q24" s="131" t="n">
        <f aca="false">IF(OR($C24="",$B$2="",$D$2=0),0,IF(Q$3&lt;0,0,N(INDEX('CURVA PREVISION'!$A$1:$KZ$3000,$C24,10+3*MIN(Q$3,$D$2-1)))))</f>
        <v>0</v>
      </c>
      <c r="R24" s="131" t="n">
        <f aca="false">IF(OR($C24="",$B$2="",$D$2=0),0,IF(R$3&lt;0,0,N(INDEX('CURVA PREVISION'!$A$1:$KZ$3000,$C24,10+3*MIN(R$3,$D$2-1)))))</f>
        <v>0</v>
      </c>
      <c r="S24" s="131" t="n">
        <f aca="false">IF(OR($C24="",$B$2="",$D$2=0),0,IF(S$3&lt;0,0,N(INDEX('CURVA PREVISION'!$A$1:$KZ$3000,$C24,10+3*MIN(S$3,$D$2-1)))))</f>
        <v>0</v>
      </c>
      <c r="T24" s="131" t="n">
        <f aca="false">IF(OR($C24="",$B$2="",$D$2=0),0,IF(T$3&lt;0,0,N(INDEX('CURVA PREVISION'!$A$1:$KZ$3000,$C24,10+3*MIN(T$3,$D$2-1)))))</f>
        <v>0</v>
      </c>
      <c r="U24" s="131" t="n">
        <f aca="false">IF(OR($C24="",$B$2="",$D$2=0),0,IF(U$3&lt;0,0,N(INDEX('CURVA PREVISION'!$A$1:$KZ$3000,$C24,10+3*MIN(U$3,$D$2-1)))))</f>
        <v>0</v>
      </c>
      <c r="V24" s="131" t="n">
        <f aca="false">IF(OR($C24="",$B$2="",$D$2=0),0,IF(V$3&lt;0,0,N(INDEX('CURVA PREVISION'!$A$1:$KZ$3000,$C24,10+3*MIN(V$3,$D$2-1)))))</f>
        <v>0</v>
      </c>
      <c r="W24" s="131" t="n">
        <f aca="false">IF(OR($C24="",$B$2="",$D$2=0),0,IF(W$3&lt;0,0,N(INDEX('CURVA PREVISION'!$A$1:$KZ$3000,$C24,10+3*MIN(W$3,$D$2-1)))))</f>
        <v>0</v>
      </c>
      <c r="X24" s="131" t="n">
        <f aca="false">IF(OR($C24="",$B$2="",$D$2=0),0,IF(X$3&lt;0,0,N(INDEX('CURVA PREVISION'!$A$1:$KZ$3000,$C24,10+3*MIN(X$3,$D$2-1)))))</f>
        <v>0</v>
      </c>
      <c r="Y24" s="131" t="n">
        <f aca="false">IF(OR($C24="",$B$2="",$D$2=0),0,IF(Y$3&lt;0,0,N(INDEX('CURVA PREVISION'!$A$1:$KZ$3000,$C24,10+3*MIN(Y$3,$D$2-1)))))</f>
        <v>0</v>
      </c>
      <c r="Z24" s="131" t="n">
        <f aca="false">IF(OR($C24="",$B$2="",$D$2=0),0,IF(Z$3&lt;0,0,N(INDEX('CURVA PREVISION'!$A$1:$KZ$3000,$C24,10+3*MIN(Z$3,$D$2-1)))))</f>
        <v>0</v>
      </c>
      <c r="AA24" s="131" t="n">
        <f aca="false">IF(OR($C24="",$B$2="",$D$2=0),0,IF(AA$3&lt;0,0,N(INDEX('CURVA PREVISION'!$A$1:$KZ$3000,$C24,10+3*MIN(AA$3,$D$2-1)))))</f>
        <v>0</v>
      </c>
      <c r="AB24" s="131" t="n">
        <f aca="false">IF(OR($C24="",$B$2="",$D$2=0),0,IF(AB$3&lt;0,0,N(INDEX('CURVA PREVISION'!$A$1:$KZ$3000,$C24,10+3*MIN(AB$3,$D$2-1)))))</f>
        <v>0</v>
      </c>
      <c r="AC24" s="131" t="n">
        <f aca="false">IF(OR($C24="",$B$2="",$D$2=0),0,IF(AC$3&lt;0,0,N(INDEX('CURVA PREVISION'!$A$1:$KZ$3000,$C24,10+3*MIN(AC$3,$D$2-1)))))</f>
        <v>2.78</v>
      </c>
      <c r="AD24" s="131" t="n">
        <f aca="false">IF(OR($C24="",$B$2="",$D$2=0),0,IF(AD$3&lt;0,0,N(INDEX('CURVA PREVISION'!$A$1:$KZ$3000,$C24,10+3*MIN(AD$3,$D$2-1)))))</f>
        <v>4.17</v>
      </c>
      <c r="AE24" s="131" t="n">
        <f aca="false">IF(OR($C24="",$B$2="",$D$2=0),0,IF(AE$3&lt;0,0,N(INDEX('CURVA PREVISION'!$A$1:$KZ$3000,$C24,10+3*MIN(AE$3,$D$2-1)))))</f>
        <v>4.17</v>
      </c>
      <c r="AF24" s="131" t="n">
        <f aca="false">IF(OR($C24="",$B$2="",$D$2=0),0,IF(AF$3&lt;0,0,N(INDEX('CURVA PREVISION'!$A$1:$KZ$3000,$C24,10+3*MIN(AF$3,$D$2-1)))))</f>
        <v>4.22</v>
      </c>
      <c r="AG24" s="131" t="n">
        <f aca="false">IF(OR($C24="",$B$2="",$D$2=0),0,IF(AG$3&lt;0,0,N(INDEX('CURVA PREVISION'!$A$1:$KZ$3000,$C24,10+3*MIN(AG$3,$D$2-1)))))</f>
        <v>5.36</v>
      </c>
      <c r="AH24" s="131" t="n">
        <f aca="false">IF(OR($C24="",$B$2="",$D$2=0),0,IF(AH$3&lt;0,0,N(INDEX('CURVA PREVISION'!$A$1:$KZ$3000,$C24,10+3*MIN(AH$3,$D$2-1)))))</f>
        <v>6.88</v>
      </c>
      <c r="AI24" s="131" t="n">
        <f aca="false">IF(OR($C24="",$B$2="",$D$2=0),0,IF(AI$3&lt;0,0,N(INDEX('CURVA PREVISION'!$A$1:$KZ$3000,$C24,10+3*MIN(AI$3,$D$2-1)))))</f>
        <v>10.34</v>
      </c>
      <c r="AJ24" s="131" t="n">
        <f aca="false">IF(OR($C24="",$B$2="",$D$2=0),0,IF(AJ$3&lt;0,0,N(INDEX('CURVA PREVISION'!$A$1:$KZ$3000,$C24,10+3*MIN(AJ$3,$D$2-1)))))</f>
        <v>13.32</v>
      </c>
      <c r="AK24" s="131" t="n">
        <f aca="false">IF(OR($C24="",$B$2="",$D$2=0),0,IF(AK$3&lt;0,0,N(INDEX('CURVA PREVISION'!$A$1:$KZ$3000,$C24,10+3*MIN(AK$3,$D$2-1)))))</f>
        <v>15.84</v>
      </c>
      <c r="AL24" s="131" t="n">
        <f aca="false">IF(OR($C24="",$B$2="",$D$2=0),0,IF(AL$3&lt;0,0,N(INDEX('CURVA PREVISION'!$A$1:$KZ$3000,$C24,10+3*MIN(AL$3,$D$2-1)))))</f>
        <v>20.04</v>
      </c>
      <c r="AM24" s="131" t="n">
        <f aca="false">IF(OR($C24="",$B$2="",$D$2=0),0,IF(AM$3&lt;0,0,N(INDEX('CURVA PREVISION'!$A$1:$KZ$3000,$C24,10+3*MIN(AM$3,$D$2-1)))))</f>
        <v>26.14</v>
      </c>
      <c r="AN24" s="131" t="n">
        <f aca="false">IF(OR($C24="",$B$2="",$D$2=0),0,IF(AN$3&lt;0,0,N(INDEX('CURVA PREVISION'!$A$1:$KZ$3000,$C24,10+3*MIN(AN$3,$D$2-1)))))</f>
        <v>30.26</v>
      </c>
      <c r="AO24" s="131" t="n">
        <f aca="false">IF(OR($C24="",$B$2="",$D$2=0),0,IF(AO$3&lt;0,0,N(INDEX('CURVA PREVISION'!$A$1:$KZ$3000,$C24,10+3*MIN(AO$3,$D$2-1)))))</f>
        <v>39.29</v>
      </c>
      <c r="AP24" s="131" t="n">
        <f aca="false">IF(OR($C24="",$B$2="",$D$2=0),0,IF(AP$3&lt;0,0,N(INDEX('CURVA PREVISION'!$A$1:$KZ$3000,$C24,10+3*MIN(AP$3,$D$2-1)))))</f>
        <v>49.99</v>
      </c>
      <c r="AQ24" s="131" t="n">
        <f aca="false">IF(OR($C24="",$B$2="",$D$2=0),0,IF(AQ$3&lt;0,0,N(INDEX('CURVA PREVISION'!$A$1:$KZ$3000,$C24,10+3*MIN(AQ$3,$D$2-1)))))</f>
        <v>56.15</v>
      </c>
      <c r="AR24" s="131" t="n">
        <f aca="false">IF(OR($C24="",$B$2="",$D$2=0),0,IF(AR$3&lt;0,0,N(INDEX('CURVA PREVISION'!$A$1:$KZ$3000,$C24,10+3*MIN(AR$3,$D$2-1)))))</f>
        <v>59.98</v>
      </c>
      <c r="AS24" s="131" t="n">
        <f aca="false">IF(OR($C24="",$B$2="",$D$2=0),0,IF(AS$3&lt;0,0,N(INDEX('CURVA PREVISION'!$A$1:$KZ$3000,$C24,10+3*MIN(AS$3,$D$2-1)))))</f>
        <v>69.23</v>
      </c>
      <c r="AT24" s="131" t="n">
        <f aca="false">IF(OR($C24="",$B$2="",$D$2=0),0,IF(AT$3&lt;0,0,N(INDEX('CURVA PREVISION'!$A$1:$KZ$3000,$C24,10+3*MIN(AT$3,$D$2-1)))))</f>
        <v>74.53</v>
      </c>
      <c r="AU24" s="131" t="n">
        <f aca="false">IF(OR($C24="",$B$2="",$D$2=0),0,IF(AU$3&lt;0,0,N(INDEX('CURVA PREVISION'!$A$1:$KZ$3000,$C24,10+3*MIN(AU$3,$D$2-1)))))</f>
        <v>78.92</v>
      </c>
      <c r="AV24" s="131" t="n">
        <f aca="false">IF(OR($C24="",$B$2="",$D$2=0),0,IF(AV$3&lt;0,0,N(INDEX('CURVA PREVISION'!$A$1:$KZ$3000,$C24,10+3*MIN(AV$3,$D$2-1)))))</f>
        <v>84.83</v>
      </c>
      <c r="AW24" s="131" t="n">
        <f aca="false">IF(OR($C24="",$B$2="",$D$2=0),0,IF(AW$3&lt;0,0,N(INDEX('CURVA PREVISION'!$A$1:$KZ$3000,$C24,10+3*MIN(AW$3,$D$2-1)))))</f>
        <v>87.3</v>
      </c>
      <c r="AX24" s="131" t="n">
        <f aca="false">IF(OR($C24="",$B$2="",$D$2=0),0,IF(AX$3&lt;0,0,N(INDEX('CURVA PREVISION'!$A$1:$KZ$3000,$C24,10+3*MIN(AX$3,$D$2-1)))))</f>
        <v>91.31</v>
      </c>
      <c r="AY24" s="131" t="n">
        <f aca="false">IF(OR($C24="",$B$2="",$D$2=0),0,IF(AY$3&lt;0,0,N(INDEX('CURVA PREVISION'!$A$1:$KZ$3000,$C24,10+3*MIN(AY$3,$D$2-1)))))</f>
        <v>93.1</v>
      </c>
      <c r="AZ24" s="131" t="n">
        <f aca="false">IF(OR($C24="",$B$2="",$D$2=0),0,IF(AZ$3&lt;0,0,N(INDEX('CURVA PREVISION'!$A$1:$KZ$3000,$C24,10+3*MIN(AZ$3,$D$2-1)))))</f>
        <v>94.68</v>
      </c>
      <c r="BA24" s="131" t="n">
        <f aca="false">IF(OR($C24="",$B$2="",$D$2=0),0,IF(BA$3&lt;0,0,N(INDEX('CURVA PREVISION'!$A$1:$KZ$3000,$C24,10+3*MIN(BA$3,$D$2-1)))))</f>
        <v>97.6</v>
      </c>
      <c r="BB24" s="131" t="n">
        <f aca="false">IF(OR($C24="",$B$2="",$D$2=0),0,IF(BB$3&lt;0,0,N(INDEX('CURVA PREVISION'!$A$1:$KZ$3000,$C24,10+3*MIN(BB$3,$D$2-1)))))</f>
        <v>99.91</v>
      </c>
      <c r="BC24" s="131" t="n">
        <f aca="false">IF(OR($C24="",$B$2="",$D$2=0),0,IF(BC$3&lt;0,0,N(INDEX('CURVA PREVISION'!$A$1:$KZ$3000,$C24,10+3*MIN(BC$3,$D$2-1)))))</f>
        <v>100</v>
      </c>
      <c r="BD24" s="131" t="n">
        <f aca="false">IF(OR($C24="",$B$2="",$D$2=0),0,IF(BD$3&lt;0,0,N(INDEX('CURVA PREVISION'!$A$1:$KZ$3000,$C24,10+3*MIN(BD$3,$D$2-1)))))</f>
        <v>100</v>
      </c>
      <c r="BE24" s="131" t="n">
        <f aca="false">IF(OR($C24="",$B$2="",$D$2=0),0,IF(BE$3&lt;0,0,N(INDEX('CURVA PREVISION'!$A$1:$KZ$3000,$C24,10+3*MIN(BE$3,$D$2-1)))))</f>
        <v>100</v>
      </c>
      <c r="BF24" s="131" t="n">
        <f aca="false">IF(OR($C24="",$B$2="",$D$2=0),0,IF(BF$3&lt;0,0,N(INDEX('CURVA PREVISION'!$A$1:$KZ$3000,$C24,10+3*MIN(BF$3,$D$2-1)))))</f>
        <v>100</v>
      </c>
      <c r="BG24" s="131" t="n">
        <f aca="false">IF(OR($C24="",$B$2="",$D$2=0),0,IF(BG$3&lt;0,0,N(INDEX('CURVA PREVISION'!$A$1:$KZ$3000,$C24,10+3*MIN(BG$3,$D$2-1)))))</f>
        <v>100</v>
      </c>
      <c r="BH24" s="131" t="n">
        <f aca="false">IF(OR($C24="",$B$2="",$D$2=0),0,IF(BH$3&lt;0,0,N(INDEX('CURVA PREVISION'!$A$1:$KZ$3000,$C24,10+3*MIN(BH$3,$D$2-1)))))</f>
        <v>100</v>
      </c>
      <c r="BI24" s="131" t="n">
        <f aca="false">IF(OR($C24="",$B$2="",$D$2=0),0,IF(BI$3&lt;0,0,N(INDEX('CURVA PREVISION'!$A$1:$KZ$3000,$C24,10+3*MIN(BI$3,$D$2-1)))))</f>
        <v>100</v>
      </c>
      <c r="BJ24" s="131" t="n">
        <f aca="false">IF(OR($C24="",$B$2="",$D$2=0),0,IF(BJ$3&lt;0,0,N(INDEX('CURVA PREVISION'!$A$1:$KZ$3000,$C24,10+3*MIN(BJ$3,$D$2-1)))))</f>
        <v>100</v>
      </c>
      <c r="BK24" s="131" t="n">
        <f aca="false">IF(OR($C24="",$B$2="",$D$2=0),0,IF(BK$3&lt;0,0,N(INDEX('CURVA PREVISION'!$A$1:$KZ$3000,$C24,10+3*MIN(BK$3,$D$2-1)))))</f>
        <v>100</v>
      </c>
      <c r="BL24" s="131" t="n">
        <f aca="false">IF(OR($C24="",$B$2="",$D$2=0),0,IF(BL$3&lt;0,0,N(INDEX('CURVA PREVISION'!$A$1:$KZ$3000,$C24,10+3*MIN(BL$3,$D$2-1)))))</f>
        <v>100</v>
      </c>
      <c r="BM24" s="131" t="n">
        <f aca="false">IF(OR($C24="",$B$2="",$D$2=0),0,IF(BM$3&lt;0,0,N(INDEX('CURVA PREVISION'!$A$1:$KZ$3000,$C24,10+3*MIN(BM$3,$D$2-1)))))</f>
        <v>100</v>
      </c>
      <c r="BN24" s="131" t="n">
        <f aca="false">IF(OR($C24="",$B$2="",$D$2=0),0,IF(BN$3&lt;0,0,N(INDEX('CURVA PREVISION'!$A$1:$KZ$3000,$C24,10+3*MIN(BN$3,$D$2-1)))))</f>
        <v>100</v>
      </c>
      <c r="BO24" s="131" t="n">
        <f aca="false">IF(OR($C24="",$B$2="",$D$2=0),0,IF(BO$3&lt;0,0,N(INDEX('CURVA PREVISION'!$A$1:$KZ$3000,$C24,10+3*MIN(BO$3,$D$2-1)))))</f>
        <v>100</v>
      </c>
      <c r="BP24" s="131" t="n">
        <f aca="false">IF(OR($C24="",$B$2="",$D$2=0),0,IF(BP$3&lt;0,0,N(INDEX('CURVA PREVISION'!$A$1:$KZ$3000,$C24,10+3*MIN(BP$3,$D$2-1)))))</f>
        <v>100</v>
      </c>
      <c r="BQ24" s="131" t="n">
        <f aca="false">IF(OR($C24="",$B$2="",$D$2=0),0,IF(BQ$3&lt;0,0,N(INDEX('CURVA PREVISION'!$A$1:$KZ$3000,$C24,10+3*MIN(BQ$3,$D$2-1)))))</f>
        <v>100</v>
      </c>
      <c r="BR24" s="131" t="n">
        <f aca="false">IF(OR($C24="",$B$2="",$D$2=0),0,IF(BR$3&lt;0,0,N(INDEX('CURVA PREVISION'!$A$1:$KZ$3000,$C24,10+3*MIN(BR$3,$D$2-1)))))</f>
        <v>100</v>
      </c>
      <c r="BS24" s="131" t="n">
        <f aca="false">IF(OR($C24="",$B$2="",$D$2=0),0,IF(BS$3&lt;0,0,N(INDEX('CURVA PREVISION'!$A$1:$KZ$3000,$C24,10+3*MIN(BS$3,$D$2-1)))))</f>
        <v>100</v>
      </c>
      <c r="BT24" s="131" t="n">
        <f aca="false">IF(OR($C24="",$B$2="",$D$2=0),0,IF(BT$3&lt;0,0,N(INDEX('CURVA PREVISION'!$A$1:$KZ$3000,$C24,10+3*MIN(BT$3,$D$2-1)))))</f>
        <v>100</v>
      </c>
      <c r="BU24" s="131" t="n">
        <f aca="false">IF(OR($C24="",$B$2="",$D$2=0),0,IF(BU$3&lt;0,0,N(INDEX('CURVA PREVISION'!$A$1:$KZ$3000,$C24,10+3*MIN(BU$3,$D$2-1)))))</f>
        <v>100</v>
      </c>
      <c r="BV24" s="131" t="n">
        <f aca="false">IF(OR($C24="",$B$2="",$D$2=0),0,IF(BV$3&lt;0,0,N(INDEX('CURVA PREVISION'!$A$1:$KZ$3000,$C24,10+3*MIN(BV$3,$D$2-1)))))</f>
        <v>100</v>
      </c>
      <c r="BW24" s="131" t="n">
        <f aca="false">IF(OR($C24="",$B$2="",$D$2=0),0,IF(BW$3&lt;0,0,N(INDEX('CURVA PREVISION'!$A$1:$KZ$3000,$C24,10+3*MIN(BW$3,$D$2-1)))))</f>
        <v>100</v>
      </c>
    </row>
    <row r="25" customFormat="false" ht="15" hidden="false" customHeight="false" outlineLevel="0" collapsed="false">
      <c r="A25" s="57" t="str">
        <f aca="false">IF('VALOR POR PL'!R31&lt;&gt;"",'VALOR POR PL'!R31,IF('VALOR POR PL'!Q31="",'VALOR POR PL'!C31,'VALOR POR PL'!Q31))</f>
        <v>21</v>
      </c>
      <c r="B25" s="57" t="str">
        <f aca="false">'VALOR POR PL'!D31</f>
        <v>INSTALAÇÕES HIDROSANITÁRIAS</v>
      </c>
      <c r="C25" s="64" t="n">
        <f aca="false">IFERROR(MATCH(A25,'CURVA PREVISION'!$B$1:$B$3000,0),"")</f>
        <v>500</v>
      </c>
      <c r="D25" s="131" t="n">
        <f aca="false">IF(OR($C25="",$B$2="",$D$2=0),0,IF(D$3&lt;0,0,N(INDEX('CURVA PREVISION'!$A$1:$KZ$3000,$C25,10+3*MIN(D$3,$D$2-1)))))</f>
        <v>0</v>
      </c>
      <c r="E25" s="131" t="n">
        <f aca="false">IF(OR($C25="",$B$2="",$D$2=0),0,IF(E$3&lt;0,0,N(INDEX('CURVA PREVISION'!$A$1:$KZ$3000,$C25,10+3*MIN(E$3,$D$2-1)))))</f>
        <v>0</v>
      </c>
      <c r="F25" s="131" t="n">
        <f aca="false">IF(OR($C25="",$B$2="",$D$2=0),0,IF(F$3&lt;0,0,N(INDEX('CURVA PREVISION'!$A$1:$KZ$3000,$C25,10+3*MIN(F$3,$D$2-1)))))</f>
        <v>0</v>
      </c>
      <c r="G25" s="131" t="n">
        <f aca="false">IF(OR($C25="",$B$2="",$D$2=0),0,IF(G$3&lt;0,0,N(INDEX('CURVA PREVISION'!$A$1:$KZ$3000,$C25,10+3*MIN(G$3,$D$2-1)))))</f>
        <v>0</v>
      </c>
      <c r="H25" s="131" t="n">
        <f aca="false">IF(OR($C25="",$B$2="",$D$2=0),0,IF(H$3&lt;0,0,N(INDEX('CURVA PREVISION'!$A$1:$KZ$3000,$C25,10+3*MIN(H$3,$D$2-1)))))</f>
        <v>0</v>
      </c>
      <c r="I25" s="131" t="n">
        <f aca="false">IF(OR($C25="",$B$2="",$D$2=0),0,IF(I$3&lt;0,0,N(INDEX('CURVA PREVISION'!$A$1:$KZ$3000,$C25,10+3*MIN(I$3,$D$2-1)))))</f>
        <v>0</v>
      </c>
      <c r="J25" s="131" t="n">
        <f aca="false">IF(OR($C25="",$B$2="",$D$2=0),0,IF(J$3&lt;0,0,N(INDEX('CURVA PREVISION'!$A$1:$KZ$3000,$C25,10+3*MIN(J$3,$D$2-1)))))</f>
        <v>0</v>
      </c>
      <c r="K25" s="131" t="n">
        <f aca="false">IF(OR($C25="",$B$2="",$D$2=0),0,IF(K$3&lt;0,0,N(INDEX('CURVA PREVISION'!$A$1:$KZ$3000,$C25,10+3*MIN(K$3,$D$2-1)))))</f>
        <v>0</v>
      </c>
      <c r="L25" s="131" t="n">
        <f aca="false">IF(OR($C25="",$B$2="",$D$2=0),0,IF(L$3&lt;0,0,N(INDEX('CURVA PREVISION'!$A$1:$KZ$3000,$C25,10+3*MIN(L$3,$D$2-1)))))</f>
        <v>0</v>
      </c>
      <c r="M25" s="131" t="n">
        <f aca="false">IF(OR($C25="",$B$2="",$D$2=0),0,IF(M$3&lt;0,0,N(INDEX('CURVA PREVISION'!$A$1:$KZ$3000,$C25,10+3*MIN(M$3,$D$2-1)))))</f>
        <v>0</v>
      </c>
      <c r="N25" s="131" t="n">
        <f aca="false">IF(OR($C25="",$B$2="",$D$2=0),0,IF(N$3&lt;0,0,N(INDEX('CURVA PREVISION'!$A$1:$KZ$3000,$C25,10+3*MIN(N$3,$D$2-1)))))</f>
        <v>0</v>
      </c>
      <c r="O25" s="131" t="n">
        <f aca="false">IF(OR($C25="",$B$2="",$D$2=0),0,IF(O$3&lt;0,0,N(INDEX('CURVA PREVISION'!$A$1:$KZ$3000,$C25,10+3*MIN(O$3,$D$2-1)))))</f>
        <v>0</v>
      </c>
      <c r="P25" s="131" t="n">
        <f aca="false">IF(OR($C25="",$B$2="",$D$2=0),0,IF(P$3&lt;0,0,N(INDEX('CURVA PREVISION'!$A$1:$KZ$3000,$C25,10+3*MIN(P$3,$D$2-1)))))</f>
        <v>0</v>
      </c>
      <c r="Q25" s="131" t="n">
        <f aca="false">IF(OR($C25="",$B$2="",$D$2=0),0,IF(Q$3&lt;0,0,N(INDEX('CURVA PREVISION'!$A$1:$KZ$3000,$C25,10+3*MIN(Q$3,$D$2-1)))))</f>
        <v>0</v>
      </c>
      <c r="R25" s="131" t="n">
        <f aca="false">IF(OR($C25="",$B$2="",$D$2=0),0,IF(R$3&lt;0,0,N(INDEX('CURVA PREVISION'!$A$1:$KZ$3000,$C25,10+3*MIN(R$3,$D$2-1)))))</f>
        <v>0</v>
      </c>
      <c r="S25" s="131" t="n">
        <f aca="false">IF(OR($C25="",$B$2="",$D$2=0),0,IF(S$3&lt;0,0,N(INDEX('CURVA PREVISION'!$A$1:$KZ$3000,$C25,10+3*MIN(S$3,$D$2-1)))))</f>
        <v>0</v>
      </c>
      <c r="T25" s="131" t="n">
        <f aca="false">IF(OR($C25="",$B$2="",$D$2=0),0,IF(T$3&lt;0,0,N(INDEX('CURVA PREVISION'!$A$1:$KZ$3000,$C25,10+3*MIN(T$3,$D$2-1)))))</f>
        <v>0</v>
      </c>
      <c r="U25" s="131" t="n">
        <f aca="false">IF(OR($C25="",$B$2="",$D$2=0),0,IF(U$3&lt;0,0,N(INDEX('CURVA PREVISION'!$A$1:$KZ$3000,$C25,10+3*MIN(U$3,$D$2-1)))))</f>
        <v>0</v>
      </c>
      <c r="V25" s="131" t="n">
        <f aca="false">IF(OR($C25="",$B$2="",$D$2=0),0,IF(V$3&lt;0,0,N(INDEX('CURVA PREVISION'!$A$1:$KZ$3000,$C25,10+3*MIN(V$3,$D$2-1)))))</f>
        <v>0</v>
      </c>
      <c r="W25" s="131" t="n">
        <f aca="false">IF(OR($C25="",$B$2="",$D$2=0),0,IF(W$3&lt;0,0,N(INDEX('CURVA PREVISION'!$A$1:$KZ$3000,$C25,10+3*MIN(W$3,$D$2-1)))))</f>
        <v>0</v>
      </c>
      <c r="X25" s="131" t="n">
        <f aca="false">IF(OR($C25="",$B$2="",$D$2=0),0,IF(X$3&lt;0,0,N(INDEX('CURVA PREVISION'!$A$1:$KZ$3000,$C25,10+3*MIN(X$3,$D$2-1)))))</f>
        <v>0</v>
      </c>
      <c r="Y25" s="131" t="n">
        <f aca="false">IF(OR($C25="",$B$2="",$D$2=0),0,IF(Y$3&lt;0,0,N(INDEX('CURVA PREVISION'!$A$1:$KZ$3000,$C25,10+3*MIN(Y$3,$D$2-1)))))</f>
        <v>0</v>
      </c>
      <c r="Z25" s="131" t="n">
        <f aca="false">IF(OR($C25="",$B$2="",$D$2=0),0,IF(Z$3&lt;0,0,N(INDEX('CURVA PREVISION'!$A$1:$KZ$3000,$C25,10+3*MIN(Z$3,$D$2-1)))))</f>
        <v>0</v>
      </c>
      <c r="AA25" s="131" t="n">
        <f aca="false">IF(OR($C25="",$B$2="",$D$2=0),0,IF(AA$3&lt;0,0,N(INDEX('CURVA PREVISION'!$A$1:$KZ$3000,$C25,10+3*MIN(AA$3,$D$2-1)))))</f>
        <v>0</v>
      </c>
      <c r="AB25" s="131" t="n">
        <f aca="false">IF(OR($C25="",$B$2="",$D$2=0),0,IF(AB$3&lt;0,0,N(INDEX('CURVA PREVISION'!$A$1:$KZ$3000,$C25,10+3*MIN(AB$3,$D$2-1)))))</f>
        <v>0</v>
      </c>
      <c r="AC25" s="131" t="n">
        <f aca="false">IF(OR($C25="",$B$2="",$D$2=0),0,IF(AC$3&lt;0,0,N(INDEX('CURVA PREVISION'!$A$1:$KZ$3000,$C25,10+3*MIN(AC$3,$D$2-1)))))</f>
        <v>10.58</v>
      </c>
      <c r="AD25" s="131" t="n">
        <f aca="false">IF(OR($C25="",$B$2="",$D$2=0),0,IF(AD$3&lt;0,0,N(INDEX('CURVA PREVISION'!$A$1:$KZ$3000,$C25,10+3*MIN(AD$3,$D$2-1)))))</f>
        <v>14.11</v>
      </c>
      <c r="AE25" s="131" t="n">
        <f aca="false">IF(OR($C25="",$B$2="",$D$2=0),0,IF(AE$3&lt;0,0,N(INDEX('CURVA PREVISION'!$A$1:$KZ$3000,$C25,10+3*MIN(AE$3,$D$2-1)))))</f>
        <v>14.11</v>
      </c>
      <c r="AF25" s="131" t="n">
        <f aca="false">IF(OR($C25="",$B$2="",$D$2=0),0,IF(AF$3&lt;0,0,N(INDEX('CURVA PREVISION'!$A$1:$KZ$3000,$C25,10+3*MIN(AF$3,$D$2-1)))))</f>
        <v>14.99</v>
      </c>
      <c r="AG25" s="131" t="n">
        <f aca="false">IF(OR($C25="",$B$2="",$D$2=0),0,IF(AG$3&lt;0,0,N(INDEX('CURVA PREVISION'!$A$1:$KZ$3000,$C25,10+3*MIN(AG$3,$D$2-1)))))</f>
        <v>20.09</v>
      </c>
      <c r="AH25" s="131" t="n">
        <f aca="false">IF(OR($C25="",$B$2="",$D$2=0),0,IF(AH$3&lt;0,0,N(INDEX('CURVA PREVISION'!$A$1:$KZ$3000,$C25,10+3*MIN(AH$3,$D$2-1)))))</f>
        <v>25.71</v>
      </c>
      <c r="AI25" s="131" t="n">
        <f aca="false">IF(OR($C25="",$B$2="",$D$2=0),0,IF(AI$3&lt;0,0,N(INDEX('CURVA PREVISION'!$A$1:$KZ$3000,$C25,10+3*MIN(AI$3,$D$2-1)))))</f>
        <v>31.52</v>
      </c>
      <c r="AJ25" s="131" t="n">
        <f aca="false">IF(OR($C25="",$B$2="",$D$2=0),0,IF(AJ$3&lt;0,0,N(INDEX('CURVA PREVISION'!$A$1:$KZ$3000,$C25,10+3*MIN(AJ$3,$D$2-1)))))</f>
        <v>37.47</v>
      </c>
      <c r="AK25" s="131" t="n">
        <f aca="false">IF(OR($C25="",$B$2="",$D$2=0),0,IF(AK$3&lt;0,0,N(INDEX('CURVA PREVISION'!$A$1:$KZ$3000,$C25,10+3*MIN(AK$3,$D$2-1)))))</f>
        <v>43.29</v>
      </c>
      <c r="AL25" s="131" t="n">
        <f aca="false">IF(OR($C25="",$B$2="",$D$2=0),0,IF(AL$3&lt;0,0,N(INDEX('CURVA PREVISION'!$A$1:$KZ$3000,$C25,10+3*MIN(AL$3,$D$2-1)))))</f>
        <v>51.98</v>
      </c>
      <c r="AM25" s="131" t="n">
        <f aca="false">IF(OR($C25="",$B$2="",$D$2=0),0,IF(AM$3&lt;0,0,N(INDEX('CURVA PREVISION'!$A$1:$KZ$3000,$C25,10+3*MIN(AM$3,$D$2-1)))))</f>
        <v>60.16</v>
      </c>
      <c r="AN25" s="131" t="n">
        <f aca="false">IF(OR($C25="",$B$2="",$D$2=0),0,IF(AN$3&lt;0,0,N(INDEX('CURVA PREVISION'!$A$1:$KZ$3000,$C25,10+3*MIN(AN$3,$D$2-1)))))</f>
        <v>65.07</v>
      </c>
      <c r="AO25" s="131" t="n">
        <f aca="false">IF(OR($C25="",$B$2="",$D$2=0),0,IF(AO$3&lt;0,0,N(INDEX('CURVA PREVISION'!$A$1:$KZ$3000,$C25,10+3*MIN(AO$3,$D$2-1)))))</f>
        <v>71.19</v>
      </c>
      <c r="AP25" s="131" t="n">
        <f aca="false">IF(OR($C25="",$B$2="",$D$2=0),0,IF(AP$3&lt;0,0,N(INDEX('CURVA PREVISION'!$A$1:$KZ$3000,$C25,10+3*MIN(AP$3,$D$2-1)))))</f>
        <v>76.79</v>
      </c>
      <c r="AQ25" s="131" t="n">
        <f aca="false">IF(OR($C25="",$B$2="",$D$2=0),0,IF(AQ$3&lt;0,0,N(INDEX('CURVA PREVISION'!$A$1:$KZ$3000,$C25,10+3*MIN(AQ$3,$D$2-1)))))</f>
        <v>80.38</v>
      </c>
      <c r="AR25" s="131" t="n">
        <f aca="false">IF(OR($C25="",$B$2="",$D$2=0),0,IF(AR$3&lt;0,0,N(INDEX('CURVA PREVISION'!$A$1:$KZ$3000,$C25,10+3*MIN(AR$3,$D$2-1)))))</f>
        <v>84.42</v>
      </c>
      <c r="AS25" s="131" t="n">
        <f aca="false">IF(OR($C25="",$B$2="",$D$2=0),0,IF(AS$3&lt;0,0,N(INDEX('CURVA PREVISION'!$A$1:$KZ$3000,$C25,10+3*MIN(AS$3,$D$2-1)))))</f>
        <v>92.53</v>
      </c>
      <c r="AT25" s="131" t="n">
        <f aca="false">IF(OR($C25="",$B$2="",$D$2=0),0,IF(AT$3&lt;0,0,N(INDEX('CURVA PREVISION'!$A$1:$KZ$3000,$C25,10+3*MIN(AT$3,$D$2-1)))))</f>
        <v>95.68</v>
      </c>
      <c r="AU25" s="131" t="n">
        <f aca="false">IF(OR($C25="",$B$2="",$D$2=0),0,IF(AU$3&lt;0,0,N(INDEX('CURVA PREVISION'!$A$1:$KZ$3000,$C25,10+3*MIN(AU$3,$D$2-1)))))</f>
        <v>98.41</v>
      </c>
      <c r="AV25" s="131" t="n">
        <f aca="false">IF(OR($C25="",$B$2="",$D$2=0),0,IF(AV$3&lt;0,0,N(INDEX('CURVA PREVISION'!$A$1:$KZ$3000,$C25,10+3*MIN(AV$3,$D$2-1)))))</f>
        <v>100</v>
      </c>
      <c r="AW25" s="131" t="n">
        <f aca="false">IF(OR($C25="",$B$2="",$D$2=0),0,IF(AW$3&lt;0,0,N(INDEX('CURVA PREVISION'!$A$1:$KZ$3000,$C25,10+3*MIN(AW$3,$D$2-1)))))</f>
        <v>100</v>
      </c>
      <c r="AX25" s="131" t="n">
        <f aca="false">IF(OR($C25="",$B$2="",$D$2=0),0,IF(AX$3&lt;0,0,N(INDEX('CURVA PREVISION'!$A$1:$KZ$3000,$C25,10+3*MIN(AX$3,$D$2-1)))))</f>
        <v>100</v>
      </c>
      <c r="AY25" s="131" t="n">
        <f aca="false">IF(OR($C25="",$B$2="",$D$2=0),0,IF(AY$3&lt;0,0,N(INDEX('CURVA PREVISION'!$A$1:$KZ$3000,$C25,10+3*MIN(AY$3,$D$2-1)))))</f>
        <v>100</v>
      </c>
      <c r="AZ25" s="131" t="n">
        <f aca="false">IF(OR($C25="",$B$2="",$D$2=0),0,IF(AZ$3&lt;0,0,N(INDEX('CURVA PREVISION'!$A$1:$KZ$3000,$C25,10+3*MIN(AZ$3,$D$2-1)))))</f>
        <v>100</v>
      </c>
      <c r="BA25" s="131" t="n">
        <f aca="false">IF(OR($C25="",$B$2="",$D$2=0),0,IF(BA$3&lt;0,0,N(INDEX('CURVA PREVISION'!$A$1:$KZ$3000,$C25,10+3*MIN(BA$3,$D$2-1)))))</f>
        <v>100</v>
      </c>
      <c r="BB25" s="131" t="n">
        <f aca="false">IF(OR($C25="",$B$2="",$D$2=0),0,IF(BB$3&lt;0,0,N(INDEX('CURVA PREVISION'!$A$1:$KZ$3000,$C25,10+3*MIN(BB$3,$D$2-1)))))</f>
        <v>100</v>
      </c>
      <c r="BC25" s="131" t="n">
        <f aca="false">IF(OR($C25="",$B$2="",$D$2=0),0,IF(BC$3&lt;0,0,N(INDEX('CURVA PREVISION'!$A$1:$KZ$3000,$C25,10+3*MIN(BC$3,$D$2-1)))))</f>
        <v>100</v>
      </c>
      <c r="BD25" s="131" t="n">
        <f aca="false">IF(OR($C25="",$B$2="",$D$2=0),0,IF(BD$3&lt;0,0,N(INDEX('CURVA PREVISION'!$A$1:$KZ$3000,$C25,10+3*MIN(BD$3,$D$2-1)))))</f>
        <v>100</v>
      </c>
      <c r="BE25" s="131" t="n">
        <f aca="false">IF(OR($C25="",$B$2="",$D$2=0),0,IF(BE$3&lt;0,0,N(INDEX('CURVA PREVISION'!$A$1:$KZ$3000,$C25,10+3*MIN(BE$3,$D$2-1)))))</f>
        <v>100</v>
      </c>
      <c r="BF25" s="131" t="n">
        <f aca="false">IF(OR($C25="",$B$2="",$D$2=0),0,IF(BF$3&lt;0,0,N(INDEX('CURVA PREVISION'!$A$1:$KZ$3000,$C25,10+3*MIN(BF$3,$D$2-1)))))</f>
        <v>100</v>
      </c>
      <c r="BG25" s="131" t="n">
        <f aca="false">IF(OR($C25="",$B$2="",$D$2=0),0,IF(BG$3&lt;0,0,N(INDEX('CURVA PREVISION'!$A$1:$KZ$3000,$C25,10+3*MIN(BG$3,$D$2-1)))))</f>
        <v>100</v>
      </c>
      <c r="BH25" s="131" t="n">
        <f aca="false">IF(OR($C25="",$B$2="",$D$2=0),0,IF(BH$3&lt;0,0,N(INDEX('CURVA PREVISION'!$A$1:$KZ$3000,$C25,10+3*MIN(BH$3,$D$2-1)))))</f>
        <v>100</v>
      </c>
      <c r="BI25" s="131" t="n">
        <f aca="false">IF(OR($C25="",$B$2="",$D$2=0),0,IF(BI$3&lt;0,0,N(INDEX('CURVA PREVISION'!$A$1:$KZ$3000,$C25,10+3*MIN(BI$3,$D$2-1)))))</f>
        <v>100</v>
      </c>
      <c r="BJ25" s="131" t="n">
        <f aca="false">IF(OR($C25="",$B$2="",$D$2=0),0,IF(BJ$3&lt;0,0,N(INDEX('CURVA PREVISION'!$A$1:$KZ$3000,$C25,10+3*MIN(BJ$3,$D$2-1)))))</f>
        <v>100</v>
      </c>
      <c r="BK25" s="131" t="n">
        <f aca="false">IF(OR($C25="",$B$2="",$D$2=0),0,IF(BK$3&lt;0,0,N(INDEX('CURVA PREVISION'!$A$1:$KZ$3000,$C25,10+3*MIN(BK$3,$D$2-1)))))</f>
        <v>100</v>
      </c>
      <c r="BL25" s="131" t="n">
        <f aca="false">IF(OR($C25="",$B$2="",$D$2=0),0,IF(BL$3&lt;0,0,N(INDEX('CURVA PREVISION'!$A$1:$KZ$3000,$C25,10+3*MIN(BL$3,$D$2-1)))))</f>
        <v>100</v>
      </c>
      <c r="BM25" s="131" t="n">
        <f aca="false">IF(OR($C25="",$B$2="",$D$2=0),0,IF(BM$3&lt;0,0,N(INDEX('CURVA PREVISION'!$A$1:$KZ$3000,$C25,10+3*MIN(BM$3,$D$2-1)))))</f>
        <v>100</v>
      </c>
      <c r="BN25" s="131" t="n">
        <f aca="false">IF(OR($C25="",$B$2="",$D$2=0),0,IF(BN$3&lt;0,0,N(INDEX('CURVA PREVISION'!$A$1:$KZ$3000,$C25,10+3*MIN(BN$3,$D$2-1)))))</f>
        <v>100</v>
      </c>
      <c r="BO25" s="131" t="n">
        <f aca="false">IF(OR($C25="",$B$2="",$D$2=0),0,IF(BO$3&lt;0,0,N(INDEX('CURVA PREVISION'!$A$1:$KZ$3000,$C25,10+3*MIN(BO$3,$D$2-1)))))</f>
        <v>100</v>
      </c>
      <c r="BP25" s="131" t="n">
        <f aca="false">IF(OR($C25="",$B$2="",$D$2=0),0,IF(BP$3&lt;0,0,N(INDEX('CURVA PREVISION'!$A$1:$KZ$3000,$C25,10+3*MIN(BP$3,$D$2-1)))))</f>
        <v>100</v>
      </c>
      <c r="BQ25" s="131" t="n">
        <f aca="false">IF(OR($C25="",$B$2="",$D$2=0),0,IF(BQ$3&lt;0,0,N(INDEX('CURVA PREVISION'!$A$1:$KZ$3000,$C25,10+3*MIN(BQ$3,$D$2-1)))))</f>
        <v>100</v>
      </c>
      <c r="BR25" s="131" t="n">
        <f aca="false">IF(OR($C25="",$B$2="",$D$2=0),0,IF(BR$3&lt;0,0,N(INDEX('CURVA PREVISION'!$A$1:$KZ$3000,$C25,10+3*MIN(BR$3,$D$2-1)))))</f>
        <v>100</v>
      </c>
      <c r="BS25" s="131" t="n">
        <f aca="false">IF(OR($C25="",$B$2="",$D$2=0),0,IF(BS$3&lt;0,0,N(INDEX('CURVA PREVISION'!$A$1:$KZ$3000,$C25,10+3*MIN(BS$3,$D$2-1)))))</f>
        <v>100</v>
      </c>
      <c r="BT25" s="131" t="n">
        <f aca="false">IF(OR($C25="",$B$2="",$D$2=0),0,IF(BT$3&lt;0,0,N(INDEX('CURVA PREVISION'!$A$1:$KZ$3000,$C25,10+3*MIN(BT$3,$D$2-1)))))</f>
        <v>100</v>
      </c>
      <c r="BU25" s="131" t="n">
        <f aca="false">IF(OR($C25="",$B$2="",$D$2=0),0,IF(BU$3&lt;0,0,N(INDEX('CURVA PREVISION'!$A$1:$KZ$3000,$C25,10+3*MIN(BU$3,$D$2-1)))))</f>
        <v>100</v>
      </c>
      <c r="BV25" s="131" t="n">
        <f aca="false">IF(OR($C25="",$B$2="",$D$2=0),0,IF(BV$3&lt;0,0,N(INDEX('CURVA PREVISION'!$A$1:$KZ$3000,$C25,10+3*MIN(BV$3,$D$2-1)))))</f>
        <v>100</v>
      </c>
      <c r="BW25" s="131" t="n">
        <f aca="false">IF(OR($C25="",$B$2="",$D$2=0),0,IF(BW$3&lt;0,0,N(INDEX('CURVA PREVISION'!$A$1:$KZ$3000,$C25,10+3*MIN(BW$3,$D$2-1)))))</f>
        <v>100</v>
      </c>
    </row>
    <row r="26" customFormat="false" ht="15" hidden="false" customHeight="false" outlineLevel="0" collapsed="false">
      <c r="A26" s="57" t="str">
        <f aca="false">IF('VALOR POR PL'!R32&lt;&gt;"",'VALOR POR PL'!R32,IF('VALOR POR PL'!Q32="",'VALOR POR PL'!C32,'VALOR POR PL'!Q32))</f>
        <v>22</v>
      </c>
      <c r="B26" s="57" t="str">
        <f aca="false">'VALOR POR PL'!D32</f>
        <v>INSTALAÇÕES COMBATE INCÊNDIO</v>
      </c>
      <c r="C26" s="64" t="n">
        <f aca="false">IFERROR(MATCH(A26,'CURVA PREVISION'!$B$1:$B$3000,0),"")</f>
        <v>531</v>
      </c>
      <c r="D26" s="131" t="n">
        <f aca="false">IF(OR($C26="",$B$2="",$D$2=0),0,IF(D$3&lt;0,0,N(INDEX('CURVA PREVISION'!$A$1:$KZ$3000,$C26,10+3*MIN(D$3,$D$2-1)))))</f>
        <v>0</v>
      </c>
      <c r="E26" s="131" t="n">
        <f aca="false">IF(OR($C26="",$B$2="",$D$2=0),0,IF(E$3&lt;0,0,N(INDEX('CURVA PREVISION'!$A$1:$KZ$3000,$C26,10+3*MIN(E$3,$D$2-1)))))</f>
        <v>0</v>
      </c>
      <c r="F26" s="131" t="n">
        <f aca="false">IF(OR($C26="",$B$2="",$D$2=0),0,IF(F$3&lt;0,0,N(INDEX('CURVA PREVISION'!$A$1:$KZ$3000,$C26,10+3*MIN(F$3,$D$2-1)))))</f>
        <v>0</v>
      </c>
      <c r="G26" s="131" t="n">
        <f aca="false">IF(OR($C26="",$B$2="",$D$2=0),0,IF(G$3&lt;0,0,N(INDEX('CURVA PREVISION'!$A$1:$KZ$3000,$C26,10+3*MIN(G$3,$D$2-1)))))</f>
        <v>0</v>
      </c>
      <c r="H26" s="131" t="n">
        <f aca="false">IF(OR($C26="",$B$2="",$D$2=0),0,IF(H$3&lt;0,0,N(INDEX('CURVA PREVISION'!$A$1:$KZ$3000,$C26,10+3*MIN(H$3,$D$2-1)))))</f>
        <v>0</v>
      </c>
      <c r="I26" s="131" t="n">
        <f aca="false">IF(OR($C26="",$B$2="",$D$2=0),0,IF(I$3&lt;0,0,N(INDEX('CURVA PREVISION'!$A$1:$KZ$3000,$C26,10+3*MIN(I$3,$D$2-1)))))</f>
        <v>0</v>
      </c>
      <c r="J26" s="131" t="n">
        <f aca="false">IF(OR($C26="",$B$2="",$D$2=0),0,IF(J$3&lt;0,0,N(INDEX('CURVA PREVISION'!$A$1:$KZ$3000,$C26,10+3*MIN(J$3,$D$2-1)))))</f>
        <v>0</v>
      </c>
      <c r="K26" s="131" t="n">
        <f aca="false">IF(OR($C26="",$B$2="",$D$2=0),0,IF(K$3&lt;0,0,N(INDEX('CURVA PREVISION'!$A$1:$KZ$3000,$C26,10+3*MIN(K$3,$D$2-1)))))</f>
        <v>0</v>
      </c>
      <c r="L26" s="131" t="n">
        <f aca="false">IF(OR($C26="",$B$2="",$D$2=0),0,IF(L$3&lt;0,0,N(INDEX('CURVA PREVISION'!$A$1:$KZ$3000,$C26,10+3*MIN(L$3,$D$2-1)))))</f>
        <v>0</v>
      </c>
      <c r="M26" s="131" t="n">
        <f aca="false">IF(OR($C26="",$B$2="",$D$2=0),0,IF(M$3&lt;0,0,N(INDEX('CURVA PREVISION'!$A$1:$KZ$3000,$C26,10+3*MIN(M$3,$D$2-1)))))</f>
        <v>0</v>
      </c>
      <c r="N26" s="131" t="n">
        <f aca="false">IF(OR($C26="",$B$2="",$D$2=0),0,IF(N$3&lt;0,0,N(INDEX('CURVA PREVISION'!$A$1:$KZ$3000,$C26,10+3*MIN(N$3,$D$2-1)))))</f>
        <v>0</v>
      </c>
      <c r="O26" s="131" t="n">
        <f aca="false">IF(OR($C26="",$B$2="",$D$2=0),0,IF(O$3&lt;0,0,N(INDEX('CURVA PREVISION'!$A$1:$KZ$3000,$C26,10+3*MIN(O$3,$D$2-1)))))</f>
        <v>0</v>
      </c>
      <c r="P26" s="131" t="n">
        <f aca="false">IF(OR($C26="",$B$2="",$D$2=0),0,IF(P$3&lt;0,0,N(INDEX('CURVA PREVISION'!$A$1:$KZ$3000,$C26,10+3*MIN(P$3,$D$2-1)))))</f>
        <v>0</v>
      </c>
      <c r="Q26" s="131" t="n">
        <f aca="false">IF(OR($C26="",$B$2="",$D$2=0),0,IF(Q$3&lt;0,0,N(INDEX('CURVA PREVISION'!$A$1:$KZ$3000,$C26,10+3*MIN(Q$3,$D$2-1)))))</f>
        <v>0</v>
      </c>
      <c r="R26" s="131" t="n">
        <f aca="false">IF(OR($C26="",$B$2="",$D$2=0),0,IF(R$3&lt;0,0,N(INDEX('CURVA PREVISION'!$A$1:$KZ$3000,$C26,10+3*MIN(R$3,$D$2-1)))))</f>
        <v>0</v>
      </c>
      <c r="S26" s="131" t="n">
        <f aca="false">IF(OR($C26="",$B$2="",$D$2=0),0,IF(S$3&lt;0,0,N(INDEX('CURVA PREVISION'!$A$1:$KZ$3000,$C26,10+3*MIN(S$3,$D$2-1)))))</f>
        <v>0</v>
      </c>
      <c r="T26" s="131" t="n">
        <f aca="false">IF(OR($C26="",$B$2="",$D$2=0),0,IF(T$3&lt;0,0,N(INDEX('CURVA PREVISION'!$A$1:$KZ$3000,$C26,10+3*MIN(T$3,$D$2-1)))))</f>
        <v>0</v>
      </c>
      <c r="U26" s="131" t="n">
        <f aca="false">IF(OR($C26="",$B$2="",$D$2=0),0,IF(U$3&lt;0,0,N(INDEX('CURVA PREVISION'!$A$1:$KZ$3000,$C26,10+3*MIN(U$3,$D$2-1)))))</f>
        <v>0</v>
      </c>
      <c r="V26" s="131" t="n">
        <f aca="false">IF(OR($C26="",$B$2="",$D$2=0),0,IF(V$3&lt;0,0,N(INDEX('CURVA PREVISION'!$A$1:$KZ$3000,$C26,10+3*MIN(V$3,$D$2-1)))))</f>
        <v>0</v>
      </c>
      <c r="W26" s="131" t="n">
        <f aca="false">IF(OR($C26="",$B$2="",$D$2=0),0,IF(W$3&lt;0,0,N(INDEX('CURVA PREVISION'!$A$1:$KZ$3000,$C26,10+3*MIN(W$3,$D$2-1)))))</f>
        <v>0</v>
      </c>
      <c r="X26" s="131" t="n">
        <f aca="false">IF(OR($C26="",$B$2="",$D$2=0),0,IF(X$3&lt;0,0,N(INDEX('CURVA PREVISION'!$A$1:$KZ$3000,$C26,10+3*MIN(X$3,$D$2-1)))))</f>
        <v>0</v>
      </c>
      <c r="Y26" s="131" t="n">
        <f aca="false">IF(OR($C26="",$B$2="",$D$2=0),0,IF(Y$3&lt;0,0,N(INDEX('CURVA PREVISION'!$A$1:$KZ$3000,$C26,10+3*MIN(Y$3,$D$2-1)))))</f>
        <v>0</v>
      </c>
      <c r="Z26" s="131" t="n">
        <f aca="false">IF(OR($C26="",$B$2="",$D$2=0),0,IF(Z$3&lt;0,0,N(INDEX('CURVA PREVISION'!$A$1:$KZ$3000,$C26,10+3*MIN(Z$3,$D$2-1)))))</f>
        <v>0</v>
      </c>
      <c r="AA26" s="131" t="n">
        <f aca="false">IF(OR($C26="",$B$2="",$D$2=0),0,IF(AA$3&lt;0,0,N(INDEX('CURVA PREVISION'!$A$1:$KZ$3000,$C26,10+3*MIN(AA$3,$D$2-1)))))</f>
        <v>0</v>
      </c>
      <c r="AB26" s="131" t="n">
        <f aca="false">IF(OR($C26="",$B$2="",$D$2=0),0,IF(AB$3&lt;0,0,N(INDEX('CURVA PREVISION'!$A$1:$KZ$3000,$C26,10+3*MIN(AB$3,$D$2-1)))))</f>
        <v>0</v>
      </c>
      <c r="AC26" s="131" t="n">
        <f aca="false">IF(OR($C26="",$B$2="",$D$2=0),0,IF(AC$3&lt;0,0,N(INDEX('CURVA PREVISION'!$A$1:$KZ$3000,$C26,10+3*MIN(AC$3,$D$2-1)))))</f>
        <v>0</v>
      </c>
      <c r="AD26" s="131" t="n">
        <f aca="false">IF(OR($C26="",$B$2="",$D$2=0),0,IF(AD$3&lt;0,0,N(INDEX('CURVA PREVISION'!$A$1:$KZ$3000,$C26,10+3*MIN(AD$3,$D$2-1)))))</f>
        <v>0</v>
      </c>
      <c r="AE26" s="131" t="n">
        <f aca="false">IF(OR($C26="",$B$2="",$D$2=0),0,IF(AE$3&lt;0,0,N(INDEX('CURVA PREVISION'!$A$1:$KZ$3000,$C26,10+3*MIN(AE$3,$D$2-1)))))</f>
        <v>0.59</v>
      </c>
      <c r="AF26" s="131" t="n">
        <f aca="false">IF(OR($C26="",$B$2="",$D$2=0),0,IF(AF$3&lt;0,0,N(INDEX('CURVA PREVISION'!$A$1:$KZ$3000,$C26,10+3*MIN(AF$3,$D$2-1)))))</f>
        <v>6.82</v>
      </c>
      <c r="AG26" s="131" t="n">
        <f aca="false">IF(OR($C26="",$B$2="",$D$2=0),0,IF(AG$3&lt;0,0,N(INDEX('CURVA PREVISION'!$A$1:$KZ$3000,$C26,10+3*MIN(AG$3,$D$2-1)))))</f>
        <v>12.76</v>
      </c>
      <c r="AH26" s="131" t="n">
        <f aca="false">IF(OR($C26="",$B$2="",$D$2=0),0,IF(AH$3&lt;0,0,N(INDEX('CURVA PREVISION'!$A$1:$KZ$3000,$C26,10+3*MIN(AH$3,$D$2-1)))))</f>
        <v>19.28</v>
      </c>
      <c r="AI26" s="131" t="n">
        <f aca="false">IF(OR($C26="",$B$2="",$D$2=0),0,IF(AI$3&lt;0,0,N(INDEX('CURVA PREVISION'!$A$1:$KZ$3000,$C26,10+3*MIN(AI$3,$D$2-1)))))</f>
        <v>26.58</v>
      </c>
      <c r="AJ26" s="131" t="n">
        <f aca="false">IF(OR($C26="",$B$2="",$D$2=0),0,IF(AJ$3&lt;0,0,N(INDEX('CURVA PREVISION'!$A$1:$KZ$3000,$C26,10+3*MIN(AJ$3,$D$2-1)))))</f>
        <v>34.26</v>
      </c>
      <c r="AK26" s="131" t="n">
        <f aca="false">IF(OR($C26="",$B$2="",$D$2=0),0,IF(AK$3&lt;0,0,N(INDEX('CURVA PREVISION'!$A$1:$KZ$3000,$C26,10+3*MIN(AK$3,$D$2-1)))))</f>
        <v>41.25</v>
      </c>
      <c r="AL26" s="131" t="n">
        <f aca="false">IF(OR($C26="",$B$2="",$D$2=0),0,IF(AL$3&lt;0,0,N(INDEX('CURVA PREVISION'!$A$1:$KZ$3000,$C26,10+3*MIN(AL$3,$D$2-1)))))</f>
        <v>51.31</v>
      </c>
      <c r="AM26" s="131" t="n">
        <f aca="false">IF(OR($C26="",$B$2="",$D$2=0),0,IF(AM$3&lt;0,0,N(INDEX('CURVA PREVISION'!$A$1:$KZ$3000,$C26,10+3*MIN(AM$3,$D$2-1)))))</f>
        <v>59.31</v>
      </c>
      <c r="AN26" s="131" t="n">
        <f aca="false">IF(OR($C26="",$B$2="",$D$2=0),0,IF(AN$3&lt;0,0,N(INDEX('CURVA PREVISION'!$A$1:$KZ$3000,$C26,10+3*MIN(AN$3,$D$2-1)))))</f>
        <v>65.85</v>
      </c>
      <c r="AO26" s="131" t="n">
        <f aca="false">IF(OR($C26="",$B$2="",$D$2=0),0,IF(AO$3&lt;0,0,N(INDEX('CURVA PREVISION'!$A$1:$KZ$3000,$C26,10+3*MIN(AO$3,$D$2-1)))))</f>
        <v>74.56</v>
      </c>
      <c r="AP26" s="131" t="n">
        <f aca="false">IF(OR($C26="",$B$2="",$D$2=0),0,IF(AP$3&lt;0,0,N(INDEX('CURVA PREVISION'!$A$1:$KZ$3000,$C26,10+3*MIN(AP$3,$D$2-1)))))</f>
        <v>90.28</v>
      </c>
      <c r="AQ26" s="131" t="n">
        <f aca="false">IF(OR($C26="",$B$2="",$D$2=0),0,IF(AQ$3&lt;0,0,N(INDEX('CURVA PREVISION'!$A$1:$KZ$3000,$C26,10+3*MIN(AQ$3,$D$2-1)))))</f>
        <v>92.38</v>
      </c>
      <c r="AR26" s="131" t="n">
        <f aca="false">IF(OR($C26="",$B$2="",$D$2=0),0,IF(AR$3&lt;0,0,N(INDEX('CURVA PREVISION'!$A$1:$KZ$3000,$C26,10+3*MIN(AR$3,$D$2-1)))))</f>
        <v>95.4</v>
      </c>
      <c r="AS26" s="131" t="n">
        <f aca="false">IF(OR($C26="",$B$2="",$D$2=0),0,IF(AS$3&lt;0,0,N(INDEX('CURVA PREVISION'!$A$1:$KZ$3000,$C26,10+3*MIN(AS$3,$D$2-1)))))</f>
        <v>97.82</v>
      </c>
      <c r="AT26" s="131" t="n">
        <f aca="false">IF(OR($C26="",$B$2="",$D$2=0),0,IF(AT$3&lt;0,0,N(INDEX('CURVA PREVISION'!$A$1:$KZ$3000,$C26,10+3*MIN(AT$3,$D$2-1)))))</f>
        <v>98.09</v>
      </c>
      <c r="AU26" s="131" t="n">
        <f aca="false">IF(OR($C26="",$B$2="",$D$2=0),0,IF(AU$3&lt;0,0,N(INDEX('CURVA PREVISION'!$A$1:$KZ$3000,$C26,10+3*MIN(AU$3,$D$2-1)))))</f>
        <v>98.37</v>
      </c>
      <c r="AV26" s="131" t="n">
        <f aca="false">IF(OR($C26="",$B$2="",$D$2=0),0,IF(AV$3&lt;0,0,N(INDEX('CURVA PREVISION'!$A$1:$KZ$3000,$C26,10+3*MIN(AV$3,$D$2-1)))))</f>
        <v>98.66</v>
      </c>
      <c r="AW26" s="131" t="n">
        <f aca="false">IF(OR($C26="",$B$2="",$D$2=0),0,IF(AW$3&lt;0,0,N(INDEX('CURVA PREVISION'!$A$1:$KZ$3000,$C26,10+3*MIN(AW$3,$D$2-1)))))</f>
        <v>98.93</v>
      </c>
      <c r="AX26" s="131" t="n">
        <f aca="false">IF(OR($C26="",$B$2="",$D$2=0),0,IF(AX$3&lt;0,0,N(INDEX('CURVA PREVISION'!$A$1:$KZ$3000,$C26,10+3*MIN(AX$3,$D$2-1)))))</f>
        <v>99.22</v>
      </c>
      <c r="AY26" s="131" t="n">
        <f aca="false">IF(OR($C26="",$B$2="",$D$2=0),0,IF(AY$3&lt;0,0,N(INDEX('CURVA PREVISION'!$A$1:$KZ$3000,$C26,10+3*MIN(AY$3,$D$2-1)))))</f>
        <v>99.51</v>
      </c>
      <c r="AZ26" s="131" t="n">
        <f aca="false">IF(OR($C26="",$B$2="",$D$2=0),0,IF(AZ$3&lt;0,0,N(INDEX('CURVA PREVISION'!$A$1:$KZ$3000,$C26,10+3*MIN(AZ$3,$D$2-1)))))</f>
        <v>99.7</v>
      </c>
      <c r="BA26" s="131" t="n">
        <f aca="false">IF(OR($C26="",$B$2="",$D$2=0),0,IF(BA$3&lt;0,0,N(INDEX('CURVA PREVISION'!$A$1:$KZ$3000,$C26,10+3*MIN(BA$3,$D$2-1)))))</f>
        <v>99.96</v>
      </c>
      <c r="BB26" s="131" t="n">
        <f aca="false">IF(OR($C26="",$B$2="",$D$2=0),0,IF(BB$3&lt;0,0,N(INDEX('CURVA PREVISION'!$A$1:$KZ$3000,$C26,10+3*MIN(BB$3,$D$2-1)))))</f>
        <v>100</v>
      </c>
      <c r="BC26" s="131" t="n">
        <f aca="false">IF(OR($C26="",$B$2="",$D$2=0),0,IF(BC$3&lt;0,0,N(INDEX('CURVA PREVISION'!$A$1:$KZ$3000,$C26,10+3*MIN(BC$3,$D$2-1)))))</f>
        <v>100</v>
      </c>
      <c r="BD26" s="131" t="n">
        <f aca="false">IF(OR($C26="",$B$2="",$D$2=0),0,IF(BD$3&lt;0,0,N(INDEX('CURVA PREVISION'!$A$1:$KZ$3000,$C26,10+3*MIN(BD$3,$D$2-1)))))</f>
        <v>100</v>
      </c>
      <c r="BE26" s="131" t="n">
        <f aca="false">IF(OR($C26="",$B$2="",$D$2=0),0,IF(BE$3&lt;0,0,N(INDEX('CURVA PREVISION'!$A$1:$KZ$3000,$C26,10+3*MIN(BE$3,$D$2-1)))))</f>
        <v>100</v>
      </c>
      <c r="BF26" s="131" t="n">
        <f aca="false">IF(OR($C26="",$B$2="",$D$2=0),0,IF(BF$3&lt;0,0,N(INDEX('CURVA PREVISION'!$A$1:$KZ$3000,$C26,10+3*MIN(BF$3,$D$2-1)))))</f>
        <v>100</v>
      </c>
      <c r="BG26" s="131" t="n">
        <f aca="false">IF(OR($C26="",$B$2="",$D$2=0),0,IF(BG$3&lt;0,0,N(INDEX('CURVA PREVISION'!$A$1:$KZ$3000,$C26,10+3*MIN(BG$3,$D$2-1)))))</f>
        <v>100</v>
      </c>
      <c r="BH26" s="131" t="n">
        <f aca="false">IF(OR($C26="",$B$2="",$D$2=0),0,IF(BH$3&lt;0,0,N(INDEX('CURVA PREVISION'!$A$1:$KZ$3000,$C26,10+3*MIN(BH$3,$D$2-1)))))</f>
        <v>100</v>
      </c>
      <c r="BI26" s="131" t="n">
        <f aca="false">IF(OR($C26="",$B$2="",$D$2=0),0,IF(BI$3&lt;0,0,N(INDEX('CURVA PREVISION'!$A$1:$KZ$3000,$C26,10+3*MIN(BI$3,$D$2-1)))))</f>
        <v>100</v>
      </c>
      <c r="BJ26" s="131" t="n">
        <f aca="false">IF(OR($C26="",$B$2="",$D$2=0),0,IF(BJ$3&lt;0,0,N(INDEX('CURVA PREVISION'!$A$1:$KZ$3000,$C26,10+3*MIN(BJ$3,$D$2-1)))))</f>
        <v>100</v>
      </c>
      <c r="BK26" s="131" t="n">
        <f aca="false">IF(OR($C26="",$B$2="",$D$2=0),0,IF(BK$3&lt;0,0,N(INDEX('CURVA PREVISION'!$A$1:$KZ$3000,$C26,10+3*MIN(BK$3,$D$2-1)))))</f>
        <v>100</v>
      </c>
      <c r="BL26" s="131" t="n">
        <f aca="false">IF(OR($C26="",$B$2="",$D$2=0),0,IF(BL$3&lt;0,0,N(INDEX('CURVA PREVISION'!$A$1:$KZ$3000,$C26,10+3*MIN(BL$3,$D$2-1)))))</f>
        <v>100</v>
      </c>
      <c r="BM26" s="131" t="n">
        <f aca="false">IF(OR($C26="",$B$2="",$D$2=0),0,IF(BM$3&lt;0,0,N(INDEX('CURVA PREVISION'!$A$1:$KZ$3000,$C26,10+3*MIN(BM$3,$D$2-1)))))</f>
        <v>100</v>
      </c>
      <c r="BN26" s="131" t="n">
        <f aca="false">IF(OR($C26="",$B$2="",$D$2=0),0,IF(BN$3&lt;0,0,N(INDEX('CURVA PREVISION'!$A$1:$KZ$3000,$C26,10+3*MIN(BN$3,$D$2-1)))))</f>
        <v>100</v>
      </c>
      <c r="BO26" s="131" t="n">
        <f aca="false">IF(OR($C26="",$B$2="",$D$2=0),0,IF(BO$3&lt;0,0,N(INDEX('CURVA PREVISION'!$A$1:$KZ$3000,$C26,10+3*MIN(BO$3,$D$2-1)))))</f>
        <v>100</v>
      </c>
      <c r="BP26" s="131" t="n">
        <f aca="false">IF(OR($C26="",$B$2="",$D$2=0),0,IF(BP$3&lt;0,0,N(INDEX('CURVA PREVISION'!$A$1:$KZ$3000,$C26,10+3*MIN(BP$3,$D$2-1)))))</f>
        <v>100</v>
      </c>
      <c r="BQ26" s="131" t="n">
        <f aca="false">IF(OR($C26="",$B$2="",$D$2=0),0,IF(BQ$3&lt;0,0,N(INDEX('CURVA PREVISION'!$A$1:$KZ$3000,$C26,10+3*MIN(BQ$3,$D$2-1)))))</f>
        <v>100</v>
      </c>
      <c r="BR26" s="131" t="n">
        <f aca="false">IF(OR($C26="",$B$2="",$D$2=0),0,IF(BR$3&lt;0,0,N(INDEX('CURVA PREVISION'!$A$1:$KZ$3000,$C26,10+3*MIN(BR$3,$D$2-1)))))</f>
        <v>100</v>
      </c>
      <c r="BS26" s="131" t="n">
        <f aca="false">IF(OR($C26="",$B$2="",$D$2=0),0,IF(BS$3&lt;0,0,N(INDEX('CURVA PREVISION'!$A$1:$KZ$3000,$C26,10+3*MIN(BS$3,$D$2-1)))))</f>
        <v>100</v>
      </c>
      <c r="BT26" s="131" t="n">
        <f aca="false">IF(OR($C26="",$B$2="",$D$2=0),0,IF(BT$3&lt;0,0,N(INDEX('CURVA PREVISION'!$A$1:$KZ$3000,$C26,10+3*MIN(BT$3,$D$2-1)))))</f>
        <v>100</v>
      </c>
      <c r="BU26" s="131" t="n">
        <f aca="false">IF(OR($C26="",$B$2="",$D$2=0),0,IF(BU$3&lt;0,0,N(INDEX('CURVA PREVISION'!$A$1:$KZ$3000,$C26,10+3*MIN(BU$3,$D$2-1)))))</f>
        <v>100</v>
      </c>
      <c r="BV26" s="131" t="n">
        <f aca="false">IF(OR($C26="",$B$2="",$D$2=0),0,IF(BV$3&lt;0,0,N(INDEX('CURVA PREVISION'!$A$1:$KZ$3000,$C26,10+3*MIN(BV$3,$D$2-1)))))</f>
        <v>100</v>
      </c>
      <c r="BW26" s="131" t="n">
        <f aca="false">IF(OR($C26="",$B$2="",$D$2=0),0,IF(BW$3&lt;0,0,N(INDEX('CURVA PREVISION'!$A$1:$KZ$3000,$C26,10+3*MIN(BW$3,$D$2-1)))))</f>
        <v>100</v>
      </c>
    </row>
    <row r="27" customFormat="false" ht="15" hidden="false" customHeight="false" outlineLevel="0" collapsed="false">
      <c r="A27" s="57" t="str">
        <f aca="false">IF('VALOR POR PL'!R33&lt;&gt;"",'VALOR POR PL'!R33,IF('VALOR POR PL'!Q33="",'VALOR POR PL'!C33,'VALOR POR PL'!Q33))</f>
        <v>23</v>
      </c>
      <c r="B27" s="57" t="str">
        <f aca="false">'VALOR POR PL'!D33</f>
        <v>INSTALAÇÕES ESPECIAIS</v>
      </c>
      <c r="C27" s="64" t="n">
        <f aca="false">IFERROR(MATCH(A27,'CURVA PREVISION'!$B$1:$B$3000,0),"")</f>
        <v>537</v>
      </c>
      <c r="D27" s="131" t="n">
        <f aca="false">IF(OR($C27="",$B$2="",$D$2=0),0,IF(D$3&lt;0,0,N(INDEX('CURVA PREVISION'!$A$1:$KZ$3000,$C27,10+3*MIN(D$3,$D$2-1)))))</f>
        <v>0</v>
      </c>
      <c r="E27" s="131" t="n">
        <f aca="false">IF(OR($C27="",$B$2="",$D$2=0),0,IF(E$3&lt;0,0,N(INDEX('CURVA PREVISION'!$A$1:$KZ$3000,$C27,10+3*MIN(E$3,$D$2-1)))))</f>
        <v>0</v>
      </c>
      <c r="F27" s="131" t="n">
        <f aca="false">IF(OR($C27="",$B$2="",$D$2=0),0,IF(F$3&lt;0,0,N(INDEX('CURVA PREVISION'!$A$1:$KZ$3000,$C27,10+3*MIN(F$3,$D$2-1)))))</f>
        <v>0</v>
      </c>
      <c r="G27" s="131" t="n">
        <f aca="false">IF(OR($C27="",$B$2="",$D$2=0),0,IF(G$3&lt;0,0,N(INDEX('CURVA PREVISION'!$A$1:$KZ$3000,$C27,10+3*MIN(G$3,$D$2-1)))))</f>
        <v>0</v>
      </c>
      <c r="H27" s="131" t="n">
        <f aca="false">IF(OR($C27="",$B$2="",$D$2=0),0,IF(H$3&lt;0,0,N(INDEX('CURVA PREVISION'!$A$1:$KZ$3000,$C27,10+3*MIN(H$3,$D$2-1)))))</f>
        <v>0</v>
      </c>
      <c r="I27" s="131" t="n">
        <f aca="false">IF(OR($C27="",$B$2="",$D$2=0),0,IF(I$3&lt;0,0,N(INDEX('CURVA PREVISION'!$A$1:$KZ$3000,$C27,10+3*MIN(I$3,$D$2-1)))))</f>
        <v>0</v>
      </c>
      <c r="J27" s="131" t="n">
        <f aca="false">IF(OR($C27="",$B$2="",$D$2=0),0,IF(J$3&lt;0,0,N(INDEX('CURVA PREVISION'!$A$1:$KZ$3000,$C27,10+3*MIN(J$3,$D$2-1)))))</f>
        <v>0</v>
      </c>
      <c r="K27" s="131" t="n">
        <f aca="false">IF(OR($C27="",$B$2="",$D$2=0),0,IF(K$3&lt;0,0,N(INDEX('CURVA PREVISION'!$A$1:$KZ$3000,$C27,10+3*MIN(K$3,$D$2-1)))))</f>
        <v>0</v>
      </c>
      <c r="L27" s="131" t="n">
        <f aca="false">IF(OR($C27="",$B$2="",$D$2=0),0,IF(L$3&lt;0,0,N(INDEX('CURVA PREVISION'!$A$1:$KZ$3000,$C27,10+3*MIN(L$3,$D$2-1)))))</f>
        <v>0</v>
      </c>
      <c r="M27" s="131" t="n">
        <f aca="false">IF(OR($C27="",$B$2="",$D$2=0),0,IF(M$3&lt;0,0,N(INDEX('CURVA PREVISION'!$A$1:$KZ$3000,$C27,10+3*MIN(M$3,$D$2-1)))))</f>
        <v>0</v>
      </c>
      <c r="N27" s="131" t="n">
        <f aca="false">IF(OR($C27="",$B$2="",$D$2=0),0,IF(N$3&lt;0,0,N(INDEX('CURVA PREVISION'!$A$1:$KZ$3000,$C27,10+3*MIN(N$3,$D$2-1)))))</f>
        <v>0</v>
      </c>
      <c r="O27" s="131" t="n">
        <f aca="false">IF(OR($C27="",$B$2="",$D$2=0),0,IF(O$3&lt;0,0,N(INDEX('CURVA PREVISION'!$A$1:$KZ$3000,$C27,10+3*MIN(O$3,$D$2-1)))))</f>
        <v>0</v>
      </c>
      <c r="P27" s="131" t="n">
        <f aca="false">IF(OR($C27="",$B$2="",$D$2=0),0,IF(P$3&lt;0,0,N(INDEX('CURVA PREVISION'!$A$1:$KZ$3000,$C27,10+3*MIN(P$3,$D$2-1)))))</f>
        <v>0</v>
      </c>
      <c r="Q27" s="131" t="n">
        <f aca="false">IF(OR($C27="",$B$2="",$D$2=0),0,IF(Q$3&lt;0,0,N(INDEX('CURVA PREVISION'!$A$1:$KZ$3000,$C27,10+3*MIN(Q$3,$D$2-1)))))</f>
        <v>0</v>
      </c>
      <c r="R27" s="131" t="n">
        <f aca="false">IF(OR($C27="",$B$2="",$D$2=0),0,IF(R$3&lt;0,0,N(INDEX('CURVA PREVISION'!$A$1:$KZ$3000,$C27,10+3*MIN(R$3,$D$2-1)))))</f>
        <v>0</v>
      </c>
      <c r="S27" s="131" t="n">
        <f aca="false">IF(OR($C27="",$B$2="",$D$2=0),0,IF(S$3&lt;0,0,N(INDEX('CURVA PREVISION'!$A$1:$KZ$3000,$C27,10+3*MIN(S$3,$D$2-1)))))</f>
        <v>0</v>
      </c>
      <c r="T27" s="131" t="n">
        <f aca="false">IF(OR($C27="",$B$2="",$D$2=0),0,IF(T$3&lt;0,0,N(INDEX('CURVA PREVISION'!$A$1:$KZ$3000,$C27,10+3*MIN(T$3,$D$2-1)))))</f>
        <v>0</v>
      </c>
      <c r="U27" s="131" t="n">
        <f aca="false">IF(OR($C27="",$B$2="",$D$2=0),0,IF(U$3&lt;0,0,N(INDEX('CURVA PREVISION'!$A$1:$KZ$3000,$C27,10+3*MIN(U$3,$D$2-1)))))</f>
        <v>0</v>
      </c>
      <c r="V27" s="131" t="n">
        <f aca="false">IF(OR($C27="",$B$2="",$D$2=0),0,IF(V$3&lt;0,0,N(INDEX('CURVA PREVISION'!$A$1:$KZ$3000,$C27,10+3*MIN(V$3,$D$2-1)))))</f>
        <v>0</v>
      </c>
      <c r="W27" s="131" t="n">
        <f aca="false">IF(OR($C27="",$B$2="",$D$2=0),0,IF(W$3&lt;0,0,N(INDEX('CURVA PREVISION'!$A$1:$KZ$3000,$C27,10+3*MIN(W$3,$D$2-1)))))</f>
        <v>0</v>
      </c>
      <c r="X27" s="131" t="n">
        <f aca="false">IF(OR($C27="",$B$2="",$D$2=0),0,IF(X$3&lt;0,0,N(INDEX('CURVA PREVISION'!$A$1:$KZ$3000,$C27,10+3*MIN(X$3,$D$2-1)))))</f>
        <v>0</v>
      </c>
      <c r="Y27" s="131" t="n">
        <f aca="false">IF(OR($C27="",$B$2="",$D$2=0),0,IF(Y$3&lt;0,0,N(INDEX('CURVA PREVISION'!$A$1:$KZ$3000,$C27,10+3*MIN(Y$3,$D$2-1)))))</f>
        <v>0</v>
      </c>
      <c r="Z27" s="131" t="n">
        <f aca="false">IF(OR($C27="",$B$2="",$D$2=0),0,IF(Z$3&lt;0,0,N(INDEX('CURVA PREVISION'!$A$1:$KZ$3000,$C27,10+3*MIN(Z$3,$D$2-1)))))</f>
        <v>0</v>
      </c>
      <c r="AA27" s="131" t="n">
        <f aca="false">IF(OR($C27="",$B$2="",$D$2=0),0,IF(AA$3&lt;0,0,N(INDEX('CURVA PREVISION'!$A$1:$KZ$3000,$C27,10+3*MIN(AA$3,$D$2-1)))))</f>
        <v>0</v>
      </c>
      <c r="AB27" s="131" t="n">
        <f aca="false">IF(OR($C27="",$B$2="",$D$2=0),0,IF(AB$3&lt;0,0,N(INDEX('CURVA PREVISION'!$A$1:$KZ$3000,$C27,10+3*MIN(AB$3,$D$2-1)))))</f>
        <v>0</v>
      </c>
      <c r="AC27" s="131" t="n">
        <f aca="false">IF(OR($C27="",$B$2="",$D$2=0),0,IF(AC$3&lt;0,0,N(INDEX('CURVA PREVISION'!$A$1:$KZ$3000,$C27,10+3*MIN(AC$3,$D$2-1)))))</f>
        <v>0</v>
      </c>
      <c r="AD27" s="131" t="n">
        <f aca="false">IF(OR($C27="",$B$2="",$D$2=0),0,IF(AD$3&lt;0,0,N(INDEX('CURVA PREVISION'!$A$1:$KZ$3000,$C27,10+3*MIN(AD$3,$D$2-1)))))</f>
        <v>0</v>
      </c>
      <c r="AE27" s="131" t="n">
        <f aca="false">IF(OR($C27="",$B$2="",$D$2=0),0,IF(AE$3&lt;0,0,N(INDEX('CURVA PREVISION'!$A$1:$KZ$3000,$C27,10+3*MIN(AE$3,$D$2-1)))))</f>
        <v>0</v>
      </c>
      <c r="AF27" s="131" t="n">
        <f aca="false">IF(OR($C27="",$B$2="",$D$2=0),0,IF(AF$3&lt;0,0,N(INDEX('CURVA PREVISION'!$A$1:$KZ$3000,$C27,10+3*MIN(AF$3,$D$2-1)))))</f>
        <v>0</v>
      </c>
      <c r="AG27" s="131" t="n">
        <f aca="false">IF(OR($C27="",$B$2="",$D$2=0),0,IF(AG$3&lt;0,0,N(INDEX('CURVA PREVISION'!$A$1:$KZ$3000,$C27,10+3*MIN(AG$3,$D$2-1)))))</f>
        <v>0</v>
      </c>
      <c r="AH27" s="131" t="n">
        <f aca="false">IF(OR($C27="",$B$2="",$D$2=0),0,IF(AH$3&lt;0,0,N(INDEX('CURVA PREVISION'!$A$1:$KZ$3000,$C27,10+3*MIN(AH$3,$D$2-1)))))</f>
        <v>0.54</v>
      </c>
      <c r="AI27" s="131" t="n">
        <f aca="false">IF(OR($C27="",$B$2="",$D$2=0),0,IF(AI$3&lt;0,0,N(INDEX('CURVA PREVISION'!$A$1:$KZ$3000,$C27,10+3*MIN(AI$3,$D$2-1)))))</f>
        <v>3.95</v>
      </c>
      <c r="AJ27" s="131" t="n">
        <f aca="false">IF(OR($C27="",$B$2="",$D$2=0),0,IF(AJ$3&lt;0,0,N(INDEX('CURVA PREVISION'!$A$1:$KZ$3000,$C27,10+3*MIN(AJ$3,$D$2-1)))))</f>
        <v>9.08</v>
      </c>
      <c r="AK27" s="131" t="n">
        <f aca="false">IF(OR($C27="",$B$2="",$D$2=0),0,IF(AK$3&lt;0,0,N(INDEX('CURVA PREVISION'!$A$1:$KZ$3000,$C27,10+3*MIN(AK$3,$D$2-1)))))</f>
        <v>13.99</v>
      </c>
      <c r="AL27" s="131" t="n">
        <f aca="false">IF(OR($C27="",$B$2="",$D$2=0),0,IF(AL$3&lt;0,0,N(INDEX('CURVA PREVISION'!$A$1:$KZ$3000,$C27,10+3*MIN(AL$3,$D$2-1)))))</f>
        <v>20.43</v>
      </c>
      <c r="AM27" s="131" t="n">
        <f aca="false">IF(OR($C27="",$B$2="",$D$2=0),0,IF(AM$3&lt;0,0,N(INDEX('CURVA PREVISION'!$A$1:$KZ$3000,$C27,10+3*MIN(AM$3,$D$2-1)))))</f>
        <v>29.02</v>
      </c>
      <c r="AN27" s="131" t="n">
        <f aca="false">IF(OR($C27="",$B$2="",$D$2=0),0,IF(AN$3&lt;0,0,N(INDEX('CURVA PREVISION'!$A$1:$KZ$3000,$C27,10+3*MIN(AN$3,$D$2-1)))))</f>
        <v>33.57</v>
      </c>
      <c r="AO27" s="131" t="n">
        <f aca="false">IF(OR($C27="",$B$2="",$D$2=0),0,IF(AO$3&lt;0,0,N(INDEX('CURVA PREVISION'!$A$1:$KZ$3000,$C27,10+3*MIN(AO$3,$D$2-1)))))</f>
        <v>38.54</v>
      </c>
      <c r="AP27" s="131" t="n">
        <f aca="false">IF(OR($C27="",$B$2="",$D$2=0),0,IF(AP$3&lt;0,0,N(INDEX('CURVA PREVISION'!$A$1:$KZ$3000,$C27,10+3*MIN(AP$3,$D$2-1)))))</f>
        <v>43.48</v>
      </c>
      <c r="AQ27" s="131" t="n">
        <f aca="false">IF(OR($C27="",$B$2="",$D$2=0),0,IF(AQ$3&lt;0,0,N(INDEX('CURVA PREVISION'!$A$1:$KZ$3000,$C27,10+3*MIN(AQ$3,$D$2-1)))))</f>
        <v>51.13</v>
      </c>
      <c r="AR27" s="131" t="n">
        <f aca="false">IF(OR($C27="",$B$2="",$D$2=0),0,IF(AR$3&lt;0,0,N(INDEX('CURVA PREVISION'!$A$1:$KZ$3000,$C27,10+3*MIN(AR$3,$D$2-1)))))</f>
        <v>56.64</v>
      </c>
      <c r="AS27" s="131" t="n">
        <f aca="false">IF(OR($C27="",$B$2="",$D$2=0),0,IF(AS$3&lt;0,0,N(INDEX('CURVA PREVISION'!$A$1:$KZ$3000,$C27,10+3*MIN(AS$3,$D$2-1)))))</f>
        <v>63.52</v>
      </c>
      <c r="AT27" s="131" t="n">
        <f aca="false">IF(OR($C27="",$B$2="",$D$2=0),0,IF(AT$3&lt;0,0,N(INDEX('CURVA PREVISION'!$A$1:$KZ$3000,$C27,10+3*MIN(AT$3,$D$2-1)))))</f>
        <v>67.56</v>
      </c>
      <c r="AU27" s="131" t="n">
        <f aca="false">IF(OR($C27="",$B$2="",$D$2=0),0,IF(AU$3&lt;0,0,N(INDEX('CURVA PREVISION'!$A$1:$KZ$3000,$C27,10+3*MIN(AU$3,$D$2-1)))))</f>
        <v>72.81</v>
      </c>
      <c r="AV27" s="131" t="n">
        <f aca="false">IF(OR($C27="",$B$2="",$D$2=0),0,IF(AV$3&lt;0,0,N(INDEX('CURVA PREVISION'!$A$1:$KZ$3000,$C27,10+3*MIN(AV$3,$D$2-1)))))</f>
        <v>83.13</v>
      </c>
      <c r="AW27" s="131" t="n">
        <f aca="false">IF(OR($C27="",$B$2="",$D$2=0),0,IF(AW$3&lt;0,0,N(INDEX('CURVA PREVISION'!$A$1:$KZ$3000,$C27,10+3*MIN(AW$3,$D$2-1)))))</f>
        <v>88.59</v>
      </c>
      <c r="AX27" s="131" t="n">
        <f aca="false">IF(OR($C27="",$B$2="",$D$2=0),0,IF(AX$3&lt;0,0,N(INDEX('CURVA PREVISION'!$A$1:$KZ$3000,$C27,10+3*MIN(AX$3,$D$2-1)))))</f>
        <v>91.6</v>
      </c>
      <c r="AY27" s="131" t="n">
        <f aca="false">IF(OR($C27="",$B$2="",$D$2=0),0,IF(AY$3&lt;0,0,N(INDEX('CURVA PREVISION'!$A$1:$KZ$3000,$C27,10+3*MIN(AY$3,$D$2-1)))))</f>
        <v>93.8</v>
      </c>
      <c r="AZ27" s="131" t="n">
        <f aca="false">IF(OR($C27="",$B$2="",$D$2=0),0,IF(AZ$3&lt;0,0,N(INDEX('CURVA PREVISION'!$A$1:$KZ$3000,$C27,10+3*MIN(AZ$3,$D$2-1)))))</f>
        <v>95.43</v>
      </c>
      <c r="BA27" s="131" t="n">
        <f aca="false">IF(OR($C27="",$B$2="",$D$2=0),0,IF(BA$3&lt;0,0,N(INDEX('CURVA PREVISION'!$A$1:$KZ$3000,$C27,10+3*MIN(BA$3,$D$2-1)))))</f>
        <v>98.32</v>
      </c>
      <c r="BB27" s="131" t="n">
        <f aca="false">IF(OR($C27="",$B$2="",$D$2=0),0,IF(BB$3&lt;0,0,N(INDEX('CURVA PREVISION'!$A$1:$KZ$3000,$C27,10+3*MIN(BB$3,$D$2-1)))))</f>
        <v>100</v>
      </c>
      <c r="BC27" s="131" t="n">
        <f aca="false">IF(OR($C27="",$B$2="",$D$2=0),0,IF(BC$3&lt;0,0,N(INDEX('CURVA PREVISION'!$A$1:$KZ$3000,$C27,10+3*MIN(BC$3,$D$2-1)))))</f>
        <v>100</v>
      </c>
      <c r="BD27" s="131" t="n">
        <f aca="false">IF(OR($C27="",$B$2="",$D$2=0),0,IF(BD$3&lt;0,0,N(INDEX('CURVA PREVISION'!$A$1:$KZ$3000,$C27,10+3*MIN(BD$3,$D$2-1)))))</f>
        <v>100</v>
      </c>
      <c r="BE27" s="131" t="n">
        <f aca="false">IF(OR($C27="",$B$2="",$D$2=0),0,IF(BE$3&lt;0,0,N(INDEX('CURVA PREVISION'!$A$1:$KZ$3000,$C27,10+3*MIN(BE$3,$D$2-1)))))</f>
        <v>100</v>
      </c>
      <c r="BF27" s="131" t="n">
        <f aca="false">IF(OR($C27="",$B$2="",$D$2=0),0,IF(BF$3&lt;0,0,N(INDEX('CURVA PREVISION'!$A$1:$KZ$3000,$C27,10+3*MIN(BF$3,$D$2-1)))))</f>
        <v>100</v>
      </c>
      <c r="BG27" s="131" t="n">
        <f aca="false">IF(OR($C27="",$B$2="",$D$2=0),0,IF(BG$3&lt;0,0,N(INDEX('CURVA PREVISION'!$A$1:$KZ$3000,$C27,10+3*MIN(BG$3,$D$2-1)))))</f>
        <v>100</v>
      </c>
      <c r="BH27" s="131" t="n">
        <f aca="false">IF(OR($C27="",$B$2="",$D$2=0),0,IF(BH$3&lt;0,0,N(INDEX('CURVA PREVISION'!$A$1:$KZ$3000,$C27,10+3*MIN(BH$3,$D$2-1)))))</f>
        <v>100</v>
      </c>
      <c r="BI27" s="131" t="n">
        <f aca="false">IF(OR($C27="",$B$2="",$D$2=0),0,IF(BI$3&lt;0,0,N(INDEX('CURVA PREVISION'!$A$1:$KZ$3000,$C27,10+3*MIN(BI$3,$D$2-1)))))</f>
        <v>100</v>
      </c>
      <c r="BJ27" s="131" t="n">
        <f aca="false">IF(OR($C27="",$B$2="",$D$2=0),0,IF(BJ$3&lt;0,0,N(INDEX('CURVA PREVISION'!$A$1:$KZ$3000,$C27,10+3*MIN(BJ$3,$D$2-1)))))</f>
        <v>100</v>
      </c>
      <c r="BK27" s="131" t="n">
        <f aca="false">IF(OR($C27="",$B$2="",$D$2=0),0,IF(BK$3&lt;0,0,N(INDEX('CURVA PREVISION'!$A$1:$KZ$3000,$C27,10+3*MIN(BK$3,$D$2-1)))))</f>
        <v>100</v>
      </c>
      <c r="BL27" s="131" t="n">
        <f aca="false">IF(OR($C27="",$B$2="",$D$2=0),0,IF(BL$3&lt;0,0,N(INDEX('CURVA PREVISION'!$A$1:$KZ$3000,$C27,10+3*MIN(BL$3,$D$2-1)))))</f>
        <v>100</v>
      </c>
      <c r="BM27" s="131" t="n">
        <f aca="false">IF(OR($C27="",$B$2="",$D$2=0),0,IF(BM$3&lt;0,0,N(INDEX('CURVA PREVISION'!$A$1:$KZ$3000,$C27,10+3*MIN(BM$3,$D$2-1)))))</f>
        <v>100</v>
      </c>
      <c r="BN27" s="131" t="n">
        <f aca="false">IF(OR($C27="",$B$2="",$D$2=0),0,IF(BN$3&lt;0,0,N(INDEX('CURVA PREVISION'!$A$1:$KZ$3000,$C27,10+3*MIN(BN$3,$D$2-1)))))</f>
        <v>100</v>
      </c>
      <c r="BO27" s="131" t="n">
        <f aca="false">IF(OR($C27="",$B$2="",$D$2=0),0,IF(BO$3&lt;0,0,N(INDEX('CURVA PREVISION'!$A$1:$KZ$3000,$C27,10+3*MIN(BO$3,$D$2-1)))))</f>
        <v>100</v>
      </c>
      <c r="BP27" s="131" t="n">
        <f aca="false">IF(OR($C27="",$B$2="",$D$2=0),0,IF(BP$3&lt;0,0,N(INDEX('CURVA PREVISION'!$A$1:$KZ$3000,$C27,10+3*MIN(BP$3,$D$2-1)))))</f>
        <v>100</v>
      </c>
      <c r="BQ27" s="131" t="n">
        <f aca="false">IF(OR($C27="",$B$2="",$D$2=0),0,IF(BQ$3&lt;0,0,N(INDEX('CURVA PREVISION'!$A$1:$KZ$3000,$C27,10+3*MIN(BQ$3,$D$2-1)))))</f>
        <v>100</v>
      </c>
      <c r="BR27" s="131" t="n">
        <f aca="false">IF(OR($C27="",$B$2="",$D$2=0),0,IF(BR$3&lt;0,0,N(INDEX('CURVA PREVISION'!$A$1:$KZ$3000,$C27,10+3*MIN(BR$3,$D$2-1)))))</f>
        <v>100</v>
      </c>
      <c r="BS27" s="131" t="n">
        <f aca="false">IF(OR($C27="",$B$2="",$D$2=0),0,IF(BS$3&lt;0,0,N(INDEX('CURVA PREVISION'!$A$1:$KZ$3000,$C27,10+3*MIN(BS$3,$D$2-1)))))</f>
        <v>100</v>
      </c>
      <c r="BT27" s="131" t="n">
        <f aca="false">IF(OR($C27="",$B$2="",$D$2=0),0,IF(BT$3&lt;0,0,N(INDEX('CURVA PREVISION'!$A$1:$KZ$3000,$C27,10+3*MIN(BT$3,$D$2-1)))))</f>
        <v>100</v>
      </c>
      <c r="BU27" s="131" t="n">
        <f aca="false">IF(OR($C27="",$B$2="",$D$2=0),0,IF(BU$3&lt;0,0,N(INDEX('CURVA PREVISION'!$A$1:$KZ$3000,$C27,10+3*MIN(BU$3,$D$2-1)))))</f>
        <v>100</v>
      </c>
      <c r="BV27" s="131" t="n">
        <f aca="false">IF(OR($C27="",$B$2="",$D$2=0),0,IF(BV$3&lt;0,0,N(INDEX('CURVA PREVISION'!$A$1:$KZ$3000,$C27,10+3*MIN(BV$3,$D$2-1)))))</f>
        <v>100</v>
      </c>
      <c r="BW27" s="131" t="n">
        <f aca="false">IF(OR($C27="",$B$2="",$D$2=0),0,IF(BW$3&lt;0,0,N(INDEX('CURVA PREVISION'!$A$1:$KZ$3000,$C27,10+3*MIN(BW$3,$D$2-1)))))</f>
        <v>100</v>
      </c>
    </row>
    <row r="28" customFormat="false" ht="15" hidden="false" customHeight="false" outlineLevel="0" collapsed="false">
      <c r="A28" s="57" t="str">
        <f aca="false">IF('VALOR POR PL'!R34&lt;&gt;"",'VALOR POR PL'!R34,IF('VALOR POR PL'!Q34="",'VALOR POR PL'!C34,'VALOR POR PL'!Q34))</f>
        <v>24</v>
      </c>
      <c r="B28" s="57" t="str">
        <f aca="false">'VALOR POR PL'!D34</f>
        <v>ELEVADORES</v>
      </c>
      <c r="C28" s="64" t="n">
        <f aca="false">IFERROR(MATCH(A28,'CURVA PREVISION'!$B$1:$B$3000,0),"")</f>
        <v>563</v>
      </c>
      <c r="D28" s="131" t="n">
        <f aca="false">IF(OR($C28="",$B$2="",$D$2=0),0,IF(D$3&lt;0,0,N(INDEX('CURVA PREVISION'!$A$1:$KZ$3000,$C28,10+3*MIN(D$3,$D$2-1)))))</f>
        <v>0</v>
      </c>
      <c r="E28" s="131" t="n">
        <f aca="false">IF(OR($C28="",$B$2="",$D$2=0),0,IF(E$3&lt;0,0,N(INDEX('CURVA PREVISION'!$A$1:$KZ$3000,$C28,10+3*MIN(E$3,$D$2-1)))))</f>
        <v>0</v>
      </c>
      <c r="F28" s="131" t="n">
        <f aca="false">IF(OR($C28="",$B$2="",$D$2=0),0,IF(F$3&lt;0,0,N(INDEX('CURVA PREVISION'!$A$1:$KZ$3000,$C28,10+3*MIN(F$3,$D$2-1)))))</f>
        <v>0</v>
      </c>
      <c r="G28" s="131" t="n">
        <f aca="false">IF(OR($C28="",$B$2="",$D$2=0),0,IF(G$3&lt;0,0,N(INDEX('CURVA PREVISION'!$A$1:$KZ$3000,$C28,10+3*MIN(G$3,$D$2-1)))))</f>
        <v>0</v>
      </c>
      <c r="H28" s="131" t="n">
        <f aca="false">IF(OR($C28="",$B$2="",$D$2=0),0,IF(H$3&lt;0,0,N(INDEX('CURVA PREVISION'!$A$1:$KZ$3000,$C28,10+3*MIN(H$3,$D$2-1)))))</f>
        <v>0</v>
      </c>
      <c r="I28" s="131" t="n">
        <f aca="false">IF(OR($C28="",$B$2="",$D$2=0),0,IF(I$3&lt;0,0,N(INDEX('CURVA PREVISION'!$A$1:$KZ$3000,$C28,10+3*MIN(I$3,$D$2-1)))))</f>
        <v>0</v>
      </c>
      <c r="J28" s="131" t="n">
        <f aca="false">IF(OR($C28="",$B$2="",$D$2=0),0,IF(J$3&lt;0,0,N(INDEX('CURVA PREVISION'!$A$1:$KZ$3000,$C28,10+3*MIN(J$3,$D$2-1)))))</f>
        <v>0</v>
      </c>
      <c r="K28" s="131" t="n">
        <f aca="false">IF(OR($C28="",$B$2="",$D$2=0),0,IF(K$3&lt;0,0,N(INDEX('CURVA PREVISION'!$A$1:$KZ$3000,$C28,10+3*MIN(K$3,$D$2-1)))))</f>
        <v>0</v>
      </c>
      <c r="L28" s="131" t="n">
        <f aca="false">IF(OR($C28="",$B$2="",$D$2=0),0,IF(L$3&lt;0,0,N(INDEX('CURVA PREVISION'!$A$1:$KZ$3000,$C28,10+3*MIN(L$3,$D$2-1)))))</f>
        <v>0</v>
      </c>
      <c r="M28" s="131" t="n">
        <f aca="false">IF(OR($C28="",$B$2="",$D$2=0),0,IF(M$3&lt;0,0,N(INDEX('CURVA PREVISION'!$A$1:$KZ$3000,$C28,10+3*MIN(M$3,$D$2-1)))))</f>
        <v>0</v>
      </c>
      <c r="N28" s="131" t="n">
        <f aca="false">IF(OR($C28="",$B$2="",$D$2=0),0,IF(N$3&lt;0,0,N(INDEX('CURVA PREVISION'!$A$1:$KZ$3000,$C28,10+3*MIN(N$3,$D$2-1)))))</f>
        <v>0</v>
      </c>
      <c r="O28" s="131" t="n">
        <f aca="false">IF(OR($C28="",$B$2="",$D$2=0),0,IF(O$3&lt;0,0,N(INDEX('CURVA PREVISION'!$A$1:$KZ$3000,$C28,10+3*MIN(O$3,$D$2-1)))))</f>
        <v>0</v>
      </c>
      <c r="P28" s="131" t="n">
        <f aca="false">IF(OR($C28="",$B$2="",$D$2=0),0,IF(P$3&lt;0,0,N(INDEX('CURVA PREVISION'!$A$1:$KZ$3000,$C28,10+3*MIN(P$3,$D$2-1)))))</f>
        <v>0</v>
      </c>
      <c r="Q28" s="131" t="n">
        <f aca="false">IF(OR($C28="",$B$2="",$D$2=0),0,IF(Q$3&lt;0,0,N(INDEX('CURVA PREVISION'!$A$1:$KZ$3000,$C28,10+3*MIN(Q$3,$D$2-1)))))</f>
        <v>0</v>
      </c>
      <c r="R28" s="131" t="n">
        <f aca="false">IF(OR($C28="",$B$2="",$D$2=0),0,IF(R$3&lt;0,0,N(INDEX('CURVA PREVISION'!$A$1:$KZ$3000,$C28,10+3*MIN(R$3,$D$2-1)))))</f>
        <v>0</v>
      </c>
      <c r="S28" s="131" t="n">
        <f aca="false">IF(OR($C28="",$B$2="",$D$2=0),0,IF(S$3&lt;0,0,N(INDEX('CURVA PREVISION'!$A$1:$KZ$3000,$C28,10+3*MIN(S$3,$D$2-1)))))</f>
        <v>0</v>
      </c>
      <c r="T28" s="131" t="n">
        <f aca="false">IF(OR($C28="",$B$2="",$D$2=0),0,IF(T$3&lt;0,0,N(INDEX('CURVA PREVISION'!$A$1:$KZ$3000,$C28,10+3*MIN(T$3,$D$2-1)))))</f>
        <v>0</v>
      </c>
      <c r="U28" s="131" t="n">
        <f aca="false">IF(OR($C28="",$B$2="",$D$2=0),0,IF(U$3&lt;0,0,N(INDEX('CURVA PREVISION'!$A$1:$KZ$3000,$C28,10+3*MIN(U$3,$D$2-1)))))</f>
        <v>0</v>
      </c>
      <c r="V28" s="131" t="n">
        <f aca="false">IF(OR($C28="",$B$2="",$D$2=0),0,IF(V$3&lt;0,0,N(INDEX('CURVA PREVISION'!$A$1:$KZ$3000,$C28,10+3*MIN(V$3,$D$2-1)))))</f>
        <v>0</v>
      </c>
      <c r="W28" s="131" t="n">
        <f aca="false">IF(OR($C28="",$B$2="",$D$2=0),0,IF(W$3&lt;0,0,N(INDEX('CURVA PREVISION'!$A$1:$KZ$3000,$C28,10+3*MIN(W$3,$D$2-1)))))</f>
        <v>0</v>
      </c>
      <c r="X28" s="131" t="n">
        <f aca="false">IF(OR($C28="",$B$2="",$D$2=0),0,IF(X$3&lt;0,0,N(INDEX('CURVA PREVISION'!$A$1:$KZ$3000,$C28,10+3*MIN(X$3,$D$2-1)))))</f>
        <v>0</v>
      </c>
      <c r="Y28" s="131" t="n">
        <f aca="false">IF(OR($C28="",$B$2="",$D$2=0),0,IF(Y$3&lt;0,0,N(INDEX('CURVA PREVISION'!$A$1:$KZ$3000,$C28,10+3*MIN(Y$3,$D$2-1)))))</f>
        <v>0</v>
      </c>
      <c r="Z28" s="131" t="n">
        <f aca="false">IF(OR($C28="",$B$2="",$D$2=0),0,IF(Z$3&lt;0,0,N(INDEX('CURVA PREVISION'!$A$1:$KZ$3000,$C28,10+3*MIN(Z$3,$D$2-1)))))</f>
        <v>0</v>
      </c>
      <c r="AA28" s="131" t="n">
        <f aca="false">IF(OR($C28="",$B$2="",$D$2=0),0,IF(AA$3&lt;0,0,N(INDEX('CURVA PREVISION'!$A$1:$KZ$3000,$C28,10+3*MIN(AA$3,$D$2-1)))))</f>
        <v>0</v>
      </c>
      <c r="AB28" s="131" t="n">
        <f aca="false">IF(OR($C28="",$B$2="",$D$2=0),0,IF(AB$3&lt;0,0,N(INDEX('CURVA PREVISION'!$A$1:$KZ$3000,$C28,10+3*MIN(AB$3,$D$2-1)))))</f>
        <v>0</v>
      </c>
      <c r="AC28" s="131" t="n">
        <f aca="false">IF(OR($C28="",$B$2="",$D$2=0),0,IF(AC$3&lt;0,0,N(INDEX('CURVA PREVISION'!$A$1:$KZ$3000,$C28,10+3*MIN(AC$3,$D$2-1)))))</f>
        <v>0</v>
      </c>
      <c r="AD28" s="131" t="n">
        <f aca="false">IF(OR($C28="",$B$2="",$D$2=0),0,IF(AD$3&lt;0,0,N(INDEX('CURVA PREVISION'!$A$1:$KZ$3000,$C28,10+3*MIN(AD$3,$D$2-1)))))</f>
        <v>0</v>
      </c>
      <c r="AE28" s="131" t="n">
        <f aca="false">IF(OR($C28="",$B$2="",$D$2=0),0,IF(AE$3&lt;0,0,N(INDEX('CURVA PREVISION'!$A$1:$KZ$3000,$C28,10+3*MIN(AE$3,$D$2-1)))))</f>
        <v>0</v>
      </c>
      <c r="AF28" s="131" t="n">
        <f aca="false">IF(OR($C28="",$B$2="",$D$2=0),0,IF(AF$3&lt;0,0,N(INDEX('CURVA PREVISION'!$A$1:$KZ$3000,$C28,10+3*MIN(AF$3,$D$2-1)))))</f>
        <v>0</v>
      </c>
      <c r="AG28" s="131" t="n">
        <f aca="false">IF(OR($C28="",$B$2="",$D$2=0),0,IF(AG$3&lt;0,0,N(INDEX('CURVA PREVISION'!$A$1:$KZ$3000,$C28,10+3*MIN(AG$3,$D$2-1)))))</f>
        <v>0</v>
      </c>
      <c r="AH28" s="131" t="n">
        <f aca="false">IF(OR($C28="",$B$2="",$D$2=0),0,IF(AH$3&lt;0,0,N(INDEX('CURVA PREVISION'!$A$1:$KZ$3000,$C28,10+3*MIN(AH$3,$D$2-1)))))</f>
        <v>0</v>
      </c>
      <c r="AI28" s="131" t="n">
        <f aca="false">IF(OR($C28="",$B$2="",$D$2=0),0,IF(AI$3&lt;0,0,N(INDEX('CURVA PREVISION'!$A$1:$KZ$3000,$C28,10+3*MIN(AI$3,$D$2-1)))))</f>
        <v>0</v>
      </c>
      <c r="AJ28" s="131" t="n">
        <f aca="false">IF(OR($C28="",$B$2="",$D$2=0),0,IF(AJ$3&lt;0,0,N(INDEX('CURVA PREVISION'!$A$1:$KZ$3000,$C28,10+3*MIN(AJ$3,$D$2-1)))))</f>
        <v>0</v>
      </c>
      <c r="AK28" s="131" t="n">
        <f aca="false">IF(OR($C28="",$B$2="",$D$2=0),0,IF(AK$3&lt;0,0,N(INDEX('CURVA PREVISION'!$A$1:$KZ$3000,$C28,10+3*MIN(AK$3,$D$2-1)))))</f>
        <v>0</v>
      </c>
      <c r="AL28" s="131" t="n">
        <f aca="false">IF(OR($C28="",$B$2="",$D$2=0),0,IF(AL$3&lt;0,0,N(INDEX('CURVA PREVISION'!$A$1:$KZ$3000,$C28,10+3*MIN(AL$3,$D$2-1)))))</f>
        <v>0</v>
      </c>
      <c r="AM28" s="131" t="n">
        <f aca="false">IF(OR($C28="",$B$2="",$D$2=0),0,IF(AM$3&lt;0,0,N(INDEX('CURVA PREVISION'!$A$1:$KZ$3000,$C28,10+3*MIN(AM$3,$D$2-1)))))</f>
        <v>0</v>
      </c>
      <c r="AN28" s="131" t="n">
        <f aca="false">IF(OR($C28="",$B$2="",$D$2=0),0,IF(AN$3&lt;0,0,N(INDEX('CURVA PREVISION'!$A$1:$KZ$3000,$C28,10+3*MIN(AN$3,$D$2-1)))))</f>
        <v>0</v>
      </c>
      <c r="AO28" s="131" t="n">
        <f aca="false">IF(OR($C28="",$B$2="",$D$2=0),0,IF(AO$3&lt;0,0,N(INDEX('CURVA PREVISION'!$A$1:$KZ$3000,$C28,10+3*MIN(AO$3,$D$2-1)))))</f>
        <v>0</v>
      </c>
      <c r="AP28" s="131" t="n">
        <f aca="false">IF(OR($C28="",$B$2="",$D$2=0),0,IF(AP$3&lt;0,0,N(INDEX('CURVA PREVISION'!$A$1:$KZ$3000,$C28,10+3*MIN(AP$3,$D$2-1)))))</f>
        <v>0</v>
      </c>
      <c r="AQ28" s="131" t="n">
        <f aca="false">IF(OR($C28="",$B$2="",$D$2=0),0,IF(AQ$3&lt;0,0,N(INDEX('CURVA PREVISION'!$A$1:$KZ$3000,$C28,10+3*MIN(AQ$3,$D$2-1)))))</f>
        <v>0</v>
      </c>
      <c r="AR28" s="131" t="n">
        <f aca="false">IF(OR($C28="",$B$2="",$D$2=0),0,IF(AR$3&lt;0,0,N(INDEX('CURVA PREVISION'!$A$1:$KZ$3000,$C28,10+3*MIN(AR$3,$D$2-1)))))</f>
        <v>0</v>
      </c>
      <c r="AS28" s="131" t="n">
        <f aca="false">IF(OR($C28="",$B$2="",$D$2=0),0,IF(AS$3&lt;0,0,N(INDEX('CURVA PREVISION'!$A$1:$KZ$3000,$C28,10+3*MIN(AS$3,$D$2-1)))))</f>
        <v>9.09</v>
      </c>
      <c r="AT28" s="131" t="n">
        <f aca="false">IF(OR($C28="",$B$2="",$D$2=0),0,IF(AT$3&lt;0,0,N(INDEX('CURVA PREVISION'!$A$1:$KZ$3000,$C28,10+3*MIN(AT$3,$D$2-1)))))</f>
        <v>30.3</v>
      </c>
      <c r="AU28" s="131" t="n">
        <f aca="false">IF(OR($C28="",$B$2="",$D$2=0),0,IF(AU$3&lt;0,0,N(INDEX('CURVA PREVISION'!$A$1:$KZ$3000,$C28,10+3*MIN(AU$3,$D$2-1)))))</f>
        <v>51.52</v>
      </c>
      <c r="AV28" s="131" t="n">
        <f aca="false">IF(OR($C28="",$B$2="",$D$2=0),0,IF(AV$3&lt;0,0,N(INDEX('CURVA PREVISION'!$A$1:$KZ$3000,$C28,10+3*MIN(AV$3,$D$2-1)))))</f>
        <v>73.74</v>
      </c>
      <c r="AW28" s="131" t="n">
        <f aca="false">IF(OR($C28="",$B$2="",$D$2=0),0,IF(AW$3&lt;0,0,N(INDEX('CURVA PREVISION'!$A$1:$KZ$3000,$C28,10+3*MIN(AW$3,$D$2-1)))))</f>
        <v>93.94</v>
      </c>
      <c r="AX28" s="131" t="n">
        <f aca="false">IF(OR($C28="",$B$2="",$D$2=0),0,IF(AX$3&lt;0,0,N(INDEX('CURVA PREVISION'!$A$1:$KZ$3000,$C28,10+3*MIN(AX$3,$D$2-1)))))</f>
        <v>100</v>
      </c>
      <c r="AY28" s="131" t="n">
        <f aca="false">IF(OR($C28="",$B$2="",$D$2=0),0,IF(AY$3&lt;0,0,N(INDEX('CURVA PREVISION'!$A$1:$KZ$3000,$C28,10+3*MIN(AY$3,$D$2-1)))))</f>
        <v>100</v>
      </c>
      <c r="AZ28" s="131" t="n">
        <f aca="false">IF(OR($C28="",$B$2="",$D$2=0),0,IF(AZ$3&lt;0,0,N(INDEX('CURVA PREVISION'!$A$1:$KZ$3000,$C28,10+3*MIN(AZ$3,$D$2-1)))))</f>
        <v>100</v>
      </c>
      <c r="BA28" s="131" t="n">
        <f aca="false">IF(OR($C28="",$B$2="",$D$2=0),0,IF(BA$3&lt;0,0,N(INDEX('CURVA PREVISION'!$A$1:$KZ$3000,$C28,10+3*MIN(BA$3,$D$2-1)))))</f>
        <v>100</v>
      </c>
      <c r="BB28" s="131" t="n">
        <f aca="false">IF(OR($C28="",$B$2="",$D$2=0),0,IF(BB$3&lt;0,0,N(INDEX('CURVA PREVISION'!$A$1:$KZ$3000,$C28,10+3*MIN(BB$3,$D$2-1)))))</f>
        <v>100</v>
      </c>
      <c r="BC28" s="131" t="n">
        <f aca="false">IF(OR($C28="",$B$2="",$D$2=0),0,IF(BC$3&lt;0,0,N(INDEX('CURVA PREVISION'!$A$1:$KZ$3000,$C28,10+3*MIN(BC$3,$D$2-1)))))</f>
        <v>100</v>
      </c>
      <c r="BD28" s="131" t="n">
        <f aca="false">IF(OR($C28="",$B$2="",$D$2=0),0,IF(BD$3&lt;0,0,N(INDEX('CURVA PREVISION'!$A$1:$KZ$3000,$C28,10+3*MIN(BD$3,$D$2-1)))))</f>
        <v>100</v>
      </c>
      <c r="BE28" s="131" t="n">
        <f aca="false">IF(OR($C28="",$B$2="",$D$2=0),0,IF(BE$3&lt;0,0,N(INDEX('CURVA PREVISION'!$A$1:$KZ$3000,$C28,10+3*MIN(BE$3,$D$2-1)))))</f>
        <v>100</v>
      </c>
      <c r="BF28" s="131" t="n">
        <f aca="false">IF(OR($C28="",$B$2="",$D$2=0),0,IF(BF$3&lt;0,0,N(INDEX('CURVA PREVISION'!$A$1:$KZ$3000,$C28,10+3*MIN(BF$3,$D$2-1)))))</f>
        <v>100</v>
      </c>
      <c r="BG28" s="131" t="n">
        <f aca="false">IF(OR($C28="",$B$2="",$D$2=0),0,IF(BG$3&lt;0,0,N(INDEX('CURVA PREVISION'!$A$1:$KZ$3000,$C28,10+3*MIN(BG$3,$D$2-1)))))</f>
        <v>100</v>
      </c>
      <c r="BH28" s="131" t="n">
        <f aca="false">IF(OR($C28="",$B$2="",$D$2=0),0,IF(BH$3&lt;0,0,N(INDEX('CURVA PREVISION'!$A$1:$KZ$3000,$C28,10+3*MIN(BH$3,$D$2-1)))))</f>
        <v>100</v>
      </c>
      <c r="BI28" s="131" t="n">
        <f aca="false">IF(OR($C28="",$B$2="",$D$2=0),0,IF(BI$3&lt;0,0,N(INDEX('CURVA PREVISION'!$A$1:$KZ$3000,$C28,10+3*MIN(BI$3,$D$2-1)))))</f>
        <v>100</v>
      </c>
      <c r="BJ28" s="131" t="n">
        <f aca="false">IF(OR($C28="",$B$2="",$D$2=0),0,IF(BJ$3&lt;0,0,N(INDEX('CURVA PREVISION'!$A$1:$KZ$3000,$C28,10+3*MIN(BJ$3,$D$2-1)))))</f>
        <v>100</v>
      </c>
      <c r="BK28" s="131" t="n">
        <f aca="false">IF(OR($C28="",$B$2="",$D$2=0),0,IF(BK$3&lt;0,0,N(INDEX('CURVA PREVISION'!$A$1:$KZ$3000,$C28,10+3*MIN(BK$3,$D$2-1)))))</f>
        <v>100</v>
      </c>
      <c r="BL28" s="131" t="n">
        <f aca="false">IF(OR($C28="",$B$2="",$D$2=0),0,IF(BL$3&lt;0,0,N(INDEX('CURVA PREVISION'!$A$1:$KZ$3000,$C28,10+3*MIN(BL$3,$D$2-1)))))</f>
        <v>100</v>
      </c>
      <c r="BM28" s="131" t="n">
        <f aca="false">IF(OR($C28="",$B$2="",$D$2=0),0,IF(BM$3&lt;0,0,N(INDEX('CURVA PREVISION'!$A$1:$KZ$3000,$C28,10+3*MIN(BM$3,$D$2-1)))))</f>
        <v>100</v>
      </c>
      <c r="BN28" s="131" t="n">
        <f aca="false">IF(OR($C28="",$B$2="",$D$2=0),0,IF(BN$3&lt;0,0,N(INDEX('CURVA PREVISION'!$A$1:$KZ$3000,$C28,10+3*MIN(BN$3,$D$2-1)))))</f>
        <v>100</v>
      </c>
      <c r="BO28" s="131" t="n">
        <f aca="false">IF(OR($C28="",$B$2="",$D$2=0),0,IF(BO$3&lt;0,0,N(INDEX('CURVA PREVISION'!$A$1:$KZ$3000,$C28,10+3*MIN(BO$3,$D$2-1)))))</f>
        <v>100</v>
      </c>
      <c r="BP28" s="131" t="n">
        <f aca="false">IF(OR($C28="",$B$2="",$D$2=0),0,IF(BP$3&lt;0,0,N(INDEX('CURVA PREVISION'!$A$1:$KZ$3000,$C28,10+3*MIN(BP$3,$D$2-1)))))</f>
        <v>100</v>
      </c>
      <c r="BQ28" s="131" t="n">
        <f aca="false">IF(OR($C28="",$B$2="",$D$2=0),0,IF(BQ$3&lt;0,0,N(INDEX('CURVA PREVISION'!$A$1:$KZ$3000,$C28,10+3*MIN(BQ$3,$D$2-1)))))</f>
        <v>100</v>
      </c>
      <c r="BR28" s="131" t="n">
        <f aca="false">IF(OR($C28="",$B$2="",$D$2=0),0,IF(BR$3&lt;0,0,N(INDEX('CURVA PREVISION'!$A$1:$KZ$3000,$C28,10+3*MIN(BR$3,$D$2-1)))))</f>
        <v>100</v>
      </c>
      <c r="BS28" s="131" t="n">
        <f aca="false">IF(OR($C28="",$B$2="",$D$2=0),0,IF(BS$3&lt;0,0,N(INDEX('CURVA PREVISION'!$A$1:$KZ$3000,$C28,10+3*MIN(BS$3,$D$2-1)))))</f>
        <v>100</v>
      </c>
      <c r="BT28" s="131" t="n">
        <f aca="false">IF(OR($C28="",$B$2="",$D$2=0),0,IF(BT$3&lt;0,0,N(INDEX('CURVA PREVISION'!$A$1:$KZ$3000,$C28,10+3*MIN(BT$3,$D$2-1)))))</f>
        <v>100</v>
      </c>
      <c r="BU28" s="131" t="n">
        <f aca="false">IF(OR($C28="",$B$2="",$D$2=0),0,IF(BU$3&lt;0,0,N(INDEX('CURVA PREVISION'!$A$1:$KZ$3000,$C28,10+3*MIN(BU$3,$D$2-1)))))</f>
        <v>100</v>
      </c>
      <c r="BV28" s="131" t="n">
        <f aca="false">IF(OR($C28="",$B$2="",$D$2=0),0,IF(BV$3&lt;0,0,N(INDEX('CURVA PREVISION'!$A$1:$KZ$3000,$C28,10+3*MIN(BV$3,$D$2-1)))))</f>
        <v>100</v>
      </c>
      <c r="BW28" s="131" t="n">
        <f aca="false">IF(OR($C28="",$B$2="",$D$2=0),0,IF(BW$3&lt;0,0,N(INDEX('CURVA PREVISION'!$A$1:$KZ$3000,$C28,10+3*MIN(BW$3,$D$2-1)))))</f>
        <v>100</v>
      </c>
    </row>
    <row r="29" customFormat="false" ht="15" hidden="false" customHeight="false" outlineLevel="0" collapsed="false">
      <c r="A29" s="57" t="str">
        <f aca="false">IF('VALOR POR PL'!R35&lt;&gt;"",'VALOR POR PL'!R35,IF('VALOR POR PL'!Q35="",'VALOR POR PL'!C35,'VALOR POR PL'!Q35))</f>
        <v>25</v>
      </c>
      <c r="B29" s="57" t="str">
        <f aca="false">'VALOR POR PL'!D35</f>
        <v>ESQUADRIAS</v>
      </c>
      <c r="C29" s="64" t="n">
        <f aca="false">IFERROR(MATCH(A29,'CURVA PREVISION'!$B$1:$B$3000,0),"")</f>
        <v>571</v>
      </c>
      <c r="D29" s="131" t="n">
        <f aca="false">IF(OR($C29="",$B$2="",$D$2=0),0,IF(D$3&lt;0,0,N(INDEX('CURVA PREVISION'!$A$1:$KZ$3000,$C29,10+3*MIN(D$3,$D$2-1)))))</f>
        <v>0</v>
      </c>
      <c r="E29" s="131" t="n">
        <f aca="false">IF(OR($C29="",$B$2="",$D$2=0),0,IF(E$3&lt;0,0,N(INDEX('CURVA PREVISION'!$A$1:$KZ$3000,$C29,10+3*MIN(E$3,$D$2-1)))))</f>
        <v>0</v>
      </c>
      <c r="F29" s="131" t="n">
        <f aca="false">IF(OR($C29="",$B$2="",$D$2=0),0,IF(F$3&lt;0,0,N(INDEX('CURVA PREVISION'!$A$1:$KZ$3000,$C29,10+3*MIN(F$3,$D$2-1)))))</f>
        <v>0</v>
      </c>
      <c r="G29" s="131" t="n">
        <f aca="false">IF(OR($C29="",$B$2="",$D$2=0),0,IF(G$3&lt;0,0,N(INDEX('CURVA PREVISION'!$A$1:$KZ$3000,$C29,10+3*MIN(G$3,$D$2-1)))))</f>
        <v>0</v>
      </c>
      <c r="H29" s="131" t="n">
        <f aca="false">IF(OR($C29="",$B$2="",$D$2=0),0,IF(H$3&lt;0,0,N(INDEX('CURVA PREVISION'!$A$1:$KZ$3000,$C29,10+3*MIN(H$3,$D$2-1)))))</f>
        <v>0</v>
      </c>
      <c r="I29" s="131" t="n">
        <f aca="false">IF(OR($C29="",$B$2="",$D$2=0),0,IF(I$3&lt;0,0,N(INDEX('CURVA PREVISION'!$A$1:$KZ$3000,$C29,10+3*MIN(I$3,$D$2-1)))))</f>
        <v>0</v>
      </c>
      <c r="J29" s="131" t="n">
        <f aca="false">IF(OR($C29="",$B$2="",$D$2=0),0,IF(J$3&lt;0,0,N(INDEX('CURVA PREVISION'!$A$1:$KZ$3000,$C29,10+3*MIN(J$3,$D$2-1)))))</f>
        <v>0</v>
      </c>
      <c r="K29" s="131" t="n">
        <f aca="false">IF(OR($C29="",$B$2="",$D$2=0),0,IF(K$3&lt;0,0,N(INDEX('CURVA PREVISION'!$A$1:$KZ$3000,$C29,10+3*MIN(K$3,$D$2-1)))))</f>
        <v>0</v>
      </c>
      <c r="L29" s="131" t="n">
        <f aca="false">IF(OR($C29="",$B$2="",$D$2=0),0,IF(L$3&lt;0,0,N(INDEX('CURVA PREVISION'!$A$1:$KZ$3000,$C29,10+3*MIN(L$3,$D$2-1)))))</f>
        <v>0</v>
      </c>
      <c r="M29" s="131" t="n">
        <f aca="false">IF(OR($C29="",$B$2="",$D$2=0),0,IF(M$3&lt;0,0,N(INDEX('CURVA PREVISION'!$A$1:$KZ$3000,$C29,10+3*MIN(M$3,$D$2-1)))))</f>
        <v>0</v>
      </c>
      <c r="N29" s="131" t="n">
        <f aca="false">IF(OR($C29="",$B$2="",$D$2=0),0,IF(N$3&lt;0,0,N(INDEX('CURVA PREVISION'!$A$1:$KZ$3000,$C29,10+3*MIN(N$3,$D$2-1)))))</f>
        <v>0</v>
      </c>
      <c r="O29" s="131" t="n">
        <f aca="false">IF(OR($C29="",$B$2="",$D$2=0),0,IF(O$3&lt;0,0,N(INDEX('CURVA PREVISION'!$A$1:$KZ$3000,$C29,10+3*MIN(O$3,$D$2-1)))))</f>
        <v>0</v>
      </c>
      <c r="P29" s="131" t="n">
        <f aca="false">IF(OR($C29="",$B$2="",$D$2=0),0,IF(P$3&lt;0,0,N(INDEX('CURVA PREVISION'!$A$1:$KZ$3000,$C29,10+3*MIN(P$3,$D$2-1)))))</f>
        <v>0</v>
      </c>
      <c r="Q29" s="131" t="n">
        <f aca="false">IF(OR($C29="",$B$2="",$D$2=0),0,IF(Q$3&lt;0,0,N(INDEX('CURVA PREVISION'!$A$1:$KZ$3000,$C29,10+3*MIN(Q$3,$D$2-1)))))</f>
        <v>0</v>
      </c>
      <c r="R29" s="131" t="n">
        <f aca="false">IF(OR($C29="",$B$2="",$D$2=0),0,IF(R$3&lt;0,0,N(INDEX('CURVA PREVISION'!$A$1:$KZ$3000,$C29,10+3*MIN(R$3,$D$2-1)))))</f>
        <v>0</v>
      </c>
      <c r="S29" s="131" t="n">
        <f aca="false">IF(OR($C29="",$B$2="",$D$2=0),0,IF(S$3&lt;0,0,N(INDEX('CURVA PREVISION'!$A$1:$KZ$3000,$C29,10+3*MIN(S$3,$D$2-1)))))</f>
        <v>0</v>
      </c>
      <c r="T29" s="131" t="n">
        <f aca="false">IF(OR($C29="",$B$2="",$D$2=0),0,IF(T$3&lt;0,0,N(INDEX('CURVA PREVISION'!$A$1:$KZ$3000,$C29,10+3*MIN(T$3,$D$2-1)))))</f>
        <v>0</v>
      </c>
      <c r="U29" s="131" t="n">
        <f aca="false">IF(OR($C29="",$B$2="",$D$2=0),0,IF(U$3&lt;0,0,N(INDEX('CURVA PREVISION'!$A$1:$KZ$3000,$C29,10+3*MIN(U$3,$D$2-1)))))</f>
        <v>0</v>
      </c>
      <c r="V29" s="131" t="n">
        <f aca="false">IF(OR($C29="",$B$2="",$D$2=0),0,IF(V$3&lt;0,0,N(INDEX('CURVA PREVISION'!$A$1:$KZ$3000,$C29,10+3*MIN(V$3,$D$2-1)))))</f>
        <v>0</v>
      </c>
      <c r="W29" s="131" t="n">
        <f aca="false">IF(OR($C29="",$B$2="",$D$2=0),0,IF(W$3&lt;0,0,N(INDEX('CURVA PREVISION'!$A$1:$KZ$3000,$C29,10+3*MIN(W$3,$D$2-1)))))</f>
        <v>0</v>
      </c>
      <c r="X29" s="131" t="n">
        <f aca="false">IF(OR($C29="",$B$2="",$D$2=0),0,IF(X$3&lt;0,0,N(INDEX('CURVA PREVISION'!$A$1:$KZ$3000,$C29,10+3*MIN(X$3,$D$2-1)))))</f>
        <v>0</v>
      </c>
      <c r="Y29" s="131" t="n">
        <f aca="false">IF(OR($C29="",$B$2="",$D$2=0),0,IF(Y$3&lt;0,0,N(INDEX('CURVA PREVISION'!$A$1:$KZ$3000,$C29,10+3*MIN(Y$3,$D$2-1)))))</f>
        <v>0</v>
      </c>
      <c r="Z29" s="131" t="n">
        <f aca="false">IF(OR($C29="",$B$2="",$D$2=0),0,IF(Z$3&lt;0,0,N(INDEX('CURVA PREVISION'!$A$1:$KZ$3000,$C29,10+3*MIN(Z$3,$D$2-1)))))</f>
        <v>0</v>
      </c>
      <c r="AA29" s="131" t="n">
        <f aca="false">IF(OR($C29="",$B$2="",$D$2=0),0,IF(AA$3&lt;0,0,N(INDEX('CURVA PREVISION'!$A$1:$KZ$3000,$C29,10+3*MIN(AA$3,$D$2-1)))))</f>
        <v>0</v>
      </c>
      <c r="AB29" s="131" t="n">
        <f aca="false">IF(OR($C29="",$B$2="",$D$2=0),0,IF(AB$3&lt;0,0,N(INDEX('CURVA PREVISION'!$A$1:$KZ$3000,$C29,10+3*MIN(AB$3,$D$2-1)))))</f>
        <v>0</v>
      </c>
      <c r="AC29" s="131" t="n">
        <f aca="false">IF(OR($C29="",$B$2="",$D$2=0),0,IF(AC$3&lt;0,0,N(INDEX('CURVA PREVISION'!$A$1:$KZ$3000,$C29,10+3*MIN(AC$3,$D$2-1)))))</f>
        <v>0</v>
      </c>
      <c r="AD29" s="131" t="n">
        <f aca="false">IF(OR($C29="",$B$2="",$D$2=0),0,IF(AD$3&lt;0,0,N(INDEX('CURVA PREVISION'!$A$1:$KZ$3000,$C29,10+3*MIN(AD$3,$D$2-1)))))</f>
        <v>0</v>
      </c>
      <c r="AE29" s="131" t="n">
        <f aca="false">IF(OR($C29="",$B$2="",$D$2=0),0,IF(AE$3&lt;0,0,N(INDEX('CURVA PREVISION'!$A$1:$KZ$3000,$C29,10+3*MIN(AE$3,$D$2-1)))))</f>
        <v>0</v>
      </c>
      <c r="AF29" s="131" t="n">
        <f aca="false">IF(OR($C29="",$B$2="",$D$2=0),0,IF(AF$3&lt;0,0,N(INDEX('CURVA PREVISION'!$A$1:$KZ$3000,$C29,10+3*MIN(AF$3,$D$2-1)))))</f>
        <v>0</v>
      </c>
      <c r="AG29" s="131" t="n">
        <f aca="false">IF(OR($C29="",$B$2="",$D$2=0),0,IF(AG$3&lt;0,0,N(INDEX('CURVA PREVISION'!$A$1:$KZ$3000,$C29,10+3*MIN(AG$3,$D$2-1)))))</f>
        <v>0</v>
      </c>
      <c r="AH29" s="131" t="n">
        <f aca="false">IF(OR($C29="",$B$2="",$D$2=0),0,IF(AH$3&lt;0,0,N(INDEX('CURVA PREVISION'!$A$1:$KZ$3000,$C29,10+3*MIN(AH$3,$D$2-1)))))</f>
        <v>0</v>
      </c>
      <c r="AI29" s="131" t="n">
        <f aca="false">IF(OR($C29="",$B$2="",$D$2=0),0,IF(AI$3&lt;0,0,N(INDEX('CURVA PREVISION'!$A$1:$KZ$3000,$C29,10+3*MIN(AI$3,$D$2-1)))))</f>
        <v>0</v>
      </c>
      <c r="AJ29" s="131" t="n">
        <f aca="false">IF(OR($C29="",$B$2="",$D$2=0),0,IF(AJ$3&lt;0,0,N(INDEX('CURVA PREVISION'!$A$1:$KZ$3000,$C29,10+3*MIN(AJ$3,$D$2-1)))))</f>
        <v>0</v>
      </c>
      <c r="AK29" s="131" t="n">
        <f aca="false">IF(OR($C29="",$B$2="",$D$2=0),0,IF(AK$3&lt;0,0,N(INDEX('CURVA PREVISION'!$A$1:$KZ$3000,$C29,10+3*MIN(AK$3,$D$2-1)))))</f>
        <v>0</v>
      </c>
      <c r="AL29" s="131" t="n">
        <f aca="false">IF(OR($C29="",$B$2="",$D$2=0),0,IF(AL$3&lt;0,0,N(INDEX('CURVA PREVISION'!$A$1:$KZ$3000,$C29,10+3*MIN(AL$3,$D$2-1)))))</f>
        <v>0</v>
      </c>
      <c r="AM29" s="131" t="n">
        <f aca="false">IF(OR($C29="",$B$2="",$D$2=0),0,IF(AM$3&lt;0,0,N(INDEX('CURVA PREVISION'!$A$1:$KZ$3000,$C29,10+3*MIN(AM$3,$D$2-1)))))</f>
        <v>0</v>
      </c>
      <c r="AN29" s="131" t="n">
        <f aca="false">IF(OR($C29="",$B$2="",$D$2=0),0,IF(AN$3&lt;0,0,N(INDEX('CURVA PREVISION'!$A$1:$KZ$3000,$C29,10+3*MIN(AN$3,$D$2-1)))))</f>
        <v>4.72</v>
      </c>
      <c r="AO29" s="131" t="n">
        <f aca="false">IF(OR($C29="",$B$2="",$D$2=0),0,IF(AO$3&lt;0,0,N(INDEX('CURVA PREVISION'!$A$1:$KZ$3000,$C29,10+3*MIN(AO$3,$D$2-1)))))</f>
        <v>12.97</v>
      </c>
      <c r="AP29" s="131" t="n">
        <f aca="false">IF(OR($C29="",$B$2="",$D$2=0),0,IF(AP$3&lt;0,0,N(INDEX('CURVA PREVISION'!$A$1:$KZ$3000,$C29,10+3*MIN(AP$3,$D$2-1)))))</f>
        <v>22.75</v>
      </c>
      <c r="AQ29" s="131" t="n">
        <f aca="false">IF(OR($C29="",$B$2="",$D$2=0),0,IF(AQ$3&lt;0,0,N(INDEX('CURVA PREVISION'!$A$1:$KZ$3000,$C29,10+3*MIN(AQ$3,$D$2-1)))))</f>
        <v>33.92</v>
      </c>
      <c r="AR29" s="131" t="n">
        <f aca="false">IF(OR($C29="",$B$2="",$D$2=0),0,IF(AR$3&lt;0,0,N(INDEX('CURVA PREVISION'!$A$1:$KZ$3000,$C29,10+3*MIN(AR$3,$D$2-1)))))</f>
        <v>41.06</v>
      </c>
      <c r="AS29" s="131" t="n">
        <f aca="false">IF(OR($C29="",$B$2="",$D$2=0),0,IF(AS$3&lt;0,0,N(INDEX('CURVA PREVISION'!$A$1:$KZ$3000,$C29,10+3*MIN(AS$3,$D$2-1)))))</f>
        <v>49.88</v>
      </c>
      <c r="AT29" s="131" t="n">
        <f aca="false">IF(OR($C29="",$B$2="",$D$2=0),0,IF(AT$3&lt;0,0,N(INDEX('CURVA PREVISION'!$A$1:$KZ$3000,$C29,10+3*MIN(AT$3,$D$2-1)))))</f>
        <v>59.45</v>
      </c>
      <c r="AU29" s="131" t="n">
        <f aca="false">IF(OR($C29="",$B$2="",$D$2=0),0,IF(AU$3&lt;0,0,N(INDEX('CURVA PREVISION'!$A$1:$KZ$3000,$C29,10+3*MIN(AU$3,$D$2-1)))))</f>
        <v>68.87</v>
      </c>
      <c r="AV29" s="131" t="n">
        <f aca="false">IF(OR($C29="",$B$2="",$D$2=0),0,IF(AV$3&lt;0,0,N(INDEX('CURVA PREVISION'!$A$1:$KZ$3000,$C29,10+3*MIN(AV$3,$D$2-1)))))</f>
        <v>79.82</v>
      </c>
      <c r="AW29" s="131" t="n">
        <f aca="false">IF(OR($C29="",$B$2="",$D$2=0),0,IF(AW$3&lt;0,0,N(INDEX('CURVA PREVISION'!$A$1:$KZ$3000,$C29,10+3*MIN(AW$3,$D$2-1)))))</f>
        <v>90.05</v>
      </c>
      <c r="AX29" s="131" t="n">
        <f aca="false">IF(OR($C29="",$B$2="",$D$2=0),0,IF(AX$3&lt;0,0,N(INDEX('CURVA PREVISION'!$A$1:$KZ$3000,$C29,10+3*MIN(AX$3,$D$2-1)))))</f>
        <v>96.21</v>
      </c>
      <c r="AY29" s="131" t="n">
        <f aca="false">IF(OR($C29="",$B$2="",$D$2=0),0,IF(AY$3&lt;0,0,N(INDEX('CURVA PREVISION'!$A$1:$KZ$3000,$C29,10+3*MIN(AY$3,$D$2-1)))))</f>
        <v>100</v>
      </c>
      <c r="AZ29" s="131" t="n">
        <f aca="false">IF(OR($C29="",$B$2="",$D$2=0),0,IF(AZ$3&lt;0,0,N(INDEX('CURVA PREVISION'!$A$1:$KZ$3000,$C29,10+3*MIN(AZ$3,$D$2-1)))))</f>
        <v>100</v>
      </c>
      <c r="BA29" s="131" t="n">
        <f aca="false">IF(OR($C29="",$B$2="",$D$2=0),0,IF(BA$3&lt;0,0,N(INDEX('CURVA PREVISION'!$A$1:$KZ$3000,$C29,10+3*MIN(BA$3,$D$2-1)))))</f>
        <v>100</v>
      </c>
      <c r="BB29" s="131" t="n">
        <f aca="false">IF(OR($C29="",$B$2="",$D$2=0),0,IF(BB$3&lt;0,0,N(INDEX('CURVA PREVISION'!$A$1:$KZ$3000,$C29,10+3*MIN(BB$3,$D$2-1)))))</f>
        <v>100</v>
      </c>
      <c r="BC29" s="131" t="n">
        <f aca="false">IF(OR($C29="",$B$2="",$D$2=0),0,IF(BC$3&lt;0,0,N(INDEX('CURVA PREVISION'!$A$1:$KZ$3000,$C29,10+3*MIN(BC$3,$D$2-1)))))</f>
        <v>100</v>
      </c>
      <c r="BD29" s="131" t="n">
        <f aca="false">IF(OR($C29="",$B$2="",$D$2=0),0,IF(BD$3&lt;0,0,N(INDEX('CURVA PREVISION'!$A$1:$KZ$3000,$C29,10+3*MIN(BD$3,$D$2-1)))))</f>
        <v>100</v>
      </c>
      <c r="BE29" s="131" t="n">
        <f aca="false">IF(OR($C29="",$B$2="",$D$2=0),0,IF(BE$3&lt;0,0,N(INDEX('CURVA PREVISION'!$A$1:$KZ$3000,$C29,10+3*MIN(BE$3,$D$2-1)))))</f>
        <v>100</v>
      </c>
      <c r="BF29" s="131" t="n">
        <f aca="false">IF(OR($C29="",$B$2="",$D$2=0),0,IF(BF$3&lt;0,0,N(INDEX('CURVA PREVISION'!$A$1:$KZ$3000,$C29,10+3*MIN(BF$3,$D$2-1)))))</f>
        <v>100</v>
      </c>
      <c r="BG29" s="131" t="n">
        <f aca="false">IF(OR($C29="",$B$2="",$D$2=0),0,IF(BG$3&lt;0,0,N(INDEX('CURVA PREVISION'!$A$1:$KZ$3000,$C29,10+3*MIN(BG$3,$D$2-1)))))</f>
        <v>100</v>
      </c>
      <c r="BH29" s="131" t="n">
        <f aca="false">IF(OR($C29="",$B$2="",$D$2=0),0,IF(BH$3&lt;0,0,N(INDEX('CURVA PREVISION'!$A$1:$KZ$3000,$C29,10+3*MIN(BH$3,$D$2-1)))))</f>
        <v>100</v>
      </c>
      <c r="BI29" s="131" t="n">
        <f aca="false">IF(OR($C29="",$B$2="",$D$2=0),0,IF(BI$3&lt;0,0,N(INDEX('CURVA PREVISION'!$A$1:$KZ$3000,$C29,10+3*MIN(BI$3,$D$2-1)))))</f>
        <v>100</v>
      </c>
      <c r="BJ29" s="131" t="n">
        <f aca="false">IF(OR($C29="",$B$2="",$D$2=0),0,IF(BJ$3&lt;0,0,N(INDEX('CURVA PREVISION'!$A$1:$KZ$3000,$C29,10+3*MIN(BJ$3,$D$2-1)))))</f>
        <v>100</v>
      </c>
      <c r="BK29" s="131" t="n">
        <f aca="false">IF(OR($C29="",$B$2="",$D$2=0),0,IF(BK$3&lt;0,0,N(INDEX('CURVA PREVISION'!$A$1:$KZ$3000,$C29,10+3*MIN(BK$3,$D$2-1)))))</f>
        <v>100</v>
      </c>
      <c r="BL29" s="131" t="n">
        <f aca="false">IF(OR($C29="",$B$2="",$D$2=0),0,IF(BL$3&lt;0,0,N(INDEX('CURVA PREVISION'!$A$1:$KZ$3000,$C29,10+3*MIN(BL$3,$D$2-1)))))</f>
        <v>100</v>
      </c>
      <c r="BM29" s="131" t="n">
        <f aca="false">IF(OR($C29="",$B$2="",$D$2=0),0,IF(BM$3&lt;0,0,N(INDEX('CURVA PREVISION'!$A$1:$KZ$3000,$C29,10+3*MIN(BM$3,$D$2-1)))))</f>
        <v>100</v>
      </c>
      <c r="BN29" s="131" t="n">
        <f aca="false">IF(OR($C29="",$B$2="",$D$2=0),0,IF(BN$3&lt;0,0,N(INDEX('CURVA PREVISION'!$A$1:$KZ$3000,$C29,10+3*MIN(BN$3,$D$2-1)))))</f>
        <v>100</v>
      </c>
      <c r="BO29" s="131" t="n">
        <f aca="false">IF(OR($C29="",$B$2="",$D$2=0),0,IF(BO$3&lt;0,0,N(INDEX('CURVA PREVISION'!$A$1:$KZ$3000,$C29,10+3*MIN(BO$3,$D$2-1)))))</f>
        <v>100</v>
      </c>
      <c r="BP29" s="131" t="n">
        <f aca="false">IF(OR($C29="",$B$2="",$D$2=0),0,IF(BP$3&lt;0,0,N(INDEX('CURVA PREVISION'!$A$1:$KZ$3000,$C29,10+3*MIN(BP$3,$D$2-1)))))</f>
        <v>100</v>
      </c>
      <c r="BQ29" s="131" t="n">
        <f aca="false">IF(OR($C29="",$B$2="",$D$2=0),0,IF(BQ$3&lt;0,0,N(INDEX('CURVA PREVISION'!$A$1:$KZ$3000,$C29,10+3*MIN(BQ$3,$D$2-1)))))</f>
        <v>100</v>
      </c>
      <c r="BR29" s="131" t="n">
        <f aca="false">IF(OR($C29="",$B$2="",$D$2=0),0,IF(BR$3&lt;0,0,N(INDEX('CURVA PREVISION'!$A$1:$KZ$3000,$C29,10+3*MIN(BR$3,$D$2-1)))))</f>
        <v>100</v>
      </c>
      <c r="BS29" s="131" t="n">
        <f aca="false">IF(OR($C29="",$B$2="",$D$2=0),0,IF(BS$3&lt;0,0,N(INDEX('CURVA PREVISION'!$A$1:$KZ$3000,$C29,10+3*MIN(BS$3,$D$2-1)))))</f>
        <v>100</v>
      </c>
      <c r="BT29" s="131" t="n">
        <f aca="false">IF(OR($C29="",$B$2="",$D$2=0),0,IF(BT$3&lt;0,0,N(INDEX('CURVA PREVISION'!$A$1:$KZ$3000,$C29,10+3*MIN(BT$3,$D$2-1)))))</f>
        <v>100</v>
      </c>
      <c r="BU29" s="131" t="n">
        <f aca="false">IF(OR($C29="",$B$2="",$D$2=0),0,IF(BU$3&lt;0,0,N(INDEX('CURVA PREVISION'!$A$1:$KZ$3000,$C29,10+3*MIN(BU$3,$D$2-1)))))</f>
        <v>100</v>
      </c>
      <c r="BV29" s="131" t="n">
        <f aca="false">IF(OR($C29="",$B$2="",$D$2=0),0,IF(BV$3&lt;0,0,N(INDEX('CURVA PREVISION'!$A$1:$KZ$3000,$C29,10+3*MIN(BV$3,$D$2-1)))))</f>
        <v>100</v>
      </c>
      <c r="BW29" s="131" t="n">
        <f aca="false">IF(OR($C29="",$B$2="",$D$2=0),0,IF(BW$3&lt;0,0,N(INDEX('CURVA PREVISION'!$A$1:$KZ$3000,$C29,10+3*MIN(BW$3,$D$2-1)))))</f>
        <v>100</v>
      </c>
    </row>
    <row r="30" customFormat="false" ht="15" hidden="false" customHeight="false" outlineLevel="0" collapsed="false">
      <c r="A30" s="57" t="str">
        <f aca="false">IF('VALOR POR PL'!R36&lt;&gt;"",'VALOR POR PL'!R36,IF('VALOR POR PL'!Q36="",'VALOR POR PL'!C36,'VALOR POR PL'!Q36))</f>
        <v>26</v>
      </c>
      <c r="B30" s="57" t="str">
        <f aca="false">'VALOR POR PL'!D36</f>
        <v>SERRALHERIA</v>
      </c>
      <c r="C30" s="64" t="n">
        <f aca="false">IFERROR(MATCH(A30,'CURVA PREVISION'!$B$1:$B$3000,0),"")</f>
        <v>579</v>
      </c>
      <c r="D30" s="131" t="n">
        <f aca="false">IF(OR($C30="",$B$2="",$D$2=0),0,IF(D$3&lt;0,0,N(INDEX('CURVA PREVISION'!$A$1:$KZ$3000,$C30,10+3*MIN(D$3,$D$2-1)))))</f>
        <v>0</v>
      </c>
      <c r="E30" s="131" t="n">
        <f aca="false">IF(OR($C30="",$B$2="",$D$2=0),0,IF(E$3&lt;0,0,N(INDEX('CURVA PREVISION'!$A$1:$KZ$3000,$C30,10+3*MIN(E$3,$D$2-1)))))</f>
        <v>0</v>
      </c>
      <c r="F30" s="131" t="n">
        <f aca="false">IF(OR($C30="",$B$2="",$D$2=0),0,IF(F$3&lt;0,0,N(INDEX('CURVA PREVISION'!$A$1:$KZ$3000,$C30,10+3*MIN(F$3,$D$2-1)))))</f>
        <v>0</v>
      </c>
      <c r="G30" s="131" t="n">
        <f aca="false">IF(OR($C30="",$B$2="",$D$2=0),0,IF(G$3&lt;0,0,N(INDEX('CURVA PREVISION'!$A$1:$KZ$3000,$C30,10+3*MIN(G$3,$D$2-1)))))</f>
        <v>0</v>
      </c>
      <c r="H30" s="131" t="n">
        <f aca="false">IF(OR($C30="",$B$2="",$D$2=0),0,IF(H$3&lt;0,0,N(INDEX('CURVA PREVISION'!$A$1:$KZ$3000,$C30,10+3*MIN(H$3,$D$2-1)))))</f>
        <v>0</v>
      </c>
      <c r="I30" s="131" t="n">
        <f aca="false">IF(OR($C30="",$B$2="",$D$2=0),0,IF(I$3&lt;0,0,N(INDEX('CURVA PREVISION'!$A$1:$KZ$3000,$C30,10+3*MIN(I$3,$D$2-1)))))</f>
        <v>0</v>
      </c>
      <c r="J30" s="131" t="n">
        <f aca="false">IF(OR($C30="",$B$2="",$D$2=0),0,IF(J$3&lt;0,0,N(INDEX('CURVA PREVISION'!$A$1:$KZ$3000,$C30,10+3*MIN(J$3,$D$2-1)))))</f>
        <v>0</v>
      </c>
      <c r="K30" s="131" t="n">
        <f aca="false">IF(OR($C30="",$B$2="",$D$2=0),0,IF(K$3&lt;0,0,N(INDEX('CURVA PREVISION'!$A$1:$KZ$3000,$C30,10+3*MIN(K$3,$D$2-1)))))</f>
        <v>0</v>
      </c>
      <c r="L30" s="131" t="n">
        <f aca="false">IF(OR($C30="",$B$2="",$D$2=0),0,IF(L$3&lt;0,0,N(INDEX('CURVA PREVISION'!$A$1:$KZ$3000,$C30,10+3*MIN(L$3,$D$2-1)))))</f>
        <v>0</v>
      </c>
      <c r="M30" s="131" t="n">
        <f aca="false">IF(OR($C30="",$B$2="",$D$2=0),0,IF(M$3&lt;0,0,N(INDEX('CURVA PREVISION'!$A$1:$KZ$3000,$C30,10+3*MIN(M$3,$D$2-1)))))</f>
        <v>0</v>
      </c>
      <c r="N30" s="131" t="n">
        <f aca="false">IF(OR($C30="",$B$2="",$D$2=0),0,IF(N$3&lt;0,0,N(INDEX('CURVA PREVISION'!$A$1:$KZ$3000,$C30,10+3*MIN(N$3,$D$2-1)))))</f>
        <v>0</v>
      </c>
      <c r="O30" s="131" t="n">
        <f aca="false">IF(OR($C30="",$B$2="",$D$2=0),0,IF(O$3&lt;0,0,N(INDEX('CURVA PREVISION'!$A$1:$KZ$3000,$C30,10+3*MIN(O$3,$D$2-1)))))</f>
        <v>0</v>
      </c>
      <c r="P30" s="131" t="n">
        <f aca="false">IF(OR($C30="",$B$2="",$D$2=0),0,IF(P$3&lt;0,0,N(INDEX('CURVA PREVISION'!$A$1:$KZ$3000,$C30,10+3*MIN(P$3,$D$2-1)))))</f>
        <v>0</v>
      </c>
      <c r="Q30" s="131" t="n">
        <f aca="false">IF(OR($C30="",$B$2="",$D$2=0),0,IF(Q$3&lt;0,0,N(INDEX('CURVA PREVISION'!$A$1:$KZ$3000,$C30,10+3*MIN(Q$3,$D$2-1)))))</f>
        <v>0</v>
      </c>
      <c r="R30" s="131" t="n">
        <f aca="false">IF(OR($C30="",$B$2="",$D$2=0),0,IF(R$3&lt;0,0,N(INDEX('CURVA PREVISION'!$A$1:$KZ$3000,$C30,10+3*MIN(R$3,$D$2-1)))))</f>
        <v>0</v>
      </c>
      <c r="S30" s="131" t="n">
        <f aca="false">IF(OR($C30="",$B$2="",$D$2=0),0,IF(S$3&lt;0,0,N(INDEX('CURVA PREVISION'!$A$1:$KZ$3000,$C30,10+3*MIN(S$3,$D$2-1)))))</f>
        <v>0</v>
      </c>
      <c r="T30" s="131" t="n">
        <f aca="false">IF(OR($C30="",$B$2="",$D$2=0),0,IF(T$3&lt;0,0,N(INDEX('CURVA PREVISION'!$A$1:$KZ$3000,$C30,10+3*MIN(T$3,$D$2-1)))))</f>
        <v>0</v>
      </c>
      <c r="U30" s="131" t="n">
        <f aca="false">IF(OR($C30="",$B$2="",$D$2=0),0,IF(U$3&lt;0,0,N(INDEX('CURVA PREVISION'!$A$1:$KZ$3000,$C30,10+3*MIN(U$3,$D$2-1)))))</f>
        <v>0</v>
      </c>
      <c r="V30" s="131" t="n">
        <f aca="false">IF(OR($C30="",$B$2="",$D$2=0),0,IF(V$3&lt;0,0,N(INDEX('CURVA PREVISION'!$A$1:$KZ$3000,$C30,10+3*MIN(V$3,$D$2-1)))))</f>
        <v>0</v>
      </c>
      <c r="W30" s="131" t="n">
        <f aca="false">IF(OR($C30="",$B$2="",$D$2=0),0,IF(W$3&lt;0,0,N(INDEX('CURVA PREVISION'!$A$1:$KZ$3000,$C30,10+3*MIN(W$3,$D$2-1)))))</f>
        <v>0</v>
      </c>
      <c r="X30" s="131" t="n">
        <f aca="false">IF(OR($C30="",$B$2="",$D$2=0),0,IF(X$3&lt;0,0,N(INDEX('CURVA PREVISION'!$A$1:$KZ$3000,$C30,10+3*MIN(X$3,$D$2-1)))))</f>
        <v>0</v>
      </c>
      <c r="Y30" s="131" t="n">
        <f aca="false">IF(OR($C30="",$B$2="",$D$2=0),0,IF(Y$3&lt;0,0,N(INDEX('CURVA PREVISION'!$A$1:$KZ$3000,$C30,10+3*MIN(Y$3,$D$2-1)))))</f>
        <v>0</v>
      </c>
      <c r="Z30" s="131" t="n">
        <f aca="false">IF(OR($C30="",$B$2="",$D$2=0),0,IF(Z$3&lt;0,0,N(INDEX('CURVA PREVISION'!$A$1:$KZ$3000,$C30,10+3*MIN(Z$3,$D$2-1)))))</f>
        <v>0</v>
      </c>
      <c r="AA30" s="131" t="n">
        <f aca="false">IF(OR($C30="",$B$2="",$D$2=0),0,IF(AA$3&lt;0,0,N(INDEX('CURVA PREVISION'!$A$1:$KZ$3000,$C30,10+3*MIN(AA$3,$D$2-1)))))</f>
        <v>0</v>
      </c>
      <c r="AB30" s="131" t="n">
        <f aca="false">IF(OR($C30="",$B$2="",$D$2=0),0,IF(AB$3&lt;0,0,N(INDEX('CURVA PREVISION'!$A$1:$KZ$3000,$C30,10+3*MIN(AB$3,$D$2-1)))))</f>
        <v>0</v>
      </c>
      <c r="AC30" s="131" t="n">
        <f aca="false">IF(OR($C30="",$B$2="",$D$2=0),0,IF(AC$3&lt;0,0,N(INDEX('CURVA PREVISION'!$A$1:$KZ$3000,$C30,10+3*MIN(AC$3,$D$2-1)))))</f>
        <v>0</v>
      </c>
      <c r="AD30" s="131" t="n">
        <f aca="false">IF(OR($C30="",$B$2="",$D$2=0),0,IF(AD$3&lt;0,0,N(INDEX('CURVA PREVISION'!$A$1:$KZ$3000,$C30,10+3*MIN(AD$3,$D$2-1)))))</f>
        <v>0</v>
      </c>
      <c r="AE30" s="131" t="n">
        <f aca="false">IF(OR($C30="",$B$2="",$D$2=0),0,IF(AE$3&lt;0,0,N(INDEX('CURVA PREVISION'!$A$1:$KZ$3000,$C30,10+3*MIN(AE$3,$D$2-1)))))</f>
        <v>0</v>
      </c>
      <c r="AF30" s="131" t="n">
        <f aca="false">IF(OR($C30="",$B$2="",$D$2=0),0,IF(AF$3&lt;0,0,N(INDEX('CURVA PREVISION'!$A$1:$KZ$3000,$C30,10+3*MIN(AF$3,$D$2-1)))))</f>
        <v>0</v>
      </c>
      <c r="AG30" s="131" t="n">
        <f aca="false">IF(OR($C30="",$B$2="",$D$2=0),0,IF(AG$3&lt;0,0,N(INDEX('CURVA PREVISION'!$A$1:$KZ$3000,$C30,10+3*MIN(AG$3,$D$2-1)))))</f>
        <v>0</v>
      </c>
      <c r="AH30" s="131" t="n">
        <f aca="false">IF(OR($C30="",$B$2="",$D$2=0),0,IF(AH$3&lt;0,0,N(INDEX('CURVA PREVISION'!$A$1:$KZ$3000,$C30,10+3*MIN(AH$3,$D$2-1)))))</f>
        <v>0</v>
      </c>
      <c r="AI30" s="131" t="n">
        <f aca="false">IF(OR($C30="",$B$2="",$D$2=0),0,IF(AI$3&lt;0,0,N(INDEX('CURVA PREVISION'!$A$1:$KZ$3000,$C30,10+3*MIN(AI$3,$D$2-1)))))</f>
        <v>0</v>
      </c>
      <c r="AJ30" s="131" t="n">
        <f aca="false">IF(OR($C30="",$B$2="",$D$2=0),0,IF(AJ$3&lt;0,0,N(INDEX('CURVA PREVISION'!$A$1:$KZ$3000,$C30,10+3*MIN(AJ$3,$D$2-1)))))</f>
        <v>10.61</v>
      </c>
      <c r="AK30" s="131" t="n">
        <f aca="false">IF(OR($C30="",$B$2="",$D$2=0),0,IF(AK$3&lt;0,0,N(INDEX('CURVA PREVISION'!$A$1:$KZ$3000,$C30,10+3*MIN(AK$3,$D$2-1)))))</f>
        <v>10.61</v>
      </c>
      <c r="AL30" s="131" t="n">
        <f aca="false">IF(OR($C30="",$B$2="",$D$2=0),0,IF(AL$3&lt;0,0,N(INDEX('CURVA PREVISION'!$A$1:$KZ$3000,$C30,10+3*MIN(AL$3,$D$2-1)))))</f>
        <v>15.92</v>
      </c>
      <c r="AM30" s="131" t="n">
        <f aca="false">IF(OR($C30="",$B$2="",$D$2=0),0,IF(AM$3&lt;0,0,N(INDEX('CURVA PREVISION'!$A$1:$KZ$3000,$C30,10+3*MIN(AM$3,$D$2-1)))))</f>
        <v>15.92</v>
      </c>
      <c r="AN30" s="131" t="n">
        <f aca="false">IF(OR($C30="",$B$2="",$D$2=0),0,IF(AN$3&lt;0,0,N(INDEX('CURVA PREVISION'!$A$1:$KZ$3000,$C30,10+3*MIN(AN$3,$D$2-1)))))</f>
        <v>19.1</v>
      </c>
      <c r="AO30" s="131" t="n">
        <f aca="false">IF(OR($C30="",$B$2="",$D$2=0),0,IF(AO$3&lt;0,0,N(INDEX('CURVA PREVISION'!$A$1:$KZ$3000,$C30,10+3*MIN(AO$3,$D$2-1)))))</f>
        <v>21.22</v>
      </c>
      <c r="AP30" s="131" t="n">
        <f aca="false">IF(OR($C30="",$B$2="",$D$2=0),0,IF(AP$3&lt;0,0,N(INDEX('CURVA PREVISION'!$A$1:$KZ$3000,$C30,10+3*MIN(AP$3,$D$2-1)))))</f>
        <v>27.68</v>
      </c>
      <c r="AQ30" s="131" t="n">
        <f aca="false">IF(OR($C30="",$B$2="",$D$2=0),0,IF(AQ$3&lt;0,0,N(INDEX('CURVA PREVISION'!$A$1:$KZ$3000,$C30,10+3*MIN(AQ$3,$D$2-1)))))</f>
        <v>45.74</v>
      </c>
      <c r="AR30" s="131" t="n">
        <f aca="false">IF(OR($C30="",$B$2="",$D$2=0),0,IF(AR$3&lt;0,0,N(INDEX('CURVA PREVISION'!$A$1:$KZ$3000,$C30,10+3*MIN(AR$3,$D$2-1)))))</f>
        <v>57.39</v>
      </c>
      <c r="AS30" s="131" t="n">
        <f aca="false">IF(OR($C30="",$B$2="",$D$2=0),0,IF(AS$3&lt;0,0,N(INDEX('CURVA PREVISION'!$A$1:$KZ$3000,$C30,10+3*MIN(AS$3,$D$2-1)))))</f>
        <v>62.18</v>
      </c>
      <c r="AT30" s="131" t="n">
        <f aca="false">IF(OR($C30="",$B$2="",$D$2=0),0,IF(AT$3&lt;0,0,N(INDEX('CURVA PREVISION'!$A$1:$KZ$3000,$C30,10+3*MIN(AT$3,$D$2-1)))))</f>
        <v>72.97</v>
      </c>
      <c r="AU30" s="131" t="n">
        <f aca="false">IF(OR($C30="",$B$2="",$D$2=0),0,IF(AU$3&lt;0,0,N(INDEX('CURVA PREVISION'!$A$1:$KZ$3000,$C30,10+3*MIN(AU$3,$D$2-1)))))</f>
        <v>74.58</v>
      </c>
      <c r="AV30" s="131" t="n">
        <f aca="false">IF(OR($C30="",$B$2="",$D$2=0),0,IF(AV$3&lt;0,0,N(INDEX('CURVA PREVISION'!$A$1:$KZ$3000,$C30,10+3*MIN(AV$3,$D$2-1)))))</f>
        <v>76.34</v>
      </c>
      <c r="AW30" s="131" t="n">
        <f aca="false">IF(OR($C30="",$B$2="",$D$2=0),0,IF(AW$3&lt;0,0,N(INDEX('CURVA PREVISION'!$A$1:$KZ$3000,$C30,10+3*MIN(AW$3,$D$2-1)))))</f>
        <v>77.91</v>
      </c>
      <c r="AX30" s="131" t="n">
        <f aca="false">IF(OR($C30="",$B$2="",$D$2=0),0,IF(AX$3&lt;0,0,N(INDEX('CURVA PREVISION'!$A$1:$KZ$3000,$C30,10+3*MIN(AX$3,$D$2-1)))))</f>
        <v>79.51</v>
      </c>
      <c r="AY30" s="131" t="n">
        <f aca="false">IF(OR($C30="",$B$2="",$D$2=0),0,IF(AY$3&lt;0,0,N(INDEX('CURVA PREVISION'!$A$1:$KZ$3000,$C30,10+3*MIN(AY$3,$D$2-1)))))</f>
        <v>97.99</v>
      </c>
      <c r="AZ30" s="131" t="n">
        <f aca="false">IF(OR($C30="",$B$2="",$D$2=0),0,IF(AZ$3&lt;0,0,N(INDEX('CURVA PREVISION'!$A$1:$KZ$3000,$C30,10+3*MIN(AZ$3,$D$2-1)))))</f>
        <v>99.13</v>
      </c>
      <c r="BA30" s="131" t="n">
        <f aca="false">IF(OR($C30="",$B$2="",$D$2=0),0,IF(BA$3&lt;0,0,N(INDEX('CURVA PREVISION'!$A$1:$KZ$3000,$C30,10+3*MIN(BA$3,$D$2-1)))))</f>
        <v>100</v>
      </c>
      <c r="BB30" s="131" t="n">
        <f aca="false">IF(OR($C30="",$B$2="",$D$2=0),0,IF(BB$3&lt;0,0,N(INDEX('CURVA PREVISION'!$A$1:$KZ$3000,$C30,10+3*MIN(BB$3,$D$2-1)))))</f>
        <v>100</v>
      </c>
      <c r="BC30" s="131" t="n">
        <f aca="false">IF(OR($C30="",$B$2="",$D$2=0),0,IF(BC$3&lt;0,0,N(INDEX('CURVA PREVISION'!$A$1:$KZ$3000,$C30,10+3*MIN(BC$3,$D$2-1)))))</f>
        <v>100</v>
      </c>
      <c r="BD30" s="131" t="n">
        <f aca="false">IF(OR($C30="",$B$2="",$D$2=0),0,IF(BD$3&lt;0,0,N(INDEX('CURVA PREVISION'!$A$1:$KZ$3000,$C30,10+3*MIN(BD$3,$D$2-1)))))</f>
        <v>100</v>
      </c>
      <c r="BE30" s="131" t="n">
        <f aca="false">IF(OR($C30="",$B$2="",$D$2=0),0,IF(BE$3&lt;0,0,N(INDEX('CURVA PREVISION'!$A$1:$KZ$3000,$C30,10+3*MIN(BE$3,$D$2-1)))))</f>
        <v>100</v>
      </c>
      <c r="BF30" s="131" t="n">
        <f aca="false">IF(OR($C30="",$B$2="",$D$2=0),0,IF(BF$3&lt;0,0,N(INDEX('CURVA PREVISION'!$A$1:$KZ$3000,$C30,10+3*MIN(BF$3,$D$2-1)))))</f>
        <v>100</v>
      </c>
      <c r="BG30" s="131" t="n">
        <f aca="false">IF(OR($C30="",$B$2="",$D$2=0),0,IF(BG$3&lt;0,0,N(INDEX('CURVA PREVISION'!$A$1:$KZ$3000,$C30,10+3*MIN(BG$3,$D$2-1)))))</f>
        <v>100</v>
      </c>
      <c r="BH30" s="131" t="n">
        <f aca="false">IF(OR($C30="",$B$2="",$D$2=0),0,IF(BH$3&lt;0,0,N(INDEX('CURVA PREVISION'!$A$1:$KZ$3000,$C30,10+3*MIN(BH$3,$D$2-1)))))</f>
        <v>100</v>
      </c>
      <c r="BI30" s="131" t="n">
        <f aca="false">IF(OR($C30="",$B$2="",$D$2=0),0,IF(BI$3&lt;0,0,N(INDEX('CURVA PREVISION'!$A$1:$KZ$3000,$C30,10+3*MIN(BI$3,$D$2-1)))))</f>
        <v>100</v>
      </c>
      <c r="BJ30" s="131" t="n">
        <f aca="false">IF(OR($C30="",$B$2="",$D$2=0),0,IF(BJ$3&lt;0,0,N(INDEX('CURVA PREVISION'!$A$1:$KZ$3000,$C30,10+3*MIN(BJ$3,$D$2-1)))))</f>
        <v>100</v>
      </c>
      <c r="BK30" s="131" t="n">
        <f aca="false">IF(OR($C30="",$B$2="",$D$2=0),0,IF(BK$3&lt;0,0,N(INDEX('CURVA PREVISION'!$A$1:$KZ$3000,$C30,10+3*MIN(BK$3,$D$2-1)))))</f>
        <v>100</v>
      </c>
      <c r="BL30" s="131" t="n">
        <f aca="false">IF(OR($C30="",$B$2="",$D$2=0),0,IF(BL$3&lt;0,0,N(INDEX('CURVA PREVISION'!$A$1:$KZ$3000,$C30,10+3*MIN(BL$3,$D$2-1)))))</f>
        <v>100</v>
      </c>
      <c r="BM30" s="131" t="n">
        <f aca="false">IF(OR($C30="",$B$2="",$D$2=0),0,IF(BM$3&lt;0,0,N(INDEX('CURVA PREVISION'!$A$1:$KZ$3000,$C30,10+3*MIN(BM$3,$D$2-1)))))</f>
        <v>100</v>
      </c>
      <c r="BN30" s="131" t="n">
        <f aca="false">IF(OR($C30="",$B$2="",$D$2=0),0,IF(BN$3&lt;0,0,N(INDEX('CURVA PREVISION'!$A$1:$KZ$3000,$C30,10+3*MIN(BN$3,$D$2-1)))))</f>
        <v>100</v>
      </c>
      <c r="BO30" s="131" t="n">
        <f aca="false">IF(OR($C30="",$B$2="",$D$2=0),0,IF(BO$3&lt;0,0,N(INDEX('CURVA PREVISION'!$A$1:$KZ$3000,$C30,10+3*MIN(BO$3,$D$2-1)))))</f>
        <v>100</v>
      </c>
      <c r="BP30" s="131" t="n">
        <f aca="false">IF(OR($C30="",$B$2="",$D$2=0),0,IF(BP$3&lt;0,0,N(INDEX('CURVA PREVISION'!$A$1:$KZ$3000,$C30,10+3*MIN(BP$3,$D$2-1)))))</f>
        <v>100</v>
      </c>
      <c r="BQ30" s="131" t="n">
        <f aca="false">IF(OR($C30="",$B$2="",$D$2=0),0,IF(BQ$3&lt;0,0,N(INDEX('CURVA PREVISION'!$A$1:$KZ$3000,$C30,10+3*MIN(BQ$3,$D$2-1)))))</f>
        <v>100</v>
      </c>
      <c r="BR30" s="131" t="n">
        <f aca="false">IF(OR($C30="",$B$2="",$D$2=0),0,IF(BR$3&lt;0,0,N(INDEX('CURVA PREVISION'!$A$1:$KZ$3000,$C30,10+3*MIN(BR$3,$D$2-1)))))</f>
        <v>100</v>
      </c>
      <c r="BS30" s="131" t="n">
        <f aca="false">IF(OR($C30="",$B$2="",$D$2=0),0,IF(BS$3&lt;0,0,N(INDEX('CURVA PREVISION'!$A$1:$KZ$3000,$C30,10+3*MIN(BS$3,$D$2-1)))))</f>
        <v>100</v>
      </c>
      <c r="BT30" s="131" t="n">
        <f aca="false">IF(OR($C30="",$B$2="",$D$2=0),0,IF(BT$3&lt;0,0,N(INDEX('CURVA PREVISION'!$A$1:$KZ$3000,$C30,10+3*MIN(BT$3,$D$2-1)))))</f>
        <v>100</v>
      </c>
      <c r="BU30" s="131" t="n">
        <f aca="false">IF(OR($C30="",$B$2="",$D$2=0),0,IF(BU$3&lt;0,0,N(INDEX('CURVA PREVISION'!$A$1:$KZ$3000,$C30,10+3*MIN(BU$3,$D$2-1)))))</f>
        <v>100</v>
      </c>
      <c r="BV30" s="131" t="n">
        <f aca="false">IF(OR($C30="",$B$2="",$D$2=0),0,IF(BV$3&lt;0,0,N(INDEX('CURVA PREVISION'!$A$1:$KZ$3000,$C30,10+3*MIN(BV$3,$D$2-1)))))</f>
        <v>100</v>
      </c>
      <c r="BW30" s="131" t="n">
        <f aca="false">IF(OR($C30="",$B$2="",$D$2=0),0,IF(BW$3&lt;0,0,N(INDEX('CURVA PREVISION'!$A$1:$KZ$3000,$C30,10+3*MIN(BW$3,$D$2-1)))))</f>
        <v>100</v>
      </c>
    </row>
    <row r="31" customFormat="false" ht="15" hidden="false" customHeight="false" outlineLevel="0" collapsed="false">
      <c r="A31" s="57" t="str">
        <f aca="false">IF('VALOR POR PL'!R37&lt;&gt;"",'VALOR POR PL'!R37,IF('VALOR POR PL'!Q37="",'VALOR POR PL'!C37,'VALOR POR PL'!Q37))</f>
        <v>27</v>
      </c>
      <c r="B31" s="57" t="str">
        <f aca="false">'VALOR POR PL'!D37</f>
        <v>MARCENARIA</v>
      </c>
      <c r="C31" s="64" t="n">
        <f aca="false">IFERROR(MATCH(A31,'CURVA PREVISION'!$B$1:$B$3000,0),"")</f>
        <v>603</v>
      </c>
      <c r="D31" s="131" t="n">
        <f aca="false">IF(OR($C31="",$B$2="",$D$2=0),0,IF(D$3&lt;0,0,N(INDEX('CURVA PREVISION'!$A$1:$KZ$3000,$C31,10+3*MIN(D$3,$D$2-1)))))</f>
        <v>0</v>
      </c>
      <c r="E31" s="131" t="n">
        <f aca="false">IF(OR($C31="",$B$2="",$D$2=0),0,IF(E$3&lt;0,0,N(INDEX('CURVA PREVISION'!$A$1:$KZ$3000,$C31,10+3*MIN(E$3,$D$2-1)))))</f>
        <v>0</v>
      </c>
      <c r="F31" s="131" t="n">
        <f aca="false">IF(OR($C31="",$B$2="",$D$2=0),0,IF(F$3&lt;0,0,N(INDEX('CURVA PREVISION'!$A$1:$KZ$3000,$C31,10+3*MIN(F$3,$D$2-1)))))</f>
        <v>0</v>
      </c>
      <c r="G31" s="131" t="n">
        <f aca="false">IF(OR($C31="",$B$2="",$D$2=0),0,IF(G$3&lt;0,0,N(INDEX('CURVA PREVISION'!$A$1:$KZ$3000,$C31,10+3*MIN(G$3,$D$2-1)))))</f>
        <v>0</v>
      </c>
      <c r="H31" s="131" t="n">
        <f aca="false">IF(OR($C31="",$B$2="",$D$2=0),0,IF(H$3&lt;0,0,N(INDEX('CURVA PREVISION'!$A$1:$KZ$3000,$C31,10+3*MIN(H$3,$D$2-1)))))</f>
        <v>0</v>
      </c>
      <c r="I31" s="131" t="n">
        <f aca="false">IF(OR($C31="",$B$2="",$D$2=0),0,IF(I$3&lt;0,0,N(INDEX('CURVA PREVISION'!$A$1:$KZ$3000,$C31,10+3*MIN(I$3,$D$2-1)))))</f>
        <v>0</v>
      </c>
      <c r="J31" s="131" t="n">
        <f aca="false">IF(OR($C31="",$B$2="",$D$2=0),0,IF(J$3&lt;0,0,N(INDEX('CURVA PREVISION'!$A$1:$KZ$3000,$C31,10+3*MIN(J$3,$D$2-1)))))</f>
        <v>0</v>
      </c>
      <c r="K31" s="131" t="n">
        <f aca="false">IF(OR($C31="",$B$2="",$D$2=0),0,IF(K$3&lt;0,0,N(INDEX('CURVA PREVISION'!$A$1:$KZ$3000,$C31,10+3*MIN(K$3,$D$2-1)))))</f>
        <v>0</v>
      </c>
      <c r="L31" s="131" t="n">
        <f aca="false">IF(OR($C31="",$B$2="",$D$2=0),0,IF(L$3&lt;0,0,N(INDEX('CURVA PREVISION'!$A$1:$KZ$3000,$C31,10+3*MIN(L$3,$D$2-1)))))</f>
        <v>0</v>
      </c>
      <c r="M31" s="131" t="n">
        <f aca="false">IF(OR($C31="",$B$2="",$D$2=0),0,IF(M$3&lt;0,0,N(INDEX('CURVA PREVISION'!$A$1:$KZ$3000,$C31,10+3*MIN(M$3,$D$2-1)))))</f>
        <v>0</v>
      </c>
      <c r="N31" s="131" t="n">
        <f aca="false">IF(OR($C31="",$B$2="",$D$2=0),0,IF(N$3&lt;0,0,N(INDEX('CURVA PREVISION'!$A$1:$KZ$3000,$C31,10+3*MIN(N$3,$D$2-1)))))</f>
        <v>0</v>
      </c>
      <c r="O31" s="131" t="n">
        <f aca="false">IF(OR($C31="",$B$2="",$D$2=0),0,IF(O$3&lt;0,0,N(INDEX('CURVA PREVISION'!$A$1:$KZ$3000,$C31,10+3*MIN(O$3,$D$2-1)))))</f>
        <v>0</v>
      </c>
      <c r="P31" s="131" t="n">
        <f aca="false">IF(OR($C31="",$B$2="",$D$2=0),0,IF(P$3&lt;0,0,N(INDEX('CURVA PREVISION'!$A$1:$KZ$3000,$C31,10+3*MIN(P$3,$D$2-1)))))</f>
        <v>0</v>
      </c>
      <c r="Q31" s="131" t="n">
        <f aca="false">IF(OR($C31="",$B$2="",$D$2=0),0,IF(Q$3&lt;0,0,N(INDEX('CURVA PREVISION'!$A$1:$KZ$3000,$C31,10+3*MIN(Q$3,$D$2-1)))))</f>
        <v>0</v>
      </c>
      <c r="R31" s="131" t="n">
        <f aca="false">IF(OR($C31="",$B$2="",$D$2=0),0,IF(R$3&lt;0,0,N(INDEX('CURVA PREVISION'!$A$1:$KZ$3000,$C31,10+3*MIN(R$3,$D$2-1)))))</f>
        <v>0</v>
      </c>
      <c r="S31" s="131" t="n">
        <f aca="false">IF(OR($C31="",$B$2="",$D$2=0),0,IF(S$3&lt;0,0,N(INDEX('CURVA PREVISION'!$A$1:$KZ$3000,$C31,10+3*MIN(S$3,$D$2-1)))))</f>
        <v>0</v>
      </c>
      <c r="T31" s="131" t="n">
        <f aca="false">IF(OR($C31="",$B$2="",$D$2=0),0,IF(T$3&lt;0,0,N(INDEX('CURVA PREVISION'!$A$1:$KZ$3000,$C31,10+3*MIN(T$3,$D$2-1)))))</f>
        <v>0</v>
      </c>
      <c r="U31" s="131" t="n">
        <f aca="false">IF(OR($C31="",$B$2="",$D$2=0),0,IF(U$3&lt;0,0,N(INDEX('CURVA PREVISION'!$A$1:$KZ$3000,$C31,10+3*MIN(U$3,$D$2-1)))))</f>
        <v>0</v>
      </c>
      <c r="V31" s="131" t="n">
        <f aca="false">IF(OR($C31="",$B$2="",$D$2=0),0,IF(V$3&lt;0,0,N(INDEX('CURVA PREVISION'!$A$1:$KZ$3000,$C31,10+3*MIN(V$3,$D$2-1)))))</f>
        <v>0</v>
      </c>
      <c r="W31" s="131" t="n">
        <f aca="false">IF(OR($C31="",$B$2="",$D$2=0),0,IF(W$3&lt;0,0,N(INDEX('CURVA PREVISION'!$A$1:$KZ$3000,$C31,10+3*MIN(W$3,$D$2-1)))))</f>
        <v>0</v>
      </c>
      <c r="X31" s="131" t="n">
        <f aca="false">IF(OR($C31="",$B$2="",$D$2=0),0,IF(X$3&lt;0,0,N(INDEX('CURVA PREVISION'!$A$1:$KZ$3000,$C31,10+3*MIN(X$3,$D$2-1)))))</f>
        <v>0</v>
      </c>
      <c r="Y31" s="131" t="n">
        <f aca="false">IF(OR($C31="",$B$2="",$D$2=0),0,IF(Y$3&lt;0,0,N(INDEX('CURVA PREVISION'!$A$1:$KZ$3000,$C31,10+3*MIN(Y$3,$D$2-1)))))</f>
        <v>0</v>
      </c>
      <c r="Z31" s="131" t="n">
        <f aca="false">IF(OR($C31="",$B$2="",$D$2=0),0,IF(Z$3&lt;0,0,N(INDEX('CURVA PREVISION'!$A$1:$KZ$3000,$C31,10+3*MIN(Z$3,$D$2-1)))))</f>
        <v>0</v>
      </c>
      <c r="AA31" s="131" t="n">
        <f aca="false">IF(OR($C31="",$B$2="",$D$2=0),0,IF(AA$3&lt;0,0,N(INDEX('CURVA PREVISION'!$A$1:$KZ$3000,$C31,10+3*MIN(AA$3,$D$2-1)))))</f>
        <v>0</v>
      </c>
      <c r="AB31" s="131" t="n">
        <f aca="false">IF(OR($C31="",$B$2="",$D$2=0),0,IF(AB$3&lt;0,0,N(INDEX('CURVA PREVISION'!$A$1:$KZ$3000,$C31,10+3*MIN(AB$3,$D$2-1)))))</f>
        <v>0</v>
      </c>
      <c r="AC31" s="131" t="n">
        <f aca="false">IF(OR($C31="",$B$2="",$D$2=0),0,IF(AC$3&lt;0,0,N(INDEX('CURVA PREVISION'!$A$1:$KZ$3000,$C31,10+3*MIN(AC$3,$D$2-1)))))</f>
        <v>0</v>
      </c>
      <c r="AD31" s="131" t="n">
        <f aca="false">IF(OR($C31="",$B$2="",$D$2=0),0,IF(AD$3&lt;0,0,N(INDEX('CURVA PREVISION'!$A$1:$KZ$3000,$C31,10+3*MIN(AD$3,$D$2-1)))))</f>
        <v>0</v>
      </c>
      <c r="AE31" s="131" t="n">
        <f aca="false">IF(OR($C31="",$B$2="",$D$2=0),0,IF(AE$3&lt;0,0,N(INDEX('CURVA PREVISION'!$A$1:$KZ$3000,$C31,10+3*MIN(AE$3,$D$2-1)))))</f>
        <v>0</v>
      </c>
      <c r="AF31" s="131" t="n">
        <f aca="false">IF(OR($C31="",$B$2="",$D$2=0),0,IF(AF$3&lt;0,0,N(INDEX('CURVA PREVISION'!$A$1:$KZ$3000,$C31,10+3*MIN(AF$3,$D$2-1)))))</f>
        <v>0</v>
      </c>
      <c r="AG31" s="131" t="n">
        <f aca="false">IF(OR($C31="",$B$2="",$D$2=0),0,IF(AG$3&lt;0,0,N(INDEX('CURVA PREVISION'!$A$1:$KZ$3000,$C31,10+3*MIN(AG$3,$D$2-1)))))</f>
        <v>0</v>
      </c>
      <c r="AH31" s="131" t="n">
        <f aca="false">IF(OR($C31="",$B$2="",$D$2=0),0,IF(AH$3&lt;0,0,N(INDEX('CURVA PREVISION'!$A$1:$KZ$3000,$C31,10+3*MIN(AH$3,$D$2-1)))))</f>
        <v>0</v>
      </c>
      <c r="AI31" s="131" t="n">
        <f aca="false">IF(OR($C31="",$B$2="",$D$2=0),0,IF(AI$3&lt;0,0,N(INDEX('CURVA PREVISION'!$A$1:$KZ$3000,$C31,10+3*MIN(AI$3,$D$2-1)))))</f>
        <v>0</v>
      </c>
      <c r="AJ31" s="131" t="n">
        <f aca="false">IF(OR($C31="",$B$2="",$D$2=0),0,IF(AJ$3&lt;0,0,N(INDEX('CURVA PREVISION'!$A$1:$KZ$3000,$C31,10+3*MIN(AJ$3,$D$2-1)))))</f>
        <v>0</v>
      </c>
      <c r="AK31" s="131" t="n">
        <f aca="false">IF(OR($C31="",$B$2="",$D$2=0),0,IF(AK$3&lt;0,0,N(INDEX('CURVA PREVISION'!$A$1:$KZ$3000,$C31,10+3*MIN(AK$3,$D$2-1)))))</f>
        <v>0</v>
      </c>
      <c r="AL31" s="131" t="n">
        <f aca="false">IF(OR($C31="",$B$2="",$D$2=0),0,IF(AL$3&lt;0,0,N(INDEX('CURVA PREVISION'!$A$1:$KZ$3000,$C31,10+3*MIN(AL$3,$D$2-1)))))</f>
        <v>0</v>
      </c>
      <c r="AM31" s="131" t="n">
        <f aca="false">IF(OR($C31="",$B$2="",$D$2=0),0,IF(AM$3&lt;0,0,N(INDEX('CURVA PREVISION'!$A$1:$KZ$3000,$C31,10+3*MIN(AM$3,$D$2-1)))))</f>
        <v>0</v>
      </c>
      <c r="AN31" s="131" t="n">
        <f aca="false">IF(OR($C31="",$B$2="",$D$2=0),0,IF(AN$3&lt;0,0,N(INDEX('CURVA PREVISION'!$A$1:$KZ$3000,$C31,10+3*MIN(AN$3,$D$2-1)))))</f>
        <v>0</v>
      </c>
      <c r="AO31" s="131" t="n">
        <f aca="false">IF(OR($C31="",$B$2="",$D$2=0),0,IF(AO$3&lt;0,0,N(INDEX('CURVA PREVISION'!$A$1:$KZ$3000,$C31,10+3*MIN(AO$3,$D$2-1)))))</f>
        <v>0</v>
      </c>
      <c r="AP31" s="131" t="n">
        <f aca="false">IF(OR($C31="",$B$2="",$D$2=0),0,IF(AP$3&lt;0,0,N(INDEX('CURVA PREVISION'!$A$1:$KZ$3000,$C31,10+3*MIN(AP$3,$D$2-1)))))</f>
        <v>6.61</v>
      </c>
      <c r="AQ31" s="131" t="n">
        <f aca="false">IF(OR($C31="",$B$2="",$D$2=0),0,IF(AQ$3&lt;0,0,N(INDEX('CURVA PREVISION'!$A$1:$KZ$3000,$C31,10+3*MIN(AQ$3,$D$2-1)))))</f>
        <v>15.47</v>
      </c>
      <c r="AR31" s="131" t="n">
        <f aca="false">IF(OR($C31="",$B$2="",$D$2=0),0,IF(AR$3&lt;0,0,N(INDEX('CURVA PREVISION'!$A$1:$KZ$3000,$C31,10+3*MIN(AR$3,$D$2-1)))))</f>
        <v>23.01</v>
      </c>
      <c r="AS31" s="131" t="n">
        <f aca="false">IF(OR($C31="",$B$2="",$D$2=0),0,IF(AS$3&lt;0,0,N(INDEX('CURVA PREVISION'!$A$1:$KZ$3000,$C31,10+3*MIN(AS$3,$D$2-1)))))</f>
        <v>32.71</v>
      </c>
      <c r="AT31" s="131" t="n">
        <f aca="false">IF(OR($C31="",$B$2="",$D$2=0),0,IF(AT$3&lt;0,0,N(INDEX('CURVA PREVISION'!$A$1:$KZ$3000,$C31,10+3*MIN(AT$3,$D$2-1)))))</f>
        <v>41.61</v>
      </c>
      <c r="AU31" s="131" t="n">
        <f aca="false">IF(OR($C31="",$B$2="",$D$2=0),0,IF(AU$3&lt;0,0,N(INDEX('CURVA PREVISION'!$A$1:$KZ$3000,$C31,10+3*MIN(AU$3,$D$2-1)))))</f>
        <v>50.55</v>
      </c>
      <c r="AV31" s="131" t="n">
        <f aca="false">IF(OR($C31="",$B$2="",$D$2=0),0,IF(AV$3&lt;0,0,N(INDEX('CURVA PREVISION'!$A$1:$KZ$3000,$C31,10+3*MIN(AV$3,$D$2-1)))))</f>
        <v>59.64</v>
      </c>
      <c r="AW31" s="131" t="n">
        <f aca="false">IF(OR($C31="",$B$2="",$D$2=0),0,IF(AW$3&lt;0,0,N(INDEX('CURVA PREVISION'!$A$1:$KZ$3000,$C31,10+3*MIN(AW$3,$D$2-1)))))</f>
        <v>67.24</v>
      </c>
      <c r="AX31" s="131" t="n">
        <f aca="false">IF(OR($C31="",$B$2="",$D$2=0),0,IF(AX$3&lt;0,0,N(INDEX('CURVA PREVISION'!$A$1:$KZ$3000,$C31,10+3*MIN(AX$3,$D$2-1)))))</f>
        <v>75.9</v>
      </c>
      <c r="AY31" s="131" t="n">
        <f aca="false">IF(OR($C31="",$B$2="",$D$2=0),0,IF(AY$3&lt;0,0,N(INDEX('CURVA PREVISION'!$A$1:$KZ$3000,$C31,10+3*MIN(AY$3,$D$2-1)))))</f>
        <v>92.18</v>
      </c>
      <c r="AZ31" s="131" t="n">
        <f aca="false">IF(OR($C31="",$B$2="",$D$2=0),0,IF(AZ$3&lt;0,0,N(INDEX('CURVA PREVISION'!$A$1:$KZ$3000,$C31,10+3*MIN(AZ$3,$D$2-1)))))</f>
        <v>96.14</v>
      </c>
      <c r="BA31" s="131" t="n">
        <f aca="false">IF(OR($C31="",$B$2="",$D$2=0),0,IF(BA$3&lt;0,0,N(INDEX('CURVA PREVISION'!$A$1:$KZ$3000,$C31,10+3*MIN(BA$3,$D$2-1)))))</f>
        <v>100</v>
      </c>
      <c r="BB31" s="131" t="n">
        <f aca="false">IF(OR($C31="",$B$2="",$D$2=0),0,IF(BB$3&lt;0,0,N(INDEX('CURVA PREVISION'!$A$1:$KZ$3000,$C31,10+3*MIN(BB$3,$D$2-1)))))</f>
        <v>100</v>
      </c>
      <c r="BC31" s="131" t="n">
        <f aca="false">IF(OR($C31="",$B$2="",$D$2=0),0,IF(BC$3&lt;0,0,N(INDEX('CURVA PREVISION'!$A$1:$KZ$3000,$C31,10+3*MIN(BC$3,$D$2-1)))))</f>
        <v>100</v>
      </c>
      <c r="BD31" s="131" t="n">
        <f aca="false">IF(OR($C31="",$B$2="",$D$2=0),0,IF(BD$3&lt;0,0,N(INDEX('CURVA PREVISION'!$A$1:$KZ$3000,$C31,10+3*MIN(BD$3,$D$2-1)))))</f>
        <v>100</v>
      </c>
      <c r="BE31" s="131" t="n">
        <f aca="false">IF(OR($C31="",$B$2="",$D$2=0),0,IF(BE$3&lt;0,0,N(INDEX('CURVA PREVISION'!$A$1:$KZ$3000,$C31,10+3*MIN(BE$3,$D$2-1)))))</f>
        <v>100</v>
      </c>
      <c r="BF31" s="131" t="n">
        <f aca="false">IF(OR($C31="",$B$2="",$D$2=0),0,IF(BF$3&lt;0,0,N(INDEX('CURVA PREVISION'!$A$1:$KZ$3000,$C31,10+3*MIN(BF$3,$D$2-1)))))</f>
        <v>100</v>
      </c>
      <c r="BG31" s="131" t="n">
        <f aca="false">IF(OR($C31="",$B$2="",$D$2=0),0,IF(BG$3&lt;0,0,N(INDEX('CURVA PREVISION'!$A$1:$KZ$3000,$C31,10+3*MIN(BG$3,$D$2-1)))))</f>
        <v>100</v>
      </c>
      <c r="BH31" s="131" t="n">
        <f aca="false">IF(OR($C31="",$B$2="",$D$2=0),0,IF(BH$3&lt;0,0,N(INDEX('CURVA PREVISION'!$A$1:$KZ$3000,$C31,10+3*MIN(BH$3,$D$2-1)))))</f>
        <v>100</v>
      </c>
      <c r="BI31" s="131" t="n">
        <f aca="false">IF(OR($C31="",$B$2="",$D$2=0),0,IF(BI$3&lt;0,0,N(INDEX('CURVA PREVISION'!$A$1:$KZ$3000,$C31,10+3*MIN(BI$3,$D$2-1)))))</f>
        <v>100</v>
      </c>
      <c r="BJ31" s="131" t="n">
        <f aca="false">IF(OR($C31="",$B$2="",$D$2=0),0,IF(BJ$3&lt;0,0,N(INDEX('CURVA PREVISION'!$A$1:$KZ$3000,$C31,10+3*MIN(BJ$3,$D$2-1)))))</f>
        <v>100</v>
      </c>
      <c r="BK31" s="131" t="n">
        <f aca="false">IF(OR($C31="",$B$2="",$D$2=0),0,IF(BK$3&lt;0,0,N(INDEX('CURVA PREVISION'!$A$1:$KZ$3000,$C31,10+3*MIN(BK$3,$D$2-1)))))</f>
        <v>100</v>
      </c>
      <c r="BL31" s="131" t="n">
        <f aca="false">IF(OR($C31="",$B$2="",$D$2=0),0,IF(BL$3&lt;0,0,N(INDEX('CURVA PREVISION'!$A$1:$KZ$3000,$C31,10+3*MIN(BL$3,$D$2-1)))))</f>
        <v>100</v>
      </c>
      <c r="BM31" s="131" t="n">
        <f aca="false">IF(OR($C31="",$B$2="",$D$2=0),0,IF(BM$3&lt;0,0,N(INDEX('CURVA PREVISION'!$A$1:$KZ$3000,$C31,10+3*MIN(BM$3,$D$2-1)))))</f>
        <v>100</v>
      </c>
      <c r="BN31" s="131" t="n">
        <f aca="false">IF(OR($C31="",$B$2="",$D$2=0),0,IF(BN$3&lt;0,0,N(INDEX('CURVA PREVISION'!$A$1:$KZ$3000,$C31,10+3*MIN(BN$3,$D$2-1)))))</f>
        <v>100</v>
      </c>
      <c r="BO31" s="131" t="n">
        <f aca="false">IF(OR($C31="",$B$2="",$D$2=0),0,IF(BO$3&lt;0,0,N(INDEX('CURVA PREVISION'!$A$1:$KZ$3000,$C31,10+3*MIN(BO$3,$D$2-1)))))</f>
        <v>100</v>
      </c>
      <c r="BP31" s="131" t="n">
        <f aca="false">IF(OR($C31="",$B$2="",$D$2=0),0,IF(BP$3&lt;0,0,N(INDEX('CURVA PREVISION'!$A$1:$KZ$3000,$C31,10+3*MIN(BP$3,$D$2-1)))))</f>
        <v>100</v>
      </c>
      <c r="BQ31" s="131" t="n">
        <f aca="false">IF(OR($C31="",$B$2="",$D$2=0),0,IF(BQ$3&lt;0,0,N(INDEX('CURVA PREVISION'!$A$1:$KZ$3000,$C31,10+3*MIN(BQ$3,$D$2-1)))))</f>
        <v>100</v>
      </c>
      <c r="BR31" s="131" t="n">
        <f aca="false">IF(OR($C31="",$B$2="",$D$2=0),0,IF(BR$3&lt;0,0,N(INDEX('CURVA PREVISION'!$A$1:$KZ$3000,$C31,10+3*MIN(BR$3,$D$2-1)))))</f>
        <v>100</v>
      </c>
      <c r="BS31" s="131" t="n">
        <f aca="false">IF(OR($C31="",$B$2="",$D$2=0),0,IF(BS$3&lt;0,0,N(INDEX('CURVA PREVISION'!$A$1:$KZ$3000,$C31,10+3*MIN(BS$3,$D$2-1)))))</f>
        <v>100</v>
      </c>
      <c r="BT31" s="131" t="n">
        <f aca="false">IF(OR($C31="",$B$2="",$D$2=0),0,IF(BT$3&lt;0,0,N(INDEX('CURVA PREVISION'!$A$1:$KZ$3000,$C31,10+3*MIN(BT$3,$D$2-1)))))</f>
        <v>100</v>
      </c>
      <c r="BU31" s="131" t="n">
        <f aca="false">IF(OR($C31="",$B$2="",$D$2=0),0,IF(BU$3&lt;0,0,N(INDEX('CURVA PREVISION'!$A$1:$KZ$3000,$C31,10+3*MIN(BU$3,$D$2-1)))))</f>
        <v>100</v>
      </c>
      <c r="BV31" s="131" t="n">
        <f aca="false">IF(OR($C31="",$B$2="",$D$2=0),0,IF(BV$3&lt;0,0,N(INDEX('CURVA PREVISION'!$A$1:$KZ$3000,$C31,10+3*MIN(BV$3,$D$2-1)))))</f>
        <v>100</v>
      </c>
      <c r="BW31" s="131" t="n">
        <f aca="false">IF(OR($C31="",$B$2="",$D$2=0),0,IF(BW$3&lt;0,0,N(INDEX('CURVA PREVISION'!$A$1:$KZ$3000,$C31,10+3*MIN(BW$3,$D$2-1)))))</f>
        <v>100</v>
      </c>
    </row>
    <row r="32" customFormat="false" ht="15" hidden="false" customHeight="false" outlineLevel="0" collapsed="false">
      <c r="A32" s="57" t="str">
        <f aca="false">IF('VALOR POR PL'!R38&lt;&gt;"",'VALOR POR PL'!R38,IF('VALOR POR PL'!Q38="",'VALOR POR PL'!C38,'VALOR POR PL'!Q38))</f>
        <v>28</v>
      </c>
      <c r="B32" s="57" t="str">
        <f aca="false">'VALOR POR PL'!D38</f>
        <v>REVESTIMENTOS DE MASSA EM PISOS</v>
      </c>
      <c r="C32" s="64" t="n">
        <f aca="false">IFERROR(MATCH(A32,'CURVA PREVISION'!$B$1:$B$3000,0),"")</f>
        <v>624</v>
      </c>
      <c r="D32" s="131" t="n">
        <f aca="false">IF(OR($C32="",$B$2="",$D$2=0),0,IF(D$3&lt;0,0,N(INDEX('CURVA PREVISION'!$A$1:$KZ$3000,$C32,10+3*MIN(D$3,$D$2-1)))))</f>
        <v>0</v>
      </c>
      <c r="E32" s="131" t="n">
        <f aca="false">IF(OR($C32="",$B$2="",$D$2=0),0,IF(E$3&lt;0,0,N(INDEX('CURVA PREVISION'!$A$1:$KZ$3000,$C32,10+3*MIN(E$3,$D$2-1)))))</f>
        <v>0</v>
      </c>
      <c r="F32" s="131" t="n">
        <f aca="false">IF(OR($C32="",$B$2="",$D$2=0),0,IF(F$3&lt;0,0,N(INDEX('CURVA PREVISION'!$A$1:$KZ$3000,$C32,10+3*MIN(F$3,$D$2-1)))))</f>
        <v>0</v>
      </c>
      <c r="G32" s="131" t="n">
        <f aca="false">IF(OR($C32="",$B$2="",$D$2=0),0,IF(G$3&lt;0,0,N(INDEX('CURVA PREVISION'!$A$1:$KZ$3000,$C32,10+3*MIN(G$3,$D$2-1)))))</f>
        <v>0</v>
      </c>
      <c r="H32" s="131" t="n">
        <f aca="false">IF(OR($C32="",$B$2="",$D$2=0),0,IF(H$3&lt;0,0,N(INDEX('CURVA PREVISION'!$A$1:$KZ$3000,$C32,10+3*MIN(H$3,$D$2-1)))))</f>
        <v>0</v>
      </c>
      <c r="I32" s="131" t="n">
        <f aca="false">IF(OR($C32="",$B$2="",$D$2=0),0,IF(I$3&lt;0,0,N(INDEX('CURVA PREVISION'!$A$1:$KZ$3000,$C32,10+3*MIN(I$3,$D$2-1)))))</f>
        <v>0</v>
      </c>
      <c r="J32" s="131" t="n">
        <f aca="false">IF(OR($C32="",$B$2="",$D$2=0),0,IF(J$3&lt;0,0,N(INDEX('CURVA PREVISION'!$A$1:$KZ$3000,$C32,10+3*MIN(J$3,$D$2-1)))))</f>
        <v>0</v>
      </c>
      <c r="K32" s="131" t="n">
        <f aca="false">IF(OR($C32="",$B$2="",$D$2=0),0,IF(K$3&lt;0,0,N(INDEX('CURVA PREVISION'!$A$1:$KZ$3000,$C32,10+3*MIN(K$3,$D$2-1)))))</f>
        <v>0</v>
      </c>
      <c r="L32" s="131" t="n">
        <f aca="false">IF(OR($C32="",$B$2="",$D$2=0),0,IF(L$3&lt;0,0,N(INDEX('CURVA PREVISION'!$A$1:$KZ$3000,$C32,10+3*MIN(L$3,$D$2-1)))))</f>
        <v>0</v>
      </c>
      <c r="M32" s="131" t="n">
        <f aca="false">IF(OR($C32="",$B$2="",$D$2=0),0,IF(M$3&lt;0,0,N(INDEX('CURVA PREVISION'!$A$1:$KZ$3000,$C32,10+3*MIN(M$3,$D$2-1)))))</f>
        <v>0</v>
      </c>
      <c r="N32" s="131" t="n">
        <f aca="false">IF(OR($C32="",$B$2="",$D$2=0),0,IF(N$3&lt;0,0,N(INDEX('CURVA PREVISION'!$A$1:$KZ$3000,$C32,10+3*MIN(N$3,$D$2-1)))))</f>
        <v>0</v>
      </c>
      <c r="O32" s="131" t="n">
        <f aca="false">IF(OR($C32="",$B$2="",$D$2=0),0,IF(O$3&lt;0,0,N(INDEX('CURVA PREVISION'!$A$1:$KZ$3000,$C32,10+3*MIN(O$3,$D$2-1)))))</f>
        <v>0</v>
      </c>
      <c r="P32" s="131" t="n">
        <f aca="false">IF(OR($C32="",$B$2="",$D$2=0),0,IF(P$3&lt;0,0,N(INDEX('CURVA PREVISION'!$A$1:$KZ$3000,$C32,10+3*MIN(P$3,$D$2-1)))))</f>
        <v>0</v>
      </c>
      <c r="Q32" s="131" t="n">
        <f aca="false">IF(OR($C32="",$B$2="",$D$2=0),0,IF(Q$3&lt;0,0,N(INDEX('CURVA PREVISION'!$A$1:$KZ$3000,$C32,10+3*MIN(Q$3,$D$2-1)))))</f>
        <v>0</v>
      </c>
      <c r="R32" s="131" t="n">
        <f aca="false">IF(OR($C32="",$B$2="",$D$2=0),0,IF(R$3&lt;0,0,N(INDEX('CURVA PREVISION'!$A$1:$KZ$3000,$C32,10+3*MIN(R$3,$D$2-1)))))</f>
        <v>0</v>
      </c>
      <c r="S32" s="131" t="n">
        <f aca="false">IF(OR($C32="",$B$2="",$D$2=0),0,IF(S$3&lt;0,0,N(INDEX('CURVA PREVISION'!$A$1:$KZ$3000,$C32,10+3*MIN(S$3,$D$2-1)))))</f>
        <v>0</v>
      </c>
      <c r="T32" s="131" t="n">
        <f aca="false">IF(OR($C32="",$B$2="",$D$2=0),0,IF(T$3&lt;0,0,N(INDEX('CURVA PREVISION'!$A$1:$KZ$3000,$C32,10+3*MIN(T$3,$D$2-1)))))</f>
        <v>0</v>
      </c>
      <c r="U32" s="131" t="n">
        <f aca="false">IF(OR($C32="",$B$2="",$D$2=0),0,IF(U$3&lt;0,0,N(INDEX('CURVA PREVISION'!$A$1:$KZ$3000,$C32,10+3*MIN(U$3,$D$2-1)))))</f>
        <v>0</v>
      </c>
      <c r="V32" s="131" t="n">
        <f aca="false">IF(OR($C32="",$B$2="",$D$2=0),0,IF(V$3&lt;0,0,N(INDEX('CURVA PREVISION'!$A$1:$KZ$3000,$C32,10+3*MIN(V$3,$D$2-1)))))</f>
        <v>0</v>
      </c>
      <c r="W32" s="131" t="n">
        <f aca="false">IF(OR($C32="",$B$2="",$D$2=0),0,IF(W$3&lt;0,0,N(INDEX('CURVA PREVISION'!$A$1:$KZ$3000,$C32,10+3*MIN(W$3,$D$2-1)))))</f>
        <v>0</v>
      </c>
      <c r="X32" s="131" t="n">
        <f aca="false">IF(OR($C32="",$B$2="",$D$2=0),0,IF(X$3&lt;0,0,N(INDEX('CURVA PREVISION'!$A$1:$KZ$3000,$C32,10+3*MIN(X$3,$D$2-1)))))</f>
        <v>0</v>
      </c>
      <c r="Y32" s="131" t="n">
        <f aca="false">IF(OR($C32="",$B$2="",$D$2=0),0,IF(Y$3&lt;0,0,N(INDEX('CURVA PREVISION'!$A$1:$KZ$3000,$C32,10+3*MIN(Y$3,$D$2-1)))))</f>
        <v>0</v>
      </c>
      <c r="Z32" s="131" t="n">
        <f aca="false">IF(OR($C32="",$B$2="",$D$2=0),0,IF(Z$3&lt;0,0,N(INDEX('CURVA PREVISION'!$A$1:$KZ$3000,$C32,10+3*MIN(Z$3,$D$2-1)))))</f>
        <v>0</v>
      </c>
      <c r="AA32" s="131" t="n">
        <f aca="false">IF(OR($C32="",$B$2="",$D$2=0),0,IF(AA$3&lt;0,0,N(INDEX('CURVA PREVISION'!$A$1:$KZ$3000,$C32,10+3*MIN(AA$3,$D$2-1)))))</f>
        <v>0</v>
      </c>
      <c r="AB32" s="131" t="n">
        <f aca="false">IF(OR($C32="",$B$2="",$D$2=0),0,IF(AB$3&lt;0,0,N(INDEX('CURVA PREVISION'!$A$1:$KZ$3000,$C32,10+3*MIN(AB$3,$D$2-1)))))</f>
        <v>0</v>
      </c>
      <c r="AC32" s="131" t="n">
        <f aca="false">IF(OR($C32="",$B$2="",$D$2=0),0,IF(AC$3&lt;0,0,N(INDEX('CURVA PREVISION'!$A$1:$KZ$3000,$C32,10+3*MIN(AC$3,$D$2-1)))))</f>
        <v>0</v>
      </c>
      <c r="AD32" s="131" t="n">
        <f aca="false">IF(OR($C32="",$B$2="",$D$2=0),0,IF(AD$3&lt;0,0,N(INDEX('CURVA PREVISION'!$A$1:$KZ$3000,$C32,10+3*MIN(AD$3,$D$2-1)))))</f>
        <v>0</v>
      </c>
      <c r="AE32" s="131" t="n">
        <f aca="false">IF(OR($C32="",$B$2="",$D$2=0),0,IF(AE$3&lt;0,0,N(INDEX('CURVA PREVISION'!$A$1:$KZ$3000,$C32,10+3*MIN(AE$3,$D$2-1)))))</f>
        <v>0</v>
      </c>
      <c r="AF32" s="131" t="n">
        <f aca="false">IF(OR($C32="",$B$2="",$D$2=0),0,IF(AF$3&lt;0,0,N(INDEX('CURVA PREVISION'!$A$1:$KZ$3000,$C32,10+3*MIN(AF$3,$D$2-1)))))</f>
        <v>0.16</v>
      </c>
      <c r="AG32" s="131" t="n">
        <f aca="false">IF(OR($C32="",$B$2="",$D$2=0),0,IF(AG$3&lt;0,0,N(INDEX('CURVA PREVISION'!$A$1:$KZ$3000,$C32,10+3*MIN(AG$3,$D$2-1)))))</f>
        <v>0.49</v>
      </c>
      <c r="AH32" s="131" t="n">
        <f aca="false">IF(OR($C32="",$B$2="",$D$2=0),0,IF(AH$3&lt;0,0,N(INDEX('CURVA PREVISION'!$A$1:$KZ$3000,$C32,10+3*MIN(AH$3,$D$2-1)))))</f>
        <v>4.11</v>
      </c>
      <c r="AI32" s="131" t="n">
        <f aca="false">IF(OR($C32="",$B$2="",$D$2=0),0,IF(AI$3&lt;0,0,N(INDEX('CURVA PREVISION'!$A$1:$KZ$3000,$C32,10+3*MIN(AI$3,$D$2-1)))))</f>
        <v>11.69</v>
      </c>
      <c r="AJ32" s="131" t="n">
        <f aca="false">IF(OR($C32="",$B$2="",$D$2=0),0,IF(AJ$3&lt;0,0,N(INDEX('CURVA PREVISION'!$A$1:$KZ$3000,$C32,10+3*MIN(AJ$3,$D$2-1)))))</f>
        <v>19.84</v>
      </c>
      <c r="AK32" s="131" t="n">
        <f aca="false">IF(OR($C32="",$B$2="",$D$2=0),0,IF(AK$3&lt;0,0,N(INDEX('CURVA PREVISION'!$A$1:$KZ$3000,$C32,10+3*MIN(AK$3,$D$2-1)))))</f>
        <v>27.98</v>
      </c>
      <c r="AL32" s="131" t="n">
        <f aca="false">IF(OR($C32="",$B$2="",$D$2=0),0,IF(AL$3&lt;0,0,N(INDEX('CURVA PREVISION'!$A$1:$KZ$3000,$C32,10+3*MIN(AL$3,$D$2-1)))))</f>
        <v>36.39</v>
      </c>
      <c r="AM32" s="131" t="n">
        <f aca="false">IF(OR($C32="",$B$2="",$D$2=0),0,IF(AM$3&lt;0,0,N(INDEX('CURVA PREVISION'!$A$1:$KZ$3000,$C32,10+3*MIN(AM$3,$D$2-1)))))</f>
        <v>54.58</v>
      </c>
      <c r="AN32" s="131" t="n">
        <f aca="false">IF(OR($C32="",$B$2="",$D$2=0),0,IF(AN$3&lt;0,0,N(INDEX('CURVA PREVISION'!$A$1:$KZ$3000,$C32,10+3*MIN(AN$3,$D$2-1)))))</f>
        <v>61.51</v>
      </c>
      <c r="AO32" s="131" t="n">
        <f aca="false">IF(OR($C32="",$B$2="",$D$2=0),0,IF(AO$3&lt;0,0,N(INDEX('CURVA PREVISION'!$A$1:$KZ$3000,$C32,10+3*MIN(AO$3,$D$2-1)))))</f>
        <v>69.43</v>
      </c>
      <c r="AP32" s="131" t="n">
        <f aca="false">IF(OR($C32="",$B$2="",$D$2=0),0,IF(AP$3&lt;0,0,N(INDEX('CURVA PREVISION'!$A$1:$KZ$3000,$C32,10+3*MIN(AP$3,$D$2-1)))))</f>
        <v>77.74</v>
      </c>
      <c r="AQ32" s="131" t="n">
        <f aca="false">IF(OR($C32="",$B$2="",$D$2=0),0,IF(AQ$3&lt;0,0,N(INDEX('CURVA PREVISION'!$A$1:$KZ$3000,$C32,10+3*MIN(AQ$3,$D$2-1)))))</f>
        <v>85.33</v>
      </c>
      <c r="AR32" s="131" t="n">
        <f aca="false">IF(OR($C32="",$B$2="",$D$2=0),0,IF(AR$3&lt;0,0,N(INDEX('CURVA PREVISION'!$A$1:$KZ$3000,$C32,10+3*MIN(AR$3,$D$2-1)))))</f>
        <v>91.33</v>
      </c>
      <c r="AS32" s="131" t="n">
        <f aca="false">IF(OR($C32="",$B$2="",$D$2=0),0,IF(AS$3&lt;0,0,N(INDEX('CURVA PREVISION'!$A$1:$KZ$3000,$C32,10+3*MIN(AS$3,$D$2-1)))))</f>
        <v>94.29</v>
      </c>
      <c r="AT32" s="131" t="n">
        <f aca="false">IF(OR($C32="",$B$2="",$D$2=0),0,IF(AT$3&lt;0,0,N(INDEX('CURVA PREVISION'!$A$1:$KZ$3000,$C32,10+3*MIN(AT$3,$D$2-1)))))</f>
        <v>95.9</v>
      </c>
      <c r="AU32" s="131" t="n">
        <f aca="false">IF(OR($C32="",$B$2="",$D$2=0),0,IF(AU$3&lt;0,0,N(INDEX('CURVA PREVISION'!$A$1:$KZ$3000,$C32,10+3*MIN(AU$3,$D$2-1)))))</f>
        <v>99.92</v>
      </c>
      <c r="AV32" s="131" t="n">
        <f aca="false">IF(OR($C32="",$B$2="",$D$2=0),0,IF(AV$3&lt;0,0,N(INDEX('CURVA PREVISION'!$A$1:$KZ$3000,$C32,10+3*MIN(AV$3,$D$2-1)))))</f>
        <v>100</v>
      </c>
      <c r="AW32" s="131" t="n">
        <f aca="false">IF(OR($C32="",$B$2="",$D$2=0),0,IF(AW$3&lt;0,0,N(INDEX('CURVA PREVISION'!$A$1:$KZ$3000,$C32,10+3*MIN(AW$3,$D$2-1)))))</f>
        <v>100</v>
      </c>
      <c r="AX32" s="131" t="n">
        <f aca="false">IF(OR($C32="",$B$2="",$D$2=0),0,IF(AX$3&lt;0,0,N(INDEX('CURVA PREVISION'!$A$1:$KZ$3000,$C32,10+3*MIN(AX$3,$D$2-1)))))</f>
        <v>100</v>
      </c>
      <c r="AY32" s="131" t="n">
        <f aca="false">IF(OR($C32="",$B$2="",$D$2=0),0,IF(AY$3&lt;0,0,N(INDEX('CURVA PREVISION'!$A$1:$KZ$3000,$C32,10+3*MIN(AY$3,$D$2-1)))))</f>
        <v>100</v>
      </c>
      <c r="AZ32" s="131" t="n">
        <f aca="false">IF(OR($C32="",$B$2="",$D$2=0),0,IF(AZ$3&lt;0,0,N(INDEX('CURVA PREVISION'!$A$1:$KZ$3000,$C32,10+3*MIN(AZ$3,$D$2-1)))))</f>
        <v>100</v>
      </c>
      <c r="BA32" s="131" t="n">
        <f aca="false">IF(OR($C32="",$B$2="",$D$2=0),0,IF(BA$3&lt;0,0,N(INDEX('CURVA PREVISION'!$A$1:$KZ$3000,$C32,10+3*MIN(BA$3,$D$2-1)))))</f>
        <v>100</v>
      </c>
      <c r="BB32" s="131" t="n">
        <f aca="false">IF(OR($C32="",$B$2="",$D$2=0),0,IF(BB$3&lt;0,0,N(INDEX('CURVA PREVISION'!$A$1:$KZ$3000,$C32,10+3*MIN(BB$3,$D$2-1)))))</f>
        <v>100</v>
      </c>
      <c r="BC32" s="131" t="n">
        <f aca="false">IF(OR($C32="",$B$2="",$D$2=0),0,IF(BC$3&lt;0,0,N(INDEX('CURVA PREVISION'!$A$1:$KZ$3000,$C32,10+3*MIN(BC$3,$D$2-1)))))</f>
        <v>100</v>
      </c>
      <c r="BD32" s="131" t="n">
        <f aca="false">IF(OR($C32="",$B$2="",$D$2=0),0,IF(BD$3&lt;0,0,N(INDEX('CURVA PREVISION'!$A$1:$KZ$3000,$C32,10+3*MIN(BD$3,$D$2-1)))))</f>
        <v>100</v>
      </c>
      <c r="BE32" s="131" t="n">
        <f aca="false">IF(OR($C32="",$B$2="",$D$2=0),0,IF(BE$3&lt;0,0,N(INDEX('CURVA PREVISION'!$A$1:$KZ$3000,$C32,10+3*MIN(BE$3,$D$2-1)))))</f>
        <v>100</v>
      </c>
      <c r="BF32" s="131" t="n">
        <f aca="false">IF(OR($C32="",$B$2="",$D$2=0),0,IF(BF$3&lt;0,0,N(INDEX('CURVA PREVISION'!$A$1:$KZ$3000,$C32,10+3*MIN(BF$3,$D$2-1)))))</f>
        <v>100</v>
      </c>
      <c r="BG32" s="131" t="n">
        <f aca="false">IF(OR($C32="",$B$2="",$D$2=0),0,IF(BG$3&lt;0,0,N(INDEX('CURVA PREVISION'!$A$1:$KZ$3000,$C32,10+3*MIN(BG$3,$D$2-1)))))</f>
        <v>100</v>
      </c>
      <c r="BH32" s="131" t="n">
        <f aca="false">IF(OR($C32="",$B$2="",$D$2=0),0,IF(BH$3&lt;0,0,N(INDEX('CURVA PREVISION'!$A$1:$KZ$3000,$C32,10+3*MIN(BH$3,$D$2-1)))))</f>
        <v>100</v>
      </c>
      <c r="BI32" s="131" t="n">
        <f aca="false">IF(OR($C32="",$B$2="",$D$2=0),0,IF(BI$3&lt;0,0,N(INDEX('CURVA PREVISION'!$A$1:$KZ$3000,$C32,10+3*MIN(BI$3,$D$2-1)))))</f>
        <v>100</v>
      </c>
      <c r="BJ32" s="131" t="n">
        <f aca="false">IF(OR($C32="",$B$2="",$D$2=0),0,IF(BJ$3&lt;0,0,N(INDEX('CURVA PREVISION'!$A$1:$KZ$3000,$C32,10+3*MIN(BJ$3,$D$2-1)))))</f>
        <v>100</v>
      </c>
      <c r="BK32" s="131" t="n">
        <f aca="false">IF(OR($C32="",$B$2="",$D$2=0),0,IF(BK$3&lt;0,0,N(INDEX('CURVA PREVISION'!$A$1:$KZ$3000,$C32,10+3*MIN(BK$3,$D$2-1)))))</f>
        <v>100</v>
      </c>
      <c r="BL32" s="131" t="n">
        <f aca="false">IF(OR($C32="",$B$2="",$D$2=0),0,IF(BL$3&lt;0,0,N(INDEX('CURVA PREVISION'!$A$1:$KZ$3000,$C32,10+3*MIN(BL$3,$D$2-1)))))</f>
        <v>100</v>
      </c>
      <c r="BM32" s="131" t="n">
        <f aca="false">IF(OR($C32="",$B$2="",$D$2=0),0,IF(BM$3&lt;0,0,N(INDEX('CURVA PREVISION'!$A$1:$KZ$3000,$C32,10+3*MIN(BM$3,$D$2-1)))))</f>
        <v>100</v>
      </c>
      <c r="BN32" s="131" t="n">
        <f aca="false">IF(OR($C32="",$B$2="",$D$2=0),0,IF(BN$3&lt;0,0,N(INDEX('CURVA PREVISION'!$A$1:$KZ$3000,$C32,10+3*MIN(BN$3,$D$2-1)))))</f>
        <v>100</v>
      </c>
      <c r="BO32" s="131" t="n">
        <f aca="false">IF(OR($C32="",$B$2="",$D$2=0),0,IF(BO$3&lt;0,0,N(INDEX('CURVA PREVISION'!$A$1:$KZ$3000,$C32,10+3*MIN(BO$3,$D$2-1)))))</f>
        <v>100</v>
      </c>
      <c r="BP32" s="131" t="n">
        <f aca="false">IF(OR($C32="",$B$2="",$D$2=0),0,IF(BP$3&lt;0,0,N(INDEX('CURVA PREVISION'!$A$1:$KZ$3000,$C32,10+3*MIN(BP$3,$D$2-1)))))</f>
        <v>100</v>
      </c>
      <c r="BQ32" s="131" t="n">
        <f aca="false">IF(OR($C32="",$B$2="",$D$2=0),0,IF(BQ$3&lt;0,0,N(INDEX('CURVA PREVISION'!$A$1:$KZ$3000,$C32,10+3*MIN(BQ$3,$D$2-1)))))</f>
        <v>100</v>
      </c>
      <c r="BR32" s="131" t="n">
        <f aca="false">IF(OR($C32="",$B$2="",$D$2=0),0,IF(BR$3&lt;0,0,N(INDEX('CURVA PREVISION'!$A$1:$KZ$3000,$C32,10+3*MIN(BR$3,$D$2-1)))))</f>
        <v>100</v>
      </c>
      <c r="BS32" s="131" t="n">
        <f aca="false">IF(OR($C32="",$B$2="",$D$2=0),0,IF(BS$3&lt;0,0,N(INDEX('CURVA PREVISION'!$A$1:$KZ$3000,$C32,10+3*MIN(BS$3,$D$2-1)))))</f>
        <v>100</v>
      </c>
      <c r="BT32" s="131" t="n">
        <f aca="false">IF(OR($C32="",$B$2="",$D$2=0),0,IF(BT$3&lt;0,0,N(INDEX('CURVA PREVISION'!$A$1:$KZ$3000,$C32,10+3*MIN(BT$3,$D$2-1)))))</f>
        <v>100</v>
      </c>
      <c r="BU32" s="131" t="n">
        <f aca="false">IF(OR($C32="",$B$2="",$D$2=0),0,IF(BU$3&lt;0,0,N(INDEX('CURVA PREVISION'!$A$1:$KZ$3000,$C32,10+3*MIN(BU$3,$D$2-1)))))</f>
        <v>100</v>
      </c>
      <c r="BV32" s="131" t="n">
        <f aca="false">IF(OR($C32="",$B$2="",$D$2=0),0,IF(BV$3&lt;0,0,N(INDEX('CURVA PREVISION'!$A$1:$KZ$3000,$C32,10+3*MIN(BV$3,$D$2-1)))))</f>
        <v>100</v>
      </c>
      <c r="BW32" s="131" t="n">
        <f aca="false">IF(OR($C32="",$B$2="",$D$2=0),0,IF(BW$3&lt;0,0,N(INDEX('CURVA PREVISION'!$A$1:$KZ$3000,$C32,10+3*MIN(BW$3,$D$2-1)))))</f>
        <v>100</v>
      </c>
    </row>
    <row r="33" customFormat="false" ht="15" hidden="false" customHeight="false" outlineLevel="0" collapsed="false">
      <c r="A33" s="57" t="str">
        <f aca="false">IF('VALOR POR PL'!R39&lt;&gt;"",'VALOR POR PL'!R39,IF('VALOR POR PL'!Q39="",'VALOR POR PL'!C39,'VALOR POR PL'!Q39))</f>
        <v>29</v>
      </c>
      <c r="B33" s="57" t="str">
        <f aca="false">'VALOR POR PL'!D39</f>
        <v>REVESTIMENTOS DE MASSA EM PAREDES</v>
      </c>
      <c r="C33" s="64" t="n">
        <f aca="false">IFERROR(MATCH(A33,'CURVA PREVISION'!$B$1:$B$3000,0),"")</f>
        <v>633</v>
      </c>
      <c r="D33" s="131" t="n">
        <f aca="false">IF(OR($C33="",$B$2="",$D$2=0),0,IF(D$3&lt;0,0,N(INDEX('CURVA PREVISION'!$A$1:$KZ$3000,$C33,10+3*MIN(D$3,$D$2-1)))))</f>
        <v>0</v>
      </c>
      <c r="E33" s="131" t="n">
        <f aca="false">IF(OR($C33="",$B$2="",$D$2=0),0,IF(E$3&lt;0,0,N(INDEX('CURVA PREVISION'!$A$1:$KZ$3000,$C33,10+3*MIN(E$3,$D$2-1)))))</f>
        <v>0</v>
      </c>
      <c r="F33" s="131" t="n">
        <f aca="false">IF(OR($C33="",$B$2="",$D$2=0),0,IF(F$3&lt;0,0,N(INDEX('CURVA PREVISION'!$A$1:$KZ$3000,$C33,10+3*MIN(F$3,$D$2-1)))))</f>
        <v>0</v>
      </c>
      <c r="G33" s="131" t="n">
        <f aca="false">IF(OR($C33="",$B$2="",$D$2=0),0,IF(G$3&lt;0,0,N(INDEX('CURVA PREVISION'!$A$1:$KZ$3000,$C33,10+3*MIN(G$3,$D$2-1)))))</f>
        <v>0</v>
      </c>
      <c r="H33" s="131" t="n">
        <f aca="false">IF(OR($C33="",$B$2="",$D$2=0),0,IF(H$3&lt;0,0,N(INDEX('CURVA PREVISION'!$A$1:$KZ$3000,$C33,10+3*MIN(H$3,$D$2-1)))))</f>
        <v>0</v>
      </c>
      <c r="I33" s="131" t="n">
        <f aca="false">IF(OR($C33="",$B$2="",$D$2=0),0,IF(I$3&lt;0,0,N(INDEX('CURVA PREVISION'!$A$1:$KZ$3000,$C33,10+3*MIN(I$3,$D$2-1)))))</f>
        <v>0</v>
      </c>
      <c r="J33" s="131" t="n">
        <f aca="false">IF(OR($C33="",$B$2="",$D$2=0),0,IF(J$3&lt;0,0,N(INDEX('CURVA PREVISION'!$A$1:$KZ$3000,$C33,10+3*MIN(J$3,$D$2-1)))))</f>
        <v>0</v>
      </c>
      <c r="K33" s="131" t="n">
        <f aca="false">IF(OR($C33="",$B$2="",$D$2=0),0,IF(K$3&lt;0,0,N(INDEX('CURVA PREVISION'!$A$1:$KZ$3000,$C33,10+3*MIN(K$3,$D$2-1)))))</f>
        <v>0</v>
      </c>
      <c r="L33" s="131" t="n">
        <f aca="false">IF(OR($C33="",$B$2="",$D$2=0),0,IF(L$3&lt;0,0,N(INDEX('CURVA PREVISION'!$A$1:$KZ$3000,$C33,10+3*MIN(L$3,$D$2-1)))))</f>
        <v>0</v>
      </c>
      <c r="M33" s="131" t="n">
        <f aca="false">IF(OR($C33="",$B$2="",$D$2=0),0,IF(M$3&lt;0,0,N(INDEX('CURVA PREVISION'!$A$1:$KZ$3000,$C33,10+3*MIN(M$3,$D$2-1)))))</f>
        <v>0</v>
      </c>
      <c r="N33" s="131" t="n">
        <f aca="false">IF(OR($C33="",$B$2="",$D$2=0),0,IF(N$3&lt;0,0,N(INDEX('CURVA PREVISION'!$A$1:$KZ$3000,$C33,10+3*MIN(N$3,$D$2-1)))))</f>
        <v>0</v>
      </c>
      <c r="O33" s="131" t="n">
        <f aca="false">IF(OR($C33="",$B$2="",$D$2=0),0,IF(O$3&lt;0,0,N(INDEX('CURVA PREVISION'!$A$1:$KZ$3000,$C33,10+3*MIN(O$3,$D$2-1)))))</f>
        <v>0</v>
      </c>
      <c r="P33" s="131" t="n">
        <f aca="false">IF(OR($C33="",$B$2="",$D$2=0),0,IF(P$3&lt;0,0,N(INDEX('CURVA PREVISION'!$A$1:$KZ$3000,$C33,10+3*MIN(P$3,$D$2-1)))))</f>
        <v>0</v>
      </c>
      <c r="Q33" s="131" t="n">
        <f aca="false">IF(OR($C33="",$B$2="",$D$2=0),0,IF(Q$3&lt;0,0,N(INDEX('CURVA PREVISION'!$A$1:$KZ$3000,$C33,10+3*MIN(Q$3,$D$2-1)))))</f>
        <v>0</v>
      </c>
      <c r="R33" s="131" t="n">
        <f aca="false">IF(OR($C33="",$B$2="",$D$2=0),0,IF(R$3&lt;0,0,N(INDEX('CURVA PREVISION'!$A$1:$KZ$3000,$C33,10+3*MIN(R$3,$D$2-1)))))</f>
        <v>0</v>
      </c>
      <c r="S33" s="131" t="n">
        <f aca="false">IF(OR($C33="",$B$2="",$D$2=0),0,IF(S$3&lt;0,0,N(INDEX('CURVA PREVISION'!$A$1:$KZ$3000,$C33,10+3*MIN(S$3,$D$2-1)))))</f>
        <v>0</v>
      </c>
      <c r="T33" s="131" t="n">
        <f aca="false">IF(OR($C33="",$B$2="",$D$2=0),0,IF(T$3&lt;0,0,N(INDEX('CURVA PREVISION'!$A$1:$KZ$3000,$C33,10+3*MIN(T$3,$D$2-1)))))</f>
        <v>0</v>
      </c>
      <c r="U33" s="131" t="n">
        <f aca="false">IF(OR($C33="",$B$2="",$D$2=0),0,IF(U$3&lt;0,0,N(INDEX('CURVA PREVISION'!$A$1:$KZ$3000,$C33,10+3*MIN(U$3,$D$2-1)))))</f>
        <v>0</v>
      </c>
      <c r="V33" s="131" t="n">
        <f aca="false">IF(OR($C33="",$B$2="",$D$2=0),0,IF(V$3&lt;0,0,N(INDEX('CURVA PREVISION'!$A$1:$KZ$3000,$C33,10+3*MIN(V$3,$D$2-1)))))</f>
        <v>0</v>
      </c>
      <c r="W33" s="131" t="n">
        <f aca="false">IF(OR($C33="",$B$2="",$D$2=0),0,IF(W$3&lt;0,0,N(INDEX('CURVA PREVISION'!$A$1:$KZ$3000,$C33,10+3*MIN(W$3,$D$2-1)))))</f>
        <v>0</v>
      </c>
      <c r="X33" s="131" t="n">
        <f aca="false">IF(OR($C33="",$B$2="",$D$2=0),0,IF(X$3&lt;0,0,N(INDEX('CURVA PREVISION'!$A$1:$KZ$3000,$C33,10+3*MIN(X$3,$D$2-1)))))</f>
        <v>0</v>
      </c>
      <c r="Y33" s="131" t="n">
        <f aca="false">IF(OR($C33="",$B$2="",$D$2=0),0,IF(Y$3&lt;0,0,N(INDEX('CURVA PREVISION'!$A$1:$KZ$3000,$C33,10+3*MIN(Y$3,$D$2-1)))))</f>
        <v>0</v>
      </c>
      <c r="Z33" s="131" t="n">
        <f aca="false">IF(OR($C33="",$B$2="",$D$2=0),0,IF(Z$3&lt;0,0,N(INDEX('CURVA PREVISION'!$A$1:$KZ$3000,$C33,10+3*MIN(Z$3,$D$2-1)))))</f>
        <v>0</v>
      </c>
      <c r="AA33" s="131" t="n">
        <f aca="false">IF(OR($C33="",$B$2="",$D$2=0),0,IF(AA$3&lt;0,0,N(INDEX('CURVA PREVISION'!$A$1:$KZ$3000,$C33,10+3*MIN(AA$3,$D$2-1)))))</f>
        <v>0</v>
      </c>
      <c r="AB33" s="131" t="n">
        <f aca="false">IF(OR($C33="",$B$2="",$D$2=0),0,IF(AB$3&lt;0,0,N(INDEX('CURVA PREVISION'!$A$1:$KZ$3000,$C33,10+3*MIN(AB$3,$D$2-1)))))</f>
        <v>0</v>
      </c>
      <c r="AC33" s="131" t="n">
        <f aca="false">IF(OR($C33="",$B$2="",$D$2=0),0,IF(AC$3&lt;0,0,N(INDEX('CURVA PREVISION'!$A$1:$KZ$3000,$C33,10+3*MIN(AC$3,$D$2-1)))))</f>
        <v>0</v>
      </c>
      <c r="AD33" s="131" t="n">
        <f aca="false">IF(OR($C33="",$B$2="",$D$2=0),0,IF(AD$3&lt;0,0,N(INDEX('CURVA PREVISION'!$A$1:$KZ$3000,$C33,10+3*MIN(AD$3,$D$2-1)))))</f>
        <v>0</v>
      </c>
      <c r="AE33" s="131" t="n">
        <f aca="false">IF(OR($C33="",$B$2="",$D$2=0),0,IF(AE$3&lt;0,0,N(INDEX('CURVA PREVISION'!$A$1:$KZ$3000,$C33,10+3*MIN(AE$3,$D$2-1)))))</f>
        <v>0</v>
      </c>
      <c r="AF33" s="131" t="n">
        <f aca="false">IF(OR($C33="",$B$2="",$D$2=0),0,IF(AF$3&lt;0,0,N(INDEX('CURVA PREVISION'!$A$1:$KZ$3000,$C33,10+3*MIN(AF$3,$D$2-1)))))</f>
        <v>0.23</v>
      </c>
      <c r="AG33" s="131" t="n">
        <f aca="false">IF(OR($C33="",$B$2="",$D$2=0),0,IF(AG$3&lt;0,0,N(INDEX('CURVA PREVISION'!$A$1:$KZ$3000,$C33,10+3*MIN(AG$3,$D$2-1)))))</f>
        <v>1.42</v>
      </c>
      <c r="AH33" s="131" t="n">
        <f aca="false">IF(OR($C33="",$B$2="",$D$2=0),0,IF(AH$3&lt;0,0,N(INDEX('CURVA PREVISION'!$A$1:$KZ$3000,$C33,10+3*MIN(AH$3,$D$2-1)))))</f>
        <v>8.62</v>
      </c>
      <c r="AI33" s="131" t="n">
        <f aca="false">IF(OR($C33="",$B$2="",$D$2=0),0,IF(AI$3&lt;0,0,N(INDEX('CURVA PREVISION'!$A$1:$KZ$3000,$C33,10+3*MIN(AI$3,$D$2-1)))))</f>
        <v>14.49</v>
      </c>
      <c r="AJ33" s="131" t="n">
        <f aca="false">IF(OR($C33="",$B$2="",$D$2=0),0,IF(AJ$3&lt;0,0,N(INDEX('CURVA PREVISION'!$A$1:$KZ$3000,$C33,10+3*MIN(AJ$3,$D$2-1)))))</f>
        <v>23.54</v>
      </c>
      <c r="AK33" s="131" t="n">
        <f aca="false">IF(OR($C33="",$B$2="",$D$2=0),0,IF(AK$3&lt;0,0,N(INDEX('CURVA PREVISION'!$A$1:$KZ$3000,$C33,10+3*MIN(AK$3,$D$2-1)))))</f>
        <v>40.97</v>
      </c>
      <c r="AL33" s="131" t="n">
        <f aca="false">IF(OR($C33="",$B$2="",$D$2=0),0,IF(AL$3&lt;0,0,N(INDEX('CURVA PREVISION'!$A$1:$KZ$3000,$C33,10+3*MIN(AL$3,$D$2-1)))))</f>
        <v>50.56</v>
      </c>
      <c r="AM33" s="131" t="n">
        <f aca="false">IF(OR($C33="",$B$2="",$D$2=0),0,IF(AM$3&lt;0,0,N(INDEX('CURVA PREVISION'!$A$1:$KZ$3000,$C33,10+3*MIN(AM$3,$D$2-1)))))</f>
        <v>58.85</v>
      </c>
      <c r="AN33" s="131" t="n">
        <f aca="false">IF(OR($C33="",$B$2="",$D$2=0),0,IF(AN$3&lt;0,0,N(INDEX('CURVA PREVISION'!$A$1:$KZ$3000,$C33,10+3*MIN(AN$3,$D$2-1)))))</f>
        <v>65.45</v>
      </c>
      <c r="AO33" s="131" t="n">
        <f aca="false">IF(OR($C33="",$B$2="",$D$2=0),0,IF(AO$3&lt;0,0,N(INDEX('CURVA PREVISION'!$A$1:$KZ$3000,$C33,10+3*MIN(AO$3,$D$2-1)))))</f>
        <v>75.03</v>
      </c>
      <c r="AP33" s="131" t="n">
        <f aca="false">IF(OR($C33="",$B$2="",$D$2=0),0,IF(AP$3&lt;0,0,N(INDEX('CURVA PREVISION'!$A$1:$KZ$3000,$C33,10+3*MIN(AP$3,$D$2-1)))))</f>
        <v>83.46</v>
      </c>
      <c r="AQ33" s="131" t="n">
        <f aca="false">IF(OR($C33="",$B$2="",$D$2=0),0,IF(AQ$3&lt;0,0,N(INDEX('CURVA PREVISION'!$A$1:$KZ$3000,$C33,10+3*MIN(AQ$3,$D$2-1)))))</f>
        <v>92.18</v>
      </c>
      <c r="AR33" s="131" t="n">
        <f aca="false">IF(OR($C33="",$B$2="",$D$2=0),0,IF(AR$3&lt;0,0,N(INDEX('CURVA PREVISION'!$A$1:$KZ$3000,$C33,10+3*MIN(AR$3,$D$2-1)))))</f>
        <v>96.15</v>
      </c>
      <c r="AS33" s="131" t="n">
        <f aca="false">IF(OR($C33="",$B$2="",$D$2=0),0,IF(AS$3&lt;0,0,N(INDEX('CURVA PREVISION'!$A$1:$KZ$3000,$C33,10+3*MIN(AS$3,$D$2-1)))))</f>
        <v>97.6</v>
      </c>
      <c r="AT33" s="131" t="n">
        <f aca="false">IF(OR($C33="",$B$2="",$D$2=0),0,IF(AT$3&lt;0,0,N(INDEX('CURVA PREVISION'!$A$1:$KZ$3000,$C33,10+3*MIN(AT$3,$D$2-1)))))</f>
        <v>100</v>
      </c>
      <c r="AU33" s="131" t="n">
        <f aca="false">IF(OR($C33="",$B$2="",$D$2=0),0,IF(AU$3&lt;0,0,N(INDEX('CURVA PREVISION'!$A$1:$KZ$3000,$C33,10+3*MIN(AU$3,$D$2-1)))))</f>
        <v>100</v>
      </c>
      <c r="AV33" s="131" t="n">
        <f aca="false">IF(OR($C33="",$B$2="",$D$2=0),0,IF(AV$3&lt;0,0,N(INDEX('CURVA PREVISION'!$A$1:$KZ$3000,$C33,10+3*MIN(AV$3,$D$2-1)))))</f>
        <v>100</v>
      </c>
      <c r="AW33" s="131" t="n">
        <f aca="false">IF(OR($C33="",$B$2="",$D$2=0),0,IF(AW$3&lt;0,0,N(INDEX('CURVA PREVISION'!$A$1:$KZ$3000,$C33,10+3*MIN(AW$3,$D$2-1)))))</f>
        <v>100</v>
      </c>
      <c r="AX33" s="131" t="n">
        <f aca="false">IF(OR($C33="",$B$2="",$D$2=0),0,IF(AX$3&lt;0,0,N(INDEX('CURVA PREVISION'!$A$1:$KZ$3000,$C33,10+3*MIN(AX$3,$D$2-1)))))</f>
        <v>100</v>
      </c>
      <c r="AY33" s="131" t="n">
        <f aca="false">IF(OR($C33="",$B$2="",$D$2=0),0,IF(AY$3&lt;0,0,N(INDEX('CURVA PREVISION'!$A$1:$KZ$3000,$C33,10+3*MIN(AY$3,$D$2-1)))))</f>
        <v>100</v>
      </c>
      <c r="AZ33" s="131" t="n">
        <f aca="false">IF(OR($C33="",$B$2="",$D$2=0),0,IF(AZ$3&lt;0,0,N(INDEX('CURVA PREVISION'!$A$1:$KZ$3000,$C33,10+3*MIN(AZ$3,$D$2-1)))))</f>
        <v>100</v>
      </c>
      <c r="BA33" s="131" t="n">
        <f aca="false">IF(OR($C33="",$B$2="",$D$2=0),0,IF(BA$3&lt;0,0,N(INDEX('CURVA PREVISION'!$A$1:$KZ$3000,$C33,10+3*MIN(BA$3,$D$2-1)))))</f>
        <v>100</v>
      </c>
      <c r="BB33" s="131" t="n">
        <f aca="false">IF(OR($C33="",$B$2="",$D$2=0),0,IF(BB$3&lt;0,0,N(INDEX('CURVA PREVISION'!$A$1:$KZ$3000,$C33,10+3*MIN(BB$3,$D$2-1)))))</f>
        <v>100</v>
      </c>
      <c r="BC33" s="131" t="n">
        <f aca="false">IF(OR($C33="",$B$2="",$D$2=0),0,IF(BC$3&lt;0,0,N(INDEX('CURVA PREVISION'!$A$1:$KZ$3000,$C33,10+3*MIN(BC$3,$D$2-1)))))</f>
        <v>100</v>
      </c>
      <c r="BD33" s="131" t="n">
        <f aca="false">IF(OR($C33="",$B$2="",$D$2=0),0,IF(BD$3&lt;0,0,N(INDEX('CURVA PREVISION'!$A$1:$KZ$3000,$C33,10+3*MIN(BD$3,$D$2-1)))))</f>
        <v>100</v>
      </c>
      <c r="BE33" s="131" t="n">
        <f aca="false">IF(OR($C33="",$B$2="",$D$2=0),0,IF(BE$3&lt;0,0,N(INDEX('CURVA PREVISION'!$A$1:$KZ$3000,$C33,10+3*MIN(BE$3,$D$2-1)))))</f>
        <v>100</v>
      </c>
      <c r="BF33" s="131" t="n">
        <f aca="false">IF(OR($C33="",$B$2="",$D$2=0),0,IF(BF$3&lt;0,0,N(INDEX('CURVA PREVISION'!$A$1:$KZ$3000,$C33,10+3*MIN(BF$3,$D$2-1)))))</f>
        <v>100</v>
      </c>
      <c r="BG33" s="131" t="n">
        <f aca="false">IF(OR($C33="",$B$2="",$D$2=0),0,IF(BG$3&lt;0,0,N(INDEX('CURVA PREVISION'!$A$1:$KZ$3000,$C33,10+3*MIN(BG$3,$D$2-1)))))</f>
        <v>100</v>
      </c>
      <c r="BH33" s="131" t="n">
        <f aca="false">IF(OR($C33="",$B$2="",$D$2=0),0,IF(BH$3&lt;0,0,N(INDEX('CURVA PREVISION'!$A$1:$KZ$3000,$C33,10+3*MIN(BH$3,$D$2-1)))))</f>
        <v>100</v>
      </c>
      <c r="BI33" s="131" t="n">
        <f aca="false">IF(OR($C33="",$B$2="",$D$2=0),0,IF(BI$3&lt;0,0,N(INDEX('CURVA PREVISION'!$A$1:$KZ$3000,$C33,10+3*MIN(BI$3,$D$2-1)))))</f>
        <v>100</v>
      </c>
      <c r="BJ33" s="131" t="n">
        <f aca="false">IF(OR($C33="",$B$2="",$D$2=0),0,IF(BJ$3&lt;0,0,N(INDEX('CURVA PREVISION'!$A$1:$KZ$3000,$C33,10+3*MIN(BJ$3,$D$2-1)))))</f>
        <v>100</v>
      </c>
      <c r="BK33" s="131" t="n">
        <f aca="false">IF(OR($C33="",$B$2="",$D$2=0),0,IF(BK$3&lt;0,0,N(INDEX('CURVA PREVISION'!$A$1:$KZ$3000,$C33,10+3*MIN(BK$3,$D$2-1)))))</f>
        <v>100</v>
      </c>
      <c r="BL33" s="131" t="n">
        <f aca="false">IF(OR($C33="",$B$2="",$D$2=0),0,IF(BL$3&lt;0,0,N(INDEX('CURVA PREVISION'!$A$1:$KZ$3000,$C33,10+3*MIN(BL$3,$D$2-1)))))</f>
        <v>100</v>
      </c>
      <c r="BM33" s="131" t="n">
        <f aca="false">IF(OR($C33="",$B$2="",$D$2=0),0,IF(BM$3&lt;0,0,N(INDEX('CURVA PREVISION'!$A$1:$KZ$3000,$C33,10+3*MIN(BM$3,$D$2-1)))))</f>
        <v>100</v>
      </c>
      <c r="BN33" s="131" t="n">
        <f aca="false">IF(OR($C33="",$B$2="",$D$2=0),0,IF(BN$3&lt;0,0,N(INDEX('CURVA PREVISION'!$A$1:$KZ$3000,$C33,10+3*MIN(BN$3,$D$2-1)))))</f>
        <v>100</v>
      </c>
      <c r="BO33" s="131" t="n">
        <f aca="false">IF(OR($C33="",$B$2="",$D$2=0),0,IF(BO$3&lt;0,0,N(INDEX('CURVA PREVISION'!$A$1:$KZ$3000,$C33,10+3*MIN(BO$3,$D$2-1)))))</f>
        <v>100</v>
      </c>
      <c r="BP33" s="131" t="n">
        <f aca="false">IF(OR($C33="",$B$2="",$D$2=0),0,IF(BP$3&lt;0,0,N(INDEX('CURVA PREVISION'!$A$1:$KZ$3000,$C33,10+3*MIN(BP$3,$D$2-1)))))</f>
        <v>100</v>
      </c>
      <c r="BQ33" s="131" t="n">
        <f aca="false">IF(OR($C33="",$B$2="",$D$2=0),0,IF(BQ$3&lt;0,0,N(INDEX('CURVA PREVISION'!$A$1:$KZ$3000,$C33,10+3*MIN(BQ$3,$D$2-1)))))</f>
        <v>100</v>
      </c>
      <c r="BR33" s="131" t="n">
        <f aca="false">IF(OR($C33="",$B$2="",$D$2=0),0,IF(BR$3&lt;0,0,N(INDEX('CURVA PREVISION'!$A$1:$KZ$3000,$C33,10+3*MIN(BR$3,$D$2-1)))))</f>
        <v>100</v>
      </c>
      <c r="BS33" s="131" t="n">
        <f aca="false">IF(OR($C33="",$B$2="",$D$2=0),0,IF(BS$3&lt;0,0,N(INDEX('CURVA PREVISION'!$A$1:$KZ$3000,$C33,10+3*MIN(BS$3,$D$2-1)))))</f>
        <v>100</v>
      </c>
      <c r="BT33" s="131" t="n">
        <f aca="false">IF(OR($C33="",$B$2="",$D$2=0),0,IF(BT$3&lt;0,0,N(INDEX('CURVA PREVISION'!$A$1:$KZ$3000,$C33,10+3*MIN(BT$3,$D$2-1)))))</f>
        <v>100</v>
      </c>
      <c r="BU33" s="131" t="n">
        <f aca="false">IF(OR($C33="",$B$2="",$D$2=0),0,IF(BU$3&lt;0,0,N(INDEX('CURVA PREVISION'!$A$1:$KZ$3000,$C33,10+3*MIN(BU$3,$D$2-1)))))</f>
        <v>100</v>
      </c>
      <c r="BV33" s="131" t="n">
        <f aca="false">IF(OR($C33="",$B$2="",$D$2=0),0,IF(BV$3&lt;0,0,N(INDEX('CURVA PREVISION'!$A$1:$KZ$3000,$C33,10+3*MIN(BV$3,$D$2-1)))))</f>
        <v>100</v>
      </c>
      <c r="BW33" s="131" t="n">
        <f aca="false">IF(OR($C33="",$B$2="",$D$2=0),0,IF(BW$3&lt;0,0,N(INDEX('CURVA PREVISION'!$A$1:$KZ$3000,$C33,10+3*MIN(BW$3,$D$2-1)))))</f>
        <v>100</v>
      </c>
    </row>
    <row r="34" customFormat="false" ht="15" hidden="false" customHeight="false" outlineLevel="0" collapsed="false">
      <c r="A34" s="57" t="str">
        <f aca="false">IF('VALOR POR PL'!R40&lt;&gt;"",'VALOR POR PL'!R40,IF('VALOR POR PL'!Q40="",'VALOR POR PL'!C40,'VALOR POR PL'!Q40))</f>
        <v>30</v>
      </c>
      <c r="B34" s="57" t="str">
        <f aca="false">'VALOR POR PL'!D40</f>
        <v>REVESTIMENTOS DE ACABAMENTO</v>
      </c>
      <c r="C34" s="64" t="n">
        <f aca="false">IFERROR(MATCH(A34,'CURVA PREVISION'!$B$1:$B$3000,0),"")</f>
        <v>640</v>
      </c>
      <c r="D34" s="131" t="n">
        <f aca="false">IF(OR($C34="",$B$2="",$D$2=0),0,IF(D$3&lt;0,0,N(INDEX('CURVA PREVISION'!$A$1:$KZ$3000,$C34,10+3*MIN(D$3,$D$2-1)))))</f>
        <v>0</v>
      </c>
      <c r="E34" s="131" t="n">
        <f aca="false">IF(OR($C34="",$B$2="",$D$2=0),0,IF(E$3&lt;0,0,N(INDEX('CURVA PREVISION'!$A$1:$KZ$3000,$C34,10+3*MIN(E$3,$D$2-1)))))</f>
        <v>0</v>
      </c>
      <c r="F34" s="131" t="n">
        <f aca="false">IF(OR($C34="",$B$2="",$D$2=0),0,IF(F$3&lt;0,0,N(INDEX('CURVA PREVISION'!$A$1:$KZ$3000,$C34,10+3*MIN(F$3,$D$2-1)))))</f>
        <v>0</v>
      </c>
      <c r="G34" s="131" t="n">
        <f aca="false">IF(OR($C34="",$B$2="",$D$2=0),0,IF(G$3&lt;0,0,N(INDEX('CURVA PREVISION'!$A$1:$KZ$3000,$C34,10+3*MIN(G$3,$D$2-1)))))</f>
        <v>0</v>
      </c>
      <c r="H34" s="131" t="n">
        <f aca="false">IF(OR($C34="",$B$2="",$D$2=0),0,IF(H$3&lt;0,0,N(INDEX('CURVA PREVISION'!$A$1:$KZ$3000,$C34,10+3*MIN(H$3,$D$2-1)))))</f>
        <v>0</v>
      </c>
      <c r="I34" s="131" t="n">
        <f aca="false">IF(OR($C34="",$B$2="",$D$2=0),0,IF(I$3&lt;0,0,N(INDEX('CURVA PREVISION'!$A$1:$KZ$3000,$C34,10+3*MIN(I$3,$D$2-1)))))</f>
        <v>0</v>
      </c>
      <c r="J34" s="131" t="n">
        <f aca="false">IF(OR($C34="",$B$2="",$D$2=0),0,IF(J$3&lt;0,0,N(INDEX('CURVA PREVISION'!$A$1:$KZ$3000,$C34,10+3*MIN(J$3,$D$2-1)))))</f>
        <v>0</v>
      </c>
      <c r="K34" s="131" t="n">
        <f aca="false">IF(OR($C34="",$B$2="",$D$2=0),0,IF(K$3&lt;0,0,N(INDEX('CURVA PREVISION'!$A$1:$KZ$3000,$C34,10+3*MIN(K$3,$D$2-1)))))</f>
        <v>0</v>
      </c>
      <c r="L34" s="131" t="n">
        <f aca="false">IF(OR($C34="",$B$2="",$D$2=0),0,IF(L$3&lt;0,0,N(INDEX('CURVA PREVISION'!$A$1:$KZ$3000,$C34,10+3*MIN(L$3,$D$2-1)))))</f>
        <v>0</v>
      </c>
      <c r="M34" s="131" t="n">
        <f aca="false">IF(OR($C34="",$B$2="",$D$2=0),0,IF(M$3&lt;0,0,N(INDEX('CURVA PREVISION'!$A$1:$KZ$3000,$C34,10+3*MIN(M$3,$D$2-1)))))</f>
        <v>0</v>
      </c>
      <c r="N34" s="131" t="n">
        <f aca="false">IF(OR($C34="",$B$2="",$D$2=0),0,IF(N$3&lt;0,0,N(INDEX('CURVA PREVISION'!$A$1:$KZ$3000,$C34,10+3*MIN(N$3,$D$2-1)))))</f>
        <v>0</v>
      </c>
      <c r="O34" s="131" t="n">
        <f aca="false">IF(OR($C34="",$B$2="",$D$2=0),0,IF(O$3&lt;0,0,N(INDEX('CURVA PREVISION'!$A$1:$KZ$3000,$C34,10+3*MIN(O$3,$D$2-1)))))</f>
        <v>0</v>
      </c>
      <c r="P34" s="131" t="n">
        <f aca="false">IF(OR($C34="",$B$2="",$D$2=0),0,IF(P$3&lt;0,0,N(INDEX('CURVA PREVISION'!$A$1:$KZ$3000,$C34,10+3*MIN(P$3,$D$2-1)))))</f>
        <v>0</v>
      </c>
      <c r="Q34" s="131" t="n">
        <f aca="false">IF(OR($C34="",$B$2="",$D$2=0),0,IF(Q$3&lt;0,0,N(INDEX('CURVA PREVISION'!$A$1:$KZ$3000,$C34,10+3*MIN(Q$3,$D$2-1)))))</f>
        <v>0</v>
      </c>
      <c r="R34" s="131" t="n">
        <f aca="false">IF(OR($C34="",$B$2="",$D$2=0),0,IF(R$3&lt;0,0,N(INDEX('CURVA PREVISION'!$A$1:$KZ$3000,$C34,10+3*MIN(R$3,$D$2-1)))))</f>
        <v>0</v>
      </c>
      <c r="S34" s="131" t="n">
        <f aca="false">IF(OR($C34="",$B$2="",$D$2=0),0,IF(S$3&lt;0,0,N(INDEX('CURVA PREVISION'!$A$1:$KZ$3000,$C34,10+3*MIN(S$3,$D$2-1)))))</f>
        <v>0</v>
      </c>
      <c r="T34" s="131" t="n">
        <f aca="false">IF(OR($C34="",$B$2="",$D$2=0),0,IF(T$3&lt;0,0,N(INDEX('CURVA PREVISION'!$A$1:$KZ$3000,$C34,10+3*MIN(T$3,$D$2-1)))))</f>
        <v>0</v>
      </c>
      <c r="U34" s="131" t="n">
        <f aca="false">IF(OR($C34="",$B$2="",$D$2=0),0,IF(U$3&lt;0,0,N(INDEX('CURVA PREVISION'!$A$1:$KZ$3000,$C34,10+3*MIN(U$3,$D$2-1)))))</f>
        <v>0</v>
      </c>
      <c r="V34" s="131" t="n">
        <f aca="false">IF(OR($C34="",$B$2="",$D$2=0),0,IF(V$3&lt;0,0,N(INDEX('CURVA PREVISION'!$A$1:$KZ$3000,$C34,10+3*MIN(V$3,$D$2-1)))))</f>
        <v>0</v>
      </c>
      <c r="W34" s="131" t="n">
        <f aca="false">IF(OR($C34="",$B$2="",$D$2=0),0,IF(W$3&lt;0,0,N(INDEX('CURVA PREVISION'!$A$1:$KZ$3000,$C34,10+3*MIN(W$3,$D$2-1)))))</f>
        <v>0</v>
      </c>
      <c r="X34" s="131" t="n">
        <f aca="false">IF(OR($C34="",$B$2="",$D$2=0),0,IF(X$3&lt;0,0,N(INDEX('CURVA PREVISION'!$A$1:$KZ$3000,$C34,10+3*MIN(X$3,$D$2-1)))))</f>
        <v>0</v>
      </c>
      <c r="Y34" s="131" t="n">
        <f aca="false">IF(OR($C34="",$B$2="",$D$2=0),0,IF(Y$3&lt;0,0,N(INDEX('CURVA PREVISION'!$A$1:$KZ$3000,$C34,10+3*MIN(Y$3,$D$2-1)))))</f>
        <v>0</v>
      </c>
      <c r="Z34" s="131" t="n">
        <f aca="false">IF(OR($C34="",$B$2="",$D$2=0),0,IF(Z$3&lt;0,0,N(INDEX('CURVA PREVISION'!$A$1:$KZ$3000,$C34,10+3*MIN(Z$3,$D$2-1)))))</f>
        <v>0</v>
      </c>
      <c r="AA34" s="131" t="n">
        <f aca="false">IF(OR($C34="",$B$2="",$D$2=0),0,IF(AA$3&lt;0,0,N(INDEX('CURVA PREVISION'!$A$1:$KZ$3000,$C34,10+3*MIN(AA$3,$D$2-1)))))</f>
        <v>0</v>
      </c>
      <c r="AB34" s="131" t="n">
        <f aca="false">IF(OR($C34="",$B$2="",$D$2=0),0,IF(AB$3&lt;0,0,N(INDEX('CURVA PREVISION'!$A$1:$KZ$3000,$C34,10+3*MIN(AB$3,$D$2-1)))))</f>
        <v>0</v>
      </c>
      <c r="AC34" s="131" t="n">
        <f aca="false">IF(OR($C34="",$B$2="",$D$2=0),0,IF(AC$3&lt;0,0,N(INDEX('CURVA PREVISION'!$A$1:$KZ$3000,$C34,10+3*MIN(AC$3,$D$2-1)))))</f>
        <v>0</v>
      </c>
      <c r="AD34" s="131" t="n">
        <f aca="false">IF(OR($C34="",$B$2="",$D$2=0),0,IF(AD$3&lt;0,0,N(INDEX('CURVA PREVISION'!$A$1:$KZ$3000,$C34,10+3*MIN(AD$3,$D$2-1)))))</f>
        <v>0</v>
      </c>
      <c r="AE34" s="131" t="n">
        <f aca="false">IF(OR($C34="",$B$2="",$D$2=0),0,IF(AE$3&lt;0,0,N(INDEX('CURVA PREVISION'!$A$1:$KZ$3000,$C34,10+3*MIN(AE$3,$D$2-1)))))</f>
        <v>0</v>
      </c>
      <c r="AF34" s="131" t="n">
        <f aca="false">IF(OR($C34="",$B$2="",$D$2=0),0,IF(AF$3&lt;0,0,N(INDEX('CURVA PREVISION'!$A$1:$KZ$3000,$C34,10+3*MIN(AF$3,$D$2-1)))))</f>
        <v>0</v>
      </c>
      <c r="AG34" s="131" t="n">
        <f aca="false">IF(OR($C34="",$B$2="",$D$2=0),0,IF(AG$3&lt;0,0,N(INDEX('CURVA PREVISION'!$A$1:$KZ$3000,$C34,10+3*MIN(AG$3,$D$2-1)))))</f>
        <v>0</v>
      </c>
      <c r="AH34" s="131" t="n">
        <f aca="false">IF(OR($C34="",$B$2="",$D$2=0),0,IF(AH$3&lt;0,0,N(INDEX('CURVA PREVISION'!$A$1:$KZ$3000,$C34,10+3*MIN(AH$3,$D$2-1)))))</f>
        <v>0</v>
      </c>
      <c r="AI34" s="131" t="n">
        <f aca="false">IF(OR($C34="",$B$2="",$D$2=0),0,IF(AI$3&lt;0,0,N(INDEX('CURVA PREVISION'!$A$1:$KZ$3000,$C34,10+3*MIN(AI$3,$D$2-1)))))</f>
        <v>0</v>
      </c>
      <c r="AJ34" s="131" t="n">
        <f aca="false">IF(OR($C34="",$B$2="",$D$2=0),0,IF(AJ$3&lt;0,0,N(INDEX('CURVA PREVISION'!$A$1:$KZ$3000,$C34,10+3*MIN(AJ$3,$D$2-1)))))</f>
        <v>0.48</v>
      </c>
      <c r="AK34" s="131" t="n">
        <f aca="false">IF(OR($C34="",$B$2="",$D$2=0),0,IF(AK$3&lt;0,0,N(INDEX('CURVA PREVISION'!$A$1:$KZ$3000,$C34,10+3*MIN(AK$3,$D$2-1)))))</f>
        <v>4.53</v>
      </c>
      <c r="AL34" s="131" t="n">
        <f aca="false">IF(OR($C34="",$B$2="",$D$2=0),0,IF(AL$3&lt;0,0,N(INDEX('CURVA PREVISION'!$A$1:$KZ$3000,$C34,10+3*MIN(AL$3,$D$2-1)))))</f>
        <v>10.04</v>
      </c>
      <c r="AM34" s="131" t="n">
        <f aca="false">IF(OR($C34="",$B$2="",$D$2=0),0,IF(AM$3&lt;0,0,N(INDEX('CURVA PREVISION'!$A$1:$KZ$3000,$C34,10+3*MIN(AM$3,$D$2-1)))))</f>
        <v>15.79</v>
      </c>
      <c r="AN34" s="131" t="n">
        <f aca="false">IF(OR($C34="",$B$2="",$D$2=0),0,IF(AN$3&lt;0,0,N(INDEX('CURVA PREVISION'!$A$1:$KZ$3000,$C34,10+3*MIN(AN$3,$D$2-1)))))</f>
        <v>23.29</v>
      </c>
      <c r="AO34" s="131" t="n">
        <f aca="false">IF(OR($C34="",$B$2="",$D$2=0),0,IF(AO$3&lt;0,0,N(INDEX('CURVA PREVISION'!$A$1:$KZ$3000,$C34,10+3*MIN(AO$3,$D$2-1)))))</f>
        <v>32.46</v>
      </c>
      <c r="AP34" s="131" t="n">
        <f aca="false">IF(OR($C34="",$B$2="",$D$2=0),0,IF(AP$3&lt;0,0,N(INDEX('CURVA PREVISION'!$A$1:$KZ$3000,$C34,10+3*MIN(AP$3,$D$2-1)))))</f>
        <v>39.16</v>
      </c>
      <c r="AQ34" s="131" t="n">
        <f aca="false">IF(OR($C34="",$B$2="",$D$2=0),0,IF(AQ$3&lt;0,0,N(INDEX('CURVA PREVISION'!$A$1:$KZ$3000,$C34,10+3*MIN(AQ$3,$D$2-1)))))</f>
        <v>47.69</v>
      </c>
      <c r="AR34" s="131" t="n">
        <f aca="false">IF(OR($C34="",$B$2="",$D$2=0),0,IF(AR$3&lt;0,0,N(INDEX('CURVA PREVISION'!$A$1:$KZ$3000,$C34,10+3*MIN(AR$3,$D$2-1)))))</f>
        <v>54.65</v>
      </c>
      <c r="AS34" s="131" t="n">
        <f aca="false">IF(OR($C34="",$B$2="",$D$2=0),0,IF(AS$3&lt;0,0,N(INDEX('CURVA PREVISION'!$A$1:$KZ$3000,$C34,10+3*MIN(AS$3,$D$2-1)))))</f>
        <v>62.47</v>
      </c>
      <c r="AT34" s="131" t="n">
        <f aca="false">IF(OR($C34="",$B$2="",$D$2=0),0,IF(AT$3&lt;0,0,N(INDEX('CURVA PREVISION'!$A$1:$KZ$3000,$C34,10+3*MIN(AT$3,$D$2-1)))))</f>
        <v>70.44</v>
      </c>
      <c r="AU34" s="131" t="n">
        <f aca="false">IF(OR($C34="",$B$2="",$D$2=0),0,IF(AU$3&lt;0,0,N(INDEX('CURVA PREVISION'!$A$1:$KZ$3000,$C34,10+3*MIN(AU$3,$D$2-1)))))</f>
        <v>77.42</v>
      </c>
      <c r="AV34" s="131" t="n">
        <f aca="false">IF(OR($C34="",$B$2="",$D$2=0),0,IF(AV$3&lt;0,0,N(INDEX('CURVA PREVISION'!$A$1:$KZ$3000,$C34,10+3*MIN(AV$3,$D$2-1)))))</f>
        <v>81.29</v>
      </c>
      <c r="AW34" s="131" t="n">
        <f aca="false">IF(OR($C34="",$B$2="",$D$2=0),0,IF(AW$3&lt;0,0,N(INDEX('CURVA PREVISION'!$A$1:$KZ$3000,$C34,10+3*MIN(AW$3,$D$2-1)))))</f>
        <v>86.33</v>
      </c>
      <c r="AX34" s="131" t="n">
        <f aca="false">IF(OR($C34="",$B$2="",$D$2=0),0,IF(AX$3&lt;0,0,N(INDEX('CURVA PREVISION'!$A$1:$KZ$3000,$C34,10+3*MIN(AX$3,$D$2-1)))))</f>
        <v>90.42</v>
      </c>
      <c r="AY34" s="131" t="n">
        <f aca="false">IF(OR($C34="",$B$2="",$D$2=0),0,IF(AY$3&lt;0,0,N(INDEX('CURVA PREVISION'!$A$1:$KZ$3000,$C34,10+3*MIN(AY$3,$D$2-1)))))</f>
        <v>93.64</v>
      </c>
      <c r="AZ34" s="131" t="n">
        <f aca="false">IF(OR($C34="",$B$2="",$D$2=0),0,IF(AZ$3&lt;0,0,N(INDEX('CURVA PREVISION'!$A$1:$KZ$3000,$C34,10+3*MIN(AZ$3,$D$2-1)))))</f>
        <v>96.52</v>
      </c>
      <c r="BA34" s="131" t="n">
        <f aca="false">IF(OR($C34="",$B$2="",$D$2=0),0,IF(BA$3&lt;0,0,N(INDEX('CURVA PREVISION'!$A$1:$KZ$3000,$C34,10+3*MIN(BA$3,$D$2-1)))))</f>
        <v>99.05</v>
      </c>
      <c r="BB34" s="131" t="n">
        <f aca="false">IF(OR($C34="",$B$2="",$D$2=0),0,IF(BB$3&lt;0,0,N(INDEX('CURVA PREVISION'!$A$1:$KZ$3000,$C34,10+3*MIN(BB$3,$D$2-1)))))</f>
        <v>99.97</v>
      </c>
      <c r="BC34" s="131" t="n">
        <f aca="false">IF(OR($C34="",$B$2="",$D$2=0),0,IF(BC$3&lt;0,0,N(INDEX('CURVA PREVISION'!$A$1:$KZ$3000,$C34,10+3*MIN(BC$3,$D$2-1)))))</f>
        <v>99.97</v>
      </c>
      <c r="BD34" s="131" t="n">
        <f aca="false">IF(OR($C34="",$B$2="",$D$2=0),0,IF(BD$3&lt;0,0,N(INDEX('CURVA PREVISION'!$A$1:$KZ$3000,$C34,10+3*MIN(BD$3,$D$2-1)))))</f>
        <v>99.97</v>
      </c>
      <c r="BE34" s="131" t="n">
        <f aca="false">IF(OR($C34="",$B$2="",$D$2=0),0,IF(BE$3&lt;0,0,N(INDEX('CURVA PREVISION'!$A$1:$KZ$3000,$C34,10+3*MIN(BE$3,$D$2-1)))))</f>
        <v>99.97</v>
      </c>
      <c r="BF34" s="131" t="n">
        <f aca="false">IF(OR($C34="",$B$2="",$D$2=0),0,IF(BF$3&lt;0,0,N(INDEX('CURVA PREVISION'!$A$1:$KZ$3000,$C34,10+3*MIN(BF$3,$D$2-1)))))</f>
        <v>99.97</v>
      </c>
      <c r="BG34" s="131" t="n">
        <f aca="false">IF(OR($C34="",$B$2="",$D$2=0),0,IF(BG$3&lt;0,0,N(INDEX('CURVA PREVISION'!$A$1:$KZ$3000,$C34,10+3*MIN(BG$3,$D$2-1)))))</f>
        <v>99.97</v>
      </c>
      <c r="BH34" s="131" t="n">
        <f aca="false">IF(OR($C34="",$B$2="",$D$2=0),0,IF(BH$3&lt;0,0,N(INDEX('CURVA PREVISION'!$A$1:$KZ$3000,$C34,10+3*MIN(BH$3,$D$2-1)))))</f>
        <v>99.97</v>
      </c>
      <c r="BI34" s="131" t="n">
        <f aca="false">IF(OR($C34="",$B$2="",$D$2=0),0,IF(BI$3&lt;0,0,N(INDEX('CURVA PREVISION'!$A$1:$KZ$3000,$C34,10+3*MIN(BI$3,$D$2-1)))))</f>
        <v>99.97</v>
      </c>
      <c r="BJ34" s="131" t="n">
        <f aca="false">IF(OR($C34="",$B$2="",$D$2=0),0,IF(BJ$3&lt;0,0,N(INDEX('CURVA PREVISION'!$A$1:$KZ$3000,$C34,10+3*MIN(BJ$3,$D$2-1)))))</f>
        <v>99.97</v>
      </c>
      <c r="BK34" s="131" t="n">
        <f aca="false">IF(OR($C34="",$B$2="",$D$2=0),0,IF(BK$3&lt;0,0,N(INDEX('CURVA PREVISION'!$A$1:$KZ$3000,$C34,10+3*MIN(BK$3,$D$2-1)))))</f>
        <v>99.97</v>
      </c>
      <c r="BL34" s="131" t="n">
        <f aca="false">IF(OR($C34="",$B$2="",$D$2=0),0,IF(BL$3&lt;0,0,N(INDEX('CURVA PREVISION'!$A$1:$KZ$3000,$C34,10+3*MIN(BL$3,$D$2-1)))))</f>
        <v>99.97</v>
      </c>
      <c r="BM34" s="131" t="n">
        <f aca="false">IF(OR($C34="",$B$2="",$D$2=0),0,IF(BM$3&lt;0,0,N(INDEX('CURVA PREVISION'!$A$1:$KZ$3000,$C34,10+3*MIN(BM$3,$D$2-1)))))</f>
        <v>99.97</v>
      </c>
      <c r="BN34" s="131" t="n">
        <f aca="false">IF(OR($C34="",$B$2="",$D$2=0),0,IF(BN$3&lt;0,0,N(INDEX('CURVA PREVISION'!$A$1:$KZ$3000,$C34,10+3*MIN(BN$3,$D$2-1)))))</f>
        <v>99.97</v>
      </c>
      <c r="BO34" s="131" t="n">
        <f aca="false">IF(OR($C34="",$B$2="",$D$2=0),0,IF(BO$3&lt;0,0,N(INDEX('CURVA PREVISION'!$A$1:$KZ$3000,$C34,10+3*MIN(BO$3,$D$2-1)))))</f>
        <v>99.97</v>
      </c>
      <c r="BP34" s="131" t="n">
        <f aca="false">IF(OR($C34="",$B$2="",$D$2=0),0,IF(BP$3&lt;0,0,N(INDEX('CURVA PREVISION'!$A$1:$KZ$3000,$C34,10+3*MIN(BP$3,$D$2-1)))))</f>
        <v>99.97</v>
      </c>
      <c r="BQ34" s="131" t="n">
        <f aca="false">IF(OR($C34="",$B$2="",$D$2=0),0,IF(BQ$3&lt;0,0,N(INDEX('CURVA PREVISION'!$A$1:$KZ$3000,$C34,10+3*MIN(BQ$3,$D$2-1)))))</f>
        <v>99.97</v>
      </c>
      <c r="BR34" s="131" t="n">
        <f aca="false">IF(OR($C34="",$B$2="",$D$2=0),0,IF(BR$3&lt;0,0,N(INDEX('CURVA PREVISION'!$A$1:$KZ$3000,$C34,10+3*MIN(BR$3,$D$2-1)))))</f>
        <v>99.97</v>
      </c>
      <c r="BS34" s="131" t="n">
        <f aca="false">IF(OR($C34="",$B$2="",$D$2=0),0,IF(BS$3&lt;0,0,N(INDEX('CURVA PREVISION'!$A$1:$KZ$3000,$C34,10+3*MIN(BS$3,$D$2-1)))))</f>
        <v>99.97</v>
      </c>
      <c r="BT34" s="131" t="n">
        <f aca="false">IF(OR($C34="",$B$2="",$D$2=0),0,IF(BT$3&lt;0,0,N(INDEX('CURVA PREVISION'!$A$1:$KZ$3000,$C34,10+3*MIN(BT$3,$D$2-1)))))</f>
        <v>99.97</v>
      </c>
      <c r="BU34" s="131" t="n">
        <f aca="false">IF(OR($C34="",$B$2="",$D$2=0),0,IF(BU$3&lt;0,0,N(INDEX('CURVA PREVISION'!$A$1:$KZ$3000,$C34,10+3*MIN(BU$3,$D$2-1)))))</f>
        <v>99.97</v>
      </c>
      <c r="BV34" s="131" t="n">
        <f aca="false">IF(OR($C34="",$B$2="",$D$2=0),0,IF(BV$3&lt;0,0,N(INDEX('CURVA PREVISION'!$A$1:$KZ$3000,$C34,10+3*MIN(BV$3,$D$2-1)))))</f>
        <v>99.97</v>
      </c>
      <c r="BW34" s="131" t="n">
        <f aca="false">IF(OR($C34="",$B$2="",$D$2=0),0,IF(BW$3&lt;0,0,N(INDEX('CURVA PREVISION'!$A$1:$KZ$3000,$C34,10+3*MIN(BW$3,$D$2-1)))))</f>
        <v>99.97</v>
      </c>
    </row>
    <row r="35" customFormat="false" ht="15" hidden="false" customHeight="false" outlineLevel="0" collapsed="false">
      <c r="A35" s="57" t="str">
        <f aca="false">IF('VALOR POR PL'!R41&lt;&gt;"",'VALOR POR PL'!R41,IF('VALOR POR PL'!Q41="",'VALOR POR PL'!C41,'VALOR POR PL'!Q41))</f>
        <v>31</v>
      </c>
      <c r="B35" s="57" t="str">
        <f aca="false">'VALOR POR PL'!D41</f>
        <v>PAVIMENTAÇÃO</v>
      </c>
      <c r="C35" s="64" t="n">
        <f aca="false">IFERROR(MATCH(A35,'CURVA PREVISION'!$B$1:$B$3000,0),"")</f>
        <v>773</v>
      </c>
      <c r="D35" s="131" t="n">
        <f aca="false">IF(OR($C35="",$B$2="",$D$2=0),0,IF(D$3&lt;0,0,N(INDEX('CURVA PREVISION'!$A$1:$KZ$3000,$C35,10+3*MIN(D$3,$D$2-1)))))</f>
        <v>0</v>
      </c>
      <c r="E35" s="131" t="n">
        <f aca="false">IF(OR($C35="",$B$2="",$D$2=0),0,IF(E$3&lt;0,0,N(INDEX('CURVA PREVISION'!$A$1:$KZ$3000,$C35,10+3*MIN(E$3,$D$2-1)))))</f>
        <v>0</v>
      </c>
      <c r="F35" s="131" t="n">
        <f aca="false">IF(OR($C35="",$B$2="",$D$2=0),0,IF(F$3&lt;0,0,N(INDEX('CURVA PREVISION'!$A$1:$KZ$3000,$C35,10+3*MIN(F$3,$D$2-1)))))</f>
        <v>0</v>
      </c>
      <c r="G35" s="131" t="n">
        <f aca="false">IF(OR($C35="",$B$2="",$D$2=0),0,IF(G$3&lt;0,0,N(INDEX('CURVA PREVISION'!$A$1:$KZ$3000,$C35,10+3*MIN(G$3,$D$2-1)))))</f>
        <v>0</v>
      </c>
      <c r="H35" s="131" t="n">
        <f aca="false">IF(OR($C35="",$B$2="",$D$2=0),0,IF(H$3&lt;0,0,N(INDEX('CURVA PREVISION'!$A$1:$KZ$3000,$C35,10+3*MIN(H$3,$D$2-1)))))</f>
        <v>0</v>
      </c>
      <c r="I35" s="131" t="n">
        <f aca="false">IF(OR($C35="",$B$2="",$D$2=0),0,IF(I$3&lt;0,0,N(INDEX('CURVA PREVISION'!$A$1:$KZ$3000,$C35,10+3*MIN(I$3,$D$2-1)))))</f>
        <v>0</v>
      </c>
      <c r="J35" s="131" t="n">
        <f aca="false">IF(OR($C35="",$B$2="",$D$2=0),0,IF(J$3&lt;0,0,N(INDEX('CURVA PREVISION'!$A$1:$KZ$3000,$C35,10+3*MIN(J$3,$D$2-1)))))</f>
        <v>0</v>
      </c>
      <c r="K35" s="131" t="n">
        <f aca="false">IF(OR($C35="",$B$2="",$D$2=0),0,IF(K$3&lt;0,0,N(INDEX('CURVA PREVISION'!$A$1:$KZ$3000,$C35,10+3*MIN(K$3,$D$2-1)))))</f>
        <v>0</v>
      </c>
      <c r="L35" s="131" t="n">
        <f aca="false">IF(OR($C35="",$B$2="",$D$2=0),0,IF(L$3&lt;0,0,N(INDEX('CURVA PREVISION'!$A$1:$KZ$3000,$C35,10+3*MIN(L$3,$D$2-1)))))</f>
        <v>0</v>
      </c>
      <c r="M35" s="131" t="n">
        <f aca="false">IF(OR($C35="",$B$2="",$D$2=0),0,IF(M$3&lt;0,0,N(INDEX('CURVA PREVISION'!$A$1:$KZ$3000,$C35,10+3*MIN(M$3,$D$2-1)))))</f>
        <v>0</v>
      </c>
      <c r="N35" s="131" t="n">
        <f aca="false">IF(OR($C35="",$B$2="",$D$2=0),0,IF(N$3&lt;0,0,N(INDEX('CURVA PREVISION'!$A$1:$KZ$3000,$C35,10+3*MIN(N$3,$D$2-1)))))</f>
        <v>0</v>
      </c>
      <c r="O35" s="131" t="n">
        <f aca="false">IF(OR($C35="",$B$2="",$D$2=0),0,IF(O$3&lt;0,0,N(INDEX('CURVA PREVISION'!$A$1:$KZ$3000,$C35,10+3*MIN(O$3,$D$2-1)))))</f>
        <v>0</v>
      </c>
      <c r="P35" s="131" t="n">
        <f aca="false">IF(OR($C35="",$B$2="",$D$2=0),0,IF(P$3&lt;0,0,N(INDEX('CURVA PREVISION'!$A$1:$KZ$3000,$C35,10+3*MIN(P$3,$D$2-1)))))</f>
        <v>0</v>
      </c>
      <c r="Q35" s="131" t="n">
        <f aca="false">IF(OR($C35="",$B$2="",$D$2=0),0,IF(Q$3&lt;0,0,N(INDEX('CURVA PREVISION'!$A$1:$KZ$3000,$C35,10+3*MIN(Q$3,$D$2-1)))))</f>
        <v>0</v>
      </c>
      <c r="R35" s="131" t="n">
        <f aca="false">IF(OR($C35="",$B$2="",$D$2=0),0,IF(R$3&lt;0,0,N(INDEX('CURVA PREVISION'!$A$1:$KZ$3000,$C35,10+3*MIN(R$3,$D$2-1)))))</f>
        <v>0</v>
      </c>
      <c r="S35" s="131" t="n">
        <f aca="false">IF(OR($C35="",$B$2="",$D$2=0),0,IF(S$3&lt;0,0,N(INDEX('CURVA PREVISION'!$A$1:$KZ$3000,$C35,10+3*MIN(S$3,$D$2-1)))))</f>
        <v>0</v>
      </c>
      <c r="T35" s="131" t="n">
        <f aca="false">IF(OR($C35="",$B$2="",$D$2=0),0,IF(T$3&lt;0,0,N(INDEX('CURVA PREVISION'!$A$1:$KZ$3000,$C35,10+3*MIN(T$3,$D$2-1)))))</f>
        <v>0</v>
      </c>
      <c r="U35" s="131" t="n">
        <f aca="false">IF(OR($C35="",$B$2="",$D$2=0),0,IF(U$3&lt;0,0,N(INDEX('CURVA PREVISION'!$A$1:$KZ$3000,$C35,10+3*MIN(U$3,$D$2-1)))))</f>
        <v>0</v>
      </c>
      <c r="V35" s="131" t="n">
        <f aca="false">IF(OR($C35="",$B$2="",$D$2=0),0,IF(V$3&lt;0,0,N(INDEX('CURVA PREVISION'!$A$1:$KZ$3000,$C35,10+3*MIN(V$3,$D$2-1)))))</f>
        <v>0</v>
      </c>
      <c r="W35" s="131" t="n">
        <f aca="false">IF(OR($C35="",$B$2="",$D$2=0),0,IF(W$3&lt;0,0,N(INDEX('CURVA PREVISION'!$A$1:$KZ$3000,$C35,10+3*MIN(W$3,$D$2-1)))))</f>
        <v>0</v>
      </c>
      <c r="X35" s="131" t="n">
        <f aca="false">IF(OR($C35="",$B$2="",$D$2=0),0,IF(X$3&lt;0,0,N(INDEX('CURVA PREVISION'!$A$1:$KZ$3000,$C35,10+3*MIN(X$3,$D$2-1)))))</f>
        <v>0</v>
      </c>
      <c r="Y35" s="131" t="n">
        <f aca="false">IF(OR($C35="",$B$2="",$D$2=0),0,IF(Y$3&lt;0,0,N(INDEX('CURVA PREVISION'!$A$1:$KZ$3000,$C35,10+3*MIN(Y$3,$D$2-1)))))</f>
        <v>0</v>
      </c>
      <c r="Z35" s="131" t="n">
        <f aca="false">IF(OR($C35="",$B$2="",$D$2=0),0,IF(Z$3&lt;0,0,N(INDEX('CURVA PREVISION'!$A$1:$KZ$3000,$C35,10+3*MIN(Z$3,$D$2-1)))))</f>
        <v>0</v>
      </c>
      <c r="AA35" s="131" t="n">
        <f aca="false">IF(OR($C35="",$B$2="",$D$2=0),0,IF(AA$3&lt;0,0,N(INDEX('CURVA PREVISION'!$A$1:$KZ$3000,$C35,10+3*MIN(AA$3,$D$2-1)))))</f>
        <v>0</v>
      </c>
      <c r="AB35" s="131" t="n">
        <f aca="false">IF(OR($C35="",$B$2="",$D$2=0),0,IF(AB$3&lt;0,0,N(INDEX('CURVA PREVISION'!$A$1:$KZ$3000,$C35,10+3*MIN(AB$3,$D$2-1)))))</f>
        <v>0</v>
      </c>
      <c r="AC35" s="131" t="n">
        <f aca="false">IF(OR($C35="",$B$2="",$D$2=0),0,IF(AC$3&lt;0,0,N(INDEX('CURVA PREVISION'!$A$1:$KZ$3000,$C35,10+3*MIN(AC$3,$D$2-1)))))</f>
        <v>0</v>
      </c>
      <c r="AD35" s="131" t="n">
        <f aca="false">IF(OR($C35="",$B$2="",$D$2=0),0,IF(AD$3&lt;0,0,N(INDEX('CURVA PREVISION'!$A$1:$KZ$3000,$C35,10+3*MIN(AD$3,$D$2-1)))))</f>
        <v>0</v>
      </c>
      <c r="AE35" s="131" t="n">
        <f aca="false">IF(OR($C35="",$B$2="",$D$2=0),0,IF(AE$3&lt;0,0,N(INDEX('CURVA PREVISION'!$A$1:$KZ$3000,$C35,10+3*MIN(AE$3,$D$2-1)))))</f>
        <v>0</v>
      </c>
      <c r="AF35" s="131" t="n">
        <f aca="false">IF(OR($C35="",$B$2="",$D$2=0),0,IF(AF$3&lt;0,0,N(INDEX('CURVA PREVISION'!$A$1:$KZ$3000,$C35,10+3*MIN(AF$3,$D$2-1)))))</f>
        <v>0</v>
      </c>
      <c r="AG35" s="131" t="n">
        <f aca="false">IF(OR($C35="",$B$2="",$D$2=0),0,IF(AG$3&lt;0,0,N(INDEX('CURVA PREVISION'!$A$1:$KZ$3000,$C35,10+3*MIN(AG$3,$D$2-1)))))</f>
        <v>0</v>
      </c>
      <c r="AH35" s="131" t="n">
        <f aca="false">IF(OR($C35="",$B$2="",$D$2=0),0,IF(AH$3&lt;0,0,N(INDEX('CURVA PREVISION'!$A$1:$KZ$3000,$C35,10+3*MIN(AH$3,$D$2-1)))))</f>
        <v>0</v>
      </c>
      <c r="AI35" s="131" t="n">
        <f aca="false">IF(OR($C35="",$B$2="",$D$2=0),0,IF(AI$3&lt;0,0,N(INDEX('CURVA PREVISION'!$A$1:$KZ$3000,$C35,10+3*MIN(AI$3,$D$2-1)))))</f>
        <v>0</v>
      </c>
      <c r="AJ35" s="131" t="n">
        <f aca="false">IF(OR($C35="",$B$2="",$D$2=0),0,IF(AJ$3&lt;0,0,N(INDEX('CURVA PREVISION'!$A$1:$KZ$3000,$C35,10+3*MIN(AJ$3,$D$2-1)))))</f>
        <v>0</v>
      </c>
      <c r="AK35" s="131" t="n">
        <f aca="false">IF(OR($C35="",$B$2="",$D$2=0),0,IF(AK$3&lt;0,0,N(INDEX('CURVA PREVISION'!$A$1:$KZ$3000,$C35,10+3*MIN(AK$3,$D$2-1)))))</f>
        <v>0</v>
      </c>
      <c r="AL35" s="131" t="n">
        <f aca="false">IF(OR($C35="",$B$2="",$D$2=0),0,IF(AL$3&lt;0,0,N(INDEX('CURVA PREVISION'!$A$1:$KZ$3000,$C35,10+3*MIN(AL$3,$D$2-1)))))</f>
        <v>0</v>
      </c>
      <c r="AM35" s="131" t="n">
        <f aca="false">IF(OR($C35="",$B$2="",$D$2=0),0,IF(AM$3&lt;0,0,N(INDEX('CURVA PREVISION'!$A$1:$KZ$3000,$C35,10+3*MIN(AM$3,$D$2-1)))))</f>
        <v>1.52</v>
      </c>
      <c r="AN35" s="131" t="n">
        <f aca="false">IF(OR($C35="",$B$2="",$D$2=0),0,IF(AN$3&lt;0,0,N(INDEX('CURVA PREVISION'!$A$1:$KZ$3000,$C35,10+3*MIN(AN$3,$D$2-1)))))</f>
        <v>25.76</v>
      </c>
      <c r="AO35" s="131" t="n">
        <f aca="false">IF(OR($C35="",$B$2="",$D$2=0),0,IF(AO$3&lt;0,0,N(INDEX('CURVA PREVISION'!$A$1:$KZ$3000,$C35,10+3*MIN(AO$3,$D$2-1)))))</f>
        <v>57.58</v>
      </c>
      <c r="AP35" s="131" t="n">
        <f aca="false">IF(OR($C35="",$B$2="",$D$2=0),0,IF(AP$3&lt;0,0,N(INDEX('CURVA PREVISION'!$A$1:$KZ$3000,$C35,10+3*MIN(AP$3,$D$2-1)))))</f>
        <v>89.39</v>
      </c>
      <c r="AQ35" s="131" t="n">
        <f aca="false">IF(OR($C35="",$B$2="",$D$2=0),0,IF(AQ$3&lt;0,0,N(INDEX('CURVA PREVISION'!$A$1:$KZ$3000,$C35,10+3*MIN(AQ$3,$D$2-1)))))</f>
        <v>100</v>
      </c>
      <c r="AR35" s="131" t="n">
        <f aca="false">IF(OR($C35="",$B$2="",$D$2=0),0,IF(AR$3&lt;0,0,N(INDEX('CURVA PREVISION'!$A$1:$KZ$3000,$C35,10+3*MIN(AR$3,$D$2-1)))))</f>
        <v>100</v>
      </c>
      <c r="AS35" s="131" t="n">
        <f aca="false">IF(OR($C35="",$B$2="",$D$2=0),0,IF(AS$3&lt;0,0,N(INDEX('CURVA PREVISION'!$A$1:$KZ$3000,$C35,10+3*MIN(AS$3,$D$2-1)))))</f>
        <v>100</v>
      </c>
      <c r="AT35" s="131" t="n">
        <f aca="false">IF(OR($C35="",$B$2="",$D$2=0),0,IF(AT$3&lt;0,0,N(INDEX('CURVA PREVISION'!$A$1:$KZ$3000,$C35,10+3*MIN(AT$3,$D$2-1)))))</f>
        <v>100</v>
      </c>
      <c r="AU35" s="131" t="n">
        <f aca="false">IF(OR($C35="",$B$2="",$D$2=0),0,IF(AU$3&lt;0,0,N(INDEX('CURVA PREVISION'!$A$1:$KZ$3000,$C35,10+3*MIN(AU$3,$D$2-1)))))</f>
        <v>100</v>
      </c>
      <c r="AV35" s="131" t="n">
        <f aca="false">IF(OR($C35="",$B$2="",$D$2=0),0,IF(AV$3&lt;0,0,N(INDEX('CURVA PREVISION'!$A$1:$KZ$3000,$C35,10+3*MIN(AV$3,$D$2-1)))))</f>
        <v>100</v>
      </c>
      <c r="AW35" s="131" t="n">
        <f aca="false">IF(OR($C35="",$B$2="",$D$2=0),0,IF(AW$3&lt;0,0,N(INDEX('CURVA PREVISION'!$A$1:$KZ$3000,$C35,10+3*MIN(AW$3,$D$2-1)))))</f>
        <v>100</v>
      </c>
      <c r="AX35" s="131" t="n">
        <f aca="false">IF(OR($C35="",$B$2="",$D$2=0),0,IF(AX$3&lt;0,0,N(INDEX('CURVA PREVISION'!$A$1:$KZ$3000,$C35,10+3*MIN(AX$3,$D$2-1)))))</f>
        <v>100</v>
      </c>
      <c r="AY35" s="131" t="n">
        <f aca="false">IF(OR($C35="",$B$2="",$D$2=0),0,IF(AY$3&lt;0,0,N(INDEX('CURVA PREVISION'!$A$1:$KZ$3000,$C35,10+3*MIN(AY$3,$D$2-1)))))</f>
        <v>100</v>
      </c>
      <c r="AZ35" s="131" t="n">
        <f aca="false">IF(OR($C35="",$B$2="",$D$2=0),0,IF(AZ$3&lt;0,0,N(INDEX('CURVA PREVISION'!$A$1:$KZ$3000,$C35,10+3*MIN(AZ$3,$D$2-1)))))</f>
        <v>100</v>
      </c>
      <c r="BA35" s="131" t="n">
        <f aca="false">IF(OR($C35="",$B$2="",$D$2=0),0,IF(BA$3&lt;0,0,N(INDEX('CURVA PREVISION'!$A$1:$KZ$3000,$C35,10+3*MIN(BA$3,$D$2-1)))))</f>
        <v>100</v>
      </c>
      <c r="BB35" s="131" t="n">
        <f aca="false">IF(OR($C35="",$B$2="",$D$2=0),0,IF(BB$3&lt;0,0,N(INDEX('CURVA PREVISION'!$A$1:$KZ$3000,$C35,10+3*MIN(BB$3,$D$2-1)))))</f>
        <v>100</v>
      </c>
      <c r="BC35" s="131" t="n">
        <f aca="false">IF(OR($C35="",$B$2="",$D$2=0),0,IF(BC$3&lt;0,0,N(INDEX('CURVA PREVISION'!$A$1:$KZ$3000,$C35,10+3*MIN(BC$3,$D$2-1)))))</f>
        <v>100</v>
      </c>
      <c r="BD35" s="131" t="n">
        <f aca="false">IF(OR($C35="",$B$2="",$D$2=0),0,IF(BD$3&lt;0,0,N(INDEX('CURVA PREVISION'!$A$1:$KZ$3000,$C35,10+3*MIN(BD$3,$D$2-1)))))</f>
        <v>100</v>
      </c>
      <c r="BE35" s="131" t="n">
        <f aca="false">IF(OR($C35="",$B$2="",$D$2=0),0,IF(BE$3&lt;0,0,N(INDEX('CURVA PREVISION'!$A$1:$KZ$3000,$C35,10+3*MIN(BE$3,$D$2-1)))))</f>
        <v>100</v>
      </c>
      <c r="BF35" s="131" t="n">
        <f aca="false">IF(OR($C35="",$B$2="",$D$2=0),0,IF(BF$3&lt;0,0,N(INDEX('CURVA PREVISION'!$A$1:$KZ$3000,$C35,10+3*MIN(BF$3,$D$2-1)))))</f>
        <v>100</v>
      </c>
      <c r="BG35" s="131" t="n">
        <f aca="false">IF(OR($C35="",$B$2="",$D$2=0),0,IF(BG$3&lt;0,0,N(INDEX('CURVA PREVISION'!$A$1:$KZ$3000,$C35,10+3*MIN(BG$3,$D$2-1)))))</f>
        <v>100</v>
      </c>
      <c r="BH35" s="131" t="n">
        <f aca="false">IF(OR($C35="",$B$2="",$D$2=0),0,IF(BH$3&lt;0,0,N(INDEX('CURVA PREVISION'!$A$1:$KZ$3000,$C35,10+3*MIN(BH$3,$D$2-1)))))</f>
        <v>100</v>
      </c>
      <c r="BI35" s="131" t="n">
        <f aca="false">IF(OR($C35="",$B$2="",$D$2=0),0,IF(BI$3&lt;0,0,N(INDEX('CURVA PREVISION'!$A$1:$KZ$3000,$C35,10+3*MIN(BI$3,$D$2-1)))))</f>
        <v>100</v>
      </c>
      <c r="BJ35" s="131" t="n">
        <f aca="false">IF(OR($C35="",$B$2="",$D$2=0),0,IF(BJ$3&lt;0,0,N(INDEX('CURVA PREVISION'!$A$1:$KZ$3000,$C35,10+3*MIN(BJ$3,$D$2-1)))))</f>
        <v>100</v>
      </c>
      <c r="BK35" s="131" t="n">
        <f aca="false">IF(OR($C35="",$B$2="",$D$2=0),0,IF(BK$3&lt;0,0,N(INDEX('CURVA PREVISION'!$A$1:$KZ$3000,$C35,10+3*MIN(BK$3,$D$2-1)))))</f>
        <v>100</v>
      </c>
      <c r="BL35" s="131" t="n">
        <f aca="false">IF(OR($C35="",$B$2="",$D$2=0),0,IF(BL$3&lt;0,0,N(INDEX('CURVA PREVISION'!$A$1:$KZ$3000,$C35,10+3*MIN(BL$3,$D$2-1)))))</f>
        <v>100</v>
      </c>
      <c r="BM35" s="131" t="n">
        <f aca="false">IF(OR($C35="",$B$2="",$D$2=0),0,IF(BM$3&lt;0,0,N(INDEX('CURVA PREVISION'!$A$1:$KZ$3000,$C35,10+3*MIN(BM$3,$D$2-1)))))</f>
        <v>100</v>
      </c>
      <c r="BN35" s="131" t="n">
        <f aca="false">IF(OR($C35="",$B$2="",$D$2=0),0,IF(BN$3&lt;0,0,N(INDEX('CURVA PREVISION'!$A$1:$KZ$3000,$C35,10+3*MIN(BN$3,$D$2-1)))))</f>
        <v>100</v>
      </c>
      <c r="BO35" s="131" t="n">
        <f aca="false">IF(OR($C35="",$B$2="",$D$2=0),0,IF(BO$3&lt;0,0,N(INDEX('CURVA PREVISION'!$A$1:$KZ$3000,$C35,10+3*MIN(BO$3,$D$2-1)))))</f>
        <v>100</v>
      </c>
      <c r="BP35" s="131" t="n">
        <f aca="false">IF(OR($C35="",$B$2="",$D$2=0),0,IF(BP$3&lt;0,0,N(INDEX('CURVA PREVISION'!$A$1:$KZ$3000,$C35,10+3*MIN(BP$3,$D$2-1)))))</f>
        <v>100</v>
      </c>
      <c r="BQ35" s="131" t="n">
        <f aca="false">IF(OR($C35="",$B$2="",$D$2=0),0,IF(BQ$3&lt;0,0,N(INDEX('CURVA PREVISION'!$A$1:$KZ$3000,$C35,10+3*MIN(BQ$3,$D$2-1)))))</f>
        <v>100</v>
      </c>
      <c r="BR35" s="131" t="n">
        <f aca="false">IF(OR($C35="",$B$2="",$D$2=0),0,IF(BR$3&lt;0,0,N(INDEX('CURVA PREVISION'!$A$1:$KZ$3000,$C35,10+3*MIN(BR$3,$D$2-1)))))</f>
        <v>100</v>
      </c>
      <c r="BS35" s="131" t="n">
        <f aca="false">IF(OR($C35="",$B$2="",$D$2=0),0,IF(BS$3&lt;0,0,N(INDEX('CURVA PREVISION'!$A$1:$KZ$3000,$C35,10+3*MIN(BS$3,$D$2-1)))))</f>
        <v>100</v>
      </c>
      <c r="BT35" s="131" t="n">
        <f aca="false">IF(OR($C35="",$B$2="",$D$2=0),0,IF(BT$3&lt;0,0,N(INDEX('CURVA PREVISION'!$A$1:$KZ$3000,$C35,10+3*MIN(BT$3,$D$2-1)))))</f>
        <v>100</v>
      </c>
      <c r="BU35" s="131" t="n">
        <f aca="false">IF(OR($C35="",$B$2="",$D$2=0),0,IF(BU$3&lt;0,0,N(INDEX('CURVA PREVISION'!$A$1:$KZ$3000,$C35,10+3*MIN(BU$3,$D$2-1)))))</f>
        <v>100</v>
      </c>
      <c r="BV35" s="131" t="n">
        <f aca="false">IF(OR($C35="",$B$2="",$D$2=0),0,IF(BV$3&lt;0,0,N(INDEX('CURVA PREVISION'!$A$1:$KZ$3000,$C35,10+3*MIN(BV$3,$D$2-1)))))</f>
        <v>100</v>
      </c>
      <c r="BW35" s="131" t="n">
        <f aca="false">IF(OR($C35="",$B$2="",$D$2=0),0,IF(BW$3&lt;0,0,N(INDEX('CURVA PREVISION'!$A$1:$KZ$3000,$C35,10+3*MIN(BW$3,$D$2-1)))))</f>
        <v>100</v>
      </c>
    </row>
    <row r="36" customFormat="false" ht="15" hidden="false" customHeight="false" outlineLevel="0" collapsed="false">
      <c r="A36" s="57" t="str">
        <f aca="false">IF('VALOR POR PL'!R42&lt;&gt;"",'VALOR POR PL'!R42,IF('VALOR POR PL'!Q42="",'VALOR POR PL'!C42,'VALOR POR PL'!Q42))</f>
        <v>32</v>
      </c>
      <c r="B36" s="57" t="str">
        <f aca="false">'VALOR POR PL'!D42</f>
        <v>REVESTIMENTO DIVERSOS - FACHADA</v>
      </c>
      <c r="C36" s="64" t="n">
        <f aca="false">IFERROR(MATCH(A36,'CURVA PREVISION'!$B$1:$B$3000,0),"")</f>
        <v>782</v>
      </c>
      <c r="D36" s="131" t="n">
        <f aca="false">IF(OR($C36="",$B$2="",$D$2=0),0,IF(D$3&lt;0,0,N(INDEX('CURVA PREVISION'!$A$1:$KZ$3000,$C36,10+3*MIN(D$3,$D$2-1)))))</f>
        <v>0</v>
      </c>
      <c r="E36" s="131" t="n">
        <f aca="false">IF(OR($C36="",$B$2="",$D$2=0),0,IF(E$3&lt;0,0,N(INDEX('CURVA PREVISION'!$A$1:$KZ$3000,$C36,10+3*MIN(E$3,$D$2-1)))))</f>
        <v>0</v>
      </c>
      <c r="F36" s="131" t="n">
        <f aca="false">IF(OR($C36="",$B$2="",$D$2=0),0,IF(F$3&lt;0,0,N(INDEX('CURVA PREVISION'!$A$1:$KZ$3000,$C36,10+3*MIN(F$3,$D$2-1)))))</f>
        <v>0</v>
      </c>
      <c r="G36" s="131" t="n">
        <f aca="false">IF(OR($C36="",$B$2="",$D$2=0),0,IF(G$3&lt;0,0,N(INDEX('CURVA PREVISION'!$A$1:$KZ$3000,$C36,10+3*MIN(G$3,$D$2-1)))))</f>
        <v>0</v>
      </c>
      <c r="H36" s="131" t="n">
        <f aca="false">IF(OR($C36="",$B$2="",$D$2=0),0,IF(H$3&lt;0,0,N(INDEX('CURVA PREVISION'!$A$1:$KZ$3000,$C36,10+3*MIN(H$3,$D$2-1)))))</f>
        <v>0</v>
      </c>
      <c r="I36" s="131" t="n">
        <f aca="false">IF(OR($C36="",$B$2="",$D$2=0),0,IF(I$3&lt;0,0,N(INDEX('CURVA PREVISION'!$A$1:$KZ$3000,$C36,10+3*MIN(I$3,$D$2-1)))))</f>
        <v>0</v>
      </c>
      <c r="J36" s="131" t="n">
        <f aca="false">IF(OR($C36="",$B$2="",$D$2=0),0,IF(J$3&lt;0,0,N(INDEX('CURVA PREVISION'!$A$1:$KZ$3000,$C36,10+3*MIN(J$3,$D$2-1)))))</f>
        <v>0</v>
      </c>
      <c r="K36" s="131" t="n">
        <f aca="false">IF(OR($C36="",$B$2="",$D$2=0),0,IF(K$3&lt;0,0,N(INDEX('CURVA PREVISION'!$A$1:$KZ$3000,$C36,10+3*MIN(K$3,$D$2-1)))))</f>
        <v>0</v>
      </c>
      <c r="L36" s="131" t="n">
        <f aca="false">IF(OR($C36="",$B$2="",$D$2=0),0,IF(L$3&lt;0,0,N(INDEX('CURVA PREVISION'!$A$1:$KZ$3000,$C36,10+3*MIN(L$3,$D$2-1)))))</f>
        <v>0</v>
      </c>
      <c r="M36" s="131" t="n">
        <f aca="false">IF(OR($C36="",$B$2="",$D$2=0),0,IF(M$3&lt;0,0,N(INDEX('CURVA PREVISION'!$A$1:$KZ$3000,$C36,10+3*MIN(M$3,$D$2-1)))))</f>
        <v>0</v>
      </c>
      <c r="N36" s="131" t="n">
        <f aca="false">IF(OR($C36="",$B$2="",$D$2=0),0,IF(N$3&lt;0,0,N(INDEX('CURVA PREVISION'!$A$1:$KZ$3000,$C36,10+3*MIN(N$3,$D$2-1)))))</f>
        <v>0</v>
      </c>
      <c r="O36" s="131" t="n">
        <f aca="false">IF(OR($C36="",$B$2="",$D$2=0),0,IF(O$3&lt;0,0,N(INDEX('CURVA PREVISION'!$A$1:$KZ$3000,$C36,10+3*MIN(O$3,$D$2-1)))))</f>
        <v>0</v>
      </c>
      <c r="P36" s="131" t="n">
        <f aca="false">IF(OR($C36="",$B$2="",$D$2=0),0,IF(P$3&lt;0,0,N(INDEX('CURVA PREVISION'!$A$1:$KZ$3000,$C36,10+3*MIN(P$3,$D$2-1)))))</f>
        <v>0</v>
      </c>
      <c r="Q36" s="131" t="n">
        <f aca="false">IF(OR($C36="",$B$2="",$D$2=0),0,IF(Q$3&lt;0,0,N(INDEX('CURVA PREVISION'!$A$1:$KZ$3000,$C36,10+3*MIN(Q$3,$D$2-1)))))</f>
        <v>0</v>
      </c>
      <c r="R36" s="131" t="n">
        <f aca="false">IF(OR($C36="",$B$2="",$D$2=0),0,IF(R$3&lt;0,0,N(INDEX('CURVA PREVISION'!$A$1:$KZ$3000,$C36,10+3*MIN(R$3,$D$2-1)))))</f>
        <v>0</v>
      </c>
      <c r="S36" s="131" t="n">
        <f aca="false">IF(OR($C36="",$B$2="",$D$2=0),0,IF(S$3&lt;0,0,N(INDEX('CURVA PREVISION'!$A$1:$KZ$3000,$C36,10+3*MIN(S$3,$D$2-1)))))</f>
        <v>0</v>
      </c>
      <c r="T36" s="131" t="n">
        <f aca="false">IF(OR($C36="",$B$2="",$D$2=0),0,IF(T$3&lt;0,0,N(INDEX('CURVA PREVISION'!$A$1:$KZ$3000,$C36,10+3*MIN(T$3,$D$2-1)))))</f>
        <v>0</v>
      </c>
      <c r="U36" s="131" t="n">
        <f aca="false">IF(OR($C36="",$B$2="",$D$2=0),0,IF(U$3&lt;0,0,N(INDEX('CURVA PREVISION'!$A$1:$KZ$3000,$C36,10+3*MIN(U$3,$D$2-1)))))</f>
        <v>0</v>
      </c>
      <c r="V36" s="131" t="n">
        <f aca="false">IF(OR($C36="",$B$2="",$D$2=0),0,IF(V$3&lt;0,0,N(INDEX('CURVA PREVISION'!$A$1:$KZ$3000,$C36,10+3*MIN(V$3,$D$2-1)))))</f>
        <v>0</v>
      </c>
      <c r="W36" s="131" t="n">
        <f aca="false">IF(OR($C36="",$B$2="",$D$2=0),0,IF(W$3&lt;0,0,N(INDEX('CURVA PREVISION'!$A$1:$KZ$3000,$C36,10+3*MIN(W$3,$D$2-1)))))</f>
        <v>0</v>
      </c>
      <c r="X36" s="131" t="n">
        <f aca="false">IF(OR($C36="",$B$2="",$D$2=0),0,IF(X$3&lt;0,0,N(INDEX('CURVA PREVISION'!$A$1:$KZ$3000,$C36,10+3*MIN(X$3,$D$2-1)))))</f>
        <v>0</v>
      </c>
      <c r="Y36" s="131" t="n">
        <f aca="false">IF(OR($C36="",$B$2="",$D$2=0),0,IF(Y$3&lt;0,0,N(INDEX('CURVA PREVISION'!$A$1:$KZ$3000,$C36,10+3*MIN(Y$3,$D$2-1)))))</f>
        <v>0</v>
      </c>
      <c r="Z36" s="131" t="n">
        <f aca="false">IF(OR($C36="",$B$2="",$D$2=0),0,IF(Z$3&lt;0,0,N(INDEX('CURVA PREVISION'!$A$1:$KZ$3000,$C36,10+3*MIN(Z$3,$D$2-1)))))</f>
        <v>0</v>
      </c>
      <c r="AA36" s="131" t="n">
        <f aca="false">IF(OR($C36="",$B$2="",$D$2=0),0,IF(AA$3&lt;0,0,N(INDEX('CURVA PREVISION'!$A$1:$KZ$3000,$C36,10+3*MIN(AA$3,$D$2-1)))))</f>
        <v>0</v>
      </c>
      <c r="AB36" s="131" t="n">
        <f aca="false">IF(OR($C36="",$B$2="",$D$2=0),0,IF(AB$3&lt;0,0,N(INDEX('CURVA PREVISION'!$A$1:$KZ$3000,$C36,10+3*MIN(AB$3,$D$2-1)))))</f>
        <v>0</v>
      </c>
      <c r="AC36" s="131" t="n">
        <f aca="false">IF(OR($C36="",$B$2="",$D$2=0),0,IF(AC$3&lt;0,0,N(INDEX('CURVA PREVISION'!$A$1:$KZ$3000,$C36,10+3*MIN(AC$3,$D$2-1)))))</f>
        <v>0</v>
      </c>
      <c r="AD36" s="131" t="n">
        <f aca="false">IF(OR($C36="",$B$2="",$D$2=0),0,IF(AD$3&lt;0,0,N(INDEX('CURVA PREVISION'!$A$1:$KZ$3000,$C36,10+3*MIN(AD$3,$D$2-1)))))</f>
        <v>0</v>
      </c>
      <c r="AE36" s="131" t="n">
        <f aca="false">IF(OR($C36="",$B$2="",$D$2=0),0,IF(AE$3&lt;0,0,N(INDEX('CURVA PREVISION'!$A$1:$KZ$3000,$C36,10+3*MIN(AE$3,$D$2-1)))))</f>
        <v>0</v>
      </c>
      <c r="AF36" s="131" t="n">
        <f aca="false">IF(OR($C36="",$B$2="",$D$2=0),0,IF(AF$3&lt;0,0,N(INDEX('CURVA PREVISION'!$A$1:$KZ$3000,$C36,10+3*MIN(AF$3,$D$2-1)))))</f>
        <v>0</v>
      </c>
      <c r="AG36" s="131" t="n">
        <f aca="false">IF(OR($C36="",$B$2="",$D$2=0),0,IF(AG$3&lt;0,0,N(INDEX('CURVA PREVISION'!$A$1:$KZ$3000,$C36,10+3*MIN(AG$3,$D$2-1)))))</f>
        <v>0</v>
      </c>
      <c r="AH36" s="131" t="n">
        <f aca="false">IF(OR($C36="",$B$2="",$D$2=0),0,IF(AH$3&lt;0,0,N(INDEX('CURVA PREVISION'!$A$1:$KZ$3000,$C36,10+3*MIN(AH$3,$D$2-1)))))</f>
        <v>0</v>
      </c>
      <c r="AI36" s="131" t="n">
        <f aca="false">IF(OR($C36="",$B$2="",$D$2=0),0,IF(AI$3&lt;0,0,N(INDEX('CURVA PREVISION'!$A$1:$KZ$3000,$C36,10+3*MIN(AI$3,$D$2-1)))))</f>
        <v>0</v>
      </c>
      <c r="AJ36" s="131" t="n">
        <f aca="false">IF(OR($C36="",$B$2="",$D$2=0),0,IF(AJ$3&lt;0,0,N(INDEX('CURVA PREVISION'!$A$1:$KZ$3000,$C36,10+3*MIN(AJ$3,$D$2-1)))))</f>
        <v>2.34</v>
      </c>
      <c r="AK36" s="131" t="n">
        <f aca="false">IF(OR($C36="",$B$2="",$D$2=0),0,IF(AK$3&lt;0,0,N(INDEX('CURVA PREVISION'!$A$1:$KZ$3000,$C36,10+3*MIN(AK$3,$D$2-1)))))</f>
        <v>10.77</v>
      </c>
      <c r="AL36" s="131" t="n">
        <f aca="false">IF(OR($C36="",$B$2="",$D$2=0),0,IF(AL$3&lt;0,0,N(INDEX('CURVA PREVISION'!$A$1:$KZ$3000,$C36,10+3*MIN(AL$3,$D$2-1)))))</f>
        <v>22.67</v>
      </c>
      <c r="AM36" s="131" t="n">
        <f aca="false">IF(OR($C36="",$B$2="",$D$2=0),0,IF(AM$3&lt;0,0,N(INDEX('CURVA PREVISION'!$A$1:$KZ$3000,$C36,10+3*MIN(AM$3,$D$2-1)))))</f>
        <v>32.55</v>
      </c>
      <c r="AN36" s="131" t="n">
        <f aca="false">IF(OR($C36="",$B$2="",$D$2=0),0,IF(AN$3&lt;0,0,N(INDEX('CURVA PREVISION'!$A$1:$KZ$3000,$C36,10+3*MIN(AN$3,$D$2-1)))))</f>
        <v>41.36</v>
      </c>
      <c r="AO36" s="131" t="n">
        <f aca="false">IF(OR($C36="",$B$2="",$D$2=0),0,IF(AO$3&lt;0,0,N(INDEX('CURVA PREVISION'!$A$1:$KZ$3000,$C36,10+3*MIN(AO$3,$D$2-1)))))</f>
        <v>49.37</v>
      </c>
      <c r="AP36" s="131" t="n">
        <f aca="false">IF(OR($C36="",$B$2="",$D$2=0),0,IF(AP$3&lt;0,0,N(INDEX('CURVA PREVISION'!$A$1:$KZ$3000,$C36,10+3*MIN(AP$3,$D$2-1)))))</f>
        <v>57.3</v>
      </c>
      <c r="AQ36" s="131" t="n">
        <f aca="false">IF(OR($C36="",$B$2="",$D$2=0),0,IF(AQ$3&lt;0,0,N(INDEX('CURVA PREVISION'!$A$1:$KZ$3000,$C36,10+3*MIN(AQ$3,$D$2-1)))))</f>
        <v>63.38</v>
      </c>
      <c r="AR36" s="131" t="n">
        <f aca="false">IF(OR($C36="",$B$2="",$D$2=0),0,IF(AR$3&lt;0,0,N(INDEX('CURVA PREVISION'!$A$1:$KZ$3000,$C36,10+3*MIN(AR$3,$D$2-1)))))</f>
        <v>66</v>
      </c>
      <c r="AS36" s="131" t="n">
        <f aca="false">IF(OR($C36="",$B$2="",$D$2=0),0,IF(AS$3&lt;0,0,N(INDEX('CURVA PREVISION'!$A$1:$KZ$3000,$C36,10+3*MIN(AS$3,$D$2-1)))))</f>
        <v>69</v>
      </c>
      <c r="AT36" s="131" t="n">
        <f aca="false">IF(OR($C36="",$B$2="",$D$2=0),0,IF(AT$3&lt;0,0,N(INDEX('CURVA PREVISION'!$A$1:$KZ$3000,$C36,10+3*MIN(AT$3,$D$2-1)))))</f>
        <v>73.91</v>
      </c>
      <c r="AU36" s="131" t="n">
        <f aca="false">IF(OR($C36="",$B$2="",$D$2=0),0,IF(AU$3&lt;0,0,N(INDEX('CURVA PREVISION'!$A$1:$KZ$3000,$C36,10+3*MIN(AU$3,$D$2-1)))))</f>
        <v>81.55</v>
      </c>
      <c r="AV36" s="131" t="n">
        <f aca="false">IF(OR($C36="",$B$2="",$D$2=0),0,IF(AV$3&lt;0,0,N(INDEX('CURVA PREVISION'!$A$1:$KZ$3000,$C36,10+3*MIN(AV$3,$D$2-1)))))</f>
        <v>93.22</v>
      </c>
      <c r="AW36" s="131" t="n">
        <f aca="false">IF(OR($C36="",$B$2="",$D$2=0),0,IF(AW$3&lt;0,0,N(INDEX('CURVA PREVISION'!$A$1:$KZ$3000,$C36,10+3*MIN(AW$3,$D$2-1)))))</f>
        <v>93.4</v>
      </c>
      <c r="AX36" s="131" t="n">
        <f aca="false">IF(OR($C36="",$B$2="",$D$2=0),0,IF(AX$3&lt;0,0,N(INDEX('CURVA PREVISION'!$A$1:$KZ$3000,$C36,10+3*MIN(AX$3,$D$2-1)))))</f>
        <v>98.17</v>
      </c>
      <c r="AY36" s="131" t="n">
        <f aca="false">IF(OR($C36="",$B$2="",$D$2=0),0,IF(AY$3&lt;0,0,N(INDEX('CURVA PREVISION'!$A$1:$KZ$3000,$C36,10+3*MIN(AY$3,$D$2-1)))))</f>
        <v>99.49</v>
      </c>
      <c r="AZ36" s="131" t="n">
        <f aca="false">IF(OR($C36="",$B$2="",$D$2=0),0,IF(AZ$3&lt;0,0,N(INDEX('CURVA PREVISION'!$A$1:$KZ$3000,$C36,10+3*MIN(AZ$3,$D$2-1)))))</f>
        <v>99.63</v>
      </c>
      <c r="BA36" s="131" t="n">
        <f aca="false">IF(OR($C36="",$B$2="",$D$2=0),0,IF(BA$3&lt;0,0,N(INDEX('CURVA PREVISION'!$A$1:$KZ$3000,$C36,10+3*MIN(BA$3,$D$2-1)))))</f>
        <v>99.83</v>
      </c>
      <c r="BB36" s="131" t="n">
        <f aca="false">IF(OR($C36="",$B$2="",$D$2=0),0,IF(BB$3&lt;0,0,N(INDEX('CURVA PREVISION'!$A$1:$KZ$3000,$C36,10+3*MIN(BB$3,$D$2-1)))))</f>
        <v>100</v>
      </c>
      <c r="BC36" s="131" t="n">
        <f aca="false">IF(OR($C36="",$B$2="",$D$2=0),0,IF(BC$3&lt;0,0,N(INDEX('CURVA PREVISION'!$A$1:$KZ$3000,$C36,10+3*MIN(BC$3,$D$2-1)))))</f>
        <v>100</v>
      </c>
      <c r="BD36" s="131" t="n">
        <f aca="false">IF(OR($C36="",$B$2="",$D$2=0),0,IF(BD$3&lt;0,0,N(INDEX('CURVA PREVISION'!$A$1:$KZ$3000,$C36,10+3*MIN(BD$3,$D$2-1)))))</f>
        <v>100</v>
      </c>
      <c r="BE36" s="131" t="n">
        <f aca="false">IF(OR($C36="",$B$2="",$D$2=0),0,IF(BE$3&lt;0,0,N(INDEX('CURVA PREVISION'!$A$1:$KZ$3000,$C36,10+3*MIN(BE$3,$D$2-1)))))</f>
        <v>100</v>
      </c>
      <c r="BF36" s="131" t="n">
        <f aca="false">IF(OR($C36="",$B$2="",$D$2=0),0,IF(BF$3&lt;0,0,N(INDEX('CURVA PREVISION'!$A$1:$KZ$3000,$C36,10+3*MIN(BF$3,$D$2-1)))))</f>
        <v>100</v>
      </c>
      <c r="BG36" s="131" t="n">
        <f aca="false">IF(OR($C36="",$B$2="",$D$2=0),0,IF(BG$3&lt;0,0,N(INDEX('CURVA PREVISION'!$A$1:$KZ$3000,$C36,10+3*MIN(BG$3,$D$2-1)))))</f>
        <v>100</v>
      </c>
      <c r="BH36" s="131" t="n">
        <f aca="false">IF(OR($C36="",$B$2="",$D$2=0),0,IF(BH$3&lt;0,0,N(INDEX('CURVA PREVISION'!$A$1:$KZ$3000,$C36,10+3*MIN(BH$3,$D$2-1)))))</f>
        <v>100</v>
      </c>
      <c r="BI36" s="131" t="n">
        <f aca="false">IF(OR($C36="",$B$2="",$D$2=0),0,IF(BI$3&lt;0,0,N(INDEX('CURVA PREVISION'!$A$1:$KZ$3000,$C36,10+3*MIN(BI$3,$D$2-1)))))</f>
        <v>100</v>
      </c>
      <c r="BJ36" s="131" t="n">
        <f aca="false">IF(OR($C36="",$B$2="",$D$2=0),0,IF(BJ$3&lt;0,0,N(INDEX('CURVA PREVISION'!$A$1:$KZ$3000,$C36,10+3*MIN(BJ$3,$D$2-1)))))</f>
        <v>100</v>
      </c>
      <c r="BK36" s="131" t="n">
        <f aca="false">IF(OR($C36="",$B$2="",$D$2=0),0,IF(BK$3&lt;0,0,N(INDEX('CURVA PREVISION'!$A$1:$KZ$3000,$C36,10+3*MIN(BK$3,$D$2-1)))))</f>
        <v>100</v>
      </c>
      <c r="BL36" s="131" t="n">
        <f aca="false">IF(OR($C36="",$B$2="",$D$2=0),0,IF(BL$3&lt;0,0,N(INDEX('CURVA PREVISION'!$A$1:$KZ$3000,$C36,10+3*MIN(BL$3,$D$2-1)))))</f>
        <v>100</v>
      </c>
      <c r="BM36" s="131" t="n">
        <f aca="false">IF(OR($C36="",$B$2="",$D$2=0),0,IF(BM$3&lt;0,0,N(INDEX('CURVA PREVISION'!$A$1:$KZ$3000,$C36,10+3*MIN(BM$3,$D$2-1)))))</f>
        <v>100</v>
      </c>
      <c r="BN36" s="131" t="n">
        <f aca="false">IF(OR($C36="",$B$2="",$D$2=0),0,IF(BN$3&lt;0,0,N(INDEX('CURVA PREVISION'!$A$1:$KZ$3000,$C36,10+3*MIN(BN$3,$D$2-1)))))</f>
        <v>100</v>
      </c>
      <c r="BO36" s="131" t="n">
        <f aca="false">IF(OR($C36="",$B$2="",$D$2=0),0,IF(BO$3&lt;0,0,N(INDEX('CURVA PREVISION'!$A$1:$KZ$3000,$C36,10+3*MIN(BO$3,$D$2-1)))))</f>
        <v>100</v>
      </c>
      <c r="BP36" s="131" t="n">
        <f aca="false">IF(OR($C36="",$B$2="",$D$2=0),0,IF(BP$3&lt;0,0,N(INDEX('CURVA PREVISION'!$A$1:$KZ$3000,$C36,10+3*MIN(BP$3,$D$2-1)))))</f>
        <v>100</v>
      </c>
      <c r="BQ36" s="131" t="n">
        <f aca="false">IF(OR($C36="",$B$2="",$D$2=0),0,IF(BQ$3&lt;0,0,N(INDEX('CURVA PREVISION'!$A$1:$KZ$3000,$C36,10+3*MIN(BQ$3,$D$2-1)))))</f>
        <v>100</v>
      </c>
      <c r="BR36" s="131" t="n">
        <f aca="false">IF(OR($C36="",$B$2="",$D$2=0),0,IF(BR$3&lt;0,0,N(INDEX('CURVA PREVISION'!$A$1:$KZ$3000,$C36,10+3*MIN(BR$3,$D$2-1)))))</f>
        <v>100</v>
      </c>
      <c r="BS36" s="131" t="n">
        <f aca="false">IF(OR($C36="",$B$2="",$D$2=0),0,IF(BS$3&lt;0,0,N(INDEX('CURVA PREVISION'!$A$1:$KZ$3000,$C36,10+3*MIN(BS$3,$D$2-1)))))</f>
        <v>100</v>
      </c>
      <c r="BT36" s="131" t="n">
        <f aca="false">IF(OR($C36="",$B$2="",$D$2=0),0,IF(BT$3&lt;0,0,N(INDEX('CURVA PREVISION'!$A$1:$KZ$3000,$C36,10+3*MIN(BT$3,$D$2-1)))))</f>
        <v>100</v>
      </c>
      <c r="BU36" s="131" t="n">
        <f aca="false">IF(OR($C36="",$B$2="",$D$2=0),0,IF(BU$3&lt;0,0,N(INDEX('CURVA PREVISION'!$A$1:$KZ$3000,$C36,10+3*MIN(BU$3,$D$2-1)))))</f>
        <v>100</v>
      </c>
      <c r="BV36" s="131" t="n">
        <f aca="false">IF(OR($C36="",$B$2="",$D$2=0),0,IF(BV$3&lt;0,0,N(INDEX('CURVA PREVISION'!$A$1:$KZ$3000,$C36,10+3*MIN(BV$3,$D$2-1)))))</f>
        <v>100</v>
      </c>
      <c r="BW36" s="131" t="n">
        <f aca="false">IF(OR($C36="",$B$2="",$D$2=0),0,IF(BW$3&lt;0,0,N(INDEX('CURVA PREVISION'!$A$1:$KZ$3000,$C36,10+3*MIN(BW$3,$D$2-1)))))</f>
        <v>100</v>
      </c>
    </row>
    <row r="37" customFormat="false" ht="15" hidden="false" customHeight="false" outlineLevel="0" collapsed="false">
      <c r="A37" s="57" t="str">
        <f aca="false">IF('VALOR POR PL'!R43&lt;&gt;"",'VALOR POR PL'!R43,IF('VALOR POR PL'!Q43="",'VALOR POR PL'!C43,'VALOR POR PL'!Q43))</f>
        <v>33</v>
      </c>
      <c r="B37" s="57" t="str">
        <f aca="false">'VALOR POR PL'!D43</f>
        <v>FORRO</v>
      </c>
      <c r="C37" s="64" t="n">
        <f aca="false">IFERROR(MATCH(A37,'CURVA PREVISION'!$B$1:$B$3000,0),"")</f>
        <v>815</v>
      </c>
      <c r="D37" s="131" t="n">
        <f aca="false">IF(OR($C37="",$B$2="",$D$2=0),0,IF(D$3&lt;0,0,N(INDEX('CURVA PREVISION'!$A$1:$KZ$3000,$C37,10+3*MIN(D$3,$D$2-1)))))</f>
        <v>0</v>
      </c>
      <c r="E37" s="131" t="n">
        <f aca="false">IF(OR($C37="",$B$2="",$D$2=0),0,IF(E$3&lt;0,0,N(INDEX('CURVA PREVISION'!$A$1:$KZ$3000,$C37,10+3*MIN(E$3,$D$2-1)))))</f>
        <v>0</v>
      </c>
      <c r="F37" s="131" t="n">
        <f aca="false">IF(OR($C37="",$B$2="",$D$2=0),0,IF(F$3&lt;0,0,N(INDEX('CURVA PREVISION'!$A$1:$KZ$3000,$C37,10+3*MIN(F$3,$D$2-1)))))</f>
        <v>0</v>
      </c>
      <c r="G37" s="131" t="n">
        <f aca="false">IF(OR($C37="",$B$2="",$D$2=0),0,IF(G$3&lt;0,0,N(INDEX('CURVA PREVISION'!$A$1:$KZ$3000,$C37,10+3*MIN(G$3,$D$2-1)))))</f>
        <v>0</v>
      </c>
      <c r="H37" s="131" t="n">
        <f aca="false">IF(OR($C37="",$B$2="",$D$2=0),0,IF(H$3&lt;0,0,N(INDEX('CURVA PREVISION'!$A$1:$KZ$3000,$C37,10+3*MIN(H$3,$D$2-1)))))</f>
        <v>0</v>
      </c>
      <c r="I37" s="131" t="n">
        <f aca="false">IF(OR($C37="",$B$2="",$D$2=0),0,IF(I$3&lt;0,0,N(INDEX('CURVA PREVISION'!$A$1:$KZ$3000,$C37,10+3*MIN(I$3,$D$2-1)))))</f>
        <v>0</v>
      </c>
      <c r="J37" s="131" t="n">
        <f aca="false">IF(OR($C37="",$B$2="",$D$2=0),0,IF(J$3&lt;0,0,N(INDEX('CURVA PREVISION'!$A$1:$KZ$3000,$C37,10+3*MIN(J$3,$D$2-1)))))</f>
        <v>0</v>
      </c>
      <c r="K37" s="131" t="n">
        <f aca="false">IF(OR($C37="",$B$2="",$D$2=0),0,IF(K$3&lt;0,0,N(INDEX('CURVA PREVISION'!$A$1:$KZ$3000,$C37,10+3*MIN(K$3,$D$2-1)))))</f>
        <v>0</v>
      </c>
      <c r="L37" s="131" t="n">
        <f aca="false">IF(OR($C37="",$B$2="",$D$2=0),0,IF(L$3&lt;0,0,N(INDEX('CURVA PREVISION'!$A$1:$KZ$3000,$C37,10+3*MIN(L$3,$D$2-1)))))</f>
        <v>0</v>
      </c>
      <c r="M37" s="131" t="n">
        <f aca="false">IF(OR($C37="",$B$2="",$D$2=0),0,IF(M$3&lt;0,0,N(INDEX('CURVA PREVISION'!$A$1:$KZ$3000,$C37,10+3*MIN(M$3,$D$2-1)))))</f>
        <v>0</v>
      </c>
      <c r="N37" s="131" t="n">
        <f aca="false">IF(OR($C37="",$B$2="",$D$2=0),0,IF(N$3&lt;0,0,N(INDEX('CURVA PREVISION'!$A$1:$KZ$3000,$C37,10+3*MIN(N$3,$D$2-1)))))</f>
        <v>0</v>
      </c>
      <c r="O37" s="131" t="n">
        <f aca="false">IF(OR($C37="",$B$2="",$D$2=0),0,IF(O$3&lt;0,0,N(INDEX('CURVA PREVISION'!$A$1:$KZ$3000,$C37,10+3*MIN(O$3,$D$2-1)))))</f>
        <v>0</v>
      </c>
      <c r="P37" s="131" t="n">
        <f aca="false">IF(OR($C37="",$B$2="",$D$2=0),0,IF(P$3&lt;0,0,N(INDEX('CURVA PREVISION'!$A$1:$KZ$3000,$C37,10+3*MIN(P$3,$D$2-1)))))</f>
        <v>0</v>
      </c>
      <c r="Q37" s="131" t="n">
        <f aca="false">IF(OR($C37="",$B$2="",$D$2=0),0,IF(Q$3&lt;0,0,N(INDEX('CURVA PREVISION'!$A$1:$KZ$3000,$C37,10+3*MIN(Q$3,$D$2-1)))))</f>
        <v>0</v>
      </c>
      <c r="R37" s="131" t="n">
        <f aca="false">IF(OR($C37="",$B$2="",$D$2=0),0,IF(R$3&lt;0,0,N(INDEX('CURVA PREVISION'!$A$1:$KZ$3000,$C37,10+3*MIN(R$3,$D$2-1)))))</f>
        <v>0</v>
      </c>
      <c r="S37" s="131" t="n">
        <f aca="false">IF(OR($C37="",$B$2="",$D$2=0),0,IF(S$3&lt;0,0,N(INDEX('CURVA PREVISION'!$A$1:$KZ$3000,$C37,10+3*MIN(S$3,$D$2-1)))))</f>
        <v>0</v>
      </c>
      <c r="T37" s="131" t="n">
        <f aca="false">IF(OR($C37="",$B$2="",$D$2=0),0,IF(T$3&lt;0,0,N(INDEX('CURVA PREVISION'!$A$1:$KZ$3000,$C37,10+3*MIN(T$3,$D$2-1)))))</f>
        <v>0</v>
      </c>
      <c r="U37" s="131" t="n">
        <f aca="false">IF(OR($C37="",$B$2="",$D$2=0),0,IF(U$3&lt;0,0,N(INDEX('CURVA PREVISION'!$A$1:$KZ$3000,$C37,10+3*MIN(U$3,$D$2-1)))))</f>
        <v>0</v>
      </c>
      <c r="V37" s="131" t="n">
        <f aca="false">IF(OR($C37="",$B$2="",$D$2=0),0,IF(V$3&lt;0,0,N(INDEX('CURVA PREVISION'!$A$1:$KZ$3000,$C37,10+3*MIN(V$3,$D$2-1)))))</f>
        <v>0</v>
      </c>
      <c r="W37" s="131" t="n">
        <f aca="false">IF(OR($C37="",$B$2="",$D$2=0),0,IF(W$3&lt;0,0,N(INDEX('CURVA PREVISION'!$A$1:$KZ$3000,$C37,10+3*MIN(W$3,$D$2-1)))))</f>
        <v>0</v>
      </c>
      <c r="X37" s="131" t="n">
        <f aca="false">IF(OR($C37="",$B$2="",$D$2=0),0,IF(X$3&lt;0,0,N(INDEX('CURVA PREVISION'!$A$1:$KZ$3000,$C37,10+3*MIN(X$3,$D$2-1)))))</f>
        <v>0</v>
      </c>
      <c r="Y37" s="131" t="n">
        <f aca="false">IF(OR($C37="",$B$2="",$D$2=0),0,IF(Y$3&lt;0,0,N(INDEX('CURVA PREVISION'!$A$1:$KZ$3000,$C37,10+3*MIN(Y$3,$D$2-1)))))</f>
        <v>0</v>
      </c>
      <c r="Z37" s="131" t="n">
        <f aca="false">IF(OR($C37="",$B$2="",$D$2=0),0,IF(Z$3&lt;0,0,N(INDEX('CURVA PREVISION'!$A$1:$KZ$3000,$C37,10+3*MIN(Z$3,$D$2-1)))))</f>
        <v>0</v>
      </c>
      <c r="AA37" s="131" t="n">
        <f aca="false">IF(OR($C37="",$B$2="",$D$2=0),0,IF(AA$3&lt;0,0,N(INDEX('CURVA PREVISION'!$A$1:$KZ$3000,$C37,10+3*MIN(AA$3,$D$2-1)))))</f>
        <v>0</v>
      </c>
      <c r="AB37" s="131" t="n">
        <f aca="false">IF(OR($C37="",$B$2="",$D$2=0),0,IF(AB$3&lt;0,0,N(INDEX('CURVA PREVISION'!$A$1:$KZ$3000,$C37,10+3*MIN(AB$3,$D$2-1)))))</f>
        <v>0</v>
      </c>
      <c r="AC37" s="131" t="n">
        <f aca="false">IF(OR($C37="",$B$2="",$D$2=0),0,IF(AC$3&lt;0,0,N(INDEX('CURVA PREVISION'!$A$1:$KZ$3000,$C37,10+3*MIN(AC$3,$D$2-1)))))</f>
        <v>0</v>
      </c>
      <c r="AD37" s="131" t="n">
        <f aca="false">IF(OR($C37="",$B$2="",$D$2=0),0,IF(AD$3&lt;0,0,N(INDEX('CURVA PREVISION'!$A$1:$KZ$3000,$C37,10+3*MIN(AD$3,$D$2-1)))))</f>
        <v>0</v>
      </c>
      <c r="AE37" s="131" t="n">
        <f aca="false">IF(OR($C37="",$B$2="",$D$2=0),0,IF(AE$3&lt;0,0,N(INDEX('CURVA PREVISION'!$A$1:$KZ$3000,$C37,10+3*MIN(AE$3,$D$2-1)))))</f>
        <v>0</v>
      </c>
      <c r="AF37" s="131" t="n">
        <f aca="false">IF(OR($C37="",$B$2="",$D$2=0),0,IF(AF$3&lt;0,0,N(INDEX('CURVA PREVISION'!$A$1:$KZ$3000,$C37,10+3*MIN(AF$3,$D$2-1)))))</f>
        <v>0</v>
      </c>
      <c r="AG37" s="131" t="n">
        <f aca="false">IF(OR($C37="",$B$2="",$D$2=0),0,IF(AG$3&lt;0,0,N(INDEX('CURVA PREVISION'!$A$1:$KZ$3000,$C37,10+3*MIN(AG$3,$D$2-1)))))</f>
        <v>0</v>
      </c>
      <c r="AH37" s="131" t="n">
        <f aca="false">IF(OR($C37="",$B$2="",$D$2=0),0,IF(AH$3&lt;0,0,N(INDEX('CURVA PREVISION'!$A$1:$KZ$3000,$C37,10+3*MIN(AH$3,$D$2-1)))))</f>
        <v>0</v>
      </c>
      <c r="AI37" s="131" t="n">
        <f aca="false">IF(OR($C37="",$B$2="",$D$2=0),0,IF(AI$3&lt;0,0,N(INDEX('CURVA PREVISION'!$A$1:$KZ$3000,$C37,10+3*MIN(AI$3,$D$2-1)))))</f>
        <v>0</v>
      </c>
      <c r="AJ37" s="131" t="n">
        <f aca="false">IF(OR($C37="",$B$2="",$D$2=0),0,IF(AJ$3&lt;0,0,N(INDEX('CURVA PREVISION'!$A$1:$KZ$3000,$C37,10+3*MIN(AJ$3,$D$2-1)))))</f>
        <v>0</v>
      </c>
      <c r="AK37" s="131" t="n">
        <f aca="false">IF(OR($C37="",$B$2="",$D$2=0),0,IF(AK$3&lt;0,0,N(INDEX('CURVA PREVISION'!$A$1:$KZ$3000,$C37,10+3*MIN(AK$3,$D$2-1)))))</f>
        <v>0</v>
      </c>
      <c r="AL37" s="131" t="n">
        <f aca="false">IF(OR($C37="",$B$2="",$D$2=0),0,IF(AL$3&lt;0,0,N(INDEX('CURVA PREVISION'!$A$1:$KZ$3000,$C37,10+3*MIN(AL$3,$D$2-1)))))</f>
        <v>3.89</v>
      </c>
      <c r="AM37" s="131" t="n">
        <f aca="false">IF(OR($C37="",$B$2="",$D$2=0),0,IF(AM$3&lt;0,0,N(INDEX('CURVA PREVISION'!$A$1:$KZ$3000,$C37,10+3*MIN(AM$3,$D$2-1)))))</f>
        <v>11.59</v>
      </c>
      <c r="AN37" s="131" t="n">
        <f aca="false">IF(OR($C37="",$B$2="",$D$2=0),0,IF(AN$3&lt;0,0,N(INDEX('CURVA PREVISION'!$A$1:$KZ$3000,$C37,10+3*MIN(AN$3,$D$2-1)))))</f>
        <v>18.17</v>
      </c>
      <c r="AO37" s="131" t="n">
        <f aca="false">IF(OR($C37="",$B$2="",$D$2=0),0,IF(AO$3&lt;0,0,N(INDEX('CURVA PREVISION'!$A$1:$KZ$3000,$C37,10+3*MIN(AO$3,$D$2-1)))))</f>
        <v>26.79</v>
      </c>
      <c r="AP37" s="131" t="n">
        <f aca="false">IF(OR($C37="",$B$2="",$D$2=0),0,IF(AP$3&lt;0,0,N(INDEX('CURVA PREVISION'!$A$1:$KZ$3000,$C37,10+3*MIN(AP$3,$D$2-1)))))</f>
        <v>36.81</v>
      </c>
      <c r="AQ37" s="131" t="n">
        <f aca="false">IF(OR($C37="",$B$2="",$D$2=0),0,IF(AQ$3&lt;0,0,N(INDEX('CURVA PREVISION'!$A$1:$KZ$3000,$C37,10+3*MIN(AQ$3,$D$2-1)))))</f>
        <v>53.78</v>
      </c>
      <c r="AR37" s="131" t="n">
        <f aca="false">IF(OR($C37="",$B$2="",$D$2=0),0,IF(AR$3&lt;0,0,N(INDEX('CURVA PREVISION'!$A$1:$KZ$3000,$C37,10+3*MIN(AR$3,$D$2-1)))))</f>
        <v>62.3</v>
      </c>
      <c r="AS37" s="131" t="n">
        <f aca="false">IF(OR($C37="",$B$2="",$D$2=0),0,IF(AS$3&lt;0,0,N(INDEX('CURVA PREVISION'!$A$1:$KZ$3000,$C37,10+3*MIN(AS$3,$D$2-1)))))</f>
        <v>71.51</v>
      </c>
      <c r="AT37" s="131" t="n">
        <f aca="false">IF(OR($C37="",$B$2="",$D$2=0),0,IF(AT$3&lt;0,0,N(INDEX('CURVA PREVISION'!$A$1:$KZ$3000,$C37,10+3*MIN(AT$3,$D$2-1)))))</f>
        <v>79.36</v>
      </c>
      <c r="AU37" s="131" t="n">
        <f aca="false">IF(OR($C37="",$B$2="",$D$2=0),0,IF(AU$3&lt;0,0,N(INDEX('CURVA PREVISION'!$A$1:$KZ$3000,$C37,10+3*MIN(AU$3,$D$2-1)))))</f>
        <v>86.85</v>
      </c>
      <c r="AV37" s="131" t="n">
        <f aca="false">IF(OR($C37="",$B$2="",$D$2=0),0,IF(AV$3&lt;0,0,N(INDEX('CURVA PREVISION'!$A$1:$KZ$3000,$C37,10+3*MIN(AV$3,$D$2-1)))))</f>
        <v>95.1</v>
      </c>
      <c r="AW37" s="131" t="n">
        <f aca="false">IF(OR($C37="",$B$2="",$D$2=0),0,IF(AW$3&lt;0,0,N(INDEX('CURVA PREVISION'!$A$1:$KZ$3000,$C37,10+3*MIN(AW$3,$D$2-1)))))</f>
        <v>96.81</v>
      </c>
      <c r="AX37" s="131" t="n">
        <f aca="false">IF(OR($C37="",$B$2="",$D$2=0),0,IF(AX$3&lt;0,0,N(INDEX('CURVA PREVISION'!$A$1:$KZ$3000,$C37,10+3*MIN(AX$3,$D$2-1)))))</f>
        <v>99.09</v>
      </c>
      <c r="AY37" s="131" t="n">
        <f aca="false">IF(OR($C37="",$B$2="",$D$2=0),0,IF(AY$3&lt;0,0,N(INDEX('CURVA PREVISION'!$A$1:$KZ$3000,$C37,10+3*MIN(AY$3,$D$2-1)))))</f>
        <v>100</v>
      </c>
      <c r="AZ37" s="131" t="n">
        <f aca="false">IF(OR($C37="",$B$2="",$D$2=0),0,IF(AZ$3&lt;0,0,N(INDEX('CURVA PREVISION'!$A$1:$KZ$3000,$C37,10+3*MIN(AZ$3,$D$2-1)))))</f>
        <v>100</v>
      </c>
      <c r="BA37" s="131" t="n">
        <f aca="false">IF(OR($C37="",$B$2="",$D$2=0),0,IF(BA$3&lt;0,0,N(INDEX('CURVA PREVISION'!$A$1:$KZ$3000,$C37,10+3*MIN(BA$3,$D$2-1)))))</f>
        <v>100</v>
      </c>
      <c r="BB37" s="131" t="n">
        <f aca="false">IF(OR($C37="",$B$2="",$D$2=0),0,IF(BB$3&lt;0,0,N(INDEX('CURVA PREVISION'!$A$1:$KZ$3000,$C37,10+3*MIN(BB$3,$D$2-1)))))</f>
        <v>100</v>
      </c>
      <c r="BC37" s="131" t="n">
        <f aca="false">IF(OR($C37="",$B$2="",$D$2=0),0,IF(BC$3&lt;0,0,N(INDEX('CURVA PREVISION'!$A$1:$KZ$3000,$C37,10+3*MIN(BC$3,$D$2-1)))))</f>
        <v>100</v>
      </c>
      <c r="BD37" s="131" t="n">
        <f aca="false">IF(OR($C37="",$B$2="",$D$2=0),0,IF(BD$3&lt;0,0,N(INDEX('CURVA PREVISION'!$A$1:$KZ$3000,$C37,10+3*MIN(BD$3,$D$2-1)))))</f>
        <v>100</v>
      </c>
      <c r="BE37" s="131" t="n">
        <f aca="false">IF(OR($C37="",$B$2="",$D$2=0),0,IF(BE$3&lt;0,0,N(INDEX('CURVA PREVISION'!$A$1:$KZ$3000,$C37,10+3*MIN(BE$3,$D$2-1)))))</f>
        <v>100</v>
      </c>
      <c r="BF37" s="131" t="n">
        <f aca="false">IF(OR($C37="",$B$2="",$D$2=0),0,IF(BF$3&lt;0,0,N(INDEX('CURVA PREVISION'!$A$1:$KZ$3000,$C37,10+3*MIN(BF$3,$D$2-1)))))</f>
        <v>100</v>
      </c>
      <c r="BG37" s="131" t="n">
        <f aca="false">IF(OR($C37="",$B$2="",$D$2=0),0,IF(BG$3&lt;0,0,N(INDEX('CURVA PREVISION'!$A$1:$KZ$3000,$C37,10+3*MIN(BG$3,$D$2-1)))))</f>
        <v>100</v>
      </c>
      <c r="BH37" s="131" t="n">
        <f aca="false">IF(OR($C37="",$B$2="",$D$2=0),0,IF(BH$3&lt;0,0,N(INDEX('CURVA PREVISION'!$A$1:$KZ$3000,$C37,10+3*MIN(BH$3,$D$2-1)))))</f>
        <v>100</v>
      </c>
      <c r="BI37" s="131" t="n">
        <f aca="false">IF(OR($C37="",$B$2="",$D$2=0),0,IF(BI$3&lt;0,0,N(INDEX('CURVA PREVISION'!$A$1:$KZ$3000,$C37,10+3*MIN(BI$3,$D$2-1)))))</f>
        <v>100</v>
      </c>
      <c r="BJ37" s="131" t="n">
        <f aca="false">IF(OR($C37="",$B$2="",$D$2=0),0,IF(BJ$3&lt;0,0,N(INDEX('CURVA PREVISION'!$A$1:$KZ$3000,$C37,10+3*MIN(BJ$3,$D$2-1)))))</f>
        <v>100</v>
      </c>
      <c r="BK37" s="131" t="n">
        <f aca="false">IF(OR($C37="",$B$2="",$D$2=0),0,IF(BK$3&lt;0,0,N(INDEX('CURVA PREVISION'!$A$1:$KZ$3000,$C37,10+3*MIN(BK$3,$D$2-1)))))</f>
        <v>100</v>
      </c>
      <c r="BL37" s="131" t="n">
        <f aca="false">IF(OR($C37="",$B$2="",$D$2=0),0,IF(BL$3&lt;0,0,N(INDEX('CURVA PREVISION'!$A$1:$KZ$3000,$C37,10+3*MIN(BL$3,$D$2-1)))))</f>
        <v>100</v>
      </c>
      <c r="BM37" s="131" t="n">
        <f aca="false">IF(OR($C37="",$B$2="",$D$2=0),0,IF(BM$3&lt;0,0,N(INDEX('CURVA PREVISION'!$A$1:$KZ$3000,$C37,10+3*MIN(BM$3,$D$2-1)))))</f>
        <v>100</v>
      </c>
      <c r="BN37" s="131" t="n">
        <f aca="false">IF(OR($C37="",$B$2="",$D$2=0),0,IF(BN$3&lt;0,0,N(INDEX('CURVA PREVISION'!$A$1:$KZ$3000,$C37,10+3*MIN(BN$3,$D$2-1)))))</f>
        <v>100</v>
      </c>
      <c r="BO37" s="131" t="n">
        <f aca="false">IF(OR($C37="",$B$2="",$D$2=0),0,IF(BO$3&lt;0,0,N(INDEX('CURVA PREVISION'!$A$1:$KZ$3000,$C37,10+3*MIN(BO$3,$D$2-1)))))</f>
        <v>100</v>
      </c>
      <c r="BP37" s="131" t="n">
        <f aca="false">IF(OR($C37="",$B$2="",$D$2=0),0,IF(BP$3&lt;0,0,N(INDEX('CURVA PREVISION'!$A$1:$KZ$3000,$C37,10+3*MIN(BP$3,$D$2-1)))))</f>
        <v>100</v>
      </c>
      <c r="BQ37" s="131" t="n">
        <f aca="false">IF(OR($C37="",$B$2="",$D$2=0),0,IF(BQ$3&lt;0,0,N(INDEX('CURVA PREVISION'!$A$1:$KZ$3000,$C37,10+3*MIN(BQ$3,$D$2-1)))))</f>
        <v>100</v>
      </c>
      <c r="BR37" s="131" t="n">
        <f aca="false">IF(OR($C37="",$B$2="",$D$2=0),0,IF(BR$3&lt;0,0,N(INDEX('CURVA PREVISION'!$A$1:$KZ$3000,$C37,10+3*MIN(BR$3,$D$2-1)))))</f>
        <v>100</v>
      </c>
      <c r="BS37" s="131" t="n">
        <f aca="false">IF(OR($C37="",$B$2="",$D$2=0),0,IF(BS$3&lt;0,0,N(INDEX('CURVA PREVISION'!$A$1:$KZ$3000,$C37,10+3*MIN(BS$3,$D$2-1)))))</f>
        <v>100</v>
      </c>
      <c r="BT37" s="131" t="n">
        <f aca="false">IF(OR($C37="",$B$2="",$D$2=0),0,IF(BT$3&lt;0,0,N(INDEX('CURVA PREVISION'!$A$1:$KZ$3000,$C37,10+3*MIN(BT$3,$D$2-1)))))</f>
        <v>100</v>
      </c>
      <c r="BU37" s="131" t="n">
        <f aca="false">IF(OR($C37="",$B$2="",$D$2=0),0,IF(BU$3&lt;0,0,N(INDEX('CURVA PREVISION'!$A$1:$KZ$3000,$C37,10+3*MIN(BU$3,$D$2-1)))))</f>
        <v>100</v>
      </c>
      <c r="BV37" s="131" t="n">
        <f aca="false">IF(OR($C37="",$B$2="",$D$2=0),0,IF(BV$3&lt;0,0,N(INDEX('CURVA PREVISION'!$A$1:$KZ$3000,$C37,10+3*MIN(BV$3,$D$2-1)))))</f>
        <v>100</v>
      </c>
      <c r="BW37" s="131" t="n">
        <f aca="false">IF(OR($C37="",$B$2="",$D$2=0),0,IF(BW$3&lt;0,0,N(INDEX('CURVA PREVISION'!$A$1:$KZ$3000,$C37,10+3*MIN(BW$3,$D$2-1)))))</f>
        <v>100</v>
      </c>
    </row>
    <row r="38" customFormat="false" ht="15" hidden="false" customHeight="false" outlineLevel="0" collapsed="false">
      <c r="A38" s="57" t="str">
        <f aca="false">IF('VALOR POR PL'!R44&lt;&gt;"",'VALOR POR PL'!R44,IF('VALOR POR PL'!Q44="",'VALOR POR PL'!C44,'VALOR POR PL'!Q44))</f>
        <v>34</v>
      </c>
      <c r="B38" s="57" t="str">
        <f aca="false">'VALOR POR PL'!D44</f>
        <v>LOUÇAS SANITÁRIAS</v>
      </c>
      <c r="C38" s="64" t="n">
        <f aca="false">IFERROR(MATCH(A38,'CURVA PREVISION'!$B$1:$B$3000,0),"")</f>
        <v>823</v>
      </c>
      <c r="D38" s="131" t="n">
        <f aca="false">IF(OR($C38="",$B$2="",$D$2=0),0,IF(D$3&lt;0,0,N(INDEX('CURVA PREVISION'!$A$1:$KZ$3000,$C38,10+3*MIN(D$3,$D$2-1)))))</f>
        <v>0</v>
      </c>
      <c r="E38" s="131" t="n">
        <f aca="false">IF(OR($C38="",$B$2="",$D$2=0),0,IF(E$3&lt;0,0,N(INDEX('CURVA PREVISION'!$A$1:$KZ$3000,$C38,10+3*MIN(E$3,$D$2-1)))))</f>
        <v>0</v>
      </c>
      <c r="F38" s="131" t="n">
        <f aca="false">IF(OR($C38="",$B$2="",$D$2=0),0,IF(F$3&lt;0,0,N(INDEX('CURVA PREVISION'!$A$1:$KZ$3000,$C38,10+3*MIN(F$3,$D$2-1)))))</f>
        <v>0</v>
      </c>
      <c r="G38" s="131" t="n">
        <f aca="false">IF(OR($C38="",$B$2="",$D$2=0),0,IF(G$3&lt;0,0,N(INDEX('CURVA PREVISION'!$A$1:$KZ$3000,$C38,10+3*MIN(G$3,$D$2-1)))))</f>
        <v>0</v>
      </c>
      <c r="H38" s="131" t="n">
        <f aca="false">IF(OR($C38="",$B$2="",$D$2=0),0,IF(H$3&lt;0,0,N(INDEX('CURVA PREVISION'!$A$1:$KZ$3000,$C38,10+3*MIN(H$3,$D$2-1)))))</f>
        <v>0</v>
      </c>
      <c r="I38" s="131" t="n">
        <f aca="false">IF(OR($C38="",$B$2="",$D$2=0),0,IF(I$3&lt;0,0,N(INDEX('CURVA PREVISION'!$A$1:$KZ$3000,$C38,10+3*MIN(I$3,$D$2-1)))))</f>
        <v>0</v>
      </c>
      <c r="J38" s="131" t="n">
        <f aca="false">IF(OR($C38="",$B$2="",$D$2=0),0,IF(J$3&lt;0,0,N(INDEX('CURVA PREVISION'!$A$1:$KZ$3000,$C38,10+3*MIN(J$3,$D$2-1)))))</f>
        <v>0</v>
      </c>
      <c r="K38" s="131" t="n">
        <f aca="false">IF(OR($C38="",$B$2="",$D$2=0),0,IF(K$3&lt;0,0,N(INDEX('CURVA PREVISION'!$A$1:$KZ$3000,$C38,10+3*MIN(K$3,$D$2-1)))))</f>
        <v>0</v>
      </c>
      <c r="L38" s="131" t="n">
        <f aca="false">IF(OR($C38="",$B$2="",$D$2=0),0,IF(L$3&lt;0,0,N(INDEX('CURVA PREVISION'!$A$1:$KZ$3000,$C38,10+3*MIN(L$3,$D$2-1)))))</f>
        <v>0</v>
      </c>
      <c r="M38" s="131" t="n">
        <f aca="false">IF(OR($C38="",$B$2="",$D$2=0),0,IF(M$3&lt;0,0,N(INDEX('CURVA PREVISION'!$A$1:$KZ$3000,$C38,10+3*MIN(M$3,$D$2-1)))))</f>
        <v>0</v>
      </c>
      <c r="N38" s="131" t="n">
        <f aca="false">IF(OR($C38="",$B$2="",$D$2=0),0,IF(N$3&lt;0,0,N(INDEX('CURVA PREVISION'!$A$1:$KZ$3000,$C38,10+3*MIN(N$3,$D$2-1)))))</f>
        <v>0</v>
      </c>
      <c r="O38" s="131" t="n">
        <f aca="false">IF(OR($C38="",$B$2="",$D$2=0),0,IF(O$3&lt;0,0,N(INDEX('CURVA PREVISION'!$A$1:$KZ$3000,$C38,10+3*MIN(O$3,$D$2-1)))))</f>
        <v>0</v>
      </c>
      <c r="P38" s="131" t="n">
        <f aca="false">IF(OR($C38="",$B$2="",$D$2=0),0,IF(P$3&lt;0,0,N(INDEX('CURVA PREVISION'!$A$1:$KZ$3000,$C38,10+3*MIN(P$3,$D$2-1)))))</f>
        <v>0</v>
      </c>
      <c r="Q38" s="131" t="n">
        <f aca="false">IF(OR($C38="",$B$2="",$D$2=0),0,IF(Q$3&lt;0,0,N(INDEX('CURVA PREVISION'!$A$1:$KZ$3000,$C38,10+3*MIN(Q$3,$D$2-1)))))</f>
        <v>0</v>
      </c>
      <c r="R38" s="131" t="n">
        <f aca="false">IF(OR($C38="",$B$2="",$D$2=0),0,IF(R$3&lt;0,0,N(INDEX('CURVA PREVISION'!$A$1:$KZ$3000,$C38,10+3*MIN(R$3,$D$2-1)))))</f>
        <v>0</v>
      </c>
      <c r="S38" s="131" t="n">
        <f aca="false">IF(OR($C38="",$B$2="",$D$2=0),0,IF(S$3&lt;0,0,N(INDEX('CURVA PREVISION'!$A$1:$KZ$3000,$C38,10+3*MIN(S$3,$D$2-1)))))</f>
        <v>0</v>
      </c>
      <c r="T38" s="131" t="n">
        <f aca="false">IF(OR($C38="",$B$2="",$D$2=0),0,IF(T$3&lt;0,0,N(INDEX('CURVA PREVISION'!$A$1:$KZ$3000,$C38,10+3*MIN(T$3,$D$2-1)))))</f>
        <v>0</v>
      </c>
      <c r="U38" s="131" t="n">
        <f aca="false">IF(OR($C38="",$B$2="",$D$2=0),0,IF(U$3&lt;0,0,N(INDEX('CURVA PREVISION'!$A$1:$KZ$3000,$C38,10+3*MIN(U$3,$D$2-1)))))</f>
        <v>0</v>
      </c>
      <c r="V38" s="131" t="n">
        <f aca="false">IF(OR($C38="",$B$2="",$D$2=0),0,IF(V$3&lt;0,0,N(INDEX('CURVA PREVISION'!$A$1:$KZ$3000,$C38,10+3*MIN(V$3,$D$2-1)))))</f>
        <v>0</v>
      </c>
      <c r="W38" s="131" t="n">
        <f aca="false">IF(OR($C38="",$B$2="",$D$2=0),0,IF(W$3&lt;0,0,N(INDEX('CURVA PREVISION'!$A$1:$KZ$3000,$C38,10+3*MIN(W$3,$D$2-1)))))</f>
        <v>0</v>
      </c>
      <c r="X38" s="131" t="n">
        <f aca="false">IF(OR($C38="",$B$2="",$D$2=0),0,IF(X$3&lt;0,0,N(INDEX('CURVA PREVISION'!$A$1:$KZ$3000,$C38,10+3*MIN(X$3,$D$2-1)))))</f>
        <v>0</v>
      </c>
      <c r="Y38" s="131" t="n">
        <f aca="false">IF(OR($C38="",$B$2="",$D$2=0),0,IF(Y$3&lt;0,0,N(INDEX('CURVA PREVISION'!$A$1:$KZ$3000,$C38,10+3*MIN(Y$3,$D$2-1)))))</f>
        <v>0</v>
      </c>
      <c r="Z38" s="131" t="n">
        <f aca="false">IF(OR($C38="",$B$2="",$D$2=0),0,IF(Z$3&lt;0,0,N(INDEX('CURVA PREVISION'!$A$1:$KZ$3000,$C38,10+3*MIN(Z$3,$D$2-1)))))</f>
        <v>0</v>
      </c>
      <c r="AA38" s="131" t="n">
        <f aca="false">IF(OR($C38="",$B$2="",$D$2=0),0,IF(AA$3&lt;0,0,N(INDEX('CURVA PREVISION'!$A$1:$KZ$3000,$C38,10+3*MIN(AA$3,$D$2-1)))))</f>
        <v>0</v>
      </c>
      <c r="AB38" s="131" t="n">
        <f aca="false">IF(OR($C38="",$B$2="",$D$2=0),0,IF(AB$3&lt;0,0,N(INDEX('CURVA PREVISION'!$A$1:$KZ$3000,$C38,10+3*MIN(AB$3,$D$2-1)))))</f>
        <v>0</v>
      </c>
      <c r="AC38" s="131" t="n">
        <f aca="false">IF(OR($C38="",$B$2="",$D$2=0),0,IF(AC$3&lt;0,0,N(INDEX('CURVA PREVISION'!$A$1:$KZ$3000,$C38,10+3*MIN(AC$3,$D$2-1)))))</f>
        <v>0</v>
      </c>
      <c r="AD38" s="131" t="n">
        <f aca="false">IF(OR($C38="",$B$2="",$D$2=0),0,IF(AD$3&lt;0,0,N(INDEX('CURVA PREVISION'!$A$1:$KZ$3000,$C38,10+3*MIN(AD$3,$D$2-1)))))</f>
        <v>0</v>
      </c>
      <c r="AE38" s="131" t="n">
        <f aca="false">IF(OR($C38="",$B$2="",$D$2=0),0,IF(AE$3&lt;0,0,N(INDEX('CURVA PREVISION'!$A$1:$KZ$3000,$C38,10+3*MIN(AE$3,$D$2-1)))))</f>
        <v>0</v>
      </c>
      <c r="AF38" s="131" t="n">
        <f aca="false">IF(OR($C38="",$B$2="",$D$2=0),0,IF(AF$3&lt;0,0,N(INDEX('CURVA PREVISION'!$A$1:$KZ$3000,$C38,10+3*MIN(AF$3,$D$2-1)))))</f>
        <v>0</v>
      </c>
      <c r="AG38" s="131" t="n">
        <f aca="false">IF(OR($C38="",$B$2="",$D$2=0),0,IF(AG$3&lt;0,0,N(INDEX('CURVA PREVISION'!$A$1:$KZ$3000,$C38,10+3*MIN(AG$3,$D$2-1)))))</f>
        <v>0</v>
      </c>
      <c r="AH38" s="131" t="n">
        <f aca="false">IF(OR($C38="",$B$2="",$D$2=0),0,IF(AH$3&lt;0,0,N(INDEX('CURVA PREVISION'!$A$1:$KZ$3000,$C38,10+3*MIN(AH$3,$D$2-1)))))</f>
        <v>0</v>
      </c>
      <c r="AI38" s="131" t="n">
        <f aca="false">IF(OR($C38="",$B$2="",$D$2=0),0,IF(AI$3&lt;0,0,N(INDEX('CURVA PREVISION'!$A$1:$KZ$3000,$C38,10+3*MIN(AI$3,$D$2-1)))))</f>
        <v>0</v>
      </c>
      <c r="AJ38" s="131" t="n">
        <f aca="false">IF(OR($C38="",$B$2="",$D$2=0),0,IF(AJ$3&lt;0,0,N(INDEX('CURVA PREVISION'!$A$1:$KZ$3000,$C38,10+3*MIN(AJ$3,$D$2-1)))))</f>
        <v>0</v>
      </c>
      <c r="AK38" s="131" t="n">
        <f aca="false">IF(OR($C38="",$B$2="",$D$2=0),0,IF(AK$3&lt;0,0,N(INDEX('CURVA PREVISION'!$A$1:$KZ$3000,$C38,10+3*MIN(AK$3,$D$2-1)))))</f>
        <v>0</v>
      </c>
      <c r="AL38" s="131" t="n">
        <f aca="false">IF(OR($C38="",$B$2="",$D$2=0),0,IF(AL$3&lt;0,0,N(INDEX('CURVA PREVISION'!$A$1:$KZ$3000,$C38,10+3*MIN(AL$3,$D$2-1)))))</f>
        <v>0</v>
      </c>
      <c r="AM38" s="131" t="n">
        <f aca="false">IF(OR($C38="",$B$2="",$D$2=0),0,IF(AM$3&lt;0,0,N(INDEX('CURVA PREVISION'!$A$1:$KZ$3000,$C38,10+3*MIN(AM$3,$D$2-1)))))</f>
        <v>0</v>
      </c>
      <c r="AN38" s="131" t="n">
        <f aca="false">IF(OR($C38="",$B$2="",$D$2=0),0,IF(AN$3&lt;0,0,N(INDEX('CURVA PREVISION'!$A$1:$KZ$3000,$C38,10+3*MIN(AN$3,$D$2-1)))))</f>
        <v>0</v>
      </c>
      <c r="AO38" s="131" t="n">
        <f aca="false">IF(OR($C38="",$B$2="",$D$2=0),0,IF(AO$3&lt;0,0,N(INDEX('CURVA PREVISION'!$A$1:$KZ$3000,$C38,10+3*MIN(AO$3,$D$2-1)))))</f>
        <v>0</v>
      </c>
      <c r="AP38" s="131" t="n">
        <f aca="false">IF(OR($C38="",$B$2="",$D$2=0),0,IF(AP$3&lt;0,0,N(INDEX('CURVA PREVISION'!$A$1:$KZ$3000,$C38,10+3*MIN(AP$3,$D$2-1)))))</f>
        <v>0</v>
      </c>
      <c r="AQ38" s="131" t="n">
        <f aca="false">IF(OR($C38="",$B$2="",$D$2=0),0,IF(AQ$3&lt;0,0,N(INDEX('CURVA PREVISION'!$A$1:$KZ$3000,$C38,10+3*MIN(AQ$3,$D$2-1)))))</f>
        <v>9.6</v>
      </c>
      <c r="AR38" s="131" t="n">
        <f aca="false">IF(OR($C38="",$B$2="",$D$2=0),0,IF(AR$3&lt;0,0,N(INDEX('CURVA PREVISION'!$A$1:$KZ$3000,$C38,10+3*MIN(AR$3,$D$2-1)))))</f>
        <v>17.85</v>
      </c>
      <c r="AS38" s="131" t="n">
        <f aca="false">IF(OR($C38="",$B$2="",$D$2=0),0,IF(AS$3&lt;0,0,N(INDEX('CURVA PREVISION'!$A$1:$KZ$3000,$C38,10+3*MIN(AS$3,$D$2-1)))))</f>
        <v>28.5</v>
      </c>
      <c r="AT38" s="131" t="n">
        <f aca="false">IF(OR($C38="",$B$2="",$D$2=0),0,IF(AT$3&lt;0,0,N(INDEX('CURVA PREVISION'!$A$1:$KZ$3000,$C38,10+3*MIN(AT$3,$D$2-1)))))</f>
        <v>38.25</v>
      </c>
      <c r="AU38" s="131" t="n">
        <f aca="false">IF(OR($C38="",$B$2="",$D$2=0),0,IF(AU$3&lt;0,0,N(INDEX('CURVA PREVISION'!$A$1:$KZ$3000,$C38,10+3*MIN(AU$3,$D$2-1)))))</f>
        <v>48.04</v>
      </c>
      <c r="AV38" s="131" t="n">
        <f aca="false">IF(OR($C38="",$B$2="",$D$2=0),0,IF(AV$3&lt;0,0,N(INDEX('CURVA PREVISION'!$A$1:$KZ$3000,$C38,10+3*MIN(AV$3,$D$2-1)))))</f>
        <v>57.97</v>
      </c>
      <c r="AW38" s="131" t="n">
        <f aca="false">IF(OR($C38="",$B$2="",$D$2=0),0,IF(AW$3&lt;0,0,N(INDEX('CURVA PREVISION'!$A$1:$KZ$3000,$C38,10+3*MIN(AW$3,$D$2-1)))))</f>
        <v>66.21</v>
      </c>
      <c r="AX38" s="131" t="n">
        <f aca="false">IF(OR($C38="",$B$2="",$D$2=0),0,IF(AX$3&lt;0,0,N(INDEX('CURVA PREVISION'!$A$1:$KZ$3000,$C38,10+3*MIN(AX$3,$D$2-1)))))</f>
        <v>75.18</v>
      </c>
      <c r="AY38" s="131" t="n">
        <f aca="false">IF(OR($C38="",$B$2="",$D$2=0),0,IF(AY$3&lt;0,0,N(INDEX('CURVA PREVISION'!$A$1:$KZ$3000,$C38,10+3*MIN(AY$3,$D$2-1)))))</f>
        <v>84.2</v>
      </c>
      <c r="AZ38" s="131" t="n">
        <f aca="false">IF(OR($C38="",$B$2="",$D$2=0),0,IF(AZ$3&lt;0,0,N(INDEX('CURVA PREVISION'!$A$1:$KZ$3000,$C38,10+3*MIN(AZ$3,$D$2-1)))))</f>
        <v>90.55</v>
      </c>
      <c r="BA38" s="131" t="n">
        <f aca="false">IF(OR($C38="",$B$2="",$D$2=0),0,IF(BA$3&lt;0,0,N(INDEX('CURVA PREVISION'!$A$1:$KZ$3000,$C38,10+3*MIN(BA$3,$D$2-1)))))</f>
        <v>98.68</v>
      </c>
      <c r="BB38" s="131" t="n">
        <f aca="false">IF(OR($C38="",$B$2="",$D$2=0),0,IF(BB$3&lt;0,0,N(INDEX('CURVA PREVISION'!$A$1:$KZ$3000,$C38,10+3*MIN(BB$3,$D$2-1)))))</f>
        <v>100</v>
      </c>
      <c r="BC38" s="131" t="n">
        <f aca="false">IF(OR($C38="",$B$2="",$D$2=0),0,IF(BC$3&lt;0,0,N(INDEX('CURVA PREVISION'!$A$1:$KZ$3000,$C38,10+3*MIN(BC$3,$D$2-1)))))</f>
        <v>100</v>
      </c>
      <c r="BD38" s="131" t="n">
        <f aca="false">IF(OR($C38="",$B$2="",$D$2=0),0,IF(BD$3&lt;0,0,N(INDEX('CURVA PREVISION'!$A$1:$KZ$3000,$C38,10+3*MIN(BD$3,$D$2-1)))))</f>
        <v>100</v>
      </c>
      <c r="BE38" s="131" t="n">
        <f aca="false">IF(OR($C38="",$B$2="",$D$2=0),0,IF(BE$3&lt;0,0,N(INDEX('CURVA PREVISION'!$A$1:$KZ$3000,$C38,10+3*MIN(BE$3,$D$2-1)))))</f>
        <v>100</v>
      </c>
      <c r="BF38" s="131" t="n">
        <f aca="false">IF(OR($C38="",$B$2="",$D$2=0),0,IF(BF$3&lt;0,0,N(INDEX('CURVA PREVISION'!$A$1:$KZ$3000,$C38,10+3*MIN(BF$3,$D$2-1)))))</f>
        <v>100</v>
      </c>
      <c r="BG38" s="131" t="n">
        <f aca="false">IF(OR($C38="",$B$2="",$D$2=0),0,IF(BG$3&lt;0,0,N(INDEX('CURVA PREVISION'!$A$1:$KZ$3000,$C38,10+3*MIN(BG$3,$D$2-1)))))</f>
        <v>100</v>
      </c>
      <c r="BH38" s="131" t="n">
        <f aca="false">IF(OR($C38="",$B$2="",$D$2=0),0,IF(BH$3&lt;0,0,N(INDEX('CURVA PREVISION'!$A$1:$KZ$3000,$C38,10+3*MIN(BH$3,$D$2-1)))))</f>
        <v>100</v>
      </c>
      <c r="BI38" s="131" t="n">
        <f aca="false">IF(OR($C38="",$B$2="",$D$2=0),0,IF(BI$3&lt;0,0,N(INDEX('CURVA PREVISION'!$A$1:$KZ$3000,$C38,10+3*MIN(BI$3,$D$2-1)))))</f>
        <v>100</v>
      </c>
      <c r="BJ38" s="131" t="n">
        <f aca="false">IF(OR($C38="",$B$2="",$D$2=0),0,IF(BJ$3&lt;0,0,N(INDEX('CURVA PREVISION'!$A$1:$KZ$3000,$C38,10+3*MIN(BJ$3,$D$2-1)))))</f>
        <v>100</v>
      </c>
      <c r="BK38" s="131" t="n">
        <f aca="false">IF(OR($C38="",$B$2="",$D$2=0),0,IF(BK$3&lt;0,0,N(INDEX('CURVA PREVISION'!$A$1:$KZ$3000,$C38,10+3*MIN(BK$3,$D$2-1)))))</f>
        <v>100</v>
      </c>
      <c r="BL38" s="131" t="n">
        <f aca="false">IF(OR($C38="",$B$2="",$D$2=0),0,IF(BL$3&lt;0,0,N(INDEX('CURVA PREVISION'!$A$1:$KZ$3000,$C38,10+3*MIN(BL$3,$D$2-1)))))</f>
        <v>100</v>
      </c>
      <c r="BM38" s="131" t="n">
        <f aca="false">IF(OR($C38="",$B$2="",$D$2=0),0,IF(BM$3&lt;0,0,N(INDEX('CURVA PREVISION'!$A$1:$KZ$3000,$C38,10+3*MIN(BM$3,$D$2-1)))))</f>
        <v>100</v>
      </c>
      <c r="BN38" s="131" t="n">
        <f aca="false">IF(OR($C38="",$B$2="",$D$2=0),0,IF(BN$3&lt;0,0,N(INDEX('CURVA PREVISION'!$A$1:$KZ$3000,$C38,10+3*MIN(BN$3,$D$2-1)))))</f>
        <v>100</v>
      </c>
      <c r="BO38" s="131" t="n">
        <f aca="false">IF(OR($C38="",$B$2="",$D$2=0),0,IF(BO$3&lt;0,0,N(INDEX('CURVA PREVISION'!$A$1:$KZ$3000,$C38,10+3*MIN(BO$3,$D$2-1)))))</f>
        <v>100</v>
      </c>
      <c r="BP38" s="131" t="n">
        <f aca="false">IF(OR($C38="",$B$2="",$D$2=0),0,IF(BP$3&lt;0,0,N(INDEX('CURVA PREVISION'!$A$1:$KZ$3000,$C38,10+3*MIN(BP$3,$D$2-1)))))</f>
        <v>100</v>
      </c>
      <c r="BQ38" s="131" t="n">
        <f aca="false">IF(OR($C38="",$B$2="",$D$2=0),0,IF(BQ$3&lt;0,0,N(INDEX('CURVA PREVISION'!$A$1:$KZ$3000,$C38,10+3*MIN(BQ$3,$D$2-1)))))</f>
        <v>100</v>
      </c>
      <c r="BR38" s="131" t="n">
        <f aca="false">IF(OR($C38="",$B$2="",$D$2=0),0,IF(BR$3&lt;0,0,N(INDEX('CURVA PREVISION'!$A$1:$KZ$3000,$C38,10+3*MIN(BR$3,$D$2-1)))))</f>
        <v>100</v>
      </c>
      <c r="BS38" s="131" t="n">
        <f aca="false">IF(OR($C38="",$B$2="",$D$2=0),0,IF(BS$3&lt;0,0,N(INDEX('CURVA PREVISION'!$A$1:$KZ$3000,$C38,10+3*MIN(BS$3,$D$2-1)))))</f>
        <v>100</v>
      </c>
      <c r="BT38" s="131" t="n">
        <f aca="false">IF(OR($C38="",$B$2="",$D$2=0),0,IF(BT$3&lt;0,0,N(INDEX('CURVA PREVISION'!$A$1:$KZ$3000,$C38,10+3*MIN(BT$3,$D$2-1)))))</f>
        <v>100</v>
      </c>
      <c r="BU38" s="131" t="n">
        <f aca="false">IF(OR($C38="",$B$2="",$D$2=0),0,IF(BU$3&lt;0,0,N(INDEX('CURVA PREVISION'!$A$1:$KZ$3000,$C38,10+3*MIN(BU$3,$D$2-1)))))</f>
        <v>100</v>
      </c>
      <c r="BV38" s="131" t="n">
        <f aca="false">IF(OR($C38="",$B$2="",$D$2=0),0,IF(BV$3&lt;0,0,N(INDEX('CURVA PREVISION'!$A$1:$KZ$3000,$C38,10+3*MIN(BV$3,$D$2-1)))))</f>
        <v>100</v>
      </c>
      <c r="BW38" s="131" t="n">
        <f aca="false">IF(OR($C38="",$B$2="",$D$2=0),0,IF(BW$3&lt;0,0,N(INDEX('CURVA PREVISION'!$A$1:$KZ$3000,$C38,10+3*MIN(BW$3,$D$2-1)))))</f>
        <v>100</v>
      </c>
    </row>
    <row r="39" customFormat="false" ht="15" hidden="false" customHeight="false" outlineLevel="0" collapsed="false">
      <c r="A39" s="57" t="str">
        <f aca="false">IF('VALOR POR PL'!R45&lt;&gt;"",'VALOR POR PL'!R45,IF('VALOR POR PL'!Q45="",'VALOR POR PL'!C45,'VALOR POR PL'!Q45))</f>
        <v>35</v>
      </c>
      <c r="B39" s="57" t="str">
        <f aca="false">'VALOR POR PL'!D45</f>
        <v>PINTURA</v>
      </c>
      <c r="C39" s="64" t="n">
        <f aca="false">IFERROR(MATCH(A39,'CURVA PREVISION'!$B$1:$B$3000,0),"")</f>
        <v>892</v>
      </c>
      <c r="D39" s="131" t="n">
        <f aca="false">IF(OR($C39="",$B$2="",$D$2=0),0,IF(D$3&lt;0,0,N(INDEX('CURVA PREVISION'!$A$1:$KZ$3000,$C39,10+3*MIN(D$3,$D$2-1)))))</f>
        <v>0</v>
      </c>
      <c r="E39" s="131" t="n">
        <f aca="false">IF(OR($C39="",$B$2="",$D$2=0),0,IF(E$3&lt;0,0,N(INDEX('CURVA PREVISION'!$A$1:$KZ$3000,$C39,10+3*MIN(E$3,$D$2-1)))))</f>
        <v>0</v>
      </c>
      <c r="F39" s="131" t="n">
        <f aca="false">IF(OR($C39="",$B$2="",$D$2=0),0,IF(F$3&lt;0,0,N(INDEX('CURVA PREVISION'!$A$1:$KZ$3000,$C39,10+3*MIN(F$3,$D$2-1)))))</f>
        <v>0</v>
      </c>
      <c r="G39" s="131" t="n">
        <f aca="false">IF(OR($C39="",$B$2="",$D$2=0),0,IF(G$3&lt;0,0,N(INDEX('CURVA PREVISION'!$A$1:$KZ$3000,$C39,10+3*MIN(G$3,$D$2-1)))))</f>
        <v>0</v>
      </c>
      <c r="H39" s="131" t="n">
        <f aca="false">IF(OR($C39="",$B$2="",$D$2=0),0,IF(H$3&lt;0,0,N(INDEX('CURVA PREVISION'!$A$1:$KZ$3000,$C39,10+3*MIN(H$3,$D$2-1)))))</f>
        <v>0</v>
      </c>
      <c r="I39" s="131" t="n">
        <f aca="false">IF(OR($C39="",$B$2="",$D$2=0),0,IF(I$3&lt;0,0,N(INDEX('CURVA PREVISION'!$A$1:$KZ$3000,$C39,10+3*MIN(I$3,$D$2-1)))))</f>
        <v>0</v>
      </c>
      <c r="J39" s="131" t="n">
        <f aca="false">IF(OR($C39="",$B$2="",$D$2=0),0,IF(J$3&lt;0,0,N(INDEX('CURVA PREVISION'!$A$1:$KZ$3000,$C39,10+3*MIN(J$3,$D$2-1)))))</f>
        <v>0</v>
      </c>
      <c r="K39" s="131" t="n">
        <f aca="false">IF(OR($C39="",$B$2="",$D$2=0),0,IF(K$3&lt;0,0,N(INDEX('CURVA PREVISION'!$A$1:$KZ$3000,$C39,10+3*MIN(K$3,$D$2-1)))))</f>
        <v>0</v>
      </c>
      <c r="L39" s="131" t="n">
        <f aca="false">IF(OR($C39="",$B$2="",$D$2=0),0,IF(L$3&lt;0,0,N(INDEX('CURVA PREVISION'!$A$1:$KZ$3000,$C39,10+3*MIN(L$3,$D$2-1)))))</f>
        <v>0</v>
      </c>
      <c r="M39" s="131" t="n">
        <f aca="false">IF(OR($C39="",$B$2="",$D$2=0),0,IF(M$3&lt;0,0,N(INDEX('CURVA PREVISION'!$A$1:$KZ$3000,$C39,10+3*MIN(M$3,$D$2-1)))))</f>
        <v>0</v>
      </c>
      <c r="N39" s="131" t="n">
        <f aca="false">IF(OR($C39="",$B$2="",$D$2=0),0,IF(N$3&lt;0,0,N(INDEX('CURVA PREVISION'!$A$1:$KZ$3000,$C39,10+3*MIN(N$3,$D$2-1)))))</f>
        <v>0</v>
      </c>
      <c r="O39" s="131" t="n">
        <f aca="false">IF(OR($C39="",$B$2="",$D$2=0),0,IF(O$3&lt;0,0,N(INDEX('CURVA PREVISION'!$A$1:$KZ$3000,$C39,10+3*MIN(O$3,$D$2-1)))))</f>
        <v>0</v>
      </c>
      <c r="P39" s="131" t="n">
        <f aca="false">IF(OR($C39="",$B$2="",$D$2=0),0,IF(P$3&lt;0,0,N(INDEX('CURVA PREVISION'!$A$1:$KZ$3000,$C39,10+3*MIN(P$3,$D$2-1)))))</f>
        <v>0</v>
      </c>
      <c r="Q39" s="131" t="n">
        <f aca="false">IF(OR($C39="",$B$2="",$D$2=0),0,IF(Q$3&lt;0,0,N(INDEX('CURVA PREVISION'!$A$1:$KZ$3000,$C39,10+3*MIN(Q$3,$D$2-1)))))</f>
        <v>0</v>
      </c>
      <c r="R39" s="131" t="n">
        <f aca="false">IF(OR($C39="",$B$2="",$D$2=0),0,IF(R$3&lt;0,0,N(INDEX('CURVA PREVISION'!$A$1:$KZ$3000,$C39,10+3*MIN(R$3,$D$2-1)))))</f>
        <v>0</v>
      </c>
      <c r="S39" s="131" t="n">
        <f aca="false">IF(OR($C39="",$B$2="",$D$2=0),0,IF(S$3&lt;0,0,N(INDEX('CURVA PREVISION'!$A$1:$KZ$3000,$C39,10+3*MIN(S$3,$D$2-1)))))</f>
        <v>0</v>
      </c>
      <c r="T39" s="131" t="n">
        <f aca="false">IF(OR($C39="",$B$2="",$D$2=0),0,IF(T$3&lt;0,0,N(INDEX('CURVA PREVISION'!$A$1:$KZ$3000,$C39,10+3*MIN(T$3,$D$2-1)))))</f>
        <v>0</v>
      </c>
      <c r="U39" s="131" t="n">
        <f aca="false">IF(OR($C39="",$B$2="",$D$2=0),0,IF(U$3&lt;0,0,N(INDEX('CURVA PREVISION'!$A$1:$KZ$3000,$C39,10+3*MIN(U$3,$D$2-1)))))</f>
        <v>0</v>
      </c>
      <c r="V39" s="131" t="n">
        <f aca="false">IF(OR($C39="",$B$2="",$D$2=0),0,IF(V$3&lt;0,0,N(INDEX('CURVA PREVISION'!$A$1:$KZ$3000,$C39,10+3*MIN(V$3,$D$2-1)))))</f>
        <v>0</v>
      </c>
      <c r="W39" s="131" t="n">
        <f aca="false">IF(OR($C39="",$B$2="",$D$2=0),0,IF(W$3&lt;0,0,N(INDEX('CURVA PREVISION'!$A$1:$KZ$3000,$C39,10+3*MIN(W$3,$D$2-1)))))</f>
        <v>0</v>
      </c>
      <c r="X39" s="131" t="n">
        <f aca="false">IF(OR($C39="",$B$2="",$D$2=0),0,IF(X$3&lt;0,0,N(INDEX('CURVA PREVISION'!$A$1:$KZ$3000,$C39,10+3*MIN(X$3,$D$2-1)))))</f>
        <v>0</v>
      </c>
      <c r="Y39" s="131" t="n">
        <f aca="false">IF(OR($C39="",$B$2="",$D$2=0),0,IF(Y$3&lt;0,0,N(INDEX('CURVA PREVISION'!$A$1:$KZ$3000,$C39,10+3*MIN(Y$3,$D$2-1)))))</f>
        <v>0</v>
      </c>
      <c r="Z39" s="131" t="n">
        <f aca="false">IF(OR($C39="",$B$2="",$D$2=0),0,IF(Z$3&lt;0,0,N(INDEX('CURVA PREVISION'!$A$1:$KZ$3000,$C39,10+3*MIN(Z$3,$D$2-1)))))</f>
        <v>0.92</v>
      </c>
      <c r="AA39" s="131" t="n">
        <f aca="false">IF(OR($C39="",$B$2="",$D$2=0),0,IF(AA$3&lt;0,0,N(INDEX('CURVA PREVISION'!$A$1:$KZ$3000,$C39,10+3*MIN(AA$3,$D$2-1)))))</f>
        <v>2.65</v>
      </c>
      <c r="AB39" s="131" t="n">
        <f aca="false">IF(OR($C39="",$B$2="",$D$2=0),0,IF(AB$3&lt;0,0,N(INDEX('CURVA PREVISION'!$A$1:$KZ$3000,$C39,10+3*MIN(AB$3,$D$2-1)))))</f>
        <v>4.12</v>
      </c>
      <c r="AC39" s="131" t="n">
        <f aca="false">IF(OR($C39="",$B$2="",$D$2=0),0,IF(AC$3&lt;0,0,N(INDEX('CURVA PREVISION'!$A$1:$KZ$3000,$C39,10+3*MIN(AC$3,$D$2-1)))))</f>
        <v>6.59</v>
      </c>
      <c r="AD39" s="131" t="n">
        <f aca="false">IF(OR($C39="",$B$2="",$D$2=0),0,IF(AD$3&lt;0,0,N(INDEX('CURVA PREVISION'!$A$1:$KZ$3000,$C39,10+3*MIN(AD$3,$D$2-1)))))</f>
        <v>9.06</v>
      </c>
      <c r="AE39" s="131" t="n">
        <f aca="false">IF(OR($C39="",$B$2="",$D$2=0),0,IF(AE$3&lt;0,0,N(INDEX('CURVA PREVISION'!$A$1:$KZ$3000,$C39,10+3*MIN(AE$3,$D$2-1)))))</f>
        <v>11.53</v>
      </c>
      <c r="AF39" s="131" t="n">
        <f aca="false">IF(OR($C39="",$B$2="",$D$2=0),0,IF(AF$3&lt;0,0,N(INDEX('CURVA PREVISION'!$A$1:$KZ$3000,$C39,10+3*MIN(AF$3,$D$2-1)))))</f>
        <v>14.21</v>
      </c>
      <c r="AG39" s="131" t="n">
        <f aca="false">IF(OR($C39="",$B$2="",$D$2=0),0,IF(AG$3&lt;0,0,N(INDEX('CURVA PREVISION'!$A$1:$KZ$3000,$C39,10+3*MIN(AG$3,$D$2-1)))))</f>
        <v>14.99</v>
      </c>
      <c r="AH39" s="131" t="n">
        <f aca="false">IF(OR($C39="",$B$2="",$D$2=0),0,IF(AH$3&lt;0,0,N(INDEX('CURVA PREVISION'!$A$1:$KZ$3000,$C39,10+3*MIN(AH$3,$D$2-1)))))</f>
        <v>14.99</v>
      </c>
      <c r="AI39" s="131" t="n">
        <f aca="false">IF(OR($C39="",$B$2="",$D$2=0),0,IF(AI$3&lt;0,0,N(INDEX('CURVA PREVISION'!$A$1:$KZ$3000,$C39,10+3*MIN(AI$3,$D$2-1)))))</f>
        <v>14.99</v>
      </c>
      <c r="AJ39" s="131" t="n">
        <f aca="false">IF(OR($C39="",$B$2="",$D$2=0),0,IF(AJ$3&lt;0,0,N(INDEX('CURVA PREVISION'!$A$1:$KZ$3000,$C39,10+3*MIN(AJ$3,$D$2-1)))))</f>
        <v>14.99</v>
      </c>
      <c r="AK39" s="131" t="n">
        <f aca="false">IF(OR($C39="",$B$2="",$D$2=0),0,IF(AK$3&lt;0,0,N(INDEX('CURVA PREVISION'!$A$1:$KZ$3000,$C39,10+3*MIN(AK$3,$D$2-1)))))</f>
        <v>14.99</v>
      </c>
      <c r="AL39" s="131" t="n">
        <f aca="false">IF(OR($C39="",$B$2="",$D$2=0),0,IF(AL$3&lt;0,0,N(INDEX('CURVA PREVISION'!$A$1:$KZ$3000,$C39,10+3*MIN(AL$3,$D$2-1)))))</f>
        <v>14.99</v>
      </c>
      <c r="AM39" s="131" t="n">
        <f aca="false">IF(OR($C39="",$B$2="",$D$2=0),0,IF(AM$3&lt;0,0,N(INDEX('CURVA PREVISION'!$A$1:$KZ$3000,$C39,10+3*MIN(AM$3,$D$2-1)))))</f>
        <v>14.99</v>
      </c>
      <c r="AN39" s="131" t="n">
        <f aca="false">IF(OR($C39="",$B$2="",$D$2=0),0,IF(AN$3&lt;0,0,N(INDEX('CURVA PREVISION'!$A$1:$KZ$3000,$C39,10+3*MIN(AN$3,$D$2-1)))))</f>
        <v>14.99</v>
      </c>
      <c r="AO39" s="131" t="n">
        <f aca="false">IF(OR($C39="",$B$2="",$D$2=0),0,IF(AO$3&lt;0,0,N(INDEX('CURVA PREVISION'!$A$1:$KZ$3000,$C39,10+3*MIN(AO$3,$D$2-1)))))</f>
        <v>16.23</v>
      </c>
      <c r="AP39" s="131" t="n">
        <f aca="false">IF(OR($C39="",$B$2="",$D$2=0),0,IF(AP$3&lt;0,0,N(INDEX('CURVA PREVISION'!$A$1:$KZ$3000,$C39,10+3*MIN(AP$3,$D$2-1)))))</f>
        <v>17.97</v>
      </c>
      <c r="AQ39" s="131" t="n">
        <f aca="false">IF(OR($C39="",$B$2="",$D$2=0),0,IF(AQ$3&lt;0,0,N(INDEX('CURVA PREVISION'!$A$1:$KZ$3000,$C39,10+3*MIN(AQ$3,$D$2-1)))))</f>
        <v>20.41</v>
      </c>
      <c r="AR39" s="131" t="n">
        <f aca="false">IF(OR($C39="",$B$2="",$D$2=0),0,IF(AR$3&lt;0,0,N(INDEX('CURVA PREVISION'!$A$1:$KZ$3000,$C39,10+3*MIN(AR$3,$D$2-1)))))</f>
        <v>24.42</v>
      </c>
      <c r="AS39" s="131" t="n">
        <f aca="false">IF(OR($C39="",$B$2="",$D$2=0),0,IF(AS$3&lt;0,0,N(INDEX('CURVA PREVISION'!$A$1:$KZ$3000,$C39,10+3*MIN(AS$3,$D$2-1)))))</f>
        <v>33.71</v>
      </c>
      <c r="AT39" s="131" t="n">
        <f aca="false">IF(OR($C39="",$B$2="",$D$2=0),0,IF(AT$3&lt;0,0,N(INDEX('CURVA PREVISION'!$A$1:$KZ$3000,$C39,10+3*MIN(AT$3,$D$2-1)))))</f>
        <v>42.73</v>
      </c>
      <c r="AU39" s="131" t="n">
        <f aca="false">IF(OR($C39="",$B$2="",$D$2=0),0,IF(AU$3&lt;0,0,N(INDEX('CURVA PREVISION'!$A$1:$KZ$3000,$C39,10+3*MIN(AU$3,$D$2-1)))))</f>
        <v>48.89</v>
      </c>
      <c r="AV39" s="131" t="n">
        <f aca="false">IF(OR($C39="",$B$2="",$D$2=0),0,IF(AV$3&lt;0,0,N(INDEX('CURVA PREVISION'!$A$1:$KZ$3000,$C39,10+3*MIN(AV$3,$D$2-1)))))</f>
        <v>55.02</v>
      </c>
      <c r="AW39" s="131" t="n">
        <f aca="false">IF(OR($C39="",$B$2="",$D$2=0),0,IF(AW$3&lt;0,0,N(INDEX('CURVA PREVISION'!$A$1:$KZ$3000,$C39,10+3*MIN(AW$3,$D$2-1)))))</f>
        <v>61.92</v>
      </c>
      <c r="AX39" s="131" t="n">
        <f aca="false">IF(OR($C39="",$B$2="",$D$2=0),0,IF(AX$3&lt;0,0,N(INDEX('CURVA PREVISION'!$A$1:$KZ$3000,$C39,10+3*MIN(AX$3,$D$2-1)))))</f>
        <v>69.41</v>
      </c>
      <c r="AY39" s="131" t="n">
        <f aca="false">IF(OR($C39="",$B$2="",$D$2=0),0,IF(AY$3&lt;0,0,N(INDEX('CURVA PREVISION'!$A$1:$KZ$3000,$C39,10+3*MIN(AY$3,$D$2-1)))))</f>
        <v>76.93</v>
      </c>
      <c r="AZ39" s="131" t="n">
        <f aca="false">IF(OR($C39="",$B$2="",$D$2=0),0,IF(AZ$3&lt;0,0,N(INDEX('CURVA PREVISION'!$A$1:$KZ$3000,$C39,10+3*MIN(AZ$3,$D$2-1)))))</f>
        <v>81.96</v>
      </c>
      <c r="BA39" s="131" t="n">
        <f aca="false">IF(OR($C39="",$B$2="",$D$2=0),0,IF(BA$3&lt;0,0,N(INDEX('CURVA PREVISION'!$A$1:$KZ$3000,$C39,10+3*MIN(BA$3,$D$2-1)))))</f>
        <v>89.78</v>
      </c>
      <c r="BB39" s="131" t="n">
        <f aca="false">IF(OR($C39="",$B$2="",$D$2=0),0,IF(BB$3&lt;0,0,N(INDEX('CURVA PREVISION'!$A$1:$KZ$3000,$C39,10+3*MIN(BB$3,$D$2-1)))))</f>
        <v>95.38</v>
      </c>
      <c r="BC39" s="131" t="n">
        <f aca="false">IF(OR($C39="",$B$2="",$D$2=0),0,IF(BC$3&lt;0,0,N(INDEX('CURVA PREVISION'!$A$1:$KZ$3000,$C39,10+3*MIN(BC$3,$D$2-1)))))</f>
        <v>98.44</v>
      </c>
      <c r="BD39" s="131" t="n">
        <f aca="false">IF(OR($C39="",$B$2="",$D$2=0),0,IF(BD$3&lt;0,0,N(INDEX('CURVA PREVISION'!$A$1:$KZ$3000,$C39,10+3*MIN(BD$3,$D$2-1)))))</f>
        <v>98.46</v>
      </c>
      <c r="BE39" s="131" t="n">
        <f aca="false">IF(OR($C39="",$B$2="",$D$2=0),0,IF(BE$3&lt;0,0,N(INDEX('CURVA PREVISION'!$A$1:$KZ$3000,$C39,10+3*MIN(BE$3,$D$2-1)))))</f>
        <v>98.46</v>
      </c>
      <c r="BF39" s="131" t="n">
        <f aca="false">IF(OR($C39="",$B$2="",$D$2=0),0,IF(BF$3&lt;0,0,N(INDEX('CURVA PREVISION'!$A$1:$KZ$3000,$C39,10+3*MIN(BF$3,$D$2-1)))))</f>
        <v>98.46</v>
      </c>
      <c r="BG39" s="131" t="n">
        <f aca="false">IF(OR($C39="",$B$2="",$D$2=0),0,IF(BG$3&lt;0,0,N(INDEX('CURVA PREVISION'!$A$1:$KZ$3000,$C39,10+3*MIN(BG$3,$D$2-1)))))</f>
        <v>98.46</v>
      </c>
      <c r="BH39" s="131" t="n">
        <f aca="false">IF(OR($C39="",$B$2="",$D$2=0),0,IF(BH$3&lt;0,0,N(INDEX('CURVA PREVISION'!$A$1:$KZ$3000,$C39,10+3*MIN(BH$3,$D$2-1)))))</f>
        <v>98.46</v>
      </c>
      <c r="BI39" s="131" t="n">
        <f aca="false">IF(OR($C39="",$B$2="",$D$2=0),0,IF(BI$3&lt;0,0,N(INDEX('CURVA PREVISION'!$A$1:$KZ$3000,$C39,10+3*MIN(BI$3,$D$2-1)))))</f>
        <v>98.46</v>
      </c>
      <c r="BJ39" s="131" t="n">
        <f aca="false">IF(OR($C39="",$B$2="",$D$2=0),0,IF(BJ$3&lt;0,0,N(INDEX('CURVA PREVISION'!$A$1:$KZ$3000,$C39,10+3*MIN(BJ$3,$D$2-1)))))</f>
        <v>98.46</v>
      </c>
      <c r="BK39" s="131" t="n">
        <f aca="false">IF(OR($C39="",$B$2="",$D$2=0),0,IF(BK$3&lt;0,0,N(INDEX('CURVA PREVISION'!$A$1:$KZ$3000,$C39,10+3*MIN(BK$3,$D$2-1)))))</f>
        <v>98.46</v>
      </c>
      <c r="BL39" s="131" t="n">
        <f aca="false">IF(OR($C39="",$B$2="",$D$2=0),0,IF(BL$3&lt;0,0,N(INDEX('CURVA PREVISION'!$A$1:$KZ$3000,$C39,10+3*MIN(BL$3,$D$2-1)))))</f>
        <v>98.46</v>
      </c>
      <c r="BM39" s="131" t="n">
        <f aca="false">IF(OR($C39="",$B$2="",$D$2=0),0,IF(BM$3&lt;0,0,N(INDEX('CURVA PREVISION'!$A$1:$KZ$3000,$C39,10+3*MIN(BM$3,$D$2-1)))))</f>
        <v>98.46</v>
      </c>
      <c r="BN39" s="131" t="n">
        <f aca="false">IF(OR($C39="",$B$2="",$D$2=0),0,IF(BN$3&lt;0,0,N(INDEX('CURVA PREVISION'!$A$1:$KZ$3000,$C39,10+3*MIN(BN$3,$D$2-1)))))</f>
        <v>98.46</v>
      </c>
      <c r="BO39" s="131" t="n">
        <f aca="false">IF(OR($C39="",$B$2="",$D$2=0),0,IF(BO$3&lt;0,0,N(INDEX('CURVA PREVISION'!$A$1:$KZ$3000,$C39,10+3*MIN(BO$3,$D$2-1)))))</f>
        <v>98.46</v>
      </c>
      <c r="BP39" s="131" t="n">
        <f aca="false">IF(OR($C39="",$B$2="",$D$2=0),0,IF(BP$3&lt;0,0,N(INDEX('CURVA PREVISION'!$A$1:$KZ$3000,$C39,10+3*MIN(BP$3,$D$2-1)))))</f>
        <v>98.46</v>
      </c>
      <c r="BQ39" s="131" t="n">
        <f aca="false">IF(OR($C39="",$B$2="",$D$2=0),0,IF(BQ$3&lt;0,0,N(INDEX('CURVA PREVISION'!$A$1:$KZ$3000,$C39,10+3*MIN(BQ$3,$D$2-1)))))</f>
        <v>98.46</v>
      </c>
      <c r="BR39" s="131" t="n">
        <f aca="false">IF(OR($C39="",$B$2="",$D$2=0),0,IF(BR$3&lt;0,0,N(INDEX('CURVA PREVISION'!$A$1:$KZ$3000,$C39,10+3*MIN(BR$3,$D$2-1)))))</f>
        <v>98.46</v>
      </c>
      <c r="BS39" s="131" t="n">
        <f aca="false">IF(OR($C39="",$B$2="",$D$2=0),0,IF(BS$3&lt;0,0,N(INDEX('CURVA PREVISION'!$A$1:$KZ$3000,$C39,10+3*MIN(BS$3,$D$2-1)))))</f>
        <v>98.46</v>
      </c>
      <c r="BT39" s="131" t="n">
        <f aca="false">IF(OR($C39="",$B$2="",$D$2=0),0,IF(BT$3&lt;0,0,N(INDEX('CURVA PREVISION'!$A$1:$KZ$3000,$C39,10+3*MIN(BT$3,$D$2-1)))))</f>
        <v>98.46</v>
      </c>
      <c r="BU39" s="131" t="n">
        <f aca="false">IF(OR($C39="",$B$2="",$D$2=0),0,IF(BU$3&lt;0,0,N(INDEX('CURVA PREVISION'!$A$1:$KZ$3000,$C39,10+3*MIN(BU$3,$D$2-1)))))</f>
        <v>98.46</v>
      </c>
      <c r="BV39" s="131" t="n">
        <f aca="false">IF(OR($C39="",$B$2="",$D$2=0),0,IF(BV$3&lt;0,0,N(INDEX('CURVA PREVISION'!$A$1:$KZ$3000,$C39,10+3*MIN(BV$3,$D$2-1)))))</f>
        <v>98.46</v>
      </c>
      <c r="BW39" s="131" t="n">
        <f aca="false">IF(OR($C39="",$B$2="",$D$2=0),0,IF(BW$3&lt;0,0,N(INDEX('CURVA PREVISION'!$A$1:$KZ$3000,$C39,10+3*MIN(BW$3,$D$2-1)))))</f>
        <v>98.46</v>
      </c>
    </row>
    <row r="40" customFormat="false" ht="15" hidden="false" customHeight="false" outlineLevel="0" collapsed="false">
      <c r="A40" s="57" t="str">
        <f aca="false">IF('VALOR POR PL'!R46&lt;&gt;"",'VALOR POR PL'!R46,IF('VALOR POR PL'!Q46="",'VALOR POR PL'!C46,'VALOR POR PL'!Q46))</f>
        <v>36</v>
      </c>
      <c r="B40" s="57" t="str">
        <f aca="false">'VALOR POR PL'!D46</f>
        <v>PAISAGISMO</v>
      </c>
      <c r="C40" s="64" t="n">
        <f aca="false">IFERROR(MATCH(A40,'CURVA PREVISION'!$B$1:$B$3000,0),"")</f>
        <v>919</v>
      </c>
      <c r="D40" s="131" t="n">
        <f aca="false">IF(OR($C40="",$B$2="",$D$2=0),0,IF(D$3&lt;0,0,N(INDEX('CURVA PREVISION'!$A$1:$KZ$3000,$C40,10+3*MIN(D$3,$D$2-1)))))</f>
        <v>0</v>
      </c>
      <c r="E40" s="131" t="n">
        <f aca="false">IF(OR($C40="",$B$2="",$D$2=0),0,IF(E$3&lt;0,0,N(INDEX('CURVA PREVISION'!$A$1:$KZ$3000,$C40,10+3*MIN(E$3,$D$2-1)))))</f>
        <v>0</v>
      </c>
      <c r="F40" s="131" t="n">
        <f aca="false">IF(OR($C40="",$B$2="",$D$2=0),0,IF(F$3&lt;0,0,N(INDEX('CURVA PREVISION'!$A$1:$KZ$3000,$C40,10+3*MIN(F$3,$D$2-1)))))</f>
        <v>0</v>
      </c>
      <c r="G40" s="131" t="n">
        <f aca="false">IF(OR($C40="",$B$2="",$D$2=0),0,IF(G$3&lt;0,0,N(INDEX('CURVA PREVISION'!$A$1:$KZ$3000,$C40,10+3*MIN(G$3,$D$2-1)))))</f>
        <v>0</v>
      </c>
      <c r="H40" s="131" t="n">
        <f aca="false">IF(OR($C40="",$B$2="",$D$2=0),0,IF(H$3&lt;0,0,N(INDEX('CURVA PREVISION'!$A$1:$KZ$3000,$C40,10+3*MIN(H$3,$D$2-1)))))</f>
        <v>0</v>
      </c>
      <c r="I40" s="131" t="n">
        <f aca="false">IF(OR($C40="",$B$2="",$D$2=0),0,IF(I$3&lt;0,0,N(INDEX('CURVA PREVISION'!$A$1:$KZ$3000,$C40,10+3*MIN(I$3,$D$2-1)))))</f>
        <v>0</v>
      </c>
      <c r="J40" s="131" t="n">
        <f aca="false">IF(OR($C40="",$B$2="",$D$2=0),0,IF(J$3&lt;0,0,N(INDEX('CURVA PREVISION'!$A$1:$KZ$3000,$C40,10+3*MIN(J$3,$D$2-1)))))</f>
        <v>0</v>
      </c>
      <c r="K40" s="131" t="n">
        <f aca="false">IF(OR($C40="",$B$2="",$D$2=0),0,IF(K$3&lt;0,0,N(INDEX('CURVA PREVISION'!$A$1:$KZ$3000,$C40,10+3*MIN(K$3,$D$2-1)))))</f>
        <v>0</v>
      </c>
      <c r="L40" s="131" t="n">
        <f aca="false">IF(OR($C40="",$B$2="",$D$2=0),0,IF(L$3&lt;0,0,N(INDEX('CURVA PREVISION'!$A$1:$KZ$3000,$C40,10+3*MIN(L$3,$D$2-1)))))</f>
        <v>0</v>
      </c>
      <c r="M40" s="131" t="n">
        <f aca="false">IF(OR($C40="",$B$2="",$D$2=0),0,IF(M$3&lt;0,0,N(INDEX('CURVA PREVISION'!$A$1:$KZ$3000,$C40,10+3*MIN(M$3,$D$2-1)))))</f>
        <v>0</v>
      </c>
      <c r="N40" s="131" t="n">
        <f aca="false">IF(OR($C40="",$B$2="",$D$2=0),0,IF(N$3&lt;0,0,N(INDEX('CURVA PREVISION'!$A$1:$KZ$3000,$C40,10+3*MIN(N$3,$D$2-1)))))</f>
        <v>0</v>
      </c>
      <c r="O40" s="131" t="n">
        <f aca="false">IF(OR($C40="",$B$2="",$D$2=0),0,IF(O$3&lt;0,0,N(INDEX('CURVA PREVISION'!$A$1:$KZ$3000,$C40,10+3*MIN(O$3,$D$2-1)))))</f>
        <v>0</v>
      </c>
      <c r="P40" s="131" t="n">
        <f aca="false">IF(OR($C40="",$B$2="",$D$2=0),0,IF(P$3&lt;0,0,N(INDEX('CURVA PREVISION'!$A$1:$KZ$3000,$C40,10+3*MIN(P$3,$D$2-1)))))</f>
        <v>0</v>
      </c>
      <c r="Q40" s="131" t="n">
        <f aca="false">IF(OR($C40="",$B$2="",$D$2=0),0,IF(Q$3&lt;0,0,N(INDEX('CURVA PREVISION'!$A$1:$KZ$3000,$C40,10+3*MIN(Q$3,$D$2-1)))))</f>
        <v>0</v>
      </c>
      <c r="R40" s="131" t="n">
        <f aca="false">IF(OR($C40="",$B$2="",$D$2=0),0,IF(R$3&lt;0,0,N(INDEX('CURVA PREVISION'!$A$1:$KZ$3000,$C40,10+3*MIN(R$3,$D$2-1)))))</f>
        <v>0</v>
      </c>
      <c r="S40" s="131" t="n">
        <f aca="false">IF(OR($C40="",$B$2="",$D$2=0),0,IF(S$3&lt;0,0,N(INDEX('CURVA PREVISION'!$A$1:$KZ$3000,$C40,10+3*MIN(S$3,$D$2-1)))))</f>
        <v>0</v>
      </c>
      <c r="T40" s="131" t="n">
        <f aca="false">IF(OR($C40="",$B$2="",$D$2=0),0,IF(T$3&lt;0,0,N(INDEX('CURVA PREVISION'!$A$1:$KZ$3000,$C40,10+3*MIN(T$3,$D$2-1)))))</f>
        <v>0</v>
      </c>
      <c r="U40" s="131" t="n">
        <f aca="false">IF(OR($C40="",$B$2="",$D$2=0),0,IF(U$3&lt;0,0,N(INDEX('CURVA PREVISION'!$A$1:$KZ$3000,$C40,10+3*MIN(U$3,$D$2-1)))))</f>
        <v>0</v>
      </c>
      <c r="V40" s="131" t="n">
        <f aca="false">IF(OR($C40="",$B$2="",$D$2=0),0,IF(V$3&lt;0,0,N(INDEX('CURVA PREVISION'!$A$1:$KZ$3000,$C40,10+3*MIN(V$3,$D$2-1)))))</f>
        <v>0</v>
      </c>
      <c r="W40" s="131" t="n">
        <f aca="false">IF(OR($C40="",$B$2="",$D$2=0),0,IF(W$3&lt;0,0,N(INDEX('CURVA PREVISION'!$A$1:$KZ$3000,$C40,10+3*MIN(W$3,$D$2-1)))))</f>
        <v>0</v>
      </c>
      <c r="X40" s="131" t="n">
        <f aca="false">IF(OR($C40="",$B$2="",$D$2=0),0,IF(X$3&lt;0,0,N(INDEX('CURVA PREVISION'!$A$1:$KZ$3000,$C40,10+3*MIN(X$3,$D$2-1)))))</f>
        <v>0</v>
      </c>
      <c r="Y40" s="131" t="n">
        <f aca="false">IF(OR($C40="",$B$2="",$D$2=0),0,IF(Y$3&lt;0,0,N(INDEX('CURVA PREVISION'!$A$1:$KZ$3000,$C40,10+3*MIN(Y$3,$D$2-1)))))</f>
        <v>0</v>
      </c>
      <c r="Z40" s="131" t="n">
        <f aca="false">IF(OR($C40="",$B$2="",$D$2=0),0,IF(Z$3&lt;0,0,N(INDEX('CURVA PREVISION'!$A$1:$KZ$3000,$C40,10+3*MIN(Z$3,$D$2-1)))))</f>
        <v>0</v>
      </c>
      <c r="AA40" s="131" t="n">
        <f aca="false">IF(OR($C40="",$B$2="",$D$2=0),0,IF(AA$3&lt;0,0,N(INDEX('CURVA PREVISION'!$A$1:$KZ$3000,$C40,10+3*MIN(AA$3,$D$2-1)))))</f>
        <v>0</v>
      </c>
      <c r="AB40" s="131" t="n">
        <f aca="false">IF(OR($C40="",$B$2="",$D$2=0),0,IF(AB$3&lt;0,0,N(INDEX('CURVA PREVISION'!$A$1:$KZ$3000,$C40,10+3*MIN(AB$3,$D$2-1)))))</f>
        <v>0</v>
      </c>
      <c r="AC40" s="131" t="n">
        <f aca="false">IF(OR($C40="",$B$2="",$D$2=0),0,IF(AC$3&lt;0,0,N(INDEX('CURVA PREVISION'!$A$1:$KZ$3000,$C40,10+3*MIN(AC$3,$D$2-1)))))</f>
        <v>0</v>
      </c>
      <c r="AD40" s="131" t="n">
        <f aca="false">IF(OR($C40="",$B$2="",$D$2=0),0,IF(AD$3&lt;0,0,N(INDEX('CURVA PREVISION'!$A$1:$KZ$3000,$C40,10+3*MIN(AD$3,$D$2-1)))))</f>
        <v>0</v>
      </c>
      <c r="AE40" s="131" t="n">
        <f aca="false">IF(OR($C40="",$B$2="",$D$2=0),0,IF(AE$3&lt;0,0,N(INDEX('CURVA PREVISION'!$A$1:$KZ$3000,$C40,10+3*MIN(AE$3,$D$2-1)))))</f>
        <v>0</v>
      </c>
      <c r="AF40" s="131" t="n">
        <f aca="false">IF(OR($C40="",$B$2="",$D$2=0),0,IF(AF$3&lt;0,0,N(INDEX('CURVA PREVISION'!$A$1:$KZ$3000,$C40,10+3*MIN(AF$3,$D$2-1)))))</f>
        <v>0</v>
      </c>
      <c r="AG40" s="131" t="n">
        <f aca="false">IF(OR($C40="",$B$2="",$D$2=0),0,IF(AG$3&lt;0,0,N(INDEX('CURVA PREVISION'!$A$1:$KZ$3000,$C40,10+3*MIN(AG$3,$D$2-1)))))</f>
        <v>0</v>
      </c>
      <c r="AH40" s="131" t="n">
        <f aca="false">IF(OR($C40="",$B$2="",$D$2=0),0,IF(AH$3&lt;0,0,N(INDEX('CURVA PREVISION'!$A$1:$KZ$3000,$C40,10+3*MIN(AH$3,$D$2-1)))))</f>
        <v>0</v>
      </c>
      <c r="AI40" s="131" t="n">
        <f aca="false">IF(OR($C40="",$B$2="",$D$2=0),0,IF(AI$3&lt;0,0,N(INDEX('CURVA PREVISION'!$A$1:$KZ$3000,$C40,10+3*MIN(AI$3,$D$2-1)))))</f>
        <v>0</v>
      </c>
      <c r="AJ40" s="131" t="n">
        <f aca="false">IF(OR($C40="",$B$2="",$D$2=0),0,IF(AJ$3&lt;0,0,N(INDEX('CURVA PREVISION'!$A$1:$KZ$3000,$C40,10+3*MIN(AJ$3,$D$2-1)))))</f>
        <v>0</v>
      </c>
      <c r="AK40" s="131" t="n">
        <f aca="false">IF(OR($C40="",$B$2="",$D$2=0),0,IF(AK$3&lt;0,0,N(INDEX('CURVA PREVISION'!$A$1:$KZ$3000,$C40,10+3*MIN(AK$3,$D$2-1)))))</f>
        <v>0</v>
      </c>
      <c r="AL40" s="131" t="n">
        <f aca="false">IF(OR($C40="",$B$2="",$D$2=0),0,IF(AL$3&lt;0,0,N(INDEX('CURVA PREVISION'!$A$1:$KZ$3000,$C40,10+3*MIN(AL$3,$D$2-1)))))</f>
        <v>0</v>
      </c>
      <c r="AM40" s="131" t="n">
        <f aca="false">IF(OR($C40="",$B$2="",$D$2=0),0,IF(AM$3&lt;0,0,N(INDEX('CURVA PREVISION'!$A$1:$KZ$3000,$C40,10+3*MIN(AM$3,$D$2-1)))))</f>
        <v>0</v>
      </c>
      <c r="AN40" s="131" t="n">
        <f aca="false">IF(OR($C40="",$B$2="",$D$2=0),0,IF(AN$3&lt;0,0,N(INDEX('CURVA PREVISION'!$A$1:$KZ$3000,$C40,10+3*MIN(AN$3,$D$2-1)))))</f>
        <v>0</v>
      </c>
      <c r="AO40" s="131" t="n">
        <f aca="false">IF(OR($C40="",$B$2="",$D$2=0),0,IF(AO$3&lt;0,0,N(INDEX('CURVA PREVISION'!$A$1:$KZ$3000,$C40,10+3*MIN(AO$3,$D$2-1)))))</f>
        <v>0</v>
      </c>
      <c r="AP40" s="131" t="n">
        <f aca="false">IF(OR($C40="",$B$2="",$D$2=0),0,IF(AP$3&lt;0,0,N(INDEX('CURVA PREVISION'!$A$1:$KZ$3000,$C40,10+3*MIN(AP$3,$D$2-1)))))</f>
        <v>0</v>
      </c>
      <c r="AQ40" s="131" t="n">
        <f aca="false">IF(OR($C40="",$B$2="",$D$2=0),0,IF(AQ$3&lt;0,0,N(INDEX('CURVA PREVISION'!$A$1:$KZ$3000,$C40,10+3*MIN(AQ$3,$D$2-1)))))</f>
        <v>0</v>
      </c>
      <c r="AR40" s="131" t="n">
        <f aca="false">IF(OR($C40="",$B$2="",$D$2=0),0,IF(AR$3&lt;0,0,N(INDEX('CURVA PREVISION'!$A$1:$KZ$3000,$C40,10+3*MIN(AR$3,$D$2-1)))))</f>
        <v>0</v>
      </c>
      <c r="AS40" s="131" t="n">
        <f aca="false">IF(OR($C40="",$B$2="",$D$2=0),0,IF(AS$3&lt;0,0,N(INDEX('CURVA PREVISION'!$A$1:$KZ$3000,$C40,10+3*MIN(AS$3,$D$2-1)))))</f>
        <v>0</v>
      </c>
      <c r="AT40" s="131" t="n">
        <f aca="false">IF(OR($C40="",$B$2="",$D$2=0),0,IF(AT$3&lt;0,0,N(INDEX('CURVA PREVISION'!$A$1:$KZ$3000,$C40,10+3*MIN(AT$3,$D$2-1)))))</f>
        <v>0</v>
      </c>
      <c r="AU40" s="131" t="n">
        <f aca="false">IF(OR($C40="",$B$2="",$D$2=0),0,IF(AU$3&lt;0,0,N(INDEX('CURVA PREVISION'!$A$1:$KZ$3000,$C40,10+3*MIN(AU$3,$D$2-1)))))</f>
        <v>23.66</v>
      </c>
      <c r="AV40" s="131" t="n">
        <f aca="false">IF(OR($C40="",$B$2="",$D$2=0),0,IF(AV$3&lt;0,0,N(INDEX('CURVA PREVISION'!$A$1:$KZ$3000,$C40,10+3*MIN(AV$3,$D$2-1)))))</f>
        <v>56.37</v>
      </c>
      <c r="AW40" s="131" t="n">
        <f aca="false">IF(OR($C40="",$B$2="",$D$2=0),0,IF(AW$3&lt;0,0,N(INDEX('CURVA PREVISION'!$A$1:$KZ$3000,$C40,10+3*MIN(AW$3,$D$2-1)))))</f>
        <v>70.83</v>
      </c>
      <c r="AX40" s="131" t="n">
        <f aca="false">IF(OR($C40="",$B$2="",$D$2=0),0,IF(AX$3&lt;0,0,N(INDEX('CURVA PREVISION'!$A$1:$KZ$3000,$C40,10+3*MIN(AX$3,$D$2-1)))))</f>
        <v>89.09</v>
      </c>
      <c r="AY40" s="131" t="n">
        <f aca="false">IF(OR($C40="",$B$2="",$D$2=0),0,IF(AY$3&lt;0,0,N(INDEX('CURVA PREVISION'!$A$1:$KZ$3000,$C40,10+3*MIN(AY$3,$D$2-1)))))</f>
        <v>98.1</v>
      </c>
      <c r="AZ40" s="131" t="n">
        <f aca="false">IF(OR($C40="",$B$2="",$D$2=0),0,IF(AZ$3&lt;0,0,N(INDEX('CURVA PREVISION'!$A$1:$KZ$3000,$C40,10+3*MIN(AZ$3,$D$2-1)))))</f>
        <v>100</v>
      </c>
      <c r="BA40" s="131" t="n">
        <f aca="false">IF(OR($C40="",$B$2="",$D$2=0),0,IF(BA$3&lt;0,0,N(INDEX('CURVA PREVISION'!$A$1:$KZ$3000,$C40,10+3*MIN(BA$3,$D$2-1)))))</f>
        <v>100</v>
      </c>
      <c r="BB40" s="131" t="n">
        <f aca="false">IF(OR($C40="",$B$2="",$D$2=0),0,IF(BB$3&lt;0,0,N(INDEX('CURVA PREVISION'!$A$1:$KZ$3000,$C40,10+3*MIN(BB$3,$D$2-1)))))</f>
        <v>100</v>
      </c>
      <c r="BC40" s="131" t="n">
        <f aca="false">IF(OR($C40="",$B$2="",$D$2=0),0,IF(BC$3&lt;0,0,N(INDEX('CURVA PREVISION'!$A$1:$KZ$3000,$C40,10+3*MIN(BC$3,$D$2-1)))))</f>
        <v>100</v>
      </c>
      <c r="BD40" s="131" t="n">
        <f aca="false">IF(OR($C40="",$B$2="",$D$2=0),0,IF(BD$3&lt;0,0,N(INDEX('CURVA PREVISION'!$A$1:$KZ$3000,$C40,10+3*MIN(BD$3,$D$2-1)))))</f>
        <v>100</v>
      </c>
      <c r="BE40" s="131" t="n">
        <f aca="false">IF(OR($C40="",$B$2="",$D$2=0),0,IF(BE$3&lt;0,0,N(INDEX('CURVA PREVISION'!$A$1:$KZ$3000,$C40,10+3*MIN(BE$3,$D$2-1)))))</f>
        <v>100</v>
      </c>
      <c r="BF40" s="131" t="n">
        <f aca="false">IF(OR($C40="",$B$2="",$D$2=0),0,IF(BF$3&lt;0,0,N(INDEX('CURVA PREVISION'!$A$1:$KZ$3000,$C40,10+3*MIN(BF$3,$D$2-1)))))</f>
        <v>100</v>
      </c>
      <c r="BG40" s="131" t="n">
        <f aca="false">IF(OR($C40="",$B$2="",$D$2=0),0,IF(BG$3&lt;0,0,N(INDEX('CURVA PREVISION'!$A$1:$KZ$3000,$C40,10+3*MIN(BG$3,$D$2-1)))))</f>
        <v>100</v>
      </c>
      <c r="BH40" s="131" t="n">
        <f aca="false">IF(OR($C40="",$B$2="",$D$2=0),0,IF(BH$3&lt;0,0,N(INDEX('CURVA PREVISION'!$A$1:$KZ$3000,$C40,10+3*MIN(BH$3,$D$2-1)))))</f>
        <v>100</v>
      </c>
      <c r="BI40" s="131" t="n">
        <f aca="false">IF(OR($C40="",$B$2="",$D$2=0),0,IF(BI$3&lt;0,0,N(INDEX('CURVA PREVISION'!$A$1:$KZ$3000,$C40,10+3*MIN(BI$3,$D$2-1)))))</f>
        <v>100</v>
      </c>
      <c r="BJ40" s="131" t="n">
        <f aca="false">IF(OR($C40="",$B$2="",$D$2=0),0,IF(BJ$3&lt;0,0,N(INDEX('CURVA PREVISION'!$A$1:$KZ$3000,$C40,10+3*MIN(BJ$3,$D$2-1)))))</f>
        <v>100</v>
      </c>
      <c r="BK40" s="131" t="n">
        <f aca="false">IF(OR($C40="",$B$2="",$D$2=0),0,IF(BK$3&lt;0,0,N(INDEX('CURVA PREVISION'!$A$1:$KZ$3000,$C40,10+3*MIN(BK$3,$D$2-1)))))</f>
        <v>100</v>
      </c>
      <c r="BL40" s="131" t="n">
        <f aca="false">IF(OR($C40="",$B$2="",$D$2=0),0,IF(BL$3&lt;0,0,N(INDEX('CURVA PREVISION'!$A$1:$KZ$3000,$C40,10+3*MIN(BL$3,$D$2-1)))))</f>
        <v>100</v>
      </c>
      <c r="BM40" s="131" t="n">
        <f aca="false">IF(OR($C40="",$B$2="",$D$2=0),0,IF(BM$3&lt;0,0,N(INDEX('CURVA PREVISION'!$A$1:$KZ$3000,$C40,10+3*MIN(BM$3,$D$2-1)))))</f>
        <v>100</v>
      </c>
      <c r="BN40" s="131" t="n">
        <f aca="false">IF(OR($C40="",$B$2="",$D$2=0),0,IF(BN$3&lt;0,0,N(INDEX('CURVA PREVISION'!$A$1:$KZ$3000,$C40,10+3*MIN(BN$3,$D$2-1)))))</f>
        <v>100</v>
      </c>
      <c r="BO40" s="131" t="n">
        <f aca="false">IF(OR($C40="",$B$2="",$D$2=0),0,IF(BO$3&lt;0,0,N(INDEX('CURVA PREVISION'!$A$1:$KZ$3000,$C40,10+3*MIN(BO$3,$D$2-1)))))</f>
        <v>100</v>
      </c>
      <c r="BP40" s="131" t="n">
        <f aca="false">IF(OR($C40="",$B$2="",$D$2=0),0,IF(BP$3&lt;0,0,N(INDEX('CURVA PREVISION'!$A$1:$KZ$3000,$C40,10+3*MIN(BP$3,$D$2-1)))))</f>
        <v>100</v>
      </c>
      <c r="BQ40" s="131" t="n">
        <f aca="false">IF(OR($C40="",$B$2="",$D$2=0),0,IF(BQ$3&lt;0,0,N(INDEX('CURVA PREVISION'!$A$1:$KZ$3000,$C40,10+3*MIN(BQ$3,$D$2-1)))))</f>
        <v>100</v>
      </c>
      <c r="BR40" s="131" t="n">
        <f aca="false">IF(OR($C40="",$B$2="",$D$2=0),0,IF(BR$3&lt;0,0,N(INDEX('CURVA PREVISION'!$A$1:$KZ$3000,$C40,10+3*MIN(BR$3,$D$2-1)))))</f>
        <v>100</v>
      </c>
      <c r="BS40" s="131" t="n">
        <f aca="false">IF(OR($C40="",$B$2="",$D$2=0),0,IF(BS$3&lt;0,0,N(INDEX('CURVA PREVISION'!$A$1:$KZ$3000,$C40,10+3*MIN(BS$3,$D$2-1)))))</f>
        <v>100</v>
      </c>
      <c r="BT40" s="131" t="n">
        <f aca="false">IF(OR($C40="",$B$2="",$D$2=0),0,IF(BT$3&lt;0,0,N(INDEX('CURVA PREVISION'!$A$1:$KZ$3000,$C40,10+3*MIN(BT$3,$D$2-1)))))</f>
        <v>100</v>
      </c>
      <c r="BU40" s="131" t="n">
        <f aca="false">IF(OR($C40="",$B$2="",$D$2=0),0,IF(BU$3&lt;0,0,N(INDEX('CURVA PREVISION'!$A$1:$KZ$3000,$C40,10+3*MIN(BU$3,$D$2-1)))))</f>
        <v>100</v>
      </c>
      <c r="BV40" s="131" t="n">
        <f aca="false">IF(OR($C40="",$B$2="",$D$2=0),0,IF(BV$3&lt;0,0,N(INDEX('CURVA PREVISION'!$A$1:$KZ$3000,$C40,10+3*MIN(BV$3,$D$2-1)))))</f>
        <v>100</v>
      </c>
      <c r="BW40" s="131" t="n">
        <f aca="false">IF(OR($C40="",$B$2="",$D$2=0),0,IF(BW$3&lt;0,0,N(INDEX('CURVA PREVISION'!$A$1:$KZ$3000,$C40,10+3*MIN(BW$3,$D$2-1)))))</f>
        <v>100</v>
      </c>
    </row>
    <row r="41" customFormat="false" ht="15" hidden="false" customHeight="false" outlineLevel="0" collapsed="false">
      <c r="A41" s="57" t="str">
        <f aca="false">IF('VALOR POR PL'!R47&lt;&gt;"",'VALOR POR PL'!R47,IF('VALOR POR PL'!Q47="",'VALOR POR PL'!C47,'VALOR POR PL'!Q47))</f>
        <v>37</v>
      </c>
      <c r="B41" s="57" t="str">
        <f aca="false">'VALOR POR PL'!D47</f>
        <v>LIMPEZA FINAL DE OBRA</v>
      </c>
      <c r="C41" s="64" t="n">
        <f aca="false">IFERROR(MATCH(A41,'CURVA PREVISION'!$B$1:$B$3000,0),"")</f>
        <v>927</v>
      </c>
      <c r="D41" s="131" t="n">
        <f aca="false">IF(OR($C41="",$B$2="",$D$2=0),0,IF(D$3&lt;0,0,N(INDEX('CURVA PREVISION'!$A$1:$KZ$3000,$C41,10+3*MIN(D$3,$D$2-1)))))</f>
        <v>0</v>
      </c>
      <c r="E41" s="131" t="n">
        <f aca="false">IF(OR($C41="",$B$2="",$D$2=0),0,IF(E$3&lt;0,0,N(INDEX('CURVA PREVISION'!$A$1:$KZ$3000,$C41,10+3*MIN(E$3,$D$2-1)))))</f>
        <v>0</v>
      </c>
      <c r="F41" s="131" t="n">
        <f aca="false">IF(OR($C41="",$B$2="",$D$2=0),0,IF(F$3&lt;0,0,N(INDEX('CURVA PREVISION'!$A$1:$KZ$3000,$C41,10+3*MIN(F$3,$D$2-1)))))</f>
        <v>0</v>
      </c>
      <c r="G41" s="131" t="n">
        <f aca="false">IF(OR($C41="",$B$2="",$D$2=0),0,IF(G$3&lt;0,0,N(INDEX('CURVA PREVISION'!$A$1:$KZ$3000,$C41,10+3*MIN(G$3,$D$2-1)))))</f>
        <v>0</v>
      </c>
      <c r="H41" s="131" t="n">
        <f aca="false">IF(OR($C41="",$B$2="",$D$2=0),0,IF(H$3&lt;0,0,N(INDEX('CURVA PREVISION'!$A$1:$KZ$3000,$C41,10+3*MIN(H$3,$D$2-1)))))</f>
        <v>0</v>
      </c>
      <c r="I41" s="131" t="n">
        <f aca="false">IF(OR($C41="",$B$2="",$D$2=0),0,IF(I$3&lt;0,0,N(INDEX('CURVA PREVISION'!$A$1:$KZ$3000,$C41,10+3*MIN(I$3,$D$2-1)))))</f>
        <v>0</v>
      </c>
      <c r="J41" s="131" t="n">
        <f aca="false">IF(OR($C41="",$B$2="",$D$2=0),0,IF(J$3&lt;0,0,N(INDEX('CURVA PREVISION'!$A$1:$KZ$3000,$C41,10+3*MIN(J$3,$D$2-1)))))</f>
        <v>0</v>
      </c>
      <c r="K41" s="131" t="n">
        <f aca="false">IF(OR($C41="",$B$2="",$D$2=0),0,IF(K$3&lt;0,0,N(INDEX('CURVA PREVISION'!$A$1:$KZ$3000,$C41,10+3*MIN(K$3,$D$2-1)))))</f>
        <v>0</v>
      </c>
      <c r="L41" s="131" t="n">
        <f aca="false">IF(OR($C41="",$B$2="",$D$2=0),0,IF(L$3&lt;0,0,N(INDEX('CURVA PREVISION'!$A$1:$KZ$3000,$C41,10+3*MIN(L$3,$D$2-1)))))</f>
        <v>0</v>
      </c>
      <c r="M41" s="131" t="n">
        <f aca="false">IF(OR($C41="",$B$2="",$D$2=0),0,IF(M$3&lt;0,0,N(INDEX('CURVA PREVISION'!$A$1:$KZ$3000,$C41,10+3*MIN(M$3,$D$2-1)))))</f>
        <v>0</v>
      </c>
      <c r="N41" s="131" t="n">
        <f aca="false">IF(OR($C41="",$B$2="",$D$2=0),0,IF(N$3&lt;0,0,N(INDEX('CURVA PREVISION'!$A$1:$KZ$3000,$C41,10+3*MIN(N$3,$D$2-1)))))</f>
        <v>0</v>
      </c>
      <c r="O41" s="131" t="n">
        <f aca="false">IF(OR($C41="",$B$2="",$D$2=0),0,IF(O$3&lt;0,0,N(INDEX('CURVA PREVISION'!$A$1:$KZ$3000,$C41,10+3*MIN(O$3,$D$2-1)))))</f>
        <v>0</v>
      </c>
      <c r="P41" s="131" t="n">
        <f aca="false">IF(OR($C41="",$B$2="",$D$2=0),0,IF(P$3&lt;0,0,N(INDEX('CURVA PREVISION'!$A$1:$KZ$3000,$C41,10+3*MIN(P$3,$D$2-1)))))</f>
        <v>0</v>
      </c>
      <c r="Q41" s="131" t="n">
        <f aca="false">IF(OR($C41="",$B$2="",$D$2=0),0,IF(Q$3&lt;0,0,N(INDEX('CURVA PREVISION'!$A$1:$KZ$3000,$C41,10+3*MIN(Q$3,$D$2-1)))))</f>
        <v>0</v>
      </c>
      <c r="R41" s="131" t="n">
        <f aca="false">IF(OR($C41="",$B$2="",$D$2=0),0,IF(R$3&lt;0,0,N(INDEX('CURVA PREVISION'!$A$1:$KZ$3000,$C41,10+3*MIN(R$3,$D$2-1)))))</f>
        <v>0</v>
      </c>
      <c r="S41" s="131" t="n">
        <f aca="false">IF(OR($C41="",$B$2="",$D$2=0),0,IF(S$3&lt;0,0,N(INDEX('CURVA PREVISION'!$A$1:$KZ$3000,$C41,10+3*MIN(S$3,$D$2-1)))))</f>
        <v>0</v>
      </c>
      <c r="T41" s="131" t="n">
        <f aca="false">IF(OR($C41="",$B$2="",$D$2=0),0,IF(T$3&lt;0,0,N(INDEX('CURVA PREVISION'!$A$1:$KZ$3000,$C41,10+3*MIN(T$3,$D$2-1)))))</f>
        <v>0</v>
      </c>
      <c r="U41" s="131" t="n">
        <f aca="false">IF(OR($C41="",$B$2="",$D$2=0),0,IF(U$3&lt;0,0,N(INDEX('CURVA PREVISION'!$A$1:$KZ$3000,$C41,10+3*MIN(U$3,$D$2-1)))))</f>
        <v>0</v>
      </c>
      <c r="V41" s="131" t="n">
        <f aca="false">IF(OR($C41="",$B$2="",$D$2=0),0,IF(V$3&lt;0,0,N(INDEX('CURVA PREVISION'!$A$1:$KZ$3000,$C41,10+3*MIN(V$3,$D$2-1)))))</f>
        <v>0</v>
      </c>
      <c r="W41" s="131" t="n">
        <f aca="false">IF(OR($C41="",$B$2="",$D$2=0),0,IF(W$3&lt;0,0,N(INDEX('CURVA PREVISION'!$A$1:$KZ$3000,$C41,10+3*MIN(W$3,$D$2-1)))))</f>
        <v>0</v>
      </c>
      <c r="X41" s="131" t="n">
        <f aca="false">IF(OR($C41="",$B$2="",$D$2=0),0,IF(X$3&lt;0,0,N(INDEX('CURVA PREVISION'!$A$1:$KZ$3000,$C41,10+3*MIN(X$3,$D$2-1)))))</f>
        <v>0</v>
      </c>
      <c r="Y41" s="131" t="n">
        <f aca="false">IF(OR($C41="",$B$2="",$D$2=0),0,IF(Y$3&lt;0,0,N(INDEX('CURVA PREVISION'!$A$1:$KZ$3000,$C41,10+3*MIN(Y$3,$D$2-1)))))</f>
        <v>0</v>
      </c>
      <c r="Z41" s="131" t="n">
        <f aca="false">IF(OR($C41="",$B$2="",$D$2=0),0,IF(Z$3&lt;0,0,N(INDEX('CURVA PREVISION'!$A$1:$KZ$3000,$C41,10+3*MIN(Z$3,$D$2-1)))))</f>
        <v>0</v>
      </c>
      <c r="AA41" s="131" t="n">
        <f aca="false">IF(OR($C41="",$B$2="",$D$2=0),0,IF(AA$3&lt;0,0,N(INDEX('CURVA PREVISION'!$A$1:$KZ$3000,$C41,10+3*MIN(AA$3,$D$2-1)))))</f>
        <v>0</v>
      </c>
      <c r="AB41" s="131" t="n">
        <f aca="false">IF(OR($C41="",$B$2="",$D$2=0),0,IF(AB$3&lt;0,0,N(INDEX('CURVA PREVISION'!$A$1:$KZ$3000,$C41,10+3*MIN(AB$3,$D$2-1)))))</f>
        <v>0</v>
      </c>
      <c r="AC41" s="131" t="n">
        <f aca="false">IF(OR($C41="",$B$2="",$D$2=0),0,IF(AC$3&lt;0,0,N(INDEX('CURVA PREVISION'!$A$1:$KZ$3000,$C41,10+3*MIN(AC$3,$D$2-1)))))</f>
        <v>0</v>
      </c>
      <c r="AD41" s="131" t="n">
        <f aca="false">IF(OR($C41="",$B$2="",$D$2=0),0,IF(AD$3&lt;0,0,N(INDEX('CURVA PREVISION'!$A$1:$KZ$3000,$C41,10+3*MIN(AD$3,$D$2-1)))))</f>
        <v>0</v>
      </c>
      <c r="AE41" s="131" t="n">
        <f aca="false">IF(OR($C41="",$B$2="",$D$2=0),0,IF(AE$3&lt;0,0,N(INDEX('CURVA PREVISION'!$A$1:$KZ$3000,$C41,10+3*MIN(AE$3,$D$2-1)))))</f>
        <v>0</v>
      </c>
      <c r="AF41" s="131" t="n">
        <f aca="false">IF(OR($C41="",$B$2="",$D$2=0),0,IF(AF$3&lt;0,0,N(INDEX('CURVA PREVISION'!$A$1:$KZ$3000,$C41,10+3*MIN(AF$3,$D$2-1)))))</f>
        <v>0</v>
      </c>
      <c r="AG41" s="131" t="n">
        <f aca="false">IF(OR($C41="",$B$2="",$D$2=0),0,IF(AG$3&lt;0,0,N(INDEX('CURVA PREVISION'!$A$1:$KZ$3000,$C41,10+3*MIN(AG$3,$D$2-1)))))</f>
        <v>0</v>
      </c>
      <c r="AH41" s="131" t="n">
        <f aca="false">IF(OR($C41="",$B$2="",$D$2=0),0,IF(AH$3&lt;0,0,N(INDEX('CURVA PREVISION'!$A$1:$KZ$3000,$C41,10+3*MIN(AH$3,$D$2-1)))))</f>
        <v>0</v>
      </c>
      <c r="AI41" s="131" t="n">
        <f aca="false">IF(OR($C41="",$B$2="",$D$2=0),0,IF(AI$3&lt;0,0,N(INDEX('CURVA PREVISION'!$A$1:$KZ$3000,$C41,10+3*MIN(AI$3,$D$2-1)))))</f>
        <v>0</v>
      </c>
      <c r="AJ41" s="131" t="n">
        <f aca="false">IF(OR($C41="",$B$2="",$D$2=0),0,IF(AJ$3&lt;0,0,N(INDEX('CURVA PREVISION'!$A$1:$KZ$3000,$C41,10+3*MIN(AJ$3,$D$2-1)))))</f>
        <v>0</v>
      </c>
      <c r="AK41" s="131" t="n">
        <f aca="false">IF(OR($C41="",$B$2="",$D$2=0),0,IF(AK$3&lt;0,0,N(INDEX('CURVA PREVISION'!$A$1:$KZ$3000,$C41,10+3*MIN(AK$3,$D$2-1)))))</f>
        <v>0</v>
      </c>
      <c r="AL41" s="131" t="n">
        <f aca="false">IF(OR($C41="",$B$2="",$D$2=0),0,IF(AL$3&lt;0,0,N(INDEX('CURVA PREVISION'!$A$1:$KZ$3000,$C41,10+3*MIN(AL$3,$D$2-1)))))</f>
        <v>0</v>
      </c>
      <c r="AM41" s="131" t="n">
        <f aca="false">IF(OR($C41="",$B$2="",$D$2=0),0,IF(AM$3&lt;0,0,N(INDEX('CURVA PREVISION'!$A$1:$KZ$3000,$C41,10+3*MIN(AM$3,$D$2-1)))))</f>
        <v>0</v>
      </c>
      <c r="AN41" s="131" t="n">
        <f aca="false">IF(OR($C41="",$B$2="",$D$2=0),0,IF(AN$3&lt;0,0,N(INDEX('CURVA PREVISION'!$A$1:$KZ$3000,$C41,10+3*MIN(AN$3,$D$2-1)))))</f>
        <v>0</v>
      </c>
      <c r="AO41" s="131" t="n">
        <f aca="false">IF(OR($C41="",$B$2="",$D$2=0),0,IF(AO$3&lt;0,0,N(INDEX('CURVA PREVISION'!$A$1:$KZ$3000,$C41,10+3*MIN(AO$3,$D$2-1)))))</f>
        <v>0</v>
      </c>
      <c r="AP41" s="131" t="n">
        <f aca="false">IF(OR($C41="",$B$2="",$D$2=0),0,IF(AP$3&lt;0,0,N(INDEX('CURVA PREVISION'!$A$1:$KZ$3000,$C41,10+3*MIN(AP$3,$D$2-1)))))</f>
        <v>0</v>
      </c>
      <c r="AQ41" s="131" t="n">
        <f aca="false">IF(OR($C41="",$B$2="",$D$2=0),0,IF(AQ$3&lt;0,0,N(INDEX('CURVA PREVISION'!$A$1:$KZ$3000,$C41,10+3*MIN(AQ$3,$D$2-1)))))</f>
        <v>2.04</v>
      </c>
      <c r="AR41" s="131" t="n">
        <f aca="false">IF(OR($C41="",$B$2="",$D$2=0),0,IF(AR$3&lt;0,0,N(INDEX('CURVA PREVISION'!$A$1:$KZ$3000,$C41,10+3*MIN(AR$3,$D$2-1)))))</f>
        <v>6</v>
      </c>
      <c r="AS41" s="131" t="n">
        <f aca="false">IF(OR($C41="",$B$2="",$D$2=0),0,IF(AS$3&lt;0,0,N(INDEX('CURVA PREVISION'!$A$1:$KZ$3000,$C41,10+3*MIN(AS$3,$D$2-1)))))</f>
        <v>13.15</v>
      </c>
      <c r="AT41" s="131" t="n">
        <f aca="false">IF(OR($C41="",$B$2="",$D$2=0),0,IF(AT$3&lt;0,0,N(INDEX('CURVA PREVISION'!$A$1:$KZ$3000,$C41,10+3*MIN(AT$3,$D$2-1)))))</f>
        <v>22.43</v>
      </c>
      <c r="AU41" s="131" t="n">
        <f aca="false">IF(OR($C41="",$B$2="",$D$2=0),0,IF(AU$3&lt;0,0,N(INDEX('CURVA PREVISION'!$A$1:$KZ$3000,$C41,10+3*MIN(AU$3,$D$2-1)))))</f>
        <v>31.21</v>
      </c>
      <c r="AV41" s="131" t="n">
        <f aca="false">IF(OR($C41="",$B$2="",$D$2=0),0,IF(AV$3&lt;0,0,N(INDEX('CURVA PREVISION'!$A$1:$KZ$3000,$C41,10+3*MIN(AV$3,$D$2-1)))))</f>
        <v>40.37</v>
      </c>
      <c r="AW41" s="131" t="n">
        <f aca="false">IF(OR($C41="",$B$2="",$D$2=0),0,IF(AW$3&lt;0,0,N(INDEX('CURVA PREVISION'!$A$1:$KZ$3000,$C41,10+3*MIN(AW$3,$D$2-1)))))</f>
        <v>48.99</v>
      </c>
      <c r="AX41" s="131" t="n">
        <f aca="false">IF(OR($C41="",$B$2="",$D$2=0),0,IF(AX$3&lt;0,0,N(INDEX('CURVA PREVISION'!$A$1:$KZ$3000,$C41,10+3*MIN(AX$3,$D$2-1)))))</f>
        <v>57.64</v>
      </c>
      <c r="AY41" s="131" t="n">
        <f aca="false">IF(OR($C41="",$B$2="",$D$2=0),0,IF(AY$3&lt;0,0,N(INDEX('CURVA PREVISION'!$A$1:$KZ$3000,$C41,10+3*MIN(AY$3,$D$2-1)))))</f>
        <v>64.68</v>
      </c>
      <c r="AZ41" s="131" t="n">
        <f aca="false">IF(OR($C41="",$B$2="",$D$2=0),0,IF(AZ$3&lt;0,0,N(INDEX('CURVA PREVISION'!$A$1:$KZ$3000,$C41,10+3*MIN(AZ$3,$D$2-1)))))</f>
        <v>71.38</v>
      </c>
      <c r="BA41" s="131" t="n">
        <f aca="false">IF(OR($C41="",$B$2="",$D$2=0),0,IF(BA$3&lt;0,0,N(INDEX('CURVA PREVISION'!$A$1:$KZ$3000,$C41,10+3*MIN(BA$3,$D$2-1)))))</f>
        <v>81.65</v>
      </c>
      <c r="BB41" s="131" t="n">
        <f aca="false">IF(OR($C41="",$B$2="",$D$2=0),0,IF(BB$3&lt;0,0,N(INDEX('CURVA PREVISION'!$A$1:$KZ$3000,$C41,10+3*MIN(BB$3,$D$2-1)))))</f>
        <v>91.26</v>
      </c>
      <c r="BC41" s="131" t="n">
        <f aca="false">IF(OR($C41="",$B$2="",$D$2=0),0,IF(BC$3&lt;0,0,N(INDEX('CURVA PREVISION'!$A$1:$KZ$3000,$C41,10+3*MIN(BC$3,$D$2-1)))))</f>
        <v>99.19</v>
      </c>
      <c r="BD41" s="131" t="n">
        <f aca="false">IF(OR($C41="",$B$2="",$D$2=0),0,IF(BD$3&lt;0,0,N(INDEX('CURVA PREVISION'!$A$1:$KZ$3000,$C41,10+3*MIN(BD$3,$D$2-1)))))</f>
        <v>99.95</v>
      </c>
      <c r="BE41" s="131" t="n">
        <f aca="false">IF(OR($C41="",$B$2="",$D$2=0),0,IF(BE$3&lt;0,0,N(INDEX('CURVA PREVISION'!$A$1:$KZ$3000,$C41,10+3*MIN(BE$3,$D$2-1)))))</f>
        <v>99.95</v>
      </c>
      <c r="BF41" s="131" t="n">
        <f aca="false">IF(OR($C41="",$B$2="",$D$2=0),0,IF(BF$3&lt;0,0,N(INDEX('CURVA PREVISION'!$A$1:$KZ$3000,$C41,10+3*MIN(BF$3,$D$2-1)))))</f>
        <v>99.95</v>
      </c>
      <c r="BG41" s="131" t="n">
        <f aca="false">IF(OR($C41="",$B$2="",$D$2=0),0,IF(BG$3&lt;0,0,N(INDEX('CURVA PREVISION'!$A$1:$KZ$3000,$C41,10+3*MIN(BG$3,$D$2-1)))))</f>
        <v>99.95</v>
      </c>
      <c r="BH41" s="131" t="n">
        <f aca="false">IF(OR($C41="",$B$2="",$D$2=0),0,IF(BH$3&lt;0,0,N(INDEX('CURVA PREVISION'!$A$1:$KZ$3000,$C41,10+3*MIN(BH$3,$D$2-1)))))</f>
        <v>99.95</v>
      </c>
      <c r="BI41" s="131" t="n">
        <f aca="false">IF(OR($C41="",$B$2="",$D$2=0),0,IF(BI$3&lt;0,0,N(INDEX('CURVA PREVISION'!$A$1:$KZ$3000,$C41,10+3*MIN(BI$3,$D$2-1)))))</f>
        <v>99.95</v>
      </c>
      <c r="BJ41" s="131" t="n">
        <f aca="false">IF(OR($C41="",$B$2="",$D$2=0),0,IF(BJ$3&lt;0,0,N(INDEX('CURVA PREVISION'!$A$1:$KZ$3000,$C41,10+3*MIN(BJ$3,$D$2-1)))))</f>
        <v>99.95</v>
      </c>
      <c r="BK41" s="131" t="n">
        <f aca="false">IF(OR($C41="",$B$2="",$D$2=0),0,IF(BK$3&lt;0,0,N(INDEX('CURVA PREVISION'!$A$1:$KZ$3000,$C41,10+3*MIN(BK$3,$D$2-1)))))</f>
        <v>99.95</v>
      </c>
      <c r="BL41" s="131" t="n">
        <f aca="false">IF(OR($C41="",$B$2="",$D$2=0),0,IF(BL$3&lt;0,0,N(INDEX('CURVA PREVISION'!$A$1:$KZ$3000,$C41,10+3*MIN(BL$3,$D$2-1)))))</f>
        <v>99.95</v>
      </c>
      <c r="BM41" s="131" t="n">
        <f aca="false">IF(OR($C41="",$B$2="",$D$2=0),0,IF(BM$3&lt;0,0,N(INDEX('CURVA PREVISION'!$A$1:$KZ$3000,$C41,10+3*MIN(BM$3,$D$2-1)))))</f>
        <v>99.95</v>
      </c>
      <c r="BN41" s="131" t="n">
        <f aca="false">IF(OR($C41="",$B$2="",$D$2=0),0,IF(BN$3&lt;0,0,N(INDEX('CURVA PREVISION'!$A$1:$KZ$3000,$C41,10+3*MIN(BN$3,$D$2-1)))))</f>
        <v>99.95</v>
      </c>
      <c r="BO41" s="131" t="n">
        <f aca="false">IF(OR($C41="",$B$2="",$D$2=0),0,IF(BO$3&lt;0,0,N(INDEX('CURVA PREVISION'!$A$1:$KZ$3000,$C41,10+3*MIN(BO$3,$D$2-1)))))</f>
        <v>99.95</v>
      </c>
      <c r="BP41" s="131" t="n">
        <f aca="false">IF(OR($C41="",$B$2="",$D$2=0),0,IF(BP$3&lt;0,0,N(INDEX('CURVA PREVISION'!$A$1:$KZ$3000,$C41,10+3*MIN(BP$3,$D$2-1)))))</f>
        <v>99.95</v>
      </c>
      <c r="BQ41" s="131" t="n">
        <f aca="false">IF(OR($C41="",$B$2="",$D$2=0),0,IF(BQ$3&lt;0,0,N(INDEX('CURVA PREVISION'!$A$1:$KZ$3000,$C41,10+3*MIN(BQ$3,$D$2-1)))))</f>
        <v>99.95</v>
      </c>
      <c r="BR41" s="131" t="n">
        <f aca="false">IF(OR($C41="",$B$2="",$D$2=0),0,IF(BR$3&lt;0,0,N(INDEX('CURVA PREVISION'!$A$1:$KZ$3000,$C41,10+3*MIN(BR$3,$D$2-1)))))</f>
        <v>99.95</v>
      </c>
      <c r="BS41" s="131" t="n">
        <f aca="false">IF(OR($C41="",$B$2="",$D$2=0),0,IF(BS$3&lt;0,0,N(INDEX('CURVA PREVISION'!$A$1:$KZ$3000,$C41,10+3*MIN(BS$3,$D$2-1)))))</f>
        <v>99.95</v>
      </c>
      <c r="BT41" s="131" t="n">
        <f aca="false">IF(OR($C41="",$B$2="",$D$2=0),0,IF(BT$3&lt;0,0,N(INDEX('CURVA PREVISION'!$A$1:$KZ$3000,$C41,10+3*MIN(BT$3,$D$2-1)))))</f>
        <v>99.95</v>
      </c>
      <c r="BU41" s="131" t="n">
        <f aca="false">IF(OR($C41="",$B$2="",$D$2=0),0,IF(BU$3&lt;0,0,N(INDEX('CURVA PREVISION'!$A$1:$KZ$3000,$C41,10+3*MIN(BU$3,$D$2-1)))))</f>
        <v>99.95</v>
      </c>
      <c r="BV41" s="131" t="n">
        <f aca="false">IF(OR($C41="",$B$2="",$D$2=0),0,IF(BV$3&lt;0,0,N(INDEX('CURVA PREVISION'!$A$1:$KZ$3000,$C41,10+3*MIN(BV$3,$D$2-1)))))</f>
        <v>99.95</v>
      </c>
      <c r="BW41" s="131" t="n">
        <f aca="false">IF(OR($C41="",$B$2="",$D$2=0),0,IF(BW$3&lt;0,0,N(INDEX('CURVA PREVISION'!$A$1:$KZ$3000,$C41,10+3*MIN(BW$3,$D$2-1)))))</f>
        <v>99.95</v>
      </c>
    </row>
    <row r="42" customFormat="false" ht="15" hidden="false" customHeight="false" outlineLevel="0" collapsed="false">
      <c r="A42" s="57" t="str">
        <f aca="false">IF('VALOR POR PL'!R48&lt;&gt;"",'VALOR POR PL'!R48,IF('VALOR POR PL'!Q48="",'VALOR POR PL'!C48,'VALOR POR PL'!Q48))</f>
        <v>00</v>
      </c>
      <c r="B42" s="57" t="str">
        <f aca="false">'VALOR POR PL'!D48</f>
        <v>TAXA DE ADMINISTRAÇÃO</v>
      </c>
      <c r="C42" s="64" t="str">
        <f aca="false">IFERROR(MATCH(A42,'CURVA PREVISION'!$B$1:$B$3000,0),"")</f>
        <v/>
      </c>
      <c r="D42" s="131" t="n">
        <f aca="false">IF(OR($C42="",$B$2="",$D$2=0),0,IF(D$3&lt;0,0,N(INDEX('CURVA PREVISION'!$A$1:$KZ$3000,$C42,10+3*MIN(D$3,$D$2-1)))))</f>
        <v>0</v>
      </c>
      <c r="E42" s="131" t="n">
        <f aca="false">IF(OR($C42="",$B$2="",$D$2=0),0,IF(E$3&lt;0,0,N(INDEX('CURVA PREVISION'!$A$1:$KZ$3000,$C42,10+3*MIN(E$3,$D$2-1)))))</f>
        <v>0</v>
      </c>
      <c r="F42" s="131" t="n">
        <f aca="false">IF(OR($C42="",$B$2="",$D$2=0),0,IF(F$3&lt;0,0,N(INDEX('CURVA PREVISION'!$A$1:$KZ$3000,$C42,10+3*MIN(F$3,$D$2-1)))))</f>
        <v>0</v>
      </c>
      <c r="G42" s="131" t="n">
        <f aca="false">IF(OR($C42="",$B$2="",$D$2=0),0,IF(G$3&lt;0,0,N(INDEX('CURVA PREVISION'!$A$1:$KZ$3000,$C42,10+3*MIN(G$3,$D$2-1)))))</f>
        <v>0</v>
      </c>
      <c r="H42" s="131" t="n">
        <f aca="false">IF(OR($C42="",$B$2="",$D$2=0),0,IF(H$3&lt;0,0,N(INDEX('CURVA PREVISION'!$A$1:$KZ$3000,$C42,10+3*MIN(H$3,$D$2-1)))))</f>
        <v>0</v>
      </c>
      <c r="I42" s="131" t="n">
        <f aca="false">IF(OR($C42="",$B$2="",$D$2=0),0,IF(I$3&lt;0,0,N(INDEX('CURVA PREVISION'!$A$1:$KZ$3000,$C42,10+3*MIN(I$3,$D$2-1)))))</f>
        <v>0</v>
      </c>
      <c r="J42" s="131" t="n">
        <f aca="false">IF(OR($C42="",$B$2="",$D$2=0),0,IF(J$3&lt;0,0,N(INDEX('CURVA PREVISION'!$A$1:$KZ$3000,$C42,10+3*MIN(J$3,$D$2-1)))))</f>
        <v>0</v>
      </c>
      <c r="K42" s="131" t="n">
        <f aca="false">IF(OR($C42="",$B$2="",$D$2=0),0,IF(K$3&lt;0,0,N(INDEX('CURVA PREVISION'!$A$1:$KZ$3000,$C42,10+3*MIN(K$3,$D$2-1)))))</f>
        <v>0</v>
      </c>
      <c r="L42" s="131" t="n">
        <f aca="false">IF(OR($C42="",$B$2="",$D$2=0),0,IF(L$3&lt;0,0,N(INDEX('CURVA PREVISION'!$A$1:$KZ$3000,$C42,10+3*MIN(L$3,$D$2-1)))))</f>
        <v>0</v>
      </c>
      <c r="M42" s="131" t="n">
        <f aca="false">IF(OR($C42="",$B$2="",$D$2=0),0,IF(M$3&lt;0,0,N(INDEX('CURVA PREVISION'!$A$1:$KZ$3000,$C42,10+3*MIN(M$3,$D$2-1)))))</f>
        <v>0</v>
      </c>
      <c r="N42" s="131" t="n">
        <f aca="false">IF(OR($C42="",$B$2="",$D$2=0),0,IF(N$3&lt;0,0,N(INDEX('CURVA PREVISION'!$A$1:$KZ$3000,$C42,10+3*MIN(N$3,$D$2-1)))))</f>
        <v>0</v>
      </c>
      <c r="O42" s="131" t="n">
        <f aca="false">IF(OR($C42="",$B$2="",$D$2=0),0,IF(O$3&lt;0,0,N(INDEX('CURVA PREVISION'!$A$1:$KZ$3000,$C42,10+3*MIN(O$3,$D$2-1)))))</f>
        <v>0</v>
      </c>
      <c r="P42" s="131" t="n">
        <f aca="false">IF(OR($C42="",$B$2="",$D$2=0),0,IF(P$3&lt;0,0,N(INDEX('CURVA PREVISION'!$A$1:$KZ$3000,$C42,10+3*MIN(P$3,$D$2-1)))))</f>
        <v>0</v>
      </c>
      <c r="Q42" s="131" t="n">
        <f aca="false">IF(OR($C42="",$B$2="",$D$2=0),0,IF(Q$3&lt;0,0,N(INDEX('CURVA PREVISION'!$A$1:$KZ$3000,$C42,10+3*MIN(Q$3,$D$2-1)))))</f>
        <v>0</v>
      </c>
      <c r="R42" s="131" t="n">
        <f aca="false">IF(OR($C42="",$B$2="",$D$2=0),0,IF(R$3&lt;0,0,N(INDEX('CURVA PREVISION'!$A$1:$KZ$3000,$C42,10+3*MIN(R$3,$D$2-1)))))</f>
        <v>0</v>
      </c>
      <c r="S42" s="131" t="n">
        <f aca="false">IF(OR($C42="",$B$2="",$D$2=0),0,IF(S$3&lt;0,0,N(INDEX('CURVA PREVISION'!$A$1:$KZ$3000,$C42,10+3*MIN(S$3,$D$2-1)))))</f>
        <v>0</v>
      </c>
      <c r="T42" s="131" t="n">
        <f aca="false">IF(OR($C42="",$B$2="",$D$2=0),0,IF(T$3&lt;0,0,N(INDEX('CURVA PREVISION'!$A$1:$KZ$3000,$C42,10+3*MIN(T$3,$D$2-1)))))</f>
        <v>0</v>
      </c>
      <c r="U42" s="131" t="n">
        <f aca="false">IF(OR($C42="",$B$2="",$D$2=0),0,IF(U$3&lt;0,0,N(INDEX('CURVA PREVISION'!$A$1:$KZ$3000,$C42,10+3*MIN(U$3,$D$2-1)))))</f>
        <v>0</v>
      </c>
      <c r="V42" s="131" t="n">
        <f aca="false">IF(OR($C42="",$B$2="",$D$2=0),0,IF(V$3&lt;0,0,N(INDEX('CURVA PREVISION'!$A$1:$KZ$3000,$C42,10+3*MIN(V$3,$D$2-1)))))</f>
        <v>0</v>
      </c>
      <c r="W42" s="131" t="n">
        <f aca="false">IF(OR($C42="",$B$2="",$D$2=0),0,IF(W$3&lt;0,0,N(INDEX('CURVA PREVISION'!$A$1:$KZ$3000,$C42,10+3*MIN(W$3,$D$2-1)))))</f>
        <v>0</v>
      </c>
      <c r="X42" s="131" t="n">
        <f aca="false">IF(OR($C42="",$B$2="",$D$2=0),0,IF(X$3&lt;0,0,N(INDEX('CURVA PREVISION'!$A$1:$KZ$3000,$C42,10+3*MIN(X$3,$D$2-1)))))</f>
        <v>0</v>
      </c>
      <c r="Y42" s="131" t="n">
        <f aca="false">IF(OR($C42="",$B$2="",$D$2=0),0,IF(Y$3&lt;0,0,N(INDEX('CURVA PREVISION'!$A$1:$KZ$3000,$C42,10+3*MIN(Y$3,$D$2-1)))))</f>
        <v>0</v>
      </c>
      <c r="Z42" s="131" t="n">
        <f aca="false">IF(OR($C42="",$B$2="",$D$2=0),0,IF(Z$3&lt;0,0,N(INDEX('CURVA PREVISION'!$A$1:$KZ$3000,$C42,10+3*MIN(Z$3,$D$2-1)))))</f>
        <v>0</v>
      </c>
      <c r="AA42" s="131" t="n">
        <f aca="false">IF(OR($C42="",$B$2="",$D$2=0),0,IF(AA$3&lt;0,0,N(INDEX('CURVA PREVISION'!$A$1:$KZ$3000,$C42,10+3*MIN(AA$3,$D$2-1)))))</f>
        <v>0</v>
      </c>
      <c r="AB42" s="131" t="n">
        <f aca="false">IF(OR($C42="",$B$2="",$D$2=0),0,IF(AB$3&lt;0,0,N(INDEX('CURVA PREVISION'!$A$1:$KZ$3000,$C42,10+3*MIN(AB$3,$D$2-1)))))</f>
        <v>0</v>
      </c>
      <c r="AC42" s="131" t="n">
        <f aca="false">IF(OR($C42="",$B$2="",$D$2=0),0,IF(AC$3&lt;0,0,N(INDEX('CURVA PREVISION'!$A$1:$KZ$3000,$C42,10+3*MIN(AC$3,$D$2-1)))))</f>
        <v>0</v>
      </c>
      <c r="AD42" s="131" t="n">
        <f aca="false">IF(OR($C42="",$B$2="",$D$2=0),0,IF(AD$3&lt;0,0,N(INDEX('CURVA PREVISION'!$A$1:$KZ$3000,$C42,10+3*MIN(AD$3,$D$2-1)))))</f>
        <v>0</v>
      </c>
      <c r="AE42" s="131" t="n">
        <f aca="false">IF(OR($C42="",$B$2="",$D$2=0),0,IF(AE$3&lt;0,0,N(INDEX('CURVA PREVISION'!$A$1:$KZ$3000,$C42,10+3*MIN(AE$3,$D$2-1)))))</f>
        <v>0</v>
      </c>
      <c r="AF42" s="131" t="n">
        <f aca="false">IF(OR($C42="",$B$2="",$D$2=0),0,IF(AF$3&lt;0,0,N(INDEX('CURVA PREVISION'!$A$1:$KZ$3000,$C42,10+3*MIN(AF$3,$D$2-1)))))</f>
        <v>0</v>
      </c>
      <c r="AG42" s="131" t="n">
        <f aca="false">IF(OR($C42="",$B$2="",$D$2=0),0,IF(AG$3&lt;0,0,N(INDEX('CURVA PREVISION'!$A$1:$KZ$3000,$C42,10+3*MIN(AG$3,$D$2-1)))))</f>
        <v>0</v>
      </c>
      <c r="AH42" s="131" t="n">
        <f aca="false">IF(OR($C42="",$B$2="",$D$2=0),0,IF(AH$3&lt;0,0,N(INDEX('CURVA PREVISION'!$A$1:$KZ$3000,$C42,10+3*MIN(AH$3,$D$2-1)))))</f>
        <v>0</v>
      </c>
      <c r="AI42" s="131" t="n">
        <f aca="false">IF(OR($C42="",$B$2="",$D$2=0),0,IF(AI$3&lt;0,0,N(INDEX('CURVA PREVISION'!$A$1:$KZ$3000,$C42,10+3*MIN(AI$3,$D$2-1)))))</f>
        <v>0</v>
      </c>
      <c r="AJ42" s="131" t="n">
        <f aca="false">IF(OR($C42="",$B$2="",$D$2=0),0,IF(AJ$3&lt;0,0,N(INDEX('CURVA PREVISION'!$A$1:$KZ$3000,$C42,10+3*MIN(AJ$3,$D$2-1)))))</f>
        <v>0</v>
      </c>
      <c r="AK42" s="131" t="n">
        <f aca="false">IF(OR($C42="",$B$2="",$D$2=0),0,IF(AK$3&lt;0,0,N(INDEX('CURVA PREVISION'!$A$1:$KZ$3000,$C42,10+3*MIN(AK$3,$D$2-1)))))</f>
        <v>0</v>
      </c>
      <c r="AL42" s="131" t="n">
        <f aca="false">IF(OR($C42="",$B$2="",$D$2=0),0,IF(AL$3&lt;0,0,N(INDEX('CURVA PREVISION'!$A$1:$KZ$3000,$C42,10+3*MIN(AL$3,$D$2-1)))))</f>
        <v>0</v>
      </c>
      <c r="AM42" s="131" t="n">
        <f aca="false">IF(OR($C42="",$B$2="",$D$2=0),0,IF(AM$3&lt;0,0,N(INDEX('CURVA PREVISION'!$A$1:$KZ$3000,$C42,10+3*MIN(AM$3,$D$2-1)))))</f>
        <v>0</v>
      </c>
      <c r="AN42" s="131" t="n">
        <f aca="false">IF(OR($C42="",$B$2="",$D$2=0),0,IF(AN$3&lt;0,0,N(INDEX('CURVA PREVISION'!$A$1:$KZ$3000,$C42,10+3*MIN(AN$3,$D$2-1)))))</f>
        <v>0</v>
      </c>
      <c r="AO42" s="131" t="n">
        <f aca="false">IF(OR($C42="",$B$2="",$D$2=0),0,IF(AO$3&lt;0,0,N(INDEX('CURVA PREVISION'!$A$1:$KZ$3000,$C42,10+3*MIN(AO$3,$D$2-1)))))</f>
        <v>0</v>
      </c>
      <c r="AP42" s="131" t="n">
        <f aca="false">IF(OR($C42="",$B$2="",$D$2=0),0,IF(AP$3&lt;0,0,N(INDEX('CURVA PREVISION'!$A$1:$KZ$3000,$C42,10+3*MIN(AP$3,$D$2-1)))))</f>
        <v>0</v>
      </c>
      <c r="AQ42" s="131" t="n">
        <f aca="false">IF(OR($C42="",$B$2="",$D$2=0),0,IF(AQ$3&lt;0,0,N(INDEX('CURVA PREVISION'!$A$1:$KZ$3000,$C42,10+3*MIN(AQ$3,$D$2-1)))))</f>
        <v>0</v>
      </c>
      <c r="AR42" s="131" t="n">
        <f aca="false">IF(OR($C42="",$B$2="",$D$2=0),0,IF(AR$3&lt;0,0,N(INDEX('CURVA PREVISION'!$A$1:$KZ$3000,$C42,10+3*MIN(AR$3,$D$2-1)))))</f>
        <v>0</v>
      </c>
      <c r="AS42" s="131" t="n">
        <f aca="false">IF(OR($C42="",$B$2="",$D$2=0),0,IF(AS$3&lt;0,0,N(INDEX('CURVA PREVISION'!$A$1:$KZ$3000,$C42,10+3*MIN(AS$3,$D$2-1)))))</f>
        <v>0</v>
      </c>
      <c r="AT42" s="131" t="n">
        <f aca="false">IF(OR($C42="",$B$2="",$D$2=0),0,IF(AT$3&lt;0,0,N(INDEX('CURVA PREVISION'!$A$1:$KZ$3000,$C42,10+3*MIN(AT$3,$D$2-1)))))</f>
        <v>0</v>
      </c>
      <c r="AU42" s="131" t="n">
        <f aca="false">IF(OR($C42="",$B$2="",$D$2=0),0,IF(AU$3&lt;0,0,N(INDEX('CURVA PREVISION'!$A$1:$KZ$3000,$C42,10+3*MIN(AU$3,$D$2-1)))))</f>
        <v>0</v>
      </c>
      <c r="AV42" s="131" t="n">
        <f aca="false">IF(OR($C42="",$B$2="",$D$2=0),0,IF(AV$3&lt;0,0,N(INDEX('CURVA PREVISION'!$A$1:$KZ$3000,$C42,10+3*MIN(AV$3,$D$2-1)))))</f>
        <v>0</v>
      </c>
      <c r="AW42" s="131" t="n">
        <f aca="false">IF(OR($C42="",$B$2="",$D$2=0),0,IF(AW$3&lt;0,0,N(INDEX('CURVA PREVISION'!$A$1:$KZ$3000,$C42,10+3*MIN(AW$3,$D$2-1)))))</f>
        <v>0</v>
      </c>
      <c r="AX42" s="131" t="n">
        <f aca="false">IF(OR($C42="",$B$2="",$D$2=0),0,IF(AX$3&lt;0,0,N(INDEX('CURVA PREVISION'!$A$1:$KZ$3000,$C42,10+3*MIN(AX$3,$D$2-1)))))</f>
        <v>0</v>
      </c>
      <c r="AY42" s="131" t="n">
        <f aca="false">IF(OR($C42="",$B$2="",$D$2=0),0,IF(AY$3&lt;0,0,N(INDEX('CURVA PREVISION'!$A$1:$KZ$3000,$C42,10+3*MIN(AY$3,$D$2-1)))))</f>
        <v>0</v>
      </c>
      <c r="AZ42" s="131" t="n">
        <f aca="false">IF(OR($C42="",$B$2="",$D$2=0),0,IF(AZ$3&lt;0,0,N(INDEX('CURVA PREVISION'!$A$1:$KZ$3000,$C42,10+3*MIN(AZ$3,$D$2-1)))))</f>
        <v>0</v>
      </c>
      <c r="BA42" s="131" t="n">
        <f aca="false">IF(OR($C42="",$B$2="",$D$2=0),0,IF(BA$3&lt;0,0,N(INDEX('CURVA PREVISION'!$A$1:$KZ$3000,$C42,10+3*MIN(BA$3,$D$2-1)))))</f>
        <v>0</v>
      </c>
      <c r="BB42" s="131" t="n">
        <f aca="false">IF(OR($C42="",$B$2="",$D$2=0),0,IF(BB$3&lt;0,0,N(INDEX('CURVA PREVISION'!$A$1:$KZ$3000,$C42,10+3*MIN(BB$3,$D$2-1)))))</f>
        <v>0</v>
      </c>
      <c r="BC42" s="131" t="n">
        <f aca="false">IF(OR($C42="",$B$2="",$D$2=0),0,IF(BC$3&lt;0,0,N(INDEX('CURVA PREVISION'!$A$1:$KZ$3000,$C42,10+3*MIN(BC$3,$D$2-1)))))</f>
        <v>0</v>
      </c>
      <c r="BD42" s="131" t="n">
        <f aca="false">IF(OR($C42="",$B$2="",$D$2=0),0,IF(BD$3&lt;0,0,N(INDEX('CURVA PREVISION'!$A$1:$KZ$3000,$C42,10+3*MIN(BD$3,$D$2-1)))))</f>
        <v>0</v>
      </c>
      <c r="BE42" s="131" t="n">
        <f aca="false">IF(OR($C42="",$B$2="",$D$2=0),0,IF(BE$3&lt;0,0,N(INDEX('CURVA PREVISION'!$A$1:$KZ$3000,$C42,10+3*MIN(BE$3,$D$2-1)))))</f>
        <v>0</v>
      </c>
      <c r="BF42" s="131" t="n">
        <f aca="false">IF(OR($C42="",$B$2="",$D$2=0),0,IF(BF$3&lt;0,0,N(INDEX('CURVA PREVISION'!$A$1:$KZ$3000,$C42,10+3*MIN(BF$3,$D$2-1)))))</f>
        <v>0</v>
      </c>
      <c r="BG42" s="131" t="n">
        <f aca="false">IF(OR($C42="",$B$2="",$D$2=0),0,IF(BG$3&lt;0,0,N(INDEX('CURVA PREVISION'!$A$1:$KZ$3000,$C42,10+3*MIN(BG$3,$D$2-1)))))</f>
        <v>0</v>
      </c>
      <c r="BH42" s="131" t="n">
        <f aca="false">IF(OR($C42="",$B$2="",$D$2=0),0,IF(BH$3&lt;0,0,N(INDEX('CURVA PREVISION'!$A$1:$KZ$3000,$C42,10+3*MIN(BH$3,$D$2-1)))))</f>
        <v>0</v>
      </c>
      <c r="BI42" s="131" t="n">
        <f aca="false">IF(OR($C42="",$B$2="",$D$2=0),0,IF(BI$3&lt;0,0,N(INDEX('CURVA PREVISION'!$A$1:$KZ$3000,$C42,10+3*MIN(BI$3,$D$2-1)))))</f>
        <v>0</v>
      </c>
      <c r="BJ42" s="131" t="n">
        <f aca="false">IF(OR($C42="",$B$2="",$D$2=0),0,IF(BJ$3&lt;0,0,N(INDEX('CURVA PREVISION'!$A$1:$KZ$3000,$C42,10+3*MIN(BJ$3,$D$2-1)))))</f>
        <v>0</v>
      </c>
      <c r="BK42" s="131" t="n">
        <f aca="false">IF(OR($C42="",$B$2="",$D$2=0),0,IF(BK$3&lt;0,0,N(INDEX('CURVA PREVISION'!$A$1:$KZ$3000,$C42,10+3*MIN(BK$3,$D$2-1)))))</f>
        <v>0</v>
      </c>
      <c r="BL42" s="131" t="n">
        <f aca="false">IF(OR($C42="",$B$2="",$D$2=0),0,IF(BL$3&lt;0,0,N(INDEX('CURVA PREVISION'!$A$1:$KZ$3000,$C42,10+3*MIN(BL$3,$D$2-1)))))</f>
        <v>0</v>
      </c>
      <c r="BM42" s="131" t="n">
        <f aca="false">IF(OR($C42="",$B$2="",$D$2=0),0,IF(BM$3&lt;0,0,N(INDEX('CURVA PREVISION'!$A$1:$KZ$3000,$C42,10+3*MIN(BM$3,$D$2-1)))))</f>
        <v>0</v>
      </c>
      <c r="BN42" s="131" t="n">
        <f aca="false">IF(OR($C42="",$B$2="",$D$2=0),0,IF(BN$3&lt;0,0,N(INDEX('CURVA PREVISION'!$A$1:$KZ$3000,$C42,10+3*MIN(BN$3,$D$2-1)))))</f>
        <v>0</v>
      </c>
      <c r="BO42" s="131" t="n">
        <f aca="false">IF(OR($C42="",$B$2="",$D$2=0),0,IF(BO$3&lt;0,0,N(INDEX('CURVA PREVISION'!$A$1:$KZ$3000,$C42,10+3*MIN(BO$3,$D$2-1)))))</f>
        <v>0</v>
      </c>
      <c r="BP42" s="131" t="n">
        <f aca="false">IF(OR($C42="",$B$2="",$D$2=0),0,IF(BP$3&lt;0,0,N(INDEX('CURVA PREVISION'!$A$1:$KZ$3000,$C42,10+3*MIN(BP$3,$D$2-1)))))</f>
        <v>0</v>
      </c>
      <c r="BQ42" s="131" t="n">
        <f aca="false">IF(OR($C42="",$B$2="",$D$2=0),0,IF(BQ$3&lt;0,0,N(INDEX('CURVA PREVISION'!$A$1:$KZ$3000,$C42,10+3*MIN(BQ$3,$D$2-1)))))</f>
        <v>0</v>
      </c>
      <c r="BR42" s="131" t="n">
        <f aca="false">IF(OR($C42="",$B$2="",$D$2=0),0,IF(BR$3&lt;0,0,N(INDEX('CURVA PREVISION'!$A$1:$KZ$3000,$C42,10+3*MIN(BR$3,$D$2-1)))))</f>
        <v>0</v>
      </c>
      <c r="BS42" s="131" t="n">
        <f aca="false">IF(OR($C42="",$B$2="",$D$2=0),0,IF(BS$3&lt;0,0,N(INDEX('CURVA PREVISION'!$A$1:$KZ$3000,$C42,10+3*MIN(BS$3,$D$2-1)))))</f>
        <v>0</v>
      </c>
      <c r="BT42" s="131" t="n">
        <f aca="false">IF(OR($C42="",$B$2="",$D$2=0),0,IF(BT$3&lt;0,0,N(INDEX('CURVA PREVISION'!$A$1:$KZ$3000,$C42,10+3*MIN(BT$3,$D$2-1)))))</f>
        <v>0</v>
      </c>
      <c r="BU42" s="131" t="n">
        <f aca="false">IF(OR($C42="",$B$2="",$D$2=0),0,IF(BU$3&lt;0,0,N(INDEX('CURVA PREVISION'!$A$1:$KZ$3000,$C42,10+3*MIN(BU$3,$D$2-1)))))</f>
        <v>0</v>
      </c>
      <c r="BV42" s="131" t="n">
        <f aca="false">IF(OR($C42="",$B$2="",$D$2=0),0,IF(BV$3&lt;0,0,N(INDEX('CURVA PREVISION'!$A$1:$KZ$3000,$C42,10+3*MIN(BV$3,$D$2-1)))))</f>
        <v>0</v>
      </c>
      <c r="BW42" s="131" t="n">
        <f aca="false">IF(OR($C42="",$B$2="",$D$2=0),0,IF(BW$3&lt;0,0,N(INDEX('CURVA PREVISION'!$A$1:$KZ$3000,$C42,10+3*MIN(BW$3,$D$2-1)))))</f>
        <v>0</v>
      </c>
    </row>
    <row r="45" customFormat="false" ht="15" hidden="false" customHeight="false" outlineLevel="0" collapsed="false">
      <c r="A45" s="3" t="s">
        <v>2864</v>
      </c>
    </row>
    <row r="46" customFormat="false" ht="31.5" hidden="false" customHeight="true" outlineLevel="0" collapsed="false">
      <c r="A46" s="54" t="s">
        <v>115</v>
      </c>
      <c r="B46" s="54" t="s">
        <v>2862</v>
      </c>
      <c r="C46" s="54" t="s">
        <v>2863</v>
      </c>
      <c r="D46" s="130" t="n">
        <f aca="false">D4</f>
        <v>45627</v>
      </c>
      <c r="E46" s="130" t="n">
        <f aca="false">E4</f>
        <v>45658</v>
      </c>
      <c r="F46" s="130" t="n">
        <f aca="false">F4</f>
        <v>45689</v>
      </c>
      <c r="G46" s="130" t="n">
        <f aca="false">G4</f>
        <v>45717</v>
      </c>
      <c r="H46" s="130" t="n">
        <f aca="false">H4</f>
        <v>45748</v>
      </c>
      <c r="I46" s="130" t="n">
        <f aca="false">I4</f>
        <v>45778</v>
      </c>
      <c r="J46" s="130" t="n">
        <f aca="false">J4</f>
        <v>45809</v>
      </c>
      <c r="K46" s="130" t="n">
        <f aca="false">K4</f>
        <v>45839</v>
      </c>
      <c r="L46" s="130" t="n">
        <f aca="false">L4</f>
        <v>45870</v>
      </c>
      <c r="M46" s="130" t="n">
        <f aca="false">M4</f>
        <v>45901</v>
      </c>
      <c r="N46" s="130" t="n">
        <f aca="false">N4</f>
        <v>45931</v>
      </c>
      <c r="O46" s="130" t="n">
        <f aca="false">O4</f>
        <v>45962</v>
      </c>
      <c r="P46" s="130" t="n">
        <f aca="false">P4</f>
        <v>45992</v>
      </c>
      <c r="Q46" s="130" t="n">
        <f aca="false">Q4</f>
        <v>46023</v>
      </c>
      <c r="R46" s="130" t="n">
        <f aca="false">R4</f>
        <v>46054</v>
      </c>
      <c r="S46" s="130" t="n">
        <f aca="false">S4</f>
        <v>46082</v>
      </c>
      <c r="T46" s="130" t="n">
        <f aca="false">T4</f>
        <v>46113</v>
      </c>
      <c r="U46" s="130" t="n">
        <f aca="false">U4</f>
        <v>46143</v>
      </c>
      <c r="V46" s="130" t="n">
        <f aca="false">V4</f>
        <v>46174</v>
      </c>
      <c r="W46" s="130" t="n">
        <f aca="false">W4</f>
        <v>46204</v>
      </c>
      <c r="X46" s="130" t="n">
        <f aca="false">X4</f>
        <v>46235</v>
      </c>
      <c r="Y46" s="130" t="n">
        <f aca="false">Y4</f>
        <v>46266</v>
      </c>
      <c r="Z46" s="130" t="n">
        <f aca="false">Z4</f>
        <v>46296</v>
      </c>
      <c r="AA46" s="130" t="n">
        <f aca="false">AA4</f>
        <v>46327</v>
      </c>
      <c r="AB46" s="130" t="n">
        <f aca="false">AB4</f>
        <v>46357</v>
      </c>
      <c r="AC46" s="130" t="n">
        <f aca="false">AC4</f>
        <v>46388</v>
      </c>
      <c r="AD46" s="130" t="n">
        <f aca="false">AD4</f>
        <v>46419</v>
      </c>
      <c r="AE46" s="130" t="n">
        <f aca="false">AE4</f>
        <v>46447</v>
      </c>
      <c r="AF46" s="130" t="n">
        <f aca="false">AF4</f>
        <v>46478</v>
      </c>
      <c r="AG46" s="130" t="n">
        <f aca="false">AG4</f>
        <v>46508</v>
      </c>
      <c r="AH46" s="130" t="n">
        <f aca="false">AH4</f>
        <v>46539</v>
      </c>
      <c r="AI46" s="130" t="n">
        <f aca="false">AI4</f>
        <v>46569</v>
      </c>
      <c r="AJ46" s="130" t="n">
        <f aca="false">AJ4</f>
        <v>46600</v>
      </c>
      <c r="AK46" s="130" t="n">
        <f aca="false">AK4</f>
        <v>46631</v>
      </c>
      <c r="AL46" s="130" t="n">
        <f aca="false">AL4</f>
        <v>46661</v>
      </c>
      <c r="AM46" s="130" t="n">
        <f aca="false">AM4</f>
        <v>46692</v>
      </c>
      <c r="AN46" s="130" t="n">
        <f aca="false">AN4</f>
        <v>46722</v>
      </c>
      <c r="AO46" s="130" t="n">
        <f aca="false">AO4</f>
        <v>46753</v>
      </c>
      <c r="AP46" s="130" t="n">
        <f aca="false">AP4</f>
        <v>46784</v>
      </c>
      <c r="AQ46" s="130" t="n">
        <f aca="false">AQ4</f>
        <v>46813</v>
      </c>
      <c r="AR46" s="130" t="n">
        <f aca="false">AR4</f>
        <v>46844</v>
      </c>
      <c r="AS46" s="130" t="n">
        <f aca="false">AS4</f>
        <v>46874</v>
      </c>
      <c r="AT46" s="130" t="n">
        <f aca="false">AT4</f>
        <v>46905</v>
      </c>
      <c r="AU46" s="130" t="n">
        <f aca="false">AU4</f>
        <v>46935</v>
      </c>
      <c r="AV46" s="130" t="n">
        <f aca="false">AV4</f>
        <v>46966</v>
      </c>
      <c r="AW46" s="130" t="n">
        <f aca="false">AW4</f>
        <v>46997</v>
      </c>
      <c r="AX46" s="130" t="n">
        <f aca="false">AX4</f>
        <v>47027</v>
      </c>
      <c r="AY46" s="130" t="n">
        <f aca="false">AY4</f>
        <v>47058</v>
      </c>
      <c r="AZ46" s="130" t="n">
        <f aca="false">AZ4</f>
        <v>47088</v>
      </c>
      <c r="BA46" s="130" t="n">
        <f aca="false">BA4</f>
        <v>47119</v>
      </c>
      <c r="BB46" s="130" t="n">
        <f aca="false">BB4</f>
        <v>47150</v>
      </c>
      <c r="BC46" s="130" t="n">
        <f aca="false">BC4</f>
        <v>47178</v>
      </c>
      <c r="BD46" s="130" t="n">
        <f aca="false">BD4</f>
        <v>47209</v>
      </c>
      <c r="BE46" s="130" t="n">
        <f aca="false">BE4</f>
        <v>47239</v>
      </c>
      <c r="BF46" s="130" t="n">
        <f aca="false">BF4</f>
        <v>47270</v>
      </c>
      <c r="BG46" s="130" t="n">
        <f aca="false">BG4</f>
        <v>47300</v>
      </c>
      <c r="BH46" s="130" t="n">
        <f aca="false">BH4</f>
        <v>47331</v>
      </c>
      <c r="BI46" s="130" t="n">
        <f aca="false">BI4</f>
        <v>47362</v>
      </c>
      <c r="BJ46" s="130" t="n">
        <f aca="false">BJ4</f>
        <v>47392</v>
      </c>
      <c r="BK46" s="130" t="n">
        <f aca="false">BK4</f>
        <v>47423</v>
      </c>
      <c r="BL46" s="130" t="n">
        <f aca="false">BL4</f>
        <v>47453</v>
      </c>
      <c r="BM46" s="130" t="n">
        <f aca="false">BM4</f>
        <v>47484</v>
      </c>
      <c r="BN46" s="130" t="n">
        <f aca="false">BN4</f>
        <v>47515</v>
      </c>
      <c r="BO46" s="130" t="n">
        <f aca="false">BO4</f>
        <v>47543</v>
      </c>
      <c r="BP46" s="130" t="n">
        <f aca="false">BP4</f>
        <v>47574</v>
      </c>
      <c r="BQ46" s="130" t="n">
        <f aca="false">BQ4</f>
        <v>47604</v>
      </c>
      <c r="BR46" s="130" t="n">
        <f aca="false">BR4</f>
        <v>47635</v>
      </c>
      <c r="BS46" s="130" t="n">
        <f aca="false">BS4</f>
        <v>47665</v>
      </c>
      <c r="BT46" s="130" t="n">
        <f aca="false">BT4</f>
        <v>47696</v>
      </c>
      <c r="BU46" s="130" t="n">
        <f aca="false">BU4</f>
        <v>47727</v>
      </c>
      <c r="BV46" s="130" t="n">
        <f aca="false">BV4</f>
        <v>47757</v>
      </c>
      <c r="BW46" s="130" t="n">
        <f aca="false">BW4</f>
        <v>47788</v>
      </c>
    </row>
    <row r="47" customFormat="false" ht="15" hidden="false" customHeight="false" outlineLevel="0" collapsed="false">
      <c r="A47" s="57" t="str">
        <f aca="false">IF('VALOR POR PL'!Q11="",'VALOR POR PL'!C11,'VALOR POR PL'!Q11)</f>
        <v>01</v>
      </c>
      <c r="B47" s="47" t="str">
        <f aca="false">B5</f>
        <v>PROJETOS</v>
      </c>
      <c r="C47" s="64" t="n">
        <f aca="false">IFERROR(MATCH(A47,'CURVA PREVISION'!$B$1:$B$3000,0),"")</f>
        <v>4</v>
      </c>
      <c r="D47" s="131" t="n">
        <f aca="false">IF(OR($C47="",$B$2="",$D$2=0),0,IF(D$3&lt;0,0,N(INDEX('CURVA PREVISION'!$A$1:$KZ$3000,$C47,11+3*MIN(D$3,$D$2-1)))))</f>
        <v>0</v>
      </c>
      <c r="E47" s="131" t="n">
        <f aca="false">IF(OR($C47="",$B$2="",$D$2=0),0,IF(E$3&lt;0,0,N(INDEX('CURVA PREVISION'!$A$1:$KZ$3000,$C47,11+3*MIN(E$3,$D$2-1)))))</f>
        <v>0</v>
      </c>
      <c r="F47" s="131" t="n">
        <f aca="false">IF(OR($C47="",$B$2="",$D$2=0),0,IF(F$3&lt;0,0,N(INDEX('CURVA PREVISION'!$A$1:$KZ$3000,$C47,11+3*MIN(F$3,$D$2-1)))))</f>
        <v>0</v>
      </c>
      <c r="G47" s="131" t="n">
        <f aca="false">IF(OR($C47="",$B$2="",$D$2=0),0,IF(G$3&lt;0,0,N(INDEX('CURVA PREVISION'!$A$1:$KZ$3000,$C47,11+3*MIN(G$3,$D$2-1)))))</f>
        <v>0</v>
      </c>
      <c r="H47" s="131" t="n">
        <f aca="false">IF(OR($C47="",$B$2="",$D$2=0),0,IF(H$3&lt;0,0,N(INDEX('CURVA PREVISION'!$A$1:$KZ$3000,$C47,11+3*MIN(H$3,$D$2-1)))))</f>
        <v>0</v>
      </c>
      <c r="I47" s="131" t="n">
        <f aca="false">IF(OR($C47="",$B$2="",$D$2=0),0,IF(I$3&lt;0,0,N(INDEX('CURVA PREVISION'!$A$1:$KZ$3000,$C47,11+3*MIN(I$3,$D$2-1)))))</f>
        <v>0</v>
      </c>
      <c r="J47" s="131" t="n">
        <f aca="false">IF(OR($C47="",$B$2="",$D$2=0),0,IF(J$3&lt;0,0,N(INDEX('CURVA PREVISION'!$A$1:$KZ$3000,$C47,11+3*MIN(J$3,$D$2-1)))))</f>
        <v>0</v>
      </c>
      <c r="K47" s="131" t="n">
        <f aca="false">IF(OR($C47="",$B$2="",$D$2=0),0,IF(K$3&lt;0,0,N(INDEX('CURVA PREVISION'!$A$1:$KZ$3000,$C47,11+3*MIN(K$3,$D$2-1)))))</f>
        <v>0</v>
      </c>
      <c r="L47" s="131" t="n">
        <f aca="false">IF(OR($C47="",$B$2="",$D$2=0),0,IF(L$3&lt;0,0,N(INDEX('CURVA PREVISION'!$A$1:$KZ$3000,$C47,11+3*MIN(L$3,$D$2-1)))))</f>
        <v>0</v>
      </c>
      <c r="M47" s="131" t="n">
        <f aca="false">IF(OR($C47="",$B$2="",$D$2=0),0,IF(M$3&lt;0,0,N(INDEX('CURVA PREVISION'!$A$1:$KZ$3000,$C47,11+3*MIN(M$3,$D$2-1)))))</f>
        <v>0</v>
      </c>
      <c r="N47" s="131" t="n">
        <f aca="false">IF(OR($C47="",$B$2="",$D$2=0),0,IF(N$3&lt;0,0,N(INDEX('CURVA PREVISION'!$A$1:$KZ$3000,$C47,11+3*MIN(N$3,$D$2-1)))))</f>
        <v>0</v>
      </c>
      <c r="O47" s="131" t="n">
        <f aca="false">IF(OR($C47="",$B$2="",$D$2=0),0,IF(O$3&lt;0,0,N(INDEX('CURVA PREVISION'!$A$1:$KZ$3000,$C47,11+3*MIN(O$3,$D$2-1)))))</f>
        <v>0</v>
      </c>
      <c r="P47" s="131" t="n">
        <f aca="false">IF(OR($C47="",$B$2="",$D$2=0),0,IF(P$3&lt;0,0,N(INDEX('CURVA PREVISION'!$A$1:$KZ$3000,$C47,11+3*MIN(P$3,$D$2-1)))))</f>
        <v>0</v>
      </c>
      <c r="Q47" s="131" t="n">
        <f aca="false">IF(OR($C47="",$B$2="",$D$2=0),0,IF(Q$3&lt;0,0,N(INDEX('CURVA PREVISION'!$A$1:$KZ$3000,$C47,11+3*MIN(Q$3,$D$2-1)))))</f>
        <v>0</v>
      </c>
      <c r="R47" s="131" t="n">
        <f aca="false">IF(OR($C47="",$B$2="",$D$2=0),0,IF(R$3&lt;0,0,N(INDEX('CURVA PREVISION'!$A$1:$KZ$3000,$C47,11+3*MIN(R$3,$D$2-1)))))</f>
        <v>0</v>
      </c>
      <c r="S47" s="131" t="n">
        <f aca="false">IF(OR($C47="",$B$2="",$D$2=0),0,IF(S$3&lt;0,0,N(INDEX('CURVA PREVISION'!$A$1:$KZ$3000,$C47,11+3*MIN(S$3,$D$2-1)))))</f>
        <v>0</v>
      </c>
      <c r="T47" s="131" t="n">
        <f aca="false">IF(OR($C47="",$B$2="",$D$2=0),0,IF(T$3&lt;0,0,N(INDEX('CURVA PREVISION'!$A$1:$KZ$3000,$C47,11+3*MIN(T$3,$D$2-1)))))</f>
        <v>0</v>
      </c>
      <c r="U47" s="131" t="n">
        <f aca="false">IF(OR($C47="",$B$2="",$D$2=0),0,IF(U$3&lt;0,0,N(INDEX('CURVA PREVISION'!$A$1:$KZ$3000,$C47,11+3*MIN(U$3,$D$2-1)))))</f>
        <v>0</v>
      </c>
      <c r="V47" s="131" t="n">
        <f aca="false">IF(OR($C47="",$B$2="",$D$2=0),0,IF(V$3&lt;0,0,N(INDEX('CURVA PREVISION'!$A$1:$KZ$3000,$C47,11+3*MIN(V$3,$D$2-1)))))</f>
        <v>0</v>
      </c>
      <c r="W47" s="131" t="n">
        <f aca="false">IF(OR($C47="",$B$2="",$D$2=0),0,IF(W$3&lt;0,0,N(INDEX('CURVA PREVISION'!$A$1:$KZ$3000,$C47,11+3*MIN(W$3,$D$2-1)))))</f>
        <v>0</v>
      </c>
      <c r="X47" s="131" t="n">
        <f aca="false">IF(OR($C47="",$B$2="",$D$2=0),0,IF(X$3&lt;0,0,N(INDEX('CURVA PREVISION'!$A$1:$KZ$3000,$C47,11+3*MIN(X$3,$D$2-1)))))</f>
        <v>0</v>
      </c>
      <c r="Y47" s="131" t="n">
        <f aca="false">IF(OR($C47="",$B$2="",$D$2=0),0,IF(Y$3&lt;0,0,N(INDEX('CURVA PREVISION'!$A$1:$KZ$3000,$C47,11+3*MIN(Y$3,$D$2-1)))))</f>
        <v>0</v>
      </c>
      <c r="Z47" s="131" t="n">
        <f aca="false">IF(OR($C47="",$B$2="",$D$2=0),0,IF(Z$3&lt;0,0,N(INDEX('CURVA PREVISION'!$A$1:$KZ$3000,$C47,11+3*MIN(Z$3,$D$2-1)))))</f>
        <v>0</v>
      </c>
      <c r="AA47" s="131" t="n">
        <f aca="false">IF(OR($C47="",$B$2="",$D$2=0),0,IF(AA$3&lt;0,0,N(INDEX('CURVA PREVISION'!$A$1:$KZ$3000,$C47,11+3*MIN(AA$3,$D$2-1)))))</f>
        <v>0</v>
      </c>
      <c r="AB47" s="131" t="n">
        <f aca="false">IF(OR($C47="",$B$2="",$D$2=0),0,IF(AB$3&lt;0,0,N(INDEX('CURVA PREVISION'!$A$1:$KZ$3000,$C47,11+3*MIN(AB$3,$D$2-1)))))</f>
        <v>0</v>
      </c>
      <c r="AC47" s="131" t="n">
        <f aca="false">IF(OR($C47="",$B$2="",$D$2=0),0,IF(AC$3&lt;0,0,N(INDEX('CURVA PREVISION'!$A$1:$KZ$3000,$C47,11+3*MIN(AC$3,$D$2-1)))))</f>
        <v>0</v>
      </c>
      <c r="AD47" s="131" t="n">
        <f aca="false">IF(OR($C47="",$B$2="",$D$2=0),0,IF(AD$3&lt;0,0,N(INDEX('CURVA PREVISION'!$A$1:$KZ$3000,$C47,11+3*MIN(AD$3,$D$2-1)))))</f>
        <v>0</v>
      </c>
      <c r="AE47" s="131" t="n">
        <f aca="false">IF(OR($C47="",$B$2="",$D$2=0),0,IF(AE$3&lt;0,0,N(INDEX('CURVA PREVISION'!$A$1:$KZ$3000,$C47,11+3*MIN(AE$3,$D$2-1)))))</f>
        <v>0</v>
      </c>
      <c r="AF47" s="131" t="n">
        <f aca="false">IF(OR($C47="",$B$2="",$D$2=0),0,IF(AF$3&lt;0,0,N(INDEX('CURVA PREVISION'!$A$1:$KZ$3000,$C47,11+3*MIN(AF$3,$D$2-1)))))</f>
        <v>0</v>
      </c>
      <c r="AG47" s="131" t="n">
        <f aca="false">IF(OR($C47="",$B$2="",$D$2=0),0,IF(AG$3&lt;0,0,N(INDEX('CURVA PREVISION'!$A$1:$KZ$3000,$C47,11+3*MIN(AG$3,$D$2-1)))))</f>
        <v>0</v>
      </c>
      <c r="AH47" s="131" t="n">
        <f aca="false">IF(OR($C47="",$B$2="",$D$2=0),0,IF(AH$3&lt;0,0,N(INDEX('CURVA PREVISION'!$A$1:$KZ$3000,$C47,11+3*MIN(AH$3,$D$2-1)))))</f>
        <v>0</v>
      </c>
      <c r="AI47" s="131" t="n">
        <f aca="false">IF(OR($C47="",$B$2="",$D$2=0),0,IF(AI$3&lt;0,0,N(INDEX('CURVA PREVISION'!$A$1:$KZ$3000,$C47,11+3*MIN(AI$3,$D$2-1)))))</f>
        <v>0</v>
      </c>
      <c r="AJ47" s="131" t="n">
        <f aca="false">IF(OR($C47="",$B$2="",$D$2=0),0,IF(AJ$3&lt;0,0,N(INDEX('CURVA PREVISION'!$A$1:$KZ$3000,$C47,11+3*MIN(AJ$3,$D$2-1)))))</f>
        <v>0</v>
      </c>
      <c r="AK47" s="131" t="n">
        <f aca="false">IF(OR($C47="",$B$2="",$D$2=0),0,IF(AK$3&lt;0,0,N(INDEX('CURVA PREVISION'!$A$1:$KZ$3000,$C47,11+3*MIN(AK$3,$D$2-1)))))</f>
        <v>0</v>
      </c>
      <c r="AL47" s="131" t="n">
        <f aca="false">IF(OR($C47="",$B$2="",$D$2=0),0,IF(AL$3&lt;0,0,N(INDEX('CURVA PREVISION'!$A$1:$KZ$3000,$C47,11+3*MIN(AL$3,$D$2-1)))))</f>
        <v>0</v>
      </c>
      <c r="AM47" s="131" t="n">
        <f aca="false">IF(OR($C47="",$B$2="",$D$2=0),0,IF(AM$3&lt;0,0,N(INDEX('CURVA PREVISION'!$A$1:$KZ$3000,$C47,11+3*MIN(AM$3,$D$2-1)))))</f>
        <v>0</v>
      </c>
      <c r="AN47" s="131" t="n">
        <f aca="false">IF(OR($C47="",$B$2="",$D$2=0),0,IF(AN$3&lt;0,0,N(INDEX('CURVA PREVISION'!$A$1:$KZ$3000,$C47,11+3*MIN(AN$3,$D$2-1)))))</f>
        <v>0</v>
      </c>
      <c r="AO47" s="131" t="n">
        <f aca="false">IF(OR($C47="",$B$2="",$D$2=0),0,IF(AO$3&lt;0,0,N(INDEX('CURVA PREVISION'!$A$1:$KZ$3000,$C47,11+3*MIN(AO$3,$D$2-1)))))</f>
        <v>0</v>
      </c>
      <c r="AP47" s="131" t="n">
        <f aca="false">IF(OR($C47="",$B$2="",$D$2=0),0,IF(AP$3&lt;0,0,N(INDEX('CURVA PREVISION'!$A$1:$KZ$3000,$C47,11+3*MIN(AP$3,$D$2-1)))))</f>
        <v>0</v>
      </c>
      <c r="AQ47" s="131" t="n">
        <f aca="false">IF(OR($C47="",$B$2="",$D$2=0),0,IF(AQ$3&lt;0,0,N(INDEX('CURVA PREVISION'!$A$1:$KZ$3000,$C47,11+3*MIN(AQ$3,$D$2-1)))))</f>
        <v>0</v>
      </c>
      <c r="AR47" s="131" t="n">
        <f aca="false">IF(OR($C47="",$B$2="",$D$2=0),0,IF(AR$3&lt;0,0,N(INDEX('CURVA PREVISION'!$A$1:$KZ$3000,$C47,11+3*MIN(AR$3,$D$2-1)))))</f>
        <v>0</v>
      </c>
      <c r="AS47" s="131" t="n">
        <f aca="false">IF(OR($C47="",$B$2="",$D$2=0),0,IF(AS$3&lt;0,0,N(INDEX('CURVA PREVISION'!$A$1:$KZ$3000,$C47,11+3*MIN(AS$3,$D$2-1)))))</f>
        <v>0</v>
      </c>
      <c r="AT47" s="131" t="n">
        <f aca="false">IF(OR($C47="",$B$2="",$D$2=0),0,IF(AT$3&lt;0,0,N(INDEX('CURVA PREVISION'!$A$1:$KZ$3000,$C47,11+3*MIN(AT$3,$D$2-1)))))</f>
        <v>0</v>
      </c>
      <c r="AU47" s="131" t="n">
        <f aca="false">IF(OR($C47="",$B$2="",$D$2=0),0,IF(AU$3&lt;0,0,N(INDEX('CURVA PREVISION'!$A$1:$KZ$3000,$C47,11+3*MIN(AU$3,$D$2-1)))))</f>
        <v>0</v>
      </c>
      <c r="AV47" s="131" t="n">
        <f aca="false">IF(OR($C47="",$B$2="",$D$2=0),0,IF(AV$3&lt;0,0,N(INDEX('CURVA PREVISION'!$A$1:$KZ$3000,$C47,11+3*MIN(AV$3,$D$2-1)))))</f>
        <v>0</v>
      </c>
      <c r="AW47" s="131" t="n">
        <f aca="false">IF(OR($C47="",$B$2="",$D$2=0),0,IF(AW$3&lt;0,0,N(INDEX('CURVA PREVISION'!$A$1:$KZ$3000,$C47,11+3*MIN(AW$3,$D$2-1)))))</f>
        <v>0</v>
      </c>
      <c r="AX47" s="131" t="n">
        <f aca="false">IF(OR($C47="",$B$2="",$D$2=0),0,IF(AX$3&lt;0,0,N(INDEX('CURVA PREVISION'!$A$1:$KZ$3000,$C47,11+3*MIN(AX$3,$D$2-1)))))</f>
        <v>0</v>
      </c>
      <c r="AY47" s="131" t="n">
        <f aca="false">IF(OR($C47="",$B$2="",$D$2=0),0,IF(AY$3&lt;0,0,N(INDEX('CURVA PREVISION'!$A$1:$KZ$3000,$C47,11+3*MIN(AY$3,$D$2-1)))))</f>
        <v>0</v>
      </c>
      <c r="AZ47" s="131" t="n">
        <f aca="false">IF(OR($C47="",$B$2="",$D$2=0),0,IF(AZ$3&lt;0,0,N(INDEX('CURVA PREVISION'!$A$1:$KZ$3000,$C47,11+3*MIN(AZ$3,$D$2-1)))))</f>
        <v>0</v>
      </c>
      <c r="BA47" s="131" t="n">
        <f aca="false">IF(OR($C47="",$B$2="",$D$2=0),0,IF(BA$3&lt;0,0,N(INDEX('CURVA PREVISION'!$A$1:$KZ$3000,$C47,11+3*MIN(BA$3,$D$2-1)))))</f>
        <v>0</v>
      </c>
      <c r="BB47" s="131" t="n">
        <f aca="false">IF(OR($C47="",$B$2="",$D$2=0),0,IF(BB$3&lt;0,0,N(INDEX('CURVA PREVISION'!$A$1:$KZ$3000,$C47,11+3*MIN(BB$3,$D$2-1)))))</f>
        <v>0</v>
      </c>
      <c r="BC47" s="131" t="n">
        <f aca="false">IF(OR($C47="",$B$2="",$D$2=0),0,IF(BC$3&lt;0,0,N(INDEX('CURVA PREVISION'!$A$1:$KZ$3000,$C47,11+3*MIN(BC$3,$D$2-1)))))</f>
        <v>0</v>
      </c>
      <c r="BD47" s="131" t="n">
        <f aca="false">IF(OR($C47="",$B$2="",$D$2=0),0,IF(BD$3&lt;0,0,N(INDEX('CURVA PREVISION'!$A$1:$KZ$3000,$C47,11+3*MIN(BD$3,$D$2-1)))))</f>
        <v>0</v>
      </c>
      <c r="BE47" s="131" t="n">
        <f aca="false">IF(OR($C47="",$B$2="",$D$2=0),0,IF(BE$3&lt;0,0,N(INDEX('CURVA PREVISION'!$A$1:$KZ$3000,$C47,11+3*MIN(BE$3,$D$2-1)))))</f>
        <v>0</v>
      </c>
      <c r="BF47" s="131" t="n">
        <f aca="false">IF(OR($C47="",$B$2="",$D$2=0),0,IF(BF$3&lt;0,0,N(INDEX('CURVA PREVISION'!$A$1:$KZ$3000,$C47,11+3*MIN(BF$3,$D$2-1)))))</f>
        <v>0</v>
      </c>
      <c r="BG47" s="131" t="n">
        <f aca="false">IF(OR($C47="",$B$2="",$D$2=0),0,IF(BG$3&lt;0,0,N(INDEX('CURVA PREVISION'!$A$1:$KZ$3000,$C47,11+3*MIN(BG$3,$D$2-1)))))</f>
        <v>0</v>
      </c>
      <c r="BH47" s="131" t="n">
        <f aca="false">IF(OR($C47="",$B$2="",$D$2=0),0,IF(BH$3&lt;0,0,N(INDEX('CURVA PREVISION'!$A$1:$KZ$3000,$C47,11+3*MIN(BH$3,$D$2-1)))))</f>
        <v>0</v>
      </c>
      <c r="BI47" s="131" t="n">
        <f aca="false">IF(OR($C47="",$B$2="",$D$2=0),0,IF(BI$3&lt;0,0,N(INDEX('CURVA PREVISION'!$A$1:$KZ$3000,$C47,11+3*MIN(BI$3,$D$2-1)))))</f>
        <v>0</v>
      </c>
      <c r="BJ47" s="131" t="n">
        <f aca="false">IF(OR($C47="",$B$2="",$D$2=0),0,IF(BJ$3&lt;0,0,N(INDEX('CURVA PREVISION'!$A$1:$KZ$3000,$C47,11+3*MIN(BJ$3,$D$2-1)))))</f>
        <v>0</v>
      </c>
      <c r="BK47" s="131" t="n">
        <f aca="false">IF(OR($C47="",$B$2="",$D$2=0),0,IF(BK$3&lt;0,0,N(INDEX('CURVA PREVISION'!$A$1:$KZ$3000,$C47,11+3*MIN(BK$3,$D$2-1)))))</f>
        <v>0</v>
      </c>
      <c r="BL47" s="131" t="n">
        <f aca="false">IF(OR($C47="",$B$2="",$D$2=0),0,IF(BL$3&lt;0,0,N(INDEX('CURVA PREVISION'!$A$1:$KZ$3000,$C47,11+3*MIN(BL$3,$D$2-1)))))</f>
        <v>0</v>
      </c>
      <c r="BM47" s="131" t="n">
        <f aca="false">IF(OR($C47="",$B$2="",$D$2=0),0,IF(BM$3&lt;0,0,N(INDEX('CURVA PREVISION'!$A$1:$KZ$3000,$C47,11+3*MIN(BM$3,$D$2-1)))))</f>
        <v>0</v>
      </c>
      <c r="BN47" s="131" t="n">
        <f aca="false">IF(OR($C47="",$B$2="",$D$2=0),0,IF(BN$3&lt;0,0,N(INDEX('CURVA PREVISION'!$A$1:$KZ$3000,$C47,11+3*MIN(BN$3,$D$2-1)))))</f>
        <v>0</v>
      </c>
      <c r="BO47" s="131" t="n">
        <f aca="false">IF(OR($C47="",$B$2="",$D$2=0),0,IF(BO$3&lt;0,0,N(INDEX('CURVA PREVISION'!$A$1:$KZ$3000,$C47,11+3*MIN(BO$3,$D$2-1)))))</f>
        <v>0</v>
      </c>
      <c r="BP47" s="131" t="n">
        <f aca="false">IF(OR($C47="",$B$2="",$D$2=0),0,IF(BP$3&lt;0,0,N(INDEX('CURVA PREVISION'!$A$1:$KZ$3000,$C47,11+3*MIN(BP$3,$D$2-1)))))</f>
        <v>0</v>
      </c>
      <c r="BQ47" s="131" t="n">
        <f aca="false">IF(OR($C47="",$B$2="",$D$2=0),0,IF(BQ$3&lt;0,0,N(INDEX('CURVA PREVISION'!$A$1:$KZ$3000,$C47,11+3*MIN(BQ$3,$D$2-1)))))</f>
        <v>0</v>
      </c>
      <c r="BR47" s="131" t="n">
        <f aca="false">IF(OR($C47="",$B$2="",$D$2=0),0,IF(BR$3&lt;0,0,N(INDEX('CURVA PREVISION'!$A$1:$KZ$3000,$C47,11+3*MIN(BR$3,$D$2-1)))))</f>
        <v>0</v>
      </c>
      <c r="BS47" s="131" t="n">
        <f aca="false">IF(OR($C47="",$B$2="",$D$2=0),0,IF(BS$3&lt;0,0,N(INDEX('CURVA PREVISION'!$A$1:$KZ$3000,$C47,11+3*MIN(BS$3,$D$2-1)))))</f>
        <v>0</v>
      </c>
      <c r="BT47" s="131" t="n">
        <f aca="false">IF(OR($C47="",$B$2="",$D$2=0),0,IF(BT$3&lt;0,0,N(INDEX('CURVA PREVISION'!$A$1:$KZ$3000,$C47,11+3*MIN(BT$3,$D$2-1)))))</f>
        <v>0</v>
      </c>
      <c r="BU47" s="131" t="n">
        <f aca="false">IF(OR($C47="",$B$2="",$D$2=0),0,IF(BU$3&lt;0,0,N(INDEX('CURVA PREVISION'!$A$1:$KZ$3000,$C47,11+3*MIN(BU$3,$D$2-1)))))</f>
        <v>0</v>
      </c>
      <c r="BV47" s="131" t="n">
        <f aca="false">IF(OR($C47="",$B$2="",$D$2=0),0,IF(BV$3&lt;0,0,N(INDEX('CURVA PREVISION'!$A$1:$KZ$3000,$C47,11+3*MIN(BV$3,$D$2-1)))))</f>
        <v>0</v>
      </c>
      <c r="BW47" s="131" t="n">
        <f aca="false">IF(OR($C47="",$B$2="",$D$2=0),0,IF(BW$3&lt;0,0,N(INDEX('CURVA PREVISION'!$A$1:$KZ$3000,$C47,11+3*MIN(BW$3,$D$2-1)))))</f>
        <v>0</v>
      </c>
    </row>
    <row r="48" customFormat="false" ht="15" hidden="false" customHeight="false" outlineLevel="0" collapsed="false">
      <c r="A48" s="57" t="str">
        <f aca="false">IF('VALOR POR PL'!Q12="",'VALOR POR PL'!C12,'VALOR POR PL'!Q12)</f>
        <v>02</v>
      </c>
      <c r="B48" s="47" t="str">
        <f aca="false">B6</f>
        <v>SEGUROS</v>
      </c>
      <c r="C48" s="64" t="n">
        <f aca="false">IFERROR(MATCH(A48,'CURVA PREVISION'!$B$1:$B$3000,0),"")</f>
        <v>6</v>
      </c>
      <c r="D48" s="131" t="n">
        <f aca="false">IF(OR($C48="",$B$2="",$D$2=0),0,IF(D$3&lt;0,0,N(INDEX('CURVA PREVISION'!$A$1:$KZ$3000,$C48,11+3*MIN(D$3,$D$2-1)))))</f>
        <v>0</v>
      </c>
      <c r="E48" s="131" t="n">
        <f aca="false">IF(OR($C48="",$B$2="",$D$2=0),0,IF(E$3&lt;0,0,N(INDEX('CURVA PREVISION'!$A$1:$KZ$3000,$C48,11+3*MIN(E$3,$D$2-1)))))</f>
        <v>0</v>
      </c>
      <c r="F48" s="131" t="n">
        <f aca="false">IF(OR($C48="",$B$2="",$D$2=0),0,IF(F$3&lt;0,0,N(INDEX('CURVA PREVISION'!$A$1:$KZ$3000,$C48,11+3*MIN(F$3,$D$2-1)))))</f>
        <v>0</v>
      </c>
      <c r="G48" s="131" t="n">
        <f aca="false">IF(OR($C48="",$B$2="",$D$2=0),0,IF(G$3&lt;0,0,N(INDEX('CURVA PREVISION'!$A$1:$KZ$3000,$C48,11+3*MIN(G$3,$D$2-1)))))</f>
        <v>0</v>
      </c>
      <c r="H48" s="131" t="n">
        <f aca="false">IF(OR($C48="",$B$2="",$D$2=0),0,IF(H$3&lt;0,0,N(INDEX('CURVA PREVISION'!$A$1:$KZ$3000,$C48,11+3*MIN(H$3,$D$2-1)))))</f>
        <v>0</v>
      </c>
      <c r="I48" s="131" t="n">
        <f aca="false">IF(OR($C48="",$B$2="",$D$2=0),0,IF(I$3&lt;0,0,N(INDEX('CURVA PREVISION'!$A$1:$KZ$3000,$C48,11+3*MIN(I$3,$D$2-1)))))</f>
        <v>0</v>
      </c>
      <c r="J48" s="131" t="n">
        <f aca="false">IF(OR($C48="",$B$2="",$D$2=0),0,IF(J$3&lt;0,0,N(INDEX('CURVA PREVISION'!$A$1:$KZ$3000,$C48,11+3*MIN(J$3,$D$2-1)))))</f>
        <v>0</v>
      </c>
      <c r="K48" s="131" t="n">
        <f aca="false">IF(OR($C48="",$B$2="",$D$2=0),0,IF(K$3&lt;0,0,N(INDEX('CURVA PREVISION'!$A$1:$KZ$3000,$C48,11+3*MIN(K$3,$D$2-1)))))</f>
        <v>0</v>
      </c>
      <c r="L48" s="131" t="n">
        <f aca="false">IF(OR($C48="",$B$2="",$D$2=0),0,IF(L$3&lt;0,0,N(INDEX('CURVA PREVISION'!$A$1:$KZ$3000,$C48,11+3*MIN(L$3,$D$2-1)))))</f>
        <v>0</v>
      </c>
      <c r="M48" s="131" t="n">
        <f aca="false">IF(OR($C48="",$B$2="",$D$2=0),0,IF(M$3&lt;0,0,N(INDEX('CURVA PREVISION'!$A$1:$KZ$3000,$C48,11+3*MIN(M$3,$D$2-1)))))</f>
        <v>0</v>
      </c>
      <c r="N48" s="131" t="n">
        <f aca="false">IF(OR($C48="",$B$2="",$D$2=0),0,IF(N$3&lt;0,0,N(INDEX('CURVA PREVISION'!$A$1:$KZ$3000,$C48,11+3*MIN(N$3,$D$2-1)))))</f>
        <v>0</v>
      </c>
      <c r="O48" s="131" t="n">
        <f aca="false">IF(OR($C48="",$B$2="",$D$2=0),0,IF(O$3&lt;0,0,N(INDEX('CURVA PREVISION'!$A$1:$KZ$3000,$C48,11+3*MIN(O$3,$D$2-1)))))</f>
        <v>0</v>
      </c>
      <c r="P48" s="131" t="n">
        <f aca="false">IF(OR($C48="",$B$2="",$D$2=0),0,IF(P$3&lt;0,0,N(INDEX('CURVA PREVISION'!$A$1:$KZ$3000,$C48,11+3*MIN(P$3,$D$2-1)))))</f>
        <v>0</v>
      </c>
      <c r="Q48" s="131" t="n">
        <f aca="false">IF(OR($C48="",$B$2="",$D$2=0),0,IF(Q$3&lt;0,0,N(INDEX('CURVA PREVISION'!$A$1:$KZ$3000,$C48,11+3*MIN(Q$3,$D$2-1)))))</f>
        <v>0</v>
      </c>
      <c r="R48" s="131" t="n">
        <f aca="false">IF(OR($C48="",$B$2="",$D$2=0),0,IF(R$3&lt;0,0,N(INDEX('CURVA PREVISION'!$A$1:$KZ$3000,$C48,11+3*MIN(R$3,$D$2-1)))))</f>
        <v>0</v>
      </c>
      <c r="S48" s="131" t="n">
        <f aca="false">IF(OR($C48="",$B$2="",$D$2=0),0,IF(S$3&lt;0,0,N(INDEX('CURVA PREVISION'!$A$1:$KZ$3000,$C48,11+3*MIN(S$3,$D$2-1)))))</f>
        <v>0</v>
      </c>
      <c r="T48" s="131" t="n">
        <f aca="false">IF(OR($C48="",$B$2="",$D$2=0),0,IF(T$3&lt;0,0,N(INDEX('CURVA PREVISION'!$A$1:$KZ$3000,$C48,11+3*MIN(T$3,$D$2-1)))))</f>
        <v>0</v>
      </c>
      <c r="U48" s="131" t="n">
        <f aca="false">IF(OR($C48="",$B$2="",$D$2=0),0,IF(U$3&lt;0,0,N(INDEX('CURVA PREVISION'!$A$1:$KZ$3000,$C48,11+3*MIN(U$3,$D$2-1)))))</f>
        <v>0</v>
      </c>
      <c r="V48" s="131" t="n">
        <f aca="false">IF(OR($C48="",$B$2="",$D$2=0),0,IF(V$3&lt;0,0,N(INDEX('CURVA PREVISION'!$A$1:$KZ$3000,$C48,11+3*MIN(V$3,$D$2-1)))))</f>
        <v>0</v>
      </c>
      <c r="W48" s="131" t="n">
        <f aca="false">IF(OR($C48="",$B$2="",$D$2=0),0,IF(W$3&lt;0,0,N(INDEX('CURVA PREVISION'!$A$1:$KZ$3000,$C48,11+3*MIN(W$3,$D$2-1)))))</f>
        <v>0</v>
      </c>
      <c r="X48" s="131" t="n">
        <f aca="false">IF(OR($C48="",$B$2="",$D$2=0),0,IF(X$3&lt;0,0,N(INDEX('CURVA PREVISION'!$A$1:$KZ$3000,$C48,11+3*MIN(X$3,$D$2-1)))))</f>
        <v>0</v>
      </c>
      <c r="Y48" s="131" t="n">
        <f aca="false">IF(OR($C48="",$B$2="",$D$2=0),0,IF(Y$3&lt;0,0,N(INDEX('CURVA PREVISION'!$A$1:$KZ$3000,$C48,11+3*MIN(Y$3,$D$2-1)))))</f>
        <v>0</v>
      </c>
      <c r="Z48" s="131" t="n">
        <f aca="false">IF(OR($C48="",$B$2="",$D$2=0),0,IF(Z$3&lt;0,0,N(INDEX('CURVA PREVISION'!$A$1:$KZ$3000,$C48,11+3*MIN(Z$3,$D$2-1)))))</f>
        <v>0</v>
      </c>
      <c r="AA48" s="131" t="n">
        <f aca="false">IF(OR($C48="",$B$2="",$D$2=0),0,IF(AA$3&lt;0,0,N(INDEX('CURVA PREVISION'!$A$1:$KZ$3000,$C48,11+3*MIN(AA$3,$D$2-1)))))</f>
        <v>0</v>
      </c>
      <c r="AB48" s="131" t="n">
        <f aca="false">IF(OR($C48="",$B$2="",$D$2=0),0,IF(AB$3&lt;0,0,N(INDEX('CURVA PREVISION'!$A$1:$KZ$3000,$C48,11+3*MIN(AB$3,$D$2-1)))))</f>
        <v>0</v>
      </c>
      <c r="AC48" s="131" t="n">
        <f aca="false">IF(OR($C48="",$B$2="",$D$2=0),0,IF(AC$3&lt;0,0,N(INDEX('CURVA PREVISION'!$A$1:$KZ$3000,$C48,11+3*MIN(AC$3,$D$2-1)))))</f>
        <v>0</v>
      </c>
      <c r="AD48" s="131" t="n">
        <f aca="false">IF(OR($C48="",$B$2="",$D$2=0),0,IF(AD$3&lt;0,0,N(INDEX('CURVA PREVISION'!$A$1:$KZ$3000,$C48,11+3*MIN(AD$3,$D$2-1)))))</f>
        <v>0</v>
      </c>
      <c r="AE48" s="131" t="n">
        <f aca="false">IF(OR($C48="",$B$2="",$D$2=0),0,IF(AE$3&lt;0,0,N(INDEX('CURVA PREVISION'!$A$1:$KZ$3000,$C48,11+3*MIN(AE$3,$D$2-1)))))</f>
        <v>0</v>
      </c>
      <c r="AF48" s="131" t="n">
        <f aca="false">IF(OR($C48="",$B$2="",$D$2=0),0,IF(AF$3&lt;0,0,N(INDEX('CURVA PREVISION'!$A$1:$KZ$3000,$C48,11+3*MIN(AF$3,$D$2-1)))))</f>
        <v>0</v>
      </c>
      <c r="AG48" s="131" t="n">
        <f aca="false">IF(OR($C48="",$B$2="",$D$2=0),0,IF(AG$3&lt;0,0,N(INDEX('CURVA PREVISION'!$A$1:$KZ$3000,$C48,11+3*MIN(AG$3,$D$2-1)))))</f>
        <v>0</v>
      </c>
      <c r="AH48" s="131" t="n">
        <f aca="false">IF(OR($C48="",$B$2="",$D$2=0),0,IF(AH$3&lt;0,0,N(INDEX('CURVA PREVISION'!$A$1:$KZ$3000,$C48,11+3*MIN(AH$3,$D$2-1)))))</f>
        <v>0</v>
      </c>
      <c r="AI48" s="131" t="n">
        <f aca="false">IF(OR($C48="",$B$2="",$D$2=0),0,IF(AI$3&lt;0,0,N(INDEX('CURVA PREVISION'!$A$1:$KZ$3000,$C48,11+3*MIN(AI$3,$D$2-1)))))</f>
        <v>0</v>
      </c>
      <c r="AJ48" s="131" t="n">
        <f aca="false">IF(OR($C48="",$B$2="",$D$2=0),0,IF(AJ$3&lt;0,0,N(INDEX('CURVA PREVISION'!$A$1:$KZ$3000,$C48,11+3*MIN(AJ$3,$D$2-1)))))</f>
        <v>0</v>
      </c>
      <c r="AK48" s="131" t="n">
        <f aca="false">IF(OR($C48="",$B$2="",$D$2=0),0,IF(AK$3&lt;0,0,N(INDEX('CURVA PREVISION'!$A$1:$KZ$3000,$C48,11+3*MIN(AK$3,$D$2-1)))))</f>
        <v>0</v>
      </c>
      <c r="AL48" s="131" t="n">
        <f aca="false">IF(OR($C48="",$B$2="",$D$2=0),0,IF(AL$3&lt;0,0,N(INDEX('CURVA PREVISION'!$A$1:$KZ$3000,$C48,11+3*MIN(AL$3,$D$2-1)))))</f>
        <v>0</v>
      </c>
      <c r="AM48" s="131" t="n">
        <f aca="false">IF(OR($C48="",$B$2="",$D$2=0),0,IF(AM$3&lt;0,0,N(INDEX('CURVA PREVISION'!$A$1:$KZ$3000,$C48,11+3*MIN(AM$3,$D$2-1)))))</f>
        <v>0</v>
      </c>
      <c r="AN48" s="131" t="n">
        <f aca="false">IF(OR($C48="",$B$2="",$D$2=0),0,IF(AN$3&lt;0,0,N(INDEX('CURVA PREVISION'!$A$1:$KZ$3000,$C48,11+3*MIN(AN$3,$D$2-1)))))</f>
        <v>0</v>
      </c>
      <c r="AO48" s="131" t="n">
        <f aca="false">IF(OR($C48="",$B$2="",$D$2=0),0,IF(AO$3&lt;0,0,N(INDEX('CURVA PREVISION'!$A$1:$KZ$3000,$C48,11+3*MIN(AO$3,$D$2-1)))))</f>
        <v>0</v>
      </c>
      <c r="AP48" s="131" t="n">
        <f aca="false">IF(OR($C48="",$B$2="",$D$2=0),0,IF(AP$3&lt;0,0,N(INDEX('CURVA PREVISION'!$A$1:$KZ$3000,$C48,11+3*MIN(AP$3,$D$2-1)))))</f>
        <v>0</v>
      </c>
      <c r="AQ48" s="131" t="n">
        <f aca="false">IF(OR($C48="",$B$2="",$D$2=0),0,IF(AQ$3&lt;0,0,N(INDEX('CURVA PREVISION'!$A$1:$KZ$3000,$C48,11+3*MIN(AQ$3,$D$2-1)))))</f>
        <v>0</v>
      </c>
      <c r="AR48" s="131" t="n">
        <f aca="false">IF(OR($C48="",$B$2="",$D$2=0),0,IF(AR$3&lt;0,0,N(INDEX('CURVA PREVISION'!$A$1:$KZ$3000,$C48,11+3*MIN(AR$3,$D$2-1)))))</f>
        <v>0</v>
      </c>
      <c r="AS48" s="131" t="n">
        <f aca="false">IF(OR($C48="",$B$2="",$D$2=0),0,IF(AS$3&lt;0,0,N(INDEX('CURVA PREVISION'!$A$1:$KZ$3000,$C48,11+3*MIN(AS$3,$D$2-1)))))</f>
        <v>0</v>
      </c>
      <c r="AT48" s="131" t="n">
        <f aca="false">IF(OR($C48="",$B$2="",$D$2=0),0,IF(AT$3&lt;0,0,N(INDEX('CURVA PREVISION'!$A$1:$KZ$3000,$C48,11+3*MIN(AT$3,$D$2-1)))))</f>
        <v>0</v>
      </c>
      <c r="AU48" s="131" t="n">
        <f aca="false">IF(OR($C48="",$B$2="",$D$2=0),0,IF(AU$3&lt;0,0,N(INDEX('CURVA PREVISION'!$A$1:$KZ$3000,$C48,11+3*MIN(AU$3,$D$2-1)))))</f>
        <v>0</v>
      </c>
      <c r="AV48" s="131" t="n">
        <f aca="false">IF(OR($C48="",$B$2="",$D$2=0),0,IF(AV$3&lt;0,0,N(INDEX('CURVA PREVISION'!$A$1:$KZ$3000,$C48,11+3*MIN(AV$3,$D$2-1)))))</f>
        <v>0</v>
      </c>
      <c r="AW48" s="131" t="n">
        <f aca="false">IF(OR($C48="",$B$2="",$D$2=0),0,IF(AW$3&lt;0,0,N(INDEX('CURVA PREVISION'!$A$1:$KZ$3000,$C48,11+3*MIN(AW$3,$D$2-1)))))</f>
        <v>0</v>
      </c>
      <c r="AX48" s="131" t="n">
        <f aca="false">IF(OR($C48="",$B$2="",$D$2=0),0,IF(AX$3&lt;0,0,N(INDEX('CURVA PREVISION'!$A$1:$KZ$3000,$C48,11+3*MIN(AX$3,$D$2-1)))))</f>
        <v>0</v>
      </c>
      <c r="AY48" s="131" t="n">
        <f aca="false">IF(OR($C48="",$B$2="",$D$2=0),0,IF(AY$3&lt;0,0,N(INDEX('CURVA PREVISION'!$A$1:$KZ$3000,$C48,11+3*MIN(AY$3,$D$2-1)))))</f>
        <v>0</v>
      </c>
      <c r="AZ48" s="131" t="n">
        <f aca="false">IF(OR($C48="",$B$2="",$D$2=0),0,IF(AZ$3&lt;0,0,N(INDEX('CURVA PREVISION'!$A$1:$KZ$3000,$C48,11+3*MIN(AZ$3,$D$2-1)))))</f>
        <v>0</v>
      </c>
      <c r="BA48" s="131" t="n">
        <f aca="false">IF(OR($C48="",$B$2="",$D$2=0),0,IF(BA$3&lt;0,0,N(INDEX('CURVA PREVISION'!$A$1:$KZ$3000,$C48,11+3*MIN(BA$3,$D$2-1)))))</f>
        <v>0</v>
      </c>
      <c r="BB48" s="131" t="n">
        <f aca="false">IF(OR($C48="",$B$2="",$D$2=0),0,IF(BB$3&lt;0,0,N(INDEX('CURVA PREVISION'!$A$1:$KZ$3000,$C48,11+3*MIN(BB$3,$D$2-1)))))</f>
        <v>0</v>
      </c>
      <c r="BC48" s="131" t="n">
        <f aca="false">IF(OR($C48="",$B$2="",$D$2=0),0,IF(BC$3&lt;0,0,N(INDEX('CURVA PREVISION'!$A$1:$KZ$3000,$C48,11+3*MIN(BC$3,$D$2-1)))))</f>
        <v>0</v>
      </c>
      <c r="BD48" s="131" t="n">
        <f aca="false">IF(OR($C48="",$B$2="",$D$2=0),0,IF(BD$3&lt;0,0,N(INDEX('CURVA PREVISION'!$A$1:$KZ$3000,$C48,11+3*MIN(BD$3,$D$2-1)))))</f>
        <v>0</v>
      </c>
      <c r="BE48" s="131" t="n">
        <f aca="false">IF(OR($C48="",$B$2="",$D$2=0),0,IF(BE$3&lt;0,0,N(INDEX('CURVA PREVISION'!$A$1:$KZ$3000,$C48,11+3*MIN(BE$3,$D$2-1)))))</f>
        <v>0</v>
      </c>
      <c r="BF48" s="131" t="n">
        <f aca="false">IF(OR($C48="",$B$2="",$D$2=0),0,IF(BF$3&lt;0,0,N(INDEX('CURVA PREVISION'!$A$1:$KZ$3000,$C48,11+3*MIN(BF$3,$D$2-1)))))</f>
        <v>0</v>
      </c>
      <c r="BG48" s="131" t="n">
        <f aca="false">IF(OR($C48="",$B$2="",$D$2=0),0,IF(BG$3&lt;0,0,N(INDEX('CURVA PREVISION'!$A$1:$KZ$3000,$C48,11+3*MIN(BG$3,$D$2-1)))))</f>
        <v>0</v>
      </c>
      <c r="BH48" s="131" t="n">
        <f aca="false">IF(OR($C48="",$B$2="",$D$2=0),0,IF(BH$3&lt;0,0,N(INDEX('CURVA PREVISION'!$A$1:$KZ$3000,$C48,11+3*MIN(BH$3,$D$2-1)))))</f>
        <v>0</v>
      </c>
      <c r="BI48" s="131" t="n">
        <f aca="false">IF(OR($C48="",$B$2="",$D$2=0),0,IF(BI$3&lt;0,0,N(INDEX('CURVA PREVISION'!$A$1:$KZ$3000,$C48,11+3*MIN(BI$3,$D$2-1)))))</f>
        <v>0</v>
      </c>
      <c r="BJ48" s="131" t="n">
        <f aca="false">IF(OR($C48="",$B$2="",$D$2=0),0,IF(BJ$3&lt;0,0,N(INDEX('CURVA PREVISION'!$A$1:$KZ$3000,$C48,11+3*MIN(BJ$3,$D$2-1)))))</f>
        <v>0</v>
      </c>
      <c r="BK48" s="131" t="n">
        <f aca="false">IF(OR($C48="",$B$2="",$D$2=0),0,IF(BK$3&lt;0,0,N(INDEX('CURVA PREVISION'!$A$1:$KZ$3000,$C48,11+3*MIN(BK$3,$D$2-1)))))</f>
        <v>0</v>
      </c>
      <c r="BL48" s="131" t="n">
        <f aca="false">IF(OR($C48="",$B$2="",$D$2=0),0,IF(BL$3&lt;0,0,N(INDEX('CURVA PREVISION'!$A$1:$KZ$3000,$C48,11+3*MIN(BL$3,$D$2-1)))))</f>
        <v>0</v>
      </c>
      <c r="BM48" s="131" t="n">
        <f aca="false">IF(OR($C48="",$B$2="",$D$2=0),0,IF(BM$3&lt;0,0,N(INDEX('CURVA PREVISION'!$A$1:$KZ$3000,$C48,11+3*MIN(BM$3,$D$2-1)))))</f>
        <v>0</v>
      </c>
      <c r="BN48" s="131" t="n">
        <f aca="false">IF(OR($C48="",$B$2="",$D$2=0),0,IF(BN$3&lt;0,0,N(INDEX('CURVA PREVISION'!$A$1:$KZ$3000,$C48,11+3*MIN(BN$3,$D$2-1)))))</f>
        <v>0</v>
      </c>
      <c r="BO48" s="131" t="n">
        <f aca="false">IF(OR($C48="",$B$2="",$D$2=0),0,IF(BO$3&lt;0,0,N(INDEX('CURVA PREVISION'!$A$1:$KZ$3000,$C48,11+3*MIN(BO$3,$D$2-1)))))</f>
        <v>0</v>
      </c>
      <c r="BP48" s="131" t="n">
        <f aca="false">IF(OR($C48="",$B$2="",$D$2=0),0,IF(BP$3&lt;0,0,N(INDEX('CURVA PREVISION'!$A$1:$KZ$3000,$C48,11+3*MIN(BP$3,$D$2-1)))))</f>
        <v>0</v>
      </c>
      <c r="BQ48" s="131" t="n">
        <f aca="false">IF(OR($C48="",$B$2="",$D$2=0),0,IF(BQ$3&lt;0,0,N(INDEX('CURVA PREVISION'!$A$1:$KZ$3000,$C48,11+3*MIN(BQ$3,$D$2-1)))))</f>
        <v>0</v>
      </c>
      <c r="BR48" s="131" t="n">
        <f aca="false">IF(OR($C48="",$B$2="",$D$2=0),0,IF(BR$3&lt;0,0,N(INDEX('CURVA PREVISION'!$A$1:$KZ$3000,$C48,11+3*MIN(BR$3,$D$2-1)))))</f>
        <v>0</v>
      </c>
      <c r="BS48" s="131" t="n">
        <f aca="false">IF(OR($C48="",$B$2="",$D$2=0),0,IF(BS$3&lt;0,0,N(INDEX('CURVA PREVISION'!$A$1:$KZ$3000,$C48,11+3*MIN(BS$3,$D$2-1)))))</f>
        <v>0</v>
      </c>
      <c r="BT48" s="131" t="n">
        <f aca="false">IF(OR($C48="",$B$2="",$D$2=0),0,IF(BT$3&lt;0,0,N(INDEX('CURVA PREVISION'!$A$1:$KZ$3000,$C48,11+3*MIN(BT$3,$D$2-1)))))</f>
        <v>0</v>
      </c>
      <c r="BU48" s="131" t="n">
        <f aca="false">IF(OR($C48="",$B$2="",$D$2=0),0,IF(BU$3&lt;0,0,N(INDEX('CURVA PREVISION'!$A$1:$KZ$3000,$C48,11+3*MIN(BU$3,$D$2-1)))))</f>
        <v>0</v>
      </c>
      <c r="BV48" s="131" t="n">
        <f aca="false">IF(OR($C48="",$B$2="",$D$2=0),0,IF(BV$3&lt;0,0,N(INDEX('CURVA PREVISION'!$A$1:$KZ$3000,$C48,11+3*MIN(BV$3,$D$2-1)))))</f>
        <v>0</v>
      </c>
      <c r="BW48" s="131" t="n">
        <f aca="false">IF(OR($C48="",$B$2="",$D$2=0),0,IF(BW$3&lt;0,0,N(INDEX('CURVA PREVISION'!$A$1:$KZ$3000,$C48,11+3*MIN(BW$3,$D$2-1)))))</f>
        <v>0</v>
      </c>
    </row>
    <row r="49" customFormat="false" ht="15" hidden="false" customHeight="false" outlineLevel="0" collapsed="false">
      <c r="A49" s="57" t="str">
        <f aca="false">IF('VALOR POR PL'!Q13="",'VALOR POR PL'!C13,'VALOR POR PL'!Q13)</f>
        <v>03</v>
      </c>
      <c r="B49" s="47" t="str">
        <f aca="false">B7</f>
        <v>TAXAS DIVERSAS</v>
      </c>
      <c r="C49" s="64" t="n">
        <f aca="false">IFERROR(MATCH(A49,'CURVA PREVISION'!$B$1:$B$3000,0),"")</f>
        <v>8</v>
      </c>
      <c r="D49" s="131" t="n">
        <f aca="false">IF(OR($C49="",$B$2="",$D$2=0),0,IF(D$3&lt;0,0,N(INDEX('CURVA PREVISION'!$A$1:$KZ$3000,$C49,11+3*MIN(D$3,$D$2-1)))))</f>
        <v>0</v>
      </c>
      <c r="E49" s="131" t="n">
        <f aca="false">IF(OR($C49="",$B$2="",$D$2=0),0,IF(E$3&lt;0,0,N(INDEX('CURVA PREVISION'!$A$1:$KZ$3000,$C49,11+3*MIN(E$3,$D$2-1)))))</f>
        <v>0</v>
      </c>
      <c r="F49" s="131" t="n">
        <f aca="false">IF(OR($C49="",$B$2="",$D$2=0),0,IF(F$3&lt;0,0,N(INDEX('CURVA PREVISION'!$A$1:$KZ$3000,$C49,11+3*MIN(F$3,$D$2-1)))))</f>
        <v>0</v>
      </c>
      <c r="G49" s="131" t="n">
        <f aca="false">IF(OR($C49="",$B$2="",$D$2=0),0,IF(G$3&lt;0,0,N(INDEX('CURVA PREVISION'!$A$1:$KZ$3000,$C49,11+3*MIN(G$3,$D$2-1)))))</f>
        <v>0</v>
      </c>
      <c r="H49" s="131" t="n">
        <f aca="false">IF(OR($C49="",$B$2="",$D$2=0),0,IF(H$3&lt;0,0,N(INDEX('CURVA PREVISION'!$A$1:$KZ$3000,$C49,11+3*MIN(H$3,$D$2-1)))))</f>
        <v>0</v>
      </c>
      <c r="I49" s="131" t="n">
        <f aca="false">IF(OR($C49="",$B$2="",$D$2=0),0,IF(I$3&lt;0,0,N(INDEX('CURVA PREVISION'!$A$1:$KZ$3000,$C49,11+3*MIN(I$3,$D$2-1)))))</f>
        <v>0</v>
      </c>
      <c r="J49" s="131" t="n">
        <f aca="false">IF(OR($C49="",$B$2="",$D$2=0),0,IF(J$3&lt;0,0,N(INDEX('CURVA PREVISION'!$A$1:$KZ$3000,$C49,11+3*MIN(J$3,$D$2-1)))))</f>
        <v>0</v>
      </c>
      <c r="K49" s="131" t="n">
        <f aca="false">IF(OR($C49="",$B$2="",$D$2=0),0,IF(K$3&lt;0,0,N(INDEX('CURVA PREVISION'!$A$1:$KZ$3000,$C49,11+3*MIN(K$3,$D$2-1)))))</f>
        <v>0</v>
      </c>
      <c r="L49" s="131" t="n">
        <f aca="false">IF(OR($C49="",$B$2="",$D$2=0),0,IF(L$3&lt;0,0,N(INDEX('CURVA PREVISION'!$A$1:$KZ$3000,$C49,11+3*MIN(L$3,$D$2-1)))))</f>
        <v>0</v>
      </c>
      <c r="M49" s="131" t="n">
        <f aca="false">IF(OR($C49="",$B$2="",$D$2=0),0,IF(M$3&lt;0,0,N(INDEX('CURVA PREVISION'!$A$1:$KZ$3000,$C49,11+3*MIN(M$3,$D$2-1)))))</f>
        <v>0</v>
      </c>
      <c r="N49" s="131" t="n">
        <f aca="false">IF(OR($C49="",$B$2="",$D$2=0),0,IF(N$3&lt;0,0,N(INDEX('CURVA PREVISION'!$A$1:$KZ$3000,$C49,11+3*MIN(N$3,$D$2-1)))))</f>
        <v>0</v>
      </c>
      <c r="O49" s="131" t="n">
        <f aca="false">IF(OR($C49="",$B$2="",$D$2=0),0,IF(O$3&lt;0,0,N(INDEX('CURVA PREVISION'!$A$1:$KZ$3000,$C49,11+3*MIN(O$3,$D$2-1)))))</f>
        <v>0</v>
      </c>
      <c r="P49" s="131" t="n">
        <f aca="false">IF(OR($C49="",$B$2="",$D$2=0),0,IF(P$3&lt;0,0,N(INDEX('CURVA PREVISION'!$A$1:$KZ$3000,$C49,11+3*MIN(P$3,$D$2-1)))))</f>
        <v>0</v>
      </c>
      <c r="Q49" s="131" t="n">
        <f aca="false">IF(OR($C49="",$B$2="",$D$2=0),0,IF(Q$3&lt;0,0,N(INDEX('CURVA PREVISION'!$A$1:$KZ$3000,$C49,11+3*MIN(Q$3,$D$2-1)))))</f>
        <v>0</v>
      </c>
      <c r="R49" s="131" t="n">
        <f aca="false">IF(OR($C49="",$B$2="",$D$2=0),0,IF(R$3&lt;0,0,N(INDEX('CURVA PREVISION'!$A$1:$KZ$3000,$C49,11+3*MIN(R$3,$D$2-1)))))</f>
        <v>0</v>
      </c>
      <c r="S49" s="131" t="n">
        <f aca="false">IF(OR($C49="",$B$2="",$D$2=0),0,IF(S$3&lt;0,0,N(INDEX('CURVA PREVISION'!$A$1:$KZ$3000,$C49,11+3*MIN(S$3,$D$2-1)))))</f>
        <v>0</v>
      </c>
      <c r="T49" s="131" t="n">
        <f aca="false">IF(OR($C49="",$B$2="",$D$2=0),0,IF(T$3&lt;0,0,N(INDEX('CURVA PREVISION'!$A$1:$KZ$3000,$C49,11+3*MIN(T$3,$D$2-1)))))</f>
        <v>0</v>
      </c>
      <c r="U49" s="131" t="n">
        <f aca="false">IF(OR($C49="",$B$2="",$D$2=0),0,IF(U$3&lt;0,0,N(INDEX('CURVA PREVISION'!$A$1:$KZ$3000,$C49,11+3*MIN(U$3,$D$2-1)))))</f>
        <v>0</v>
      </c>
      <c r="V49" s="131" t="n">
        <f aca="false">IF(OR($C49="",$B$2="",$D$2=0),0,IF(V$3&lt;0,0,N(INDEX('CURVA PREVISION'!$A$1:$KZ$3000,$C49,11+3*MIN(V$3,$D$2-1)))))</f>
        <v>0</v>
      </c>
      <c r="W49" s="131" t="n">
        <f aca="false">IF(OR($C49="",$B$2="",$D$2=0),0,IF(W$3&lt;0,0,N(INDEX('CURVA PREVISION'!$A$1:$KZ$3000,$C49,11+3*MIN(W$3,$D$2-1)))))</f>
        <v>0</v>
      </c>
      <c r="X49" s="131" t="n">
        <f aca="false">IF(OR($C49="",$B$2="",$D$2=0),0,IF(X$3&lt;0,0,N(INDEX('CURVA PREVISION'!$A$1:$KZ$3000,$C49,11+3*MIN(X$3,$D$2-1)))))</f>
        <v>0</v>
      </c>
      <c r="Y49" s="131" t="n">
        <f aca="false">IF(OR($C49="",$B$2="",$D$2=0),0,IF(Y$3&lt;0,0,N(INDEX('CURVA PREVISION'!$A$1:$KZ$3000,$C49,11+3*MIN(Y$3,$D$2-1)))))</f>
        <v>0</v>
      </c>
      <c r="Z49" s="131" t="n">
        <f aca="false">IF(OR($C49="",$B$2="",$D$2=0),0,IF(Z$3&lt;0,0,N(INDEX('CURVA PREVISION'!$A$1:$KZ$3000,$C49,11+3*MIN(Z$3,$D$2-1)))))</f>
        <v>0</v>
      </c>
      <c r="AA49" s="131" t="n">
        <f aca="false">IF(OR($C49="",$B$2="",$D$2=0),0,IF(AA$3&lt;0,0,N(INDEX('CURVA PREVISION'!$A$1:$KZ$3000,$C49,11+3*MIN(AA$3,$D$2-1)))))</f>
        <v>0</v>
      </c>
      <c r="AB49" s="131" t="n">
        <f aca="false">IF(OR($C49="",$B$2="",$D$2=0),0,IF(AB$3&lt;0,0,N(INDEX('CURVA PREVISION'!$A$1:$KZ$3000,$C49,11+3*MIN(AB$3,$D$2-1)))))</f>
        <v>0</v>
      </c>
      <c r="AC49" s="131" t="n">
        <f aca="false">IF(OR($C49="",$B$2="",$D$2=0),0,IF(AC$3&lt;0,0,N(INDEX('CURVA PREVISION'!$A$1:$KZ$3000,$C49,11+3*MIN(AC$3,$D$2-1)))))</f>
        <v>0</v>
      </c>
      <c r="AD49" s="131" t="n">
        <f aca="false">IF(OR($C49="",$B$2="",$D$2=0),0,IF(AD$3&lt;0,0,N(INDEX('CURVA PREVISION'!$A$1:$KZ$3000,$C49,11+3*MIN(AD$3,$D$2-1)))))</f>
        <v>0</v>
      </c>
      <c r="AE49" s="131" t="n">
        <f aca="false">IF(OR($C49="",$B$2="",$D$2=0),0,IF(AE$3&lt;0,0,N(INDEX('CURVA PREVISION'!$A$1:$KZ$3000,$C49,11+3*MIN(AE$3,$D$2-1)))))</f>
        <v>0</v>
      </c>
      <c r="AF49" s="131" t="n">
        <f aca="false">IF(OR($C49="",$B$2="",$D$2=0),0,IF(AF$3&lt;0,0,N(INDEX('CURVA PREVISION'!$A$1:$KZ$3000,$C49,11+3*MIN(AF$3,$D$2-1)))))</f>
        <v>0</v>
      </c>
      <c r="AG49" s="131" t="n">
        <f aca="false">IF(OR($C49="",$B$2="",$D$2=0),0,IF(AG$3&lt;0,0,N(INDEX('CURVA PREVISION'!$A$1:$KZ$3000,$C49,11+3*MIN(AG$3,$D$2-1)))))</f>
        <v>0</v>
      </c>
      <c r="AH49" s="131" t="n">
        <f aca="false">IF(OR($C49="",$B$2="",$D$2=0),0,IF(AH$3&lt;0,0,N(INDEX('CURVA PREVISION'!$A$1:$KZ$3000,$C49,11+3*MIN(AH$3,$D$2-1)))))</f>
        <v>0</v>
      </c>
      <c r="AI49" s="131" t="n">
        <f aca="false">IF(OR($C49="",$B$2="",$D$2=0),0,IF(AI$3&lt;0,0,N(INDEX('CURVA PREVISION'!$A$1:$KZ$3000,$C49,11+3*MIN(AI$3,$D$2-1)))))</f>
        <v>0</v>
      </c>
      <c r="AJ49" s="131" t="n">
        <f aca="false">IF(OR($C49="",$B$2="",$D$2=0),0,IF(AJ$3&lt;0,0,N(INDEX('CURVA PREVISION'!$A$1:$KZ$3000,$C49,11+3*MIN(AJ$3,$D$2-1)))))</f>
        <v>0</v>
      </c>
      <c r="AK49" s="131" t="n">
        <f aca="false">IF(OR($C49="",$B$2="",$D$2=0),0,IF(AK$3&lt;0,0,N(INDEX('CURVA PREVISION'!$A$1:$KZ$3000,$C49,11+3*MIN(AK$3,$D$2-1)))))</f>
        <v>0</v>
      </c>
      <c r="AL49" s="131" t="n">
        <f aca="false">IF(OR($C49="",$B$2="",$D$2=0),0,IF(AL$3&lt;0,0,N(INDEX('CURVA PREVISION'!$A$1:$KZ$3000,$C49,11+3*MIN(AL$3,$D$2-1)))))</f>
        <v>0</v>
      </c>
      <c r="AM49" s="131" t="n">
        <f aca="false">IF(OR($C49="",$B$2="",$D$2=0),0,IF(AM$3&lt;0,0,N(INDEX('CURVA PREVISION'!$A$1:$KZ$3000,$C49,11+3*MIN(AM$3,$D$2-1)))))</f>
        <v>0</v>
      </c>
      <c r="AN49" s="131" t="n">
        <f aca="false">IF(OR($C49="",$B$2="",$D$2=0),0,IF(AN$3&lt;0,0,N(INDEX('CURVA PREVISION'!$A$1:$KZ$3000,$C49,11+3*MIN(AN$3,$D$2-1)))))</f>
        <v>0</v>
      </c>
      <c r="AO49" s="131" t="n">
        <f aca="false">IF(OR($C49="",$B$2="",$D$2=0),0,IF(AO$3&lt;0,0,N(INDEX('CURVA PREVISION'!$A$1:$KZ$3000,$C49,11+3*MIN(AO$3,$D$2-1)))))</f>
        <v>0</v>
      </c>
      <c r="AP49" s="131" t="n">
        <f aca="false">IF(OR($C49="",$B$2="",$D$2=0),0,IF(AP$3&lt;0,0,N(INDEX('CURVA PREVISION'!$A$1:$KZ$3000,$C49,11+3*MIN(AP$3,$D$2-1)))))</f>
        <v>0</v>
      </c>
      <c r="AQ49" s="131" t="n">
        <f aca="false">IF(OR($C49="",$B$2="",$D$2=0),0,IF(AQ$3&lt;0,0,N(INDEX('CURVA PREVISION'!$A$1:$KZ$3000,$C49,11+3*MIN(AQ$3,$D$2-1)))))</f>
        <v>0</v>
      </c>
      <c r="AR49" s="131" t="n">
        <f aca="false">IF(OR($C49="",$B$2="",$D$2=0),0,IF(AR$3&lt;0,0,N(INDEX('CURVA PREVISION'!$A$1:$KZ$3000,$C49,11+3*MIN(AR$3,$D$2-1)))))</f>
        <v>0</v>
      </c>
      <c r="AS49" s="131" t="n">
        <f aca="false">IF(OR($C49="",$B$2="",$D$2=0),0,IF(AS$3&lt;0,0,N(INDEX('CURVA PREVISION'!$A$1:$KZ$3000,$C49,11+3*MIN(AS$3,$D$2-1)))))</f>
        <v>0</v>
      </c>
      <c r="AT49" s="131" t="n">
        <f aca="false">IF(OR($C49="",$B$2="",$D$2=0),0,IF(AT$3&lt;0,0,N(INDEX('CURVA PREVISION'!$A$1:$KZ$3000,$C49,11+3*MIN(AT$3,$D$2-1)))))</f>
        <v>0</v>
      </c>
      <c r="AU49" s="131" t="n">
        <f aca="false">IF(OR($C49="",$B$2="",$D$2=0),0,IF(AU$3&lt;0,0,N(INDEX('CURVA PREVISION'!$A$1:$KZ$3000,$C49,11+3*MIN(AU$3,$D$2-1)))))</f>
        <v>0</v>
      </c>
      <c r="AV49" s="131" t="n">
        <f aca="false">IF(OR($C49="",$B$2="",$D$2=0),0,IF(AV$3&lt;0,0,N(INDEX('CURVA PREVISION'!$A$1:$KZ$3000,$C49,11+3*MIN(AV$3,$D$2-1)))))</f>
        <v>0</v>
      </c>
      <c r="AW49" s="131" t="n">
        <f aca="false">IF(OR($C49="",$B$2="",$D$2=0),0,IF(AW$3&lt;0,0,N(INDEX('CURVA PREVISION'!$A$1:$KZ$3000,$C49,11+3*MIN(AW$3,$D$2-1)))))</f>
        <v>0</v>
      </c>
      <c r="AX49" s="131" t="n">
        <f aca="false">IF(OR($C49="",$B$2="",$D$2=0),0,IF(AX$3&lt;0,0,N(INDEX('CURVA PREVISION'!$A$1:$KZ$3000,$C49,11+3*MIN(AX$3,$D$2-1)))))</f>
        <v>0</v>
      </c>
      <c r="AY49" s="131" t="n">
        <f aca="false">IF(OR($C49="",$B$2="",$D$2=0),0,IF(AY$3&lt;0,0,N(INDEX('CURVA PREVISION'!$A$1:$KZ$3000,$C49,11+3*MIN(AY$3,$D$2-1)))))</f>
        <v>0</v>
      </c>
      <c r="AZ49" s="131" t="n">
        <f aca="false">IF(OR($C49="",$B$2="",$D$2=0),0,IF(AZ$3&lt;0,0,N(INDEX('CURVA PREVISION'!$A$1:$KZ$3000,$C49,11+3*MIN(AZ$3,$D$2-1)))))</f>
        <v>0</v>
      </c>
      <c r="BA49" s="131" t="n">
        <f aca="false">IF(OR($C49="",$B$2="",$D$2=0),0,IF(BA$3&lt;0,0,N(INDEX('CURVA PREVISION'!$A$1:$KZ$3000,$C49,11+3*MIN(BA$3,$D$2-1)))))</f>
        <v>0</v>
      </c>
      <c r="BB49" s="131" t="n">
        <f aca="false">IF(OR($C49="",$B$2="",$D$2=0),0,IF(BB$3&lt;0,0,N(INDEX('CURVA PREVISION'!$A$1:$KZ$3000,$C49,11+3*MIN(BB$3,$D$2-1)))))</f>
        <v>0</v>
      </c>
      <c r="BC49" s="131" t="n">
        <f aca="false">IF(OR($C49="",$B$2="",$D$2=0),0,IF(BC$3&lt;0,0,N(INDEX('CURVA PREVISION'!$A$1:$KZ$3000,$C49,11+3*MIN(BC$3,$D$2-1)))))</f>
        <v>0</v>
      </c>
      <c r="BD49" s="131" t="n">
        <f aca="false">IF(OR($C49="",$B$2="",$D$2=0),0,IF(BD$3&lt;0,0,N(INDEX('CURVA PREVISION'!$A$1:$KZ$3000,$C49,11+3*MIN(BD$3,$D$2-1)))))</f>
        <v>0</v>
      </c>
      <c r="BE49" s="131" t="n">
        <f aca="false">IF(OR($C49="",$B$2="",$D$2=0),0,IF(BE$3&lt;0,0,N(INDEX('CURVA PREVISION'!$A$1:$KZ$3000,$C49,11+3*MIN(BE$3,$D$2-1)))))</f>
        <v>0</v>
      </c>
      <c r="BF49" s="131" t="n">
        <f aca="false">IF(OR($C49="",$B$2="",$D$2=0),0,IF(BF$3&lt;0,0,N(INDEX('CURVA PREVISION'!$A$1:$KZ$3000,$C49,11+3*MIN(BF$3,$D$2-1)))))</f>
        <v>0</v>
      </c>
      <c r="BG49" s="131" t="n">
        <f aca="false">IF(OR($C49="",$B$2="",$D$2=0),0,IF(BG$3&lt;0,0,N(INDEX('CURVA PREVISION'!$A$1:$KZ$3000,$C49,11+3*MIN(BG$3,$D$2-1)))))</f>
        <v>0</v>
      </c>
      <c r="BH49" s="131" t="n">
        <f aca="false">IF(OR($C49="",$B$2="",$D$2=0),0,IF(BH$3&lt;0,0,N(INDEX('CURVA PREVISION'!$A$1:$KZ$3000,$C49,11+3*MIN(BH$3,$D$2-1)))))</f>
        <v>0</v>
      </c>
      <c r="BI49" s="131" t="n">
        <f aca="false">IF(OR($C49="",$B$2="",$D$2=0),0,IF(BI$3&lt;0,0,N(INDEX('CURVA PREVISION'!$A$1:$KZ$3000,$C49,11+3*MIN(BI$3,$D$2-1)))))</f>
        <v>0</v>
      </c>
      <c r="BJ49" s="131" t="n">
        <f aca="false">IF(OR($C49="",$B$2="",$D$2=0),0,IF(BJ$3&lt;0,0,N(INDEX('CURVA PREVISION'!$A$1:$KZ$3000,$C49,11+3*MIN(BJ$3,$D$2-1)))))</f>
        <v>0</v>
      </c>
      <c r="BK49" s="131" t="n">
        <f aca="false">IF(OR($C49="",$B$2="",$D$2=0),0,IF(BK$3&lt;0,0,N(INDEX('CURVA PREVISION'!$A$1:$KZ$3000,$C49,11+3*MIN(BK$3,$D$2-1)))))</f>
        <v>0</v>
      </c>
      <c r="BL49" s="131" t="n">
        <f aca="false">IF(OR($C49="",$B$2="",$D$2=0),0,IF(BL$3&lt;0,0,N(INDEX('CURVA PREVISION'!$A$1:$KZ$3000,$C49,11+3*MIN(BL$3,$D$2-1)))))</f>
        <v>0</v>
      </c>
      <c r="BM49" s="131" t="n">
        <f aca="false">IF(OR($C49="",$B$2="",$D$2=0),0,IF(BM$3&lt;0,0,N(INDEX('CURVA PREVISION'!$A$1:$KZ$3000,$C49,11+3*MIN(BM$3,$D$2-1)))))</f>
        <v>0</v>
      </c>
      <c r="BN49" s="131" t="n">
        <f aca="false">IF(OR($C49="",$B$2="",$D$2=0),0,IF(BN$3&lt;0,0,N(INDEX('CURVA PREVISION'!$A$1:$KZ$3000,$C49,11+3*MIN(BN$3,$D$2-1)))))</f>
        <v>0</v>
      </c>
      <c r="BO49" s="131" t="n">
        <f aca="false">IF(OR($C49="",$B$2="",$D$2=0),0,IF(BO$3&lt;0,0,N(INDEX('CURVA PREVISION'!$A$1:$KZ$3000,$C49,11+3*MIN(BO$3,$D$2-1)))))</f>
        <v>0</v>
      </c>
      <c r="BP49" s="131" t="n">
        <f aca="false">IF(OR($C49="",$B$2="",$D$2=0),0,IF(BP$3&lt;0,0,N(INDEX('CURVA PREVISION'!$A$1:$KZ$3000,$C49,11+3*MIN(BP$3,$D$2-1)))))</f>
        <v>0</v>
      </c>
      <c r="BQ49" s="131" t="n">
        <f aca="false">IF(OR($C49="",$B$2="",$D$2=0),0,IF(BQ$3&lt;0,0,N(INDEX('CURVA PREVISION'!$A$1:$KZ$3000,$C49,11+3*MIN(BQ$3,$D$2-1)))))</f>
        <v>0</v>
      </c>
      <c r="BR49" s="131" t="n">
        <f aca="false">IF(OR($C49="",$B$2="",$D$2=0),0,IF(BR$3&lt;0,0,N(INDEX('CURVA PREVISION'!$A$1:$KZ$3000,$C49,11+3*MIN(BR$3,$D$2-1)))))</f>
        <v>0</v>
      </c>
      <c r="BS49" s="131" t="n">
        <f aca="false">IF(OR($C49="",$B$2="",$D$2=0),0,IF(BS$3&lt;0,0,N(INDEX('CURVA PREVISION'!$A$1:$KZ$3000,$C49,11+3*MIN(BS$3,$D$2-1)))))</f>
        <v>0</v>
      </c>
      <c r="BT49" s="131" t="n">
        <f aca="false">IF(OR($C49="",$B$2="",$D$2=0),0,IF(BT$3&lt;0,0,N(INDEX('CURVA PREVISION'!$A$1:$KZ$3000,$C49,11+3*MIN(BT$3,$D$2-1)))))</f>
        <v>0</v>
      </c>
      <c r="BU49" s="131" t="n">
        <f aca="false">IF(OR($C49="",$B$2="",$D$2=0),0,IF(BU$3&lt;0,0,N(INDEX('CURVA PREVISION'!$A$1:$KZ$3000,$C49,11+3*MIN(BU$3,$D$2-1)))))</f>
        <v>0</v>
      </c>
      <c r="BV49" s="131" t="n">
        <f aca="false">IF(OR($C49="",$B$2="",$D$2=0),0,IF(BV$3&lt;0,0,N(INDEX('CURVA PREVISION'!$A$1:$KZ$3000,$C49,11+3*MIN(BV$3,$D$2-1)))))</f>
        <v>0</v>
      </c>
      <c r="BW49" s="131" t="n">
        <f aca="false">IF(OR($C49="",$B$2="",$D$2=0),0,IF(BW$3&lt;0,0,N(INDEX('CURVA PREVISION'!$A$1:$KZ$3000,$C49,11+3*MIN(BW$3,$D$2-1)))))</f>
        <v>0</v>
      </c>
    </row>
    <row r="50" customFormat="false" ht="15" hidden="false" customHeight="false" outlineLevel="0" collapsed="false">
      <c r="A50" s="57" t="str">
        <f aca="false">IF('VALOR POR PL'!Q14="",'VALOR POR PL'!C14,'VALOR POR PL'!Q14)</f>
        <v>04</v>
      </c>
      <c r="B50" s="47" t="str">
        <f aca="false">B8</f>
        <v>BARRACAO DE OBRA</v>
      </c>
      <c r="C50" s="64" t="n">
        <f aca="false">IFERROR(MATCH(A50,'CURVA PREVISION'!$B$1:$B$3000,0),"")</f>
        <v>11</v>
      </c>
      <c r="D50" s="131" t="n">
        <f aca="false">IF(OR($C50="",$B$2="",$D$2=0),0,IF(D$3&lt;0,0,N(INDEX('CURVA PREVISION'!$A$1:$KZ$3000,$C50,11+3*MIN(D$3,$D$2-1)))))</f>
        <v>0</v>
      </c>
      <c r="E50" s="131" t="n">
        <f aca="false">IF(OR($C50="",$B$2="",$D$2=0),0,IF(E$3&lt;0,0,N(INDEX('CURVA PREVISION'!$A$1:$KZ$3000,$C50,11+3*MIN(E$3,$D$2-1)))))</f>
        <v>0</v>
      </c>
      <c r="F50" s="131" t="n">
        <f aca="false">IF(OR($C50="",$B$2="",$D$2=0),0,IF(F$3&lt;0,0,N(INDEX('CURVA PREVISION'!$A$1:$KZ$3000,$C50,11+3*MIN(F$3,$D$2-1)))))</f>
        <v>0</v>
      </c>
      <c r="G50" s="131" t="n">
        <f aca="false">IF(OR($C50="",$B$2="",$D$2=0),0,IF(G$3&lt;0,0,N(INDEX('CURVA PREVISION'!$A$1:$KZ$3000,$C50,11+3*MIN(G$3,$D$2-1)))))</f>
        <v>0</v>
      </c>
      <c r="H50" s="131" t="n">
        <f aca="false">IF(OR($C50="",$B$2="",$D$2=0),0,IF(H$3&lt;0,0,N(INDEX('CURVA PREVISION'!$A$1:$KZ$3000,$C50,11+3*MIN(H$3,$D$2-1)))))</f>
        <v>0</v>
      </c>
      <c r="I50" s="131" t="n">
        <f aca="false">IF(OR($C50="",$B$2="",$D$2=0),0,IF(I$3&lt;0,0,N(INDEX('CURVA PREVISION'!$A$1:$KZ$3000,$C50,11+3*MIN(I$3,$D$2-1)))))</f>
        <v>0</v>
      </c>
      <c r="J50" s="131" t="n">
        <f aca="false">IF(OR($C50="",$B$2="",$D$2=0),0,IF(J$3&lt;0,0,N(INDEX('CURVA PREVISION'!$A$1:$KZ$3000,$C50,11+3*MIN(J$3,$D$2-1)))))</f>
        <v>0</v>
      </c>
      <c r="K50" s="131" t="n">
        <f aca="false">IF(OR($C50="",$B$2="",$D$2=0),0,IF(K$3&lt;0,0,N(INDEX('CURVA PREVISION'!$A$1:$KZ$3000,$C50,11+3*MIN(K$3,$D$2-1)))))</f>
        <v>0</v>
      </c>
      <c r="L50" s="131" t="n">
        <f aca="false">IF(OR($C50="",$B$2="",$D$2=0),0,IF(L$3&lt;0,0,N(INDEX('CURVA PREVISION'!$A$1:$KZ$3000,$C50,11+3*MIN(L$3,$D$2-1)))))</f>
        <v>0</v>
      </c>
      <c r="M50" s="131" t="n">
        <f aca="false">IF(OR($C50="",$B$2="",$D$2=0),0,IF(M$3&lt;0,0,N(INDEX('CURVA PREVISION'!$A$1:$KZ$3000,$C50,11+3*MIN(M$3,$D$2-1)))))</f>
        <v>0</v>
      </c>
      <c r="N50" s="131" t="n">
        <f aca="false">IF(OR($C50="",$B$2="",$D$2=0),0,IF(N$3&lt;0,0,N(INDEX('CURVA PREVISION'!$A$1:$KZ$3000,$C50,11+3*MIN(N$3,$D$2-1)))))</f>
        <v>0</v>
      </c>
      <c r="O50" s="131" t="n">
        <f aca="false">IF(OR($C50="",$B$2="",$D$2=0),0,IF(O$3&lt;0,0,N(INDEX('CURVA PREVISION'!$A$1:$KZ$3000,$C50,11+3*MIN(O$3,$D$2-1)))))</f>
        <v>0</v>
      </c>
      <c r="P50" s="131" t="n">
        <f aca="false">IF(OR($C50="",$B$2="",$D$2=0),0,IF(P$3&lt;0,0,N(INDEX('CURVA PREVISION'!$A$1:$KZ$3000,$C50,11+3*MIN(P$3,$D$2-1)))))</f>
        <v>0</v>
      </c>
      <c r="Q50" s="131" t="n">
        <f aca="false">IF(OR($C50="",$B$2="",$D$2=0),0,IF(Q$3&lt;0,0,N(INDEX('CURVA PREVISION'!$A$1:$KZ$3000,$C50,11+3*MIN(Q$3,$D$2-1)))))</f>
        <v>0</v>
      </c>
      <c r="R50" s="131" t="n">
        <f aca="false">IF(OR($C50="",$B$2="",$D$2=0),0,IF(R$3&lt;0,0,N(INDEX('CURVA PREVISION'!$A$1:$KZ$3000,$C50,11+3*MIN(R$3,$D$2-1)))))</f>
        <v>0</v>
      </c>
      <c r="S50" s="131" t="n">
        <f aca="false">IF(OR($C50="",$B$2="",$D$2=0),0,IF(S$3&lt;0,0,N(INDEX('CURVA PREVISION'!$A$1:$KZ$3000,$C50,11+3*MIN(S$3,$D$2-1)))))</f>
        <v>0</v>
      </c>
      <c r="T50" s="131" t="n">
        <f aca="false">IF(OR($C50="",$B$2="",$D$2=0),0,IF(T$3&lt;0,0,N(INDEX('CURVA PREVISION'!$A$1:$KZ$3000,$C50,11+3*MIN(T$3,$D$2-1)))))</f>
        <v>0</v>
      </c>
      <c r="U50" s="131" t="n">
        <f aca="false">IF(OR($C50="",$B$2="",$D$2=0),0,IF(U$3&lt;0,0,N(INDEX('CURVA PREVISION'!$A$1:$KZ$3000,$C50,11+3*MIN(U$3,$D$2-1)))))</f>
        <v>0</v>
      </c>
      <c r="V50" s="131" t="n">
        <f aca="false">IF(OR($C50="",$B$2="",$D$2=0),0,IF(V$3&lt;0,0,N(INDEX('CURVA PREVISION'!$A$1:$KZ$3000,$C50,11+3*MIN(V$3,$D$2-1)))))</f>
        <v>0</v>
      </c>
      <c r="W50" s="131" t="n">
        <f aca="false">IF(OR($C50="",$B$2="",$D$2=0),0,IF(W$3&lt;0,0,N(INDEX('CURVA PREVISION'!$A$1:$KZ$3000,$C50,11+3*MIN(W$3,$D$2-1)))))</f>
        <v>0</v>
      </c>
      <c r="X50" s="131" t="n">
        <f aca="false">IF(OR($C50="",$B$2="",$D$2=0),0,IF(X$3&lt;0,0,N(INDEX('CURVA PREVISION'!$A$1:$KZ$3000,$C50,11+3*MIN(X$3,$D$2-1)))))</f>
        <v>0</v>
      </c>
      <c r="Y50" s="131" t="n">
        <f aca="false">IF(OR($C50="",$B$2="",$D$2=0),0,IF(Y$3&lt;0,0,N(INDEX('CURVA PREVISION'!$A$1:$KZ$3000,$C50,11+3*MIN(Y$3,$D$2-1)))))</f>
        <v>0</v>
      </c>
      <c r="Z50" s="131" t="n">
        <f aca="false">IF(OR($C50="",$B$2="",$D$2=0),0,IF(Z$3&lt;0,0,N(INDEX('CURVA PREVISION'!$A$1:$KZ$3000,$C50,11+3*MIN(Z$3,$D$2-1)))))</f>
        <v>0</v>
      </c>
      <c r="AA50" s="131" t="n">
        <f aca="false">IF(OR($C50="",$B$2="",$D$2=0),0,IF(AA$3&lt;0,0,N(INDEX('CURVA PREVISION'!$A$1:$KZ$3000,$C50,11+3*MIN(AA$3,$D$2-1)))))</f>
        <v>0</v>
      </c>
      <c r="AB50" s="131" t="n">
        <f aca="false">IF(OR($C50="",$B$2="",$D$2=0),0,IF(AB$3&lt;0,0,N(INDEX('CURVA PREVISION'!$A$1:$KZ$3000,$C50,11+3*MIN(AB$3,$D$2-1)))))</f>
        <v>0</v>
      </c>
      <c r="AC50" s="131" t="n">
        <f aca="false">IF(OR($C50="",$B$2="",$D$2=0),0,IF(AC$3&lt;0,0,N(INDEX('CURVA PREVISION'!$A$1:$KZ$3000,$C50,11+3*MIN(AC$3,$D$2-1)))))</f>
        <v>0</v>
      </c>
      <c r="AD50" s="131" t="n">
        <f aca="false">IF(OR($C50="",$B$2="",$D$2=0),0,IF(AD$3&lt;0,0,N(INDEX('CURVA PREVISION'!$A$1:$KZ$3000,$C50,11+3*MIN(AD$3,$D$2-1)))))</f>
        <v>0</v>
      </c>
      <c r="AE50" s="131" t="n">
        <f aca="false">IF(OR($C50="",$B$2="",$D$2=0),0,IF(AE$3&lt;0,0,N(INDEX('CURVA PREVISION'!$A$1:$KZ$3000,$C50,11+3*MIN(AE$3,$D$2-1)))))</f>
        <v>0</v>
      </c>
      <c r="AF50" s="131" t="n">
        <f aca="false">IF(OR($C50="",$B$2="",$D$2=0),0,IF(AF$3&lt;0,0,N(INDEX('CURVA PREVISION'!$A$1:$KZ$3000,$C50,11+3*MIN(AF$3,$D$2-1)))))</f>
        <v>0</v>
      </c>
      <c r="AG50" s="131" t="n">
        <f aca="false">IF(OR($C50="",$B$2="",$D$2=0),0,IF(AG$3&lt;0,0,N(INDEX('CURVA PREVISION'!$A$1:$KZ$3000,$C50,11+3*MIN(AG$3,$D$2-1)))))</f>
        <v>0</v>
      </c>
      <c r="AH50" s="131" t="n">
        <f aca="false">IF(OR($C50="",$B$2="",$D$2=0),0,IF(AH$3&lt;0,0,N(INDEX('CURVA PREVISION'!$A$1:$KZ$3000,$C50,11+3*MIN(AH$3,$D$2-1)))))</f>
        <v>0</v>
      </c>
      <c r="AI50" s="131" t="n">
        <f aca="false">IF(OR($C50="",$B$2="",$D$2=0),0,IF(AI$3&lt;0,0,N(INDEX('CURVA PREVISION'!$A$1:$KZ$3000,$C50,11+3*MIN(AI$3,$D$2-1)))))</f>
        <v>0</v>
      </c>
      <c r="AJ50" s="131" t="n">
        <f aca="false">IF(OR($C50="",$B$2="",$D$2=0),0,IF(AJ$3&lt;0,0,N(INDEX('CURVA PREVISION'!$A$1:$KZ$3000,$C50,11+3*MIN(AJ$3,$D$2-1)))))</f>
        <v>0</v>
      </c>
      <c r="AK50" s="131" t="n">
        <f aca="false">IF(OR($C50="",$B$2="",$D$2=0),0,IF(AK$3&lt;0,0,N(INDEX('CURVA PREVISION'!$A$1:$KZ$3000,$C50,11+3*MIN(AK$3,$D$2-1)))))</f>
        <v>0</v>
      </c>
      <c r="AL50" s="131" t="n">
        <f aca="false">IF(OR($C50="",$B$2="",$D$2=0),0,IF(AL$3&lt;0,0,N(INDEX('CURVA PREVISION'!$A$1:$KZ$3000,$C50,11+3*MIN(AL$3,$D$2-1)))))</f>
        <v>0</v>
      </c>
      <c r="AM50" s="131" t="n">
        <f aca="false">IF(OR($C50="",$B$2="",$D$2=0),0,IF(AM$3&lt;0,0,N(INDEX('CURVA PREVISION'!$A$1:$KZ$3000,$C50,11+3*MIN(AM$3,$D$2-1)))))</f>
        <v>0</v>
      </c>
      <c r="AN50" s="131" t="n">
        <f aca="false">IF(OR($C50="",$B$2="",$D$2=0),0,IF(AN$3&lt;0,0,N(INDEX('CURVA PREVISION'!$A$1:$KZ$3000,$C50,11+3*MIN(AN$3,$D$2-1)))))</f>
        <v>0</v>
      </c>
      <c r="AO50" s="131" t="n">
        <f aca="false">IF(OR($C50="",$B$2="",$D$2=0),0,IF(AO$3&lt;0,0,N(INDEX('CURVA PREVISION'!$A$1:$KZ$3000,$C50,11+3*MIN(AO$3,$D$2-1)))))</f>
        <v>0</v>
      </c>
      <c r="AP50" s="131" t="n">
        <f aca="false">IF(OR($C50="",$B$2="",$D$2=0),0,IF(AP$3&lt;0,0,N(INDEX('CURVA PREVISION'!$A$1:$KZ$3000,$C50,11+3*MIN(AP$3,$D$2-1)))))</f>
        <v>0</v>
      </c>
      <c r="AQ50" s="131" t="n">
        <f aca="false">IF(OR($C50="",$B$2="",$D$2=0),0,IF(AQ$3&lt;0,0,N(INDEX('CURVA PREVISION'!$A$1:$KZ$3000,$C50,11+3*MIN(AQ$3,$D$2-1)))))</f>
        <v>0</v>
      </c>
      <c r="AR50" s="131" t="n">
        <f aca="false">IF(OR($C50="",$B$2="",$D$2=0),0,IF(AR$3&lt;0,0,N(INDEX('CURVA PREVISION'!$A$1:$KZ$3000,$C50,11+3*MIN(AR$3,$D$2-1)))))</f>
        <v>0</v>
      </c>
      <c r="AS50" s="131" t="n">
        <f aca="false">IF(OR($C50="",$B$2="",$D$2=0),0,IF(AS$3&lt;0,0,N(INDEX('CURVA PREVISION'!$A$1:$KZ$3000,$C50,11+3*MIN(AS$3,$D$2-1)))))</f>
        <v>0</v>
      </c>
      <c r="AT50" s="131" t="n">
        <f aca="false">IF(OR($C50="",$B$2="",$D$2=0),0,IF(AT$3&lt;0,0,N(INDEX('CURVA PREVISION'!$A$1:$KZ$3000,$C50,11+3*MIN(AT$3,$D$2-1)))))</f>
        <v>0</v>
      </c>
      <c r="AU50" s="131" t="n">
        <f aca="false">IF(OR($C50="",$B$2="",$D$2=0),0,IF(AU$3&lt;0,0,N(INDEX('CURVA PREVISION'!$A$1:$KZ$3000,$C50,11+3*MIN(AU$3,$D$2-1)))))</f>
        <v>0</v>
      </c>
      <c r="AV50" s="131" t="n">
        <f aca="false">IF(OR($C50="",$B$2="",$D$2=0),0,IF(AV$3&lt;0,0,N(INDEX('CURVA PREVISION'!$A$1:$KZ$3000,$C50,11+3*MIN(AV$3,$D$2-1)))))</f>
        <v>0</v>
      </c>
      <c r="AW50" s="131" t="n">
        <f aca="false">IF(OR($C50="",$B$2="",$D$2=0),0,IF(AW$3&lt;0,0,N(INDEX('CURVA PREVISION'!$A$1:$KZ$3000,$C50,11+3*MIN(AW$3,$D$2-1)))))</f>
        <v>0</v>
      </c>
      <c r="AX50" s="131" t="n">
        <f aca="false">IF(OR($C50="",$B$2="",$D$2=0),0,IF(AX$3&lt;0,0,N(INDEX('CURVA PREVISION'!$A$1:$KZ$3000,$C50,11+3*MIN(AX$3,$D$2-1)))))</f>
        <v>0</v>
      </c>
      <c r="AY50" s="131" t="n">
        <f aca="false">IF(OR($C50="",$B$2="",$D$2=0),0,IF(AY$3&lt;0,0,N(INDEX('CURVA PREVISION'!$A$1:$KZ$3000,$C50,11+3*MIN(AY$3,$D$2-1)))))</f>
        <v>0</v>
      </c>
      <c r="AZ50" s="131" t="n">
        <f aca="false">IF(OR($C50="",$B$2="",$D$2=0),0,IF(AZ$3&lt;0,0,N(INDEX('CURVA PREVISION'!$A$1:$KZ$3000,$C50,11+3*MIN(AZ$3,$D$2-1)))))</f>
        <v>0</v>
      </c>
      <c r="BA50" s="131" t="n">
        <f aca="false">IF(OR($C50="",$B$2="",$D$2=0),0,IF(BA$3&lt;0,0,N(INDEX('CURVA PREVISION'!$A$1:$KZ$3000,$C50,11+3*MIN(BA$3,$D$2-1)))))</f>
        <v>0</v>
      </c>
      <c r="BB50" s="131" t="n">
        <f aca="false">IF(OR($C50="",$B$2="",$D$2=0),0,IF(BB$3&lt;0,0,N(INDEX('CURVA PREVISION'!$A$1:$KZ$3000,$C50,11+3*MIN(BB$3,$D$2-1)))))</f>
        <v>0</v>
      </c>
      <c r="BC50" s="131" t="n">
        <f aca="false">IF(OR($C50="",$B$2="",$D$2=0),0,IF(BC$3&lt;0,0,N(INDEX('CURVA PREVISION'!$A$1:$KZ$3000,$C50,11+3*MIN(BC$3,$D$2-1)))))</f>
        <v>0</v>
      </c>
      <c r="BD50" s="131" t="n">
        <f aca="false">IF(OR($C50="",$B$2="",$D$2=0),0,IF(BD$3&lt;0,0,N(INDEX('CURVA PREVISION'!$A$1:$KZ$3000,$C50,11+3*MIN(BD$3,$D$2-1)))))</f>
        <v>0</v>
      </c>
      <c r="BE50" s="131" t="n">
        <f aca="false">IF(OR($C50="",$B$2="",$D$2=0),0,IF(BE$3&lt;0,0,N(INDEX('CURVA PREVISION'!$A$1:$KZ$3000,$C50,11+3*MIN(BE$3,$D$2-1)))))</f>
        <v>0</v>
      </c>
      <c r="BF50" s="131" t="n">
        <f aca="false">IF(OR($C50="",$B$2="",$D$2=0),0,IF(BF$3&lt;0,0,N(INDEX('CURVA PREVISION'!$A$1:$KZ$3000,$C50,11+3*MIN(BF$3,$D$2-1)))))</f>
        <v>0</v>
      </c>
      <c r="BG50" s="131" t="n">
        <f aca="false">IF(OR($C50="",$B$2="",$D$2=0),0,IF(BG$3&lt;0,0,N(INDEX('CURVA PREVISION'!$A$1:$KZ$3000,$C50,11+3*MIN(BG$3,$D$2-1)))))</f>
        <v>0</v>
      </c>
      <c r="BH50" s="131" t="n">
        <f aca="false">IF(OR($C50="",$B$2="",$D$2=0),0,IF(BH$3&lt;0,0,N(INDEX('CURVA PREVISION'!$A$1:$KZ$3000,$C50,11+3*MIN(BH$3,$D$2-1)))))</f>
        <v>0</v>
      </c>
      <c r="BI50" s="131" t="n">
        <f aca="false">IF(OR($C50="",$B$2="",$D$2=0),0,IF(BI$3&lt;0,0,N(INDEX('CURVA PREVISION'!$A$1:$KZ$3000,$C50,11+3*MIN(BI$3,$D$2-1)))))</f>
        <v>0</v>
      </c>
      <c r="BJ50" s="131" t="n">
        <f aca="false">IF(OR($C50="",$B$2="",$D$2=0),0,IF(BJ$3&lt;0,0,N(INDEX('CURVA PREVISION'!$A$1:$KZ$3000,$C50,11+3*MIN(BJ$3,$D$2-1)))))</f>
        <v>0</v>
      </c>
      <c r="BK50" s="131" t="n">
        <f aca="false">IF(OR($C50="",$B$2="",$D$2=0),0,IF(BK$3&lt;0,0,N(INDEX('CURVA PREVISION'!$A$1:$KZ$3000,$C50,11+3*MIN(BK$3,$D$2-1)))))</f>
        <v>0</v>
      </c>
      <c r="BL50" s="131" t="n">
        <f aca="false">IF(OR($C50="",$B$2="",$D$2=0),0,IF(BL$3&lt;0,0,N(INDEX('CURVA PREVISION'!$A$1:$KZ$3000,$C50,11+3*MIN(BL$3,$D$2-1)))))</f>
        <v>0</v>
      </c>
      <c r="BM50" s="131" t="n">
        <f aca="false">IF(OR($C50="",$B$2="",$D$2=0),0,IF(BM$3&lt;0,0,N(INDEX('CURVA PREVISION'!$A$1:$KZ$3000,$C50,11+3*MIN(BM$3,$D$2-1)))))</f>
        <v>0</v>
      </c>
      <c r="BN50" s="131" t="n">
        <f aca="false">IF(OR($C50="",$B$2="",$D$2=0),0,IF(BN$3&lt;0,0,N(INDEX('CURVA PREVISION'!$A$1:$KZ$3000,$C50,11+3*MIN(BN$3,$D$2-1)))))</f>
        <v>0</v>
      </c>
      <c r="BO50" s="131" t="n">
        <f aca="false">IF(OR($C50="",$B$2="",$D$2=0),0,IF(BO$3&lt;0,0,N(INDEX('CURVA PREVISION'!$A$1:$KZ$3000,$C50,11+3*MIN(BO$3,$D$2-1)))))</f>
        <v>0</v>
      </c>
      <c r="BP50" s="131" t="n">
        <f aca="false">IF(OR($C50="",$B$2="",$D$2=0),0,IF(BP$3&lt;0,0,N(INDEX('CURVA PREVISION'!$A$1:$KZ$3000,$C50,11+3*MIN(BP$3,$D$2-1)))))</f>
        <v>0</v>
      </c>
      <c r="BQ50" s="131" t="n">
        <f aca="false">IF(OR($C50="",$B$2="",$D$2=0),0,IF(BQ$3&lt;0,0,N(INDEX('CURVA PREVISION'!$A$1:$KZ$3000,$C50,11+3*MIN(BQ$3,$D$2-1)))))</f>
        <v>0</v>
      </c>
      <c r="BR50" s="131" t="n">
        <f aca="false">IF(OR($C50="",$B$2="",$D$2=0),0,IF(BR$3&lt;0,0,N(INDEX('CURVA PREVISION'!$A$1:$KZ$3000,$C50,11+3*MIN(BR$3,$D$2-1)))))</f>
        <v>0</v>
      </c>
      <c r="BS50" s="131" t="n">
        <f aca="false">IF(OR($C50="",$B$2="",$D$2=0),0,IF(BS$3&lt;0,0,N(INDEX('CURVA PREVISION'!$A$1:$KZ$3000,$C50,11+3*MIN(BS$3,$D$2-1)))))</f>
        <v>0</v>
      </c>
      <c r="BT50" s="131" t="n">
        <f aca="false">IF(OR($C50="",$B$2="",$D$2=0),0,IF(BT$3&lt;0,0,N(INDEX('CURVA PREVISION'!$A$1:$KZ$3000,$C50,11+3*MIN(BT$3,$D$2-1)))))</f>
        <v>0</v>
      </c>
      <c r="BU50" s="131" t="n">
        <f aca="false">IF(OR($C50="",$B$2="",$D$2=0),0,IF(BU$3&lt;0,0,N(INDEX('CURVA PREVISION'!$A$1:$KZ$3000,$C50,11+3*MIN(BU$3,$D$2-1)))))</f>
        <v>0</v>
      </c>
      <c r="BV50" s="131" t="n">
        <f aca="false">IF(OR($C50="",$B$2="",$D$2=0),0,IF(BV$3&lt;0,0,N(INDEX('CURVA PREVISION'!$A$1:$KZ$3000,$C50,11+3*MIN(BV$3,$D$2-1)))))</f>
        <v>0</v>
      </c>
      <c r="BW50" s="131" t="n">
        <f aca="false">IF(OR($C50="",$B$2="",$D$2=0),0,IF(BW$3&lt;0,0,N(INDEX('CURVA PREVISION'!$A$1:$KZ$3000,$C50,11+3*MIN(BW$3,$D$2-1)))))</f>
        <v>0</v>
      </c>
    </row>
    <row r="51" customFormat="false" ht="15" hidden="false" customHeight="false" outlineLevel="0" collapsed="false">
      <c r="A51" s="57" t="str">
        <f aca="false">IF('VALOR POR PL'!Q15="",'VALOR POR PL'!C15,'VALOR POR PL'!Q15)</f>
        <v>05</v>
      </c>
      <c r="B51" s="47" t="str">
        <f aca="false">B9</f>
        <v>LIGAÇÕES PROVISÓRIAS AGUA, ENERGIA,TELEFONIA, ESGOTO</v>
      </c>
      <c r="C51" s="64" t="n">
        <f aca="false">IFERROR(MATCH(A51,'CURVA PREVISION'!$B$1:$B$3000,0),"")</f>
        <v>69</v>
      </c>
      <c r="D51" s="131" t="n">
        <f aca="false">IF(OR($C51="",$B$2="",$D$2=0),0,IF(D$3&lt;0,0,N(INDEX('CURVA PREVISION'!$A$1:$KZ$3000,$C51,11+3*MIN(D$3,$D$2-1)))))</f>
        <v>0</v>
      </c>
      <c r="E51" s="131" t="n">
        <f aca="false">IF(OR($C51="",$B$2="",$D$2=0),0,IF(E$3&lt;0,0,N(INDEX('CURVA PREVISION'!$A$1:$KZ$3000,$C51,11+3*MIN(E$3,$D$2-1)))))</f>
        <v>0</v>
      </c>
      <c r="F51" s="131" t="n">
        <f aca="false">IF(OR($C51="",$B$2="",$D$2=0),0,IF(F$3&lt;0,0,N(INDEX('CURVA PREVISION'!$A$1:$KZ$3000,$C51,11+3*MIN(F$3,$D$2-1)))))</f>
        <v>0</v>
      </c>
      <c r="G51" s="131" t="n">
        <f aca="false">IF(OR($C51="",$B$2="",$D$2=0),0,IF(G$3&lt;0,0,N(INDEX('CURVA PREVISION'!$A$1:$KZ$3000,$C51,11+3*MIN(G$3,$D$2-1)))))</f>
        <v>0</v>
      </c>
      <c r="H51" s="131" t="n">
        <f aca="false">IF(OR($C51="",$B$2="",$D$2=0),0,IF(H$3&lt;0,0,N(INDEX('CURVA PREVISION'!$A$1:$KZ$3000,$C51,11+3*MIN(H$3,$D$2-1)))))</f>
        <v>0</v>
      </c>
      <c r="I51" s="131" t="n">
        <f aca="false">IF(OR($C51="",$B$2="",$D$2=0),0,IF(I$3&lt;0,0,N(INDEX('CURVA PREVISION'!$A$1:$KZ$3000,$C51,11+3*MIN(I$3,$D$2-1)))))</f>
        <v>0</v>
      </c>
      <c r="J51" s="131" t="n">
        <f aca="false">IF(OR($C51="",$B$2="",$D$2=0),0,IF(J$3&lt;0,0,N(INDEX('CURVA PREVISION'!$A$1:$KZ$3000,$C51,11+3*MIN(J$3,$D$2-1)))))</f>
        <v>0</v>
      </c>
      <c r="K51" s="131" t="n">
        <f aca="false">IF(OR($C51="",$B$2="",$D$2=0),0,IF(K$3&lt;0,0,N(INDEX('CURVA PREVISION'!$A$1:$KZ$3000,$C51,11+3*MIN(K$3,$D$2-1)))))</f>
        <v>0</v>
      </c>
      <c r="L51" s="131" t="n">
        <f aca="false">IF(OR($C51="",$B$2="",$D$2=0),0,IF(L$3&lt;0,0,N(INDEX('CURVA PREVISION'!$A$1:$KZ$3000,$C51,11+3*MIN(L$3,$D$2-1)))))</f>
        <v>0</v>
      </c>
      <c r="M51" s="131" t="n">
        <f aca="false">IF(OR($C51="",$B$2="",$D$2=0),0,IF(M$3&lt;0,0,N(INDEX('CURVA PREVISION'!$A$1:$KZ$3000,$C51,11+3*MIN(M$3,$D$2-1)))))</f>
        <v>0</v>
      </c>
      <c r="N51" s="131" t="n">
        <f aca="false">IF(OR($C51="",$B$2="",$D$2=0),0,IF(N$3&lt;0,0,N(INDEX('CURVA PREVISION'!$A$1:$KZ$3000,$C51,11+3*MIN(N$3,$D$2-1)))))</f>
        <v>0</v>
      </c>
      <c r="O51" s="131" t="n">
        <f aca="false">IF(OR($C51="",$B$2="",$D$2=0),0,IF(O$3&lt;0,0,N(INDEX('CURVA PREVISION'!$A$1:$KZ$3000,$C51,11+3*MIN(O$3,$D$2-1)))))</f>
        <v>0</v>
      </c>
      <c r="P51" s="131" t="n">
        <f aca="false">IF(OR($C51="",$B$2="",$D$2=0),0,IF(P$3&lt;0,0,N(INDEX('CURVA PREVISION'!$A$1:$KZ$3000,$C51,11+3*MIN(P$3,$D$2-1)))))</f>
        <v>0</v>
      </c>
      <c r="Q51" s="131" t="n">
        <f aca="false">IF(OR($C51="",$B$2="",$D$2=0),0,IF(Q$3&lt;0,0,N(INDEX('CURVA PREVISION'!$A$1:$KZ$3000,$C51,11+3*MIN(Q$3,$D$2-1)))))</f>
        <v>0</v>
      </c>
      <c r="R51" s="131" t="n">
        <f aca="false">IF(OR($C51="",$B$2="",$D$2=0),0,IF(R$3&lt;0,0,N(INDEX('CURVA PREVISION'!$A$1:$KZ$3000,$C51,11+3*MIN(R$3,$D$2-1)))))</f>
        <v>0</v>
      </c>
      <c r="S51" s="131" t="n">
        <f aca="false">IF(OR($C51="",$B$2="",$D$2=0),0,IF(S$3&lt;0,0,N(INDEX('CURVA PREVISION'!$A$1:$KZ$3000,$C51,11+3*MIN(S$3,$D$2-1)))))</f>
        <v>0</v>
      </c>
      <c r="T51" s="131" t="n">
        <f aca="false">IF(OR($C51="",$B$2="",$D$2=0),0,IF(T$3&lt;0,0,N(INDEX('CURVA PREVISION'!$A$1:$KZ$3000,$C51,11+3*MIN(T$3,$D$2-1)))))</f>
        <v>0</v>
      </c>
      <c r="U51" s="131" t="n">
        <f aca="false">IF(OR($C51="",$B$2="",$D$2=0),0,IF(U$3&lt;0,0,N(INDEX('CURVA PREVISION'!$A$1:$KZ$3000,$C51,11+3*MIN(U$3,$D$2-1)))))</f>
        <v>0</v>
      </c>
      <c r="V51" s="131" t="n">
        <f aca="false">IF(OR($C51="",$B$2="",$D$2=0),0,IF(V$3&lt;0,0,N(INDEX('CURVA PREVISION'!$A$1:$KZ$3000,$C51,11+3*MIN(V$3,$D$2-1)))))</f>
        <v>0</v>
      </c>
      <c r="W51" s="131" t="n">
        <f aca="false">IF(OR($C51="",$B$2="",$D$2=0),0,IF(W$3&lt;0,0,N(INDEX('CURVA PREVISION'!$A$1:$KZ$3000,$C51,11+3*MIN(W$3,$D$2-1)))))</f>
        <v>0</v>
      </c>
      <c r="X51" s="131" t="n">
        <f aca="false">IF(OR($C51="",$B$2="",$D$2=0),0,IF(X$3&lt;0,0,N(INDEX('CURVA PREVISION'!$A$1:$KZ$3000,$C51,11+3*MIN(X$3,$D$2-1)))))</f>
        <v>0</v>
      </c>
      <c r="Y51" s="131" t="n">
        <f aca="false">IF(OR($C51="",$B$2="",$D$2=0),0,IF(Y$3&lt;0,0,N(INDEX('CURVA PREVISION'!$A$1:$KZ$3000,$C51,11+3*MIN(Y$3,$D$2-1)))))</f>
        <v>0</v>
      </c>
      <c r="Z51" s="131" t="n">
        <f aca="false">IF(OR($C51="",$B$2="",$D$2=0),0,IF(Z$3&lt;0,0,N(INDEX('CURVA PREVISION'!$A$1:$KZ$3000,$C51,11+3*MIN(Z$3,$D$2-1)))))</f>
        <v>0</v>
      </c>
      <c r="AA51" s="131" t="n">
        <f aca="false">IF(OR($C51="",$B$2="",$D$2=0),0,IF(AA$3&lt;0,0,N(INDEX('CURVA PREVISION'!$A$1:$KZ$3000,$C51,11+3*MIN(AA$3,$D$2-1)))))</f>
        <v>0</v>
      </c>
      <c r="AB51" s="131" t="n">
        <f aca="false">IF(OR($C51="",$B$2="",$D$2=0),0,IF(AB$3&lt;0,0,N(INDEX('CURVA PREVISION'!$A$1:$KZ$3000,$C51,11+3*MIN(AB$3,$D$2-1)))))</f>
        <v>0</v>
      </c>
      <c r="AC51" s="131" t="n">
        <f aca="false">IF(OR($C51="",$B$2="",$D$2=0),0,IF(AC$3&lt;0,0,N(INDEX('CURVA PREVISION'!$A$1:$KZ$3000,$C51,11+3*MIN(AC$3,$D$2-1)))))</f>
        <v>0</v>
      </c>
      <c r="AD51" s="131" t="n">
        <f aca="false">IF(OR($C51="",$B$2="",$D$2=0),0,IF(AD$3&lt;0,0,N(INDEX('CURVA PREVISION'!$A$1:$KZ$3000,$C51,11+3*MIN(AD$3,$D$2-1)))))</f>
        <v>0</v>
      </c>
      <c r="AE51" s="131" t="n">
        <f aca="false">IF(OR($C51="",$B$2="",$D$2=0),0,IF(AE$3&lt;0,0,N(INDEX('CURVA PREVISION'!$A$1:$KZ$3000,$C51,11+3*MIN(AE$3,$D$2-1)))))</f>
        <v>0</v>
      </c>
      <c r="AF51" s="131" t="n">
        <f aca="false">IF(OR($C51="",$B$2="",$D$2=0),0,IF(AF$3&lt;0,0,N(INDEX('CURVA PREVISION'!$A$1:$KZ$3000,$C51,11+3*MIN(AF$3,$D$2-1)))))</f>
        <v>0</v>
      </c>
      <c r="AG51" s="131" t="n">
        <f aca="false">IF(OR($C51="",$B$2="",$D$2=0),0,IF(AG$3&lt;0,0,N(INDEX('CURVA PREVISION'!$A$1:$KZ$3000,$C51,11+3*MIN(AG$3,$D$2-1)))))</f>
        <v>0</v>
      </c>
      <c r="AH51" s="131" t="n">
        <f aca="false">IF(OR($C51="",$B$2="",$D$2=0),0,IF(AH$3&lt;0,0,N(INDEX('CURVA PREVISION'!$A$1:$KZ$3000,$C51,11+3*MIN(AH$3,$D$2-1)))))</f>
        <v>0</v>
      </c>
      <c r="AI51" s="131" t="n">
        <f aca="false">IF(OR($C51="",$B$2="",$D$2=0),0,IF(AI$3&lt;0,0,N(INDEX('CURVA PREVISION'!$A$1:$KZ$3000,$C51,11+3*MIN(AI$3,$D$2-1)))))</f>
        <v>0</v>
      </c>
      <c r="AJ51" s="131" t="n">
        <f aca="false">IF(OR($C51="",$B$2="",$D$2=0),0,IF(AJ$3&lt;0,0,N(INDEX('CURVA PREVISION'!$A$1:$KZ$3000,$C51,11+3*MIN(AJ$3,$D$2-1)))))</f>
        <v>0</v>
      </c>
      <c r="AK51" s="131" t="n">
        <f aca="false">IF(OR($C51="",$B$2="",$D$2=0),0,IF(AK$3&lt;0,0,N(INDEX('CURVA PREVISION'!$A$1:$KZ$3000,$C51,11+3*MIN(AK$3,$D$2-1)))))</f>
        <v>0</v>
      </c>
      <c r="AL51" s="131" t="n">
        <f aca="false">IF(OR($C51="",$B$2="",$D$2=0),0,IF(AL$3&lt;0,0,N(INDEX('CURVA PREVISION'!$A$1:$KZ$3000,$C51,11+3*MIN(AL$3,$D$2-1)))))</f>
        <v>0</v>
      </c>
      <c r="AM51" s="131" t="n">
        <f aca="false">IF(OR($C51="",$B$2="",$D$2=0),0,IF(AM$3&lt;0,0,N(INDEX('CURVA PREVISION'!$A$1:$KZ$3000,$C51,11+3*MIN(AM$3,$D$2-1)))))</f>
        <v>0</v>
      </c>
      <c r="AN51" s="131" t="n">
        <f aca="false">IF(OR($C51="",$B$2="",$D$2=0),0,IF(AN$3&lt;0,0,N(INDEX('CURVA PREVISION'!$A$1:$KZ$3000,$C51,11+3*MIN(AN$3,$D$2-1)))))</f>
        <v>0</v>
      </c>
      <c r="AO51" s="131" t="n">
        <f aca="false">IF(OR($C51="",$B$2="",$D$2=0),0,IF(AO$3&lt;0,0,N(INDEX('CURVA PREVISION'!$A$1:$KZ$3000,$C51,11+3*MIN(AO$3,$D$2-1)))))</f>
        <v>0</v>
      </c>
      <c r="AP51" s="131" t="n">
        <f aca="false">IF(OR($C51="",$B$2="",$D$2=0),0,IF(AP$3&lt;0,0,N(INDEX('CURVA PREVISION'!$A$1:$KZ$3000,$C51,11+3*MIN(AP$3,$D$2-1)))))</f>
        <v>0</v>
      </c>
      <c r="AQ51" s="131" t="n">
        <f aca="false">IF(OR($C51="",$B$2="",$D$2=0),0,IF(AQ$3&lt;0,0,N(INDEX('CURVA PREVISION'!$A$1:$KZ$3000,$C51,11+3*MIN(AQ$3,$D$2-1)))))</f>
        <v>0</v>
      </c>
      <c r="AR51" s="131" t="n">
        <f aca="false">IF(OR($C51="",$B$2="",$D$2=0),0,IF(AR$3&lt;0,0,N(INDEX('CURVA PREVISION'!$A$1:$KZ$3000,$C51,11+3*MIN(AR$3,$D$2-1)))))</f>
        <v>0</v>
      </c>
      <c r="AS51" s="131" t="n">
        <f aca="false">IF(OR($C51="",$B$2="",$D$2=0),0,IF(AS$3&lt;0,0,N(INDEX('CURVA PREVISION'!$A$1:$KZ$3000,$C51,11+3*MIN(AS$3,$D$2-1)))))</f>
        <v>0</v>
      </c>
      <c r="AT51" s="131" t="n">
        <f aca="false">IF(OR($C51="",$B$2="",$D$2=0),0,IF(AT$3&lt;0,0,N(INDEX('CURVA PREVISION'!$A$1:$KZ$3000,$C51,11+3*MIN(AT$3,$D$2-1)))))</f>
        <v>0</v>
      </c>
      <c r="AU51" s="131" t="n">
        <f aca="false">IF(OR($C51="",$B$2="",$D$2=0),0,IF(AU$3&lt;0,0,N(INDEX('CURVA PREVISION'!$A$1:$KZ$3000,$C51,11+3*MIN(AU$3,$D$2-1)))))</f>
        <v>0</v>
      </c>
      <c r="AV51" s="131" t="n">
        <f aca="false">IF(OR($C51="",$B$2="",$D$2=0),0,IF(AV$3&lt;0,0,N(INDEX('CURVA PREVISION'!$A$1:$KZ$3000,$C51,11+3*MIN(AV$3,$D$2-1)))))</f>
        <v>0</v>
      </c>
      <c r="AW51" s="131" t="n">
        <f aca="false">IF(OR($C51="",$B$2="",$D$2=0),0,IF(AW$3&lt;0,0,N(INDEX('CURVA PREVISION'!$A$1:$KZ$3000,$C51,11+3*MIN(AW$3,$D$2-1)))))</f>
        <v>0</v>
      </c>
      <c r="AX51" s="131" t="n">
        <f aca="false">IF(OR($C51="",$B$2="",$D$2=0),0,IF(AX$3&lt;0,0,N(INDEX('CURVA PREVISION'!$A$1:$KZ$3000,$C51,11+3*MIN(AX$3,$D$2-1)))))</f>
        <v>0</v>
      </c>
      <c r="AY51" s="131" t="n">
        <f aca="false">IF(OR($C51="",$B$2="",$D$2=0),0,IF(AY$3&lt;0,0,N(INDEX('CURVA PREVISION'!$A$1:$KZ$3000,$C51,11+3*MIN(AY$3,$D$2-1)))))</f>
        <v>0</v>
      </c>
      <c r="AZ51" s="131" t="n">
        <f aca="false">IF(OR($C51="",$B$2="",$D$2=0),0,IF(AZ$3&lt;0,0,N(INDEX('CURVA PREVISION'!$A$1:$KZ$3000,$C51,11+3*MIN(AZ$3,$D$2-1)))))</f>
        <v>0</v>
      </c>
      <c r="BA51" s="131" t="n">
        <f aca="false">IF(OR($C51="",$B$2="",$D$2=0),0,IF(BA$3&lt;0,0,N(INDEX('CURVA PREVISION'!$A$1:$KZ$3000,$C51,11+3*MIN(BA$3,$D$2-1)))))</f>
        <v>0</v>
      </c>
      <c r="BB51" s="131" t="n">
        <f aca="false">IF(OR($C51="",$B$2="",$D$2=0),0,IF(BB$3&lt;0,0,N(INDEX('CURVA PREVISION'!$A$1:$KZ$3000,$C51,11+3*MIN(BB$3,$D$2-1)))))</f>
        <v>0</v>
      </c>
      <c r="BC51" s="131" t="n">
        <f aca="false">IF(OR($C51="",$B$2="",$D$2=0),0,IF(BC$3&lt;0,0,N(INDEX('CURVA PREVISION'!$A$1:$KZ$3000,$C51,11+3*MIN(BC$3,$D$2-1)))))</f>
        <v>0</v>
      </c>
      <c r="BD51" s="131" t="n">
        <f aca="false">IF(OR($C51="",$B$2="",$D$2=0),0,IF(BD$3&lt;0,0,N(INDEX('CURVA PREVISION'!$A$1:$KZ$3000,$C51,11+3*MIN(BD$3,$D$2-1)))))</f>
        <v>0</v>
      </c>
      <c r="BE51" s="131" t="n">
        <f aca="false">IF(OR($C51="",$B$2="",$D$2=0),0,IF(BE$3&lt;0,0,N(INDEX('CURVA PREVISION'!$A$1:$KZ$3000,$C51,11+3*MIN(BE$3,$D$2-1)))))</f>
        <v>0</v>
      </c>
      <c r="BF51" s="131" t="n">
        <f aca="false">IF(OR($C51="",$B$2="",$D$2=0),0,IF(BF$3&lt;0,0,N(INDEX('CURVA PREVISION'!$A$1:$KZ$3000,$C51,11+3*MIN(BF$3,$D$2-1)))))</f>
        <v>0</v>
      </c>
      <c r="BG51" s="131" t="n">
        <f aca="false">IF(OR($C51="",$B$2="",$D$2=0),0,IF(BG$3&lt;0,0,N(INDEX('CURVA PREVISION'!$A$1:$KZ$3000,$C51,11+3*MIN(BG$3,$D$2-1)))))</f>
        <v>0</v>
      </c>
      <c r="BH51" s="131" t="n">
        <f aca="false">IF(OR($C51="",$B$2="",$D$2=0),0,IF(BH$3&lt;0,0,N(INDEX('CURVA PREVISION'!$A$1:$KZ$3000,$C51,11+3*MIN(BH$3,$D$2-1)))))</f>
        <v>0</v>
      </c>
      <c r="BI51" s="131" t="n">
        <f aca="false">IF(OR($C51="",$B$2="",$D$2=0),0,IF(BI$3&lt;0,0,N(INDEX('CURVA PREVISION'!$A$1:$KZ$3000,$C51,11+3*MIN(BI$3,$D$2-1)))))</f>
        <v>0</v>
      </c>
      <c r="BJ51" s="131" t="n">
        <f aca="false">IF(OR($C51="",$B$2="",$D$2=0),0,IF(BJ$3&lt;0,0,N(INDEX('CURVA PREVISION'!$A$1:$KZ$3000,$C51,11+3*MIN(BJ$3,$D$2-1)))))</f>
        <v>0</v>
      </c>
      <c r="BK51" s="131" t="n">
        <f aca="false">IF(OR($C51="",$B$2="",$D$2=0),0,IF(BK$3&lt;0,0,N(INDEX('CURVA PREVISION'!$A$1:$KZ$3000,$C51,11+3*MIN(BK$3,$D$2-1)))))</f>
        <v>0</v>
      </c>
      <c r="BL51" s="131" t="n">
        <f aca="false">IF(OR($C51="",$B$2="",$D$2=0),0,IF(BL$3&lt;0,0,N(INDEX('CURVA PREVISION'!$A$1:$KZ$3000,$C51,11+3*MIN(BL$3,$D$2-1)))))</f>
        <v>0</v>
      </c>
      <c r="BM51" s="131" t="n">
        <f aca="false">IF(OR($C51="",$B$2="",$D$2=0),0,IF(BM$3&lt;0,0,N(INDEX('CURVA PREVISION'!$A$1:$KZ$3000,$C51,11+3*MIN(BM$3,$D$2-1)))))</f>
        <v>0</v>
      </c>
      <c r="BN51" s="131" t="n">
        <f aca="false">IF(OR($C51="",$B$2="",$D$2=0),0,IF(BN$3&lt;0,0,N(INDEX('CURVA PREVISION'!$A$1:$KZ$3000,$C51,11+3*MIN(BN$3,$D$2-1)))))</f>
        <v>0</v>
      </c>
      <c r="BO51" s="131" t="n">
        <f aca="false">IF(OR($C51="",$B$2="",$D$2=0),0,IF(BO$3&lt;0,0,N(INDEX('CURVA PREVISION'!$A$1:$KZ$3000,$C51,11+3*MIN(BO$3,$D$2-1)))))</f>
        <v>0</v>
      </c>
      <c r="BP51" s="131" t="n">
        <f aca="false">IF(OR($C51="",$B$2="",$D$2=0),0,IF(BP$3&lt;0,0,N(INDEX('CURVA PREVISION'!$A$1:$KZ$3000,$C51,11+3*MIN(BP$3,$D$2-1)))))</f>
        <v>0</v>
      </c>
      <c r="BQ51" s="131" t="n">
        <f aca="false">IF(OR($C51="",$B$2="",$D$2=0),0,IF(BQ$3&lt;0,0,N(INDEX('CURVA PREVISION'!$A$1:$KZ$3000,$C51,11+3*MIN(BQ$3,$D$2-1)))))</f>
        <v>0</v>
      </c>
      <c r="BR51" s="131" t="n">
        <f aca="false">IF(OR($C51="",$B$2="",$D$2=0),0,IF(BR$3&lt;0,0,N(INDEX('CURVA PREVISION'!$A$1:$KZ$3000,$C51,11+3*MIN(BR$3,$D$2-1)))))</f>
        <v>0</v>
      </c>
      <c r="BS51" s="131" t="n">
        <f aca="false">IF(OR($C51="",$B$2="",$D$2=0),0,IF(BS$3&lt;0,0,N(INDEX('CURVA PREVISION'!$A$1:$KZ$3000,$C51,11+3*MIN(BS$3,$D$2-1)))))</f>
        <v>0</v>
      </c>
      <c r="BT51" s="131" t="n">
        <f aca="false">IF(OR($C51="",$B$2="",$D$2=0),0,IF(BT$3&lt;0,0,N(INDEX('CURVA PREVISION'!$A$1:$KZ$3000,$C51,11+3*MIN(BT$3,$D$2-1)))))</f>
        <v>0</v>
      </c>
      <c r="BU51" s="131" t="n">
        <f aca="false">IF(OR($C51="",$B$2="",$D$2=0),0,IF(BU$3&lt;0,0,N(INDEX('CURVA PREVISION'!$A$1:$KZ$3000,$C51,11+3*MIN(BU$3,$D$2-1)))))</f>
        <v>0</v>
      </c>
      <c r="BV51" s="131" t="n">
        <f aca="false">IF(OR($C51="",$B$2="",$D$2=0),0,IF(BV$3&lt;0,0,N(INDEX('CURVA PREVISION'!$A$1:$KZ$3000,$C51,11+3*MIN(BV$3,$D$2-1)))))</f>
        <v>0</v>
      </c>
      <c r="BW51" s="131" t="n">
        <f aca="false">IF(OR($C51="",$B$2="",$D$2=0),0,IF(BW$3&lt;0,0,N(INDEX('CURVA PREVISION'!$A$1:$KZ$3000,$C51,11+3*MIN(BW$3,$D$2-1)))))</f>
        <v>0</v>
      </c>
    </row>
    <row r="52" customFormat="false" ht="15" hidden="false" customHeight="false" outlineLevel="0" collapsed="false">
      <c r="A52" s="57" t="str">
        <f aca="false">IF('VALOR POR PL'!Q16="",'VALOR POR PL'!C16,'VALOR POR PL'!Q16)</f>
        <v>06</v>
      </c>
      <c r="B52" s="47" t="str">
        <f aca="false">B10</f>
        <v>CONSUMO DE ÁGUA, ENERGIA, ETC.</v>
      </c>
      <c r="C52" s="64" t="n">
        <f aca="false">IFERROR(MATCH(A52,'CURVA PREVISION'!$B$1:$B$3000,0),"")</f>
        <v>73</v>
      </c>
      <c r="D52" s="131" t="n">
        <f aca="false">IF(OR($C52="",$B$2="",$D$2=0),0,IF(D$3&lt;0,0,N(INDEX('CURVA PREVISION'!$A$1:$KZ$3000,$C52,11+3*MIN(D$3,$D$2-1)))))</f>
        <v>0</v>
      </c>
      <c r="E52" s="131" t="n">
        <f aca="false">IF(OR($C52="",$B$2="",$D$2=0),0,IF(E$3&lt;0,0,N(INDEX('CURVA PREVISION'!$A$1:$KZ$3000,$C52,11+3*MIN(E$3,$D$2-1)))))</f>
        <v>0</v>
      </c>
      <c r="F52" s="131" t="n">
        <f aca="false">IF(OR($C52="",$B$2="",$D$2=0),0,IF(F$3&lt;0,0,N(INDEX('CURVA PREVISION'!$A$1:$KZ$3000,$C52,11+3*MIN(F$3,$D$2-1)))))</f>
        <v>0</v>
      </c>
      <c r="G52" s="131" t="n">
        <f aca="false">IF(OR($C52="",$B$2="",$D$2=0),0,IF(G$3&lt;0,0,N(INDEX('CURVA PREVISION'!$A$1:$KZ$3000,$C52,11+3*MIN(G$3,$D$2-1)))))</f>
        <v>0</v>
      </c>
      <c r="H52" s="131" t="n">
        <f aca="false">IF(OR($C52="",$B$2="",$D$2=0),0,IF(H$3&lt;0,0,N(INDEX('CURVA PREVISION'!$A$1:$KZ$3000,$C52,11+3*MIN(H$3,$D$2-1)))))</f>
        <v>0</v>
      </c>
      <c r="I52" s="131" t="n">
        <f aca="false">IF(OR($C52="",$B$2="",$D$2=0),0,IF(I$3&lt;0,0,N(INDEX('CURVA PREVISION'!$A$1:$KZ$3000,$C52,11+3*MIN(I$3,$D$2-1)))))</f>
        <v>0</v>
      </c>
      <c r="J52" s="131" t="n">
        <f aca="false">IF(OR($C52="",$B$2="",$D$2=0),0,IF(J$3&lt;0,0,N(INDEX('CURVA PREVISION'!$A$1:$KZ$3000,$C52,11+3*MIN(J$3,$D$2-1)))))</f>
        <v>0</v>
      </c>
      <c r="K52" s="131" t="n">
        <f aca="false">IF(OR($C52="",$B$2="",$D$2=0),0,IF(K$3&lt;0,0,N(INDEX('CURVA PREVISION'!$A$1:$KZ$3000,$C52,11+3*MIN(K$3,$D$2-1)))))</f>
        <v>0</v>
      </c>
      <c r="L52" s="131" t="n">
        <f aca="false">IF(OR($C52="",$B$2="",$D$2=0),0,IF(L$3&lt;0,0,N(INDEX('CURVA PREVISION'!$A$1:$KZ$3000,$C52,11+3*MIN(L$3,$D$2-1)))))</f>
        <v>0</v>
      </c>
      <c r="M52" s="131" t="n">
        <f aca="false">IF(OR($C52="",$B$2="",$D$2=0),0,IF(M$3&lt;0,0,N(INDEX('CURVA PREVISION'!$A$1:$KZ$3000,$C52,11+3*MIN(M$3,$D$2-1)))))</f>
        <v>0</v>
      </c>
      <c r="N52" s="131" t="n">
        <f aca="false">IF(OR($C52="",$B$2="",$D$2=0),0,IF(N$3&lt;0,0,N(INDEX('CURVA PREVISION'!$A$1:$KZ$3000,$C52,11+3*MIN(N$3,$D$2-1)))))</f>
        <v>0</v>
      </c>
      <c r="O52" s="131" t="n">
        <f aca="false">IF(OR($C52="",$B$2="",$D$2=0),0,IF(O$3&lt;0,0,N(INDEX('CURVA PREVISION'!$A$1:$KZ$3000,$C52,11+3*MIN(O$3,$D$2-1)))))</f>
        <v>0</v>
      </c>
      <c r="P52" s="131" t="n">
        <f aca="false">IF(OR($C52="",$B$2="",$D$2=0),0,IF(P$3&lt;0,0,N(INDEX('CURVA PREVISION'!$A$1:$KZ$3000,$C52,11+3*MIN(P$3,$D$2-1)))))</f>
        <v>0</v>
      </c>
      <c r="Q52" s="131" t="n">
        <f aca="false">IF(OR($C52="",$B$2="",$D$2=0),0,IF(Q$3&lt;0,0,N(INDEX('CURVA PREVISION'!$A$1:$KZ$3000,$C52,11+3*MIN(Q$3,$D$2-1)))))</f>
        <v>0</v>
      </c>
      <c r="R52" s="131" t="n">
        <f aca="false">IF(OR($C52="",$B$2="",$D$2=0),0,IF(R$3&lt;0,0,N(INDEX('CURVA PREVISION'!$A$1:$KZ$3000,$C52,11+3*MIN(R$3,$D$2-1)))))</f>
        <v>0</v>
      </c>
      <c r="S52" s="131" t="n">
        <f aca="false">IF(OR($C52="",$B$2="",$D$2=0),0,IF(S$3&lt;0,0,N(INDEX('CURVA PREVISION'!$A$1:$KZ$3000,$C52,11+3*MIN(S$3,$D$2-1)))))</f>
        <v>0</v>
      </c>
      <c r="T52" s="131" t="n">
        <f aca="false">IF(OR($C52="",$B$2="",$D$2=0),0,IF(T$3&lt;0,0,N(INDEX('CURVA PREVISION'!$A$1:$KZ$3000,$C52,11+3*MIN(T$3,$D$2-1)))))</f>
        <v>0</v>
      </c>
      <c r="U52" s="131" t="n">
        <f aca="false">IF(OR($C52="",$B$2="",$D$2=0),0,IF(U$3&lt;0,0,N(INDEX('CURVA PREVISION'!$A$1:$KZ$3000,$C52,11+3*MIN(U$3,$D$2-1)))))</f>
        <v>0</v>
      </c>
      <c r="V52" s="131" t="n">
        <f aca="false">IF(OR($C52="",$B$2="",$D$2=0),0,IF(V$3&lt;0,0,N(INDEX('CURVA PREVISION'!$A$1:$KZ$3000,$C52,11+3*MIN(V$3,$D$2-1)))))</f>
        <v>0</v>
      </c>
      <c r="W52" s="131" t="n">
        <f aca="false">IF(OR($C52="",$B$2="",$D$2=0),0,IF(W$3&lt;0,0,N(INDEX('CURVA PREVISION'!$A$1:$KZ$3000,$C52,11+3*MIN(W$3,$D$2-1)))))</f>
        <v>0</v>
      </c>
      <c r="X52" s="131" t="n">
        <f aca="false">IF(OR($C52="",$B$2="",$D$2=0),0,IF(X$3&lt;0,0,N(INDEX('CURVA PREVISION'!$A$1:$KZ$3000,$C52,11+3*MIN(X$3,$D$2-1)))))</f>
        <v>0</v>
      </c>
      <c r="Y52" s="131" t="n">
        <f aca="false">IF(OR($C52="",$B$2="",$D$2=0),0,IF(Y$3&lt;0,0,N(INDEX('CURVA PREVISION'!$A$1:$KZ$3000,$C52,11+3*MIN(Y$3,$D$2-1)))))</f>
        <v>0</v>
      </c>
      <c r="Z52" s="131" t="n">
        <f aca="false">IF(OR($C52="",$B$2="",$D$2=0),0,IF(Z$3&lt;0,0,N(INDEX('CURVA PREVISION'!$A$1:$KZ$3000,$C52,11+3*MIN(Z$3,$D$2-1)))))</f>
        <v>0</v>
      </c>
      <c r="AA52" s="131" t="n">
        <f aca="false">IF(OR($C52="",$B$2="",$D$2=0),0,IF(AA$3&lt;0,0,N(INDEX('CURVA PREVISION'!$A$1:$KZ$3000,$C52,11+3*MIN(AA$3,$D$2-1)))))</f>
        <v>0</v>
      </c>
      <c r="AB52" s="131" t="n">
        <f aca="false">IF(OR($C52="",$B$2="",$D$2=0),0,IF(AB$3&lt;0,0,N(INDEX('CURVA PREVISION'!$A$1:$KZ$3000,$C52,11+3*MIN(AB$3,$D$2-1)))))</f>
        <v>0</v>
      </c>
      <c r="AC52" s="131" t="n">
        <f aca="false">IF(OR($C52="",$B$2="",$D$2=0),0,IF(AC$3&lt;0,0,N(INDEX('CURVA PREVISION'!$A$1:$KZ$3000,$C52,11+3*MIN(AC$3,$D$2-1)))))</f>
        <v>0</v>
      </c>
      <c r="AD52" s="131" t="n">
        <f aca="false">IF(OR($C52="",$B$2="",$D$2=0),0,IF(AD$3&lt;0,0,N(INDEX('CURVA PREVISION'!$A$1:$KZ$3000,$C52,11+3*MIN(AD$3,$D$2-1)))))</f>
        <v>0</v>
      </c>
      <c r="AE52" s="131" t="n">
        <f aca="false">IF(OR($C52="",$B$2="",$D$2=0),0,IF(AE$3&lt;0,0,N(INDEX('CURVA PREVISION'!$A$1:$KZ$3000,$C52,11+3*MIN(AE$3,$D$2-1)))))</f>
        <v>0</v>
      </c>
      <c r="AF52" s="131" t="n">
        <f aca="false">IF(OR($C52="",$B$2="",$D$2=0),0,IF(AF$3&lt;0,0,N(INDEX('CURVA PREVISION'!$A$1:$KZ$3000,$C52,11+3*MIN(AF$3,$D$2-1)))))</f>
        <v>0</v>
      </c>
      <c r="AG52" s="131" t="n">
        <f aca="false">IF(OR($C52="",$B$2="",$D$2=0),0,IF(AG$3&lt;0,0,N(INDEX('CURVA PREVISION'!$A$1:$KZ$3000,$C52,11+3*MIN(AG$3,$D$2-1)))))</f>
        <v>0</v>
      </c>
      <c r="AH52" s="131" t="n">
        <f aca="false">IF(OR($C52="",$B$2="",$D$2=0),0,IF(AH$3&lt;0,0,N(INDEX('CURVA PREVISION'!$A$1:$KZ$3000,$C52,11+3*MIN(AH$3,$D$2-1)))))</f>
        <v>0</v>
      </c>
      <c r="AI52" s="131" t="n">
        <f aca="false">IF(OR($C52="",$B$2="",$D$2=0),0,IF(AI$3&lt;0,0,N(INDEX('CURVA PREVISION'!$A$1:$KZ$3000,$C52,11+3*MIN(AI$3,$D$2-1)))))</f>
        <v>0</v>
      </c>
      <c r="AJ52" s="131" t="n">
        <f aca="false">IF(OR($C52="",$B$2="",$D$2=0),0,IF(AJ$3&lt;0,0,N(INDEX('CURVA PREVISION'!$A$1:$KZ$3000,$C52,11+3*MIN(AJ$3,$D$2-1)))))</f>
        <v>0</v>
      </c>
      <c r="AK52" s="131" t="n">
        <f aca="false">IF(OR($C52="",$B$2="",$D$2=0),0,IF(AK$3&lt;0,0,N(INDEX('CURVA PREVISION'!$A$1:$KZ$3000,$C52,11+3*MIN(AK$3,$D$2-1)))))</f>
        <v>0</v>
      </c>
      <c r="AL52" s="131" t="n">
        <f aca="false">IF(OR($C52="",$B$2="",$D$2=0),0,IF(AL$3&lt;0,0,N(INDEX('CURVA PREVISION'!$A$1:$KZ$3000,$C52,11+3*MIN(AL$3,$D$2-1)))))</f>
        <v>0</v>
      </c>
      <c r="AM52" s="131" t="n">
        <f aca="false">IF(OR($C52="",$B$2="",$D$2=0),0,IF(AM$3&lt;0,0,N(INDEX('CURVA PREVISION'!$A$1:$KZ$3000,$C52,11+3*MIN(AM$3,$D$2-1)))))</f>
        <v>0</v>
      </c>
      <c r="AN52" s="131" t="n">
        <f aca="false">IF(OR($C52="",$B$2="",$D$2=0),0,IF(AN$3&lt;0,0,N(INDEX('CURVA PREVISION'!$A$1:$KZ$3000,$C52,11+3*MIN(AN$3,$D$2-1)))))</f>
        <v>0</v>
      </c>
      <c r="AO52" s="131" t="n">
        <f aca="false">IF(OR($C52="",$B$2="",$D$2=0),0,IF(AO$3&lt;0,0,N(INDEX('CURVA PREVISION'!$A$1:$KZ$3000,$C52,11+3*MIN(AO$3,$D$2-1)))))</f>
        <v>0</v>
      </c>
      <c r="AP52" s="131" t="n">
        <f aca="false">IF(OR($C52="",$B$2="",$D$2=0),0,IF(AP$3&lt;0,0,N(INDEX('CURVA PREVISION'!$A$1:$KZ$3000,$C52,11+3*MIN(AP$3,$D$2-1)))))</f>
        <v>0</v>
      </c>
      <c r="AQ52" s="131" t="n">
        <f aca="false">IF(OR($C52="",$B$2="",$D$2=0),0,IF(AQ$3&lt;0,0,N(INDEX('CURVA PREVISION'!$A$1:$KZ$3000,$C52,11+3*MIN(AQ$3,$D$2-1)))))</f>
        <v>0</v>
      </c>
      <c r="AR52" s="131" t="n">
        <f aca="false">IF(OR($C52="",$B$2="",$D$2=0),0,IF(AR$3&lt;0,0,N(INDEX('CURVA PREVISION'!$A$1:$KZ$3000,$C52,11+3*MIN(AR$3,$D$2-1)))))</f>
        <v>0</v>
      </c>
      <c r="AS52" s="131" t="n">
        <f aca="false">IF(OR($C52="",$B$2="",$D$2=0),0,IF(AS$3&lt;0,0,N(INDEX('CURVA PREVISION'!$A$1:$KZ$3000,$C52,11+3*MIN(AS$3,$D$2-1)))))</f>
        <v>0</v>
      </c>
      <c r="AT52" s="131" t="n">
        <f aca="false">IF(OR($C52="",$B$2="",$D$2=0),0,IF(AT$3&lt;0,0,N(INDEX('CURVA PREVISION'!$A$1:$KZ$3000,$C52,11+3*MIN(AT$3,$D$2-1)))))</f>
        <v>0</v>
      </c>
      <c r="AU52" s="131" t="n">
        <f aca="false">IF(OR($C52="",$B$2="",$D$2=0),0,IF(AU$3&lt;0,0,N(INDEX('CURVA PREVISION'!$A$1:$KZ$3000,$C52,11+3*MIN(AU$3,$D$2-1)))))</f>
        <v>0</v>
      </c>
      <c r="AV52" s="131" t="n">
        <f aca="false">IF(OR($C52="",$B$2="",$D$2=0),0,IF(AV$3&lt;0,0,N(INDEX('CURVA PREVISION'!$A$1:$KZ$3000,$C52,11+3*MIN(AV$3,$D$2-1)))))</f>
        <v>0</v>
      </c>
      <c r="AW52" s="131" t="n">
        <f aca="false">IF(OR($C52="",$B$2="",$D$2=0),0,IF(AW$3&lt;0,0,N(INDEX('CURVA PREVISION'!$A$1:$KZ$3000,$C52,11+3*MIN(AW$3,$D$2-1)))))</f>
        <v>0</v>
      </c>
      <c r="AX52" s="131" t="n">
        <f aca="false">IF(OR($C52="",$B$2="",$D$2=0),0,IF(AX$3&lt;0,0,N(INDEX('CURVA PREVISION'!$A$1:$KZ$3000,$C52,11+3*MIN(AX$3,$D$2-1)))))</f>
        <v>0</v>
      </c>
      <c r="AY52" s="131" t="n">
        <f aca="false">IF(OR($C52="",$B$2="",$D$2=0),0,IF(AY$3&lt;0,0,N(INDEX('CURVA PREVISION'!$A$1:$KZ$3000,$C52,11+3*MIN(AY$3,$D$2-1)))))</f>
        <v>0</v>
      </c>
      <c r="AZ52" s="131" t="n">
        <f aca="false">IF(OR($C52="",$B$2="",$D$2=0),0,IF(AZ$3&lt;0,0,N(INDEX('CURVA PREVISION'!$A$1:$KZ$3000,$C52,11+3*MIN(AZ$3,$D$2-1)))))</f>
        <v>0</v>
      </c>
      <c r="BA52" s="131" t="n">
        <f aca="false">IF(OR($C52="",$B$2="",$D$2=0),0,IF(BA$3&lt;0,0,N(INDEX('CURVA PREVISION'!$A$1:$KZ$3000,$C52,11+3*MIN(BA$3,$D$2-1)))))</f>
        <v>0</v>
      </c>
      <c r="BB52" s="131" t="n">
        <f aca="false">IF(OR($C52="",$B$2="",$D$2=0),0,IF(BB$3&lt;0,0,N(INDEX('CURVA PREVISION'!$A$1:$KZ$3000,$C52,11+3*MIN(BB$3,$D$2-1)))))</f>
        <v>0</v>
      </c>
      <c r="BC52" s="131" t="n">
        <f aca="false">IF(OR($C52="",$B$2="",$D$2=0),0,IF(BC$3&lt;0,0,N(INDEX('CURVA PREVISION'!$A$1:$KZ$3000,$C52,11+3*MIN(BC$3,$D$2-1)))))</f>
        <v>0</v>
      </c>
      <c r="BD52" s="131" t="n">
        <f aca="false">IF(OR($C52="",$B$2="",$D$2=0),0,IF(BD$3&lt;0,0,N(INDEX('CURVA PREVISION'!$A$1:$KZ$3000,$C52,11+3*MIN(BD$3,$D$2-1)))))</f>
        <v>0</v>
      </c>
      <c r="BE52" s="131" t="n">
        <f aca="false">IF(OR($C52="",$B$2="",$D$2=0),0,IF(BE$3&lt;0,0,N(INDEX('CURVA PREVISION'!$A$1:$KZ$3000,$C52,11+3*MIN(BE$3,$D$2-1)))))</f>
        <v>0</v>
      </c>
      <c r="BF52" s="131" t="n">
        <f aca="false">IF(OR($C52="",$B$2="",$D$2=0),0,IF(BF$3&lt;0,0,N(INDEX('CURVA PREVISION'!$A$1:$KZ$3000,$C52,11+3*MIN(BF$3,$D$2-1)))))</f>
        <v>0</v>
      </c>
      <c r="BG52" s="131" t="n">
        <f aca="false">IF(OR($C52="",$B$2="",$D$2=0),0,IF(BG$3&lt;0,0,N(INDEX('CURVA PREVISION'!$A$1:$KZ$3000,$C52,11+3*MIN(BG$3,$D$2-1)))))</f>
        <v>0</v>
      </c>
      <c r="BH52" s="131" t="n">
        <f aca="false">IF(OR($C52="",$B$2="",$D$2=0),0,IF(BH$3&lt;0,0,N(INDEX('CURVA PREVISION'!$A$1:$KZ$3000,$C52,11+3*MIN(BH$3,$D$2-1)))))</f>
        <v>0</v>
      </c>
      <c r="BI52" s="131" t="n">
        <f aca="false">IF(OR($C52="",$B$2="",$D$2=0),0,IF(BI$3&lt;0,0,N(INDEX('CURVA PREVISION'!$A$1:$KZ$3000,$C52,11+3*MIN(BI$3,$D$2-1)))))</f>
        <v>0</v>
      </c>
      <c r="BJ52" s="131" t="n">
        <f aca="false">IF(OR($C52="",$B$2="",$D$2=0),0,IF(BJ$3&lt;0,0,N(INDEX('CURVA PREVISION'!$A$1:$KZ$3000,$C52,11+3*MIN(BJ$3,$D$2-1)))))</f>
        <v>0</v>
      </c>
      <c r="BK52" s="131" t="n">
        <f aca="false">IF(OR($C52="",$B$2="",$D$2=0),0,IF(BK$3&lt;0,0,N(INDEX('CURVA PREVISION'!$A$1:$KZ$3000,$C52,11+3*MIN(BK$3,$D$2-1)))))</f>
        <v>0</v>
      </c>
      <c r="BL52" s="131" t="n">
        <f aca="false">IF(OR($C52="",$B$2="",$D$2=0),0,IF(BL$3&lt;0,0,N(INDEX('CURVA PREVISION'!$A$1:$KZ$3000,$C52,11+3*MIN(BL$3,$D$2-1)))))</f>
        <v>0</v>
      </c>
      <c r="BM52" s="131" t="n">
        <f aca="false">IF(OR($C52="",$B$2="",$D$2=0),0,IF(BM$3&lt;0,0,N(INDEX('CURVA PREVISION'!$A$1:$KZ$3000,$C52,11+3*MIN(BM$3,$D$2-1)))))</f>
        <v>0</v>
      </c>
      <c r="BN52" s="131" t="n">
        <f aca="false">IF(OR($C52="",$B$2="",$D$2=0),0,IF(BN$3&lt;0,0,N(INDEX('CURVA PREVISION'!$A$1:$KZ$3000,$C52,11+3*MIN(BN$3,$D$2-1)))))</f>
        <v>0</v>
      </c>
      <c r="BO52" s="131" t="n">
        <f aca="false">IF(OR($C52="",$B$2="",$D$2=0),0,IF(BO$3&lt;0,0,N(INDEX('CURVA PREVISION'!$A$1:$KZ$3000,$C52,11+3*MIN(BO$3,$D$2-1)))))</f>
        <v>0</v>
      </c>
      <c r="BP52" s="131" t="n">
        <f aca="false">IF(OR($C52="",$B$2="",$D$2=0),0,IF(BP$3&lt;0,0,N(INDEX('CURVA PREVISION'!$A$1:$KZ$3000,$C52,11+3*MIN(BP$3,$D$2-1)))))</f>
        <v>0</v>
      </c>
      <c r="BQ52" s="131" t="n">
        <f aca="false">IF(OR($C52="",$B$2="",$D$2=0),0,IF(BQ$3&lt;0,0,N(INDEX('CURVA PREVISION'!$A$1:$KZ$3000,$C52,11+3*MIN(BQ$3,$D$2-1)))))</f>
        <v>0</v>
      </c>
      <c r="BR52" s="131" t="n">
        <f aca="false">IF(OR($C52="",$B$2="",$D$2=0),0,IF(BR$3&lt;0,0,N(INDEX('CURVA PREVISION'!$A$1:$KZ$3000,$C52,11+3*MIN(BR$3,$D$2-1)))))</f>
        <v>0</v>
      </c>
      <c r="BS52" s="131" t="n">
        <f aca="false">IF(OR($C52="",$B$2="",$D$2=0),0,IF(BS$3&lt;0,0,N(INDEX('CURVA PREVISION'!$A$1:$KZ$3000,$C52,11+3*MIN(BS$3,$D$2-1)))))</f>
        <v>0</v>
      </c>
      <c r="BT52" s="131" t="n">
        <f aca="false">IF(OR($C52="",$B$2="",$D$2=0),0,IF(BT$3&lt;0,0,N(INDEX('CURVA PREVISION'!$A$1:$KZ$3000,$C52,11+3*MIN(BT$3,$D$2-1)))))</f>
        <v>0</v>
      </c>
      <c r="BU52" s="131" t="n">
        <f aca="false">IF(OR($C52="",$B$2="",$D$2=0),0,IF(BU$3&lt;0,0,N(INDEX('CURVA PREVISION'!$A$1:$KZ$3000,$C52,11+3*MIN(BU$3,$D$2-1)))))</f>
        <v>0</v>
      </c>
      <c r="BV52" s="131" t="n">
        <f aca="false">IF(OR($C52="",$B$2="",$D$2=0),0,IF(BV$3&lt;0,0,N(INDEX('CURVA PREVISION'!$A$1:$KZ$3000,$C52,11+3*MIN(BV$3,$D$2-1)))))</f>
        <v>0</v>
      </c>
      <c r="BW52" s="131" t="n">
        <f aca="false">IF(OR($C52="",$B$2="",$D$2=0),0,IF(BW$3&lt;0,0,N(INDEX('CURVA PREVISION'!$A$1:$KZ$3000,$C52,11+3*MIN(BW$3,$D$2-1)))))</f>
        <v>0</v>
      </c>
    </row>
    <row r="53" customFormat="false" ht="15" hidden="false" customHeight="false" outlineLevel="0" collapsed="false">
      <c r="A53" s="57" t="str">
        <f aca="false">IF('VALOR POR PL'!Q17="",'VALOR POR PL'!C17,'VALOR POR PL'!Q17)</f>
        <v>07</v>
      </c>
      <c r="B53" s="47" t="str">
        <f aca="false">B11</f>
        <v>DIVERSOS</v>
      </c>
      <c r="C53" s="64" t="n">
        <f aca="false">IFERROR(MATCH(A53,'CURVA PREVISION'!$B$1:$B$3000,0),"")</f>
        <v>78</v>
      </c>
      <c r="D53" s="131" t="n">
        <f aca="false">IF(OR($C53="",$B$2="",$D$2=0),0,IF(D$3&lt;0,0,N(INDEX('CURVA PREVISION'!$A$1:$KZ$3000,$C53,11+3*MIN(D$3,$D$2-1)))))</f>
        <v>0</v>
      </c>
      <c r="E53" s="131" t="n">
        <f aca="false">IF(OR($C53="",$B$2="",$D$2=0),0,IF(E$3&lt;0,0,N(INDEX('CURVA PREVISION'!$A$1:$KZ$3000,$C53,11+3*MIN(E$3,$D$2-1)))))</f>
        <v>0</v>
      </c>
      <c r="F53" s="131" t="n">
        <f aca="false">IF(OR($C53="",$B$2="",$D$2=0),0,IF(F$3&lt;0,0,N(INDEX('CURVA PREVISION'!$A$1:$KZ$3000,$C53,11+3*MIN(F$3,$D$2-1)))))</f>
        <v>0</v>
      </c>
      <c r="G53" s="131" t="n">
        <f aca="false">IF(OR($C53="",$B$2="",$D$2=0),0,IF(G$3&lt;0,0,N(INDEX('CURVA PREVISION'!$A$1:$KZ$3000,$C53,11+3*MIN(G$3,$D$2-1)))))</f>
        <v>0</v>
      </c>
      <c r="H53" s="131" t="n">
        <f aca="false">IF(OR($C53="",$B$2="",$D$2=0),0,IF(H$3&lt;0,0,N(INDEX('CURVA PREVISION'!$A$1:$KZ$3000,$C53,11+3*MIN(H$3,$D$2-1)))))</f>
        <v>0</v>
      </c>
      <c r="I53" s="131" t="n">
        <f aca="false">IF(OR($C53="",$B$2="",$D$2=0),0,IF(I$3&lt;0,0,N(INDEX('CURVA PREVISION'!$A$1:$KZ$3000,$C53,11+3*MIN(I$3,$D$2-1)))))</f>
        <v>0</v>
      </c>
      <c r="J53" s="131" t="n">
        <f aca="false">IF(OR($C53="",$B$2="",$D$2=0),0,IF(J$3&lt;0,0,N(INDEX('CURVA PREVISION'!$A$1:$KZ$3000,$C53,11+3*MIN(J$3,$D$2-1)))))</f>
        <v>0</v>
      </c>
      <c r="K53" s="131" t="n">
        <f aca="false">IF(OR($C53="",$B$2="",$D$2=0),0,IF(K$3&lt;0,0,N(INDEX('CURVA PREVISION'!$A$1:$KZ$3000,$C53,11+3*MIN(K$3,$D$2-1)))))</f>
        <v>0</v>
      </c>
      <c r="L53" s="131" t="n">
        <f aca="false">IF(OR($C53="",$B$2="",$D$2=0),0,IF(L$3&lt;0,0,N(INDEX('CURVA PREVISION'!$A$1:$KZ$3000,$C53,11+3*MIN(L$3,$D$2-1)))))</f>
        <v>0</v>
      </c>
      <c r="M53" s="131" t="n">
        <f aca="false">IF(OR($C53="",$B$2="",$D$2=0),0,IF(M$3&lt;0,0,N(INDEX('CURVA PREVISION'!$A$1:$KZ$3000,$C53,11+3*MIN(M$3,$D$2-1)))))</f>
        <v>0</v>
      </c>
      <c r="N53" s="131" t="n">
        <f aca="false">IF(OR($C53="",$B$2="",$D$2=0),0,IF(N$3&lt;0,0,N(INDEX('CURVA PREVISION'!$A$1:$KZ$3000,$C53,11+3*MIN(N$3,$D$2-1)))))</f>
        <v>0</v>
      </c>
      <c r="O53" s="131" t="n">
        <f aca="false">IF(OR($C53="",$B$2="",$D$2=0),0,IF(O$3&lt;0,0,N(INDEX('CURVA PREVISION'!$A$1:$KZ$3000,$C53,11+3*MIN(O$3,$D$2-1)))))</f>
        <v>0</v>
      </c>
      <c r="P53" s="131" t="n">
        <f aca="false">IF(OR($C53="",$B$2="",$D$2=0),0,IF(P$3&lt;0,0,N(INDEX('CURVA PREVISION'!$A$1:$KZ$3000,$C53,11+3*MIN(P$3,$D$2-1)))))</f>
        <v>0</v>
      </c>
      <c r="Q53" s="131" t="n">
        <f aca="false">IF(OR($C53="",$B$2="",$D$2=0),0,IF(Q$3&lt;0,0,N(INDEX('CURVA PREVISION'!$A$1:$KZ$3000,$C53,11+3*MIN(Q$3,$D$2-1)))))</f>
        <v>0</v>
      </c>
      <c r="R53" s="131" t="n">
        <f aca="false">IF(OR($C53="",$B$2="",$D$2=0),0,IF(R$3&lt;0,0,N(INDEX('CURVA PREVISION'!$A$1:$KZ$3000,$C53,11+3*MIN(R$3,$D$2-1)))))</f>
        <v>0</v>
      </c>
      <c r="S53" s="131" t="n">
        <f aca="false">IF(OR($C53="",$B$2="",$D$2=0),0,IF(S$3&lt;0,0,N(INDEX('CURVA PREVISION'!$A$1:$KZ$3000,$C53,11+3*MIN(S$3,$D$2-1)))))</f>
        <v>0</v>
      </c>
      <c r="T53" s="131" t="n">
        <f aca="false">IF(OR($C53="",$B$2="",$D$2=0),0,IF(T$3&lt;0,0,N(INDEX('CURVA PREVISION'!$A$1:$KZ$3000,$C53,11+3*MIN(T$3,$D$2-1)))))</f>
        <v>0</v>
      </c>
      <c r="U53" s="131" t="n">
        <f aca="false">IF(OR($C53="",$B$2="",$D$2=0),0,IF(U$3&lt;0,0,N(INDEX('CURVA PREVISION'!$A$1:$KZ$3000,$C53,11+3*MIN(U$3,$D$2-1)))))</f>
        <v>0</v>
      </c>
      <c r="V53" s="131" t="n">
        <f aca="false">IF(OR($C53="",$B$2="",$D$2=0),0,IF(V$3&lt;0,0,N(INDEX('CURVA PREVISION'!$A$1:$KZ$3000,$C53,11+3*MIN(V$3,$D$2-1)))))</f>
        <v>0</v>
      </c>
      <c r="W53" s="131" t="n">
        <f aca="false">IF(OR($C53="",$B$2="",$D$2=0),0,IF(W$3&lt;0,0,N(INDEX('CURVA PREVISION'!$A$1:$KZ$3000,$C53,11+3*MIN(W$3,$D$2-1)))))</f>
        <v>0</v>
      </c>
      <c r="X53" s="131" t="n">
        <f aca="false">IF(OR($C53="",$B$2="",$D$2=0),0,IF(X$3&lt;0,0,N(INDEX('CURVA PREVISION'!$A$1:$KZ$3000,$C53,11+3*MIN(X$3,$D$2-1)))))</f>
        <v>0</v>
      </c>
      <c r="Y53" s="131" t="n">
        <f aca="false">IF(OR($C53="",$B$2="",$D$2=0),0,IF(Y$3&lt;0,0,N(INDEX('CURVA PREVISION'!$A$1:$KZ$3000,$C53,11+3*MIN(Y$3,$D$2-1)))))</f>
        <v>0</v>
      </c>
      <c r="Z53" s="131" t="n">
        <f aca="false">IF(OR($C53="",$B$2="",$D$2=0),0,IF(Z$3&lt;0,0,N(INDEX('CURVA PREVISION'!$A$1:$KZ$3000,$C53,11+3*MIN(Z$3,$D$2-1)))))</f>
        <v>0</v>
      </c>
      <c r="AA53" s="131" t="n">
        <f aca="false">IF(OR($C53="",$B$2="",$D$2=0),0,IF(AA$3&lt;0,0,N(INDEX('CURVA PREVISION'!$A$1:$KZ$3000,$C53,11+3*MIN(AA$3,$D$2-1)))))</f>
        <v>0</v>
      </c>
      <c r="AB53" s="131" t="n">
        <f aca="false">IF(OR($C53="",$B$2="",$D$2=0),0,IF(AB$3&lt;0,0,N(INDEX('CURVA PREVISION'!$A$1:$KZ$3000,$C53,11+3*MIN(AB$3,$D$2-1)))))</f>
        <v>0</v>
      </c>
      <c r="AC53" s="131" t="n">
        <f aca="false">IF(OR($C53="",$B$2="",$D$2=0),0,IF(AC$3&lt;0,0,N(INDEX('CURVA PREVISION'!$A$1:$KZ$3000,$C53,11+3*MIN(AC$3,$D$2-1)))))</f>
        <v>0</v>
      </c>
      <c r="AD53" s="131" t="n">
        <f aca="false">IF(OR($C53="",$B$2="",$D$2=0),0,IF(AD$3&lt;0,0,N(INDEX('CURVA PREVISION'!$A$1:$KZ$3000,$C53,11+3*MIN(AD$3,$D$2-1)))))</f>
        <v>0</v>
      </c>
      <c r="AE53" s="131" t="n">
        <f aca="false">IF(OR($C53="",$B$2="",$D$2=0),0,IF(AE$3&lt;0,0,N(INDEX('CURVA PREVISION'!$A$1:$KZ$3000,$C53,11+3*MIN(AE$3,$D$2-1)))))</f>
        <v>0</v>
      </c>
      <c r="AF53" s="131" t="n">
        <f aca="false">IF(OR($C53="",$B$2="",$D$2=0),0,IF(AF$3&lt;0,0,N(INDEX('CURVA PREVISION'!$A$1:$KZ$3000,$C53,11+3*MIN(AF$3,$D$2-1)))))</f>
        <v>0</v>
      </c>
      <c r="AG53" s="131" t="n">
        <f aca="false">IF(OR($C53="",$B$2="",$D$2=0),0,IF(AG$3&lt;0,0,N(INDEX('CURVA PREVISION'!$A$1:$KZ$3000,$C53,11+3*MIN(AG$3,$D$2-1)))))</f>
        <v>0</v>
      </c>
      <c r="AH53" s="131" t="n">
        <f aca="false">IF(OR($C53="",$B$2="",$D$2=0),0,IF(AH$3&lt;0,0,N(INDEX('CURVA PREVISION'!$A$1:$KZ$3000,$C53,11+3*MIN(AH$3,$D$2-1)))))</f>
        <v>0</v>
      </c>
      <c r="AI53" s="131" t="n">
        <f aca="false">IF(OR($C53="",$B$2="",$D$2=0),0,IF(AI$3&lt;0,0,N(INDEX('CURVA PREVISION'!$A$1:$KZ$3000,$C53,11+3*MIN(AI$3,$D$2-1)))))</f>
        <v>0</v>
      </c>
      <c r="AJ53" s="131" t="n">
        <f aca="false">IF(OR($C53="",$B$2="",$D$2=0),0,IF(AJ$3&lt;0,0,N(INDEX('CURVA PREVISION'!$A$1:$KZ$3000,$C53,11+3*MIN(AJ$3,$D$2-1)))))</f>
        <v>0</v>
      </c>
      <c r="AK53" s="131" t="n">
        <f aca="false">IF(OR($C53="",$B$2="",$D$2=0),0,IF(AK$3&lt;0,0,N(INDEX('CURVA PREVISION'!$A$1:$KZ$3000,$C53,11+3*MIN(AK$3,$D$2-1)))))</f>
        <v>0</v>
      </c>
      <c r="AL53" s="131" t="n">
        <f aca="false">IF(OR($C53="",$B$2="",$D$2=0),0,IF(AL$3&lt;0,0,N(INDEX('CURVA PREVISION'!$A$1:$KZ$3000,$C53,11+3*MIN(AL$3,$D$2-1)))))</f>
        <v>0</v>
      </c>
      <c r="AM53" s="131" t="n">
        <f aca="false">IF(OR($C53="",$B$2="",$D$2=0),0,IF(AM$3&lt;0,0,N(INDEX('CURVA PREVISION'!$A$1:$KZ$3000,$C53,11+3*MIN(AM$3,$D$2-1)))))</f>
        <v>0</v>
      </c>
      <c r="AN53" s="131" t="n">
        <f aca="false">IF(OR($C53="",$B$2="",$D$2=0),0,IF(AN$3&lt;0,0,N(INDEX('CURVA PREVISION'!$A$1:$KZ$3000,$C53,11+3*MIN(AN$3,$D$2-1)))))</f>
        <v>0</v>
      </c>
      <c r="AO53" s="131" t="n">
        <f aca="false">IF(OR($C53="",$B$2="",$D$2=0),0,IF(AO$3&lt;0,0,N(INDEX('CURVA PREVISION'!$A$1:$KZ$3000,$C53,11+3*MIN(AO$3,$D$2-1)))))</f>
        <v>0</v>
      </c>
      <c r="AP53" s="131" t="n">
        <f aca="false">IF(OR($C53="",$B$2="",$D$2=0),0,IF(AP$3&lt;0,0,N(INDEX('CURVA PREVISION'!$A$1:$KZ$3000,$C53,11+3*MIN(AP$3,$D$2-1)))))</f>
        <v>0</v>
      </c>
      <c r="AQ53" s="131" t="n">
        <f aca="false">IF(OR($C53="",$B$2="",$D$2=0),0,IF(AQ$3&lt;0,0,N(INDEX('CURVA PREVISION'!$A$1:$KZ$3000,$C53,11+3*MIN(AQ$3,$D$2-1)))))</f>
        <v>0</v>
      </c>
      <c r="AR53" s="131" t="n">
        <f aca="false">IF(OR($C53="",$B$2="",$D$2=0),0,IF(AR$3&lt;0,0,N(INDEX('CURVA PREVISION'!$A$1:$KZ$3000,$C53,11+3*MIN(AR$3,$D$2-1)))))</f>
        <v>0</v>
      </c>
      <c r="AS53" s="131" t="n">
        <f aca="false">IF(OR($C53="",$B$2="",$D$2=0),0,IF(AS$3&lt;0,0,N(INDEX('CURVA PREVISION'!$A$1:$KZ$3000,$C53,11+3*MIN(AS$3,$D$2-1)))))</f>
        <v>0</v>
      </c>
      <c r="AT53" s="131" t="n">
        <f aca="false">IF(OR($C53="",$B$2="",$D$2=0),0,IF(AT$3&lt;0,0,N(INDEX('CURVA PREVISION'!$A$1:$KZ$3000,$C53,11+3*MIN(AT$3,$D$2-1)))))</f>
        <v>0</v>
      </c>
      <c r="AU53" s="131" t="n">
        <f aca="false">IF(OR($C53="",$B$2="",$D$2=0),0,IF(AU$3&lt;0,0,N(INDEX('CURVA PREVISION'!$A$1:$KZ$3000,$C53,11+3*MIN(AU$3,$D$2-1)))))</f>
        <v>0</v>
      </c>
      <c r="AV53" s="131" t="n">
        <f aca="false">IF(OR($C53="",$B$2="",$D$2=0),0,IF(AV$3&lt;0,0,N(INDEX('CURVA PREVISION'!$A$1:$KZ$3000,$C53,11+3*MIN(AV$3,$D$2-1)))))</f>
        <v>0</v>
      </c>
      <c r="AW53" s="131" t="n">
        <f aca="false">IF(OR($C53="",$B$2="",$D$2=0),0,IF(AW$3&lt;0,0,N(INDEX('CURVA PREVISION'!$A$1:$KZ$3000,$C53,11+3*MIN(AW$3,$D$2-1)))))</f>
        <v>0</v>
      </c>
      <c r="AX53" s="131" t="n">
        <f aca="false">IF(OR($C53="",$B$2="",$D$2=0),0,IF(AX$3&lt;0,0,N(INDEX('CURVA PREVISION'!$A$1:$KZ$3000,$C53,11+3*MIN(AX$3,$D$2-1)))))</f>
        <v>0</v>
      </c>
      <c r="AY53" s="131" t="n">
        <f aca="false">IF(OR($C53="",$B$2="",$D$2=0),0,IF(AY$3&lt;0,0,N(INDEX('CURVA PREVISION'!$A$1:$KZ$3000,$C53,11+3*MIN(AY$3,$D$2-1)))))</f>
        <v>0</v>
      </c>
      <c r="AZ53" s="131" t="n">
        <f aca="false">IF(OR($C53="",$B$2="",$D$2=0),0,IF(AZ$3&lt;0,0,N(INDEX('CURVA PREVISION'!$A$1:$KZ$3000,$C53,11+3*MIN(AZ$3,$D$2-1)))))</f>
        <v>0</v>
      </c>
      <c r="BA53" s="131" t="n">
        <f aca="false">IF(OR($C53="",$B$2="",$D$2=0),0,IF(BA$3&lt;0,0,N(INDEX('CURVA PREVISION'!$A$1:$KZ$3000,$C53,11+3*MIN(BA$3,$D$2-1)))))</f>
        <v>0</v>
      </c>
      <c r="BB53" s="131" t="n">
        <f aca="false">IF(OR($C53="",$B$2="",$D$2=0),0,IF(BB$3&lt;0,0,N(INDEX('CURVA PREVISION'!$A$1:$KZ$3000,$C53,11+3*MIN(BB$3,$D$2-1)))))</f>
        <v>0</v>
      </c>
      <c r="BC53" s="131" t="n">
        <f aca="false">IF(OR($C53="",$B$2="",$D$2=0),0,IF(BC$3&lt;0,0,N(INDEX('CURVA PREVISION'!$A$1:$KZ$3000,$C53,11+3*MIN(BC$3,$D$2-1)))))</f>
        <v>0</v>
      </c>
      <c r="BD53" s="131" t="n">
        <f aca="false">IF(OR($C53="",$B$2="",$D$2=0),0,IF(BD$3&lt;0,0,N(INDEX('CURVA PREVISION'!$A$1:$KZ$3000,$C53,11+3*MIN(BD$3,$D$2-1)))))</f>
        <v>0</v>
      </c>
      <c r="BE53" s="131" t="n">
        <f aca="false">IF(OR($C53="",$B$2="",$D$2=0),0,IF(BE$3&lt;0,0,N(INDEX('CURVA PREVISION'!$A$1:$KZ$3000,$C53,11+3*MIN(BE$3,$D$2-1)))))</f>
        <v>0</v>
      </c>
      <c r="BF53" s="131" t="n">
        <f aca="false">IF(OR($C53="",$B$2="",$D$2=0),0,IF(BF$3&lt;0,0,N(INDEX('CURVA PREVISION'!$A$1:$KZ$3000,$C53,11+3*MIN(BF$3,$D$2-1)))))</f>
        <v>0</v>
      </c>
      <c r="BG53" s="131" t="n">
        <f aca="false">IF(OR($C53="",$B$2="",$D$2=0),0,IF(BG$3&lt;0,0,N(INDEX('CURVA PREVISION'!$A$1:$KZ$3000,$C53,11+3*MIN(BG$3,$D$2-1)))))</f>
        <v>0</v>
      </c>
      <c r="BH53" s="131" t="n">
        <f aca="false">IF(OR($C53="",$B$2="",$D$2=0),0,IF(BH$3&lt;0,0,N(INDEX('CURVA PREVISION'!$A$1:$KZ$3000,$C53,11+3*MIN(BH$3,$D$2-1)))))</f>
        <v>0</v>
      </c>
      <c r="BI53" s="131" t="n">
        <f aca="false">IF(OR($C53="",$B$2="",$D$2=0),0,IF(BI$3&lt;0,0,N(INDEX('CURVA PREVISION'!$A$1:$KZ$3000,$C53,11+3*MIN(BI$3,$D$2-1)))))</f>
        <v>0</v>
      </c>
      <c r="BJ53" s="131" t="n">
        <f aca="false">IF(OR($C53="",$B$2="",$D$2=0),0,IF(BJ$3&lt;0,0,N(INDEX('CURVA PREVISION'!$A$1:$KZ$3000,$C53,11+3*MIN(BJ$3,$D$2-1)))))</f>
        <v>0</v>
      </c>
      <c r="BK53" s="131" t="n">
        <f aca="false">IF(OR($C53="",$B$2="",$D$2=0),0,IF(BK$3&lt;0,0,N(INDEX('CURVA PREVISION'!$A$1:$KZ$3000,$C53,11+3*MIN(BK$3,$D$2-1)))))</f>
        <v>0</v>
      </c>
      <c r="BL53" s="131" t="n">
        <f aca="false">IF(OR($C53="",$B$2="",$D$2=0),0,IF(BL$3&lt;0,0,N(INDEX('CURVA PREVISION'!$A$1:$KZ$3000,$C53,11+3*MIN(BL$3,$D$2-1)))))</f>
        <v>0</v>
      </c>
      <c r="BM53" s="131" t="n">
        <f aca="false">IF(OR($C53="",$B$2="",$D$2=0),0,IF(BM$3&lt;0,0,N(INDEX('CURVA PREVISION'!$A$1:$KZ$3000,$C53,11+3*MIN(BM$3,$D$2-1)))))</f>
        <v>0</v>
      </c>
      <c r="BN53" s="131" t="n">
        <f aca="false">IF(OR($C53="",$B$2="",$D$2=0),0,IF(BN$3&lt;0,0,N(INDEX('CURVA PREVISION'!$A$1:$KZ$3000,$C53,11+3*MIN(BN$3,$D$2-1)))))</f>
        <v>0</v>
      </c>
      <c r="BO53" s="131" t="n">
        <f aca="false">IF(OR($C53="",$B$2="",$D$2=0),0,IF(BO$3&lt;0,0,N(INDEX('CURVA PREVISION'!$A$1:$KZ$3000,$C53,11+3*MIN(BO$3,$D$2-1)))))</f>
        <v>0</v>
      </c>
      <c r="BP53" s="131" t="n">
        <f aca="false">IF(OR($C53="",$B$2="",$D$2=0),0,IF(BP$3&lt;0,0,N(INDEX('CURVA PREVISION'!$A$1:$KZ$3000,$C53,11+3*MIN(BP$3,$D$2-1)))))</f>
        <v>0</v>
      </c>
      <c r="BQ53" s="131" t="n">
        <f aca="false">IF(OR($C53="",$B$2="",$D$2=0),0,IF(BQ$3&lt;0,0,N(INDEX('CURVA PREVISION'!$A$1:$KZ$3000,$C53,11+3*MIN(BQ$3,$D$2-1)))))</f>
        <v>0</v>
      </c>
      <c r="BR53" s="131" t="n">
        <f aca="false">IF(OR($C53="",$B$2="",$D$2=0),0,IF(BR$3&lt;0,0,N(INDEX('CURVA PREVISION'!$A$1:$KZ$3000,$C53,11+3*MIN(BR$3,$D$2-1)))))</f>
        <v>0</v>
      </c>
      <c r="BS53" s="131" t="n">
        <f aca="false">IF(OR($C53="",$B$2="",$D$2=0),0,IF(BS$3&lt;0,0,N(INDEX('CURVA PREVISION'!$A$1:$KZ$3000,$C53,11+3*MIN(BS$3,$D$2-1)))))</f>
        <v>0</v>
      </c>
      <c r="BT53" s="131" t="n">
        <f aca="false">IF(OR($C53="",$B$2="",$D$2=0),0,IF(BT$3&lt;0,0,N(INDEX('CURVA PREVISION'!$A$1:$KZ$3000,$C53,11+3*MIN(BT$3,$D$2-1)))))</f>
        <v>0</v>
      </c>
      <c r="BU53" s="131" t="n">
        <f aca="false">IF(OR($C53="",$B$2="",$D$2=0),0,IF(BU$3&lt;0,0,N(INDEX('CURVA PREVISION'!$A$1:$KZ$3000,$C53,11+3*MIN(BU$3,$D$2-1)))))</f>
        <v>0</v>
      </c>
      <c r="BV53" s="131" t="n">
        <f aca="false">IF(OR($C53="",$B$2="",$D$2=0),0,IF(BV$3&lt;0,0,N(INDEX('CURVA PREVISION'!$A$1:$KZ$3000,$C53,11+3*MIN(BV$3,$D$2-1)))))</f>
        <v>0</v>
      </c>
      <c r="BW53" s="131" t="n">
        <f aca="false">IF(OR($C53="",$B$2="",$D$2=0),0,IF(BW$3&lt;0,0,N(INDEX('CURVA PREVISION'!$A$1:$KZ$3000,$C53,11+3*MIN(BW$3,$D$2-1)))))</f>
        <v>0</v>
      </c>
    </row>
    <row r="54" customFormat="false" ht="15" hidden="false" customHeight="false" outlineLevel="0" collapsed="false">
      <c r="A54" s="57" t="str">
        <f aca="false">IF('VALOR POR PL'!Q18="",'VALOR POR PL'!C18,'VALOR POR PL'!Q18)</f>
        <v>08</v>
      </c>
      <c r="B54" s="47" t="str">
        <f aca="false">B12</f>
        <v>TRANSPORTES</v>
      </c>
      <c r="C54" s="64" t="n">
        <f aca="false">IFERROR(MATCH(A54,'CURVA PREVISION'!$B$1:$B$3000,0),"")</f>
        <v>84</v>
      </c>
      <c r="D54" s="131" t="n">
        <f aca="false">IF(OR($C54="",$B$2="",$D$2=0),0,IF(D$3&lt;0,0,N(INDEX('CURVA PREVISION'!$A$1:$KZ$3000,$C54,11+3*MIN(D$3,$D$2-1)))))</f>
        <v>0</v>
      </c>
      <c r="E54" s="131" t="n">
        <f aca="false">IF(OR($C54="",$B$2="",$D$2=0),0,IF(E$3&lt;0,0,N(INDEX('CURVA PREVISION'!$A$1:$KZ$3000,$C54,11+3*MIN(E$3,$D$2-1)))))</f>
        <v>0</v>
      </c>
      <c r="F54" s="131" t="n">
        <f aca="false">IF(OR($C54="",$B$2="",$D$2=0),0,IF(F$3&lt;0,0,N(INDEX('CURVA PREVISION'!$A$1:$KZ$3000,$C54,11+3*MIN(F$3,$D$2-1)))))</f>
        <v>0</v>
      </c>
      <c r="G54" s="131" t="n">
        <f aca="false">IF(OR($C54="",$B$2="",$D$2=0),0,IF(G$3&lt;0,0,N(INDEX('CURVA PREVISION'!$A$1:$KZ$3000,$C54,11+3*MIN(G$3,$D$2-1)))))</f>
        <v>0</v>
      </c>
      <c r="H54" s="131" t="n">
        <f aca="false">IF(OR($C54="",$B$2="",$D$2=0),0,IF(H$3&lt;0,0,N(INDEX('CURVA PREVISION'!$A$1:$KZ$3000,$C54,11+3*MIN(H$3,$D$2-1)))))</f>
        <v>0</v>
      </c>
      <c r="I54" s="131" t="n">
        <f aca="false">IF(OR($C54="",$B$2="",$D$2=0),0,IF(I$3&lt;0,0,N(INDEX('CURVA PREVISION'!$A$1:$KZ$3000,$C54,11+3*MIN(I$3,$D$2-1)))))</f>
        <v>0</v>
      </c>
      <c r="J54" s="131" t="n">
        <f aca="false">IF(OR($C54="",$B$2="",$D$2=0),0,IF(J$3&lt;0,0,N(INDEX('CURVA PREVISION'!$A$1:$KZ$3000,$C54,11+3*MIN(J$3,$D$2-1)))))</f>
        <v>0</v>
      </c>
      <c r="K54" s="131" t="n">
        <f aca="false">IF(OR($C54="",$B$2="",$D$2=0),0,IF(K$3&lt;0,0,N(INDEX('CURVA PREVISION'!$A$1:$KZ$3000,$C54,11+3*MIN(K$3,$D$2-1)))))</f>
        <v>0</v>
      </c>
      <c r="L54" s="131" t="n">
        <f aca="false">IF(OR($C54="",$B$2="",$D$2=0),0,IF(L$3&lt;0,0,N(INDEX('CURVA PREVISION'!$A$1:$KZ$3000,$C54,11+3*MIN(L$3,$D$2-1)))))</f>
        <v>0</v>
      </c>
      <c r="M54" s="131" t="n">
        <f aca="false">IF(OR($C54="",$B$2="",$D$2=0),0,IF(M$3&lt;0,0,N(INDEX('CURVA PREVISION'!$A$1:$KZ$3000,$C54,11+3*MIN(M$3,$D$2-1)))))</f>
        <v>0</v>
      </c>
      <c r="N54" s="131" t="n">
        <f aca="false">IF(OR($C54="",$B$2="",$D$2=0),0,IF(N$3&lt;0,0,N(INDEX('CURVA PREVISION'!$A$1:$KZ$3000,$C54,11+3*MIN(N$3,$D$2-1)))))</f>
        <v>0</v>
      </c>
      <c r="O54" s="131" t="n">
        <f aca="false">IF(OR($C54="",$B$2="",$D$2=0),0,IF(O$3&lt;0,0,N(INDEX('CURVA PREVISION'!$A$1:$KZ$3000,$C54,11+3*MIN(O$3,$D$2-1)))))</f>
        <v>0</v>
      </c>
      <c r="P54" s="131" t="n">
        <f aca="false">IF(OR($C54="",$B$2="",$D$2=0),0,IF(P$3&lt;0,0,N(INDEX('CURVA PREVISION'!$A$1:$KZ$3000,$C54,11+3*MIN(P$3,$D$2-1)))))</f>
        <v>0</v>
      </c>
      <c r="Q54" s="131" t="n">
        <f aca="false">IF(OR($C54="",$B$2="",$D$2=0),0,IF(Q$3&lt;0,0,N(INDEX('CURVA PREVISION'!$A$1:$KZ$3000,$C54,11+3*MIN(Q$3,$D$2-1)))))</f>
        <v>0</v>
      </c>
      <c r="R54" s="131" t="n">
        <f aca="false">IF(OR($C54="",$B$2="",$D$2=0),0,IF(R$3&lt;0,0,N(INDEX('CURVA PREVISION'!$A$1:$KZ$3000,$C54,11+3*MIN(R$3,$D$2-1)))))</f>
        <v>0</v>
      </c>
      <c r="S54" s="131" t="n">
        <f aca="false">IF(OR($C54="",$B$2="",$D$2=0),0,IF(S$3&lt;0,0,N(INDEX('CURVA PREVISION'!$A$1:$KZ$3000,$C54,11+3*MIN(S$3,$D$2-1)))))</f>
        <v>0</v>
      </c>
      <c r="T54" s="131" t="n">
        <f aca="false">IF(OR($C54="",$B$2="",$D$2=0),0,IF(T$3&lt;0,0,N(INDEX('CURVA PREVISION'!$A$1:$KZ$3000,$C54,11+3*MIN(T$3,$D$2-1)))))</f>
        <v>0</v>
      </c>
      <c r="U54" s="131" t="n">
        <f aca="false">IF(OR($C54="",$B$2="",$D$2=0),0,IF(U$3&lt;0,0,N(INDEX('CURVA PREVISION'!$A$1:$KZ$3000,$C54,11+3*MIN(U$3,$D$2-1)))))</f>
        <v>0</v>
      </c>
      <c r="V54" s="131" t="n">
        <f aca="false">IF(OR($C54="",$B$2="",$D$2=0),0,IF(V$3&lt;0,0,N(INDEX('CURVA PREVISION'!$A$1:$KZ$3000,$C54,11+3*MIN(V$3,$D$2-1)))))</f>
        <v>0</v>
      </c>
      <c r="W54" s="131" t="n">
        <f aca="false">IF(OR($C54="",$B$2="",$D$2=0),0,IF(W$3&lt;0,0,N(INDEX('CURVA PREVISION'!$A$1:$KZ$3000,$C54,11+3*MIN(W$3,$D$2-1)))))</f>
        <v>0</v>
      </c>
      <c r="X54" s="131" t="n">
        <f aca="false">IF(OR($C54="",$B$2="",$D$2=0),0,IF(X$3&lt;0,0,N(INDEX('CURVA PREVISION'!$A$1:$KZ$3000,$C54,11+3*MIN(X$3,$D$2-1)))))</f>
        <v>0</v>
      </c>
      <c r="Y54" s="131" t="n">
        <f aca="false">IF(OR($C54="",$B$2="",$D$2=0),0,IF(Y$3&lt;0,0,N(INDEX('CURVA PREVISION'!$A$1:$KZ$3000,$C54,11+3*MIN(Y$3,$D$2-1)))))</f>
        <v>0</v>
      </c>
      <c r="Z54" s="131" t="n">
        <f aca="false">IF(OR($C54="",$B$2="",$D$2=0),0,IF(Z$3&lt;0,0,N(INDEX('CURVA PREVISION'!$A$1:$KZ$3000,$C54,11+3*MIN(Z$3,$D$2-1)))))</f>
        <v>0</v>
      </c>
      <c r="AA54" s="131" t="n">
        <f aca="false">IF(OR($C54="",$B$2="",$D$2=0),0,IF(AA$3&lt;0,0,N(INDEX('CURVA PREVISION'!$A$1:$KZ$3000,$C54,11+3*MIN(AA$3,$D$2-1)))))</f>
        <v>0</v>
      </c>
      <c r="AB54" s="131" t="n">
        <f aca="false">IF(OR($C54="",$B$2="",$D$2=0),0,IF(AB$3&lt;0,0,N(INDEX('CURVA PREVISION'!$A$1:$KZ$3000,$C54,11+3*MIN(AB$3,$D$2-1)))))</f>
        <v>0</v>
      </c>
      <c r="AC54" s="131" t="n">
        <f aca="false">IF(OR($C54="",$B$2="",$D$2=0),0,IF(AC$3&lt;0,0,N(INDEX('CURVA PREVISION'!$A$1:$KZ$3000,$C54,11+3*MIN(AC$3,$D$2-1)))))</f>
        <v>0</v>
      </c>
      <c r="AD54" s="131" t="n">
        <f aca="false">IF(OR($C54="",$B$2="",$D$2=0),0,IF(AD$3&lt;0,0,N(INDEX('CURVA PREVISION'!$A$1:$KZ$3000,$C54,11+3*MIN(AD$3,$D$2-1)))))</f>
        <v>0</v>
      </c>
      <c r="AE54" s="131" t="n">
        <f aca="false">IF(OR($C54="",$B$2="",$D$2=0),0,IF(AE$3&lt;0,0,N(INDEX('CURVA PREVISION'!$A$1:$KZ$3000,$C54,11+3*MIN(AE$3,$D$2-1)))))</f>
        <v>0</v>
      </c>
      <c r="AF54" s="131" t="n">
        <f aca="false">IF(OR($C54="",$B$2="",$D$2=0),0,IF(AF$3&lt;0,0,N(INDEX('CURVA PREVISION'!$A$1:$KZ$3000,$C54,11+3*MIN(AF$3,$D$2-1)))))</f>
        <v>0</v>
      </c>
      <c r="AG54" s="131" t="n">
        <f aca="false">IF(OR($C54="",$B$2="",$D$2=0),0,IF(AG$3&lt;0,0,N(INDEX('CURVA PREVISION'!$A$1:$KZ$3000,$C54,11+3*MIN(AG$3,$D$2-1)))))</f>
        <v>0</v>
      </c>
      <c r="AH54" s="131" t="n">
        <f aca="false">IF(OR($C54="",$B$2="",$D$2=0),0,IF(AH$3&lt;0,0,N(INDEX('CURVA PREVISION'!$A$1:$KZ$3000,$C54,11+3*MIN(AH$3,$D$2-1)))))</f>
        <v>0</v>
      </c>
      <c r="AI54" s="131" t="n">
        <f aca="false">IF(OR($C54="",$B$2="",$D$2=0),0,IF(AI$3&lt;0,0,N(INDEX('CURVA PREVISION'!$A$1:$KZ$3000,$C54,11+3*MIN(AI$3,$D$2-1)))))</f>
        <v>0</v>
      </c>
      <c r="AJ54" s="131" t="n">
        <f aca="false">IF(OR($C54="",$B$2="",$D$2=0),0,IF(AJ$3&lt;0,0,N(INDEX('CURVA PREVISION'!$A$1:$KZ$3000,$C54,11+3*MIN(AJ$3,$D$2-1)))))</f>
        <v>0</v>
      </c>
      <c r="AK54" s="131" t="n">
        <f aca="false">IF(OR($C54="",$B$2="",$D$2=0),0,IF(AK$3&lt;0,0,N(INDEX('CURVA PREVISION'!$A$1:$KZ$3000,$C54,11+3*MIN(AK$3,$D$2-1)))))</f>
        <v>0</v>
      </c>
      <c r="AL54" s="131" t="n">
        <f aca="false">IF(OR($C54="",$B$2="",$D$2=0),0,IF(AL$3&lt;0,0,N(INDEX('CURVA PREVISION'!$A$1:$KZ$3000,$C54,11+3*MIN(AL$3,$D$2-1)))))</f>
        <v>0</v>
      </c>
      <c r="AM54" s="131" t="n">
        <f aca="false">IF(OR($C54="",$B$2="",$D$2=0),0,IF(AM$3&lt;0,0,N(INDEX('CURVA PREVISION'!$A$1:$KZ$3000,$C54,11+3*MIN(AM$3,$D$2-1)))))</f>
        <v>0</v>
      </c>
      <c r="AN54" s="131" t="n">
        <f aca="false">IF(OR($C54="",$B$2="",$D$2=0),0,IF(AN$3&lt;0,0,N(INDEX('CURVA PREVISION'!$A$1:$KZ$3000,$C54,11+3*MIN(AN$3,$D$2-1)))))</f>
        <v>0</v>
      </c>
      <c r="AO54" s="131" t="n">
        <f aca="false">IF(OR($C54="",$B$2="",$D$2=0),0,IF(AO$3&lt;0,0,N(INDEX('CURVA PREVISION'!$A$1:$KZ$3000,$C54,11+3*MIN(AO$3,$D$2-1)))))</f>
        <v>0</v>
      </c>
      <c r="AP54" s="131" t="n">
        <f aca="false">IF(OR($C54="",$B$2="",$D$2=0),0,IF(AP$3&lt;0,0,N(INDEX('CURVA PREVISION'!$A$1:$KZ$3000,$C54,11+3*MIN(AP$3,$D$2-1)))))</f>
        <v>0</v>
      </c>
      <c r="AQ54" s="131" t="n">
        <f aca="false">IF(OR($C54="",$B$2="",$D$2=0),0,IF(AQ$3&lt;0,0,N(INDEX('CURVA PREVISION'!$A$1:$KZ$3000,$C54,11+3*MIN(AQ$3,$D$2-1)))))</f>
        <v>0</v>
      </c>
      <c r="AR54" s="131" t="n">
        <f aca="false">IF(OR($C54="",$B$2="",$D$2=0),0,IF(AR$3&lt;0,0,N(INDEX('CURVA PREVISION'!$A$1:$KZ$3000,$C54,11+3*MIN(AR$3,$D$2-1)))))</f>
        <v>0</v>
      </c>
      <c r="AS54" s="131" t="n">
        <f aca="false">IF(OR($C54="",$B$2="",$D$2=0),0,IF(AS$3&lt;0,0,N(INDEX('CURVA PREVISION'!$A$1:$KZ$3000,$C54,11+3*MIN(AS$3,$D$2-1)))))</f>
        <v>0</v>
      </c>
      <c r="AT54" s="131" t="n">
        <f aca="false">IF(OR($C54="",$B$2="",$D$2=0),0,IF(AT$3&lt;0,0,N(INDEX('CURVA PREVISION'!$A$1:$KZ$3000,$C54,11+3*MIN(AT$3,$D$2-1)))))</f>
        <v>0</v>
      </c>
      <c r="AU54" s="131" t="n">
        <f aca="false">IF(OR($C54="",$B$2="",$D$2=0),0,IF(AU$3&lt;0,0,N(INDEX('CURVA PREVISION'!$A$1:$KZ$3000,$C54,11+3*MIN(AU$3,$D$2-1)))))</f>
        <v>0</v>
      </c>
      <c r="AV54" s="131" t="n">
        <f aca="false">IF(OR($C54="",$B$2="",$D$2=0),0,IF(AV$3&lt;0,0,N(INDEX('CURVA PREVISION'!$A$1:$KZ$3000,$C54,11+3*MIN(AV$3,$D$2-1)))))</f>
        <v>0</v>
      </c>
      <c r="AW54" s="131" t="n">
        <f aca="false">IF(OR($C54="",$B$2="",$D$2=0),0,IF(AW$3&lt;0,0,N(INDEX('CURVA PREVISION'!$A$1:$KZ$3000,$C54,11+3*MIN(AW$3,$D$2-1)))))</f>
        <v>0</v>
      </c>
      <c r="AX54" s="131" t="n">
        <f aca="false">IF(OR($C54="",$B$2="",$D$2=0),0,IF(AX$3&lt;0,0,N(INDEX('CURVA PREVISION'!$A$1:$KZ$3000,$C54,11+3*MIN(AX$3,$D$2-1)))))</f>
        <v>0</v>
      </c>
      <c r="AY54" s="131" t="n">
        <f aca="false">IF(OR($C54="",$B$2="",$D$2=0),0,IF(AY$3&lt;0,0,N(INDEX('CURVA PREVISION'!$A$1:$KZ$3000,$C54,11+3*MIN(AY$3,$D$2-1)))))</f>
        <v>0</v>
      </c>
      <c r="AZ54" s="131" t="n">
        <f aca="false">IF(OR($C54="",$B$2="",$D$2=0),0,IF(AZ$3&lt;0,0,N(INDEX('CURVA PREVISION'!$A$1:$KZ$3000,$C54,11+3*MIN(AZ$3,$D$2-1)))))</f>
        <v>0</v>
      </c>
      <c r="BA54" s="131" t="n">
        <f aca="false">IF(OR($C54="",$B$2="",$D$2=0),0,IF(BA$3&lt;0,0,N(INDEX('CURVA PREVISION'!$A$1:$KZ$3000,$C54,11+3*MIN(BA$3,$D$2-1)))))</f>
        <v>0</v>
      </c>
      <c r="BB54" s="131" t="n">
        <f aca="false">IF(OR($C54="",$B$2="",$D$2=0),0,IF(BB$3&lt;0,0,N(INDEX('CURVA PREVISION'!$A$1:$KZ$3000,$C54,11+3*MIN(BB$3,$D$2-1)))))</f>
        <v>0</v>
      </c>
      <c r="BC54" s="131" t="n">
        <f aca="false">IF(OR($C54="",$B$2="",$D$2=0),0,IF(BC$3&lt;0,0,N(INDEX('CURVA PREVISION'!$A$1:$KZ$3000,$C54,11+3*MIN(BC$3,$D$2-1)))))</f>
        <v>0</v>
      </c>
      <c r="BD54" s="131" t="n">
        <f aca="false">IF(OR($C54="",$B$2="",$D$2=0),0,IF(BD$3&lt;0,0,N(INDEX('CURVA PREVISION'!$A$1:$KZ$3000,$C54,11+3*MIN(BD$3,$D$2-1)))))</f>
        <v>0</v>
      </c>
      <c r="BE54" s="131" t="n">
        <f aca="false">IF(OR($C54="",$B$2="",$D$2=0),0,IF(BE$3&lt;0,0,N(INDEX('CURVA PREVISION'!$A$1:$KZ$3000,$C54,11+3*MIN(BE$3,$D$2-1)))))</f>
        <v>0</v>
      </c>
      <c r="BF54" s="131" t="n">
        <f aca="false">IF(OR($C54="",$B$2="",$D$2=0),0,IF(BF$3&lt;0,0,N(INDEX('CURVA PREVISION'!$A$1:$KZ$3000,$C54,11+3*MIN(BF$3,$D$2-1)))))</f>
        <v>0</v>
      </c>
      <c r="BG54" s="131" t="n">
        <f aca="false">IF(OR($C54="",$B$2="",$D$2=0),0,IF(BG$3&lt;0,0,N(INDEX('CURVA PREVISION'!$A$1:$KZ$3000,$C54,11+3*MIN(BG$3,$D$2-1)))))</f>
        <v>0</v>
      </c>
      <c r="BH54" s="131" t="n">
        <f aca="false">IF(OR($C54="",$B$2="",$D$2=0),0,IF(BH$3&lt;0,0,N(INDEX('CURVA PREVISION'!$A$1:$KZ$3000,$C54,11+3*MIN(BH$3,$D$2-1)))))</f>
        <v>0</v>
      </c>
      <c r="BI54" s="131" t="n">
        <f aca="false">IF(OR($C54="",$B$2="",$D$2=0),0,IF(BI$3&lt;0,0,N(INDEX('CURVA PREVISION'!$A$1:$KZ$3000,$C54,11+3*MIN(BI$3,$D$2-1)))))</f>
        <v>0</v>
      </c>
      <c r="BJ54" s="131" t="n">
        <f aca="false">IF(OR($C54="",$B$2="",$D$2=0),0,IF(BJ$3&lt;0,0,N(INDEX('CURVA PREVISION'!$A$1:$KZ$3000,$C54,11+3*MIN(BJ$3,$D$2-1)))))</f>
        <v>0</v>
      </c>
      <c r="BK54" s="131" t="n">
        <f aca="false">IF(OR($C54="",$B$2="",$D$2=0),0,IF(BK$3&lt;0,0,N(INDEX('CURVA PREVISION'!$A$1:$KZ$3000,$C54,11+3*MIN(BK$3,$D$2-1)))))</f>
        <v>0</v>
      </c>
      <c r="BL54" s="131" t="n">
        <f aca="false">IF(OR($C54="",$B$2="",$D$2=0),0,IF(BL$3&lt;0,0,N(INDEX('CURVA PREVISION'!$A$1:$KZ$3000,$C54,11+3*MIN(BL$3,$D$2-1)))))</f>
        <v>0</v>
      </c>
      <c r="BM54" s="131" t="n">
        <f aca="false">IF(OR($C54="",$B$2="",$D$2=0),0,IF(BM$3&lt;0,0,N(INDEX('CURVA PREVISION'!$A$1:$KZ$3000,$C54,11+3*MIN(BM$3,$D$2-1)))))</f>
        <v>0</v>
      </c>
      <c r="BN54" s="131" t="n">
        <f aca="false">IF(OR($C54="",$B$2="",$D$2=0),0,IF(BN$3&lt;0,0,N(INDEX('CURVA PREVISION'!$A$1:$KZ$3000,$C54,11+3*MIN(BN$3,$D$2-1)))))</f>
        <v>0</v>
      </c>
      <c r="BO54" s="131" t="n">
        <f aca="false">IF(OR($C54="",$B$2="",$D$2=0),0,IF(BO$3&lt;0,0,N(INDEX('CURVA PREVISION'!$A$1:$KZ$3000,$C54,11+3*MIN(BO$3,$D$2-1)))))</f>
        <v>0</v>
      </c>
      <c r="BP54" s="131" t="n">
        <f aca="false">IF(OR($C54="",$B$2="",$D$2=0),0,IF(BP$3&lt;0,0,N(INDEX('CURVA PREVISION'!$A$1:$KZ$3000,$C54,11+3*MIN(BP$3,$D$2-1)))))</f>
        <v>0</v>
      </c>
      <c r="BQ54" s="131" t="n">
        <f aca="false">IF(OR($C54="",$B$2="",$D$2=0),0,IF(BQ$3&lt;0,0,N(INDEX('CURVA PREVISION'!$A$1:$KZ$3000,$C54,11+3*MIN(BQ$3,$D$2-1)))))</f>
        <v>0</v>
      </c>
      <c r="BR54" s="131" t="n">
        <f aca="false">IF(OR($C54="",$B$2="",$D$2=0),0,IF(BR$3&lt;0,0,N(INDEX('CURVA PREVISION'!$A$1:$KZ$3000,$C54,11+3*MIN(BR$3,$D$2-1)))))</f>
        <v>0</v>
      </c>
      <c r="BS54" s="131" t="n">
        <f aca="false">IF(OR($C54="",$B$2="",$D$2=0),0,IF(BS$3&lt;0,0,N(INDEX('CURVA PREVISION'!$A$1:$KZ$3000,$C54,11+3*MIN(BS$3,$D$2-1)))))</f>
        <v>0</v>
      </c>
      <c r="BT54" s="131" t="n">
        <f aca="false">IF(OR($C54="",$B$2="",$D$2=0),0,IF(BT$3&lt;0,0,N(INDEX('CURVA PREVISION'!$A$1:$KZ$3000,$C54,11+3*MIN(BT$3,$D$2-1)))))</f>
        <v>0</v>
      </c>
      <c r="BU54" s="131" t="n">
        <f aca="false">IF(OR($C54="",$B$2="",$D$2=0),0,IF(BU$3&lt;0,0,N(INDEX('CURVA PREVISION'!$A$1:$KZ$3000,$C54,11+3*MIN(BU$3,$D$2-1)))))</f>
        <v>0</v>
      </c>
      <c r="BV54" s="131" t="n">
        <f aca="false">IF(OR($C54="",$B$2="",$D$2=0),0,IF(BV$3&lt;0,0,N(INDEX('CURVA PREVISION'!$A$1:$KZ$3000,$C54,11+3*MIN(BV$3,$D$2-1)))))</f>
        <v>0</v>
      </c>
      <c r="BW54" s="131" t="n">
        <f aca="false">IF(OR($C54="",$B$2="",$D$2=0),0,IF(BW$3&lt;0,0,N(INDEX('CURVA PREVISION'!$A$1:$KZ$3000,$C54,11+3*MIN(BW$3,$D$2-1)))))</f>
        <v>0</v>
      </c>
    </row>
    <row r="55" customFormat="false" ht="15" hidden="false" customHeight="false" outlineLevel="0" collapsed="false">
      <c r="A55" s="57" t="str">
        <f aca="false">IF('VALOR POR PL'!Q19="",'VALOR POR PL'!C19,'VALOR POR PL'!Q19)</f>
        <v>09</v>
      </c>
      <c r="B55" s="47" t="str">
        <f aca="false">B13</f>
        <v>CONSULTORIAS (OBRAS)</v>
      </c>
      <c r="C55" s="64" t="n">
        <f aca="false">IFERROR(MATCH(A55,'CURVA PREVISION'!$B$1:$B$3000,0),"")</f>
        <v>89</v>
      </c>
      <c r="D55" s="131" t="n">
        <f aca="false">IF(OR($C55="",$B$2="",$D$2=0),0,IF(D$3&lt;0,0,N(INDEX('CURVA PREVISION'!$A$1:$KZ$3000,$C55,11+3*MIN(D$3,$D$2-1)))))</f>
        <v>0</v>
      </c>
      <c r="E55" s="131" t="n">
        <f aca="false">IF(OR($C55="",$B$2="",$D$2=0),0,IF(E$3&lt;0,0,N(INDEX('CURVA PREVISION'!$A$1:$KZ$3000,$C55,11+3*MIN(E$3,$D$2-1)))))</f>
        <v>0</v>
      </c>
      <c r="F55" s="131" t="n">
        <f aca="false">IF(OR($C55="",$B$2="",$D$2=0),0,IF(F$3&lt;0,0,N(INDEX('CURVA PREVISION'!$A$1:$KZ$3000,$C55,11+3*MIN(F$3,$D$2-1)))))</f>
        <v>0</v>
      </c>
      <c r="G55" s="131" t="n">
        <f aca="false">IF(OR($C55="",$B$2="",$D$2=0),0,IF(G$3&lt;0,0,N(INDEX('CURVA PREVISION'!$A$1:$KZ$3000,$C55,11+3*MIN(G$3,$D$2-1)))))</f>
        <v>0</v>
      </c>
      <c r="H55" s="131" t="n">
        <f aca="false">IF(OR($C55="",$B$2="",$D$2=0),0,IF(H$3&lt;0,0,N(INDEX('CURVA PREVISION'!$A$1:$KZ$3000,$C55,11+3*MIN(H$3,$D$2-1)))))</f>
        <v>0</v>
      </c>
      <c r="I55" s="131" t="n">
        <f aca="false">IF(OR($C55="",$B$2="",$D$2=0),0,IF(I$3&lt;0,0,N(INDEX('CURVA PREVISION'!$A$1:$KZ$3000,$C55,11+3*MIN(I$3,$D$2-1)))))</f>
        <v>0</v>
      </c>
      <c r="J55" s="131" t="n">
        <f aca="false">IF(OR($C55="",$B$2="",$D$2=0),0,IF(J$3&lt;0,0,N(INDEX('CURVA PREVISION'!$A$1:$KZ$3000,$C55,11+3*MIN(J$3,$D$2-1)))))</f>
        <v>0</v>
      </c>
      <c r="K55" s="131" t="n">
        <f aca="false">IF(OR($C55="",$B$2="",$D$2=0),0,IF(K$3&lt;0,0,N(INDEX('CURVA PREVISION'!$A$1:$KZ$3000,$C55,11+3*MIN(K$3,$D$2-1)))))</f>
        <v>0</v>
      </c>
      <c r="L55" s="131" t="n">
        <f aca="false">IF(OR($C55="",$B$2="",$D$2=0),0,IF(L$3&lt;0,0,N(INDEX('CURVA PREVISION'!$A$1:$KZ$3000,$C55,11+3*MIN(L$3,$D$2-1)))))</f>
        <v>0</v>
      </c>
      <c r="M55" s="131" t="n">
        <f aca="false">IF(OR($C55="",$B$2="",$D$2=0),0,IF(M$3&lt;0,0,N(INDEX('CURVA PREVISION'!$A$1:$KZ$3000,$C55,11+3*MIN(M$3,$D$2-1)))))</f>
        <v>0</v>
      </c>
      <c r="N55" s="131" t="n">
        <f aca="false">IF(OR($C55="",$B$2="",$D$2=0),0,IF(N$3&lt;0,0,N(INDEX('CURVA PREVISION'!$A$1:$KZ$3000,$C55,11+3*MIN(N$3,$D$2-1)))))</f>
        <v>0</v>
      </c>
      <c r="O55" s="131" t="n">
        <f aca="false">IF(OR($C55="",$B$2="",$D$2=0),0,IF(O$3&lt;0,0,N(INDEX('CURVA PREVISION'!$A$1:$KZ$3000,$C55,11+3*MIN(O$3,$D$2-1)))))</f>
        <v>0</v>
      </c>
      <c r="P55" s="131" t="n">
        <f aca="false">IF(OR($C55="",$B$2="",$D$2=0),0,IF(P$3&lt;0,0,N(INDEX('CURVA PREVISION'!$A$1:$KZ$3000,$C55,11+3*MIN(P$3,$D$2-1)))))</f>
        <v>0</v>
      </c>
      <c r="Q55" s="131" t="n">
        <f aca="false">IF(OR($C55="",$B$2="",$D$2=0),0,IF(Q$3&lt;0,0,N(INDEX('CURVA PREVISION'!$A$1:$KZ$3000,$C55,11+3*MIN(Q$3,$D$2-1)))))</f>
        <v>0</v>
      </c>
      <c r="R55" s="131" t="n">
        <f aca="false">IF(OR($C55="",$B$2="",$D$2=0),0,IF(R$3&lt;0,0,N(INDEX('CURVA PREVISION'!$A$1:$KZ$3000,$C55,11+3*MIN(R$3,$D$2-1)))))</f>
        <v>0</v>
      </c>
      <c r="S55" s="131" t="n">
        <f aca="false">IF(OR($C55="",$B$2="",$D$2=0),0,IF(S$3&lt;0,0,N(INDEX('CURVA PREVISION'!$A$1:$KZ$3000,$C55,11+3*MIN(S$3,$D$2-1)))))</f>
        <v>0</v>
      </c>
      <c r="T55" s="131" t="n">
        <f aca="false">IF(OR($C55="",$B$2="",$D$2=0),0,IF(T$3&lt;0,0,N(INDEX('CURVA PREVISION'!$A$1:$KZ$3000,$C55,11+3*MIN(T$3,$D$2-1)))))</f>
        <v>0</v>
      </c>
      <c r="U55" s="131" t="n">
        <f aca="false">IF(OR($C55="",$B$2="",$D$2=0),0,IF(U$3&lt;0,0,N(INDEX('CURVA PREVISION'!$A$1:$KZ$3000,$C55,11+3*MIN(U$3,$D$2-1)))))</f>
        <v>0</v>
      </c>
      <c r="V55" s="131" t="n">
        <f aca="false">IF(OR($C55="",$B$2="",$D$2=0),0,IF(V$3&lt;0,0,N(INDEX('CURVA PREVISION'!$A$1:$KZ$3000,$C55,11+3*MIN(V$3,$D$2-1)))))</f>
        <v>0</v>
      </c>
      <c r="W55" s="131" t="n">
        <f aca="false">IF(OR($C55="",$B$2="",$D$2=0),0,IF(W$3&lt;0,0,N(INDEX('CURVA PREVISION'!$A$1:$KZ$3000,$C55,11+3*MIN(W$3,$D$2-1)))))</f>
        <v>0</v>
      </c>
      <c r="X55" s="131" t="n">
        <f aca="false">IF(OR($C55="",$B$2="",$D$2=0),0,IF(X$3&lt;0,0,N(INDEX('CURVA PREVISION'!$A$1:$KZ$3000,$C55,11+3*MIN(X$3,$D$2-1)))))</f>
        <v>0</v>
      </c>
      <c r="Y55" s="131" t="n">
        <f aca="false">IF(OR($C55="",$B$2="",$D$2=0),0,IF(Y$3&lt;0,0,N(INDEX('CURVA PREVISION'!$A$1:$KZ$3000,$C55,11+3*MIN(Y$3,$D$2-1)))))</f>
        <v>0</v>
      </c>
      <c r="Z55" s="131" t="n">
        <f aca="false">IF(OR($C55="",$B$2="",$D$2=0),0,IF(Z$3&lt;0,0,N(INDEX('CURVA PREVISION'!$A$1:$KZ$3000,$C55,11+3*MIN(Z$3,$D$2-1)))))</f>
        <v>0</v>
      </c>
      <c r="AA55" s="131" t="n">
        <f aca="false">IF(OR($C55="",$B$2="",$D$2=0),0,IF(AA$3&lt;0,0,N(INDEX('CURVA PREVISION'!$A$1:$KZ$3000,$C55,11+3*MIN(AA$3,$D$2-1)))))</f>
        <v>0</v>
      </c>
      <c r="AB55" s="131" t="n">
        <f aca="false">IF(OR($C55="",$B$2="",$D$2=0),0,IF(AB$3&lt;0,0,N(INDEX('CURVA PREVISION'!$A$1:$KZ$3000,$C55,11+3*MIN(AB$3,$D$2-1)))))</f>
        <v>0</v>
      </c>
      <c r="AC55" s="131" t="n">
        <f aca="false">IF(OR($C55="",$B$2="",$D$2=0),0,IF(AC$3&lt;0,0,N(INDEX('CURVA PREVISION'!$A$1:$KZ$3000,$C55,11+3*MIN(AC$3,$D$2-1)))))</f>
        <v>0</v>
      </c>
      <c r="AD55" s="131" t="n">
        <f aca="false">IF(OR($C55="",$B$2="",$D$2=0),0,IF(AD$3&lt;0,0,N(INDEX('CURVA PREVISION'!$A$1:$KZ$3000,$C55,11+3*MIN(AD$3,$D$2-1)))))</f>
        <v>0</v>
      </c>
      <c r="AE55" s="131" t="n">
        <f aca="false">IF(OR($C55="",$B$2="",$D$2=0),0,IF(AE$3&lt;0,0,N(INDEX('CURVA PREVISION'!$A$1:$KZ$3000,$C55,11+3*MIN(AE$3,$D$2-1)))))</f>
        <v>0</v>
      </c>
      <c r="AF55" s="131" t="n">
        <f aca="false">IF(OR($C55="",$B$2="",$D$2=0),0,IF(AF$3&lt;0,0,N(INDEX('CURVA PREVISION'!$A$1:$KZ$3000,$C55,11+3*MIN(AF$3,$D$2-1)))))</f>
        <v>0</v>
      </c>
      <c r="AG55" s="131" t="n">
        <f aca="false">IF(OR($C55="",$B$2="",$D$2=0),0,IF(AG$3&lt;0,0,N(INDEX('CURVA PREVISION'!$A$1:$KZ$3000,$C55,11+3*MIN(AG$3,$D$2-1)))))</f>
        <v>0</v>
      </c>
      <c r="AH55" s="131" t="n">
        <f aca="false">IF(OR($C55="",$B$2="",$D$2=0),0,IF(AH$3&lt;0,0,N(INDEX('CURVA PREVISION'!$A$1:$KZ$3000,$C55,11+3*MIN(AH$3,$D$2-1)))))</f>
        <v>0</v>
      </c>
      <c r="AI55" s="131" t="n">
        <f aca="false">IF(OR($C55="",$B$2="",$D$2=0),0,IF(AI$3&lt;0,0,N(INDEX('CURVA PREVISION'!$A$1:$KZ$3000,$C55,11+3*MIN(AI$3,$D$2-1)))))</f>
        <v>0</v>
      </c>
      <c r="AJ55" s="131" t="n">
        <f aca="false">IF(OR($C55="",$B$2="",$D$2=0),0,IF(AJ$3&lt;0,0,N(INDEX('CURVA PREVISION'!$A$1:$KZ$3000,$C55,11+3*MIN(AJ$3,$D$2-1)))))</f>
        <v>0</v>
      </c>
      <c r="AK55" s="131" t="n">
        <f aca="false">IF(OR($C55="",$B$2="",$D$2=0),0,IF(AK$3&lt;0,0,N(INDEX('CURVA PREVISION'!$A$1:$KZ$3000,$C55,11+3*MIN(AK$3,$D$2-1)))))</f>
        <v>0</v>
      </c>
      <c r="AL55" s="131" t="n">
        <f aca="false">IF(OR($C55="",$B$2="",$D$2=0),0,IF(AL$3&lt;0,0,N(INDEX('CURVA PREVISION'!$A$1:$KZ$3000,$C55,11+3*MIN(AL$3,$D$2-1)))))</f>
        <v>0</v>
      </c>
      <c r="AM55" s="131" t="n">
        <f aca="false">IF(OR($C55="",$B$2="",$D$2=0),0,IF(AM$3&lt;0,0,N(INDEX('CURVA PREVISION'!$A$1:$KZ$3000,$C55,11+3*MIN(AM$3,$D$2-1)))))</f>
        <v>0</v>
      </c>
      <c r="AN55" s="131" t="n">
        <f aca="false">IF(OR($C55="",$B$2="",$D$2=0),0,IF(AN$3&lt;0,0,N(INDEX('CURVA PREVISION'!$A$1:$KZ$3000,$C55,11+3*MIN(AN$3,$D$2-1)))))</f>
        <v>0</v>
      </c>
      <c r="AO55" s="131" t="n">
        <f aca="false">IF(OR($C55="",$B$2="",$D$2=0),0,IF(AO$3&lt;0,0,N(INDEX('CURVA PREVISION'!$A$1:$KZ$3000,$C55,11+3*MIN(AO$3,$D$2-1)))))</f>
        <v>0</v>
      </c>
      <c r="AP55" s="131" t="n">
        <f aca="false">IF(OR($C55="",$B$2="",$D$2=0),0,IF(AP$3&lt;0,0,N(INDEX('CURVA PREVISION'!$A$1:$KZ$3000,$C55,11+3*MIN(AP$3,$D$2-1)))))</f>
        <v>0</v>
      </c>
      <c r="AQ55" s="131" t="n">
        <f aca="false">IF(OR($C55="",$B$2="",$D$2=0),0,IF(AQ$3&lt;0,0,N(INDEX('CURVA PREVISION'!$A$1:$KZ$3000,$C55,11+3*MIN(AQ$3,$D$2-1)))))</f>
        <v>0</v>
      </c>
      <c r="AR55" s="131" t="n">
        <f aca="false">IF(OR($C55="",$B$2="",$D$2=0),0,IF(AR$3&lt;0,0,N(INDEX('CURVA PREVISION'!$A$1:$KZ$3000,$C55,11+3*MIN(AR$3,$D$2-1)))))</f>
        <v>0</v>
      </c>
      <c r="AS55" s="131" t="n">
        <f aca="false">IF(OR($C55="",$B$2="",$D$2=0),0,IF(AS$3&lt;0,0,N(INDEX('CURVA PREVISION'!$A$1:$KZ$3000,$C55,11+3*MIN(AS$3,$D$2-1)))))</f>
        <v>0</v>
      </c>
      <c r="AT55" s="131" t="n">
        <f aca="false">IF(OR($C55="",$B$2="",$D$2=0),0,IF(AT$3&lt;0,0,N(INDEX('CURVA PREVISION'!$A$1:$KZ$3000,$C55,11+3*MIN(AT$3,$D$2-1)))))</f>
        <v>0</v>
      </c>
      <c r="AU55" s="131" t="n">
        <f aca="false">IF(OR($C55="",$B$2="",$D$2=0),0,IF(AU$3&lt;0,0,N(INDEX('CURVA PREVISION'!$A$1:$KZ$3000,$C55,11+3*MIN(AU$3,$D$2-1)))))</f>
        <v>0</v>
      </c>
      <c r="AV55" s="131" t="n">
        <f aca="false">IF(OR($C55="",$B$2="",$D$2=0),0,IF(AV$3&lt;0,0,N(INDEX('CURVA PREVISION'!$A$1:$KZ$3000,$C55,11+3*MIN(AV$3,$D$2-1)))))</f>
        <v>0</v>
      </c>
      <c r="AW55" s="131" t="n">
        <f aca="false">IF(OR($C55="",$B$2="",$D$2=0),0,IF(AW$3&lt;0,0,N(INDEX('CURVA PREVISION'!$A$1:$KZ$3000,$C55,11+3*MIN(AW$3,$D$2-1)))))</f>
        <v>0</v>
      </c>
      <c r="AX55" s="131" t="n">
        <f aca="false">IF(OR($C55="",$B$2="",$D$2=0),0,IF(AX$3&lt;0,0,N(INDEX('CURVA PREVISION'!$A$1:$KZ$3000,$C55,11+3*MIN(AX$3,$D$2-1)))))</f>
        <v>0</v>
      </c>
      <c r="AY55" s="131" t="n">
        <f aca="false">IF(OR($C55="",$B$2="",$D$2=0),0,IF(AY$3&lt;0,0,N(INDEX('CURVA PREVISION'!$A$1:$KZ$3000,$C55,11+3*MIN(AY$3,$D$2-1)))))</f>
        <v>0</v>
      </c>
      <c r="AZ55" s="131" t="n">
        <f aca="false">IF(OR($C55="",$B$2="",$D$2=0),0,IF(AZ$3&lt;0,0,N(INDEX('CURVA PREVISION'!$A$1:$KZ$3000,$C55,11+3*MIN(AZ$3,$D$2-1)))))</f>
        <v>0</v>
      </c>
      <c r="BA55" s="131" t="n">
        <f aca="false">IF(OR($C55="",$B$2="",$D$2=0),0,IF(BA$3&lt;0,0,N(INDEX('CURVA PREVISION'!$A$1:$KZ$3000,$C55,11+3*MIN(BA$3,$D$2-1)))))</f>
        <v>0</v>
      </c>
      <c r="BB55" s="131" t="n">
        <f aca="false">IF(OR($C55="",$B$2="",$D$2=0),0,IF(BB$3&lt;0,0,N(INDEX('CURVA PREVISION'!$A$1:$KZ$3000,$C55,11+3*MIN(BB$3,$D$2-1)))))</f>
        <v>0</v>
      </c>
      <c r="BC55" s="131" t="n">
        <f aca="false">IF(OR($C55="",$B$2="",$D$2=0),0,IF(BC$3&lt;0,0,N(INDEX('CURVA PREVISION'!$A$1:$KZ$3000,$C55,11+3*MIN(BC$3,$D$2-1)))))</f>
        <v>0</v>
      </c>
      <c r="BD55" s="131" t="n">
        <f aca="false">IF(OR($C55="",$B$2="",$D$2=0),0,IF(BD$3&lt;0,0,N(INDEX('CURVA PREVISION'!$A$1:$KZ$3000,$C55,11+3*MIN(BD$3,$D$2-1)))))</f>
        <v>0</v>
      </c>
      <c r="BE55" s="131" t="n">
        <f aca="false">IF(OR($C55="",$B$2="",$D$2=0),0,IF(BE$3&lt;0,0,N(INDEX('CURVA PREVISION'!$A$1:$KZ$3000,$C55,11+3*MIN(BE$3,$D$2-1)))))</f>
        <v>0</v>
      </c>
      <c r="BF55" s="131" t="n">
        <f aca="false">IF(OR($C55="",$B$2="",$D$2=0),0,IF(BF$3&lt;0,0,N(INDEX('CURVA PREVISION'!$A$1:$KZ$3000,$C55,11+3*MIN(BF$3,$D$2-1)))))</f>
        <v>0</v>
      </c>
      <c r="BG55" s="131" t="n">
        <f aca="false">IF(OR($C55="",$B$2="",$D$2=0),0,IF(BG$3&lt;0,0,N(INDEX('CURVA PREVISION'!$A$1:$KZ$3000,$C55,11+3*MIN(BG$3,$D$2-1)))))</f>
        <v>0</v>
      </c>
      <c r="BH55" s="131" t="n">
        <f aca="false">IF(OR($C55="",$B$2="",$D$2=0),0,IF(BH$3&lt;0,0,N(INDEX('CURVA PREVISION'!$A$1:$KZ$3000,$C55,11+3*MIN(BH$3,$D$2-1)))))</f>
        <v>0</v>
      </c>
      <c r="BI55" s="131" t="n">
        <f aca="false">IF(OR($C55="",$B$2="",$D$2=0),0,IF(BI$3&lt;0,0,N(INDEX('CURVA PREVISION'!$A$1:$KZ$3000,$C55,11+3*MIN(BI$3,$D$2-1)))))</f>
        <v>0</v>
      </c>
      <c r="BJ55" s="131" t="n">
        <f aca="false">IF(OR($C55="",$B$2="",$D$2=0),0,IF(BJ$3&lt;0,0,N(INDEX('CURVA PREVISION'!$A$1:$KZ$3000,$C55,11+3*MIN(BJ$3,$D$2-1)))))</f>
        <v>0</v>
      </c>
      <c r="BK55" s="131" t="n">
        <f aca="false">IF(OR($C55="",$B$2="",$D$2=0),0,IF(BK$3&lt;0,0,N(INDEX('CURVA PREVISION'!$A$1:$KZ$3000,$C55,11+3*MIN(BK$3,$D$2-1)))))</f>
        <v>0</v>
      </c>
      <c r="BL55" s="131" t="n">
        <f aca="false">IF(OR($C55="",$B$2="",$D$2=0),0,IF(BL$3&lt;0,0,N(INDEX('CURVA PREVISION'!$A$1:$KZ$3000,$C55,11+3*MIN(BL$3,$D$2-1)))))</f>
        <v>0</v>
      </c>
      <c r="BM55" s="131" t="n">
        <f aca="false">IF(OR($C55="",$B$2="",$D$2=0),0,IF(BM$3&lt;0,0,N(INDEX('CURVA PREVISION'!$A$1:$KZ$3000,$C55,11+3*MIN(BM$3,$D$2-1)))))</f>
        <v>0</v>
      </c>
      <c r="BN55" s="131" t="n">
        <f aca="false">IF(OR($C55="",$B$2="",$D$2=0),0,IF(BN$3&lt;0,0,N(INDEX('CURVA PREVISION'!$A$1:$KZ$3000,$C55,11+3*MIN(BN$3,$D$2-1)))))</f>
        <v>0</v>
      </c>
      <c r="BO55" s="131" t="n">
        <f aca="false">IF(OR($C55="",$B$2="",$D$2=0),0,IF(BO$3&lt;0,0,N(INDEX('CURVA PREVISION'!$A$1:$KZ$3000,$C55,11+3*MIN(BO$3,$D$2-1)))))</f>
        <v>0</v>
      </c>
      <c r="BP55" s="131" t="n">
        <f aca="false">IF(OR($C55="",$B$2="",$D$2=0),0,IF(BP$3&lt;0,0,N(INDEX('CURVA PREVISION'!$A$1:$KZ$3000,$C55,11+3*MIN(BP$3,$D$2-1)))))</f>
        <v>0</v>
      </c>
      <c r="BQ55" s="131" t="n">
        <f aca="false">IF(OR($C55="",$B$2="",$D$2=0),0,IF(BQ$3&lt;0,0,N(INDEX('CURVA PREVISION'!$A$1:$KZ$3000,$C55,11+3*MIN(BQ$3,$D$2-1)))))</f>
        <v>0</v>
      </c>
      <c r="BR55" s="131" t="n">
        <f aca="false">IF(OR($C55="",$B$2="",$D$2=0),0,IF(BR$3&lt;0,0,N(INDEX('CURVA PREVISION'!$A$1:$KZ$3000,$C55,11+3*MIN(BR$3,$D$2-1)))))</f>
        <v>0</v>
      </c>
      <c r="BS55" s="131" t="n">
        <f aca="false">IF(OR($C55="",$B$2="",$D$2=0),0,IF(BS$3&lt;0,0,N(INDEX('CURVA PREVISION'!$A$1:$KZ$3000,$C55,11+3*MIN(BS$3,$D$2-1)))))</f>
        <v>0</v>
      </c>
      <c r="BT55" s="131" t="n">
        <f aca="false">IF(OR($C55="",$B$2="",$D$2=0),0,IF(BT$3&lt;0,0,N(INDEX('CURVA PREVISION'!$A$1:$KZ$3000,$C55,11+3*MIN(BT$3,$D$2-1)))))</f>
        <v>0</v>
      </c>
      <c r="BU55" s="131" t="n">
        <f aca="false">IF(OR($C55="",$B$2="",$D$2=0),0,IF(BU$3&lt;0,0,N(INDEX('CURVA PREVISION'!$A$1:$KZ$3000,$C55,11+3*MIN(BU$3,$D$2-1)))))</f>
        <v>0</v>
      </c>
      <c r="BV55" s="131" t="n">
        <f aca="false">IF(OR($C55="",$B$2="",$D$2=0),0,IF(BV$3&lt;0,0,N(INDEX('CURVA PREVISION'!$A$1:$KZ$3000,$C55,11+3*MIN(BV$3,$D$2-1)))))</f>
        <v>0</v>
      </c>
      <c r="BW55" s="131" t="n">
        <f aca="false">IF(OR($C55="",$B$2="",$D$2=0),0,IF(BW$3&lt;0,0,N(INDEX('CURVA PREVISION'!$A$1:$KZ$3000,$C55,11+3*MIN(BW$3,$D$2-1)))))</f>
        <v>0</v>
      </c>
    </row>
    <row r="56" customFormat="false" ht="15" hidden="false" customHeight="false" outlineLevel="0" collapsed="false">
      <c r="A56" s="57" t="str">
        <f aca="false">IF('VALOR POR PL'!Q20="",'VALOR POR PL'!C20,'VALOR POR PL'!Q20)</f>
        <v>10</v>
      </c>
      <c r="B56" s="47" t="str">
        <f aca="false">B14</f>
        <v>MÃO DE OBRA PRÓPRIA</v>
      </c>
      <c r="C56" s="64" t="n">
        <f aca="false">IFERROR(MATCH(A56,'CURVA PREVISION'!$B$1:$B$3000,0),"")</f>
        <v>105</v>
      </c>
      <c r="D56" s="131" t="n">
        <f aca="false">IF(OR($C56="",$B$2="",$D$2=0),0,IF(D$3&lt;0,0,N(INDEX('CURVA PREVISION'!$A$1:$KZ$3000,$C56,11+3*MIN(D$3,$D$2-1)))))</f>
        <v>0</v>
      </c>
      <c r="E56" s="131" t="n">
        <f aca="false">IF(OR($C56="",$B$2="",$D$2=0),0,IF(E$3&lt;0,0,N(INDEX('CURVA PREVISION'!$A$1:$KZ$3000,$C56,11+3*MIN(E$3,$D$2-1)))))</f>
        <v>0</v>
      </c>
      <c r="F56" s="131" t="n">
        <f aca="false">IF(OR($C56="",$B$2="",$D$2=0),0,IF(F$3&lt;0,0,N(INDEX('CURVA PREVISION'!$A$1:$KZ$3000,$C56,11+3*MIN(F$3,$D$2-1)))))</f>
        <v>0</v>
      </c>
      <c r="G56" s="131" t="n">
        <f aca="false">IF(OR($C56="",$B$2="",$D$2=0),0,IF(G$3&lt;0,0,N(INDEX('CURVA PREVISION'!$A$1:$KZ$3000,$C56,11+3*MIN(G$3,$D$2-1)))))</f>
        <v>0</v>
      </c>
      <c r="H56" s="131" t="n">
        <f aca="false">IF(OR($C56="",$B$2="",$D$2=0),0,IF(H$3&lt;0,0,N(INDEX('CURVA PREVISION'!$A$1:$KZ$3000,$C56,11+3*MIN(H$3,$D$2-1)))))</f>
        <v>0</v>
      </c>
      <c r="I56" s="131" t="n">
        <f aca="false">IF(OR($C56="",$B$2="",$D$2=0),0,IF(I$3&lt;0,0,N(INDEX('CURVA PREVISION'!$A$1:$KZ$3000,$C56,11+3*MIN(I$3,$D$2-1)))))</f>
        <v>0</v>
      </c>
      <c r="J56" s="131" t="n">
        <f aca="false">IF(OR($C56="",$B$2="",$D$2=0),0,IF(J$3&lt;0,0,N(INDEX('CURVA PREVISION'!$A$1:$KZ$3000,$C56,11+3*MIN(J$3,$D$2-1)))))</f>
        <v>0</v>
      </c>
      <c r="K56" s="131" t="n">
        <f aca="false">IF(OR($C56="",$B$2="",$D$2=0),0,IF(K$3&lt;0,0,N(INDEX('CURVA PREVISION'!$A$1:$KZ$3000,$C56,11+3*MIN(K$3,$D$2-1)))))</f>
        <v>0</v>
      </c>
      <c r="L56" s="131" t="n">
        <f aca="false">IF(OR($C56="",$B$2="",$D$2=0),0,IF(L$3&lt;0,0,N(INDEX('CURVA PREVISION'!$A$1:$KZ$3000,$C56,11+3*MIN(L$3,$D$2-1)))))</f>
        <v>0</v>
      </c>
      <c r="M56" s="131" t="n">
        <f aca="false">IF(OR($C56="",$B$2="",$D$2=0),0,IF(M$3&lt;0,0,N(INDEX('CURVA PREVISION'!$A$1:$KZ$3000,$C56,11+3*MIN(M$3,$D$2-1)))))</f>
        <v>0</v>
      </c>
      <c r="N56" s="131" t="n">
        <f aca="false">IF(OR($C56="",$B$2="",$D$2=0),0,IF(N$3&lt;0,0,N(INDEX('CURVA PREVISION'!$A$1:$KZ$3000,$C56,11+3*MIN(N$3,$D$2-1)))))</f>
        <v>0</v>
      </c>
      <c r="O56" s="131" t="n">
        <f aca="false">IF(OR($C56="",$B$2="",$D$2=0),0,IF(O$3&lt;0,0,N(INDEX('CURVA PREVISION'!$A$1:$KZ$3000,$C56,11+3*MIN(O$3,$D$2-1)))))</f>
        <v>0</v>
      </c>
      <c r="P56" s="131" t="n">
        <f aca="false">IF(OR($C56="",$B$2="",$D$2=0),0,IF(P$3&lt;0,0,N(INDEX('CURVA PREVISION'!$A$1:$KZ$3000,$C56,11+3*MIN(P$3,$D$2-1)))))</f>
        <v>0</v>
      </c>
      <c r="Q56" s="131" t="n">
        <f aca="false">IF(OR($C56="",$B$2="",$D$2=0),0,IF(Q$3&lt;0,0,N(INDEX('CURVA PREVISION'!$A$1:$KZ$3000,$C56,11+3*MIN(Q$3,$D$2-1)))))</f>
        <v>0</v>
      </c>
      <c r="R56" s="131" t="n">
        <f aca="false">IF(OR($C56="",$B$2="",$D$2=0),0,IF(R$3&lt;0,0,N(INDEX('CURVA PREVISION'!$A$1:$KZ$3000,$C56,11+3*MIN(R$3,$D$2-1)))))</f>
        <v>0</v>
      </c>
      <c r="S56" s="131" t="n">
        <f aca="false">IF(OR($C56="",$B$2="",$D$2=0),0,IF(S$3&lt;0,0,N(INDEX('CURVA PREVISION'!$A$1:$KZ$3000,$C56,11+3*MIN(S$3,$D$2-1)))))</f>
        <v>0</v>
      </c>
      <c r="T56" s="131" t="n">
        <f aca="false">IF(OR($C56="",$B$2="",$D$2=0),0,IF(T$3&lt;0,0,N(INDEX('CURVA PREVISION'!$A$1:$KZ$3000,$C56,11+3*MIN(T$3,$D$2-1)))))</f>
        <v>0</v>
      </c>
      <c r="U56" s="131" t="n">
        <f aca="false">IF(OR($C56="",$B$2="",$D$2=0),0,IF(U$3&lt;0,0,N(INDEX('CURVA PREVISION'!$A$1:$KZ$3000,$C56,11+3*MIN(U$3,$D$2-1)))))</f>
        <v>0</v>
      </c>
      <c r="V56" s="131" t="n">
        <f aca="false">IF(OR($C56="",$B$2="",$D$2=0),0,IF(V$3&lt;0,0,N(INDEX('CURVA PREVISION'!$A$1:$KZ$3000,$C56,11+3*MIN(V$3,$D$2-1)))))</f>
        <v>0</v>
      </c>
      <c r="W56" s="131" t="n">
        <f aca="false">IF(OR($C56="",$B$2="",$D$2=0),0,IF(W$3&lt;0,0,N(INDEX('CURVA PREVISION'!$A$1:$KZ$3000,$C56,11+3*MIN(W$3,$D$2-1)))))</f>
        <v>0</v>
      </c>
      <c r="X56" s="131" t="n">
        <f aca="false">IF(OR($C56="",$B$2="",$D$2=0),0,IF(X$3&lt;0,0,N(INDEX('CURVA PREVISION'!$A$1:$KZ$3000,$C56,11+3*MIN(X$3,$D$2-1)))))</f>
        <v>0</v>
      </c>
      <c r="Y56" s="131" t="n">
        <f aca="false">IF(OR($C56="",$B$2="",$D$2=0),0,IF(Y$3&lt;0,0,N(INDEX('CURVA PREVISION'!$A$1:$KZ$3000,$C56,11+3*MIN(Y$3,$D$2-1)))))</f>
        <v>0</v>
      </c>
      <c r="Z56" s="131" t="n">
        <f aca="false">IF(OR($C56="",$B$2="",$D$2=0),0,IF(Z$3&lt;0,0,N(INDEX('CURVA PREVISION'!$A$1:$KZ$3000,$C56,11+3*MIN(Z$3,$D$2-1)))))</f>
        <v>0</v>
      </c>
      <c r="AA56" s="131" t="n">
        <f aca="false">IF(OR($C56="",$B$2="",$D$2=0),0,IF(AA$3&lt;0,0,N(INDEX('CURVA PREVISION'!$A$1:$KZ$3000,$C56,11+3*MIN(AA$3,$D$2-1)))))</f>
        <v>0</v>
      </c>
      <c r="AB56" s="131" t="n">
        <f aca="false">IF(OR($C56="",$B$2="",$D$2=0),0,IF(AB$3&lt;0,0,N(INDEX('CURVA PREVISION'!$A$1:$KZ$3000,$C56,11+3*MIN(AB$3,$D$2-1)))))</f>
        <v>0</v>
      </c>
      <c r="AC56" s="131" t="n">
        <f aca="false">IF(OR($C56="",$B$2="",$D$2=0),0,IF(AC$3&lt;0,0,N(INDEX('CURVA PREVISION'!$A$1:$KZ$3000,$C56,11+3*MIN(AC$3,$D$2-1)))))</f>
        <v>0</v>
      </c>
      <c r="AD56" s="131" t="n">
        <f aca="false">IF(OR($C56="",$B$2="",$D$2=0),0,IF(AD$3&lt;0,0,N(INDEX('CURVA PREVISION'!$A$1:$KZ$3000,$C56,11+3*MIN(AD$3,$D$2-1)))))</f>
        <v>0</v>
      </c>
      <c r="AE56" s="131" t="n">
        <f aca="false">IF(OR($C56="",$B$2="",$D$2=0),0,IF(AE$3&lt;0,0,N(INDEX('CURVA PREVISION'!$A$1:$KZ$3000,$C56,11+3*MIN(AE$3,$D$2-1)))))</f>
        <v>0</v>
      </c>
      <c r="AF56" s="131" t="n">
        <f aca="false">IF(OR($C56="",$B$2="",$D$2=0),0,IF(AF$3&lt;0,0,N(INDEX('CURVA PREVISION'!$A$1:$KZ$3000,$C56,11+3*MIN(AF$3,$D$2-1)))))</f>
        <v>0</v>
      </c>
      <c r="AG56" s="131" t="n">
        <f aca="false">IF(OR($C56="",$B$2="",$D$2=0),0,IF(AG$3&lt;0,0,N(INDEX('CURVA PREVISION'!$A$1:$KZ$3000,$C56,11+3*MIN(AG$3,$D$2-1)))))</f>
        <v>0</v>
      </c>
      <c r="AH56" s="131" t="n">
        <f aca="false">IF(OR($C56="",$B$2="",$D$2=0),0,IF(AH$3&lt;0,0,N(INDEX('CURVA PREVISION'!$A$1:$KZ$3000,$C56,11+3*MIN(AH$3,$D$2-1)))))</f>
        <v>0</v>
      </c>
      <c r="AI56" s="131" t="n">
        <f aca="false">IF(OR($C56="",$B$2="",$D$2=0),0,IF(AI$3&lt;0,0,N(INDEX('CURVA PREVISION'!$A$1:$KZ$3000,$C56,11+3*MIN(AI$3,$D$2-1)))))</f>
        <v>0</v>
      </c>
      <c r="AJ56" s="131" t="n">
        <f aca="false">IF(OR($C56="",$B$2="",$D$2=0),0,IF(AJ$3&lt;0,0,N(INDEX('CURVA PREVISION'!$A$1:$KZ$3000,$C56,11+3*MIN(AJ$3,$D$2-1)))))</f>
        <v>0</v>
      </c>
      <c r="AK56" s="131" t="n">
        <f aca="false">IF(OR($C56="",$B$2="",$D$2=0),0,IF(AK$3&lt;0,0,N(INDEX('CURVA PREVISION'!$A$1:$KZ$3000,$C56,11+3*MIN(AK$3,$D$2-1)))))</f>
        <v>0</v>
      </c>
      <c r="AL56" s="131" t="n">
        <f aca="false">IF(OR($C56="",$B$2="",$D$2=0),0,IF(AL$3&lt;0,0,N(INDEX('CURVA PREVISION'!$A$1:$KZ$3000,$C56,11+3*MIN(AL$3,$D$2-1)))))</f>
        <v>0</v>
      </c>
      <c r="AM56" s="131" t="n">
        <f aca="false">IF(OR($C56="",$B$2="",$D$2=0),0,IF(AM$3&lt;0,0,N(INDEX('CURVA PREVISION'!$A$1:$KZ$3000,$C56,11+3*MIN(AM$3,$D$2-1)))))</f>
        <v>0</v>
      </c>
      <c r="AN56" s="131" t="n">
        <f aca="false">IF(OR($C56="",$B$2="",$D$2=0),0,IF(AN$3&lt;0,0,N(INDEX('CURVA PREVISION'!$A$1:$KZ$3000,$C56,11+3*MIN(AN$3,$D$2-1)))))</f>
        <v>0</v>
      </c>
      <c r="AO56" s="131" t="n">
        <f aca="false">IF(OR($C56="",$B$2="",$D$2=0),0,IF(AO$3&lt;0,0,N(INDEX('CURVA PREVISION'!$A$1:$KZ$3000,$C56,11+3*MIN(AO$3,$D$2-1)))))</f>
        <v>0</v>
      </c>
      <c r="AP56" s="131" t="n">
        <f aca="false">IF(OR($C56="",$B$2="",$D$2=0),0,IF(AP$3&lt;0,0,N(INDEX('CURVA PREVISION'!$A$1:$KZ$3000,$C56,11+3*MIN(AP$3,$D$2-1)))))</f>
        <v>0</v>
      </c>
      <c r="AQ56" s="131" t="n">
        <f aca="false">IF(OR($C56="",$B$2="",$D$2=0),0,IF(AQ$3&lt;0,0,N(INDEX('CURVA PREVISION'!$A$1:$KZ$3000,$C56,11+3*MIN(AQ$3,$D$2-1)))))</f>
        <v>0</v>
      </c>
      <c r="AR56" s="131" t="n">
        <f aca="false">IF(OR($C56="",$B$2="",$D$2=0),0,IF(AR$3&lt;0,0,N(INDEX('CURVA PREVISION'!$A$1:$KZ$3000,$C56,11+3*MIN(AR$3,$D$2-1)))))</f>
        <v>0</v>
      </c>
      <c r="AS56" s="131" t="n">
        <f aca="false">IF(OR($C56="",$B$2="",$D$2=0),0,IF(AS$3&lt;0,0,N(INDEX('CURVA PREVISION'!$A$1:$KZ$3000,$C56,11+3*MIN(AS$3,$D$2-1)))))</f>
        <v>0</v>
      </c>
      <c r="AT56" s="131" t="n">
        <f aca="false">IF(OR($C56="",$B$2="",$D$2=0),0,IF(AT$3&lt;0,0,N(INDEX('CURVA PREVISION'!$A$1:$KZ$3000,$C56,11+3*MIN(AT$3,$D$2-1)))))</f>
        <v>0</v>
      </c>
      <c r="AU56" s="131" t="n">
        <f aca="false">IF(OR($C56="",$B$2="",$D$2=0),0,IF(AU$3&lt;0,0,N(INDEX('CURVA PREVISION'!$A$1:$KZ$3000,$C56,11+3*MIN(AU$3,$D$2-1)))))</f>
        <v>0</v>
      </c>
      <c r="AV56" s="131" t="n">
        <f aca="false">IF(OR($C56="",$B$2="",$D$2=0),0,IF(AV$3&lt;0,0,N(INDEX('CURVA PREVISION'!$A$1:$KZ$3000,$C56,11+3*MIN(AV$3,$D$2-1)))))</f>
        <v>0</v>
      </c>
      <c r="AW56" s="131" t="n">
        <f aca="false">IF(OR($C56="",$B$2="",$D$2=0),0,IF(AW$3&lt;0,0,N(INDEX('CURVA PREVISION'!$A$1:$KZ$3000,$C56,11+3*MIN(AW$3,$D$2-1)))))</f>
        <v>0</v>
      </c>
      <c r="AX56" s="131" t="n">
        <f aca="false">IF(OR($C56="",$B$2="",$D$2=0),0,IF(AX$3&lt;0,0,N(INDEX('CURVA PREVISION'!$A$1:$KZ$3000,$C56,11+3*MIN(AX$3,$D$2-1)))))</f>
        <v>0</v>
      </c>
      <c r="AY56" s="131" t="n">
        <f aca="false">IF(OR($C56="",$B$2="",$D$2=0),0,IF(AY$3&lt;0,0,N(INDEX('CURVA PREVISION'!$A$1:$KZ$3000,$C56,11+3*MIN(AY$3,$D$2-1)))))</f>
        <v>0</v>
      </c>
      <c r="AZ56" s="131" t="n">
        <f aca="false">IF(OR($C56="",$B$2="",$D$2=0),0,IF(AZ$3&lt;0,0,N(INDEX('CURVA PREVISION'!$A$1:$KZ$3000,$C56,11+3*MIN(AZ$3,$D$2-1)))))</f>
        <v>0</v>
      </c>
      <c r="BA56" s="131" t="n">
        <f aca="false">IF(OR($C56="",$B$2="",$D$2=0),0,IF(BA$3&lt;0,0,N(INDEX('CURVA PREVISION'!$A$1:$KZ$3000,$C56,11+3*MIN(BA$3,$D$2-1)))))</f>
        <v>0</v>
      </c>
      <c r="BB56" s="131" t="n">
        <f aca="false">IF(OR($C56="",$B$2="",$D$2=0),0,IF(BB$3&lt;0,0,N(INDEX('CURVA PREVISION'!$A$1:$KZ$3000,$C56,11+3*MIN(BB$3,$D$2-1)))))</f>
        <v>0</v>
      </c>
      <c r="BC56" s="131" t="n">
        <f aca="false">IF(OR($C56="",$B$2="",$D$2=0),0,IF(BC$3&lt;0,0,N(INDEX('CURVA PREVISION'!$A$1:$KZ$3000,$C56,11+3*MIN(BC$3,$D$2-1)))))</f>
        <v>0</v>
      </c>
      <c r="BD56" s="131" t="n">
        <f aca="false">IF(OR($C56="",$B$2="",$D$2=0),0,IF(BD$3&lt;0,0,N(INDEX('CURVA PREVISION'!$A$1:$KZ$3000,$C56,11+3*MIN(BD$3,$D$2-1)))))</f>
        <v>0</v>
      </c>
      <c r="BE56" s="131" t="n">
        <f aca="false">IF(OR($C56="",$B$2="",$D$2=0),0,IF(BE$3&lt;0,0,N(INDEX('CURVA PREVISION'!$A$1:$KZ$3000,$C56,11+3*MIN(BE$3,$D$2-1)))))</f>
        <v>0</v>
      </c>
      <c r="BF56" s="131" t="n">
        <f aca="false">IF(OR($C56="",$B$2="",$D$2=0),0,IF(BF$3&lt;0,0,N(INDEX('CURVA PREVISION'!$A$1:$KZ$3000,$C56,11+3*MIN(BF$3,$D$2-1)))))</f>
        <v>0</v>
      </c>
      <c r="BG56" s="131" t="n">
        <f aca="false">IF(OR($C56="",$B$2="",$D$2=0),0,IF(BG$3&lt;0,0,N(INDEX('CURVA PREVISION'!$A$1:$KZ$3000,$C56,11+3*MIN(BG$3,$D$2-1)))))</f>
        <v>0</v>
      </c>
      <c r="BH56" s="131" t="n">
        <f aca="false">IF(OR($C56="",$B$2="",$D$2=0),0,IF(BH$3&lt;0,0,N(INDEX('CURVA PREVISION'!$A$1:$KZ$3000,$C56,11+3*MIN(BH$3,$D$2-1)))))</f>
        <v>0</v>
      </c>
      <c r="BI56" s="131" t="n">
        <f aca="false">IF(OR($C56="",$B$2="",$D$2=0),0,IF(BI$3&lt;0,0,N(INDEX('CURVA PREVISION'!$A$1:$KZ$3000,$C56,11+3*MIN(BI$3,$D$2-1)))))</f>
        <v>0</v>
      </c>
      <c r="BJ56" s="131" t="n">
        <f aca="false">IF(OR($C56="",$B$2="",$D$2=0),0,IF(BJ$3&lt;0,0,N(INDEX('CURVA PREVISION'!$A$1:$KZ$3000,$C56,11+3*MIN(BJ$3,$D$2-1)))))</f>
        <v>0</v>
      </c>
      <c r="BK56" s="131" t="n">
        <f aca="false">IF(OR($C56="",$B$2="",$D$2=0),0,IF(BK$3&lt;0,0,N(INDEX('CURVA PREVISION'!$A$1:$KZ$3000,$C56,11+3*MIN(BK$3,$D$2-1)))))</f>
        <v>0</v>
      </c>
      <c r="BL56" s="131" t="n">
        <f aca="false">IF(OR($C56="",$B$2="",$D$2=0),0,IF(BL$3&lt;0,0,N(INDEX('CURVA PREVISION'!$A$1:$KZ$3000,$C56,11+3*MIN(BL$3,$D$2-1)))))</f>
        <v>0</v>
      </c>
      <c r="BM56" s="131" t="n">
        <f aca="false">IF(OR($C56="",$B$2="",$D$2=0),0,IF(BM$3&lt;0,0,N(INDEX('CURVA PREVISION'!$A$1:$KZ$3000,$C56,11+3*MIN(BM$3,$D$2-1)))))</f>
        <v>0</v>
      </c>
      <c r="BN56" s="131" t="n">
        <f aca="false">IF(OR($C56="",$B$2="",$D$2=0),0,IF(BN$3&lt;0,0,N(INDEX('CURVA PREVISION'!$A$1:$KZ$3000,$C56,11+3*MIN(BN$3,$D$2-1)))))</f>
        <v>0</v>
      </c>
      <c r="BO56" s="131" t="n">
        <f aca="false">IF(OR($C56="",$B$2="",$D$2=0),0,IF(BO$3&lt;0,0,N(INDEX('CURVA PREVISION'!$A$1:$KZ$3000,$C56,11+3*MIN(BO$3,$D$2-1)))))</f>
        <v>0</v>
      </c>
      <c r="BP56" s="131" t="n">
        <f aca="false">IF(OR($C56="",$B$2="",$D$2=0),0,IF(BP$3&lt;0,0,N(INDEX('CURVA PREVISION'!$A$1:$KZ$3000,$C56,11+3*MIN(BP$3,$D$2-1)))))</f>
        <v>0</v>
      </c>
      <c r="BQ56" s="131" t="n">
        <f aca="false">IF(OR($C56="",$B$2="",$D$2=0),0,IF(BQ$3&lt;0,0,N(INDEX('CURVA PREVISION'!$A$1:$KZ$3000,$C56,11+3*MIN(BQ$3,$D$2-1)))))</f>
        <v>0</v>
      </c>
      <c r="BR56" s="131" t="n">
        <f aca="false">IF(OR($C56="",$B$2="",$D$2=0),0,IF(BR$3&lt;0,0,N(INDEX('CURVA PREVISION'!$A$1:$KZ$3000,$C56,11+3*MIN(BR$3,$D$2-1)))))</f>
        <v>0</v>
      </c>
      <c r="BS56" s="131" t="n">
        <f aca="false">IF(OR($C56="",$B$2="",$D$2=0),0,IF(BS$3&lt;0,0,N(INDEX('CURVA PREVISION'!$A$1:$KZ$3000,$C56,11+3*MIN(BS$3,$D$2-1)))))</f>
        <v>0</v>
      </c>
      <c r="BT56" s="131" t="n">
        <f aca="false">IF(OR($C56="",$B$2="",$D$2=0),0,IF(BT$3&lt;0,0,N(INDEX('CURVA PREVISION'!$A$1:$KZ$3000,$C56,11+3*MIN(BT$3,$D$2-1)))))</f>
        <v>0</v>
      </c>
      <c r="BU56" s="131" t="n">
        <f aca="false">IF(OR($C56="",$B$2="",$D$2=0),0,IF(BU$3&lt;0,0,N(INDEX('CURVA PREVISION'!$A$1:$KZ$3000,$C56,11+3*MIN(BU$3,$D$2-1)))))</f>
        <v>0</v>
      </c>
      <c r="BV56" s="131" t="n">
        <f aca="false">IF(OR($C56="",$B$2="",$D$2=0),0,IF(BV$3&lt;0,0,N(INDEX('CURVA PREVISION'!$A$1:$KZ$3000,$C56,11+3*MIN(BV$3,$D$2-1)))))</f>
        <v>0</v>
      </c>
      <c r="BW56" s="131" t="n">
        <f aca="false">IF(OR($C56="",$B$2="",$D$2=0),0,IF(BW$3&lt;0,0,N(INDEX('CURVA PREVISION'!$A$1:$KZ$3000,$C56,11+3*MIN(BW$3,$D$2-1)))))</f>
        <v>0</v>
      </c>
    </row>
    <row r="57" customFormat="false" ht="15" hidden="false" customHeight="false" outlineLevel="0" collapsed="false">
      <c r="A57" s="57" t="str">
        <f aca="false">IF('VALOR POR PL'!Q21="",'VALOR POR PL'!C21,'VALOR POR PL'!Q21)</f>
        <v>11</v>
      </c>
      <c r="B57" s="47" t="str">
        <f aca="false">B15</f>
        <v>EQUIPAMENTOS E FERRAMENTAS</v>
      </c>
      <c r="C57" s="64" t="n">
        <f aca="false">IFERROR(MATCH(A57,'CURVA PREVISION'!$B$1:$B$3000,0),"")</f>
        <v>151</v>
      </c>
      <c r="D57" s="131" t="n">
        <f aca="false">IF(OR($C57="",$B$2="",$D$2=0),0,IF(D$3&lt;0,0,N(INDEX('CURVA PREVISION'!$A$1:$KZ$3000,$C57,11+3*MIN(D$3,$D$2-1)))))</f>
        <v>0</v>
      </c>
      <c r="E57" s="131" t="n">
        <f aca="false">IF(OR($C57="",$B$2="",$D$2=0),0,IF(E$3&lt;0,0,N(INDEX('CURVA PREVISION'!$A$1:$KZ$3000,$C57,11+3*MIN(E$3,$D$2-1)))))</f>
        <v>0</v>
      </c>
      <c r="F57" s="131" t="n">
        <f aca="false">IF(OR($C57="",$B$2="",$D$2=0),0,IF(F$3&lt;0,0,N(INDEX('CURVA PREVISION'!$A$1:$KZ$3000,$C57,11+3*MIN(F$3,$D$2-1)))))</f>
        <v>0</v>
      </c>
      <c r="G57" s="131" t="n">
        <f aca="false">IF(OR($C57="",$B$2="",$D$2=0),0,IF(G$3&lt;0,0,N(INDEX('CURVA PREVISION'!$A$1:$KZ$3000,$C57,11+3*MIN(G$3,$D$2-1)))))</f>
        <v>0</v>
      </c>
      <c r="H57" s="131" t="n">
        <f aca="false">IF(OR($C57="",$B$2="",$D$2=0),0,IF(H$3&lt;0,0,N(INDEX('CURVA PREVISION'!$A$1:$KZ$3000,$C57,11+3*MIN(H$3,$D$2-1)))))</f>
        <v>0</v>
      </c>
      <c r="I57" s="131" t="n">
        <f aca="false">IF(OR($C57="",$B$2="",$D$2=0),0,IF(I$3&lt;0,0,N(INDEX('CURVA PREVISION'!$A$1:$KZ$3000,$C57,11+3*MIN(I$3,$D$2-1)))))</f>
        <v>0</v>
      </c>
      <c r="J57" s="131" t="n">
        <f aca="false">IF(OR($C57="",$B$2="",$D$2=0),0,IF(J$3&lt;0,0,N(INDEX('CURVA PREVISION'!$A$1:$KZ$3000,$C57,11+3*MIN(J$3,$D$2-1)))))</f>
        <v>0</v>
      </c>
      <c r="K57" s="131" t="n">
        <f aca="false">IF(OR($C57="",$B$2="",$D$2=0),0,IF(K$3&lt;0,0,N(INDEX('CURVA PREVISION'!$A$1:$KZ$3000,$C57,11+3*MIN(K$3,$D$2-1)))))</f>
        <v>0</v>
      </c>
      <c r="L57" s="131" t="n">
        <f aca="false">IF(OR($C57="",$B$2="",$D$2=0),0,IF(L$3&lt;0,0,N(INDEX('CURVA PREVISION'!$A$1:$KZ$3000,$C57,11+3*MIN(L$3,$D$2-1)))))</f>
        <v>0</v>
      </c>
      <c r="M57" s="131" t="n">
        <f aca="false">IF(OR($C57="",$B$2="",$D$2=0),0,IF(M$3&lt;0,0,N(INDEX('CURVA PREVISION'!$A$1:$KZ$3000,$C57,11+3*MIN(M$3,$D$2-1)))))</f>
        <v>0</v>
      </c>
      <c r="N57" s="131" t="n">
        <f aca="false">IF(OR($C57="",$B$2="",$D$2=0),0,IF(N$3&lt;0,0,N(INDEX('CURVA PREVISION'!$A$1:$KZ$3000,$C57,11+3*MIN(N$3,$D$2-1)))))</f>
        <v>0</v>
      </c>
      <c r="O57" s="131" t="n">
        <f aca="false">IF(OR($C57="",$B$2="",$D$2=0),0,IF(O$3&lt;0,0,N(INDEX('CURVA PREVISION'!$A$1:$KZ$3000,$C57,11+3*MIN(O$3,$D$2-1)))))</f>
        <v>0</v>
      </c>
      <c r="P57" s="131" t="n">
        <f aca="false">IF(OR($C57="",$B$2="",$D$2=0),0,IF(P$3&lt;0,0,N(INDEX('CURVA PREVISION'!$A$1:$KZ$3000,$C57,11+3*MIN(P$3,$D$2-1)))))</f>
        <v>0</v>
      </c>
      <c r="Q57" s="131" t="n">
        <f aca="false">IF(OR($C57="",$B$2="",$D$2=0),0,IF(Q$3&lt;0,0,N(INDEX('CURVA PREVISION'!$A$1:$KZ$3000,$C57,11+3*MIN(Q$3,$D$2-1)))))</f>
        <v>0</v>
      </c>
      <c r="R57" s="131" t="n">
        <f aca="false">IF(OR($C57="",$B$2="",$D$2=0),0,IF(R$3&lt;0,0,N(INDEX('CURVA PREVISION'!$A$1:$KZ$3000,$C57,11+3*MIN(R$3,$D$2-1)))))</f>
        <v>0</v>
      </c>
      <c r="S57" s="131" t="n">
        <f aca="false">IF(OR($C57="",$B$2="",$D$2=0),0,IF(S$3&lt;0,0,N(INDEX('CURVA PREVISION'!$A$1:$KZ$3000,$C57,11+3*MIN(S$3,$D$2-1)))))</f>
        <v>0</v>
      </c>
      <c r="T57" s="131" t="n">
        <f aca="false">IF(OR($C57="",$B$2="",$D$2=0),0,IF(T$3&lt;0,0,N(INDEX('CURVA PREVISION'!$A$1:$KZ$3000,$C57,11+3*MIN(T$3,$D$2-1)))))</f>
        <v>0</v>
      </c>
      <c r="U57" s="131" t="n">
        <f aca="false">IF(OR($C57="",$B$2="",$D$2=0),0,IF(U$3&lt;0,0,N(INDEX('CURVA PREVISION'!$A$1:$KZ$3000,$C57,11+3*MIN(U$3,$D$2-1)))))</f>
        <v>0</v>
      </c>
      <c r="V57" s="131" t="n">
        <f aca="false">IF(OR($C57="",$B$2="",$D$2=0),0,IF(V$3&lt;0,0,N(INDEX('CURVA PREVISION'!$A$1:$KZ$3000,$C57,11+3*MIN(V$3,$D$2-1)))))</f>
        <v>0</v>
      </c>
      <c r="W57" s="131" t="n">
        <f aca="false">IF(OR($C57="",$B$2="",$D$2=0),0,IF(W$3&lt;0,0,N(INDEX('CURVA PREVISION'!$A$1:$KZ$3000,$C57,11+3*MIN(W$3,$D$2-1)))))</f>
        <v>0</v>
      </c>
      <c r="X57" s="131" t="n">
        <f aca="false">IF(OR($C57="",$B$2="",$D$2=0),0,IF(X$3&lt;0,0,N(INDEX('CURVA PREVISION'!$A$1:$KZ$3000,$C57,11+3*MIN(X$3,$D$2-1)))))</f>
        <v>0</v>
      </c>
      <c r="Y57" s="131" t="n">
        <f aca="false">IF(OR($C57="",$B$2="",$D$2=0),0,IF(Y$3&lt;0,0,N(INDEX('CURVA PREVISION'!$A$1:$KZ$3000,$C57,11+3*MIN(Y$3,$D$2-1)))))</f>
        <v>0</v>
      </c>
      <c r="Z57" s="131" t="n">
        <f aca="false">IF(OR($C57="",$B$2="",$D$2=0),0,IF(Z$3&lt;0,0,N(INDEX('CURVA PREVISION'!$A$1:$KZ$3000,$C57,11+3*MIN(Z$3,$D$2-1)))))</f>
        <v>0</v>
      </c>
      <c r="AA57" s="131" t="n">
        <f aca="false">IF(OR($C57="",$B$2="",$D$2=0),0,IF(AA$3&lt;0,0,N(INDEX('CURVA PREVISION'!$A$1:$KZ$3000,$C57,11+3*MIN(AA$3,$D$2-1)))))</f>
        <v>0</v>
      </c>
      <c r="AB57" s="131" t="n">
        <f aca="false">IF(OR($C57="",$B$2="",$D$2=0),0,IF(AB$3&lt;0,0,N(INDEX('CURVA PREVISION'!$A$1:$KZ$3000,$C57,11+3*MIN(AB$3,$D$2-1)))))</f>
        <v>0</v>
      </c>
      <c r="AC57" s="131" t="n">
        <f aca="false">IF(OR($C57="",$B$2="",$D$2=0),0,IF(AC$3&lt;0,0,N(INDEX('CURVA PREVISION'!$A$1:$KZ$3000,$C57,11+3*MIN(AC$3,$D$2-1)))))</f>
        <v>0</v>
      </c>
      <c r="AD57" s="131" t="n">
        <f aca="false">IF(OR($C57="",$B$2="",$D$2=0),0,IF(AD$3&lt;0,0,N(INDEX('CURVA PREVISION'!$A$1:$KZ$3000,$C57,11+3*MIN(AD$3,$D$2-1)))))</f>
        <v>0</v>
      </c>
      <c r="AE57" s="131" t="n">
        <f aca="false">IF(OR($C57="",$B$2="",$D$2=0),0,IF(AE$3&lt;0,0,N(INDEX('CURVA PREVISION'!$A$1:$KZ$3000,$C57,11+3*MIN(AE$3,$D$2-1)))))</f>
        <v>0</v>
      </c>
      <c r="AF57" s="131" t="n">
        <f aca="false">IF(OR($C57="",$B$2="",$D$2=0),0,IF(AF$3&lt;0,0,N(INDEX('CURVA PREVISION'!$A$1:$KZ$3000,$C57,11+3*MIN(AF$3,$D$2-1)))))</f>
        <v>0</v>
      </c>
      <c r="AG57" s="131" t="n">
        <f aca="false">IF(OR($C57="",$B$2="",$D$2=0),0,IF(AG$3&lt;0,0,N(INDEX('CURVA PREVISION'!$A$1:$KZ$3000,$C57,11+3*MIN(AG$3,$D$2-1)))))</f>
        <v>0</v>
      </c>
      <c r="AH57" s="131" t="n">
        <f aca="false">IF(OR($C57="",$B$2="",$D$2=0),0,IF(AH$3&lt;0,0,N(INDEX('CURVA PREVISION'!$A$1:$KZ$3000,$C57,11+3*MIN(AH$3,$D$2-1)))))</f>
        <v>0</v>
      </c>
      <c r="AI57" s="131" t="n">
        <f aca="false">IF(OR($C57="",$B$2="",$D$2=0),0,IF(AI$3&lt;0,0,N(INDEX('CURVA PREVISION'!$A$1:$KZ$3000,$C57,11+3*MIN(AI$3,$D$2-1)))))</f>
        <v>0</v>
      </c>
      <c r="AJ57" s="131" t="n">
        <f aca="false">IF(OR($C57="",$B$2="",$D$2=0),0,IF(AJ$3&lt;0,0,N(INDEX('CURVA PREVISION'!$A$1:$KZ$3000,$C57,11+3*MIN(AJ$3,$D$2-1)))))</f>
        <v>0</v>
      </c>
      <c r="AK57" s="131" t="n">
        <f aca="false">IF(OR($C57="",$B$2="",$D$2=0),0,IF(AK$3&lt;0,0,N(INDEX('CURVA PREVISION'!$A$1:$KZ$3000,$C57,11+3*MIN(AK$3,$D$2-1)))))</f>
        <v>0</v>
      </c>
      <c r="AL57" s="131" t="n">
        <f aca="false">IF(OR($C57="",$B$2="",$D$2=0),0,IF(AL$3&lt;0,0,N(INDEX('CURVA PREVISION'!$A$1:$KZ$3000,$C57,11+3*MIN(AL$3,$D$2-1)))))</f>
        <v>0</v>
      </c>
      <c r="AM57" s="131" t="n">
        <f aca="false">IF(OR($C57="",$B$2="",$D$2=0),0,IF(AM$3&lt;0,0,N(INDEX('CURVA PREVISION'!$A$1:$KZ$3000,$C57,11+3*MIN(AM$3,$D$2-1)))))</f>
        <v>0</v>
      </c>
      <c r="AN57" s="131" t="n">
        <f aca="false">IF(OR($C57="",$B$2="",$D$2=0),0,IF(AN$3&lt;0,0,N(INDEX('CURVA PREVISION'!$A$1:$KZ$3000,$C57,11+3*MIN(AN$3,$D$2-1)))))</f>
        <v>0</v>
      </c>
      <c r="AO57" s="131" t="n">
        <f aca="false">IF(OR($C57="",$B$2="",$D$2=0),0,IF(AO$3&lt;0,0,N(INDEX('CURVA PREVISION'!$A$1:$KZ$3000,$C57,11+3*MIN(AO$3,$D$2-1)))))</f>
        <v>0</v>
      </c>
      <c r="AP57" s="131" t="n">
        <f aca="false">IF(OR($C57="",$B$2="",$D$2=0),0,IF(AP$3&lt;0,0,N(INDEX('CURVA PREVISION'!$A$1:$KZ$3000,$C57,11+3*MIN(AP$3,$D$2-1)))))</f>
        <v>0</v>
      </c>
      <c r="AQ57" s="131" t="n">
        <f aca="false">IF(OR($C57="",$B$2="",$D$2=0),0,IF(AQ$3&lt;0,0,N(INDEX('CURVA PREVISION'!$A$1:$KZ$3000,$C57,11+3*MIN(AQ$3,$D$2-1)))))</f>
        <v>0</v>
      </c>
      <c r="AR57" s="131" t="n">
        <f aca="false">IF(OR($C57="",$B$2="",$D$2=0),0,IF(AR$3&lt;0,0,N(INDEX('CURVA PREVISION'!$A$1:$KZ$3000,$C57,11+3*MIN(AR$3,$D$2-1)))))</f>
        <v>0</v>
      </c>
      <c r="AS57" s="131" t="n">
        <f aca="false">IF(OR($C57="",$B$2="",$D$2=0),0,IF(AS$3&lt;0,0,N(INDEX('CURVA PREVISION'!$A$1:$KZ$3000,$C57,11+3*MIN(AS$3,$D$2-1)))))</f>
        <v>0</v>
      </c>
      <c r="AT57" s="131" t="n">
        <f aca="false">IF(OR($C57="",$B$2="",$D$2=0),0,IF(AT$3&lt;0,0,N(INDEX('CURVA PREVISION'!$A$1:$KZ$3000,$C57,11+3*MIN(AT$3,$D$2-1)))))</f>
        <v>0</v>
      </c>
      <c r="AU57" s="131" t="n">
        <f aca="false">IF(OR($C57="",$B$2="",$D$2=0),0,IF(AU$3&lt;0,0,N(INDEX('CURVA PREVISION'!$A$1:$KZ$3000,$C57,11+3*MIN(AU$3,$D$2-1)))))</f>
        <v>0</v>
      </c>
      <c r="AV57" s="131" t="n">
        <f aca="false">IF(OR($C57="",$B$2="",$D$2=0),0,IF(AV$3&lt;0,0,N(INDEX('CURVA PREVISION'!$A$1:$KZ$3000,$C57,11+3*MIN(AV$3,$D$2-1)))))</f>
        <v>0</v>
      </c>
      <c r="AW57" s="131" t="n">
        <f aca="false">IF(OR($C57="",$B$2="",$D$2=0),0,IF(AW$3&lt;0,0,N(INDEX('CURVA PREVISION'!$A$1:$KZ$3000,$C57,11+3*MIN(AW$3,$D$2-1)))))</f>
        <v>0</v>
      </c>
      <c r="AX57" s="131" t="n">
        <f aca="false">IF(OR($C57="",$B$2="",$D$2=0),0,IF(AX$3&lt;0,0,N(INDEX('CURVA PREVISION'!$A$1:$KZ$3000,$C57,11+3*MIN(AX$3,$D$2-1)))))</f>
        <v>0</v>
      </c>
      <c r="AY57" s="131" t="n">
        <f aca="false">IF(OR($C57="",$B$2="",$D$2=0),0,IF(AY$3&lt;0,0,N(INDEX('CURVA PREVISION'!$A$1:$KZ$3000,$C57,11+3*MIN(AY$3,$D$2-1)))))</f>
        <v>0</v>
      </c>
      <c r="AZ57" s="131" t="n">
        <f aca="false">IF(OR($C57="",$B$2="",$D$2=0),0,IF(AZ$3&lt;0,0,N(INDEX('CURVA PREVISION'!$A$1:$KZ$3000,$C57,11+3*MIN(AZ$3,$D$2-1)))))</f>
        <v>0</v>
      </c>
      <c r="BA57" s="131" t="n">
        <f aca="false">IF(OR($C57="",$B$2="",$D$2=0),0,IF(BA$3&lt;0,0,N(INDEX('CURVA PREVISION'!$A$1:$KZ$3000,$C57,11+3*MIN(BA$3,$D$2-1)))))</f>
        <v>0</v>
      </c>
      <c r="BB57" s="131" t="n">
        <f aca="false">IF(OR($C57="",$B$2="",$D$2=0),0,IF(BB$3&lt;0,0,N(INDEX('CURVA PREVISION'!$A$1:$KZ$3000,$C57,11+3*MIN(BB$3,$D$2-1)))))</f>
        <v>0</v>
      </c>
      <c r="BC57" s="131" t="n">
        <f aca="false">IF(OR($C57="",$B$2="",$D$2=0),0,IF(BC$3&lt;0,0,N(INDEX('CURVA PREVISION'!$A$1:$KZ$3000,$C57,11+3*MIN(BC$3,$D$2-1)))))</f>
        <v>0</v>
      </c>
      <c r="BD57" s="131" t="n">
        <f aca="false">IF(OR($C57="",$B$2="",$D$2=0),0,IF(BD$3&lt;0,0,N(INDEX('CURVA PREVISION'!$A$1:$KZ$3000,$C57,11+3*MIN(BD$3,$D$2-1)))))</f>
        <v>0</v>
      </c>
      <c r="BE57" s="131" t="n">
        <f aca="false">IF(OR($C57="",$B$2="",$D$2=0),0,IF(BE$3&lt;0,0,N(INDEX('CURVA PREVISION'!$A$1:$KZ$3000,$C57,11+3*MIN(BE$3,$D$2-1)))))</f>
        <v>0</v>
      </c>
      <c r="BF57" s="131" t="n">
        <f aca="false">IF(OR($C57="",$B$2="",$D$2=0),0,IF(BF$3&lt;0,0,N(INDEX('CURVA PREVISION'!$A$1:$KZ$3000,$C57,11+3*MIN(BF$3,$D$2-1)))))</f>
        <v>0</v>
      </c>
      <c r="BG57" s="131" t="n">
        <f aca="false">IF(OR($C57="",$B$2="",$D$2=0),0,IF(BG$3&lt;0,0,N(INDEX('CURVA PREVISION'!$A$1:$KZ$3000,$C57,11+3*MIN(BG$3,$D$2-1)))))</f>
        <v>0</v>
      </c>
      <c r="BH57" s="131" t="n">
        <f aca="false">IF(OR($C57="",$B$2="",$D$2=0),0,IF(BH$3&lt;0,0,N(INDEX('CURVA PREVISION'!$A$1:$KZ$3000,$C57,11+3*MIN(BH$3,$D$2-1)))))</f>
        <v>0</v>
      </c>
      <c r="BI57" s="131" t="n">
        <f aca="false">IF(OR($C57="",$B$2="",$D$2=0),0,IF(BI$3&lt;0,0,N(INDEX('CURVA PREVISION'!$A$1:$KZ$3000,$C57,11+3*MIN(BI$3,$D$2-1)))))</f>
        <v>0</v>
      </c>
      <c r="BJ57" s="131" t="n">
        <f aca="false">IF(OR($C57="",$B$2="",$D$2=0),0,IF(BJ$3&lt;0,0,N(INDEX('CURVA PREVISION'!$A$1:$KZ$3000,$C57,11+3*MIN(BJ$3,$D$2-1)))))</f>
        <v>0</v>
      </c>
      <c r="BK57" s="131" t="n">
        <f aca="false">IF(OR($C57="",$B$2="",$D$2=0),0,IF(BK$3&lt;0,0,N(INDEX('CURVA PREVISION'!$A$1:$KZ$3000,$C57,11+3*MIN(BK$3,$D$2-1)))))</f>
        <v>0</v>
      </c>
      <c r="BL57" s="131" t="n">
        <f aca="false">IF(OR($C57="",$B$2="",$D$2=0),0,IF(BL$3&lt;0,0,N(INDEX('CURVA PREVISION'!$A$1:$KZ$3000,$C57,11+3*MIN(BL$3,$D$2-1)))))</f>
        <v>0</v>
      </c>
      <c r="BM57" s="131" t="n">
        <f aca="false">IF(OR($C57="",$B$2="",$D$2=0),0,IF(BM$3&lt;0,0,N(INDEX('CURVA PREVISION'!$A$1:$KZ$3000,$C57,11+3*MIN(BM$3,$D$2-1)))))</f>
        <v>0</v>
      </c>
      <c r="BN57" s="131" t="n">
        <f aca="false">IF(OR($C57="",$B$2="",$D$2=0),0,IF(BN$3&lt;0,0,N(INDEX('CURVA PREVISION'!$A$1:$KZ$3000,$C57,11+3*MIN(BN$3,$D$2-1)))))</f>
        <v>0</v>
      </c>
      <c r="BO57" s="131" t="n">
        <f aca="false">IF(OR($C57="",$B$2="",$D$2=0),0,IF(BO$3&lt;0,0,N(INDEX('CURVA PREVISION'!$A$1:$KZ$3000,$C57,11+3*MIN(BO$3,$D$2-1)))))</f>
        <v>0</v>
      </c>
      <c r="BP57" s="131" t="n">
        <f aca="false">IF(OR($C57="",$B$2="",$D$2=0),0,IF(BP$3&lt;0,0,N(INDEX('CURVA PREVISION'!$A$1:$KZ$3000,$C57,11+3*MIN(BP$3,$D$2-1)))))</f>
        <v>0</v>
      </c>
      <c r="BQ57" s="131" t="n">
        <f aca="false">IF(OR($C57="",$B$2="",$D$2=0),0,IF(BQ$3&lt;0,0,N(INDEX('CURVA PREVISION'!$A$1:$KZ$3000,$C57,11+3*MIN(BQ$3,$D$2-1)))))</f>
        <v>0</v>
      </c>
      <c r="BR57" s="131" t="n">
        <f aca="false">IF(OR($C57="",$B$2="",$D$2=0),0,IF(BR$3&lt;0,0,N(INDEX('CURVA PREVISION'!$A$1:$KZ$3000,$C57,11+3*MIN(BR$3,$D$2-1)))))</f>
        <v>0</v>
      </c>
      <c r="BS57" s="131" t="n">
        <f aca="false">IF(OR($C57="",$B$2="",$D$2=0),0,IF(BS$3&lt;0,0,N(INDEX('CURVA PREVISION'!$A$1:$KZ$3000,$C57,11+3*MIN(BS$3,$D$2-1)))))</f>
        <v>0</v>
      </c>
      <c r="BT57" s="131" t="n">
        <f aca="false">IF(OR($C57="",$B$2="",$D$2=0),0,IF(BT$3&lt;0,0,N(INDEX('CURVA PREVISION'!$A$1:$KZ$3000,$C57,11+3*MIN(BT$3,$D$2-1)))))</f>
        <v>0</v>
      </c>
      <c r="BU57" s="131" t="n">
        <f aca="false">IF(OR($C57="",$B$2="",$D$2=0),0,IF(BU$3&lt;0,0,N(INDEX('CURVA PREVISION'!$A$1:$KZ$3000,$C57,11+3*MIN(BU$3,$D$2-1)))))</f>
        <v>0</v>
      </c>
      <c r="BV57" s="131" t="n">
        <f aca="false">IF(OR($C57="",$B$2="",$D$2=0),0,IF(BV$3&lt;0,0,N(INDEX('CURVA PREVISION'!$A$1:$KZ$3000,$C57,11+3*MIN(BV$3,$D$2-1)))))</f>
        <v>0</v>
      </c>
      <c r="BW57" s="131" t="n">
        <f aca="false">IF(OR($C57="",$B$2="",$D$2=0),0,IF(BW$3&lt;0,0,N(INDEX('CURVA PREVISION'!$A$1:$KZ$3000,$C57,11+3*MIN(BW$3,$D$2-1)))))</f>
        <v>0</v>
      </c>
    </row>
    <row r="58" customFormat="false" ht="15" hidden="false" customHeight="false" outlineLevel="0" collapsed="false">
      <c r="A58" s="57" t="str">
        <f aca="false">IF('VALOR POR PL'!Q22="",'VALOR POR PL'!C22,'VALOR POR PL'!Q22)</f>
        <v>12</v>
      </c>
      <c r="B58" s="47" t="str">
        <f aca="false">B16</f>
        <v>SERVIÇOS INICIAIS</v>
      </c>
      <c r="C58" s="64" t="n">
        <f aca="false">IFERROR(MATCH(A58,'CURVA PREVISION'!$B$1:$B$3000,0),"")</f>
        <v>240</v>
      </c>
      <c r="D58" s="131" t="n">
        <f aca="false">IF(OR($C58="",$B$2="",$D$2=0),0,IF(D$3&lt;0,0,N(INDEX('CURVA PREVISION'!$A$1:$KZ$3000,$C58,11+3*MIN(D$3,$D$2-1)))))</f>
        <v>0</v>
      </c>
      <c r="E58" s="131" t="n">
        <f aca="false">IF(OR($C58="",$B$2="",$D$2=0),0,IF(E$3&lt;0,0,N(INDEX('CURVA PREVISION'!$A$1:$KZ$3000,$C58,11+3*MIN(E$3,$D$2-1)))))</f>
        <v>0</v>
      </c>
      <c r="F58" s="131" t="n">
        <f aca="false">IF(OR($C58="",$B$2="",$D$2=0),0,IF(F$3&lt;0,0,N(INDEX('CURVA PREVISION'!$A$1:$KZ$3000,$C58,11+3*MIN(F$3,$D$2-1)))))</f>
        <v>0</v>
      </c>
      <c r="G58" s="131" t="n">
        <f aca="false">IF(OR($C58="",$B$2="",$D$2=0),0,IF(G$3&lt;0,0,N(INDEX('CURVA PREVISION'!$A$1:$KZ$3000,$C58,11+3*MIN(G$3,$D$2-1)))))</f>
        <v>0</v>
      </c>
      <c r="H58" s="131" t="n">
        <f aca="false">IF(OR($C58="",$B$2="",$D$2=0),0,IF(H$3&lt;0,0,N(INDEX('CURVA PREVISION'!$A$1:$KZ$3000,$C58,11+3*MIN(H$3,$D$2-1)))))</f>
        <v>0</v>
      </c>
      <c r="I58" s="131" t="n">
        <f aca="false">IF(OR($C58="",$B$2="",$D$2=0),0,IF(I$3&lt;0,0,N(INDEX('CURVA PREVISION'!$A$1:$KZ$3000,$C58,11+3*MIN(I$3,$D$2-1)))))</f>
        <v>0</v>
      </c>
      <c r="J58" s="131" t="n">
        <f aca="false">IF(OR($C58="",$B$2="",$D$2=0),0,IF(J$3&lt;0,0,N(INDEX('CURVA PREVISION'!$A$1:$KZ$3000,$C58,11+3*MIN(J$3,$D$2-1)))))</f>
        <v>0</v>
      </c>
      <c r="K58" s="131" t="n">
        <f aca="false">IF(OR($C58="",$B$2="",$D$2=0),0,IF(K$3&lt;0,0,N(INDEX('CURVA PREVISION'!$A$1:$KZ$3000,$C58,11+3*MIN(K$3,$D$2-1)))))</f>
        <v>0</v>
      </c>
      <c r="L58" s="131" t="n">
        <f aca="false">IF(OR($C58="",$B$2="",$D$2=0),0,IF(L$3&lt;0,0,N(INDEX('CURVA PREVISION'!$A$1:$KZ$3000,$C58,11+3*MIN(L$3,$D$2-1)))))</f>
        <v>0</v>
      </c>
      <c r="M58" s="131" t="n">
        <f aca="false">IF(OR($C58="",$B$2="",$D$2=0),0,IF(M$3&lt;0,0,N(INDEX('CURVA PREVISION'!$A$1:$KZ$3000,$C58,11+3*MIN(M$3,$D$2-1)))))</f>
        <v>100</v>
      </c>
      <c r="N58" s="131" t="n">
        <f aca="false">IF(OR($C58="",$B$2="",$D$2=0),0,IF(N$3&lt;0,0,N(INDEX('CURVA PREVISION'!$A$1:$KZ$3000,$C58,11+3*MIN(N$3,$D$2-1)))))</f>
        <v>100</v>
      </c>
      <c r="O58" s="131" t="n">
        <f aca="false">IF(OR($C58="",$B$2="",$D$2=0),0,IF(O$3&lt;0,0,N(INDEX('CURVA PREVISION'!$A$1:$KZ$3000,$C58,11+3*MIN(O$3,$D$2-1)))))</f>
        <v>100</v>
      </c>
      <c r="P58" s="131" t="n">
        <f aca="false">IF(OR($C58="",$B$2="",$D$2=0),0,IF(P$3&lt;0,0,N(INDEX('CURVA PREVISION'!$A$1:$KZ$3000,$C58,11+3*MIN(P$3,$D$2-1)))))</f>
        <v>100</v>
      </c>
      <c r="Q58" s="131" t="n">
        <f aca="false">IF(OR($C58="",$B$2="",$D$2=0),0,IF(Q$3&lt;0,0,N(INDEX('CURVA PREVISION'!$A$1:$KZ$3000,$C58,11+3*MIN(Q$3,$D$2-1)))))</f>
        <v>100</v>
      </c>
      <c r="R58" s="131" t="n">
        <f aca="false">IF(OR($C58="",$B$2="",$D$2=0),0,IF(R$3&lt;0,0,N(INDEX('CURVA PREVISION'!$A$1:$KZ$3000,$C58,11+3*MIN(R$3,$D$2-1)))))</f>
        <v>100</v>
      </c>
      <c r="S58" s="131" t="n">
        <f aca="false">IF(OR($C58="",$B$2="",$D$2=0),0,IF(S$3&lt;0,0,N(INDEX('CURVA PREVISION'!$A$1:$KZ$3000,$C58,11+3*MIN(S$3,$D$2-1)))))</f>
        <v>100</v>
      </c>
      <c r="T58" s="131" t="n">
        <f aca="false">IF(OR($C58="",$B$2="",$D$2=0),0,IF(T$3&lt;0,0,N(INDEX('CURVA PREVISION'!$A$1:$KZ$3000,$C58,11+3*MIN(T$3,$D$2-1)))))</f>
        <v>100</v>
      </c>
      <c r="U58" s="131" t="n">
        <f aca="false">IF(OR($C58="",$B$2="",$D$2=0),0,IF(U$3&lt;0,0,N(INDEX('CURVA PREVISION'!$A$1:$KZ$3000,$C58,11+3*MIN(U$3,$D$2-1)))))</f>
        <v>100</v>
      </c>
      <c r="V58" s="131" t="n">
        <f aca="false">IF(OR($C58="",$B$2="",$D$2=0),0,IF(V$3&lt;0,0,N(INDEX('CURVA PREVISION'!$A$1:$KZ$3000,$C58,11+3*MIN(V$3,$D$2-1)))))</f>
        <v>100</v>
      </c>
      <c r="W58" s="131" t="n">
        <f aca="false">IF(OR($C58="",$B$2="",$D$2=0),0,IF(W$3&lt;0,0,N(INDEX('CURVA PREVISION'!$A$1:$KZ$3000,$C58,11+3*MIN(W$3,$D$2-1)))))</f>
        <v>100</v>
      </c>
      <c r="X58" s="131" t="n">
        <f aca="false">IF(OR($C58="",$B$2="",$D$2=0),0,IF(X$3&lt;0,0,N(INDEX('CURVA PREVISION'!$A$1:$KZ$3000,$C58,11+3*MIN(X$3,$D$2-1)))))</f>
        <v>100</v>
      </c>
      <c r="Y58" s="131" t="n">
        <f aca="false">IF(OR($C58="",$B$2="",$D$2=0),0,IF(Y$3&lt;0,0,N(INDEX('CURVA PREVISION'!$A$1:$KZ$3000,$C58,11+3*MIN(Y$3,$D$2-1)))))</f>
        <v>100</v>
      </c>
      <c r="Z58" s="131" t="n">
        <f aca="false">IF(OR($C58="",$B$2="",$D$2=0),0,IF(Z$3&lt;0,0,N(INDEX('CURVA PREVISION'!$A$1:$KZ$3000,$C58,11+3*MIN(Z$3,$D$2-1)))))</f>
        <v>100</v>
      </c>
      <c r="AA58" s="131" t="n">
        <f aca="false">IF(OR($C58="",$B$2="",$D$2=0),0,IF(AA$3&lt;0,0,N(INDEX('CURVA PREVISION'!$A$1:$KZ$3000,$C58,11+3*MIN(AA$3,$D$2-1)))))</f>
        <v>100</v>
      </c>
      <c r="AB58" s="131" t="n">
        <f aca="false">IF(OR($C58="",$B$2="",$D$2=0),0,IF(AB$3&lt;0,0,N(INDEX('CURVA PREVISION'!$A$1:$KZ$3000,$C58,11+3*MIN(AB$3,$D$2-1)))))</f>
        <v>100</v>
      </c>
      <c r="AC58" s="131" t="n">
        <f aca="false">IF(OR($C58="",$B$2="",$D$2=0),0,IF(AC$3&lt;0,0,N(INDEX('CURVA PREVISION'!$A$1:$KZ$3000,$C58,11+3*MIN(AC$3,$D$2-1)))))</f>
        <v>100</v>
      </c>
      <c r="AD58" s="131" t="n">
        <f aca="false">IF(OR($C58="",$B$2="",$D$2=0),0,IF(AD$3&lt;0,0,N(INDEX('CURVA PREVISION'!$A$1:$KZ$3000,$C58,11+3*MIN(AD$3,$D$2-1)))))</f>
        <v>100</v>
      </c>
      <c r="AE58" s="131" t="n">
        <f aca="false">IF(OR($C58="",$B$2="",$D$2=0),0,IF(AE$3&lt;0,0,N(INDEX('CURVA PREVISION'!$A$1:$KZ$3000,$C58,11+3*MIN(AE$3,$D$2-1)))))</f>
        <v>100</v>
      </c>
      <c r="AF58" s="131" t="n">
        <f aca="false">IF(OR($C58="",$B$2="",$D$2=0),0,IF(AF$3&lt;0,0,N(INDEX('CURVA PREVISION'!$A$1:$KZ$3000,$C58,11+3*MIN(AF$3,$D$2-1)))))</f>
        <v>100</v>
      </c>
      <c r="AG58" s="131" t="n">
        <f aca="false">IF(OR($C58="",$B$2="",$D$2=0),0,IF(AG$3&lt;0,0,N(INDEX('CURVA PREVISION'!$A$1:$KZ$3000,$C58,11+3*MIN(AG$3,$D$2-1)))))</f>
        <v>100</v>
      </c>
      <c r="AH58" s="131" t="n">
        <f aca="false">IF(OR($C58="",$B$2="",$D$2=0),0,IF(AH$3&lt;0,0,N(INDEX('CURVA PREVISION'!$A$1:$KZ$3000,$C58,11+3*MIN(AH$3,$D$2-1)))))</f>
        <v>100</v>
      </c>
      <c r="AI58" s="131" t="n">
        <f aca="false">IF(OR($C58="",$B$2="",$D$2=0),0,IF(AI$3&lt;0,0,N(INDEX('CURVA PREVISION'!$A$1:$KZ$3000,$C58,11+3*MIN(AI$3,$D$2-1)))))</f>
        <v>100</v>
      </c>
      <c r="AJ58" s="131" t="n">
        <f aca="false">IF(OR($C58="",$B$2="",$D$2=0),0,IF(AJ$3&lt;0,0,N(INDEX('CURVA PREVISION'!$A$1:$KZ$3000,$C58,11+3*MIN(AJ$3,$D$2-1)))))</f>
        <v>100</v>
      </c>
      <c r="AK58" s="131" t="n">
        <f aca="false">IF(OR($C58="",$B$2="",$D$2=0),0,IF(AK$3&lt;0,0,N(INDEX('CURVA PREVISION'!$A$1:$KZ$3000,$C58,11+3*MIN(AK$3,$D$2-1)))))</f>
        <v>100</v>
      </c>
      <c r="AL58" s="131" t="n">
        <f aca="false">IF(OR($C58="",$B$2="",$D$2=0),0,IF(AL$3&lt;0,0,N(INDEX('CURVA PREVISION'!$A$1:$KZ$3000,$C58,11+3*MIN(AL$3,$D$2-1)))))</f>
        <v>100</v>
      </c>
      <c r="AM58" s="131" t="n">
        <f aca="false">IF(OR($C58="",$B$2="",$D$2=0),0,IF(AM$3&lt;0,0,N(INDEX('CURVA PREVISION'!$A$1:$KZ$3000,$C58,11+3*MIN(AM$3,$D$2-1)))))</f>
        <v>100</v>
      </c>
      <c r="AN58" s="131" t="n">
        <f aca="false">IF(OR($C58="",$B$2="",$D$2=0),0,IF(AN$3&lt;0,0,N(INDEX('CURVA PREVISION'!$A$1:$KZ$3000,$C58,11+3*MIN(AN$3,$D$2-1)))))</f>
        <v>100</v>
      </c>
      <c r="AO58" s="131" t="n">
        <f aca="false">IF(OR($C58="",$B$2="",$D$2=0),0,IF(AO$3&lt;0,0,N(INDEX('CURVA PREVISION'!$A$1:$KZ$3000,$C58,11+3*MIN(AO$3,$D$2-1)))))</f>
        <v>100</v>
      </c>
      <c r="AP58" s="131" t="n">
        <f aca="false">IF(OR($C58="",$B$2="",$D$2=0),0,IF(AP$3&lt;0,0,N(INDEX('CURVA PREVISION'!$A$1:$KZ$3000,$C58,11+3*MIN(AP$3,$D$2-1)))))</f>
        <v>100</v>
      </c>
      <c r="AQ58" s="131" t="n">
        <f aca="false">IF(OR($C58="",$B$2="",$D$2=0),0,IF(AQ$3&lt;0,0,N(INDEX('CURVA PREVISION'!$A$1:$KZ$3000,$C58,11+3*MIN(AQ$3,$D$2-1)))))</f>
        <v>100</v>
      </c>
      <c r="AR58" s="131" t="n">
        <f aca="false">IF(OR($C58="",$B$2="",$D$2=0),0,IF(AR$3&lt;0,0,N(INDEX('CURVA PREVISION'!$A$1:$KZ$3000,$C58,11+3*MIN(AR$3,$D$2-1)))))</f>
        <v>100</v>
      </c>
      <c r="AS58" s="131" t="n">
        <f aca="false">IF(OR($C58="",$B$2="",$D$2=0),0,IF(AS$3&lt;0,0,N(INDEX('CURVA PREVISION'!$A$1:$KZ$3000,$C58,11+3*MIN(AS$3,$D$2-1)))))</f>
        <v>100</v>
      </c>
      <c r="AT58" s="131" t="n">
        <f aca="false">IF(OR($C58="",$B$2="",$D$2=0),0,IF(AT$3&lt;0,0,N(INDEX('CURVA PREVISION'!$A$1:$KZ$3000,$C58,11+3*MIN(AT$3,$D$2-1)))))</f>
        <v>100</v>
      </c>
      <c r="AU58" s="131" t="n">
        <f aca="false">IF(OR($C58="",$B$2="",$D$2=0),0,IF(AU$3&lt;0,0,N(INDEX('CURVA PREVISION'!$A$1:$KZ$3000,$C58,11+3*MIN(AU$3,$D$2-1)))))</f>
        <v>100</v>
      </c>
      <c r="AV58" s="131" t="n">
        <f aca="false">IF(OR($C58="",$B$2="",$D$2=0),0,IF(AV$3&lt;0,0,N(INDEX('CURVA PREVISION'!$A$1:$KZ$3000,$C58,11+3*MIN(AV$3,$D$2-1)))))</f>
        <v>100</v>
      </c>
      <c r="AW58" s="131" t="n">
        <f aca="false">IF(OR($C58="",$B$2="",$D$2=0),0,IF(AW$3&lt;0,0,N(INDEX('CURVA PREVISION'!$A$1:$KZ$3000,$C58,11+3*MIN(AW$3,$D$2-1)))))</f>
        <v>100</v>
      </c>
      <c r="AX58" s="131" t="n">
        <f aca="false">IF(OR($C58="",$B$2="",$D$2=0),0,IF(AX$3&lt;0,0,N(INDEX('CURVA PREVISION'!$A$1:$KZ$3000,$C58,11+3*MIN(AX$3,$D$2-1)))))</f>
        <v>100</v>
      </c>
      <c r="AY58" s="131" t="n">
        <f aca="false">IF(OR($C58="",$B$2="",$D$2=0),0,IF(AY$3&lt;0,0,N(INDEX('CURVA PREVISION'!$A$1:$KZ$3000,$C58,11+3*MIN(AY$3,$D$2-1)))))</f>
        <v>100</v>
      </c>
      <c r="AZ58" s="131" t="n">
        <f aca="false">IF(OR($C58="",$B$2="",$D$2=0),0,IF(AZ$3&lt;0,0,N(INDEX('CURVA PREVISION'!$A$1:$KZ$3000,$C58,11+3*MIN(AZ$3,$D$2-1)))))</f>
        <v>100</v>
      </c>
      <c r="BA58" s="131" t="n">
        <f aca="false">IF(OR($C58="",$B$2="",$D$2=0),0,IF(BA$3&lt;0,0,N(INDEX('CURVA PREVISION'!$A$1:$KZ$3000,$C58,11+3*MIN(BA$3,$D$2-1)))))</f>
        <v>100</v>
      </c>
      <c r="BB58" s="131" t="n">
        <f aca="false">IF(OR($C58="",$B$2="",$D$2=0),0,IF(BB$3&lt;0,0,N(INDEX('CURVA PREVISION'!$A$1:$KZ$3000,$C58,11+3*MIN(BB$3,$D$2-1)))))</f>
        <v>100</v>
      </c>
      <c r="BC58" s="131" t="n">
        <f aca="false">IF(OR($C58="",$B$2="",$D$2=0),0,IF(BC$3&lt;0,0,N(INDEX('CURVA PREVISION'!$A$1:$KZ$3000,$C58,11+3*MIN(BC$3,$D$2-1)))))</f>
        <v>100</v>
      </c>
      <c r="BD58" s="131" t="n">
        <f aca="false">IF(OR($C58="",$B$2="",$D$2=0),0,IF(BD$3&lt;0,0,N(INDEX('CURVA PREVISION'!$A$1:$KZ$3000,$C58,11+3*MIN(BD$3,$D$2-1)))))</f>
        <v>100</v>
      </c>
      <c r="BE58" s="131" t="n">
        <f aca="false">IF(OR($C58="",$B$2="",$D$2=0),0,IF(BE$3&lt;0,0,N(INDEX('CURVA PREVISION'!$A$1:$KZ$3000,$C58,11+3*MIN(BE$3,$D$2-1)))))</f>
        <v>100</v>
      </c>
      <c r="BF58" s="131" t="n">
        <f aca="false">IF(OR($C58="",$B$2="",$D$2=0),0,IF(BF$3&lt;0,0,N(INDEX('CURVA PREVISION'!$A$1:$KZ$3000,$C58,11+3*MIN(BF$3,$D$2-1)))))</f>
        <v>100</v>
      </c>
      <c r="BG58" s="131" t="n">
        <f aca="false">IF(OR($C58="",$B$2="",$D$2=0),0,IF(BG$3&lt;0,0,N(INDEX('CURVA PREVISION'!$A$1:$KZ$3000,$C58,11+3*MIN(BG$3,$D$2-1)))))</f>
        <v>100</v>
      </c>
      <c r="BH58" s="131" t="n">
        <f aca="false">IF(OR($C58="",$B$2="",$D$2=0),0,IF(BH$3&lt;0,0,N(INDEX('CURVA PREVISION'!$A$1:$KZ$3000,$C58,11+3*MIN(BH$3,$D$2-1)))))</f>
        <v>100</v>
      </c>
      <c r="BI58" s="131" t="n">
        <f aca="false">IF(OR($C58="",$B$2="",$D$2=0),0,IF(BI$3&lt;0,0,N(INDEX('CURVA PREVISION'!$A$1:$KZ$3000,$C58,11+3*MIN(BI$3,$D$2-1)))))</f>
        <v>100</v>
      </c>
      <c r="BJ58" s="131" t="n">
        <f aca="false">IF(OR($C58="",$B$2="",$D$2=0),0,IF(BJ$3&lt;0,0,N(INDEX('CURVA PREVISION'!$A$1:$KZ$3000,$C58,11+3*MIN(BJ$3,$D$2-1)))))</f>
        <v>100</v>
      </c>
      <c r="BK58" s="131" t="n">
        <f aca="false">IF(OR($C58="",$B$2="",$D$2=0),0,IF(BK$3&lt;0,0,N(INDEX('CURVA PREVISION'!$A$1:$KZ$3000,$C58,11+3*MIN(BK$3,$D$2-1)))))</f>
        <v>100</v>
      </c>
      <c r="BL58" s="131" t="n">
        <f aca="false">IF(OR($C58="",$B$2="",$D$2=0),0,IF(BL$3&lt;0,0,N(INDEX('CURVA PREVISION'!$A$1:$KZ$3000,$C58,11+3*MIN(BL$3,$D$2-1)))))</f>
        <v>100</v>
      </c>
      <c r="BM58" s="131" t="n">
        <f aca="false">IF(OR($C58="",$B$2="",$D$2=0),0,IF(BM$3&lt;0,0,N(INDEX('CURVA PREVISION'!$A$1:$KZ$3000,$C58,11+3*MIN(BM$3,$D$2-1)))))</f>
        <v>100</v>
      </c>
      <c r="BN58" s="131" t="n">
        <f aca="false">IF(OR($C58="",$B$2="",$D$2=0),0,IF(BN$3&lt;0,0,N(INDEX('CURVA PREVISION'!$A$1:$KZ$3000,$C58,11+3*MIN(BN$3,$D$2-1)))))</f>
        <v>100</v>
      </c>
      <c r="BO58" s="131" t="n">
        <f aca="false">IF(OR($C58="",$B$2="",$D$2=0),0,IF(BO$3&lt;0,0,N(INDEX('CURVA PREVISION'!$A$1:$KZ$3000,$C58,11+3*MIN(BO$3,$D$2-1)))))</f>
        <v>100</v>
      </c>
      <c r="BP58" s="131" t="n">
        <f aca="false">IF(OR($C58="",$B$2="",$D$2=0),0,IF(BP$3&lt;0,0,N(INDEX('CURVA PREVISION'!$A$1:$KZ$3000,$C58,11+3*MIN(BP$3,$D$2-1)))))</f>
        <v>100</v>
      </c>
      <c r="BQ58" s="131" t="n">
        <f aca="false">IF(OR($C58="",$B$2="",$D$2=0),0,IF(BQ$3&lt;0,0,N(INDEX('CURVA PREVISION'!$A$1:$KZ$3000,$C58,11+3*MIN(BQ$3,$D$2-1)))))</f>
        <v>100</v>
      </c>
      <c r="BR58" s="131" t="n">
        <f aca="false">IF(OR($C58="",$B$2="",$D$2=0),0,IF(BR$3&lt;0,0,N(INDEX('CURVA PREVISION'!$A$1:$KZ$3000,$C58,11+3*MIN(BR$3,$D$2-1)))))</f>
        <v>100</v>
      </c>
      <c r="BS58" s="131" t="n">
        <f aca="false">IF(OR($C58="",$B$2="",$D$2=0),0,IF(BS$3&lt;0,0,N(INDEX('CURVA PREVISION'!$A$1:$KZ$3000,$C58,11+3*MIN(BS$3,$D$2-1)))))</f>
        <v>100</v>
      </c>
      <c r="BT58" s="131" t="n">
        <f aca="false">IF(OR($C58="",$B$2="",$D$2=0),0,IF(BT$3&lt;0,0,N(INDEX('CURVA PREVISION'!$A$1:$KZ$3000,$C58,11+3*MIN(BT$3,$D$2-1)))))</f>
        <v>100</v>
      </c>
      <c r="BU58" s="131" t="n">
        <f aca="false">IF(OR($C58="",$B$2="",$D$2=0),0,IF(BU$3&lt;0,0,N(INDEX('CURVA PREVISION'!$A$1:$KZ$3000,$C58,11+3*MIN(BU$3,$D$2-1)))))</f>
        <v>100</v>
      </c>
      <c r="BV58" s="131" t="n">
        <f aca="false">IF(OR($C58="",$B$2="",$D$2=0),0,IF(BV$3&lt;0,0,N(INDEX('CURVA PREVISION'!$A$1:$KZ$3000,$C58,11+3*MIN(BV$3,$D$2-1)))))</f>
        <v>100</v>
      </c>
      <c r="BW58" s="131" t="n">
        <f aca="false">IF(OR($C58="",$B$2="",$D$2=0),0,IF(BW$3&lt;0,0,N(INDEX('CURVA PREVISION'!$A$1:$KZ$3000,$C58,11+3*MIN(BW$3,$D$2-1)))))</f>
        <v>100</v>
      </c>
    </row>
    <row r="59" customFormat="false" ht="15" hidden="false" customHeight="false" outlineLevel="0" collapsed="false">
      <c r="A59" s="57" t="str">
        <f aca="false">IF('VALOR POR PL'!Q23="",'VALOR POR PL'!C23,'VALOR POR PL'!Q23)</f>
        <v>13</v>
      </c>
      <c r="B59" s="47" t="str">
        <f aca="false">B17</f>
        <v>CONTENÇÃO</v>
      </c>
      <c r="C59" s="64" t="n">
        <f aca="false">IFERROR(MATCH(A59,'CURVA PREVISION'!$B$1:$B$3000,0),"")</f>
        <v>246</v>
      </c>
      <c r="D59" s="131" t="n">
        <f aca="false">IF(OR($C59="",$B$2="",$D$2=0),0,IF(D$3&lt;0,0,N(INDEX('CURVA PREVISION'!$A$1:$KZ$3000,$C59,11+3*MIN(D$3,$D$2-1)))))</f>
        <v>0</v>
      </c>
      <c r="E59" s="131" t="n">
        <f aca="false">IF(OR($C59="",$B$2="",$D$2=0),0,IF(E$3&lt;0,0,N(INDEX('CURVA PREVISION'!$A$1:$KZ$3000,$C59,11+3*MIN(E$3,$D$2-1)))))</f>
        <v>0</v>
      </c>
      <c r="F59" s="131" t="n">
        <f aca="false">IF(OR($C59="",$B$2="",$D$2=0),0,IF(F$3&lt;0,0,N(INDEX('CURVA PREVISION'!$A$1:$KZ$3000,$C59,11+3*MIN(F$3,$D$2-1)))))</f>
        <v>0</v>
      </c>
      <c r="G59" s="131" t="n">
        <f aca="false">IF(OR($C59="",$B$2="",$D$2=0),0,IF(G$3&lt;0,0,N(INDEX('CURVA PREVISION'!$A$1:$KZ$3000,$C59,11+3*MIN(G$3,$D$2-1)))))</f>
        <v>0</v>
      </c>
      <c r="H59" s="131" t="n">
        <f aca="false">IF(OR($C59="",$B$2="",$D$2=0),0,IF(H$3&lt;0,0,N(INDEX('CURVA PREVISION'!$A$1:$KZ$3000,$C59,11+3*MIN(H$3,$D$2-1)))))</f>
        <v>0</v>
      </c>
      <c r="I59" s="131" t="n">
        <f aca="false">IF(OR($C59="",$B$2="",$D$2=0),0,IF(I$3&lt;0,0,N(INDEX('CURVA PREVISION'!$A$1:$KZ$3000,$C59,11+3*MIN(I$3,$D$2-1)))))</f>
        <v>0</v>
      </c>
      <c r="J59" s="131" t="n">
        <f aca="false">IF(OR($C59="",$B$2="",$D$2=0),0,IF(J$3&lt;0,0,N(INDEX('CURVA PREVISION'!$A$1:$KZ$3000,$C59,11+3*MIN(J$3,$D$2-1)))))</f>
        <v>0</v>
      </c>
      <c r="K59" s="131" t="n">
        <f aca="false">IF(OR($C59="",$B$2="",$D$2=0),0,IF(K$3&lt;0,0,N(INDEX('CURVA PREVISION'!$A$1:$KZ$3000,$C59,11+3*MIN(K$3,$D$2-1)))))</f>
        <v>0</v>
      </c>
      <c r="L59" s="131" t="n">
        <f aca="false">IF(OR($C59="",$B$2="",$D$2=0),0,IF(L$3&lt;0,0,N(INDEX('CURVA PREVISION'!$A$1:$KZ$3000,$C59,11+3*MIN(L$3,$D$2-1)))))</f>
        <v>0</v>
      </c>
      <c r="M59" s="131" t="n">
        <f aca="false">IF(OR($C59="",$B$2="",$D$2=0),0,IF(M$3&lt;0,0,N(INDEX('CURVA PREVISION'!$A$1:$KZ$3000,$C59,11+3*MIN(M$3,$D$2-1)))))</f>
        <v>52.95</v>
      </c>
      <c r="N59" s="131" t="n">
        <f aca="false">IF(OR($C59="",$B$2="",$D$2=0),0,IF(N$3&lt;0,0,N(INDEX('CURVA PREVISION'!$A$1:$KZ$3000,$C59,11+3*MIN(N$3,$D$2-1)))))</f>
        <v>57.35</v>
      </c>
      <c r="O59" s="131" t="n">
        <f aca="false">IF(OR($C59="",$B$2="",$D$2=0),0,IF(O$3&lt;0,0,N(INDEX('CURVA PREVISION'!$A$1:$KZ$3000,$C59,11+3*MIN(O$3,$D$2-1)))))</f>
        <v>57.35</v>
      </c>
      <c r="P59" s="131" t="n">
        <f aca="false">IF(OR($C59="",$B$2="",$D$2=0),0,IF(P$3&lt;0,0,N(INDEX('CURVA PREVISION'!$A$1:$KZ$3000,$C59,11+3*MIN(P$3,$D$2-1)))))</f>
        <v>57.35</v>
      </c>
      <c r="Q59" s="131" t="n">
        <f aca="false">IF(OR($C59="",$B$2="",$D$2=0),0,IF(Q$3&lt;0,0,N(INDEX('CURVA PREVISION'!$A$1:$KZ$3000,$C59,11+3*MIN(Q$3,$D$2-1)))))</f>
        <v>57.35</v>
      </c>
      <c r="R59" s="131" t="n">
        <f aca="false">IF(OR($C59="",$B$2="",$D$2=0),0,IF(R$3&lt;0,0,N(INDEX('CURVA PREVISION'!$A$1:$KZ$3000,$C59,11+3*MIN(R$3,$D$2-1)))))</f>
        <v>57.35</v>
      </c>
      <c r="S59" s="131" t="n">
        <f aca="false">IF(OR($C59="",$B$2="",$D$2=0),0,IF(S$3&lt;0,0,N(INDEX('CURVA PREVISION'!$A$1:$KZ$3000,$C59,11+3*MIN(S$3,$D$2-1)))))</f>
        <v>57.35</v>
      </c>
      <c r="T59" s="131" t="n">
        <f aca="false">IF(OR($C59="",$B$2="",$D$2=0),0,IF(T$3&lt;0,0,N(INDEX('CURVA PREVISION'!$A$1:$KZ$3000,$C59,11+3*MIN(T$3,$D$2-1)))))</f>
        <v>57.35</v>
      </c>
      <c r="U59" s="131" t="n">
        <f aca="false">IF(OR($C59="",$B$2="",$D$2=0),0,IF(U$3&lt;0,0,N(INDEX('CURVA PREVISION'!$A$1:$KZ$3000,$C59,11+3*MIN(U$3,$D$2-1)))))</f>
        <v>72.08</v>
      </c>
      <c r="V59" s="131" t="n">
        <f aca="false">IF(OR($C59="",$B$2="",$D$2=0),0,IF(V$3&lt;0,0,N(INDEX('CURVA PREVISION'!$A$1:$KZ$3000,$C59,11+3*MIN(V$3,$D$2-1)))))</f>
        <v>75.43</v>
      </c>
      <c r="W59" s="131" t="n">
        <f aca="false">IF(OR($C59="",$B$2="",$D$2=0),0,IF(W$3&lt;0,0,N(INDEX('CURVA PREVISION'!$A$1:$KZ$3000,$C59,11+3*MIN(W$3,$D$2-1)))))</f>
        <v>75.23</v>
      </c>
      <c r="X59" s="131" t="n">
        <f aca="false">IF(OR($C59="",$B$2="",$D$2=0),0,IF(X$3&lt;0,0,N(INDEX('CURVA PREVISION'!$A$1:$KZ$3000,$C59,11+3*MIN(X$3,$D$2-1)))))</f>
        <v>75.23</v>
      </c>
      <c r="Y59" s="131" t="n">
        <f aca="false">IF(OR($C59="",$B$2="",$D$2=0),0,IF(Y$3&lt;0,0,N(INDEX('CURVA PREVISION'!$A$1:$KZ$3000,$C59,11+3*MIN(Y$3,$D$2-1)))))</f>
        <v>75.23</v>
      </c>
      <c r="Z59" s="131" t="n">
        <f aca="false">IF(OR($C59="",$B$2="",$D$2=0),0,IF(Z$3&lt;0,0,N(INDEX('CURVA PREVISION'!$A$1:$KZ$3000,$C59,11+3*MIN(Z$3,$D$2-1)))))</f>
        <v>75.23</v>
      </c>
      <c r="AA59" s="131" t="n">
        <f aca="false">IF(OR($C59="",$B$2="",$D$2=0),0,IF(AA$3&lt;0,0,N(INDEX('CURVA PREVISION'!$A$1:$KZ$3000,$C59,11+3*MIN(AA$3,$D$2-1)))))</f>
        <v>75.23</v>
      </c>
      <c r="AB59" s="131" t="n">
        <f aca="false">IF(OR($C59="",$B$2="",$D$2=0),0,IF(AB$3&lt;0,0,N(INDEX('CURVA PREVISION'!$A$1:$KZ$3000,$C59,11+3*MIN(AB$3,$D$2-1)))))</f>
        <v>75.23</v>
      </c>
      <c r="AC59" s="131" t="n">
        <f aca="false">IF(OR($C59="",$B$2="",$D$2=0),0,IF(AC$3&lt;0,0,N(INDEX('CURVA PREVISION'!$A$1:$KZ$3000,$C59,11+3*MIN(AC$3,$D$2-1)))))</f>
        <v>75.23</v>
      </c>
      <c r="AD59" s="131" t="n">
        <f aca="false">IF(OR($C59="",$B$2="",$D$2=0),0,IF(AD$3&lt;0,0,N(INDEX('CURVA PREVISION'!$A$1:$KZ$3000,$C59,11+3*MIN(AD$3,$D$2-1)))))</f>
        <v>75.23</v>
      </c>
      <c r="AE59" s="131" t="n">
        <f aca="false">IF(OR($C59="",$B$2="",$D$2=0),0,IF(AE$3&lt;0,0,N(INDEX('CURVA PREVISION'!$A$1:$KZ$3000,$C59,11+3*MIN(AE$3,$D$2-1)))))</f>
        <v>75.23</v>
      </c>
      <c r="AF59" s="131" t="n">
        <f aca="false">IF(OR($C59="",$B$2="",$D$2=0),0,IF(AF$3&lt;0,0,N(INDEX('CURVA PREVISION'!$A$1:$KZ$3000,$C59,11+3*MIN(AF$3,$D$2-1)))))</f>
        <v>75.23</v>
      </c>
      <c r="AG59" s="131" t="n">
        <f aca="false">IF(OR($C59="",$B$2="",$D$2=0),0,IF(AG$3&lt;0,0,N(INDEX('CURVA PREVISION'!$A$1:$KZ$3000,$C59,11+3*MIN(AG$3,$D$2-1)))))</f>
        <v>75.23</v>
      </c>
      <c r="AH59" s="131" t="n">
        <f aca="false">IF(OR($C59="",$B$2="",$D$2=0),0,IF(AH$3&lt;0,0,N(INDEX('CURVA PREVISION'!$A$1:$KZ$3000,$C59,11+3*MIN(AH$3,$D$2-1)))))</f>
        <v>75.23</v>
      </c>
      <c r="AI59" s="131" t="n">
        <f aca="false">IF(OR($C59="",$B$2="",$D$2=0),0,IF(AI$3&lt;0,0,N(INDEX('CURVA PREVISION'!$A$1:$KZ$3000,$C59,11+3*MIN(AI$3,$D$2-1)))))</f>
        <v>75.23</v>
      </c>
      <c r="AJ59" s="131" t="n">
        <f aca="false">IF(OR($C59="",$B$2="",$D$2=0),0,IF(AJ$3&lt;0,0,N(INDEX('CURVA PREVISION'!$A$1:$KZ$3000,$C59,11+3*MIN(AJ$3,$D$2-1)))))</f>
        <v>75.23</v>
      </c>
      <c r="AK59" s="131" t="n">
        <f aca="false">IF(OR($C59="",$B$2="",$D$2=0),0,IF(AK$3&lt;0,0,N(INDEX('CURVA PREVISION'!$A$1:$KZ$3000,$C59,11+3*MIN(AK$3,$D$2-1)))))</f>
        <v>75.23</v>
      </c>
      <c r="AL59" s="131" t="n">
        <f aca="false">IF(OR($C59="",$B$2="",$D$2=0),0,IF(AL$3&lt;0,0,N(INDEX('CURVA PREVISION'!$A$1:$KZ$3000,$C59,11+3*MIN(AL$3,$D$2-1)))))</f>
        <v>75.23</v>
      </c>
      <c r="AM59" s="131" t="n">
        <f aca="false">IF(OR($C59="",$B$2="",$D$2=0),0,IF(AM$3&lt;0,0,N(INDEX('CURVA PREVISION'!$A$1:$KZ$3000,$C59,11+3*MIN(AM$3,$D$2-1)))))</f>
        <v>75.23</v>
      </c>
      <c r="AN59" s="131" t="n">
        <f aca="false">IF(OR($C59="",$B$2="",$D$2=0),0,IF(AN$3&lt;0,0,N(INDEX('CURVA PREVISION'!$A$1:$KZ$3000,$C59,11+3*MIN(AN$3,$D$2-1)))))</f>
        <v>75.23</v>
      </c>
      <c r="AO59" s="131" t="n">
        <f aca="false">IF(OR($C59="",$B$2="",$D$2=0),0,IF(AO$3&lt;0,0,N(INDEX('CURVA PREVISION'!$A$1:$KZ$3000,$C59,11+3*MIN(AO$3,$D$2-1)))))</f>
        <v>75.23</v>
      </c>
      <c r="AP59" s="131" t="n">
        <f aca="false">IF(OR($C59="",$B$2="",$D$2=0),0,IF(AP$3&lt;0,0,N(INDEX('CURVA PREVISION'!$A$1:$KZ$3000,$C59,11+3*MIN(AP$3,$D$2-1)))))</f>
        <v>75.23</v>
      </c>
      <c r="AQ59" s="131" t="n">
        <f aca="false">IF(OR($C59="",$B$2="",$D$2=0),0,IF(AQ$3&lt;0,0,N(INDEX('CURVA PREVISION'!$A$1:$KZ$3000,$C59,11+3*MIN(AQ$3,$D$2-1)))))</f>
        <v>75.23</v>
      </c>
      <c r="AR59" s="131" t="n">
        <f aca="false">IF(OR($C59="",$B$2="",$D$2=0),0,IF(AR$3&lt;0,0,N(INDEX('CURVA PREVISION'!$A$1:$KZ$3000,$C59,11+3*MIN(AR$3,$D$2-1)))))</f>
        <v>75.23</v>
      </c>
      <c r="AS59" s="131" t="n">
        <f aca="false">IF(OR($C59="",$B$2="",$D$2=0),0,IF(AS$3&lt;0,0,N(INDEX('CURVA PREVISION'!$A$1:$KZ$3000,$C59,11+3*MIN(AS$3,$D$2-1)))))</f>
        <v>75.23</v>
      </c>
      <c r="AT59" s="131" t="n">
        <f aca="false">IF(OR($C59="",$B$2="",$D$2=0),0,IF(AT$3&lt;0,0,N(INDEX('CURVA PREVISION'!$A$1:$KZ$3000,$C59,11+3*MIN(AT$3,$D$2-1)))))</f>
        <v>75.23</v>
      </c>
      <c r="AU59" s="131" t="n">
        <f aca="false">IF(OR($C59="",$B$2="",$D$2=0),0,IF(AU$3&lt;0,0,N(INDEX('CURVA PREVISION'!$A$1:$KZ$3000,$C59,11+3*MIN(AU$3,$D$2-1)))))</f>
        <v>75.23</v>
      </c>
      <c r="AV59" s="131" t="n">
        <f aca="false">IF(OR($C59="",$B$2="",$D$2=0),0,IF(AV$3&lt;0,0,N(INDEX('CURVA PREVISION'!$A$1:$KZ$3000,$C59,11+3*MIN(AV$3,$D$2-1)))))</f>
        <v>75.23</v>
      </c>
      <c r="AW59" s="131" t="n">
        <f aca="false">IF(OR($C59="",$B$2="",$D$2=0),0,IF(AW$3&lt;0,0,N(INDEX('CURVA PREVISION'!$A$1:$KZ$3000,$C59,11+3*MIN(AW$3,$D$2-1)))))</f>
        <v>75.23</v>
      </c>
      <c r="AX59" s="131" t="n">
        <f aca="false">IF(OR($C59="",$B$2="",$D$2=0),0,IF(AX$3&lt;0,0,N(INDEX('CURVA PREVISION'!$A$1:$KZ$3000,$C59,11+3*MIN(AX$3,$D$2-1)))))</f>
        <v>75.23</v>
      </c>
      <c r="AY59" s="131" t="n">
        <f aca="false">IF(OR($C59="",$B$2="",$D$2=0),0,IF(AY$3&lt;0,0,N(INDEX('CURVA PREVISION'!$A$1:$KZ$3000,$C59,11+3*MIN(AY$3,$D$2-1)))))</f>
        <v>75.23</v>
      </c>
      <c r="AZ59" s="131" t="n">
        <f aca="false">IF(OR($C59="",$B$2="",$D$2=0),0,IF(AZ$3&lt;0,0,N(INDEX('CURVA PREVISION'!$A$1:$KZ$3000,$C59,11+3*MIN(AZ$3,$D$2-1)))))</f>
        <v>75.23</v>
      </c>
      <c r="BA59" s="131" t="n">
        <f aca="false">IF(OR($C59="",$B$2="",$D$2=0),0,IF(BA$3&lt;0,0,N(INDEX('CURVA PREVISION'!$A$1:$KZ$3000,$C59,11+3*MIN(BA$3,$D$2-1)))))</f>
        <v>75.23</v>
      </c>
      <c r="BB59" s="131" t="n">
        <f aca="false">IF(OR($C59="",$B$2="",$D$2=0),0,IF(BB$3&lt;0,0,N(INDEX('CURVA PREVISION'!$A$1:$KZ$3000,$C59,11+3*MIN(BB$3,$D$2-1)))))</f>
        <v>75.23</v>
      </c>
      <c r="BC59" s="131" t="n">
        <f aca="false">IF(OR($C59="",$B$2="",$D$2=0),0,IF(BC$3&lt;0,0,N(INDEX('CURVA PREVISION'!$A$1:$KZ$3000,$C59,11+3*MIN(BC$3,$D$2-1)))))</f>
        <v>75.23</v>
      </c>
      <c r="BD59" s="131" t="n">
        <f aca="false">IF(OR($C59="",$B$2="",$D$2=0),0,IF(BD$3&lt;0,0,N(INDEX('CURVA PREVISION'!$A$1:$KZ$3000,$C59,11+3*MIN(BD$3,$D$2-1)))))</f>
        <v>75.23</v>
      </c>
      <c r="BE59" s="131" t="n">
        <f aca="false">IF(OR($C59="",$B$2="",$D$2=0),0,IF(BE$3&lt;0,0,N(INDEX('CURVA PREVISION'!$A$1:$KZ$3000,$C59,11+3*MIN(BE$3,$D$2-1)))))</f>
        <v>75.23</v>
      </c>
      <c r="BF59" s="131" t="n">
        <f aca="false">IF(OR($C59="",$B$2="",$D$2=0),0,IF(BF$3&lt;0,0,N(INDEX('CURVA PREVISION'!$A$1:$KZ$3000,$C59,11+3*MIN(BF$3,$D$2-1)))))</f>
        <v>75.23</v>
      </c>
      <c r="BG59" s="131" t="n">
        <f aca="false">IF(OR($C59="",$B$2="",$D$2=0),0,IF(BG$3&lt;0,0,N(INDEX('CURVA PREVISION'!$A$1:$KZ$3000,$C59,11+3*MIN(BG$3,$D$2-1)))))</f>
        <v>75.23</v>
      </c>
      <c r="BH59" s="131" t="n">
        <f aca="false">IF(OR($C59="",$B$2="",$D$2=0),0,IF(BH$3&lt;0,0,N(INDEX('CURVA PREVISION'!$A$1:$KZ$3000,$C59,11+3*MIN(BH$3,$D$2-1)))))</f>
        <v>75.23</v>
      </c>
      <c r="BI59" s="131" t="n">
        <f aca="false">IF(OR($C59="",$B$2="",$D$2=0),0,IF(BI$3&lt;0,0,N(INDEX('CURVA PREVISION'!$A$1:$KZ$3000,$C59,11+3*MIN(BI$3,$D$2-1)))))</f>
        <v>75.23</v>
      </c>
      <c r="BJ59" s="131" t="n">
        <f aca="false">IF(OR($C59="",$B$2="",$D$2=0),0,IF(BJ$3&lt;0,0,N(INDEX('CURVA PREVISION'!$A$1:$KZ$3000,$C59,11+3*MIN(BJ$3,$D$2-1)))))</f>
        <v>75.23</v>
      </c>
      <c r="BK59" s="131" t="n">
        <f aca="false">IF(OR($C59="",$B$2="",$D$2=0),0,IF(BK$3&lt;0,0,N(INDEX('CURVA PREVISION'!$A$1:$KZ$3000,$C59,11+3*MIN(BK$3,$D$2-1)))))</f>
        <v>75.23</v>
      </c>
      <c r="BL59" s="131" t="n">
        <f aca="false">IF(OR($C59="",$B$2="",$D$2=0),0,IF(BL$3&lt;0,0,N(INDEX('CURVA PREVISION'!$A$1:$KZ$3000,$C59,11+3*MIN(BL$3,$D$2-1)))))</f>
        <v>75.23</v>
      </c>
      <c r="BM59" s="131" t="n">
        <f aca="false">IF(OR($C59="",$B$2="",$D$2=0),0,IF(BM$3&lt;0,0,N(INDEX('CURVA PREVISION'!$A$1:$KZ$3000,$C59,11+3*MIN(BM$3,$D$2-1)))))</f>
        <v>75.23</v>
      </c>
      <c r="BN59" s="131" t="n">
        <f aca="false">IF(OR($C59="",$B$2="",$D$2=0),0,IF(BN$3&lt;0,0,N(INDEX('CURVA PREVISION'!$A$1:$KZ$3000,$C59,11+3*MIN(BN$3,$D$2-1)))))</f>
        <v>75.23</v>
      </c>
      <c r="BO59" s="131" t="n">
        <f aca="false">IF(OR($C59="",$B$2="",$D$2=0),0,IF(BO$3&lt;0,0,N(INDEX('CURVA PREVISION'!$A$1:$KZ$3000,$C59,11+3*MIN(BO$3,$D$2-1)))))</f>
        <v>75.23</v>
      </c>
      <c r="BP59" s="131" t="n">
        <f aca="false">IF(OR($C59="",$B$2="",$D$2=0),0,IF(BP$3&lt;0,0,N(INDEX('CURVA PREVISION'!$A$1:$KZ$3000,$C59,11+3*MIN(BP$3,$D$2-1)))))</f>
        <v>75.23</v>
      </c>
      <c r="BQ59" s="131" t="n">
        <f aca="false">IF(OR($C59="",$B$2="",$D$2=0),0,IF(BQ$3&lt;0,0,N(INDEX('CURVA PREVISION'!$A$1:$KZ$3000,$C59,11+3*MIN(BQ$3,$D$2-1)))))</f>
        <v>75.23</v>
      </c>
      <c r="BR59" s="131" t="n">
        <f aca="false">IF(OR($C59="",$B$2="",$D$2=0),0,IF(BR$3&lt;0,0,N(INDEX('CURVA PREVISION'!$A$1:$KZ$3000,$C59,11+3*MIN(BR$3,$D$2-1)))))</f>
        <v>75.23</v>
      </c>
      <c r="BS59" s="131" t="n">
        <f aca="false">IF(OR($C59="",$B$2="",$D$2=0),0,IF(BS$3&lt;0,0,N(INDEX('CURVA PREVISION'!$A$1:$KZ$3000,$C59,11+3*MIN(BS$3,$D$2-1)))))</f>
        <v>75.23</v>
      </c>
      <c r="BT59" s="131" t="n">
        <f aca="false">IF(OR($C59="",$B$2="",$D$2=0),0,IF(BT$3&lt;0,0,N(INDEX('CURVA PREVISION'!$A$1:$KZ$3000,$C59,11+3*MIN(BT$3,$D$2-1)))))</f>
        <v>75.23</v>
      </c>
      <c r="BU59" s="131" t="n">
        <f aca="false">IF(OR($C59="",$B$2="",$D$2=0),0,IF(BU$3&lt;0,0,N(INDEX('CURVA PREVISION'!$A$1:$KZ$3000,$C59,11+3*MIN(BU$3,$D$2-1)))))</f>
        <v>75.23</v>
      </c>
      <c r="BV59" s="131" t="n">
        <f aca="false">IF(OR($C59="",$B$2="",$D$2=0),0,IF(BV$3&lt;0,0,N(INDEX('CURVA PREVISION'!$A$1:$KZ$3000,$C59,11+3*MIN(BV$3,$D$2-1)))))</f>
        <v>75.23</v>
      </c>
      <c r="BW59" s="131" t="n">
        <f aca="false">IF(OR($C59="",$B$2="",$D$2=0),0,IF(BW$3&lt;0,0,N(INDEX('CURVA PREVISION'!$A$1:$KZ$3000,$C59,11+3*MIN(BW$3,$D$2-1)))))</f>
        <v>75.23</v>
      </c>
    </row>
    <row r="60" customFormat="false" ht="15" hidden="false" customHeight="false" outlineLevel="0" collapsed="false">
      <c r="A60" s="57" t="str">
        <f aca="false">IF('VALOR POR PL'!Q24="",'VALOR POR PL'!C24,'VALOR POR PL'!Q24)</f>
        <v>14</v>
      </c>
      <c r="B60" s="47" t="str">
        <f aca="false">B18</f>
        <v>TERRAPLENAGEM</v>
      </c>
      <c r="C60" s="64" t="n">
        <f aca="false">IFERROR(MATCH(A60,'CURVA PREVISION'!$B$1:$B$3000,0),"")</f>
        <v>275</v>
      </c>
      <c r="D60" s="131" t="n">
        <f aca="false">IF(OR($C60="",$B$2="",$D$2=0),0,IF(D$3&lt;0,0,N(INDEX('CURVA PREVISION'!$A$1:$KZ$3000,$C60,11+3*MIN(D$3,$D$2-1)))))</f>
        <v>0</v>
      </c>
      <c r="E60" s="131" t="n">
        <f aca="false">IF(OR($C60="",$B$2="",$D$2=0),0,IF(E$3&lt;0,0,N(INDEX('CURVA PREVISION'!$A$1:$KZ$3000,$C60,11+3*MIN(E$3,$D$2-1)))))</f>
        <v>0</v>
      </c>
      <c r="F60" s="131" t="n">
        <f aca="false">IF(OR($C60="",$B$2="",$D$2=0),0,IF(F$3&lt;0,0,N(INDEX('CURVA PREVISION'!$A$1:$KZ$3000,$C60,11+3*MIN(F$3,$D$2-1)))))</f>
        <v>0</v>
      </c>
      <c r="G60" s="131" t="n">
        <f aca="false">IF(OR($C60="",$B$2="",$D$2=0),0,IF(G$3&lt;0,0,N(INDEX('CURVA PREVISION'!$A$1:$KZ$3000,$C60,11+3*MIN(G$3,$D$2-1)))))</f>
        <v>0</v>
      </c>
      <c r="H60" s="131" t="n">
        <f aca="false">IF(OR($C60="",$B$2="",$D$2=0),0,IF(H$3&lt;0,0,N(INDEX('CURVA PREVISION'!$A$1:$KZ$3000,$C60,11+3*MIN(H$3,$D$2-1)))))</f>
        <v>0</v>
      </c>
      <c r="I60" s="131" t="n">
        <f aca="false">IF(OR($C60="",$B$2="",$D$2=0),0,IF(I$3&lt;0,0,N(INDEX('CURVA PREVISION'!$A$1:$KZ$3000,$C60,11+3*MIN(I$3,$D$2-1)))))</f>
        <v>0</v>
      </c>
      <c r="J60" s="131" t="n">
        <f aca="false">IF(OR($C60="",$B$2="",$D$2=0),0,IF(J$3&lt;0,0,N(INDEX('CURVA PREVISION'!$A$1:$KZ$3000,$C60,11+3*MIN(J$3,$D$2-1)))))</f>
        <v>0</v>
      </c>
      <c r="K60" s="131" t="n">
        <f aca="false">IF(OR($C60="",$B$2="",$D$2=0),0,IF(K$3&lt;0,0,N(INDEX('CURVA PREVISION'!$A$1:$KZ$3000,$C60,11+3*MIN(K$3,$D$2-1)))))</f>
        <v>0</v>
      </c>
      <c r="L60" s="131" t="n">
        <f aca="false">IF(OR($C60="",$B$2="",$D$2=0),0,IF(L$3&lt;0,0,N(INDEX('CURVA PREVISION'!$A$1:$KZ$3000,$C60,11+3*MIN(L$3,$D$2-1)))))</f>
        <v>0</v>
      </c>
      <c r="M60" s="131" t="n">
        <f aca="false">IF(OR($C60="",$B$2="",$D$2=0),0,IF(M$3&lt;0,0,N(INDEX('CURVA PREVISION'!$A$1:$KZ$3000,$C60,11+3*MIN(M$3,$D$2-1)))))</f>
        <v>0</v>
      </c>
      <c r="N60" s="131" t="n">
        <f aca="false">IF(OR($C60="",$B$2="",$D$2=0),0,IF(N$3&lt;0,0,N(INDEX('CURVA PREVISION'!$A$1:$KZ$3000,$C60,11+3*MIN(N$3,$D$2-1)))))</f>
        <v>0</v>
      </c>
      <c r="O60" s="131" t="n">
        <f aca="false">IF(OR($C60="",$B$2="",$D$2=0),0,IF(O$3&lt;0,0,N(INDEX('CURVA PREVISION'!$A$1:$KZ$3000,$C60,11+3*MIN(O$3,$D$2-1)))))</f>
        <v>0</v>
      </c>
      <c r="P60" s="131" t="n">
        <f aca="false">IF(OR($C60="",$B$2="",$D$2=0),0,IF(P$3&lt;0,0,N(INDEX('CURVA PREVISION'!$A$1:$KZ$3000,$C60,11+3*MIN(P$3,$D$2-1)))))</f>
        <v>0</v>
      </c>
      <c r="Q60" s="131" t="n">
        <f aca="false">IF(OR($C60="",$B$2="",$D$2=0),0,IF(Q$3&lt;0,0,N(INDEX('CURVA PREVISION'!$A$1:$KZ$3000,$C60,11+3*MIN(Q$3,$D$2-1)))))</f>
        <v>14.87</v>
      </c>
      <c r="R60" s="131" t="n">
        <f aca="false">IF(OR($C60="",$B$2="",$D$2=0),0,IF(R$3&lt;0,0,N(INDEX('CURVA PREVISION'!$A$1:$KZ$3000,$C60,11+3*MIN(R$3,$D$2-1)))))</f>
        <v>16.98</v>
      </c>
      <c r="S60" s="131" t="n">
        <f aca="false">IF(OR($C60="",$B$2="",$D$2=0),0,IF(S$3&lt;0,0,N(INDEX('CURVA PREVISION'!$A$1:$KZ$3000,$C60,11+3*MIN(S$3,$D$2-1)))))</f>
        <v>41.31</v>
      </c>
      <c r="T60" s="131" t="n">
        <f aca="false">IF(OR($C60="",$B$2="",$D$2=0),0,IF(T$3&lt;0,0,N(INDEX('CURVA PREVISION'!$A$1:$KZ$3000,$C60,11+3*MIN(T$3,$D$2-1)))))</f>
        <v>86</v>
      </c>
      <c r="U60" s="131" t="n">
        <f aca="false">IF(OR($C60="",$B$2="",$D$2=0),0,IF(U$3&lt;0,0,N(INDEX('CURVA PREVISION'!$A$1:$KZ$3000,$C60,11+3*MIN(U$3,$D$2-1)))))</f>
        <v>86</v>
      </c>
      <c r="V60" s="131" t="n">
        <f aca="false">IF(OR($C60="",$B$2="",$D$2=0),0,IF(V$3&lt;0,0,N(INDEX('CURVA PREVISION'!$A$1:$KZ$3000,$C60,11+3*MIN(V$3,$D$2-1)))))</f>
        <v>86</v>
      </c>
      <c r="W60" s="131" t="n">
        <f aca="false">IF(OR($C60="",$B$2="",$D$2=0),0,IF(W$3&lt;0,0,N(INDEX('CURVA PREVISION'!$A$1:$KZ$3000,$C60,11+3*MIN(W$3,$D$2-1)))))</f>
        <v>86</v>
      </c>
      <c r="X60" s="131" t="n">
        <f aca="false">IF(OR($C60="",$B$2="",$D$2=0),0,IF(X$3&lt;0,0,N(INDEX('CURVA PREVISION'!$A$1:$KZ$3000,$C60,11+3*MIN(X$3,$D$2-1)))))</f>
        <v>86</v>
      </c>
      <c r="Y60" s="131" t="n">
        <f aca="false">IF(OR($C60="",$B$2="",$D$2=0),0,IF(Y$3&lt;0,0,N(INDEX('CURVA PREVISION'!$A$1:$KZ$3000,$C60,11+3*MIN(Y$3,$D$2-1)))))</f>
        <v>86</v>
      </c>
      <c r="Z60" s="131" t="n">
        <f aca="false">IF(OR($C60="",$B$2="",$D$2=0),0,IF(Z$3&lt;0,0,N(INDEX('CURVA PREVISION'!$A$1:$KZ$3000,$C60,11+3*MIN(Z$3,$D$2-1)))))</f>
        <v>86</v>
      </c>
      <c r="AA60" s="131" t="n">
        <f aca="false">IF(OR($C60="",$B$2="",$D$2=0),0,IF(AA$3&lt;0,0,N(INDEX('CURVA PREVISION'!$A$1:$KZ$3000,$C60,11+3*MIN(AA$3,$D$2-1)))))</f>
        <v>86</v>
      </c>
      <c r="AB60" s="131" t="n">
        <f aca="false">IF(OR($C60="",$B$2="",$D$2=0),0,IF(AB$3&lt;0,0,N(INDEX('CURVA PREVISION'!$A$1:$KZ$3000,$C60,11+3*MIN(AB$3,$D$2-1)))))</f>
        <v>86</v>
      </c>
      <c r="AC60" s="131" t="n">
        <f aca="false">IF(OR($C60="",$B$2="",$D$2=0),0,IF(AC$3&lt;0,0,N(INDEX('CURVA PREVISION'!$A$1:$KZ$3000,$C60,11+3*MIN(AC$3,$D$2-1)))))</f>
        <v>86</v>
      </c>
      <c r="AD60" s="131" t="n">
        <f aca="false">IF(OR($C60="",$B$2="",$D$2=0),0,IF(AD$3&lt;0,0,N(INDEX('CURVA PREVISION'!$A$1:$KZ$3000,$C60,11+3*MIN(AD$3,$D$2-1)))))</f>
        <v>86</v>
      </c>
      <c r="AE60" s="131" t="n">
        <f aca="false">IF(OR($C60="",$B$2="",$D$2=0),0,IF(AE$3&lt;0,0,N(INDEX('CURVA PREVISION'!$A$1:$KZ$3000,$C60,11+3*MIN(AE$3,$D$2-1)))))</f>
        <v>86</v>
      </c>
      <c r="AF60" s="131" t="n">
        <f aca="false">IF(OR($C60="",$B$2="",$D$2=0),0,IF(AF$3&lt;0,0,N(INDEX('CURVA PREVISION'!$A$1:$KZ$3000,$C60,11+3*MIN(AF$3,$D$2-1)))))</f>
        <v>86</v>
      </c>
      <c r="AG60" s="131" t="n">
        <f aca="false">IF(OR($C60="",$B$2="",$D$2=0),0,IF(AG$3&lt;0,0,N(INDEX('CURVA PREVISION'!$A$1:$KZ$3000,$C60,11+3*MIN(AG$3,$D$2-1)))))</f>
        <v>86</v>
      </c>
      <c r="AH60" s="131" t="n">
        <f aca="false">IF(OR($C60="",$B$2="",$D$2=0),0,IF(AH$3&lt;0,0,N(INDEX('CURVA PREVISION'!$A$1:$KZ$3000,$C60,11+3*MIN(AH$3,$D$2-1)))))</f>
        <v>86</v>
      </c>
      <c r="AI60" s="131" t="n">
        <f aca="false">IF(OR($C60="",$B$2="",$D$2=0),0,IF(AI$3&lt;0,0,N(INDEX('CURVA PREVISION'!$A$1:$KZ$3000,$C60,11+3*MIN(AI$3,$D$2-1)))))</f>
        <v>86</v>
      </c>
      <c r="AJ60" s="131" t="n">
        <f aca="false">IF(OR($C60="",$B$2="",$D$2=0),0,IF(AJ$3&lt;0,0,N(INDEX('CURVA PREVISION'!$A$1:$KZ$3000,$C60,11+3*MIN(AJ$3,$D$2-1)))))</f>
        <v>86</v>
      </c>
      <c r="AK60" s="131" t="n">
        <f aca="false">IF(OR($C60="",$B$2="",$D$2=0),0,IF(AK$3&lt;0,0,N(INDEX('CURVA PREVISION'!$A$1:$KZ$3000,$C60,11+3*MIN(AK$3,$D$2-1)))))</f>
        <v>86</v>
      </c>
      <c r="AL60" s="131" t="n">
        <f aca="false">IF(OR($C60="",$B$2="",$D$2=0),0,IF(AL$3&lt;0,0,N(INDEX('CURVA PREVISION'!$A$1:$KZ$3000,$C60,11+3*MIN(AL$3,$D$2-1)))))</f>
        <v>86</v>
      </c>
      <c r="AM60" s="131" t="n">
        <f aca="false">IF(OR($C60="",$B$2="",$D$2=0),0,IF(AM$3&lt;0,0,N(INDEX('CURVA PREVISION'!$A$1:$KZ$3000,$C60,11+3*MIN(AM$3,$D$2-1)))))</f>
        <v>86</v>
      </c>
      <c r="AN60" s="131" t="n">
        <f aca="false">IF(OR($C60="",$B$2="",$D$2=0),0,IF(AN$3&lt;0,0,N(INDEX('CURVA PREVISION'!$A$1:$KZ$3000,$C60,11+3*MIN(AN$3,$D$2-1)))))</f>
        <v>86</v>
      </c>
      <c r="AO60" s="131" t="n">
        <f aca="false">IF(OR($C60="",$B$2="",$D$2=0),0,IF(AO$3&lt;0,0,N(INDEX('CURVA PREVISION'!$A$1:$KZ$3000,$C60,11+3*MIN(AO$3,$D$2-1)))))</f>
        <v>86</v>
      </c>
      <c r="AP60" s="131" t="n">
        <f aca="false">IF(OR($C60="",$B$2="",$D$2=0),0,IF(AP$3&lt;0,0,N(INDEX('CURVA PREVISION'!$A$1:$KZ$3000,$C60,11+3*MIN(AP$3,$D$2-1)))))</f>
        <v>86</v>
      </c>
      <c r="AQ60" s="131" t="n">
        <f aca="false">IF(OR($C60="",$B$2="",$D$2=0),0,IF(AQ$3&lt;0,0,N(INDEX('CURVA PREVISION'!$A$1:$KZ$3000,$C60,11+3*MIN(AQ$3,$D$2-1)))))</f>
        <v>86</v>
      </c>
      <c r="AR60" s="131" t="n">
        <f aca="false">IF(OR($C60="",$B$2="",$D$2=0),0,IF(AR$3&lt;0,0,N(INDEX('CURVA PREVISION'!$A$1:$KZ$3000,$C60,11+3*MIN(AR$3,$D$2-1)))))</f>
        <v>86</v>
      </c>
      <c r="AS60" s="131" t="n">
        <f aca="false">IF(OR($C60="",$B$2="",$D$2=0),0,IF(AS$3&lt;0,0,N(INDEX('CURVA PREVISION'!$A$1:$KZ$3000,$C60,11+3*MIN(AS$3,$D$2-1)))))</f>
        <v>86</v>
      </c>
      <c r="AT60" s="131" t="n">
        <f aca="false">IF(OR($C60="",$B$2="",$D$2=0),0,IF(AT$3&lt;0,0,N(INDEX('CURVA PREVISION'!$A$1:$KZ$3000,$C60,11+3*MIN(AT$3,$D$2-1)))))</f>
        <v>86</v>
      </c>
      <c r="AU60" s="131" t="n">
        <f aca="false">IF(OR($C60="",$B$2="",$D$2=0),0,IF(AU$3&lt;0,0,N(INDEX('CURVA PREVISION'!$A$1:$KZ$3000,$C60,11+3*MIN(AU$3,$D$2-1)))))</f>
        <v>86</v>
      </c>
      <c r="AV60" s="131" t="n">
        <f aca="false">IF(OR($C60="",$B$2="",$D$2=0),0,IF(AV$3&lt;0,0,N(INDEX('CURVA PREVISION'!$A$1:$KZ$3000,$C60,11+3*MIN(AV$3,$D$2-1)))))</f>
        <v>86</v>
      </c>
      <c r="AW60" s="131" t="n">
        <f aca="false">IF(OR($C60="",$B$2="",$D$2=0),0,IF(AW$3&lt;0,0,N(INDEX('CURVA PREVISION'!$A$1:$KZ$3000,$C60,11+3*MIN(AW$3,$D$2-1)))))</f>
        <v>86</v>
      </c>
      <c r="AX60" s="131" t="n">
        <f aca="false">IF(OR($C60="",$B$2="",$D$2=0),0,IF(AX$3&lt;0,0,N(INDEX('CURVA PREVISION'!$A$1:$KZ$3000,$C60,11+3*MIN(AX$3,$D$2-1)))))</f>
        <v>86</v>
      </c>
      <c r="AY60" s="131" t="n">
        <f aca="false">IF(OR($C60="",$B$2="",$D$2=0),0,IF(AY$3&lt;0,0,N(INDEX('CURVA PREVISION'!$A$1:$KZ$3000,$C60,11+3*MIN(AY$3,$D$2-1)))))</f>
        <v>86</v>
      </c>
      <c r="AZ60" s="131" t="n">
        <f aca="false">IF(OR($C60="",$B$2="",$D$2=0),0,IF(AZ$3&lt;0,0,N(INDEX('CURVA PREVISION'!$A$1:$KZ$3000,$C60,11+3*MIN(AZ$3,$D$2-1)))))</f>
        <v>86</v>
      </c>
      <c r="BA60" s="131" t="n">
        <f aca="false">IF(OR($C60="",$B$2="",$D$2=0),0,IF(BA$3&lt;0,0,N(INDEX('CURVA PREVISION'!$A$1:$KZ$3000,$C60,11+3*MIN(BA$3,$D$2-1)))))</f>
        <v>86</v>
      </c>
      <c r="BB60" s="131" t="n">
        <f aca="false">IF(OR($C60="",$B$2="",$D$2=0),0,IF(BB$3&lt;0,0,N(INDEX('CURVA PREVISION'!$A$1:$KZ$3000,$C60,11+3*MIN(BB$3,$D$2-1)))))</f>
        <v>86</v>
      </c>
      <c r="BC60" s="131" t="n">
        <f aca="false">IF(OR($C60="",$B$2="",$D$2=0),0,IF(BC$3&lt;0,0,N(INDEX('CURVA PREVISION'!$A$1:$KZ$3000,$C60,11+3*MIN(BC$3,$D$2-1)))))</f>
        <v>86</v>
      </c>
      <c r="BD60" s="131" t="n">
        <f aca="false">IF(OR($C60="",$B$2="",$D$2=0),0,IF(BD$3&lt;0,0,N(INDEX('CURVA PREVISION'!$A$1:$KZ$3000,$C60,11+3*MIN(BD$3,$D$2-1)))))</f>
        <v>86</v>
      </c>
      <c r="BE60" s="131" t="n">
        <f aca="false">IF(OR($C60="",$B$2="",$D$2=0),0,IF(BE$3&lt;0,0,N(INDEX('CURVA PREVISION'!$A$1:$KZ$3000,$C60,11+3*MIN(BE$3,$D$2-1)))))</f>
        <v>86</v>
      </c>
      <c r="BF60" s="131" t="n">
        <f aca="false">IF(OR($C60="",$B$2="",$D$2=0),0,IF(BF$3&lt;0,0,N(INDEX('CURVA PREVISION'!$A$1:$KZ$3000,$C60,11+3*MIN(BF$3,$D$2-1)))))</f>
        <v>86</v>
      </c>
      <c r="BG60" s="131" t="n">
        <f aca="false">IF(OR($C60="",$B$2="",$D$2=0),0,IF(BG$3&lt;0,0,N(INDEX('CURVA PREVISION'!$A$1:$KZ$3000,$C60,11+3*MIN(BG$3,$D$2-1)))))</f>
        <v>86</v>
      </c>
      <c r="BH60" s="131" t="n">
        <f aca="false">IF(OR($C60="",$B$2="",$D$2=0),0,IF(BH$3&lt;0,0,N(INDEX('CURVA PREVISION'!$A$1:$KZ$3000,$C60,11+3*MIN(BH$3,$D$2-1)))))</f>
        <v>86</v>
      </c>
      <c r="BI60" s="131" t="n">
        <f aca="false">IF(OR($C60="",$B$2="",$D$2=0),0,IF(BI$3&lt;0,0,N(INDEX('CURVA PREVISION'!$A$1:$KZ$3000,$C60,11+3*MIN(BI$3,$D$2-1)))))</f>
        <v>86</v>
      </c>
      <c r="BJ60" s="131" t="n">
        <f aca="false">IF(OR($C60="",$B$2="",$D$2=0),0,IF(BJ$3&lt;0,0,N(INDEX('CURVA PREVISION'!$A$1:$KZ$3000,$C60,11+3*MIN(BJ$3,$D$2-1)))))</f>
        <v>86</v>
      </c>
      <c r="BK60" s="131" t="n">
        <f aca="false">IF(OR($C60="",$B$2="",$D$2=0),0,IF(BK$3&lt;0,0,N(INDEX('CURVA PREVISION'!$A$1:$KZ$3000,$C60,11+3*MIN(BK$3,$D$2-1)))))</f>
        <v>86</v>
      </c>
      <c r="BL60" s="131" t="n">
        <f aca="false">IF(OR($C60="",$B$2="",$D$2=0),0,IF(BL$3&lt;0,0,N(INDEX('CURVA PREVISION'!$A$1:$KZ$3000,$C60,11+3*MIN(BL$3,$D$2-1)))))</f>
        <v>86</v>
      </c>
      <c r="BM60" s="131" t="n">
        <f aca="false">IF(OR($C60="",$B$2="",$D$2=0),0,IF(BM$3&lt;0,0,N(INDEX('CURVA PREVISION'!$A$1:$KZ$3000,$C60,11+3*MIN(BM$3,$D$2-1)))))</f>
        <v>86</v>
      </c>
      <c r="BN60" s="131" t="n">
        <f aca="false">IF(OR($C60="",$B$2="",$D$2=0),0,IF(BN$3&lt;0,0,N(INDEX('CURVA PREVISION'!$A$1:$KZ$3000,$C60,11+3*MIN(BN$3,$D$2-1)))))</f>
        <v>86</v>
      </c>
      <c r="BO60" s="131" t="n">
        <f aca="false">IF(OR($C60="",$B$2="",$D$2=0),0,IF(BO$3&lt;0,0,N(INDEX('CURVA PREVISION'!$A$1:$KZ$3000,$C60,11+3*MIN(BO$3,$D$2-1)))))</f>
        <v>86</v>
      </c>
      <c r="BP60" s="131" t="n">
        <f aca="false">IF(OR($C60="",$B$2="",$D$2=0),0,IF(BP$3&lt;0,0,N(INDEX('CURVA PREVISION'!$A$1:$KZ$3000,$C60,11+3*MIN(BP$3,$D$2-1)))))</f>
        <v>86</v>
      </c>
      <c r="BQ60" s="131" t="n">
        <f aca="false">IF(OR($C60="",$B$2="",$D$2=0),0,IF(BQ$3&lt;0,0,N(INDEX('CURVA PREVISION'!$A$1:$KZ$3000,$C60,11+3*MIN(BQ$3,$D$2-1)))))</f>
        <v>86</v>
      </c>
      <c r="BR60" s="131" t="n">
        <f aca="false">IF(OR($C60="",$B$2="",$D$2=0),0,IF(BR$3&lt;0,0,N(INDEX('CURVA PREVISION'!$A$1:$KZ$3000,$C60,11+3*MIN(BR$3,$D$2-1)))))</f>
        <v>86</v>
      </c>
      <c r="BS60" s="131" t="n">
        <f aca="false">IF(OR($C60="",$B$2="",$D$2=0),0,IF(BS$3&lt;0,0,N(INDEX('CURVA PREVISION'!$A$1:$KZ$3000,$C60,11+3*MIN(BS$3,$D$2-1)))))</f>
        <v>86</v>
      </c>
      <c r="BT60" s="131" t="n">
        <f aca="false">IF(OR($C60="",$B$2="",$D$2=0),0,IF(BT$3&lt;0,0,N(INDEX('CURVA PREVISION'!$A$1:$KZ$3000,$C60,11+3*MIN(BT$3,$D$2-1)))))</f>
        <v>86</v>
      </c>
      <c r="BU60" s="131" t="n">
        <f aca="false">IF(OR($C60="",$B$2="",$D$2=0),0,IF(BU$3&lt;0,0,N(INDEX('CURVA PREVISION'!$A$1:$KZ$3000,$C60,11+3*MIN(BU$3,$D$2-1)))))</f>
        <v>86</v>
      </c>
      <c r="BV60" s="131" t="n">
        <f aca="false">IF(OR($C60="",$B$2="",$D$2=0),0,IF(BV$3&lt;0,0,N(INDEX('CURVA PREVISION'!$A$1:$KZ$3000,$C60,11+3*MIN(BV$3,$D$2-1)))))</f>
        <v>86</v>
      </c>
      <c r="BW60" s="131" t="n">
        <f aca="false">IF(OR($C60="",$B$2="",$D$2=0),0,IF(BW$3&lt;0,0,N(INDEX('CURVA PREVISION'!$A$1:$KZ$3000,$C60,11+3*MIN(BW$3,$D$2-1)))))</f>
        <v>86</v>
      </c>
    </row>
    <row r="61" customFormat="false" ht="15" hidden="false" customHeight="false" outlineLevel="0" collapsed="false">
      <c r="A61" s="57" t="str">
        <f aca="false">IF('VALOR POR PL'!Q25="",'VALOR POR PL'!C25,'VALOR POR PL'!Q25)</f>
        <v>15</v>
      </c>
      <c r="B61" s="47" t="str">
        <f aca="false">B19</f>
        <v>FUNDAÇÃO PROFUNDA</v>
      </c>
      <c r="C61" s="64" t="n">
        <f aca="false">IFERROR(MATCH(A61,'CURVA PREVISION'!$B$1:$B$3000,0),"")</f>
        <v>286</v>
      </c>
      <c r="D61" s="131" t="n">
        <f aca="false">IF(OR($C61="",$B$2="",$D$2=0),0,IF(D$3&lt;0,0,N(INDEX('CURVA PREVISION'!$A$1:$KZ$3000,$C61,11+3*MIN(D$3,$D$2-1)))))</f>
        <v>0</v>
      </c>
      <c r="E61" s="131" t="n">
        <f aca="false">IF(OR($C61="",$B$2="",$D$2=0),0,IF(E$3&lt;0,0,N(INDEX('CURVA PREVISION'!$A$1:$KZ$3000,$C61,11+3*MIN(E$3,$D$2-1)))))</f>
        <v>0</v>
      </c>
      <c r="F61" s="131" t="n">
        <f aca="false">IF(OR($C61="",$B$2="",$D$2=0),0,IF(F$3&lt;0,0,N(INDEX('CURVA PREVISION'!$A$1:$KZ$3000,$C61,11+3*MIN(F$3,$D$2-1)))))</f>
        <v>0</v>
      </c>
      <c r="G61" s="131" t="n">
        <f aca="false">IF(OR($C61="",$B$2="",$D$2=0),0,IF(G$3&lt;0,0,N(INDEX('CURVA PREVISION'!$A$1:$KZ$3000,$C61,11+3*MIN(G$3,$D$2-1)))))</f>
        <v>0</v>
      </c>
      <c r="H61" s="131" t="n">
        <f aca="false">IF(OR($C61="",$B$2="",$D$2=0),0,IF(H$3&lt;0,0,N(INDEX('CURVA PREVISION'!$A$1:$KZ$3000,$C61,11+3*MIN(H$3,$D$2-1)))))</f>
        <v>0</v>
      </c>
      <c r="I61" s="131" t="n">
        <f aca="false">IF(OR($C61="",$B$2="",$D$2=0),0,IF(I$3&lt;0,0,N(INDEX('CURVA PREVISION'!$A$1:$KZ$3000,$C61,11+3*MIN(I$3,$D$2-1)))))</f>
        <v>0</v>
      </c>
      <c r="J61" s="131" t="n">
        <f aca="false">IF(OR($C61="",$B$2="",$D$2=0),0,IF(J$3&lt;0,0,N(INDEX('CURVA PREVISION'!$A$1:$KZ$3000,$C61,11+3*MIN(J$3,$D$2-1)))))</f>
        <v>0</v>
      </c>
      <c r="K61" s="131" t="n">
        <f aca="false">IF(OR($C61="",$B$2="",$D$2=0),0,IF(K$3&lt;0,0,N(INDEX('CURVA PREVISION'!$A$1:$KZ$3000,$C61,11+3*MIN(K$3,$D$2-1)))))</f>
        <v>0</v>
      </c>
      <c r="L61" s="131" t="n">
        <f aca="false">IF(OR($C61="",$B$2="",$D$2=0),0,IF(L$3&lt;0,0,N(INDEX('CURVA PREVISION'!$A$1:$KZ$3000,$C61,11+3*MIN(L$3,$D$2-1)))))</f>
        <v>0</v>
      </c>
      <c r="M61" s="131" t="n">
        <f aca="false">IF(OR($C61="",$B$2="",$D$2=0),0,IF(M$3&lt;0,0,N(INDEX('CURVA PREVISION'!$A$1:$KZ$3000,$C61,11+3*MIN(M$3,$D$2-1)))))</f>
        <v>0</v>
      </c>
      <c r="N61" s="131" t="n">
        <f aca="false">IF(OR($C61="",$B$2="",$D$2=0),0,IF(N$3&lt;0,0,N(INDEX('CURVA PREVISION'!$A$1:$KZ$3000,$C61,11+3*MIN(N$3,$D$2-1)))))</f>
        <v>21.06</v>
      </c>
      <c r="O61" s="131" t="n">
        <f aca="false">IF(OR($C61="",$B$2="",$D$2=0),0,IF(O$3&lt;0,0,N(INDEX('CURVA PREVISION'!$A$1:$KZ$3000,$C61,11+3*MIN(O$3,$D$2-1)))))</f>
        <v>46.99</v>
      </c>
      <c r="P61" s="131" t="n">
        <f aca="false">IF(OR($C61="",$B$2="",$D$2=0),0,IF(P$3&lt;0,0,N(INDEX('CURVA PREVISION'!$A$1:$KZ$3000,$C61,11+3*MIN(P$3,$D$2-1)))))</f>
        <v>62.54</v>
      </c>
      <c r="Q61" s="131" t="n">
        <f aca="false">IF(OR($C61="",$B$2="",$D$2=0),0,IF(Q$3&lt;0,0,N(INDEX('CURVA PREVISION'!$A$1:$KZ$3000,$C61,11+3*MIN(Q$3,$D$2-1)))))</f>
        <v>80.98</v>
      </c>
      <c r="R61" s="131" t="n">
        <f aca="false">IF(OR($C61="",$B$2="",$D$2=0),0,IF(R$3&lt;0,0,N(INDEX('CURVA PREVISION'!$A$1:$KZ$3000,$C61,11+3*MIN(R$3,$D$2-1)))))</f>
        <v>94.31</v>
      </c>
      <c r="S61" s="131" t="n">
        <f aca="false">IF(OR($C61="",$B$2="",$D$2=0),0,IF(S$3&lt;0,0,N(INDEX('CURVA PREVISION'!$A$1:$KZ$3000,$C61,11+3*MIN(S$3,$D$2-1)))))</f>
        <v>99.53</v>
      </c>
      <c r="T61" s="131" t="n">
        <f aca="false">IF(OR($C61="",$B$2="",$D$2=0),0,IF(T$3&lt;0,0,N(INDEX('CURVA PREVISION'!$A$1:$KZ$3000,$C61,11+3*MIN(T$3,$D$2-1)))))</f>
        <v>99.53</v>
      </c>
      <c r="U61" s="131" t="n">
        <f aca="false">IF(OR($C61="",$B$2="",$D$2=0),0,IF(U$3&lt;0,0,N(INDEX('CURVA PREVISION'!$A$1:$KZ$3000,$C61,11+3*MIN(U$3,$D$2-1)))))</f>
        <v>99.53</v>
      </c>
      <c r="V61" s="131" t="n">
        <f aca="false">IF(OR($C61="",$B$2="",$D$2=0),0,IF(V$3&lt;0,0,N(INDEX('CURVA PREVISION'!$A$1:$KZ$3000,$C61,11+3*MIN(V$3,$D$2-1)))))</f>
        <v>99.53</v>
      </c>
      <c r="W61" s="131" t="n">
        <f aca="false">IF(OR($C61="",$B$2="",$D$2=0),0,IF(W$3&lt;0,0,N(INDEX('CURVA PREVISION'!$A$1:$KZ$3000,$C61,11+3*MIN(W$3,$D$2-1)))))</f>
        <v>99.53</v>
      </c>
      <c r="X61" s="131" t="n">
        <f aca="false">IF(OR($C61="",$B$2="",$D$2=0),0,IF(X$3&lt;0,0,N(INDEX('CURVA PREVISION'!$A$1:$KZ$3000,$C61,11+3*MIN(X$3,$D$2-1)))))</f>
        <v>99.53</v>
      </c>
      <c r="Y61" s="131" t="n">
        <f aca="false">IF(OR($C61="",$B$2="",$D$2=0),0,IF(Y$3&lt;0,0,N(INDEX('CURVA PREVISION'!$A$1:$KZ$3000,$C61,11+3*MIN(Y$3,$D$2-1)))))</f>
        <v>99.53</v>
      </c>
      <c r="Z61" s="131" t="n">
        <f aca="false">IF(OR($C61="",$B$2="",$D$2=0),0,IF(Z$3&lt;0,0,N(INDEX('CURVA PREVISION'!$A$1:$KZ$3000,$C61,11+3*MIN(Z$3,$D$2-1)))))</f>
        <v>99.53</v>
      </c>
      <c r="AA61" s="131" t="n">
        <f aca="false">IF(OR($C61="",$B$2="",$D$2=0),0,IF(AA$3&lt;0,0,N(INDEX('CURVA PREVISION'!$A$1:$KZ$3000,$C61,11+3*MIN(AA$3,$D$2-1)))))</f>
        <v>99.53</v>
      </c>
      <c r="AB61" s="131" t="n">
        <f aca="false">IF(OR($C61="",$B$2="",$D$2=0),0,IF(AB$3&lt;0,0,N(INDEX('CURVA PREVISION'!$A$1:$KZ$3000,$C61,11+3*MIN(AB$3,$D$2-1)))))</f>
        <v>99.53</v>
      </c>
      <c r="AC61" s="131" t="n">
        <f aca="false">IF(OR($C61="",$B$2="",$D$2=0),0,IF(AC$3&lt;0,0,N(INDEX('CURVA PREVISION'!$A$1:$KZ$3000,$C61,11+3*MIN(AC$3,$D$2-1)))))</f>
        <v>99.53</v>
      </c>
      <c r="AD61" s="131" t="n">
        <f aca="false">IF(OR($C61="",$B$2="",$D$2=0),0,IF(AD$3&lt;0,0,N(INDEX('CURVA PREVISION'!$A$1:$KZ$3000,$C61,11+3*MIN(AD$3,$D$2-1)))))</f>
        <v>99.53</v>
      </c>
      <c r="AE61" s="131" t="n">
        <f aca="false">IF(OR($C61="",$B$2="",$D$2=0),0,IF(AE$3&lt;0,0,N(INDEX('CURVA PREVISION'!$A$1:$KZ$3000,$C61,11+3*MIN(AE$3,$D$2-1)))))</f>
        <v>99.53</v>
      </c>
      <c r="AF61" s="131" t="n">
        <f aca="false">IF(OR($C61="",$B$2="",$D$2=0),0,IF(AF$3&lt;0,0,N(INDEX('CURVA PREVISION'!$A$1:$KZ$3000,$C61,11+3*MIN(AF$3,$D$2-1)))))</f>
        <v>99.53</v>
      </c>
      <c r="AG61" s="131" t="n">
        <f aca="false">IF(OR($C61="",$B$2="",$D$2=0),0,IF(AG$3&lt;0,0,N(INDEX('CURVA PREVISION'!$A$1:$KZ$3000,$C61,11+3*MIN(AG$3,$D$2-1)))))</f>
        <v>99.53</v>
      </c>
      <c r="AH61" s="131" t="n">
        <f aca="false">IF(OR($C61="",$B$2="",$D$2=0),0,IF(AH$3&lt;0,0,N(INDEX('CURVA PREVISION'!$A$1:$KZ$3000,$C61,11+3*MIN(AH$3,$D$2-1)))))</f>
        <v>99.53</v>
      </c>
      <c r="AI61" s="131" t="n">
        <f aca="false">IF(OR($C61="",$B$2="",$D$2=0),0,IF(AI$3&lt;0,0,N(INDEX('CURVA PREVISION'!$A$1:$KZ$3000,$C61,11+3*MIN(AI$3,$D$2-1)))))</f>
        <v>99.53</v>
      </c>
      <c r="AJ61" s="131" t="n">
        <f aca="false">IF(OR($C61="",$B$2="",$D$2=0),0,IF(AJ$3&lt;0,0,N(INDEX('CURVA PREVISION'!$A$1:$KZ$3000,$C61,11+3*MIN(AJ$3,$D$2-1)))))</f>
        <v>99.53</v>
      </c>
      <c r="AK61" s="131" t="n">
        <f aca="false">IF(OR($C61="",$B$2="",$D$2=0),0,IF(AK$3&lt;0,0,N(INDEX('CURVA PREVISION'!$A$1:$KZ$3000,$C61,11+3*MIN(AK$3,$D$2-1)))))</f>
        <v>99.53</v>
      </c>
      <c r="AL61" s="131" t="n">
        <f aca="false">IF(OR($C61="",$B$2="",$D$2=0),0,IF(AL$3&lt;0,0,N(INDEX('CURVA PREVISION'!$A$1:$KZ$3000,$C61,11+3*MIN(AL$3,$D$2-1)))))</f>
        <v>99.53</v>
      </c>
      <c r="AM61" s="131" t="n">
        <f aca="false">IF(OR($C61="",$B$2="",$D$2=0),0,IF(AM$3&lt;0,0,N(INDEX('CURVA PREVISION'!$A$1:$KZ$3000,$C61,11+3*MIN(AM$3,$D$2-1)))))</f>
        <v>99.53</v>
      </c>
      <c r="AN61" s="131" t="n">
        <f aca="false">IF(OR($C61="",$B$2="",$D$2=0),0,IF(AN$3&lt;0,0,N(INDEX('CURVA PREVISION'!$A$1:$KZ$3000,$C61,11+3*MIN(AN$3,$D$2-1)))))</f>
        <v>99.53</v>
      </c>
      <c r="AO61" s="131" t="n">
        <f aca="false">IF(OR($C61="",$B$2="",$D$2=0),0,IF(AO$3&lt;0,0,N(INDEX('CURVA PREVISION'!$A$1:$KZ$3000,$C61,11+3*MIN(AO$3,$D$2-1)))))</f>
        <v>99.53</v>
      </c>
      <c r="AP61" s="131" t="n">
        <f aca="false">IF(OR($C61="",$B$2="",$D$2=0),0,IF(AP$3&lt;0,0,N(INDEX('CURVA PREVISION'!$A$1:$KZ$3000,$C61,11+3*MIN(AP$3,$D$2-1)))))</f>
        <v>99.53</v>
      </c>
      <c r="AQ61" s="131" t="n">
        <f aca="false">IF(OR($C61="",$B$2="",$D$2=0),0,IF(AQ$3&lt;0,0,N(INDEX('CURVA PREVISION'!$A$1:$KZ$3000,$C61,11+3*MIN(AQ$3,$D$2-1)))))</f>
        <v>99.53</v>
      </c>
      <c r="AR61" s="131" t="n">
        <f aca="false">IF(OR($C61="",$B$2="",$D$2=0),0,IF(AR$3&lt;0,0,N(INDEX('CURVA PREVISION'!$A$1:$KZ$3000,$C61,11+3*MIN(AR$3,$D$2-1)))))</f>
        <v>99.53</v>
      </c>
      <c r="AS61" s="131" t="n">
        <f aca="false">IF(OR($C61="",$B$2="",$D$2=0),0,IF(AS$3&lt;0,0,N(INDEX('CURVA PREVISION'!$A$1:$KZ$3000,$C61,11+3*MIN(AS$3,$D$2-1)))))</f>
        <v>99.53</v>
      </c>
      <c r="AT61" s="131" t="n">
        <f aca="false">IF(OR($C61="",$B$2="",$D$2=0),0,IF(AT$3&lt;0,0,N(INDEX('CURVA PREVISION'!$A$1:$KZ$3000,$C61,11+3*MIN(AT$3,$D$2-1)))))</f>
        <v>99.53</v>
      </c>
      <c r="AU61" s="131" t="n">
        <f aca="false">IF(OR($C61="",$B$2="",$D$2=0),0,IF(AU$3&lt;0,0,N(INDEX('CURVA PREVISION'!$A$1:$KZ$3000,$C61,11+3*MIN(AU$3,$D$2-1)))))</f>
        <v>99.53</v>
      </c>
      <c r="AV61" s="131" t="n">
        <f aca="false">IF(OR($C61="",$B$2="",$D$2=0),0,IF(AV$3&lt;0,0,N(INDEX('CURVA PREVISION'!$A$1:$KZ$3000,$C61,11+3*MIN(AV$3,$D$2-1)))))</f>
        <v>99.53</v>
      </c>
      <c r="AW61" s="131" t="n">
        <f aca="false">IF(OR($C61="",$B$2="",$D$2=0),0,IF(AW$3&lt;0,0,N(INDEX('CURVA PREVISION'!$A$1:$KZ$3000,$C61,11+3*MIN(AW$3,$D$2-1)))))</f>
        <v>99.53</v>
      </c>
      <c r="AX61" s="131" t="n">
        <f aca="false">IF(OR($C61="",$B$2="",$D$2=0),0,IF(AX$3&lt;0,0,N(INDEX('CURVA PREVISION'!$A$1:$KZ$3000,$C61,11+3*MIN(AX$3,$D$2-1)))))</f>
        <v>99.53</v>
      </c>
      <c r="AY61" s="131" t="n">
        <f aca="false">IF(OR($C61="",$B$2="",$D$2=0),0,IF(AY$3&lt;0,0,N(INDEX('CURVA PREVISION'!$A$1:$KZ$3000,$C61,11+3*MIN(AY$3,$D$2-1)))))</f>
        <v>99.53</v>
      </c>
      <c r="AZ61" s="131" t="n">
        <f aca="false">IF(OR($C61="",$B$2="",$D$2=0),0,IF(AZ$3&lt;0,0,N(INDEX('CURVA PREVISION'!$A$1:$KZ$3000,$C61,11+3*MIN(AZ$3,$D$2-1)))))</f>
        <v>99.53</v>
      </c>
      <c r="BA61" s="131" t="n">
        <f aca="false">IF(OR($C61="",$B$2="",$D$2=0),0,IF(BA$3&lt;0,0,N(INDEX('CURVA PREVISION'!$A$1:$KZ$3000,$C61,11+3*MIN(BA$3,$D$2-1)))))</f>
        <v>99.53</v>
      </c>
      <c r="BB61" s="131" t="n">
        <f aca="false">IF(OR($C61="",$B$2="",$D$2=0),0,IF(BB$3&lt;0,0,N(INDEX('CURVA PREVISION'!$A$1:$KZ$3000,$C61,11+3*MIN(BB$3,$D$2-1)))))</f>
        <v>99.53</v>
      </c>
      <c r="BC61" s="131" t="n">
        <f aca="false">IF(OR($C61="",$B$2="",$D$2=0),0,IF(BC$3&lt;0,0,N(INDEX('CURVA PREVISION'!$A$1:$KZ$3000,$C61,11+3*MIN(BC$3,$D$2-1)))))</f>
        <v>99.53</v>
      </c>
      <c r="BD61" s="131" t="n">
        <f aca="false">IF(OR($C61="",$B$2="",$D$2=0),0,IF(BD$3&lt;0,0,N(INDEX('CURVA PREVISION'!$A$1:$KZ$3000,$C61,11+3*MIN(BD$3,$D$2-1)))))</f>
        <v>99.53</v>
      </c>
      <c r="BE61" s="131" t="n">
        <f aca="false">IF(OR($C61="",$B$2="",$D$2=0),0,IF(BE$3&lt;0,0,N(INDEX('CURVA PREVISION'!$A$1:$KZ$3000,$C61,11+3*MIN(BE$3,$D$2-1)))))</f>
        <v>99.53</v>
      </c>
      <c r="BF61" s="131" t="n">
        <f aca="false">IF(OR($C61="",$B$2="",$D$2=0),0,IF(BF$3&lt;0,0,N(INDEX('CURVA PREVISION'!$A$1:$KZ$3000,$C61,11+3*MIN(BF$3,$D$2-1)))))</f>
        <v>99.53</v>
      </c>
      <c r="BG61" s="131" t="n">
        <f aca="false">IF(OR($C61="",$B$2="",$D$2=0),0,IF(BG$3&lt;0,0,N(INDEX('CURVA PREVISION'!$A$1:$KZ$3000,$C61,11+3*MIN(BG$3,$D$2-1)))))</f>
        <v>99.53</v>
      </c>
      <c r="BH61" s="131" t="n">
        <f aca="false">IF(OR($C61="",$B$2="",$D$2=0),0,IF(BH$3&lt;0,0,N(INDEX('CURVA PREVISION'!$A$1:$KZ$3000,$C61,11+3*MIN(BH$3,$D$2-1)))))</f>
        <v>99.53</v>
      </c>
      <c r="BI61" s="131" t="n">
        <f aca="false">IF(OR($C61="",$B$2="",$D$2=0),0,IF(BI$3&lt;0,0,N(INDEX('CURVA PREVISION'!$A$1:$KZ$3000,$C61,11+3*MIN(BI$3,$D$2-1)))))</f>
        <v>99.53</v>
      </c>
      <c r="BJ61" s="131" t="n">
        <f aca="false">IF(OR($C61="",$B$2="",$D$2=0),0,IF(BJ$3&lt;0,0,N(INDEX('CURVA PREVISION'!$A$1:$KZ$3000,$C61,11+3*MIN(BJ$3,$D$2-1)))))</f>
        <v>99.53</v>
      </c>
      <c r="BK61" s="131" t="n">
        <f aca="false">IF(OR($C61="",$B$2="",$D$2=0),0,IF(BK$3&lt;0,0,N(INDEX('CURVA PREVISION'!$A$1:$KZ$3000,$C61,11+3*MIN(BK$3,$D$2-1)))))</f>
        <v>99.53</v>
      </c>
      <c r="BL61" s="131" t="n">
        <f aca="false">IF(OR($C61="",$B$2="",$D$2=0),0,IF(BL$3&lt;0,0,N(INDEX('CURVA PREVISION'!$A$1:$KZ$3000,$C61,11+3*MIN(BL$3,$D$2-1)))))</f>
        <v>99.53</v>
      </c>
      <c r="BM61" s="131" t="n">
        <f aca="false">IF(OR($C61="",$B$2="",$D$2=0),0,IF(BM$3&lt;0,0,N(INDEX('CURVA PREVISION'!$A$1:$KZ$3000,$C61,11+3*MIN(BM$3,$D$2-1)))))</f>
        <v>99.53</v>
      </c>
      <c r="BN61" s="131" t="n">
        <f aca="false">IF(OR($C61="",$B$2="",$D$2=0),0,IF(BN$3&lt;0,0,N(INDEX('CURVA PREVISION'!$A$1:$KZ$3000,$C61,11+3*MIN(BN$3,$D$2-1)))))</f>
        <v>99.53</v>
      </c>
      <c r="BO61" s="131" t="n">
        <f aca="false">IF(OR($C61="",$B$2="",$D$2=0),0,IF(BO$3&lt;0,0,N(INDEX('CURVA PREVISION'!$A$1:$KZ$3000,$C61,11+3*MIN(BO$3,$D$2-1)))))</f>
        <v>99.53</v>
      </c>
      <c r="BP61" s="131" t="n">
        <f aca="false">IF(OR($C61="",$B$2="",$D$2=0),0,IF(BP$3&lt;0,0,N(INDEX('CURVA PREVISION'!$A$1:$KZ$3000,$C61,11+3*MIN(BP$3,$D$2-1)))))</f>
        <v>99.53</v>
      </c>
      <c r="BQ61" s="131" t="n">
        <f aca="false">IF(OR($C61="",$B$2="",$D$2=0),0,IF(BQ$3&lt;0,0,N(INDEX('CURVA PREVISION'!$A$1:$KZ$3000,$C61,11+3*MIN(BQ$3,$D$2-1)))))</f>
        <v>99.53</v>
      </c>
      <c r="BR61" s="131" t="n">
        <f aca="false">IF(OR($C61="",$B$2="",$D$2=0),0,IF(BR$3&lt;0,0,N(INDEX('CURVA PREVISION'!$A$1:$KZ$3000,$C61,11+3*MIN(BR$3,$D$2-1)))))</f>
        <v>99.53</v>
      </c>
      <c r="BS61" s="131" t="n">
        <f aca="false">IF(OR($C61="",$B$2="",$D$2=0),0,IF(BS$3&lt;0,0,N(INDEX('CURVA PREVISION'!$A$1:$KZ$3000,$C61,11+3*MIN(BS$3,$D$2-1)))))</f>
        <v>99.53</v>
      </c>
      <c r="BT61" s="131" t="n">
        <f aca="false">IF(OR($C61="",$B$2="",$D$2=0),0,IF(BT$3&lt;0,0,N(INDEX('CURVA PREVISION'!$A$1:$KZ$3000,$C61,11+3*MIN(BT$3,$D$2-1)))))</f>
        <v>99.53</v>
      </c>
      <c r="BU61" s="131" t="n">
        <f aca="false">IF(OR($C61="",$B$2="",$D$2=0),0,IF(BU$3&lt;0,0,N(INDEX('CURVA PREVISION'!$A$1:$KZ$3000,$C61,11+3*MIN(BU$3,$D$2-1)))))</f>
        <v>99.53</v>
      </c>
      <c r="BV61" s="131" t="n">
        <f aca="false">IF(OR($C61="",$B$2="",$D$2=0),0,IF(BV$3&lt;0,0,N(INDEX('CURVA PREVISION'!$A$1:$KZ$3000,$C61,11+3*MIN(BV$3,$D$2-1)))))</f>
        <v>99.53</v>
      </c>
      <c r="BW61" s="131" t="n">
        <f aca="false">IF(OR($C61="",$B$2="",$D$2=0),0,IF(BW$3&lt;0,0,N(INDEX('CURVA PREVISION'!$A$1:$KZ$3000,$C61,11+3*MIN(BW$3,$D$2-1)))))</f>
        <v>99.53</v>
      </c>
    </row>
    <row r="62" customFormat="false" ht="15" hidden="false" customHeight="false" outlineLevel="0" collapsed="false">
      <c r="A62" s="57" t="str">
        <f aca="false">IF('VALOR POR PL'!Q26="",'VALOR POR PL'!C26,'VALOR POR PL'!Q26)</f>
        <v>16</v>
      </c>
      <c r="B62" s="47" t="str">
        <f aca="false">B20</f>
        <v>FUNDAÇÃO SUPERFICIAL</v>
      </c>
      <c r="C62" s="64" t="n">
        <f aca="false">IFERROR(MATCH(A62,'CURVA PREVISION'!$B$1:$B$3000,0),"")</f>
        <v>317</v>
      </c>
      <c r="D62" s="131" t="n">
        <f aca="false">IF(OR($C62="",$B$2="",$D$2=0),0,IF(D$3&lt;0,0,N(INDEX('CURVA PREVISION'!$A$1:$KZ$3000,$C62,11+3*MIN(D$3,$D$2-1)))))</f>
        <v>0</v>
      </c>
      <c r="E62" s="131" t="n">
        <f aca="false">IF(OR($C62="",$B$2="",$D$2=0),0,IF(E$3&lt;0,0,N(INDEX('CURVA PREVISION'!$A$1:$KZ$3000,$C62,11+3*MIN(E$3,$D$2-1)))))</f>
        <v>0</v>
      </c>
      <c r="F62" s="131" t="n">
        <f aca="false">IF(OR($C62="",$B$2="",$D$2=0),0,IF(F$3&lt;0,0,N(INDEX('CURVA PREVISION'!$A$1:$KZ$3000,$C62,11+3*MIN(F$3,$D$2-1)))))</f>
        <v>0</v>
      </c>
      <c r="G62" s="131" t="n">
        <f aca="false">IF(OR($C62="",$B$2="",$D$2=0),0,IF(G$3&lt;0,0,N(INDEX('CURVA PREVISION'!$A$1:$KZ$3000,$C62,11+3*MIN(G$3,$D$2-1)))))</f>
        <v>0</v>
      </c>
      <c r="H62" s="131" t="n">
        <f aca="false">IF(OR($C62="",$B$2="",$D$2=0),0,IF(H$3&lt;0,0,N(INDEX('CURVA PREVISION'!$A$1:$KZ$3000,$C62,11+3*MIN(H$3,$D$2-1)))))</f>
        <v>0</v>
      </c>
      <c r="I62" s="131" t="n">
        <f aca="false">IF(OR($C62="",$B$2="",$D$2=0),0,IF(I$3&lt;0,0,N(INDEX('CURVA PREVISION'!$A$1:$KZ$3000,$C62,11+3*MIN(I$3,$D$2-1)))))</f>
        <v>0</v>
      </c>
      <c r="J62" s="131" t="n">
        <f aca="false">IF(OR($C62="",$B$2="",$D$2=0),0,IF(J$3&lt;0,0,N(INDEX('CURVA PREVISION'!$A$1:$KZ$3000,$C62,11+3*MIN(J$3,$D$2-1)))))</f>
        <v>0</v>
      </c>
      <c r="K62" s="131" t="n">
        <f aca="false">IF(OR($C62="",$B$2="",$D$2=0),0,IF(K$3&lt;0,0,N(INDEX('CURVA PREVISION'!$A$1:$KZ$3000,$C62,11+3*MIN(K$3,$D$2-1)))))</f>
        <v>0</v>
      </c>
      <c r="L62" s="131" t="n">
        <f aca="false">IF(OR($C62="",$B$2="",$D$2=0),0,IF(L$3&lt;0,0,N(INDEX('CURVA PREVISION'!$A$1:$KZ$3000,$C62,11+3*MIN(L$3,$D$2-1)))))</f>
        <v>0</v>
      </c>
      <c r="M62" s="131" t="n">
        <f aca="false">IF(OR($C62="",$B$2="",$D$2=0),0,IF(M$3&lt;0,0,N(INDEX('CURVA PREVISION'!$A$1:$KZ$3000,$C62,11+3*MIN(M$3,$D$2-1)))))</f>
        <v>0</v>
      </c>
      <c r="N62" s="131" t="n">
        <f aca="false">IF(OR($C62="",$B$2="",$D$2=0),0,IF(N$3&lt;0,0,N(INDEX('CURVA PREVISION'!$A$1:$KZ$3000,$C62,11+3*MIN(N$3,$D$2-1)))))</f>
        <v>0</v>
      </c>
      <c r="O62" s="131" t="n">
        <f aca="false">IF(OR($C62="",$B$2="",$D$2=0),0,IF(O$3&lt;0,0,N(INDEX('CURVA PREVISION'!$A$1:$KZ$3000,$C62,11+3*MIN(O$3,$D$2-1)))))</f>
        <v>0</v>
      </c>
      <c r="P62" s="131" t="n">
        <f aca="false">IF(OR($C62="",$B$2="",$D$2=0),0,IF(P$3&lt;0,0,N(INDEX('CURVA PREVISION'!$A$1:$KZ$3000,$C62,11+3*MIN(P$3,$D$2-1)))))</f>
        <v>0</v>
      </c>
      <c r="Q62" s="131" t="n">
        <f aca="false">IF(OR($C62="",$B$2="",$D$2=0),0,IF(Q$3&lt;0,0,N(INDEX('CURVA PREVISION'!$A$1:$KZ$3000,$C62,11+3*MIN(Q$3,$D$2-1)))))</f>
        <v>0</v>
      </c>
      <c r="R62" s="131" t="n">
        <f aca="false">IF(OR($C62="",$B$2="",$D$2=0),0,IF(R$3&lt;0,0,N(INDEX('CURVA PREVISION'!$A$1:$KZ$3000,$C62,11+3*MIN(R$3,$D$2-1)))))</f>
        <v>0</v>
      </c>
      <c r="S62" s="131" t="n">
        <f aca="false">IF(OR($C62="",$B$2="",$D$2=0),0,IF(S$3&lt;0,0,N(INDEX('CURVA PREVISION'!$A$1:$KZ$3000,$C62,11+3*MIN(S$3,$D$2-1)))))</f>
        <v>0</v>
      </c>
      <c r="T62" s="131" t="n">
        <f aca="false">IF(OR($C62="",$B$2="",$D$2=0),0,IF(T$3&lt;0,0,N(INDEX('CURVA PREVISION'!$A$1:$KZ$3000,$C62,11+3*MIN(T$3,$D$2-1)))))</f>
        <v>9.03</v>
      </c>
      <c r="U62" s="131" t="n">
        <f aca="false">IF(OR($C62="",$B$2="",$D$2=0),0,IF(U$3&lt;0,0,N(INDEX('CURVA PREVISION'!$A$1:$KZ$3000,$C62,11+3*MIN(U$3,$D$2-1)))))</f>
        <v>36.07</v>
      </c>
      <c r="V62" s="131" t="n">
        <f aca="false">IF(OR($C62="",$B$2="",$D$2=0),0,IF(V$3&lt;0,0,N(INDEX('CURVA PREVISION'!$A$1:$KZ$3000,$C62,11+3*MIN(V$3,$D$2-1)))))</f>
        <v>66.15</v>
      </c>
      <c r="W62" s="131" t="n">
        <f aca="false">IF(OR($C62="",$B$2="",$D$2=0),0,IF(W$3&lt;0,0,N(INDEX('CURVA PREVISION'!$A$1:$KZ$3000,$C62,11+3*MIN(W$3,$D$2-1)))))</f>
        <v>76.66</v>
      </c>
      <c r="X62" s="131" t="n">
        <f aca="false">IF(OR($C62="",$B$2="",$D$2=0),0,IF(X$3&lt;0,0,N(INDEX('CURVA PREVISION'!$A$1:$KZ$3000,$C62,11+3*MIN(X$3,$D$2-1)))))</f>
        <v>76.66</v>
      </c>
      <c r="Y62" s="131" t="n">
        <f aca="false">IF(OR($C62="",$B$2="",$D$2=0),0,IF(Y$3&lt;0,0,N(INDEX('CURVA PREVISION'!$A$1:$KZ$3000,$C62,11+3*MIN(Y$3,$D$2-1)))))</f>
        <v>76.66</v>
      </c>
      <c r="Z62" s="131" t="n">
        <f aca="false">IF(OR($C62="",$B$2="",$D$2=0),0,IF(Z$3&lt;0,0,N(INDEX('CURVA PREVISION'!$A$1:$KZ$3000,$C62,11+3*MIN(Z$3,$D$2-1)))))</f>
        <v>76.66</v>
      </c>
      <c r="AA62" s="131" t="n">
        <f aca="false">IF(OR($C62="",$B$2="",$D$2=0),0,IF(AA$3&lt;0,0,N(INDEX('CURVA PREVISION'!$A$1:$KZ$3000,$C62,11+3*MIN(AA$3,$D$2-1)))))</f>
        <v>76.66</v>
      </c>
      <c r="AB62" s="131" t="n">
        <f aca="false">IF(OR($C62="",$B$2="",$D$2=0),0,IF(AB$3&lt;0,0,N(INDEX('CURVA PREVISION'!$A$1:$KZ$3000,$C62,11+3*MIN(AB$3,$D$2-1)))))</f>
        <v>76.66</v>
      </c>
      <c r="AC62" s="131" t="n">
        <f aca="false">IF(OR($C62="",$B$2="",$D$2=0),0,IF(AC$3&lt;0,0,N(INDEX('CURVA PREVISION'!$A$1:$KZ$3000,$C62,11+3*MIN(AC$3,$D$2-1)))))</f>
        <v>76.66</v>
      </c>
      <c r="AD62" s="131" t="n">
        <f aca="false">IF(OR($C62="",$B$2="",$D$2=0),0,IF(AD$3&lt;0,0,N(INDEX('CURVA PREVISION'!$A$1:$KZ$3000,$C62,11+3*MIN(AD$3,$D$2-1)))))</f>
        <v>76.66</v>
      </c>
      <c r="AE62" s="131" t="n">
        <f aca="false">IF(OR($C62="",$B$2="",$D$2=0),0,IF(AE$3&lt;0,0,N(INDEX('CURVA PREVISION'!$A$1:$KZ$3000,$C62,11+3*MIN(AE$3,$D$2-1)))))</f>
        <v>76.66</v>
      </c>
      <c r="AF62" s="131" t="n">
        <f aca="false">IF(OR($C62="",$B$2="",$D$2=0),0,IF(AF$3&lt;0,0,N(INDEX('CURVA PREVISION'!$A$1:$KZ$3000,$C62,11+3*MIN(AF$3,$D$2-1)))))</f>
        <v>76.66</v>
      </c>
      <c r="AG62" s="131" t="n">
        <f aca="false">IF(OR($C62="",$B$2="",$D$2=0),0,IF(AG$3&lt;0,0,N(INDEX('CURVA PREVISION'!$A$1:$KZ$3000,$C62,11+3*MIN(AG$3,$D$2-1)))))</f>
        <v>76.66</v>
      </c>
      <c r="AH62" s="131" t="n">
        <f aca="false">IF(OR($C62="",$B$2="",$D$2=0),0,IF(AH$3&lt;0,0,N(INDEX('CURVA PREVISION'!$A$1:$KZ$3000,$C62,11+3*MIN(AH$3,$D$2-1)))))</f>
        <v>76.66</v>
      </c>
      <c r="AI62" s="131" t="n">
        <f aca="false">IF(OR($C62="",$B$2="",$D$2=0),0,IF(AI$3&lt;0,0,N(INDEX('CURVA PREVISION'!$A$1:$KZ$3000,$C62,11+3*MIN(AI$3,$D$2-1)))))</f>
        <v>76.66</v>
      </c>
      <c r="AJ62" s="131" t="n">
        <f aca="false">IF(OR($C62="",$B$2="",$D$2=0),0,IF(AJ$3&lt;0,0,N(INDEX('CURVA PREVISION'!$A$1:$KZ$3000,$C62,11+3*MIN(AJ$3,$D$2-1)))))</f>
        <v>76.66</v>
      </c>
      <c r="AK62" s="131" t="n">
        <f aca="false">IF(OR($C62="",$B$2="",$D$2=0),0,IF(AK$3&lt;0,0,N(INDEX('CURVA PREVISION'!$A$1:$KZ$3000,$C62,11+3*MIN(AK$3,$D$2-1)))))</f>
        <v>76.66</v>
      </c>
      <c r="AL62" s="131" t="n">
        <f aca="false">IF(OR($C62="",$B$2="",$D$2=0),0,IF(AL$3&lt;0,0,N(INDEX('CURVA PREVISION'!$A$1:$KZ$3000,$C62,11+3*MIN(AL$3,$D$2-1)))))</f>
        <v>76.66</v>
      </c>
      <c r="AM62" s="131" t="n">
        <f aca="false">IF(OR($C62="",$B$2="",$D$2=0),0,IF(AM$3&lt;0,0,N(INDEX('CURVA PREVISION'!$A$1:$KZ$3000,$C62,11+3*MIN(AM$3,$D$2-1)))))</f>
        <v>76.66</v>
      </c>
      <c r="AN62" s="131" t="n">
        <f aca="false">IF(OR($C62="",$B$2="",$D$2=0),0,IF(AN$3&lt;0,0,N(INDEX('CURVA PREVISION'!$A$1:$KZ$3000,$C62,11+3*MIN(AN$3,$D$2-1)))))</f>
        <v>76.66</v>
      </c>
      <c r="AO62" s="131" t="n">
        <f aca="false">IF(OR($C62="",$B$2="",$D$2=0),0,IF(AO$3&lt;0,0,N(INDEX('CURVA PREVISION'!$A$1:$KZ$3000,$C62,11+3*MIN(AO$3,$D$2-1)))))</f>
        <v>76.66</v>
      </c>
      <c r="AP62" s="131" t="n">
        <f aca="false">IF(OR($C62="",$B$2="",$D$2=0),0,IF(AP$3&lt;0,0,N(INDEX('CURVA PREVISION'!$A$1:$KZ$3000,$C62,11+3*MIN(AP$3,$D$2-1)))))</f>
        <v>76.66</v>
      </c>
      <c r="AQ62" s="131" t="n">
        <f aca="false">IF(OR($C62="",$B$2="",$D$2=0),0,IF(AQ$3&lt;0,0,N(INDEX('CURVA PREVISION'!$A$1:$KZ$3000,$C62,11+3*MIN(AQ$3,$D$2-1)))))</f>
        <v>76.66</v>
      </c>
      <c r="AR62" s="131" t="n">
        <f aca="false">IF(OR($C62="",$B$2="",$D$2=0),0,IF(AR$3&lt;0,0,N(INDEX('CURVA PREVISION'!$A$1:$KZ$3000,$C62,11+3*MIN(AR$3,$D$2-1)))))</f>
        <v>76.66</v>
      </c>
      <c r="AS62" s="131" t="n">
        <f aca="false">IF(OR($C62="",$B$2="",$D$2=0),0,IF(AS$3&lt;0,0,N(INDEX('CURVA PREVISION'!$A$1:$KZ$3000,$C62,11+3*MIN(AS$3,$D$2-1)))))</f>
        <v>76.66</v>
      </c>
      <c r="AT62" s="131" t="n">
        <f aca="false">IF(OR($C62="",$B$2="",$D$2=0),0,IF(AT$3&lt;0,0,N(INDEX('CURVA PREVISION'!$A$1:$KZ$3000,$C62,11+3*MIN(AT$3,$D$2-1)))))</f>
        <v>76.66</v>
      </c>
      <c r="AU62" s="131" t="n">
        <f aca="false">IF(OR($C62="",$B$2="",$D$2=0),0,IF(AU$3&lt;0,0,N(INDEX('CURVA PREVISION'!$A$1:$KZ$3000,$C62,11+3*MIN(AU$3,$D$2-1)))))</f>
        <v>76.66</v>
      </c>
      <c r="AV62" s="131" t="n">
        <f aca="false">IF(OR($C62="",$B$2="",$D$2=0),0,IF(AV$3&lt;0,0,N(INDEX('CURVA PREVISION'!$A$1:$KZ$3000,$C62,11+3*MIN(AV$3,$D$2-1)))))</f>
        <v>76.66</v>
      </c>
      <c r="AW62" s="131" t="n">
        <f aca="false">IF(OR($C62="",$B$2="",$D$2=0),0,IF(AW$3&lt;0,0,N(INDEX('CURVA PREVISION'!$A$1:$KZ$3000,$C62,11+3*MIN(AW$3,$D$2-1)))))</f>
        <v>76.66</v>
      </c>
      <c r="AX62" s="131" t="n">
        <f aca="false">IF(OR($C62="",$B$2="",$D$2=0),0,IF(AX$3&lt;0,0,N(INDEX('CURVA PREVISION'!$A$1:$KZ$3000,$C62,11+3*MIN(AX$3,$D$2-1)))))</f>
        <v>76.66</v>
      </c>
      <c r="AY62" s="131" t="n">
        <f aca="false">IF(OR($C62="",$B$2="",$D$2=0),0,IF(AY$3&lt;0,0,N(INDEX('CURVA PREVISION'!$A$1:$KZ$3000,$C62,11+3*MIN(AY$3,$D$2-1)))))</f>
        <v>76.66</v>
      </c>
      <c r="AZ62" s="131" t="n">
        <f aca="false">IF(OR($C62="",$B$2="",$D$2=0),0,IF(AZ$3&lt;0,0,N(INDEX('CURVA PREVISION'!$A$1:$KZ$3000,$C62,11+3*MIN(AZ$3,$D$2-1)))))</f>
        <v>76.66</v>
      </c>
      <c r="BA62" s="131" t="n">
        <f aca="false">IF(OR($C62="",$B$2="",$D$2=0),0,IF(BA$3&lt;0,0,N(INDEX('CURVA PREVISION'!$A$1:$KZ$3000,$C62,11+3*MIN(BA$3,$D$2-1)))))</f>
        <v>76.66</v>
      </c>
      <c r="BB62" s="131" t="n">
        <f aca="false">IF(OR($C62="",$B$2="",$D$2=0),0,IF(BB$3&lt;0,0,N(INDEX('CURVA PREVISION'!$A$1:$KZ$3000,$C62,11+3*MIN(BB$3,$D$2-1)))))</f>
        <v>76.66</v>
      </c>
      <c r="BC62" s="131" t="n">
        <f aca="false">IF(OR($C62="",$B$2="",$D$2=0),0,IF(BC$3&lt;0,0,N(INDEX('CURVA PREVISION'!$A$1:$KZ$3000,$C62,11+3*MIN(BC$3,$D$2-1)))))</f>
        <v>76.66</v>
      </c>
      <c r="BD62" s="131" t="n">
        <f aca="false">IF(OR($C62="",$B$2="",$D$2=0),0,IF(BD$3&lt;0,0,N(INDEX('CURVA PREVISION'!$A$1:$KZ$3000,$C62,11+3*MIN(BD$3,$D$2-1)))))</f>
        <v>76.66</v>
      </c>
      <c r="BE62" s="131" t="n">
        <f aca="false">IF(OR($C62="",$B$2="",$D$2=0),0,IF(BE$3&lt;0,0,N(INDEX('CURVA PREVISION'!$A$1:$KZ$3000,$C62,11+3*MIN(BE$3,$D$2-1)))))</f>
        <v>76.66</v>
      </c>
      <c r="BF62" s="131" t="n">
        <f aca="false">IF(OR($C62="",$B$2="",$D$2=0),0,IF(BF$3&lt;0,0,N(INDEX('CURVA PREVISION'!$A$1:$KZ$3000,$C62,11+3*MIN(BF$3,$D$2-1)))))</f>
        <v>76.66</v>
      </c>
      <c r="BG62" s="131" t="n">
        <f aca="false">IF(OR($C62="",$B$2="",$D$2=0),0,IF(BG$3&lt;0,0,N(INDEX('CURVA PREVISION'!$A$1:$KZ$3000,$C62,11+3*MIN(BG$3,$D$2-1)))))</f>
        <v>76.66</v>
      </c>
      <c r="BH62" s="131" t="n">
        <f aca="false">IF(OR($C62="",$B$2="",$D$2=0),0,IF(BH$3&lt;0,0,N(INDEX('CURVA PREVISION'!$A$1:$KZ$3000,$C62,11+3*MIN(BH$3,$D$2-1)))))</f>
        <v>76.66</v>
      </c>
      <c r="BI62" s="131" t="n">
        <f aca="false">IF(OR($C62="",$B$2="",$D$2=0),0,IF(BI$3&lt;0,0,N(INDEX('CURVA PREVISION'!$A$1:$KZ$3000,$C62,11+3*MIN(BI$3,$D$2-1)))))</f>
        <v>76.66</v>
      </c>
      <c r="BJ62" s="131" t="n">
        <f aca="false">IF(OR($C62="",$B$2="",$D$2=0),0,IF(BJ$3&lt;0,0,N(INDEX('CURVA PREVISION'!$A$1:$KZ$3000,$C62,11+3*MIN(BJ$3,$D$2-1)))))</f>
        <v>76.66</v>
      </c>
      <c r="BK62" s="131" t="n">
        <f aca="false">IF(OR($C62="",$B$2="",$D$2=0),0,IF(BK$3&lt;0,0,N(INDEX('CURVA PREVISION'!$A$1:$KZ$3000,$C62,11+3*MIN(BK$3,$D$2-1)))))</f>
        <v>76.66</v>
      </c>
      <c r="BL62" s="131" t="n">
        <f aca="false">IF(OR($C62="",$B$2="",$D$2=0),0,IF(BL$3&lt;0,0,N(INDEX('CURVA PREVISION'!$A$1:$KZ$3000,$C62,11+3*MIN(BL$3,$D$2-1)))))</f>
        <v>76.66</v>
      </c>
      <c r="BM62" s="131" t="n">
        <f aca="false">IF(OR($C62="",$B$2="",$D$2=0),0,IF(BM$3&lt;0,0,N(INDEX('CURVA PREVISION'!$A$1:$KZ$3000,$C62,11+3*MIN(BM$3,$D$2-1)))))</f>
        <v>76.66</v>
      </c>
      <c r="BN62" s="131" t="n">
        <f aca="false">IF(OR($C62="",$B$2="",$D$2=0),0,IF(BN$3&lt;0,0,N(INDEX('CURVA PREVISION'!$A$1:$KZ$3000,$C62,11+3*MIN(BN$3,$D$2-1)))))</f>
        <v>76.66</v>
      </c>
      <c r="BO62" s="131" t="n">
        <f aca="false">IF(OR($C62="",$B$2="",$D$2=0),0,IF(BO$3&lt;0,0,N(INDEX('CURVA PREVISION'!$A$1:$KZ$3000,$C62,11+3*MIN(BO$3,$D$2-1)))))</f>
        <v>76.66</v>
      </c>
      <c r="BP62" s="131" t="n">
        <f aca="false">IF(OR($C62="",$B$2="",$D$2=0),0,IF(BP$3&lt;0,0,N(INDEX('CURVA PREVISION'!$A$1:$KZ$3000,$C62,11+3*MIN(BP$3,$D$2-1)))))</f>
        <v>76.66</v>
      </c>
      <c r="BQ62" s="131" t="n">
        <f aca="false">IF(OR($C62="",$B$2="",$D$2=0),0,IF(BQ$3&lt;0,0,N(INDEX('CURVA PREVISION'!$A$1:$KZ$3000,$C62,11+3*MIN(BQ$3,$D$2-1)))))</f>
        <v>76.66</v>
      </c>
      <c r="BR62" s="131" t="n">
        <f aca="false">IF(OR($C62="",$B$2="",$D$2=0),0,IF(BR$3&lt;0,0,N(INDEX('CURVA PREVISION'!$A$1:$KZ$3000,$C62,11+3*MIN(BR$3,$D$2-1)))))</f>
        <v>76.66</v>
      </c>
      <c r="BS62" s="131" t="n">
        <f aca="false">IF(OR($C62="",$B$2="",$D$2=0),0,IF(BS$3&lt;0,0,N(INDEX('CURVA PREVISION'!$A$1:$KZ$3000,$C62,11+3*MIN(BS$3,$D$2-1)))))</f>
        <v>76.66</v>
      </c>
      <c r="BT62" s="131" t="n">
        <f aca="false">IF(OR($C62="",$B$2="",$D$2=0),0,IF(BT$3&lt;0,0,N(INDEX('CURVA PREVISION'!$A$1:$KZ$3000,$C62,11+3*MIN(BT$3,$D$2-1)))))</f>
        <v>76.66</v>
      </c>
      <c r="BU62" s="131" t="n">
        <f aca="false">IF(OR($C62="",$B$2="",$D$2=0),0,IF(BU$3&lt;0,0,N(INDEX('CURVA PREVISION'!$A$1:$KZ$3000,$C62,11+3*MIN(BU$3,$D$2-1)))))</f>
        <v>76.66</v>
      </c>
      <c r="BV62" s="131" t="n">
        <f aca="false">IF(OR($C62="",$B$2="",$D$2=0),0,IF(BV$3&lt;0,0,N(INDEX('CURVA PREVISION'!$A$1:$KZ$3000,$C62,11+3*MIN(BV$3,$D$2-1)))))</f>
        <v>76.66</v>
      </c>
      <c r="BW62" s="131" t="n">
        <f aca="false">IF(OR($C62="",$B$2="",$D$2=0),0,IF(BW$3&lt;0,0,N(INDEX('CURVA PREVISION'!$A$1:$KZ$3000,$C62,11+3*MIN(BW$3,$D$2-1)))))</f>
        <v>76.66</v>
      </c>
    </row>
    <row r="63" customFormat="false" ht="15" hidden="false" customHeight="false" outlineLevel="0" collapsed="false">
      <c r="A63" s="57" t="str">
        <f aca="false">IF('VALOR POR PL'!Q27="",'VALOR POR PL'!C27,'VALOR POR PL'!Q27)</f>
        <v>17</v>
      </c>
      <c r="B63" s="47" t="str">
        <f aca="false">B21</f>
        <v>ESTRUTURA EM CONCRETO ARMADO</v>
      </c>
      <c r="C63" s="64" t="n">
        <f aca="false">IFERROR(MATCH(A63,'CURVA PREVISION'!$B$1:$B$3000,0),"")</f>
        <v>339</v>
      </c>
      <c r="D63" s="131" t="n">
        <f aca="false">IF(OR($C63="",$B$2="",$D$2=0),0,IF(D$3&lt;0,0,N(INDEX('CURVA PREVISION'!$A$1:$KZ$3000,$C63,11+3*MIN(D$3,$D$2-1)))))</f>
        <v>0</v>
      </c>
      <c r="E63" s="131" t="n">
        <f aca="false">IF(OR($C63="",$B$2="",$D$2=0),0,IF(E$3&lt;0,0,N(INDEX('CURVA PREVISION'!$A$1:$KZ$3000,$C63,11+3*MIN(E$3,$D$2-1)))))</f>
        <v>0</v>
      </c>
      <c r="F63" s="131" t="n">
        <f aca="false">IF(OR($C63="",$B$2="",$D$2=0),0,IF(F$3&lt;0,0,N(INDEX('CURVA PREVISION'!$A$1:$KZ$3000,$C63,11+3*MIN(F$3,$D$2-1)))))</f>
        <v>0</v>
      </c>
      <c r="G63" s="131" t="n">
        <f aca="false">IF(OR($C63="",$B$2="",$D$2=0),0,IF(G$3&lt;0,0,N(INDEX('CURVA PREVISION'!$A$1:$KZ$3000,$C63,11+3*MIN(G$3,$D$2-1)))))</f>
        <v>0</v>
      </c>
      <c r="H63" s="131" t="n">
        <f aca="false">IF(OR($C63="",$B$2="",$D$2=0),0,IF(H$3&lt;0,0,N(INDEX('CURVA PREVISION'!$A$1:$KZ$3000,$C63,11+3*MIN(H$3,$D$2-1)))))</f>
        <v>0</v>
      </c>
      <c r="I63" s="131" t="n">
        <f aca="false">IF(OR($C63="",$B$2="",$D$2=0),0,IF(I$3&lt;0,0,N(INDEX('CURVA PREVISION'!$A$1:$KZ$3000,$C63,11+3*MIN(I$3,$D$2-1)))))</f>
        <v>0</v>
      </c>
      <c r="J63" s="131" t="n">
        <f aca="false">IF(OR($C63="",$B$2="",$D$2=0),0,IF(J$3&lt;0,0,N(INDEX('CURVA PREVISION'!$A$1:$KZ$3000,$C63,11+3*MIN(J$3,$D$2-1)))))</f>
        <v>0</v>
      </c>
      <c r="K63" s="131" t="n">
        <f aca="false">IF(OR($C63="",$B$2="",$D$2=0),0,IF(K$3&lt;0,0,N(INDEX('CURVA PREVISION'!$A$1:$KZ$3000,$C63,11+3*MIN(K$3,$D$2-1)))))</f>
        <v>0</v>
      </c>
      <c r="L63" s="131" t="n">
        <f aca="false">IF(OR($C63="",$B$2="",$D$2=0),0,IF(L$3&lt;0,0,N(INDEX('CURVA PREVISION'!$A$1:$KZ$3000,$C63,11+3*MIN(L$3,$D$2-1)))))</f>
        <v>0</v>
      </c>
      <c r="M63" s="131" t="n">
        <f aca="false">IF(OR($C63="",$B$2="",$D$2=0),0,IF(M$3&lt;0,0,N(INDEX('CURVA PREVISION'!$A$1:$KZ$3000,$C63,11+3*MIN(M$3,$D$2-1)))))</f>
        <v>0</v>
      </c>
      <c r="N63" s="131" t="n">
        <f aca="false">IF(OR($C63="",$B$2="",$D$2=0),0,IF(N$3&lt;0,0,N(INDEX('CURVA PREVISION'!$A$1:$KZ$3000,$C63,11+3*MIN(N$3,$D$2-1)))))</f>
        <v>0</v>
      </c>
      <c r="O63" s="131" t="n">
        <f aca="false">IF(OR($C63="",$B$2="",$D$2=0),0,IF(O$3&lt;0,0,N(INDEX('CURVA PREVISION'!$A$1:$KZ$3000,$C63,11+3*MIN(O$3,$D$2-1)))))</f>
        <v>0</v>
      </c>
      <c r="P63" s="131" t="n">
        <f aca="false">IF(OR($C63="",$B$2="",$D$2=0),0,IF(P$3&lt;0,0,N(INDEX('CURVA PREVISION'!$A$1:$KZ$3000,$C63,11+3*MIN(P$3,$D$2-1)))))</f>
        <v>0</v>
      </c>
      <c r="Q63" s="131" t="n">
        <f aca="false">IF(OR($C63="",$B$2="",$D$2=0),0,IF(Q$3&lt;0,0,N(INDEX('CURVA PREVISION'!$A$1:$KZ$3000,$C63,11+3*MIN(Q$3,$D$2-1)))))</f>
        <v>0</v>
      </c>
      <c r="R63" s="131" t="n">
        <f aca="false">IF(OR($C63="",$B$2="",$D$2=0),0,IF(R$3&lt;0,0,N(INDEX('CURVA PREVISION'!$A$1:$KZ$3000,$C63,11+3*MIN(R$3,$D$2-1)))))</f>
        <v>0</v>
      </c>
      <c r="S63" s="131" t="n">
        <f aca="false">IF(OR($C63="",$B$2="",$D$2=0),0,IF(S$3&lt;0,0,N(INDEX('CURVA PREVISION'!$A$1:$KZ$3000,$C63,11+3*MIN(S$3,$D$2-1)))))</f>
        <v>0</v>
      </c>
      <c r="T63" s="131" t="n">
        <f aca="false">IF(OR($C63="",$B$2="",$D$2=0),0,IF(T$3&lt;0,0,N(INDEX('CURVA PREVISION'!$A$1:$KZ$3000,$C63,11+3*MIN(T$3,$D$2-1)))))</f>
        <v>0</v>
      </c>
      <c r="U63" s="131" t="n">
        <f aca="false">IF(OR($C63="",$B$2="",$D$2=0),0,IF(U$3&lt;0,0,N(INDEX('CURVA PREVISION'!$A$1:$KZ$3000,$C63,11+3*MIN(U$3,$D$2-1)))))</f>
        <v>0</v>
      </c>
      <c r="V63" s="131" t="n">
        <f aca="false">IF(OR($C63="",$B$2="",$D$2=0),0,IF(V$3&lt;0,0,N(INDEX('CURVA PREVISION'!$A$1:$KZ$3000,$C63,11+3*MIN(V$3,$D$2-1)))))</f>
        <v>0.7</v>
      </c>
      <c r="W63" s="131" t="n">
        <f aca="false">IF(OR($C63="",$B$2="",$D$2=0),0,IF(W$3&lt;0,0,N(INDEX('CURVA PREVISION'!$A$1:$KZ$3000,$C63,11+3*MIN(W$3,$D$2-1)))))</f>
        <v>3.16</v>
      </c>
      <c r="X63" s="131" t="n">
        <f aca="false">IF(OR($C63="",$B$2="",$D$2=0),0,IF(X$3&lt;0,0,N(INDEX('CURVA PREVISION'!$A$1:$KZ$3000,$C63,11+3*MIN(X$3,$D$2-1)))))</f>
        <v>8.07</v>
      </c>
      <c r="Y63" s="131" t="n">
        <f aca="false">IF(OR($C63="",$B$2="",$D$2=0),0,IF(Y$3&lt;0,0,N(INDEX('CURVA PREVISION'!$A$1:$KZ$3000,$C63,11+3*MIN(Y$3,$D$2-1)))))</f>
        <v>9.65</v>
      </c>
      <c r="Z63" s="131" t="n">
        <f aca="false">IF(OR($C63="",$B$2="",$D$2=0),0,IF(Z$3&lt;0,0,N(INDEX('CURVA PREVISION'!$A$1:$KZ$3000,$C63,11+3*MIN(Z$3,$D$2-1)))))</f>
        <v>9.65</v>
      </c>
      <c r="AA63" s="131" t="n">
        <f aca="false">IF(OR($C63="",$B$2="",$D$2=0),0,IF(AA$3&lt;0,0,N(INDEX('CURVA PREVISION'!$A$1:$KZ$3000,$C63,11+3*MIN(AA$3,$D$2-1)))))</f>
        <v>9.65</v>
      </c>
      <c r="AB63" s="131" t="n">
        <f aca="false">IF(OR($C63="",$B$2="",$D$2=0),0,IF(AB$3&lt;0,0,N(INDEX('CURVA PREVISION'!$A$1:$KZ$3000,$C63,11+3*MIN(AB$3,$D$2-1)))))</f>
        <v>9.65</v>
      </c>
      <c r="AC63" s="131" t="n">
        <f aca="false">IF(OR($C63="",$B$2="",$D$2=0),0,IF(AC$3&lt;0,0,N(INDEX('CURVA PREVISION'!$A$1:$KZ$3000,$C63,11+3*MIN(AC$3,$D$2-1)))))</f>
        <v>9.65</v>
      </c>
      <c r="AD63" s="131" t="n">
        <f aca="false">IF(OR($C63="",$B$2="",$D$2=0),0,IF(AD$3&lt;0,0,N(INDEX('CURVA PREVISION'!$A$1:$KZ$3000,$C63,11+3*MIN(AD$3,$D$2-1)))))</f>
        <v>9.65</v>
      </c>
      <c r="AE63" s="131" t="n">
        <f aca="false">IF(OR($C63="",$B$2="",$D$2=0),0,IF(AE$3&lt;0,0,N(INDEX('CURVA PREVISION'!$A$1:$KZ$3000,$C63,11+3*MIN(AE$3,$D$2-1)))))</f>
        <v>9.65</v>
      </c>
      <c r="AF63" s="131" t="n">
        <f aca="false">IF(OR($C63="",$B$2="",$D$2=0),0,IF(AF$3&lt;0,0,N(INDEX('CURVA PREVISION'!$A$1:$KZ$3000,$C63,11+3*MIN(AF$3,$D$2-1)))))</f>
        <v>9.65</v>
      </c>
      <c r="AG63" s="131" t="n">
        <f aca="false">IF(OR($C63="",$B$2="",$D$2=0),0,IF(AG$3&lt;0,0,N(INDEX('CURVA PREVISION'!$A$1:$KZ$3000,$C63,11+3*MIN(AG$3,$D$2-1)))))</f>
        <v>9.65</v>
      </c>
      <c r="AH63" s="131" t="n">
        <f aca="false">IF(OR($C63="",$B$2="",$D$2=0),0,IF(AH$3&lt;0,0,N(INDEX('CURVA PREVISION'!$A$1:$KZ$3000,$C63,11+3*MIN(AH$3,$D$2-1)))))</f>
        <v>9.65</v>
      </c>
      <c r="AI63" s="131" t="n">
        <f aca="false">IF(OR($C63="",$B$2="",$D$2=0),0,IF(AI$3&lt;0,0,N(INDEX('CURVA PREVISION'!$A$1:$KZ$3000,$C63,11+3*MIN(AI$3,$D$2-1)))))</f>
        <v>9.65</v>
      </c>
      <c r="AJ63" s="131" t="n">
        <f aca="false">IF(OR($C63="",$B$2="",$D$2=0),0,IF(AJ$3&lt;0,0,N(INDEX('CURVA PREVISION'!$A$1:$KZ$3000,$C63,11+3*MIN(AJ$3,$D$2-1)))))</f>
        <v>9.65</v>
      </c>
      <c r="AK63" s="131" t="n">
        <f aca="false">IF(OR($C63="",$B$2="",$D$2=0),0,IF(AK$3&lt;0,0,N(INDEX('CURVA PREVISION'!$A$1:$KZ$3000,$C63,11+3*MIN(AK$3,$D$2-1)))))</f>
        <v>9.65</v>
      </c>
      <c r="AL63" s="131" t="n">
        <f aca="false">IF(OR($C63="",$B$2="",$D$2=0),0,IF(AL$3&lt;0,0,N(INDEX('CURVA PREVISION'!$A$1:$KZ$3000,$C63,11+3*MIN(AL$3,$D$2-1)))))</f>
        <v>9.65</v>
      </c>
      <c r="AM63" s="131" t="n">
        <f aca="false">IF(OR($C63="",$B$2="",$D$2=0),0,IF(AM$3&lt;0,0,N(INDEX('CURVA PREVISION'!$A$1:$KZ$3000,$C63,11+3*MIN(AM$3,$D$2-1)))))</f>
        <v>9.65</v>
      </c>
      <c r="AN63" s="131" t="n">
        <f aca="false">IF(OR($C63="",$B$2="",$D$2=0),0,IF(AN$3&lt;0,0,N(INDEX('CURVA PREVISION'!$A$1:$KZ$3000,$C63,11+3*MIN(AN$3,$D$2-1)))))</f>
        <v>9.65</v>
      </c>
      <c r="AO63" s="131" t="n">
        <f aca="false">IF(OR($C63="",$B$2="",$D$2=0),0,IF(AO$3&lt;0,0,N(INDEX('CURVA PREVISION'!$A$1:$KZ$3000,$C63,11+3*MIN(AO$3,$D$2-1)))))</f>
        <v>9.65</v>
      </c>
      <c r="AP63" s="131" t="n">
        <f aca="false">IF(OR($C63="",$B$2="",$D$2=0),0,IF(AP$3&lt;0,0,N(INDEX('CURVA PREVISION'!$A$1:$KZ$3000,$C63,11+3*MIN(AP$3,$D$2-1)))))</f>
        <v>9.65</v>
      </c>
      <c r="AQ63" s="131" t="n">
        <f aca="false">IF(OR($C63="",$B$2="",$D$2=0),0,IF(AQ$3&lt;0,0,N(INDEX('CURVA PREVISION'!$A$1:$KZ$3000,$C63,11+3*MIN(AQ$3,$D$2-1)))))</f>
        <v>9.65</v>
      </c>
      <c r="AR63" s="131" t="n">
        <f aca="false">IF(OR($C63="",$B$2="",$D$2=0),0,IF(AR$3&lt;0,0,N(INDEX('CURVA PREVISION'!$A$1:$KZ$3000,$C63,11+3*MIN(AR$3,$D$2-1)))))</f>
        <v>9.65</v>
      </c>
      <c r="AS63" s="131" t="n">
        <f aca="false">IF(OR($C63="",$B$2="",$D$2=0),0,IF(AS$3&lt;0,0,N(INDEX('CURVA PREVISION'!$A$1:$KZ$3000,$C63,11+3*MIN(AS$3,$D$2-1)))))</f>
        <v>9.65</v>
      </c>
      <c r="AT63" s="131" t="n">
        <f aca="false">IF(OR($C63="",$B$2="",$D$2=0),0,IF(AT$3&lt;0,0,N(INDEX('CURVA PREVISION'!$A$1:$KZ$3000,$C63,11+3*MIN(AT$3,$D$2-1)))))</f>
        <v>9.65</v>
      </c>
      <c r="AU63" s="131" t="n">
        <f aca="false">IF(OR($C63="",$B$2="",$D$2=0),0,IF(AU$3&lt;0,0,N(INDEX('CURVA PREVISION'!$A$1:$KZ$3000,$C63,11+3*MIN(AU$3,$D$2-1)))))</f>
        <v>9.65</v>
      </c>
      <c r="AV63" s="131" t="n">
        <f aca="false">IF(OR($C63="",$B$2="",$D$2=0),0,IF(AV$3&lt;0,0,N(INDEX('CURVA PREVISION'!$A$1:$KZ$3000,$C63,11+3*MIN(AV$3,$D$2-1)))))</f>
        <v>9.65</v>
      </c>
      <c r="AW63" s="131" t="n">
        <f aca="false">IF(OR($C63="",$B$2="",$D$2=0),0,IF(AW$3&lt;0,0,N(INDEX('CURVA PREVISION'!$A$1:$KZ$3000,$C63,11+3*MIN(AW$3,$D$2-1)))))</f>
        <v>9.65</v>
      </c>
      <c r="AX63" s="131" t="n">
        <f aca="false">IF(OR($C63="",$B$2="",$D$2=0),0,IF(AX$3&lt;0,0,N(INDEX('CURVA PREVISION'!$A$1:$KZ$3000,$C63,11+3*MIN(AX$3,$D$2-1)))))</f>
        <v>9.65</v>
      </c>
      <c r="AY63" s="131" t="n">
        <f aca="false">IF(OR($C63="",$B$2="",$D$2=0),0,IF(AY$3&lt;0,0,N(INDEX('CURVA PREVISION'!$A$1:$KZ$3000,$C63,11+3*MIN(AY$3,$D$2-1)))))</f>
        <v>9.65</v>
      </c>
      <c r="AZ63" s="131" t="n">
        <f aca="false">IF(OR($C63="",$B$2="",$D$2=0),0,IF(AZ$3&lt;0,0,N(INDEX('CURVA PREVISION'!$A$1:$KZ$3000,$C63,11+3*MIN(AZ$3,$D$2-1)))))</f>
        <v>9.65</v>
      </c>
      <c r="BA63" s="131" t="n">
        <f aca="false">IF(OR($C63="",$B$2="",$D$2=0),0,IF(BA$3&lt;0,0,N(INDEX('CURVA PREVISION'!$A$1:$KZ$3000,$C63,11+3*MIN(BA$3,$D$2-1)))))</f>
        <v>9.65</v>
      </c>
      <c r="BB63" s="131" t="n">
        <f aca="false">IF(OR($C63="",$B$2="",$D$2=0),0,IF(BB$3&lt;0,0,N(INDEX('CURVA PREVISION'!$A$1:$KZ$3000,$C63,11+3*MIN(BB$3,$D$2-1)))))</f>
        <v>9.65</v>
      </c>
      <c r="BC63" s="131" t="n">
        <f aca="false">IF(OR($C63="",$B$2="",$D$2=0),0,IF(BC$3&lt;0,0,N(INDEX('CURVA PREVISION'!$A$1:$KZ$3000,$C63,11+3*MIN(BC$3,$D$2-1)))))</f>
        <v>9.65</v>
      </c>
      <c r="BD63" s="131" t="n">
        <f aca="false">IF(OR($C63="",$B$2="",$D$2=0),0,IF(BD$3&lt;0,0,N(INDEX('CURVA PREVISION'!$A$1:$KZ$3000,$C63,11+3*MIN(BD$3,$D$2-1)))))</f>
        <v>9.65</v>
      </c>
      <c r="BE63" s="131" t="n">
        <f aca="false">IF(OR($C63="",$B$2="",$D$2=0),0,IF(BE$3&lt;0,0,N(INDEX('CURVA PREVISION'!$A$1:$KZ$3000,$C63,11+3*MIN(BE$3,$D$2-1)))))</f>
        <v>9.65</v>
      </c>
      <c r="BF63" s="131" t="n">
        <f aca="false">IF(OR($C63="",$B$2="",$D$2=0),0,IF(BF$3&lt;0,0,N(INDEX('CURVA PREVISION'!$A$1:$KZ$3000,$C63,11+3*MIN(BF$3,$D$2-1)))))</f>
        <v>9.65</v>
      </c>
      <c r="BG63" s="131" t="n">
        <f aca="false">IF(OR($C63="",$B$2="",$D$2=0),0,IF(BG$3&lt;0,0,N(INDEX('CURVA PREVISION'!$A$1:$KZ$3000,$C63,11+3*MIN(BG$3,$D$2-1)))))</f>
        <v>9.65</v>
      </c>
      <c r="BH63" s="131" t="n">
        <f aca="false">IF(OR($C63="",$B$2="",$D$2=0),0,IF(BH$3&lt;0,0,N(INDEX('CURVA PREVISION'!$A$1:$KZ$3000,$C63,11+3*MIN(BH$3,$D$2-1)))))</f>
        <v>9.65</v>
      </c>
      <c r="BI63" s="131" t="n">
        <f aca="false">IF(OR($C63="",$B$2="",$D$2=0),0,IF(BI$3&lt;0,0,N(INDEX('CURVA PREVISION'!$A$1:$KZ$3000,$C63,11+3*MIN(BI$3,$D$2-1)))))</f>
        <v>9.65</v>
      </c>
      <c r="BJ63" s="131" t="n">
        <f aca="false">IF(OR($C63="",$B$2="",$D$2=0),0,IF(BJ$3&lt;0,0,N(INDEX('CURVA PREVISION'!$A$1:$KZ$3000,$C63,11+3*MIN(BJ$3,$D$2-1)))))</f>
        <v>9.65</v>
      </c>
      <c r="BK63" s="131" t="n">
        <f aca="false">IF(OR($C63="",$B$2="",$D$2=0),0,IF(BK$3&lt;0,0,N(INDEX('CURVA PREVISION'!$A$1:$KZ$3000,$C63,11+3*MIN(BK$3,$D$2-1)))))</f>
        <v>9.65</v>
      </c>
      <c r="BL63" s="131" t="n">
        <f aca="false">IF(OR($C63="",$B$2="",$D$2=0),0,IF(BL$3&lt;0,0,N(INDEX('CURVA PREVISION'!$A$1:$KZ$3000,$C63,11+3*MIN(BL$3,$D$2-1)))))</f>
        <v>9.65</v>
      </c>
      <c r="BM63" s="131" t="n">
        <f aca="false">IF(OR($C63="",$B$2="",$D$2=0),0,IF(BM$3&lt;0,0,N(INDEX('CURVA PREVISION'!$A$1:$KZ$3000,$C63,11+3*MIN(BM$3,$D$2-1)))))</f>
        <v>9.65</v>
      </c>
      <c r="BN63" s="131" t="n">
        <f aca="false">IF(OR($C63="",$B$2="",$D$2=0),0,IF(BN$3&lt;0,0,N(INDEX('CURVA PREVISION'!$A$1:$KZ$3000,$C63,11+3*MIN(BN$3,$D$2-1)))))</f>
        <v>9.65</v>
      </c>
      <c r="BO63" s="131" t="n">
        <f aca="false">IF(OR($C63="",$B$2="",$D$2=0),0,IF(BO$3&lt;0,0,N(INDEX('CURVA PREVISION'!$A$1:$KZ$3000,$C63,11+3*MIN(BO$3,$D$2-1)))))</f>
        <v>9.65</v>
      </c>
      <c r="BP63" s="131" t="n">
        <f aca="false">IF(OR($C63="",$B$2="",$D$2=0),0,IF(BP$3&lt;0,0,N(INDEX('CURVA PREVISION'!$A$1:$KZ$3000,$C63,11+3*MIN(BP$3,$D$2-1)))))</f>
        <v>9.65</v>
      </c>
      <c r="BQ63" s="131" t="n">
        <f aca="false">IF(OR($C63="",$B$2="",$D$2=0),0,IF(BQ$3&lt;0,0,N(INDEX('CURVA PREVISION'!$A$1:$KZ$3000,$C63,11+3*MIN(BQ$3,$D$2-1)))))</f>
        <v>9.65</v>
      </c>
      <c r="BR63" s="131" t="n">
        <f aca="false">IF(OR($C63="",$B$2="",$D$2=0),0,IF(BR$3&lt;0,0,N(INDEX('CURVA PREVISION'!$A$1:$KZ$3000,$C63,11+3*MIN(BR$3,$D$2-1)))))</f>
        <v>9.65</v>
      </c>
      <c r="BS63" s="131" t="n">
        <f aca="false">IF(OR($C63="",$B$2="",$D$2=0),0,IF(BS$3&lt;0,0,N(INDEX('CURVA PREVISION'!$A$1:$KZ$3000,$C63,11+3*MIN(BS$3,$D$2-1)))))</f>
        <v>9.65</v>
      </c>
      <c r="BT63" s="131" t="n">
        <f aca="false">IF(OR($C63="",$B$2="",$D$2=0),0,IF(BT$3&lt;0,0,N(INDEX('CURVA PREVISION'!$A$1:$KZ$3000,$C63,11+3*MIN(BT$3,$D$2-1)))))</f>
        <v>9.65</v>
      </c>
      <c r="BU63" s="131" t="n">
        <f aca="false">IF(OR($C63="",$B$2="",$D$2=0),0,IF(BU$3&lt;0,0,N(INDEX('CURVA PREVISION'!$A$1:$KZ$3000,$C63,11+3*MIN(BU$3,$D$2-1)))))</f>
        <v>9.65</v>
      </c>
      <c r="BV63" s="131" t="n">
        <f aca="false">IF(OR($C63="",$B$2="",$D$2=0),0,IF(BV$3&lt;0,0,N(INDEX('CURVA PREVISION'!$A$1:$KZ$3000,$C63,11+3*MIN(BV$3,$D$2-1)))))</f>
        <v>9.65</v>
      </c>
      <c r="BW63" s="131" t="n">
        <f aca="false">IF(OR($C63="",$B$2="",$D$2=0),0,IF(BW$3&lt;0,0,N(INDEX('CURVA PREVISION'!$A$1:$KZ$3000,$C63,11+3*MIN(BW$3,$D$2-1)))))</f>
        <v>9.65</v>
      </c>
    </row>
    <row r="64" customFormat="false" ht="15" hidden="false" customHeight="false" outlineLevel="0" collapsed="false">
      <c r="A64" s="57" t="str">
        <f aca="false">IF('VALOR POR PL'!Q28="",'VALOR POR PL'!C28,'VALOR POR PL'!Q28)</f>
        <v>18</v>
      </c>
      <c r="B64" s="47" t="str">
        <f aca="false">B22</f>
        <v>ALVENARIA</v>
      </c>
      <c r="C64" s="64" t="n">
        <f aca="false">IFERROR(MATCH(A64,'CURVA PREVISION'!$B$1:$B$3000,0),"")</f>
        <v>357</v>
      </c>
      <c r="D64" s="131" t="n">
        <f aca="false">IF(OR($C64="",$B$2="",$D$2=0),0,IF(D$3&lt;0,0,N(INDEX('CURVA PREVISION'!$A$1:$KZ$3000,$C64,11+3*MIN(D$3,$D$2-1)))))</f>
        <v>0</v>
      </c>
      <c r="E64" s="131" t="n">
        <f aca="false">IF(OR($C64="",$B$2="",$D$2=0),0,IF(E$3&lt;0,0,N(INDEX('CURVA PREVISION'!$A$1:$KZ$3000,$C64,11+3*MIN(E$3,$D$2-1)))))</f>
        <v>0</v>
      </c>
      <c r="F64" s="131" t="n">
        <f aca="false">IF(OR($C64="",$B$2="",$D$2=0),0,IF(F$3&lt;0,0,N(INDEX('CURVA PREVISION'!$A$1:$KZ$3000,$C64,11+3*MIN(F$3,$D$2-1)))))</f>
        <v>0</v>
      </c>
      <c r="G64" s="131" t="n">
        <f aca="false">IF(OR($C64="",$B$2="",$D$2=0),0,IF(G$3&lt;0,0,N(INDEX('CURVA PREVISION'!$A$1:$KZ$3000,$C64,11+3*MIN(G$3,$D$2-1)))))</f>
        <v>0</v>
      </c>
      <c r="H64" s="131" t="n">
        <f aca="false">IF(OR($C64="",$B$2="",$D$2=0),0,IF(H$3&lt;0,0,N(INDEX('CURVA PREVISION'!$A$1:$KZ$3000,$C64,11+3*MIN(H$3,$D$2-1)))))</f>
        <v>0</v>
      </c>
      <c r="I64" s="131" t="n">
        <f aca="false">IF(OR($C64="",$B$2="",$D$2=0),0,IF(I$3&lt;0,0,N(INDEX('CURVA PREVISION'!$A$1:$KZ$3000,$C64,11+3*MIN(I$3,$D$2-1)))))</f>
        <v>0</v>
      </c>
      <c r="J64" s="131" t="n">
        <f aca="false">IF(OR($C64="",$B$2="",$D$2=0),0,IF(J$3&lt;0,0,N(INDEX('CURVA PREVISION'!$A$1:$KZ$3000,$C64,11+3*MIN(J$3,$D$2-1)))))</f>
        <v>0</v>
      </c>
      <c r="K64" s="131" t="n">
        <f aca="false">IF(OR($C64="",$B$2="",$D$2=0),0,IF(K$3&lt;0,0,N(INDEX('CURVA PREVISION'!$A$1:$KZ$3000,$C64,11+3*MIN(K$3,$D$2-1)))))</f>
        <v>0</v>
      </c>
      <c r="L64" s="131" t="n">
        <f aca="false">IF(OR($C64="",$B$2="",$D$2=0),0,IF(L$3&lt;0,0,N(INDEX('CURVA PREVISION'!$A$1:$KZ$3000,$C64,11+3*MIN(L$3,$D$2-1)))))</f>
        <v>0</v>
      </c>
      <c r="M64" s="131" t="n">
        <f aca="false">IF(OR($C64="",$B$2="",$D$2=0),0,IF(M$3&lt;0,0,N(INDEX('CURVA PREVISION'!$A$1:$KZ$3000,$C64,11+3*MIN(M$3,$D$2-1)))))</f>
        <v>0</v>
      </c>
      <c r="N64" s="131" t="n">
        <f aca="false">IF(OR($C64="",$B$2="",$D$2=0),0,IF(N$3&lt;0,0,N(INDEX('CURVA PREVISION'!$A$1:$KZ$3000,$C64,11+3*MIN(N$3,$D$2-1)))))</f>
        <v>0</v>
      </c>
      <c r="O64" s="131" t="n">
        <f aca="false">IF(OR($C64="",$B$2="",$D$2=0),0,IF(O$3&lt;0,0,N(INDEX('CURVA PREVISION'!$A$1:$KZ$3000,$C64,11+3*MIN(O$3,$D$2-1)))))</f>
        <v>0</v>
      </c>
      <c r="P64" s="131" t="n">
        <f aca="false">IF(OR($C64="",$B$2="",$D$2=0),0,IF(P$3&lt;0,0,N(INDEX('CURVA PREVISION'!$A$1:$KZ$3000,$C64,11+3*MIN(P$3,$D$2-1)))))</f>
        <v>0</v>
      </c>
      <c r="Q64" s="131" t="n">
        <f aca="false">IF(OR($C64="",$B$2="",$D$2=0),0,IF(Q$3&lt;0,0,N(INDEX('CURVA PREVISION'!$A$1:$KZ$3000,$C64,11+3*MIN(Q$3,$D$2-1)))))</f>
        <v>0</v>
      </c>
      <c r="R64" s="131" t="n">
        <f aca="false">IF(OR($C64="",$B$2="",$D$2=0),0,IF(R$3&lt;0,0,N(INDEX('CURVA PREVISION'!$A$1:$KZ$3000,$C64,11+3*MIN(R$3,$D$2-1)))))</f>
        <v>0</v>
      </c>
      <c r="S64" s="131" t="n">
        <f aca="false">IF(OR($C64="",$B$2="",$D$2=0),0,IF(S$3&lt;0,0,N(INDEX('CURVA PREVISION'!$A$1:$KZ$3000,$C64,11+3*MIN(S$3,$D$2-1)))))</f>
        <v>0</v>
      </c>
      <c r="T64" s="131" t="n">
        <f aca="false">IF(OR($C64="",$B$2="",$D$2=0),0,IF(T$3&lt;0,0,N(INDEX('CURVA PREVISION'!$A$1:$KZ$3000,$C64,11+3*MIN(T$3,$D$2-1)))))</f>
        <v>0</v>
      </c>
      <c r="U64" s="131" t="n">
        <f aca="false">IF(OR($C64="",$B$2="",$D$2=0),0,IF(U$3&lt;0,0,N(INDEX('CURVA PREVISION'!$A$1:$KZ$3000,$C64,11+3*MIN(U$3,$D$2-1)))))</f>
        <v>0</v>
      </c>
      <c r="V64" s="131" t="n">
        <f aca="false">IF(OR($C64="",$B$2="",$D$2=0),0,IF(V$3&lt;0,0,N(INDEX('CURVA PREVISION'!$A$1:$KZ$3000,$C64,11+3*MIN(V$3,$D$2-1)))))</f>
        <v>0</v>
      </c>
      <c r="W64" s="131" t="n">
        <f aca="false">IF(OR($C64="",$B$2="",$D$2=0),0,IF(W$3&lt;0,0,N(INDEX('CURVA PREVISION'!$A$1:$KZ$3000,$C64,11+3*MIN(W$3,$D$2-1)))))</f>
        <v>0</v>
      </c>
      <c r="X64" s="131" t="n">
        <f aca="false">IF(OR($C64="",$B$2="",$D$2=0),0,IF(X$3&lt;0,0,N(INDEX('CURVA PREVISION'!$A$1:$KZ$3000,$C64,11+3*MIN(X$3,$D$2-1)))))</f>
        <v>0</v>
      </c>
      <c r="Y64" s="131" t="n">
        <f aca="false">IF(OR($C64="",$B$2="",$D$2=0),0,IF(Y$3&lt;0,0,N(INDEX('CURVA PREVISION'!$A$1:$KZ$3000,$C64,11+3*MIN(Y$3,$D$2-1)))))</f>
        <v>0</v>
      </c>
      <c r="Z64" s="131" t="n">
        <f aca="false">IF(OR($C64="",$B$2="",$D$2=0),0,IF(Z$3&lt;0,0,N(INDEX('CURVA PREVISION'!$A$1:$KZ$3000,$C64,11+3*MIN(Z$3,$D$2-1)))))</f>
        <v>0</v>
      </c>
      <c r="AA64" s="131" t="n">
        <f aca="false">IF(OR($C64="",$B$2="",$D$2=0),0,IF(AA$3&lt;0,0,N(INDEX('CURVA PREVISION'!$A$1:$KZ$3000,$C64,11+3*MIN(AA$3,$D$2-1)))))</f>
        <v>0</v>
      </c>
      <c r="AB64" s="131" t="n">
        <f aca="false">IF(OR($C64="",$B$2="",$D$2=0),0,IF(AB$3&lt;0,0,N(INDEX('CURVA PREVISION'!$A$1:$KZ$3000,$C64,11+3*MIN(AB$3,$D$2-1)))))</f>
        <v>0</v>
      </c>
      <c r="AC64" s="131" t="n">
        <f aca="false">IF(OR($C64="",$B$2="",$D$2=0),0,IF(AC$3&lt;0,0,N(INDEX('CURVA PREVISION'!$A$1:$KZ$3000,$C64,11+3*MIN(AC$3,$D$2-1)))))</f>
        <v>0</v>
      </c>
      <c r="AD64" s="131" t="n">
        <f aca="false">IF(OR($C64="",$B$2="",$D$2=0),0,IF(AD$3&lt;0,0,N(INDEX('CURVA PREVISION'!$A$1:$KZ$3000,$C64,11+3*MIN(AD$3,$D$2-1)))))</f>
        <v>0</v>
      </c>
      <c r="AE64" s="131" t="n">
        <f aca="false">IF(OR($C64="",$B$2="",$D$2=0),0,IF(AE$3&lt;0,0,N(INDEX('CURVA PREVISION'!$A$1:$KZ$3000,$C64,11+3*MIN(AE$3,$D$2-1)))))</f>
        <v>0</v>
      </c>
      <c r="AF64" s="131" t="n">
        <f aca="false">IF(OR($C64="",$B$2="",$D$2=0),0,IF(AF$3&lt;0,0,N(INDEX('CURVA PREVISION'!$A$1:$KZ$3000,$C64,11+3*MIN(AF$3,$D$2-1)))))</f>
        <v>0</v>
      </c>
      <c r="AG64" s="131" t="n">
        <f aca="false">IF(OR($C64="",$B$2="",$D$2=0),0,IF(AG$3&lt;0,0,N(INDEX('CURVA PREVISION'!$A$1:$KZ$3000,$C64,11+3*MIN(AG$3,$D$2-1)))))</f>
        <v>0</v>
      </c>
      <c r="AH64" s="131" t="n">
        <f aca="false">IF(OR($C64="",$B$2="",$D$2=0),0,IF(AH$3&lt;0,0,N(INDEX('CURVA PREVISION'!$A$1:$KZ$3000,$C64,11+3*MIN(AH$3,$D$2-1)))))</f>
        <v>0</v>
      </c>
      <c r="AI64" s="131" t="n">
        <f aca="false">IF(OR($C64="",$B$2="",$D$2=0),0,IF(AI$3&lt;0,0,N(INDEX('CURVA PREVISION'!$A$1:$KZ$3000,$C64,11+3*MIN(AI$3,$D$2-1)))))</f>
        <v>0</v>
      </c>
      <c r="AJ64" s="131" t="n">
        <f aca="false">IF(OR($C64="",$B$2="",$D$2=0),0,IF(AJ$3&lt;0,0,N(INDEX('CURVA PREVISION'!$A$1:$KZ$3000,$C64,11+3*MIN(AJ$3,$D$2-1)))))</f>
        <v>0</v>
      </c>
      <c r="AK64" s="131" t="n">
        <f aca="false">IF(OR($C64="",$B$2="",$D$2=0),0,IF(AK$3&lt;0,0,N(INDEX('CURVA PREVISION'!$A$1:$KZ$3000,$C64,11+3*MIN(AK$3,$D$2-1)))))</f>
        <v>0</v>
      </c>
      <c r="AL64" s="131" t="n">
        <f aca="false">IF(OR($C64="",$B$2="",$D$2=0),0,IF(AL$3&lt;0,0,N(INDEX('CURVA PREVISION'!$A$1:$KZ$3000,$C64,11+3*MIN(AL$3,$D$2-1)))))</f>
        <v>0</v>
      </c>
      <c r="AM64" s="131" t="n">
        <f aca="false">IF(OR($C64="",$B$2="",$D$2=0),0,IF(AM$3&lt;0,0,N(INDEX('CURVA PREVISION'!$A$1:$KZ$3000,$C64,11+3*MIN(AM$3,$D$2-1)))))</f>
        <v>0</v>
      </c>
      <c r="AN64" s="131" t="n">
        <f aca="false">IF(OR($C64="",$B$2="",$D$2=0),0,IF(AN$3&lt;0,0,N(INDEX('CURVA PREVISION'!$A$1:$KZ$3000,$C64,11+3*MIN(AN$3,$D$2-1)))))</f>
        <v>0</v>
      </c>
      <c r="AO64" s="131" t="n">
        <f aca="false">IF(OR($C64="",$B$2="",$D$2=0),0,IF(AO$3&lt;0,0,N(INDEX('CURVA PREVISION'!$A$1:$KZ$3000,$C64,11+3*MIN(AO$3,$D$2-1)))))</f>
        <v>0</v>
      </c>
      <c r="AP64" s="131" t="n">
        <f aca="false">IF(OR($C64="",$B$2="",$D$2=0),0,IF(AP$3&lt;0,0,N(INDEX('CURVA PREVISION'!$A$1:$KZ$3000,$C64,11+3*MIN(AP$3,$D$2-1)))))</f>
        <v>0</v>
      </c>
      <c r="AQ64" s="131" t="n">
        <f aca="false">IF(OR($C64="",$B$2="",$D$2=0),0,IF(AQ$3&lt;0,0,N(INDEX('CURVA PREVISION'!$A$1:$KZ$3000,$C64,11+3*MIN(AQ$3,$D$2-1)))))</f>
        <v>0</v>
      </c>
      <c r="AR64" s="131" t="n">
        <f aca="false">IF(OR($C64="",$B$2="",$D$2=0),0,IF(AR$3&lt;0,0,N(INDEX('CURVA PREVISION'!$A$1:$KZ$3000,$C64,11+3*MIN(AR$3,$D$2-1)))))</f>
        <v>0</v>
      </c>
      <c r="AS64" s="131" t="n">
        <f aca="false">IF(OR($C64="",$B$2="",$D$2=0),0,IF(AS$3&lt;0,0,N(INDEX('CURVA PREVISION'!$A$1:$KZ$3000,$C64,11+3*MIN(AS$3,$D$2-1)))))</f>
        <v>0</v>
      </c>
      <c r="AT64" s="131" t="n">
        <f aca="false">IF(OR($C64="",$B$2="",$D$2=0),0,IF(AT$3&lt;0,0,N(INDEX('CURVA PREVISION'!$A$1:$KZ$3000,$C64,11+3*MIN(AT$3,$D$2-1)))))</f>
        <v>0</v>
      </c>
      <c r="AU64" s="131" t="n">
        <f aca="false">IF(OR($C64="",$B$2="",$D$2=0),0,IF(AU$3&lt;0,0,N(INDEX('CURVA PREVISION'!$A$1:$KZ$3000,$C64,11+3*MIN(AU$3,$D$2-1)))))</f>
        <v>0</v>
      </c>
      <c r="AV64" s="131" t="n">
        <f aca="false">IF(OR($C64="",$B$2="",$D$2=0),0,IF(AV$3&lt;0,0,N(INDEX('CURVA PREVISION'!$A$1:$KZ$3000,$C64,11+3*MIN(AV$3,$D$2-1)))))</f>
        <v>0</v>
      </c>
      <c r="AW64" s="131" t="n">
        <f aca="false">IF(OR($C64="",$B$2="",$D$2=0),0,IF(AW$3&lt;0,0,N(INDEX('CURVA PREVISION'!$A$1:$KZ$3000,$C64,11+3*MIN(AW$3,$D$2-1)))))</f>
        <v>0</v>
      </c>
      <c r="AX64" s="131" t="n">
        <f aca="false">IF(OR($C64="",$B$2="",$D$2=0),0,IF(AX$3&lt;0,0,N(INDEX('CURVA PREVISION'!$A$1:$KZ$3000,$C64,11+3*MIN(AX$3,$D$2-1)))))</f>
        <v>0</v>
      </c>
      <c r="AY64" s="131" t="n">
        <f aca="false">IF(OR($C64="",$B$2="",$D$2=0),0,IF(AY$3&lt;0,0,N(INDEX('CURVA PREVISION'!$A$1:$KZ$3000,$C64,11+3*MIN(AY$3,$D$2-1)))))</f>
        <v>0</v>
      </c>
      <c r="AZ64" s="131" t="n">
        <f aca="false">IF(OR($C64="",$B$2="",$D$2=0),0,IF(AZ$3&lt;0,0,N(INDEX('CURVA PREVISION'!$A$1:$KZ$3000,$C64,11+3*MIN(AZ$3,$D$2-1)))))</f>
        <v>0</v>
      </c>
      <c r="BA64" s="131" t="n">
        <f aca="false">IF(OR($C64="",$B$2="",$D$2=0),0,IF(BA$3&lt;0,0,N(INDEX('CURVA PREVISION'!$A$1:$KZ$3000,$C64,11+3*MIN(BA$3,$D$2-1)))))</f>
        <v>0</v>
      </c>
      <c r="BB64" s="131" t="n">
        <f aca="false">IF(OR($C64="",$B$2="",$D$2=0),0,IF(BB$3&lt;0,0,N(INDEX('CURVA PREVISION'!$A$1:$KZ$3000,$C64,11+3*MIN(BB$3,$D$2-1)))))</f>
        <v>0</v>
      </c>
      <c r="BC64" s="131" t="n">
        <f aca="false">IF(OR($C64="",$B$2="",$D$2=0),0,IF(BC$3&lt;0,0,N(INDEX('CURVA PREVISION'!$A$1:$KZ$3000,$C64,11+3*MIN(BC$3,$D$2-1)))))</f>
        <v>0</v>
      </c>
      <c r="BD64" s="131" t="n">
        <f aca="false">IF(OR($C64="",$B$2="",$D$2=0),0,IF(BD$3&lt;0,0,N(INDEX('CURVA PREVISION'!$A$1:$KZ$3000,$C64,11+3*MIN(BD$3,$D$2-1)))))</f>
        <v>0</v>
      </c>
      <c r="BE64" s="131" t="n">
        <f aca="false">IF(OR($C64="",$B$2="",$D$2=0),0,IF(BE$3&lt;0,0,N(INDEX('CURVA PREVISION'!$A$1:$KZ$3000,$C64,11+3*MIN(BE$3,$D$2-1)))))</f>
        <v>0</v>
      </c>
      <c r="BF64" s="131" t="n">
        <f aca="false">IF(OR($C64="",$B$2="",$D$2=0),0,IF(BF$3&lt;0,0,N(INDEX('CURVA PREVISION'!$A$1:$KZ$3000,$C64,11+3*MIN(BF$3,$D$2-1)))))</f>
        <v>0</v>
      </c>
      <c r="BG64" s="131" t="n">
        <f aca="false">IF(OR($C64="",$B$2="",$D$2=0),0,IF(BG$3&lt;0,0,N(INDEX('CURVA PREVISION'!$A$1:$KZ$3000,$C64,11+3*MIN(BG$3,$D$2-1)))))</f>
        <v>0</v>
      </c>
      <c r="BH64" s="131" t="n">
        <f aca="false">IF(OR($C64="",$B$2="",$D$2=0),0,IF(BH$3&lt;0,0,N(INDEX('CURVA PREVISION'!$A$1:$KZ$3000,$C64,11+3*MIN(BH$3,$D$2-1)))))</f>
        <v>0</v>
      </c>
      <c r="BI64" s="131" t="n">
        <f aca="false">IF(OR($C64="",$B$2="",$D$2=0),0,IF(BI$3&lt;0,0,N(INDEX('CURVA PREVISION'!$A$1:$KZ$3000,$C64,11+3*MIN(BI$3,$D$2-1)))))</f>
        <v>0</v>
      </c>
      <c r="BJ64" s="131" t="n">
        <f aca="false">IF(OR($C64="",$B$2="",$D$2=0),0,IF(BJ$3&lt;0,0,N(INDEX('CURVA PREVISION'!$A$1:$KZ$3000,$C64,11+3*MIN(BJ$3,$D$2-1)))))</f>
        <v>0</v>
      </c>
      <c r="BK64" s="131" t="n">
        <f aca="false">IF(OR($C64="",$B$2="",$D$2=0),0,IF(BK$3&lt;0,0,N(INDEX('CURVA PREVISION'!$A$1:$KZ$3000,$C64,11+3*MIN(BK$3,$D$2-1)))))</f>
        <v>0</v>
      </c>
      <c r="BL64" s="131" t="n">
        <f aca="false">IF(OR($C64="",$B$2="",$D$2=0),0,IF(BL$3&lt;0,0,N(INDEX('CURVA PREVISION'!$A$1:$KZ$3000,$C64,11+3*MIN(BL$3,$D$2-1)))))</f>
        <v>0</v>
      </c>
      <c r="BM64" s="131" t="n">
        <f aca="false">IF(OR($C64="",$B$2="",$D$2=0),0,IF(BM$3&lt;0,0,N(INDEX('CURVA PREVISION'!$A$1:$KZ$3000,$C64,11+3*MIN(BM$3,$D$2-1)))))</f>
        <v>0</v>
      </c>
      <c r="BN64" s="131" t="n">
        <f aca="false">IF(OR($C64="",$B$2="",$D$2=0),0,IF(BN$3&lt;0,0,N(INDEX('CURVA PREVISION'!$A$1:$KZ$3000,$C64,11+3*MIN(BN$3,$D$2-1)))))</f>
        <v>0</v>
      </c>
      <c r="BO64" s="131" t="n">
        <f aca="false">IF(OR($C64="",$B$2="",$D$2=0),0,IF(BO$3&lt;0,0,N(INDEX('CURVA PREVISION'!$A$1:$KZ$3000,$C64,11+3*MIN(BO$3,$D$2-1)))))</f>
        <v>0</v>
      </c>
      <c r="BP64" s="131" t="n">
        <f aca="false">IF(OR($C64="",$B$2="",$D$2=0),0,IF(BP$3&lt;0,0,N(INDEX('CURVA PREVISION'!$A$1:$KZ$3000,$C64,11+3*MIN(BP$3,$D$2-1)))))</f>
        <v>0</v>
      </c>
      <c r="BQ64" s="131" t="n">
        <f aca="false">IF(OR($C64="",$B$2="",$D$2=0),0,IF(BQ$3&lt;0,0,N(INDEX('CURVA PREVISION'!$A$1:$KZ$3000,$C64,11+3*MIN(BQ$3,$D$2-1)))))</f>
        <v>0</v>
      </c>
      <c r="BR64" s="131" t="n">
        <f aca="false">IF(OR($C64="",$B$2="",$D$2=0),0,IF(BR$3&lt;0,0,N(INDEX('CURVA PREVISION'!$A$1:$KZ$3000,$C64,11+3*MIN(BR$3,$D$2-1)))))</f>
        <v>0</v>
      </c>
      <c r="BS64" s="131" t="n">
        <f aca="false">IF(OR($C64="",$B$2="",$D$2=0),0,IF(BS$3&lt;0,0,N(INDEX('CURVA PREVISION'!$A$1:$KZ$3000,$C64,11+3*MIN(BS$3,$D$2-1)))))</f>
        <v>0</v>
      </c>
      <c r="BT64" s="131" t="n">
        <f aca="false">IF(OR($C64="",$B$2="",$D$2=0),0,IF(BT$3&lt;0,0,N(INDEX('CURVA PREVISION'!$A$1:$KZ$3000,$C64,11+3*MIN(BT$3,$D$2-1)))))</f>
        <v>0</v>
      </c>
      <c r="BU64" s="131" t="n">
        <f aca="false">IF(OR($C64="",$B$2="",$D$2=0),0,IF(BU$3&lt;0,0,N(INDEX('CURVA PREVISION'!$A$1:$KZ$3000,$C64,11+3*MIN(BU$3,$D$2-1)))))</f>
        <v>0</v>
      </c>
      <c r="BV64" s="131" t="n">
        <f aca="false">IF(OR($C64="",$B$2="",$D$2=0),0,IF(BV$3&lt;0,0,N(INDEX('CURVA PREVISION'!$A$1:$KZ$3000,$C64,11+3*MIN(BV$3,$D$2-1)))))</f>
        <v>0</v>
      </c>
      <c r="BW64" s="131" t="n">
        <f aca="false">IF(OR($C64="",$B$2="",$D$2=0),0,IF(BW$3&lt;0,0,N(INDEX('CURVA PREVISION'!$A$1:$KZ$3000,$C64,11+3*MIN(BW$3,$D$2-1)))))</f>
        <v>0</v>
      </c>
    </row>
    <row r="65" customFormat="false" ht="15" hidden="false" customHeight="false" outlineLevel="0" collapsed="false">
      <c r="A65" s="57" t="str">
        <f aca="false">IF('VALOR POR PL'!Q29="",'VALOR POR PL'!C29,'VALOR POR PL'!Q29)</f>
        <v>19</v>
      </c>
      <c r="B65" s="47" t="str">
        <f aca="false">B23</f>
        <v>IMPERMEABILIZAÇÃO</v>
      </c>
      <c r="C65" s="64" t="n">
        <f aca="false">IFERROR(MATCH(A65,'CURVA PREVISION'!$B$1:$B$3000,0),"")</f>
        <v>399</v>
      </c>
      <c r="D65" s="131" t="n">
        <f aca="false">IF(OR($C65="",$B$2="",$D$2=0),0,IF(D$3&lt;0,0,N(INDEX('CURVA PREVISION'!$A$1:$KZ$3000,$C65,11+3*MIN(D$3,$D$2-1)))))</f>
        <v>0</v>
      </c>
      <c r="E65" s="131" t="n">
        <f aca="false">IF(OR($C65="",$B$2="",$D$2=0),0,IF(E$3&lt;0,0,N(INDEX('CURVA PREVISION'!$A$1:$KZ$3000,$C65,11+3*MIN(E$3,$D$2-1)))))</f>
        <v>0</v>
      </c>
      <c r="F65" s="131" t="n">
        <f aca="false">IF(OR($C65="",$B$2="",$D$2=0),0,IF(F$3&lt;0,0,N(INDEX('CURVA PREVISION'!$A$1:$KZ$3000,$C65,11+3*MIN(F$3,$D$2-1)))))</f>
        <v>0</v>
      </c>
      <c r="G65" s="131" t="n">
        <f aca="false">IF(OR($C65="",$B$2="",$D$2=0),0,IF(G$3&lt;0,0,N(INDEX('CURVA PREVISION'!$A$1:$KZ$3000,$C65,11+3*MIN(G$3,$D$2-1)))))</f>
        <v>0</v>
      </c>
      <c r="H65" s="131" t="n">
        <f aca="false">IF(OR($C65="",$B$2="",$D$2=0),0,IF(H$3&lt;0,0,N(INDEX('CURVA PREVISION'!$A$1:$KZ$3000,$C65,11+3*MIN(H$3,$D$2-1)))))</f>
        <v>0</v>
      </c>
      <c r="I65" s="131" t="n">
        <f aca="false">IF(OR($C65="",$B$2="",$D$2=0),0,IF(I$3&lt;0,0,N(INDEX('CURVA PREVISION'!$A$1:$KZ$3000,$C65,11+3*MIN(I$3,$D$2-1)))))</f>
        <v>0</v>
      </c>
      <c r="J65" s="131" t="n">
        <f aca="false">IF(OR($C65="",$B$2="",$D$2=0),0,IF(J$3&lt;0,0,N(INDEX('CURVA PREVISION'!$A$1:$KZ$3000,$C65,11+3*MIN(J$3,$D$2-1)))))</f>
        <v>0</v>
      </c>
      <c r="K65" s="131" t="n">
        <f aca="false">IF(OR($C65="",$B$2="",$D$2=0),0,IF(K$3&lt;0,0,N(INDEX('CURVA PREVISION'!$A$1:$KZ$3000,$C65,11+3*MIN(K$3,$D$2-1)))))</f>
        <v>0</v>
      </c>
      <c r="L65" s="131" t="n">
        <f aca="false">IF(OR($C65="",$B$2="",$D$2=0),0,IF(L$3&lt;0,0,N(INDEX('CURVA PREVISION'!$A$1:$KZ$3000,$C65,11+3*MIN(L$3,$D$2-1)))))</f>
        <v>0</v>
      </c>
      <c r="M65" s="131" t="n">
        <f aca="false">IF(OR($C65="",$B$2="",$D$2=0),0,IF(M$3&lt;0,0,N(INDEX('CURVA PREVISION'!$A$1:$KZ$3000,$C65,11+3*MIN(M$3,$D$2-1)))))</f>
        <v>0</v>
      </c>
      <c r="N65" s="131" t="n">
        <f aca="false">IF(OR($C65="",$B$2="",$D$2=0),0,IF(N$3&lt;0,0,N(INDEX('CURVA PREVISION'!$A$1:$KZ$3000,$C65,11+3*MIN(N$3,$D$2-1)))))</f>
        <v>0</v>
      </c>
      <c r="O65" s="131" t="n">
        <f aca="false">IF(OR($C65="",$B$2="",$D$2=0),0,IF(O$3&lt;0,0,N(INDEX('CURVA PREVISION'!$A$1:$KZ$3000,$C65,11+3*MIN(O$3,$D$2-1)))))</f>
        <v>0</v>
      </c>
      <c r="P65" s="131" t="n">
        <f aca="false">IF(OR($C65="",$B$2="",$D$2=0),0,IF(P$3&lt;0,0,N(INDEX('CURVA PREVISION'!$A$1:$KZ$3000,$C65,11+3*MIN(P$3,$D$2-1)))))</f>
        <v>0</v>
      </c>
      <c r="Q65" s="131" t="n">
        <f aca="false">IF(OR($C65="",$B$2="",$D$2=0),0,IF(Q$3&lt;0,0,N(INDEX('CURVA PREVISION'!$A$1:$KZ$3000,$C65,11+3*MIN(Q$3,$D$2-1)))))</f>
        <v>0</v>
      </c>
      <c r="R65" s="131" t="n">
        <f aca="false">IF(OR($C65="",$B$2="",$D$2=0),0,IF(R$3&lt;0,0,N(INDEX('CURVA PREVISION'!$A$1:$KZ$3000,$C65,11+3*MIN(R$3,$D$2-1)))))</f>
        <v>0</v>
      </c>
      <c r="S65" s="131" t="n">
        <f aca="false">IF(OR($C65="",$B$2="",$D$2=0),0,IF(S$3&lt;0,0,N(INDEX('CURVA PREVISION'!$A$1:$KZ$3000,$C65,11+3*MIN(S$3,$D$2-1)))))</f>
        <v>0</v>
      </c>
      <c r="T65" s="131" t="n">
        <f aca="false">IF(OR($C65="",$B$2="",$D$2=0),0,IF(T$3&lt;0,0,N(INDEX('CURVA PREVISION'!$A$1:$KZ$3000,$C65,11+3*MIN(T$3,$D$2-1)))))</f>
        <v>0</v>
      </c>
      <c r="U65" s="131" t="n">
        <f aca="false">IF(OR($C65="",$B$2="",$D$2=0),0,IF(U$3&lt;0,0,N(INDEX('CURVA PREVISION'!$A$1:$KZ$3000,$C65,11+3*MIN(U$3,$D$2-1)))))</f>
        <v>0</v>
      </c>
      <c r="V65" s="131" t="n">
        <f aca="false">IF(OR($C65="",$B$2="",$D$2=0),0,IF(V$3&lt;0,0,N(INDEX('CURVA PREVISION'!$A$1:$KZ$3000,$C65,11+3*MIN(V$3,$D$2-1)))))</f>
        <v>0</v>
      </c>
      <c r="W65" s="131" t="n">
        <f aca="false">IF(OR($C65="",$B$2="",$D$2=0),0,IF(W$3&lt;0,0,N(INDEX('CURVA PREVISION'!$A$1:$KZ$3000,$C65,11+3*MIN(W$3,$D$2-1)))))</f>
        <v>0</v>
      </c>
      <c r="X65" s="131" t="n">
        <f aca="false">IF(OR($C65="",$B$2="",$D$2=0),0,IF(X$3&lt;0,0,N(INDEX('CURVA PREVISION'!$A$1:$KZ$3000,$C65,11+3*MIN(X$3,$D$2-1)))))</f>
        <v>0</v>
      </c>
      <c r="Y65" s="131" t="n">
        <f aca="false">IF(OR($C65="",$B$2="",$D$2=0),0,IF(Y$3&lt;0,0,N(INDEX('CURVA PREVISION'!$A$1:$KZ$3000,$C65,11+3*MIN(Y$3,$D$2-1)))))</f>
        <v>0</v>
      </c>
      <c r="Z65" s="131" t="n">
        <f aca="false">IF(OR($C65="",$B$2="",$D$2=0),0,IF(Z$3&lt;0,0,N(INDEX('CURVA PREVISION'!$A$1:$KZ$3000,$C65,11+3*MIN(Z$3,$D$2-1)))))</f>
        <v>0</v>
      </c>
      <c r="AA65" s="131" t="n">
        <f aca="false">IF(OR($C65="",$B$2="",$D$2=0),0,IF(AA$3&lt;0,0,N(INDEX('CURVA PREVISION'!$A$1:$KZ$3000,$C65,11+3*MIN(AA$3,$D$2-1)))))</f>
        <v>0</v>
      </c>
      <c r="AB65" s="131" t="n">
        <f aca="false">IF(OR($C65="",$B$2="",$D$2=0),0,IF(AB$3&lt;0,0,N(INDEX('CURVA PREVISION'!$A$1:$KZ$3000,$C65,11+3*MIN(AB$3,$D$2-1)))))</f>
        <v>0</v>
      </c>
      <c r="AC65" s="131" t="n">
        <f aca="false">IF(OR($C65="",$B$2="",$D$2=0),0,IF(AC$3&lt;0,0,N(INDEX('CURVA PREVISION'!$A$1:$KZ$3000,$C65,11+3*MIN(AC$3,$D$2-1)))))</f>
        <v>0</v>
      </c>
      <c r="AD65" s="131" t="n">
        <f aca="false">IF(OR($C65="",$B$2="",$D$2=0),0,IF(AD$3&lt;0,0,N(INDEX('CURVA PREVISION'!$A$1:$KZ$3000,$C65,11+3*MIN(AD$3,$D$2-1)))))</f>
        <v>0</v>
      </c>
      <c r="AE65" s="131" t="n">
        <f aca="false">IF(OR($C65="",$B$2="",$D$2=0),0,IF(AE$3&lt;0,0,N(INDEX('CURVA PREVISION'!$A$1:$KZ$3000,$C65,11+3*MIN(AE$3,$D$2-1)))))</f>
        <v>0</v>
      </c>
      <c r="AF65" s="131" t="n">
        <f aca="false">IF(OR($C65="",$B$2="",$D$2=0),0,IF(AF$3&lt;0,0,N(INDEX('CURVA PREVISION'!$A$1:$KZ$3000,$C65,11+3*MIN(AF$3,$D$2-1)))))</f>
        <v>0</v>
      </c>
      <c r="AG65" s="131" t="n">
        <f aca="false">IF(OR($C65="",$B$2="",$D$2=0),0,IF(AG$3&lt;0,0,N(INDEX('CURVA PREVISION'!$A$1:$KZ$3000,$C65,11+3*MIN(AG$3,$D$2-1)))))</f>
        <v>0</v>
      </c>
      <c r="AH65" s="131" t="n">
        <f aca="false">IF(OR($C65="",$B$2="",$D$2=0),0,IF(AH$3&lt;0,0,N(INDEX('CURVA PREVISION'!$A$1:$KZ$3000,$C65,11+3*MIN(AH$3,$D$2-1)))))</f>
        <v>0</v>
      </c>
      <c r="AI65" s="131" t="n">
        <f aca="false">IF(OR($C65="",$B$2="",$D$2=0),0,IF(AI$3&lt;0,0,N(INDEX('CURVA PREVISION'!$A$1:$KZ$3000,$C65,11+3*MIN(AI$3,$D$2-1)))))</f>
        <v>0</v>
      </c>
      <c r="AJ65" s="131" t="n">
        <f aca="false">IF(OR($C65="",$B$2="",$D$2=0),0,IF(AJ$3&lt;0,0,N(INDEX('CURVA PREVISION'!$A$1:$KZ$3000,$C65,11+3*MIN(AJ$3,$D$2-1)))))</f>
        <v>0</v>
      </c>
      <c r="AK65" s="131" t="n">
        <f aca="false">IF(OR($C65="",$B$2="",$D$2=0),0,IF(AK$3&lt;0,0,N(INDEX('CURVA PREVISION'!$A$1:$KZ$3000,$C65,11+3*MIN(AK$3,$D$2-1)))))</f>
        <v>0</v>
      </c>
      <c r="AL65" s="131" t="n">
        <f aca="false">IF(OR($C65="",$B$2="",$D$2=0),0,IF(AL$3&lt;0,0,N(INDEX('CURVA PREVISION'!$A$1:$KZ$3000,$C65,11+3*MIN(AL$3,$D$2-1)))))</f>
        <v>0</v>
      </c>
      <c r="AM65" s="131" t="n">
        <f aca="false">IF(OR($C65="",$B$2="",$D$2=0),0,IF(AM$3&lt;0,0,N(INDEX('CURVA PREVISION'!$A$1:$KZ$3000,$C65,11+3*MIN(AM$3,$D$2-1)))))</f>
        <v>0</v>
      </c>
      <c r="AN65" s="131" t="n">
        <f aca="false">IF(OR($C65="",$B$2="",$D$2=0),0,IF(AN$3&lt;0,0,N(INDEX('CURVA PREVISION'!$A$1:$KZ$3000,$C65,11+3*MIN(AN$3,$D$2-1)))))</f>
        <v>0</v>
      </c>
      <c r="AO65" s="131" t="n">
        <f aca="false">IF(OR($C65="",$B$2="",$D$2=0),0,IF(AO$3&lt;0,0,N(INDEX('CURVA PREVISION'!$A$1:$KZ$3000,$C65,11+3*MIN(AO$3,$D$2-1)))))</f>
        <v>0</v>
      </c>
      <c r="AP65" s="131" t="n">
        <f aca="false">IF(OR($C65="",$B$2="",$D$2=0),0,IF(AP$3&lt;0,0,N(INDEX('CURVA PREVISION'!$A$1:$KZ$3000,$C65,11+3*MIN(AP$3,$D$2-1)))))</f>
        <v>0</v>
      </c>
      <c r="AQ65" s="131" t="n">
        <f aca="false">IF(OR($C65="",$B$2="",$D$2=0),0,IF(AQ$3&lt;0,0,N(INDEX('CURVA PREVISION'!$A$1:$KZ$3000,$C65,11+3*MIN(AQ$3,$D$2-1)))))</f>
        <v>0</v>
      </c>
      <c r="AR65" s="131" t="n">
        <f aca="false">IF(OR($C65="",$B$2="",$D$2=0),0,IF(AR$3&lt;0,0,N(INDEX('CURVA PREVISION'!$A$1:$KZ$3000,$C65,11+3*MIN(AR$3,$D$2-1)))))</f>
        <v>0</v>
      </c>
      <c r="AS65" s="131" t="n">
        <f aca="false">IF(OR($C65="",$B$2="",$D$2=0),0,IF(AS$3&lt;0,0,N(INDEX('CURVA PREVISION'!$A$1:$KZ$3000,$C65,11+3*MIN(AS$3,$D$2-1)))))</f>
        <v>0</v>
      </c>
      <c r="AT65" s="131" t="n">
        <f aca="false">IF(OR($C65="",$B$2="",$D$2=0),0,IF(AT$3&lt;0,0,N(INDEX('CURVA PREVISION'!$A$1:$KZ$3000,$C65,11+3*MIN(AT$3,$D$2-1)))))</f>
        <v>0</v>
      </c>
      <c r="AU65" s="131" t="n">
        <f aca="false">IF(OR($C65="",$B$2="",$D$2=0),0,IF(AU$3&lt;0,0,N(INDEX('CURVA PREVISION'!$A$1:$KZ$3000,$C65,11+3*MIN(AU$3,$D$2-1)))))</f>
        <v>0</v>
      </c>
      <c r="AV65" s="131" t="n">
        <f aca="false">IF(OR($C65="",$B$2="",$D$2=0),0,IF(AV$3&lt;0,0,N(INDEX('CURVA PREVISION'!$A$1:$KZ$3000,$C65,11+3*MIN(AV$3,$D$2-1)))))</f>
        <v>0</v>
      </c>
      <c r="AW65" s="131" t="n">
        <f aca="false">IF(OR($C65="",$B$2="",$D$2=0),0,IF(AW$3&lt;0,0,N(INDEX('CURVA PREVISION'!$A$1:$KZ$3000,$C65,11+3*MIN(AW$3,$D$2-1)))))</f>
        <v>0</v>
      </c>
      <c r="AX65" s="131" t="n">
        <f aca="false">IF(OR($C65="",$B$2="",$D$2=0),0,IF(AX$3&lt;0,0,N(INDEX('CURVA PREVISION'!$A$1:$KZ$3000,$C65,11+3*MIN(AX$3,$D$2-1)))))</f>
        <v>0</v>
      </c>
      <c r="AY65" s="131" t="n">
        <f aca="false">IF(OR($C65="",$B$2="",$D$2=0),0,IF(AY$3&lt;0,0,N(INDEX('CURVA PREVISION'!$A$1:$KZ$3000,$C65,11+3*MIN(AY$3,$D$2-1)))))</f>
        <v>0</v>
      </c>
      <c r="AZ65" s="131" t="n">
        <f aca="false">IF(OR($C65="",$B$2="",$D$2=0),0,IF(AZ$3&lt;0,0,N(INDEX('CURVA PREVISION'!$A$1:$KZ$3000,$C65,11+3*MIN(AZ$3,$D$2-1)))))</f>
        <v>0</v>
      </c>
      <c r="BA65" s="131" t="n">
        <f aca="false">IF(OR($C65="",$B$2="",$D$2=0),0,IF(BA$3&lt;0,0,N(INDEX('CURVA PREVISION'!$A$1:$KZ$3000,$C65,11+3*MIN(BA$3,$D$2-1)))))</f>
        <v>0</v>
      </c>
      <c r="BB65" s="131" t="n">
        <f aca="false">IF(OR($C65="",$B$2="",$D$2=0),0,IF(BB$3&lt;0,0,N(INDEX('CURVA PREVISION'!$A$1:$KZ$3000,$C65,11+3*MIN(BB$3,$D$2-1)))))</f>
        <v>0</v>
      </c>
      <c r="BC65" s="131" t="n">
        <f aca="false">IF(OR($C65="",$B$2="",$D$2=0),0,IF(BC$3&lt;0,0,N(INDEX('CURVA PREVISION'!$A$1:$KZ$3000,$C65,11+3*MIN(BC$3,$D$2-1)))))</f>
        <v>0</v>
      </c>
      <c r="BD65" s="131" t="n">
        <f aca="false">IF(OR($C65="",$B$2="",$D$2=0),0,IF(BD$3&lt;0,0,N(INDEX('CURVA PREVISION'!$A$1:$KZ$3000,$C65,11+3*MIN(BD$3,$D$2-1)))))</f>
        <v>0</v>
      </c>
      <c r="BE65" s="131" t="n">
        <f aca="false">IF(OR($C65="",$B$2="",$D$2=0),0,IF(BE$3&lt;0,0,N(INDEX('CURVA PREVISION'!$A$1:$KZ$3000,$C65,11+3*MIN(BE$3,$D$2-1)))))</f>
        <v>0</v>
      </c>
      <c r="BF65" s="131" t="n">
        <f aca="false">IF(OR($C65="",$B$2="",$D$2=0),0,IF(BF$3&lt;0,0,N(INDEX('CURVA PREVISION'!$A$1:$KZ$3000,$C65,11+3*MIN(BF$3,$D$2-1)))))</f>
        <v>0</v>
      </c>
      <c r="BG65" s="131" t="n">
        <f aca="false">IF(OR($C65="",$B$2="",$D$2=0),0,IF(BG$3&lt;0,0,N(INDEX('CURVA PREVISION'!$A$1:$KZ$3000,$C65,11+3*MIN(BG$3,$D$2-1)))))</f>
        <v>0</v>
      </c>
      <c r="BH65" s="131" t="n">
        <f aca="false">IF(OR($C65="",$B$2="",$D$2=0),0,IF(BH$3&lt;0,0,N(INDEX('CURVA PREVISION'!$A$1:$KZ$3000,$C65,11+3*MIN(BH$3,$D$2-1)))))</f>
        <v>0</v>
      </c>
      <c r="BI65" s="131" t="n">
        <f aca="false">IF(OR($C65="",$B$2="",$D$2=0),0,IF(BI$3&lt;0,0,N(INDEX('CURVA PREVISION'!$A$1:$KZ$3000,$C65,11+3*MIN(BI$3,$D$2-1)))))</f>
        <v>0</v>
      </c>
      <c r="BJ65" s="131" t="n">
        <f aca="false">IF(OR($C65="",$B$2="",$D$2=0),0,IF(BJ$3&lt;0,0,N(INDEX('CURVA PREVISION'!$A$1:$KZ$3000,$C65,11+3*MIN(BJ$3,$D$2-1)))))</f>
        <v>0</v>
      </c>
      <c r="BK65" s="131" t="n">
        <f aca="false">IF(OR($C65="",$B$2="",$D$2=0),0,IF(BK$3&lt;0,0,N(INDEX('CURVA PREVISION'!$A$1:$KZ$3000,$C65,11+3*MIN(BK$3,$D$2-1)))))</f>
        <v>0</v>
      </c>
      <c r="BL65" s="131" t="n">
        <f aca="false">IF(OR($C65="",$B$2="",$D$2=0),0,IF(BL$3&lt;0,0,N(INDEX('CURVA PREVISION'!$A$1:$KZ$3000,$C65,11+3*MIN(BL$3,$D$2-1)))))</f>
        <v>0</v>
      </c>
      <c r="BM65" s="131" t="n">
        <f aca="false">IF(OR($C65="",$B$2="",$D$2=0),0,IF(BM$3&lt;0,0,N(INDEX('CURVA PREVISION'!$A$1:$KZ$3000,$C65,11+3*MIN(BM$3,$D$2-1)))))</f>
        <v>0</v>
      </c>
      <c r="BN65" s="131" t="n">
        <f aca="false">IF(OR($C65="",$B$2="",$D$2=0),0,IF(BN$3&lt;0,0,N(INDEX('CURVA PREVISION'!$A$1:$KZ$3000,$C65,11+3*MIN(BN$3,$D$2-1)))))</f>
        <v>0</v>
      </c>
      <c r="BO65" s="131" t="n">
        <f aca="false">IF(OR($C65="",$B$2="",$D$2=0),0,IF(BO$3&lt;0,0,N(INDEX('CURVA PREVISION'!$A$1:$KZ$3000,$C65,11+3*MIN(BO$3,$D$2-1)))))</f>
        <v>0</v>
      </c>
      <c r="BP65" s="131" t="n">
        <f aca="false">IF(OR($C65="",$B$2="",$D$2=0),0,IF(BP$3&lt;0,0,N(INDEX('CURVA PREVISION'!$A$1:$KZ$3000,$C65,11+3*MIN(BP$3,$D$2-1)))))</f>
        <v>0</v>
      </c>
      <c r="BQ65" s="131" t="n">
        <f aca="false">IF(OR($C65="",$B$2="",$D$2=0),0,IF(BQ$3&lt;0,0,N(INDEX('CURVA PREVISION'!$A$1:$KZ$3000,$C65,11+3*MIN(BQ$3,$D$2-1)))))</f>
        <v>0</v>
      </c>
      <c r="BR65" s="131" t="n">
        <f aca="false">IF(OR($C65="",$B$2="",$D$2=0),0,IF(BR$3&lt;0,0,N(INDEX('CURVA PREVISION'!$A$1:$KZ$3000,$C65,11+3*MIN(BR$3,$D$2-1)))))</f>
        <v>0</v>
      </c>
      <c r="BS65" s="131" t="n">
        <f aca="false">IF(OR($C65="",$B$2="",$D$2=0),0,IF(BS$3&lt;0,0,N(INDEX('CURVA PREVISION'!$A$1:$KZ$3000,$C65,11+3*MIN(BS$3,$D$2-1)))))</f>
        <v>0</v>
      </c>
      <c r="BT65" s="131" t="n">
        <f aca="false">IF(OR($C65="",$B$2="",$D$2=0),0,IF(BT$3&lt;0,0,N(INDEX('CURVA PREVISION'!$A$1:$KZ$3000,$C65,11+3*MIN(BT$3,$D$2-1)))))</f>
        <v>0</v>
      </c>
      <c r="BU65" s="131" t="n">
        <f aca="false">IF(OR($C65="",$B$2="",$D$2=0),0,IF(BU$3&lt;0,0,N(INDEX('CURVA PREVISION'!$A$1:$KZ$3000,$C65,11+3*MIN(BU$3,$D$2-1)))))</f>
        <v>0</v>
      </c>
      <c r="BV65" s="131" t="n">
        <f aca="false">IF(OR($C65="",$B$2="",$D$2=0),0,IF(BV$3&lt;0,0,N(INDEX('CURVA PREVISION'!$A$1:$KZ$3000,$C65,11+3*MIN(BV$3,$D$2-1)))))</f>
        <v>0</v>
      </c>
      <c r="BW65" s="131" t="n">
        <f aca="false">IF(OR($C65="",$B$2="",$D$2=0),0,IF(BW$3&lt;0,0,N(INDEX('CURVA PREVISION'!$A$1:$KZ$3000,$C65,11+3*MIN(BW$3,$D$2-1)))))</f>
        <v>0</v>
      </c>
    </row>
    <row r="66" customFormat="false" ht="15" hidden="false" customHeight="false" outlineLevel="0" collapsed="false">
      <c r="A66" s="57" t="str">
        <f aca="false">IF('VALOR POR PL'!Q30="",'VALOR POR PL'!C30,'VALOR POR PL'!Q30)</f>
        <v>20</v>
      </c>
      <c r="B66" s="47" t="str">
        <f aca="false">B24</f>
        <v>INSTALAÇÕES ELÉTRICAS</v>
      </c>
      <c r="C66" s="64" t="n">
        <f aca="false">IFERROR(MATCH(A66,'CURVA PREVISION'!$B$1:$B$3000,0),"")</f>
        <v>478</v>
      </c>
      <c r="D66" s="131" t="n">
        <f aca="false">IF(OR($C66="",$B$2="",$D$2=0),0,IF(D$3&lt;0,0,N(INDEX('CURVA PREVISION'!$A$1:$KZ$3000,$C66,11+3*MIN(D$3,$D$2-1)))))</f>
        <v>0</v>
      </c>
      <c r="E66" s="131" t="n">
        <f aca="false">IF(OR($C66="",$B$2="",$D$2=0),0,IF(E$3&lt;0,0,N(INDEX('CURVA PREVISION'!$A$1:$KZ$3000,$C66,11+3*MIN(E$3,$D$2-1)))))</f>
        <v>0</v>
      </c>
      <c r="F66" s="131" t="n">
        <f aca="false">IF(OR($C66="",$B$2="",$D$2=0),0,IF(F$3&lt;0,0,N(INDEX('CURVA PREVISION'!$A$1:$KZ$3000,$C66,11+3*MIN(F$3,$D$2-1)))))</f>
        <v>0</v>
      </c>
      <c r="G66" s="131" t="n">
        <f aca="false">IF(OR($C66="",$B$2="",$D$2=0),0,IF(G$3&lt;0,0,N(INDEX('CURVA PREVISION'!$A$1:$KZ$3000,$C66,11+3*MIN(G$3,$D$2-1)))))</f>
        <v>0</v>
      </c>
      <c r="H66" s="131" t="n">
        <f aca="false">IF(OR($C66="",$B$2="",$D$2=0),0,IF(H$3&lt;0,0,N(INDEX('CURVA PREVISION'!$A$1:$KZ$3000,$C66,11+3*MIN(H$3,$D$2-1)))))</f>
        <v>0</v>
      </c>
      <c r="I66" s="131" t="n">
        <f aca="false">IF(OR($C66="",$B$2="",$D$2=0),0,IF(I$3&lt;0,0,N(INDEX('CURVA PREVISION'!$A$1:$KZ$3000,$C66,11+3*MIN(I$3,$D$2-1)))))</f>
        <v>0</v>
      </c>
      <c r="J66" s="131" t="n">
        <f aca="false">IF(OR($C66="",$B$2="",$D$2=0),0,IF(J$3&lt;0,0,N(INDEX('CURVA PREVISION'!$A$1:$KZ$3000,$C66,11+3*MIN(J$3,$D$2-1)))))</f>
        <v>0</v>
      </c>
      <c r="K66" s="131" t="n">
        <f aca="false">IF(OR($C66="",$B$2="",$D$2=0),0,IF(K$3&lt;0,0,N(INDEX('CURVA PREVISION'!$A$1:$KZ$3000,$C66,11+3*MIN(K$3,$D$2-1)))))</f>
        <v>0</v>
      </c>
      <c r="L66" s="131" t="n">
        <f aca="false">IF(OR($C66="",$B$2="",$D$2=0),0,IF(L$3&lt;0,0,N(INDEX('CURVA PREVISION'!$A$1:$KZ$3000,$C66,11+3*MIN(L$3,$D$2-1)))))</f>
        <v>0</v>
      </c>
      <c r="M66" s="131" t="n">
        <f aca="false">IF(OR($C66="",$B$2="",$D$2=0),0,IF(M$3&lt;0,0,N(INDEX('CURVA PREVISION'!$A$1:$KZ$3000,$C66,11+3*MIN(M$3,$D$2-1)))))</f>
        <v>0</v>
      </c>
      <c r="N66" s="131" t="n">
        <f aca="false">IF(OR($C66="",$B$2="",$D$2=0),0,IF(N$3&lt;0,0,N(INDEX('CURVA PREVISION'!$A$1:$KZ$3000,$C66,11+3*MIN(N$3,$D$2-1)))))</f>
        <v>0</v>
      </c>
      <c r="O66" s="131" t="n">
        <f aca="false">IF(OR($C66="",$B$2="",$D$2=0),0,IF(O$3&lt;0,0,N(INDEX('CURVA PREVISION'!$A$1:$KZ$3000,$C66,11+3*MIN(O$3,$D$2-1)))))</f>
        <v>0</v>
      </c>
      <c r="P66" s="131" t="n">
        <f aca="false">IF(OR($C66="",$B$2="",$D$2=0),0,IF(P$3&lt;0,0,N(INDEX('CURVA PREVISION'!$A$1:$KZ$3000,$C66,11+3*MIN(P$3,$D$2-1)))))</f>
        <v>0</v>
      </c>
      <c r="Q66" s="131" t="n">
        <f aca="false">IF(OR($C66="",$B$2="",$D$2=0),0,IF(Q$3&lt;0,0,N(INDEX('CURVA PREVISION'!$A$1:$KZ$3000,$C66,11+3*MIN(Q$3,$D$2-1)))))</f>
        <v>0</v>
      </c>
      <c r="R66" s="131" t="n">
        <f aca="false">IF(OR($C66="",$B$2="",$D$2=0),0,IF(R$3&lt;0,0,N(INDEX('CURVA PREVISION'!$A$1:$KZ$3000,$C66,11+3*MIN(R$3,$D$2-1)))))</f>
        <v>0</v>
      </c>
      <c r="S66" s="131" t="n">
        <f aca="false">IF(OR($C66="",$B$2="",$D$2=0),0,IF(S$3&lt;0,0,N(INDEX('CURVA PREVISION'!$A$1:$KZ$3000,$C66,11+3*MIN(S$3,$D$2-1)))))</f>
        <v>0</v>
      </c>
      <c r="T66" s="131" t="n">
        <f aca="false">IF(OR($C66="",$B$2="",$D$2=0),0,IF(T$3&lt;0,0,N(INDEX('CURVA PREVISION'!$A$1:$KZ$3000,$C66,11+3*MIN(T$3,$D$2-1)))))</f>
        <v>0</v>
      </c>
      <c r="U66" s="131" t="n">
        <f aca="false">IF(OR($C66="",$B$2="",$D$2=0),0,IF(U$3&lt;0,0,N(INDEX('CURVA PREVISION'!$A$1:$KZ$3000,$C66,11+3*MIN(U$3,$D$2-1)))))</f>
        <v>0</v>
      </c>
      <c r="V66" s="131" t="n">
        <f aca="false">IF(OR($C66="",$B$2="",$D$2=0),0,IF(V$3&lt;0,0,N(INDEX('CURVA PREVISION'!$A$1:$KZ$3000,$C66,11+3*MIN(V$3,$D$2-1)))))</f>
        <v>0</v>
      </c>
      <c r="W66" s="131" t="n">
        <f aca="false">IF(OR($C66="",$B$2="",$D$2=0),0,IF(W$3&lt;0,0,N(INDEX('CURVA PREVISION'!$A$1:$KZ$3000,$C66,11+3*MIN(W$3,$D$2-1)))))</f>
        <v>0</v>
      </c>
      <c r="X66" s="131" t="n">
        <f aca="false">IF(OR($C66="",$B$2="",$D$2=0),0,IF(X$3&lt;0,0,N(INDEX('CURVA PREVISION'!$A$1:$KZ$3000,$C66,11+3*MIN(X$3,$D$2-1)))))</f>
        <v>0</v>
      </c>
      <c r="Y66" s="131" t="n">
        <f aca="false">IF(OR($C66="",$B$2="",$D$2=0),0,IF(Y$3&lt;0,0,N(INDEX('CURVA PREVISION'!$A$1:$KZ$3000,$C66,11+3*MIN(Y$3,$D$2-1)))))</f>
        <v>0</v>
      </c>
      <c r="Z66" s="131" t="n">
        <f aca="false">IF(OR($C66="",$B$2="",$D$2=0),0,IF(Z$3&lt;0,0,N(INDEX('CURVA PREVISION'!$A$1:$KZ$3000,$C66,11+3*MIN(Z$3,$D$2-1)))))</f>
        <v>0</v>
      </c>
      <c r="AA66" s="131" t="n">
        <f aca="false">IF(OR($C66="",$B$2="",$D$2=0),0,IF(AA$3&lt;0,0,N(INDEX('CURVA PREVISION'!$A$1:$KZ$3000,$C66,11+3*MIN(AA$3,$D$2-1)))))</f>
        <v>0</v>
      </c>
      <c r="AB66" s="131" t="n">
        <f aca="false">IF(OR($C66="",$B$2="",$D$2=0),0,IF(AB$3&lt;0,0,N(INDEX('CURVA PREVISION'!$A$1:$KZ$3000,$C66,11+3*MIN(AB$3,$D$2-1)))))</f>
        <v>0</v>
      </c>
      <c r="AC66" s="131" t="n">
        <f aca="false">IF(OR($C66="",$B$2="",$D$2=0),0,IF(AC$3&lt;0,0,N(INDEX('CURVA PREVISION'!$A$1:$KZ$3000,$C66,11+3*MIN(AC$3,$D$2-1)))))</f>
        <v>0</v>
      </c>
      <c r="AD66" s="131" t="n">
        <f aca="false">IF(OR($C66="",$B$2="",$D$2=0),0,IF(AD$3&lt;0,0,N(INDEX('CURVA PREVISION'!$A$1:$KZ$3000,$C66,11+3*MIN(AD$3,$D$2-1)))))</f>
        <v>0</v>
      </c>
      <c r="AE66" s="131" t="n">
        <f aca="false">IF(OR($C66="",$B$2="",$D$2=0),0,IF(AE$3&lt;0,0,N(INDEX('CURVA PREVISION'!$A$1:$KZ$3000,$C66,11+3*MIN(AE$3,$D$2-1)))))</f>
        <v>0</v>
      </c>
      <c r="AF66" s="131" t="n">
        <f aca="false">IF(OR($C66="",$B$2="",$D$2=0),0,IF(AF$3&lt;0,0,N(INDEX('CURVA PREVISION'!$A$1:$KZ$3000,$C66,11+3*MIN(AF$3,$D$2-1)))))</f>
        <v>0</v>
      </c>
      <c r="AG66" s="131" t="n">
        <f aca="false">IF(OR($C66="",$B$2="",$D$2=0),0,IF(AG$3&lt;0,0,N(INDEX('CURVA PREVISION'!$A$1:$KZ$3000,$C66,11+3*MIN(AG$3,$D$2-1)))))</f>
        <v>0</v>
      </c>
      <c r="AH66" s="131" t="n">
        <f aca="false">IF(OR($C66="",$B$2="",$D$2=0),0,IF(AH$3&lt;0,0,N(INDEX('CURVA PREVISION'!$A$1:$KZ$3000,$C66,11+3*MIN(AH$3,$D$2-1)))))</f>
        <v>0</v>
      </c>
      <c r="AI66" s="131" t="n">
        <f aca="false">IF(OR($C66="",$B$2="",$D$2=0),0,IF(AI$3&lt;0,0,N(INDEX('CURVA PREVISION'!$A$1:$KZ$3000,$C66,11+3*MIN(AI$3,$D$2-1)))))</f>
        <v>0</v>
      </c>
      <c r="AJ66" s="131" t="n">
        <f aca="false">IF(OR($C66="",$B$2="",$D$2=0),0,IF(AJ$3&lt;0,0,N(INDEX('CURVA PREVISION'!$A$1:$KZ$3000,$C66,11+3*MIN(AJ$3,$D$2-1)))))</f>
        <v>0</v>
      </c>
      <c r="AK66" s="131" t="n">
        <f aca="false">IF(OR($C66="",$B$2="",$D$2=0),0,IF(AK$3&lt;0,0,N(INDEX('CURVA PREVISION'!$A$1:$KZ$3000,$C66,11+3*MIN(AK$3,$D$2-1)))))</f>
        <v>0</v>
      </c>
      <c r="AL66" s="131" t="n">
        <f aca="false">IF(OR($C66="",$B$2="",$D$2=0),0,IF(AL$3&lt;0,0,N(INDEX('CURVA PREVISION'!$A$1:$KZ$3000,$C66,11+3*MIN(AL$3,$D$2-1)))))</f>
        <v>0</v>
      </c>
      <c r="AM66" s="131" t="n">
        <f aca="false">IF(OR($C66="",$B$2="",$D$2=0),0,IF(AM$3&lt;0,0,N(INDEX('CURVA PREVISION'!$A$1:$KZ$3000,$C66,11+3*MIN(AM$3,$D$2-1)))))</f>
        <v>0</v>
      </c>
      <c r="AN66" s="131" t="n">
        <f aca="false">IF(OR($C66="",$B$2="",$D$2=0),0,IF(AN$3&lt;0,0,N(INDEX('CURVA PREVISION'!$A$1:$KZ$3000,$C66,11+3*MIN(AN$3,$D$2-1)))))</f>
        <v>0</v>
      </c>
      <c r="AO66" s="131" t="n">
        <f aca="false">IF(OR($C66="",$B$2="",$D$2=0),0,IF(AO$3&lt;0,0,N(INDEX('CURVA PREVISION'!$A$1:$KZ$3000,$C66,11+3*MIN(AO$3,$D$2-1)))))</f>
        <v>0</v>
      </c>
      <c r="AP66" s="131" t="n">
        <f aca="false">IF(OR($C66="",$B$2="",$D$2=0),0,IF(AP$3&lt;0,0,N(INDEX('CURVA PREVISION'!$A$1:$KZ$3000,$C66,11+3*MIN(AP$3,$D$2-1)))))</f>
        <v>0</v>
      </c>
      <c r="AQ66" s="131" t="n">
        <f aca="false">IF(OR($C66="",$B$2="",$D$2=0),0,IF(AQ$3&lt;0,0,N(INDEX('CURVA PREVISION'!$A$1:$KZ$3000,$C66,11+3*MIN(AQ$3,$D$2-1)))))</f>
        <v>0</v>
      </c>
      <c r="AR66" s="131" t="n">
        <f aca="false">IF(OR($C66="",$B$2="",$D$2=0),0,IF(AR$3&lt;0,0,N(INDEX('CURVA PREVISION'!$A$1:$KZ$3000,$C66,11+3*MIN(AR$3,$D$2-1)))))</f>
        <v>0</v>
      </c>
      <c r="AS66" s="131" t="n">
        <f aca="false">IF(OR($C66="",$B$2="",$D$2=0),0,IF(AS$3&lt;0,0,N(INDEX('CURVA PREVISION'!$A$1:$KZ$3000,$C66,11+3*MIN(AS$3,$D$2-1)))))</f>
        <v>0</v>
      </c>
      <c r="AT66" s="131" t="n">
        <f aca="false">IF(OR($C66="",$B$2="",$D$2=0),0,IF(AT$3&lt;0,0,N(INDEX('CURVA PREVISION'!$A$1:$KZ$3000,$C66,11+3*MIN(AT$3,$D$2-1)))))</f>
        <v>0</v>
      </c>
      <c r="AU66" s="131" t="n">
        <f aca="false">IF(OR($C66="",$B$2="",$D$2=0),0,IF(AU$3&lt;0,0,N(INDEX('CURVA PREVISION'!$A$1:$KZ$3000,$C66,11+3*MIN(AU$3,$D$2-1)))))</f>
        <v>0</v>
      </c>
      <c r="AV66" s="131" t="n">
        <f aca="false">IF(OR($C66="",$B$2="",$D$2=0),0,IF(AV$3&lt;0,0,N(INDEX('CURVA PREVISION'!$A$1:$KZ$3000,$C66,11+3*MIN(AV$3,$D$2-1)))))</f>
        <v>0</v>
      </c>
      <c r="AW66" s="131" t="n">
        <f aca="false">IF(OR($C66="",$B$2="",$D$2=0),0,IF(AW$3&lt;0,0,N(INDEX('CURVA PREVISION'!$A$1:$KZ$3000,$C66,11+3*MIN(AW$3,$D$2-1)))))</f>
        <v>0</v>
      </c>
      <c r="AX66" s="131" t="n">
        <f aca="false">IF(OR($C66="",$B$2="",$D$2=0),0,IF(AX$3&lt;0,0,N(INDEX('CURVA PREVISION'!$A$1:$KZ$3000,$C66,11+3*MIN(AX$3,$D$2-1)))))</f>
        <v>0</v>
      </c>
      <c r="AY66" s="131" t="n">
        <f aca="false">IF(OR($C66="",$B$2="",$D$2=0),0,IF(AY$3&lt;0,0,N(INDEX('CURVA PREVISION'!$A$1:$KZ$3000,$C66,11+3*MIN(AY$3,$D$2-1)))))</f>
        <v>0</v>
      </c>
      <c r="AZ66" s="131" t="n">
        <f aca="false">IF(OR($C66="",$B$2="",$D$2=0),0,IF(AZ$3&lt;0,0,N(INDEX('CURVA PREVISION'!$A$1:$KZ$3000,$C66,11+3*MIN(AZ$3,$D$2-1)))))</f>
        <v>0</v>
      </c>
      <c r="BA66" s="131" t="n">
        <f aca="false">IF(OR($C66="",$B$2="",$D$2=0),0,IF(BA$3&lt;0,0,N(INDEX('CURVA PREVISION'!$A$1:$KZ$3000,$C66,11+3*MIN(BA$3,$D$2-1)))))</f>
        <v>0</v>
      </c>
      <c r="BB66" s="131" t="n">
        <f aca="false">IF(OR($C66="",$B$2="",$D$2=0),0,IF(BB$3&lt;0,0,N(INDEX('CURVA PREVISION'!$A$1:$KZ$3000,$C66,11+3*MIN(BB$3,$D$2-1)))))</f>
        <v>0</v>
      </c>
      <c r="BC66" s="131" t="n">
        <f aca="false">IF(OR($C66="",$B$2="",$D$2=0),0,IF(BC$3&lt;0,0,N(INDEX('CURVA PREVISION'!$A$1:$KZ$3000,$C66,11+3*MIN(BC$3,$D$2-1)))))</f>
        <v>0</v>
      </c>
      <c r="BD66" s="131" t="n">
        <f aca="false">IF(OR($C66="",$B$2="",$D$2=0),0,IF(BD$3&lt;0,0,N(INDEX('CURVA PREVISION'!$A$1:$KZ$3000,$C66,11+3*MIN(BD$3,$D$2-1)))))</f>
        <v>0</v>
      </c>
      <c r="BE66" s="131" t="n">
        <f aca="false">IF(OR($C66="",$B$2="",$D$2=0),0,IF(BE$3&lt;0,0,N(INDEX('CURVA PREVISION'!$A$1:$KZ$3000,$C66,11+3*MIN(BE$3,$D$2-1)))))</f>
        <v>0</v>
      </c>
      <c r="BF66" s="131" t="n">
        <f aca="false">IF(OR($C66="",$B$2="",$D$2=0),0,IF(BF$3&lt;0,0,N(INDEX('CURVA PREVISION'!$A$1:$KZ$3000,$C66,11+3*MIN(BF$3,$D$2-1)))))</f>
        <v>0</v>
      </c>
      <c r="BG66" s="131" t="n">
        <f aca="false">IF(OR($C66="",$B$2="",$D$2=0),0,IF(BG$3&lt;0,0,N(INDEX('CURVA PREVISION'!$A$1:$KZ$3000,$C66,11+3*MIN(BG$3,$D$2-1)))))</f>
        <v>0</v>
      </c>
      <c r="BH66" s="131" t="n">
        <f aca="false">IF(OR($C66="",$B$2="",$D$2=0),0,IF(BH$3&lt;0,0,N(INDEX('CURVA PREVISION'!$A$1:$KZ$3000,$C66,11+3*MIN(BH$3,$D$2-1)))))</f>
        <v>0</v>
      </c>
      <c r="BI66" s="131" t="n">
        <f aca="false">IF(OR($C66="",$B$2="",$D$2=0),0,IF(BI$3&lt;0,0,N(INDEX('CURVA PREVISION'!$A$1:$KZ$3000,$C66,11+3*MIN(BI$3,$D$2-1)))))</f>
        <v>0</v>
      </c>
      <c r="BJ66" s="131" t="n">
        <f aca="false">IF(OR($C66="",$B$2="",$D$2=0),0,IF(BJ$3&lt;0,0,N(INDEX('CURVA PREVISION'!$A$1:$KZ$3000,$C66,11+3*MIN(BJ$3,$D$2-1)))))</f>
        <v>0</v>
      </c>
      <c r="BK66" s="131" t="n">
        <f aca="false">IF(OR($C66="",$B$2="",$D$2=0),0,IF(BK$3&lt;0,0,N(INDEX('CURVA PREVISION'!$A$1:$KZ$3000,$C66,11+3*MIN(BK$3,$D$2-1)))))</f>
        <v>0</v>
      </c>
      <c r="BL66" s="131" t="n">
        <f aca="false">IF(OR($C66="",$B$2="",$D$2=0),0,IF(BL$3&lt;0,0,N(INDEX('CURVA PREVISION'!$A$1:$KZ$3000,$C66,11+3*MIN(BL$3,$D$2-1)))))</f>
        <v>0</v>
      </c>
      <c r="BM66" s="131" t="n">
        <f aca="false">IF(OR($C66="",$B$2="",$D$2=0),0,IF(BM$3&lt;0,0,N(INDEX('CURVA PREVISION'!$A$1:$KZ$3000,$C66,11+3*MIN(BM$3,$D$2-1)))))</f>
        <v>0</v>
      </c>
      <c r="BN66" s="131" t="n">
        <f aca="false">IF(OR($C66="",$B$2="",$D$2=0),0,IF(BN$3&lt;0,0,N(INDEX('CURVA PREVISION'!$A$1:$KZ$3000,$C66,11+3*MIN(BN$3,$D$2-1)))))</f>
        <v>0</v>
      </c>
      <c r="BO66" s="131" t="n">
        <f aca="false">IF(OR($C66="",$B$2="",$D$2=0),0,IF(BO$3&lt;0,0,N(INDEX('CURVA PREVISION'!$A$1:$KZ$3000,$C66,11+3*MIN(BO$3,$D$2-1)))))</f>
        <v>0</v>
      </c>
      <c r="BP66" s="131" t="n">
        <f aca="false">IF(OR($C66="",$B$2="",$D$2=0),0,IF(BP$3&lt;0,0,N(INDEX('CURVA PREVISION'!$A$1:$KZ$3000,$C66,11+3*MIN(BP$3,$D$2-1)))))</f>
        <v>0</v>
      </c>
      <c r="BQ66" s="131" t="n">
        <f aca="false">IF(OR($C66="",$B$2="",$D$2=0),0,IF(BQ$3&lt;0,0,N(INDEX('CURVA PREVISION'!$A$1:$KZ$3000,$C66,11+3*MIN(BQ$3,$D$2-1)))))</f>
        <v>0</v>
      </c>
      <c r="BR66" s="131" t="n">
        <f aca="false">IF(OR($C66="",$B$2="",$D$2=0),0,IF(BR$3&lt;0,0,N(INDEX('CURVA PREVISION'!$A$1:$KZ$3000,$C66,11+3*MIN(BR$3,$D$2-1)))))</f>
        <v>0</v>
      </c>
      <c r="BS66" s="131" t="n">
        <f aca="false">IF(OR($C66="",$B$2="",$D$2=0),0,IF(BS$3&lt;0,0,N(INDEX('CURVA PREVISION'!$A$1:$KZ$3000,$C66,11+3*MIN(BS$3,$D$2-1)))))</f>
        <v>0</v>
      </c>
      <c r="BT66" s="131" t="n">
        <f aca="false">IF(OR($C66="",$B$2="",$D$2=0),0,IF(BT$3&lt;0,0,N(INDEX('CURVA PREVISION'!$A$1:$KZ$3000,$C66,11+3*MIN(BT$3,$D$2-1)))))</f>
        <v>0</v>
      </c>
      <c r="BU66" s="131" t="n">
        <f aca="false">IF(OR($C66="",$B$2="",$D$2=0),0,IF(BU$3&lt;0,0,N(INDEX('CURVA PREVISION'!$A$1:$KZ$3000,$C66,11+3*MIN(BU$3,$D$2-1)))))</f>
        <v>0</v>
      </c>
      <c r="BV66" s="131" t="n">
        <f aca="false">IF(OR($C66="",$B$2="",$D$2=0),0,IF(BV$3&lt;0,0,N(INDEX('CURVA PREVISION'!$A$1:$KZ$3000,$C66,11+3*MIN(BV$3,$D$2-1)))))</f>
        <v>0</v>
      </c>
      <c r="BW66" s="131" t="n">
        <f aca="false">IF(OR($C66="",$B$2="",$D$2=0),0,IF(BW$3&lt;0,0,N(INDEX('CURVA PREVISION'!$A$1:$KZ$3000,$C66,11+3*MIN(BW$3,$D$2-1)))))</f>
        <v>0</v>
      </c>
    </row>
    <row r="67" customFormat="false" ht="15" hidden="false" customHeight="false" outlineLevel="0" collapsed="false">
      <c r="A67" s="57" t="str">
        <f aca="false">IF('VALOR POR PL'!Q31="",'VALOR POR PL'!C31,'VALOR POR PL'!Q31)</f>
        <v>21</v>
      </c>
      <c r="B67" s="47" t="str">
        <f aca="false">B25</f>
        <v>INSTALAÇÕES HIDROSANITÁRIAS</v>
      </c>
      <c r="C67" s="64" t="n">
        <f aca="false">IFERROR(MATCH(A67,'CURVA PREVISION'!$B$1:$B$3000,0),"")</f>
        <v>500</v>
      </c>
      <c r="D67" s="131" t="n">
        <f aca="false">IF(OR($C67="",$B$2="",$D$2=0),0,IF(D$3&lt;0,0,N(INDEX('CURVA PREVISION'!$A$1:$KZ$3000,$C67,11+3*MIN(D$3,$D$2-1)))))</f>
        <v>0</v>
      </c>
      <c r="E67" s="131" t="n">
        <f aca="false">IF(OR($C67="",$B$2="",$D$2=0),0,IF(E$3&lt;0,0,N(INDEX('CURVA PREVISION'!$A$1:$KZ$3000,$C67,11+3*MIN(E$3,$D$2-1)))))</f>
        <v>0</v>
      </c>
      <c r="F67" s="131" t="n">
        <f aca="false">IF(OR($C67="",$B$2="",$D$2=0),0,IF(F$3&lt;0,0,N(INDEX('CURVA PREVISION'!$A$1:$KZ$3000,$C67,11+3*MIN(F$3,$D$2-1)))))</f>
        <v>0</v>
      </c>
      <c r="G67" s="131" t="n">
        <f aca="false">IF(OR($C67="",$B$2="",$D$2=0),0,IF(G$3&lt;0,0,N(INDEX('CURVA PREVISION'!$A$1:$KZ$3000,$C67,11+3*MIN(G$3,$D$2-1)))))</f>
        <v>0</v>
      </c>
      <c r="H67" s="131" t="n">
        <f aca="false">IF(OR($C67="",$B$2="",$D$2=0),0,IF(H$3&lt;0,0,N(INDEX('CURVA PREVISION'!$A$1:$KZ$3000,$C67,11+3*MIN(H$3,$D$2-1)))))</f>
        <v>0</v>
      </c>
      <c r="I67" s="131" t="n">
        <f aca="false">IF(OR($C67="",$B$2="",$D$2=0),0,IF(I$3&lt;0,0,N(INDEX('CURVA PREVISION'!$A$1:$KZ$3000,$C67,11+3*MIN(I$3,$D$2-1)))))</f>
        <v>0</v>
      </c>
      <c r="J67" s="131" t="n">
        <f aca="false">IF(OR($C67="",$B$2="",$D$2=0),0,IF(J$3&lt;0,0,N(INDEX('CURVA PREVISION'!$A$1:$KZ$3000,$C67,11+3*MIN(J$3,$D$2-1)))))</f>
        <v>0</v>
      </c>
      <c r="K67" s="131" t="n">
        <f aca="false">IF(OR($C67="",$B$2="",$D$2=0),0,IF(K$3&lt;0,0,N(INDEX('CURVA PREVISION'!$A$1:$KZ$3000,$C67,11+3*MIN(K$3,$D$2-1)))))</f>
        <v>0</v>
      </c>
      <c r="L67" s="131" t="n">
        <f aca="false">IF(OR($C67="",$B$2="",$D$2=0),0,IF(L$3&lt;0,0,N(INDEX('CURVA PREVISION'!$A$1:$KZ$3000,$C67,11+3*MIN(L$3,$D$2-1)))))</f>
        <v>0</v>
      </c>
      <c r="M67" s="131" t="n">
        <f aca="false">IF(OR($C67="",$B$2="",$D$2=0),0,IF(M$3&lt;0,0,N(INDEX('CURVA PREVISION'!$A$1:$KZ$3000,$C67,11+3*MIN(M$3,$D$2-1)))))</f>
        <v>0</v>
      </c>
      <c r="N67" s="131" t="n">
        <f aca="false">IF(OR($C67="",$B$2="",$D$2=0),0,IF(N$3&lt;0,0,N(INDEX('CURVA PREVISION'!$A$1:$KZ$3000,$C67,11+3*MIN(N$3,$D$2-1)))))</f>
        <v>0</v>
      </c>
      <c r="O67" s="131" t="n">
        <f aca="false">IF(OR($C67="",$B$2="",$D$2=0),0,IF(O$3&lt;0,0,N(INDEX('CURVA PREVISION'!$A$1:$KZ$3000,$C67,11+3*MIN(O$3,$D$2-1)))))</f>
        <v>0</v>
      </c>
      <c r="P67" s="131" t="n">
        <f aca="false">IF(OR($C67="",$B$2="",$D$2=0),0,IF(P$3&lt;0,0,N(INDEX('CURVA PREVISION'!$A$1:$KZ$3000,$C67,11+3*MIN(P$3,$D$2-1)))))</f>
        <v>0</v>
      </c>
      <c r="Q67" s="131" t="n">
        <f aca="false">IF(OR($C67="",$B$2="",$D$2=0),0,IF(Q$3&lt;0,0,N(INDEX('CURVA PREVISION'!$A$1:$KZ$3000,$C67,11+3*MIN(Q$3,$D$2-1)))))</f>
        <v>0</v>
      </c>
      <c r="R67" s="131" t="n">
        <f aca="false">IF(OR($C67="",$B$2="",$D$2=0),0,IF(R$3&lt;0,0,N(INDEX('CURVA PREVISION'!$A$1:$KZ$3000,$C67,11+3*MIN(R$3,$D$2-1)))))</f>
        <v>0</v>
      </c>
      <c r="S67" s="131" t="n">
        <f aca="false">IF(OR($C67="",$B$2="",$D$2=0),0,IF(S$3&lt;0,0,N(INDEX('CURVA PREVISION'!$A$1:$KZ$3000,$C67,11+3*MIN(S$3,$D$2-1)))))</f>
        <v>0</v>
      </c>
      <c r="T67" s="131" t="n">
        <f aca="false">IF(OR($C67="",$B$2="",$D$2=0),0,IF(T$3&lt;0,0,N(INDEX('CURVA PREVISION'!$A$1:$KZ$3000,$C67,11+3*MIN(T$3,$D$2-1)))))</f>
        <v>0</v>
      </c>
      <c r="U67" s="131" t="n">
        <f aca="false">IF(OR($C67="",$B$2="",$D$2=0),0,IF(U$3&lt;0,0,N(INDEX('CURVA PREVISION'!$A$1:$KZ$3000,$C67,11+3*MIN(U$3,$D$2-1)))))</f>
        <v>0</v>
      </c>
      <c r="V67" s="131" t="n">
        <f aca="false">IF(OR($C67="",$B$2="",$D$2=0),0,IF(V$3&lt;0,0,N(INDEX('CURVA PREVISION'!$A$1:$KZ$3000,$C67,11+3*MIN(V$3,$D$2-1)))))</f>
        <v>0</v>
      </c>
      <c r="W67" s="131" t="n">
        <f aca="false">IF(OR($C67="",$B$2="",$D$2=0),0,IF(W$3&lt;0,0,N(INDEX('CURVA PREVISION'!$A$1:$KZ$3000,$C67,11+3*MIN(W$3,$D$2-1)))))</f>
        <v>0</v>
      </c>
      <c r="X67" s="131" t="n">
        <f aca="false">IF(OR($C67="",$B$2="",$D$2=0),0,IF(X$3&lt;0,0,N(INDEX('CURVA PREVISION'!$A$1:$KZ$3000,$C67,11+3*MIN(X$3,$D$2-1)))))</f>
        <v>0</v>
      </c>
      <c r="Y67" s="131" t="n">
        <f aca="false">IF(OR($C67="",$B$2="",$D$2=0),0,IF(Y$3&lt;0,0,N(INDEX('CURVA PREVISION'!$A$1:$KZ$3000,$C67,11+3*MIN(Y$3,$D$2-1)))))</f>
        <v>0</v>
      </c>
      <c r="Z67" s="131" t="n">
        <f aca="false">IF(OR($C67="",$B$2="",$D$2=0),0,IF(Z$3&lt;0,0,N(INDEX('CURVA PREVISION'!$A$1:$KZ$3000,$C67,11+3*MIN(Z$3,$D$2-1)))))</f>
        <v>0</v>
      </c>
      <c r="AA67" s="131" t="n">
        <f aca="false">IF(OR($C67="",$B$2="",$D$2=0),0,IF(AA$3&lt;0,0,N(INDEX('CURVA PREVISION'!$A$1:$KZ$3000,$C67,11+3*MIN(AA$3,$D$2-1)))))</f>
        <v>0</v>
      </c>
      <c r="AB67" s="131" t="n">
        <f aca="false">IF(OR($C67="",$B$2="",$D$2=0),0,IF(AB$3&lt;0,0,N(INDEX('CURVA PREVISION'!$A$1:$KZ$3000,$C67,11+3*MIN(AB$3,$D$2-1)))))</f>
        <v>0</v>
      </c>
      <c r="AC67" s="131" t="n">
        <f aca="false">IF(OR($C67="",$B$2="",$D$2=0),0,IF(AC$3&lt;0,0,N(INDEX('CURVA PREVISION'!$A$1:$KZ$3000,$C67,11+3*MIN(AC$3,$D$2-1)))))</f>
        <v>0</v>
      </c>
      <c r="AD67" s="131" t="n">
        <f aca="false">IF(OR($C67="",$B$2="",$D$2=0),0,IF(AD$3&lt;0,0,N(INDEX('CURVA PREVISION'!$A$1:$KZ$3000,$C67,11+3*MIN(AD$3,$D$2-1)))))</f>
        <v>0</v>
      </c>
      <c r="AE67" s="131" t="n">
        <f aca="false">IF(OR($C67="",$B$2="",$D$2=0),0,IF(AE$3&lt;0,0,N(INDEX('CURVA PREVISION'!$A$1:$KZ$3000,$C67,11+3*MIN(AE$3,$D$2-1)))))</f>
        <v>0</v>
      </c>
      <c r="AF67" s="131" t="n">
        <f aca="false">IF(OR($C67="",$B$2="",$D$2=0),0,IF(AF$3&lt;0,0,N(INDEX('CURVA PREVISION'!$A$1:$KZ$3000,$C67,11+3*MIN(AF$3,$D$2-1)))))</f>
        <v>0</v>
      </c>
      <c r="AG67" s="131" t="n">
        <f aca="false">IF(OR($C67="",$B$2="",$D$2=0),0,IF(AG$3&lt;0,0,N(INDEX('CURVA PREVISION'!$A$1:$KZ$3000,$C67,11+3*MIN(AG$3,$D$2-1)))))</f>
        <v>0</v>
      </c>
      <c r="AH67" s="131" t="n">
        <f aca="false">IF(OR($C67="",$B$2="",$D$2=0),0,IF(AH$3&lt;0,0,N(INDEX('CURVA PREVISION'!$A$1:$KZ$3000,$C67,11+3*MIN(AH$3,$D$2-1)))))</f>
        <v>0</v>
      </c>
      <c r="AI67" s="131" t="n">
        <f aca="false">IF(OR($C67="",$B$2="",$D$2=0),0,IF(AI$3&lt;0,0,N(INDEX('CURVA PREVISION'!$A$1:$KZ$3000,$C67,11+3*MIN(AI$3,$D$2-1)))))</f>
        <v>0</v>
      </c>
      <c r="AJ67" s="131" t="n">
        <f aca="false">IF(OR($C67="",$B$2="",$D$2=0),0,IF(AJ$3&lt;0,0,N(INDEX('CURVA PREVISION'!$A$1:$KZ$3000,$C67,11+3*MIN(AJ$3,$D$2-1)))))</f>
        <v>0</v>
      </c>
      <c r="AK67" s="131" t="n">
        <f aca="false">IF(OR($C67="",$B$2="",$D$2=0),0,IF(AK$3&lt;0,0,N(INDEX('CURVA PREVISION'!$A$1:$KZ$3000,$C67,11+3*MIN(AK$3,$D$2-1)))))</f>
        <v>0</v>
      </c>
      <c r="AL67" s="131" t="n">
        <f aca="false">IF(OR($C67="",$B$2="",$D$2=0),0,IF(AL$3&lt;0,0,N(INDEX('CURVA PREVISION'!$A$1:$KZ$3000,$C67,11+3*MIN(AL$3,$D$2-1)))))</f>
        <v>0</v>
      </c>
      <c r="AM67" s="131" t="n">
        <f aca="false">IF(OR($C67="",$B$2="",$D$2=0),0,IF(AM$3&lt;0,0,N(INDEX('CURVA PREVISION'!$A$1:$KZ$3000,$C67,11+3*MIN(AM$3,$D$2-1)))))</f>
        <v>0</v>
      </c>
      <c r="AN67" s="131" t="n">
        <f aca="false">IF(OR($C67="",$B$2="",$D$2=0),0,IF(AN$3&lt;0,0,N(INDEX('CURVA PREVISION'!$A$1:$KZ$3000,$C67,11+3*MIN(AN$3,$D$2-1)))))</f>
        <v>0</v>
      </c>
      <c r="AO67" s="131" t="n">
        <f aca="false">IF(OR($C67="",$B$2="",$D$2=0),0,IF(AO$3&lt;0,0,N(INDEX('CURVA PREVISION'!$A$1:$KZ$3000,$C67,11+3*MIN(AO$3,$D$2-1)))))</f>
        <v>0</v>
      </c>
      <c r="AP67" s="131" t="n">
        <f aca="false">IF(OR($C67="",$B$2="",$D$2=0),0,IF(AP$3&lt;0,0,N(INDEX('CURVA PREVISION'!$A$1:$KZ$3000,$C67,11+3*MIN(AP$3,$D$2-1)))))</f>
        <v>0</v>
      </c>
      <c r="AQ67" s="131" t="n">
        <f aca="false">IF(OR($C67="",$B$2="",$D$2=0),0,IF(AQ$3&lt;0,0,N(INDEX('CURVA PREVISION'!$A$1:$KZ$3000,$C67,11+3*MIN(AQ$3,$D$2-1)))))</f>
        <v>0</v>
      </c>
      <c r="AR67" s="131" t="n">
        <f aca="false">IF(OR($C67="",$B$2="",$D$2=0),0,IF(AR$3&lt;0,0,N(INDEX('CURVA PREVISION'!$A$1:$KZ$3000,$C67,11+3*MIN(AR$3,$D$2-1)))))</f>
        <v>0</v>
      </c>
      <c r="AS67" s="131" t="n">
        <f aca="false">IF(OR($C67="",$B$2="",$D$2=0),0,IF(AS$3&lt;0,0,N(INDEX('CURVA PREVISION'!$A$1:$KZ$3000,$C67,11+3*MIN(AS$3,$D$2-1)))))</f>
        <v>0</v>
      </c>
      <c r="AT67" s="131" t="n">
        <f aca="false">IF(OR($C67="",$B$2="",$D$2=0),0,IF(AT$3&lt;0,0,N(INDEX('CURVA PREVISION'!$A$1:$KZ$3000,$C67,11+3*MIN(AT$3,$D$2-1)))))</f>
        <v>0</v>
      </c>
      <c r="AU67" s="131" t="n">
        <f aca="false">IF(OR($C67="",$B$2="",$D$2=0),0,IF(AU$3&lt;0,0,N(INDEX('CURVA PREVISION'!$A$1:$KZ$3000,$C67,11+3*MIN(AU$3,$D$2-1)))))</f>
        <v>0</v>
      </c>
      <c r="AV67" s="131" t="n">
        <f aca="false">IF(OR($C67="",$B$2="",$D$2=0),0,IF(AV$3&lt;0,0,N(INDEX('CURVA PREVISION'!$A$1:$KZ$3000,$C67,11+3*MIN(AV$3,$D$2-1)))))</f>
        <v>0</v>
      </c>
      <c r="AW67" s="131" t="n">
        <f aca="false">IF(OR($C67="",$B$2="",$D$2=0),0,IF(AW$3&lt;0,0,N(INDEX('CURVA PREVISION'!$A$1:$KZ$3000,$C67,11+3*MIN(AW$3,$D$2-1)))))</f>
        <v>0</v>
      </c>
      <c r="AX67" s="131" t="n">
        <f aca="false">IF(OR($C67="",$B$2="",$D$2=0),0,IF(AX$3&lt;0,0,N(INDEX('CURVA PREVISION'!$A$1:$KZ$3000,$C67,11+3*MIN(AX$3,$D$2-1)))))</f>
        <v>0</v>
      </c>
      <c r="AY67" s="131" t="n">
        <f aca="false">IF(OR($C67="",$B$2="",$D$2=0),0,IF(AY$3&lt;0,0,N(INDEX('CURVA PREVISION'!$A$1:$KZ$3000,$C67,11+3*MIN(AY$3,$D$2-1)))))</f>
        <v>0</v>
      </c>
      <c r="AZ67" s="131" t="n">
        <f aca="false">IF(OR($C67="",$B$2="",$D$2=0),0,IF(AZ$3&lt;0,0,N(INDEX('CURVA PREVISION'!$A$1:$KZ$3000,$C67,11+3*MIN(AZ$3,$D$2-1)))))</f>
        <v>0</v>
      </c>
      <c r="BA67" s="131" t="n">
        <f aca="false">IF(OR($C67="",$B$2="",$D$2=0),0,IF(BA$3&lt;0,0,N(INDEX('CURVA PREVISION'!$A$1:$KZ$3000,$C67,11+3*MIN(BA$3,$D$2-1)))))</f>
        <v>0</v>
      </c>
      <c r="BB67" s="131" t="n">
        <f aca="false">IF(OR($C67="",$B$2="",$D$2=0),0,IF(BB$3&lt;0,0,N(INDEX('CURVA PREVISION'!$A$1:$KZ$3000,$C67,11+3*MIN(BB$3,$D$2-1)))))</f>
        <v>0</v>
      </c>
      <c r="BC67" s="131" t="n">
        <f aca="false">IF(OR($C67="",$B$2="",$D$2=0),0,IF(BC$3&lt;0,0,N(INDEX('CURVA PREVISION'!$A$1:$KZ$3000,$C67,11+3*MIN(BC$3,$D$2-1)))))</f>
        <v>0</v>
      </c>
      <c r="BD67" s="131" t="n">
        <f aca="false">IF(OR($C67="",$B$2="",$D$2=0),0,IF(BD$3&lt;0,0,N(INDEX('CURVA PREVISION'!$A$1:$KZ$3000,$C67,11+3*MIN(BD$3,$D$2-1)))))</f>
        <v>0</v>
      </c>
      <c r="BE67" s="131" t="n">
        <f aca="false">IF(OR($C67="",$B$2="",$D$2=0),0,IF(BE$3&lt;0,0,N(INDEX('CURVA PREVISION'!$A$1:$KZ$3000,$C67,11+3*MIN(BE$3,$D$2-1)))))</f>
        <v>0</v>
      </c>
      <c r="BF67" s="131" t="n">
        <f aca="false">IF(OR($C67="",$B$2="",$D$2=0),0,IF(BF$3&lt;0,0,N(INDEX('CURVA PREVISION'!$A$1:$KZ$3000,$C67,11+3*MIN(BF$3,$D$2-1)))))</f>
        <v>0</v>
      </c>
      <c r="BG67" s="131" t="n">
        <f aca="false">IF(OR($C67="",$B$2="",$D$2=0),0,IF(BG$3&lt;0,0,N(INDEX('CURVA PREVISION'!$A$1:$KZ$3000,$C67,11+3*MIN(BG$3,$D$2-1)))))</f>
        <v>0</v>
      </c>
      <c r="BH67" s="131" t="n">
        <f aca="false">IF(OR($C67="",$B$2="",$D$2=0),0,IF(BH$3&lt;0,0,N(INDEX('CURVA PREVISION'!$A$1:$KZ$3000,$C67,11+3*MIN(BH$3,$D$2-1)))))</f>
        <v>0</v>
      </c>
      <c r="BI67" s="131" t="n">
        <f aca="false">IF(OR($C67="",$B$2="",$D$2=0),0,IF(BI$3&lt;0,0,N(INDEX('CURVA PREVISION'!$A$1:$KZ$3000,$C67,11+3*MIN(BI$3,$D$2-1)))))</f>
        <v>0</v>
      </c>
      <c r="BJ67" s="131" t="n">
        <f aca="false">IF(OR($C67="",$B$2="",$D$2=0),0,IF(BJ$3&lt;0,0,N(INDEX('CURVA PREVISION'!$A$1:$KZ$3000,$C67,11+3*MIN(BJ$3,$D$2-1)))))</f>
        <v>0</v>
      </c>
      <c r="BK67" s="131" t="n">
        <f aca="false">IF(OR($C67="",$B$2="",$D$2=0),0,IF(BK$3&lt;0,0,N(INDEX('CURVA PREVISION'!$A$1:$KZ$3000,$C67,11+3*MIN(BK$3,$D$2-1)))))</f>
        <v>0</v>
      </c>
      <c r="BL67" s="131" t="n">
        <f aca="false">IF(OR($C67="",$B$2="",$D$2=0),0,IF(BL$3&lt;0,0,N(INDEX('CURVA PREVISION'!$A$1:$KZ$3000,$C67,11+3*MIN(BL$3,$D$2-1)))))</f>
        <v>0</v>
      </c>
      <c r="BM67" s="131" t="n">
        <f aca="false">IF(OR($C67="",$B$2="",$D$2=0),0,IF(BM$3&lt;0,0,N(INDEX('CURVA PREVISION'!$A$1:$KZ$3000,$C67,11+3*MIN(BM$3,$D$2-1)))))</f>
        <v>0</v>
      </c>
      <c r="BN67" s="131" t="n">
        <f aca="false">IF(OR($C67="",$B$2="",$D$2=0),0,IF(BN$3&lt;0,0,N(INDEX('CURVA PREVISION'!$A$1:$KZ$3000,$C67,11+3*MIN(BN$3,$D$2-1)))))</f>
        <v>0</v>
      </c>
      <c r="BO67" s="131" t="n">
        <f aca="false">IF(OR($C67="",$B$2="",$D$2=0),0,IF(BO$3&lt;0,0,N(INDEX('CURVA PREVISION'!$A$1:$KZ$3000,$C67,11+3*MIN(BO$3,$D$2-1)))))</f>
        <v>0</v>
      </c>
      <c r="BP67" s="131" t="n">
        <f aca="false">IF(OR($C67="",$B$2="",$D$2=0),0,IF(BP$3&lt;0,0,N(INDEX('CURVA PREVISION'!$A$1:$KZ$3000,$C67,11+3*MIN(BP$3,$D$2-1)))))</f>
        <v>0</v>
      </c>
      <c r="BQ67" s="131" t="n">
        <f aca="false">IF(OR($C67="",$B$2="",$D$2=0),0,IF(BQ$3&lt;0,0,N(INDEX('CURVA PREVISION'!$A$1:$KZ$3000,$C67,11+3*MIN(BQ$3,$D$2-1)))))</f>
        <v>0</v>
      </c>
      <c r="BR67" s="131" t="n">
        <f aca="false">IF(OR($C67="",$B$2="",$D$2=0),0,IF(BR$3&lt;0,0,N(INDEX('CURVA PREVISION'!$A$1:$KZ$3000,$C67,11+3*MIN(BR$3,$D$2-1)))))</f>
        <v>0</v>
      </c>
      <c r="BS67" s="131" t="n">
        <f aca="false">IF(OR($C67="",$B$2="",$D$2=0),0,IF(BS$3&lt;0,0,N(INDEX('CURVA PREVISION'!$A$1:$KZ$3000,$C67,11+3*MIN(BS$3,$D$2-1)))))</f>
        <v>0</v>
      </c>
      <c r="BT67" s="131" t="n">
        <f aca="false">IF(OR($C67="",$B$2="",$D$2=0),0,IF(BT$3&lt;0,0,N(INDEX('CURVA PREVISION'!$A$1:$KZ$3000,$C67,11+3*MIN(BT$3,$D$2-1)))))</f>
        <v>0</v>
      </c>
      <c r="BU67" s="131" t="n">
        <f aca="false">IF(OR($C67="",$B$2="",$D$2=0),0,IF(BU$3&lt;0,0,N(INDEX('CURVA PREVISION'!$A$1:$KZ$3000,$C67,11+3*MIN(BU$3,$D$2-1)))))</f>
        <v>0</v>
      </c>
      <c r="BV67" s="131" t="n">
        <f aca="false">IF(OR($C67="",$B$2="",$D$2=0),0,IF(BV$3&lt;0,0,N(INDEX('CURVA PREVISION'!$A$1:$KZ$3000,$C67,11+3*MIN(BV$3,$D$2-1)))))</f>
        <v>0</v>
      </c>
      <c r="BW67" s="131" t="n">
        <f aca="false">IF(OR($C67="",$B$2="",$D$2=0),0,IF(BW$3&lt;0,0,N(INDEX('CURVA PREVISION'!$A$1:$KZ$3000,$C67,11+3*MIN(BW$3,$D$2-1)))))</f>
        <v>0</v>
      </c>
    </row>
    <row r="68" customFormat="false" ht="15" hidden="false" customHeight="false" outlineLevel="0" collapsed="false">
      <c r="A68" s="57" t="str">
        <f aca="false">IF('VALOR POR PL'!Q32="",'VALOR POR PL'!C32,'VALOR POR PL'!Q32)</f>
        <v>22</v>
      </c>
      <c r="B68" s="47" t="str">
        <f aca="false">B26</f>
        <v>INSTALAÇÕES COMBATE INCÊNDIO</v>
      </c>
      <c r="C68" s="64" t="n">
        <f aca="false">IFERROR(MATCH(A68,'CURVA PREVISION'!$B$1:$B$3000,0),"")</f>
        <v>531</v>
      </c>
      <c r="D68" s="131" t="n">
        <f aca="false">IF(OR($C68="",$B$2="",$D$2=0),0,IF(D$3&lt;0,0,N(INDEX('CURVA PREVISION'!$A$1:$KZ$3000,$C68,11+3*MIN(D$3,$D$2-1)))))</f>
        <v>0</v>
      </c>
      <c r="E68" s="131" t="n">
        <f aca="false">IF(OR($C68="",$B$2="",$D$2=0),0,IF(E$3&lt;0,0,N(INDEX('CURVA PREVISION'!$A$1:$KZ$3000,$C68,11+3*MIN(E$3,$D$2-1)))))</f>
        <v>0</v>
      </c>
      <c r="F68" s="131" t="n">
        <f aca="false">IF(OR($C68="",$B$2="",$D$2=0),0,IF(F$3&lt;0,0,N(INDEX('CURVA PREVISION'!$A$1:$KZ$3000,$C68,11+3*MIN(F$3,$D$2-1)))))</f>
        <v>0</v>
      </c>
      <c r="G68" s="131" t="n">
        <f aca="false">IF(OR($C68="",$B$2="",$D$2=0),0,IF(G$3&lt;0,0,N(INDEX('CURVA PREVISION'!$A$1:$KZ$3000,$C68,11+3*MIN(G$3,$D$2-1)))))</f>
        <v>0</v>
      </c>
      <c r="H68" s="131" t="n">
        <f aca="false">IF(OR($C68="",$B$2="",$D$2=0),0,IF(H$3&lt;0,0,N(INDEX('CURVA PREVISION'!$A$1:$KZ$3000,$C68,11+3*MIN(H$3,$D$2-1)))))</f>
        <v>0</v>
      </c>
      <c r="I68" s="131" t="n">
        <f aca="false">IF(OR($C68="",$B$2="",$D$2=0),0,IF(I$3&lt;0,0,N(INDEX('CURVA PREVISION'!$A$1:$KZ$3000,$C68,11+3*MIN(I$3,$D$2-1)))))</f>
        <v>0</v>
      </c>
      <c r="J68" s="131" t="n">
        <f aca="false">IF(OR($C68="",$B$2="",$D$2=0),0,IF(J$3&lt;0,0,N(INDEX('CURVA PREVISION'!$A$1:$KZ$3000,$C68,11+3*MIN(J$3,$D$2-1)))))</f>
        <v>0</v>
      </c>
      <c r="K68" s="131" t="n">
        <f aca="false">IF(OR($C68="",$B$2="",$D$2=0),0,IF(K$3&lt;0,0,N(INDEX('CURVA PREVISION'!$A$1:$KZ$3000,$C68,11+3*MIN(K$3,$D$2-1)))))</f>
        <v>0</v>
      </c>
      <c r="L68" s="131" t="n">
        <f aca="false">IF(OR($C68="",$B$2="",$D$2=0),0,IF(L$3&lt;0,0,N(INDEX('CURVA PREVISION'!$A$1:$KZ$3000,$C68,11+3*MIN(L$3,$D$2-1)))))</f>
        <v>0</v>
      </c>
      <c r="M68" s="131" t="n">
        <f aca="false">IF(OR($C68="",$B$2="",$D$2=0),0,IF(M$3&lt;0,0,N(INDEX('CURVA PREVISION'!$A$1:$KZ$3000,$C68,11+3*MIN(M$3,$D$2-1)))))</f>
        <v>0</v>
      </c>
      <c r="N68" s="131" t="n">
        <f aca="false">IF(OR($C68="",$B$2="",$D$2=0),0,IF(N$3&lt;0,0,N(INDEX('CURVA PREVISION'!$A$1:$KZ$3000,$C68,11+3*MIN(N$3,$D$2-1)))))</f>
        <v>0</v>
      </c>
      <c r="O68" s="131" t="n">
        <f aca="false">IF(OR($C68="",$B$2="",$D$2=0),0,IF(O$3&lt;0,0,N(INDEX('CURVA PREVISION'!$A$1:$KZ$3000,$C68,11+3*MIN(O$3,$D$2-1)))))</f>
        <v>0</v>
      </c>
      <c r="P68" s="131" t="n">
        <f aca="false">IF(OR($C68="",$B$2="",$D$2=0),0,IF(P$3&lt;0,0,N(INDEX('CURVA PREVISION'!$A$1:$KZ$3000,$C68,11+3*MIN(P$3,$D$2-1)))))</f>
        <v>0</v>
      </c>
      <c r="Q68" s="131" t="n">
        <f aca="false">IF(OR($C68="",$B$2="",$D$2=0),0,IF(Q$3&lt;0,0,N(INDEX('CURVA PREVISION'!$A$1:$KZ$3000,$C68,11+3*MIN(Q$3,$D$2-1)))))</f>
        <v>0</v>
      </c>
      <c r="R68" s="131" t="n">
        <f aca="false">IF(OR($C68="",$B$2="",$D$2=0),0,IF(R$3&lt;0,0,N(INDEX('CURVA PREVISION'!$A$1:$KZ$3000,$C68,11+3*MIN(R$3,$D$2-1)))))</f>
        <v>0</v>
      </c>
      <c r="S68" s="131" t="n">
        <f aca="false">IF(OR($C68="",$B$2="",$D$2=0),0,IF(S$3&lt;0,0,N(INDEX('CURVA PREVISION'!$A$1:$KZ$3000,$C68,11+3*MIN(S$3,$D$2-1)))))</f>
        <v>0</v>
      </c>
      <c r="T68" s="131" t="n">
        <f aca="false">IF(OR($C68="",$B$2="",$D$2=0),0,IF(T$3&lt;0,0,N(INDEX('CURVA PREVISION'!$A$1:$KZ$3000,$C68,11+3*MIN(T$3,$D$2-1)))))</f>
        <v>0</v>
      </c>
      <c r="U68" s="131" t="n">
        <f aca="false">IF(OR($C68="",$B$2="",$D$2=0),0,IF(U$3&lt;0,0,N(INDEX('CURVA PREVISION'!$A$1:$KZ$3000,$C68,11+3*MIN(U$3,$D$2-1)))))</f>
        <v>0</v>
      </c>
      <c r="V68" s="131" t="n">
        <f aca="false">IF(OR($C68="",$B$2="",$D$2=0),0,IF(V$3&lt;0,0,N(INDEX('CURVA PREVISION'!$A$1:$KZ$3000,$C68,11+3*MIN(V$3,$D$2-1)))))</f>
        <v>0</v>
      </c>
      <c r="W68" s="131" t="n">
        <f aca="false">IF(OR($C68="",$B$2="",$D$2=0),0,IF(W$3&lt;0,0,N(INDEX('CURVA PREVISION'!$A$1:$KZ$3000,$C68,11+3*MIN(W$3,$D$2-1)))))</f>
        <v>0</v>
      </c>
      <c r="X68" s="131" t="n">
        <f aca="false">IF(OR($C68="",$B$2="",$D$2=0),0,IF(X$3&lt;0,0,N(INDEX('CURVA PREVISION'!$A$1:$KZ$3000,$C68,11+3*MIN(X$3,$D$2-1)))))</f>
        <v>0</v>
      </c>
      <c r="Y68" s="131" t="n">
        <f aca="false">IF(OR($C68="",$B$2="",$D$2=0),0,IF(Y$3&lt;0,0,N(INDEX('CURVA PREVISION'!$A$1:$KZ$3000,$C68,11+3*MIN(Y$3,$D$2-1)))))</f>
        <v>0</v>
      </c>
      <c r="Z68" s="131" t="n">
        <f aca="false">IF(OR($C68="",$B$2="",$D$2=0),0,IF(Z$3&lt;0,0,N(INDEX('CURVA PREVISION'!$A$1:$KZ$3000,$C68,11+3*MIN(Z$3,$D$2-1)))))</f>
        <v>0</v>
      </c>
      <c r="AA68" s="131" t="n">
        <f aca="false">IF(OR($C68="",$B$2="",$D$2=0),0,IF(AA$3&lt;0,0,N(INDEX('CURVA PREVISION'!$A$1:$KZ$3000,$C68,11+3*MIN(AA$3,$D$2-1)))))</f>
        <v>0</v>
      </c>
      <c r="AB68" s="131" t="n">
        <f aca="false">IF(OR($C68="",$B$2="",$D$2=0),0,IF(AB$3&lt;0,0,N(INDEX('CURVA PREVISION'!$A$1:$KZ$3000,$C68,11+3*MIN(AB$3,$D$2-1)))))</f>
        <v>0</v>
      </c>
      <c r="AC68" s="131" t="n">
        <f aca="false">IF(OR($C68="",$B$2="",$D$2=0),0,IF(AC$3&lt;0,0,N(INDEX('CURVA PREVISION'!$A$1:$KZ$3000,$C68,11+3*MIN(AC$3,$D$2-1)))))</f>
        <v>0</v>
      </c>
      <c r="AD68" s="131" t="n">
        <f aca="false">IF(OR($C68="",$B$2="",$D$2=0),0,IF(AD$3&lt;0,0,N(INDEX('CURVA PREVISION'!$A$1:$KZ$3000,$C68,11+3*MIN(AD$3,$D$2-1)))))</f>
        <v>0</v>
      </c>
      <c r="AE68" s="131" t="n">
        <f aca="false">IF(OR($C68="",$B$2="",$D$2=0),0,IF(AE$3&lt;0,0,N(INDEX('CURVA PREVISION'!$A$1:$KZ$3000,$C68,11+3*MIN(AE$3,$D$2-1)))))</f>
        <v>0</v>
      </c>
      <c r="AF68" s="131" t="n">
        <f aca="false">IF(OR($C68="",$B$2="",$D$2=0),0,IF(AF$3&lt;0,0,N(INDEX('CURVA PREVISION'!$A$1:$KZ$3000,$C68,11+3*MIN(AF$3,$D$2-1)))))</f>
        <v>0</v>
      </c>
      <c r="AG68" s="131" t="n">
        <f aca="false">IF(OR($C68="",$B$2="",$D$2=0),0,IF(AG$3&lt;0,0,N(INDEX('CURVA PREVISION'!$A$1:$KZ$3000,$C68,11+3*MIN(AG$3,$D$2-1)))))</f>
        <v>0</v>
      </c>
      <c r="AH68" s="131" t="n">
        <f aca="false">IF(OR($C68="",$B$2="",$D$2=0),0,IF(AH$3&lt;0,0,N(INDEX('CURVA PREVISION'!$A$1:$KZ$3000,$C68,11+3*MIN(AH$3,$D$2-1)))))</f>
        <v>0</v>
      </c>
      <c r="AI68" s="131" t="n">
        <f aca="false">IF(OR($C68="",$B$2="",$D$2=0),0,IF(AI$3&lt;0,0,N(INDEX('CURVA PREVISION'!$A$1:$KZ$3000,$C68,11+3*MIN(AI$3,$D$2-1)))))</f>
        <v>0</v>
      </c>
      <c r="AJ68" s="131" t="n">
        <f aca="false">IF(OR($C68="",$B$2="",$D$2=0),0,IF(AJ$3&lt;0,0,N(INDEX('CURVA PREVISION'!$A$1:$KZ$3000,$C68,11+3*MIN(AJ$3,$D$2-1)))))</f>
        <v>0</v>
      </c>
      <c r="AK68" s="131" t="n">
        <f aca="false">IF(OR($C68="",$B$2="",$D$2=0),0,IF(AK$3&lt;0,0,N(INDEX('CURVA PREVISION'!$A$1:$KZ$3000,$C68,11+3*MIN(AK$3,$D$2-1)))))</f>
        <v>0</v>
      </c>
      <c r="AL68" s="131" t="n">
        <f aca="false">IF(OR($C68="",$B$2="",$D$2=0),0,IF(AL$3&lt;0,0,N(INDEX('CURVA PREVISION'!$A$1:$KZ$3000,$C68,11+3*MIN(AL$3,$D$2-1)))))</f>
        <v>0</v>
      </c>
      <c r="AM68" s="131" t="n">
        <f aca="false">IF(OR($C68="",$B$2="",$D$2=0),0,IF(AM$3&lt;0,0,N(INDEX('CURVA PREVISION'!$A$1:$KZ$3000,$C68,11+3*MIN(AM$3,$D$2-1)))))</f>
        <v>0</v>
      </c>
      <c r="AN68" s="131" t="n">
        <f aca="false">IF(OR($C68="",$B$2="",$D$2=0),0,IF(AN$3&lt;0,0,N(INDEX('CURVA PREVISION'!$A$1:$KZ$3000,$C68,11+3*MIN(AN$3,$D$2-1)))))</f>
        <v>0</v>
      </c>
      <c r="AO68" s="131" t="n">
        <f aca="false">IF(OR($C68="",$B$2="",$D$2=0),0,IF(AO$3&lt;0,0,N(INDEX('CURVA PREVISION'!$A$1:$KZ$3000,$C68,11+3*MIN(AO$3,$D$2-1)))))</f>
        <v>0</v>
      </c>
      <c r="AP68" s="131" t="n">
        <f aca="false">IF(OR($C68="",$B$2="",$D$2=0),0,IF(AP$3&lt;0,0,N(INDEX('CURVA PREVISION'!$A$1:$KZ$3000,$C68,11+3*MIN(AP$3,$D$2-1)))))</f>
        <v>0</v>
      </c>
      <c r="AQ68" s="131" t="n">
        <f aca="false">IF(OR($C68="",$B$2="",$D$2=0),0,IF(AQ$3&lt;0,0,N(INDEX('CURVA PREVISION'!$A$1:$KZ$3000,$C68,11+3*MIN(AQ$3,$D$2-1)))))</f>
        <v>0</v>
      </c>
      <c r="AR68" s="131" t="n">
        <f aca="false">IF(OR($C68="",$B$2="",$D$2=0),0,IF(AR$3&lt;0,0,N(INDEX('CURVA PREVISION'!$A$1:$KZ$3000,$C68,11+3*MIN(AR$3,$D$2-1)))))</f>
        <v>0</v>
      </c>
      <c r="AS68" s="131" t="n">
        <f aca="false">IF(OR($C68="",$B$2="",$D$2=0),0,IF(AS$3&lt;0,0,N(INDEX('CURVA PREVISION'!$A$1:$KZ$3000,$C68,11+3*MIN(AS$3,$D$2-1)))))</f>
        <v>0</v>
      </c>
      <c r="AT68" s="131" t="n">
        <f aca="false">IF(OR($C68="",$B$2="",$D$2=0),0,IF(AT$3&lt;0,0,N(INDEX('CURVA PREVISION'!$A$1:$KZ$3000,$C68,11+3*MIN(AT$3,$D$2-1)))))</f>
        <v>0</v>
      </c>
      <c r="AU68" s="131" t="n">
        <f aca="false">IF(OR($C68="",$B$2="",$D$2=0),0,IF(AU$3&lt;0,0,N(INDEX('CURVA PREVISION'!$A$1:$KZ$3000,$C68,11+3*MIN(AU$3,$D$2-1)))))</f>
        <v>0</v>
      </c>
      <c r="AV68" s="131" t="n">
        <f aca="false">IF(OR($C68="",$B$2="",$D$2=0),0,IF(AV$3&lt;0,0,N(INDEX('CURVA PREVISION'!$A$1:$KZ$3000,$C68,11+3*MIN(AV$3,$D$2-1)))))</f>
        <v>0</v>
      </c>
      <c r="AW68" s="131" t="n">
        <f aca="false">IF(OR($C68="",$B$2="",$D$2=0),0,IF(AW$3&lt;0,0,N(INDEX('CURVA PREVISION'!$A$1:$KZ$3000,$C68,11+3*MIN(AW$3,$D$2-1)))))</f>
        <v>0</v>
      </c>
      <c r="AX68" s="131" t="n">
        <f aca="false">IF(OR($C68="",$B$2="",$D$2=0),0,IF(AX$3&lt;0,0,N(INDEX('CURVA PREVISION'!$A$1:$KZ$3000,$C68,11+3*MIN(AX$3,$D$2-1)))))</f>
        <v>0</v>
      </c>
      <c r="AY68" s="131" t="n">
        <f aca="false">IF(OR($C68="",$B$2="",$D$2=0),0,IF(AY$3&lt;0,0,N(INDEX('CURVA PREVISION'!$A$1:$KZ$3000,$C68,11+3*MIN(AY$3,$D$2-1)))))</f>
        <v>0</v>
      </c>
      <c r="AZ68" s="131" t="n">
        <f aca="false">IF(OR($C68="",$B$2="",$D$2=0),0,IF(AZ$3&lt;0,0,N(INDEX('CURVA PREVISION'!$A$1:$KZ$3000,$C68,11+3*MIN(AZ$3,$D$2-1)))))</f>
        <v>0</v>
      </c>
      <c r="BA68" s="131" t="n">
        <f aca="false">IF(OR($C68="",$B$2="",$D$2=0),0,IF(BA$3&lt;0,0,N(INDEX('CURVA PREVISION'!$A$1:$KZ$3000,$C68,11+3*MIN(BA$3,$D$2-1)))))</f>
        <v>0</v>
      </c>
      <c r="BB68" s="131" t="n">
        <f aca="false">IF(OR($C68="",$B$2="",$D$2=0),0,IF(BB$3&lt;0,0,N(INDEX('CURVA PREVISION'!$A$1:$KZ$3000,$C68,11+3*MIN(BB$3,$D$2-1)))))</f>
        <v>0</v>
      </c>
      <c r="BC68" s="131" t="n">
        <f aca="false">IF(OR($C68="",$B$2="",$D$2=0),0,IF(BC$3&lt;0,0,N(INDEX('CURVA PREVISION'!$A$1:$KZ$3000,$C68,11+3*MIN(BC$3,$D$2-1)))))</f>
        <v>0</v>
      </c>
      <c r="BD68" s="131" t="n">
        <f aca="false">IF(OR($C68="",$B$2="",$D$2=0),0,IF(BD$3&lt;0,0,N(INDEX('CURVA PREVISION'!$A$1:$KZ$3000,$C68,11+3*MIN(BD$3,$D$2-1)))))</f>
        <v>0</v>
      </c>
      <c r="BE68" s="131" t="n">
        <f aca="false">IF(OR($C68="",$B$2="",$D$2=0),0,IF(BE$3&lt;0,0,N(INDEX('CURVA PREVISION'!$A$1:$KZ$3000,$C68,11+3*MIN(BE$3,$D$2-1)))))</f>
        <v>0</v>
      </c>
      <c r="BF68" s="131" t="n">
        <f aca="false">IF(OR($C68="",$B$2="",$D$2=0),0,IF(BF$3&lt;0,0,N(INDEX('CURVA PREVISION'!$A$1:$KZ$3000,$C68,11+3*MIN(BF$3,$D$2-1)))))</f>
        <v>0</v>
      </c>
      <c r="BG68" s="131" t="n">
        <f aca="false">IF(OR($C68="",$B$2="",$D$2=0),0,IF(BG$3&lt;0,0,N(INDEX('CURVA PREVISION'!$A$1:$KZ$3000,$C68,11+3*MIN(BG$3,$D$2-1)))))</f>
        <v>0</v>
      </c>
      <c r="BH68" s="131" t="n">
        <f aca="false">IF(OR($C68="",$B$2="",$D$2=0),0,IF(BH$3&lt;0,0,N(INDEX('CURVA PREVISION'!$A$1:$KZ$3000,$C68,11+3*MIN(BH$3,$D$2-1)))))</f>
        <v>0</v>
      </c>
      <c r="BI68" s="131" t="n">
        <f aca="false">IF(OR($C68="",$B$2="",$D$2=0),0,IF(BI$3&lt;0,0,N(INDEX('CURVA PREVISION'!$A$1:$KZ$3000,$C68,11+3*MIN(BI$3,$D$2-1)))))</f>
        <v>0</v>
      </c>
      <c r="BJ68" s="131" t="n">
        <f aca="false">IF(OR($C68="",$B$2="",$D$2=0),0,IF(BJ$3&lt;0,0,N(INDEX('CURVA PREVISION'!$A$1:$KZ$3000,$C68,11+3*MIN(BJ$3,$D$2-1)))))</f>
        <v>0</v>
      </c>
      <c r="BK68" s="131" t="n">
        <f aca="false">IF(OR($C68="",$B$2="",$D$2=0),0,IF(BK$3&lt;0,0,N(INDEX('CURVA PREVISION'!$A$1:$KZ$3000,$C68,11+3*MIN(BK$3,$D$2-1)))))</f>
        <v>0</v>
      </c>
      <c r="BL68" s="131" t="n">
        <f aca="false">IF(OR($C68="",$B$2="",$D$2=0),0,IF(BL$3&lt;0,0,N(INDEX('CURVA PREVISION'!$A$1:$KZ$3000,$C68,11+3*MIN(BL$3,$D$2-1)))))</f>
        <v>0</v>
      </c>
      <c r="BM68" s="131" t="n">
        <f aca="false">IF(OR($C68="",$B$2="",$D$2=0),0,IF(BM$3&lt;0,0,N(INDEX('CURVA PREVISION'!$A$1:$KZ$3000,$C68,11+3*MIN(BM$3,$D$2-1)))))</f>
        <v>0</v>
      </c>
      <c r="BN68" s="131" t="n">
        <f aca="false">IF(OR($C68="",$B$2="",$D$2=0),0,IF(BN$3&lt;0,0,N(INDEX('CURVA PREVISION'!$A$1:$KZ$3000,$C68,11+3*MIN(BN$3,$D$2-1)))))</f>
        <v>0</v>
      </c>
      <c r="BO68" s="131" t="n">
        <f aca="false">IF(OR($C68="",$B$2="",$D$2=0),0,IF(BO$3&lt;0,0,N(INDEX('CURVA PREVISION'!$A$1:$KZ$3000,$C68,11+3*MIN(BO$3,$D$2-1)))))</f>
        <v>0</v>
      </c>
      <c r="BP68" s="131" t="n">
        <f aca="false">IF(OR($C68="",$B$2="",$D$2=0),0,IF(BP$3&lt;0,0,N(INDEX('CURVA PREVISION'!$A$1:$KZ$3000,$C68,11+3*MIN(BP$3,$D$2-1)))))</f>
        <v>0</v>
      </c>
      <c r="BQ68" s="131" t="n">
        <f aca="false">IF(OR($C68="",$B$2="",$D$2=0),0,IF(BQ$3&lt;0,0,N(INDEX('CURVA PREVISION'!$A$1:$KZ$3000,$C68,11+3*MIN(BQ$3,$D$2-1)))))</f>
        <v>0</v>
      </c>
      <c r="BR68" s="131" t="n">
        <f aca="false">IF(OR($C68="",$B$2="",$D$2=0),0,IF(BR$3&lt;0,0,N(INDEX('CURVA PREVISION'!$A$1:$KZ$3000,$C68,11+3*MIN(BR$3,$D$2-1)))))</f>
        <v>0</v>
      </c>
      <c r="BS68" s="131" t="n">
        <f aca="false">IF(OR($C68="",$B$2="",$D$2=0),0,IF(BS$3&lt;0,0,N(INDEX('CURVA PREVISION'!$A$1:$KZ$3000,$C68,11+3*MIN(BS$3,$D$2-1)))))</f>
        <v>0</v>
      </c>
      <c r="BT68" s="131" t="n">
        <f aca="false">IF(OR($C68="",$B$2="",$D$2=0),0,IF(BT$3&lt;0,0,N(INDEX('CURVA PREVISION'!$A$1:$KZ$3000,$C68,11+3*MIN(BT$3,$D$2-1)))))</f>
        <v>0</v>
      </c>
      <c r="BU68" s="131" t="n">
        <f aca="false">IF(OR($C68="",$B$2="",$D$2=0),0,IF(BU$3&lt;0,0,N(INDEX('CURVA PREVISION'!$A$1:$KZ$3000,$C68,11+3*MIN(BU$3,$D$2-1)))))</f>
        <v>0</v>
      </c>
      <c r="BV68" s="131" t="n">
        <f aca="false">IF(OR($C68="",$B$2="",$D$2=0),0,IF(BV$3&lt;0,0,N(INDEX('CURVA PREVISION'!$A$1:$KZ$3000,$C68,11+3*MIN(BV$3,$D$2-1)))))</f>
        <v>0</v>
      </c>
      <c r="BW68" s="131" t="n">
        <f aca="false">IF(OR($C68="",$B$2="",$D$2=0),0,IF(BW$3&lt;0,0,N(INDEX('CURVA PREVISION'!$A$1:$KZ$3000,$C68,11+3*MIN(BW$3,$D$2-1)))))</f>
        <v>0</v>
      </c>
    </row>
    <row r="69" customFormat="false" ht="15" hidden="false" customHeight="false" outlineLevel="0" collapsed="false">
      <c r="A69" s="57" t="str">
        <f aca="false">IF('VALOR POR PL'!Q33="",'VALOR POR PL'!C33,'VALOR POR PL'!Q33)</f>
        <v>23</v>
      </c>
      <c r="B69" s="47" t="str">
        <f aca="false">B27</f>
        <v>INSTALAÇÕES ESPECIAIS</v>
      </c>
      <c r="C69" s="64" t="n">
        <f aca="false">IFERROR(MATCH(A69,'CURVA PREVISION'!$B$1:$B$3000,0),"")</f>
        <v>537</v>
      </c>
      <c r="D69" s="131" t="n">
        <f aca="false">IF(OR($C69="",$B$2="",$D$2=0),0,IF(D$3&lt;0,0,N(INDEX('CURVA PREVISION'!$A$1:$KZ$3000,$C69,11+3*MIN(D$3,$D$2-1)))))</f>
        <v>0</v>
      </c>
      <c r="E69" s="131" t="n">
        <f aca="false">IF(OR($C69="",$B$2="",$D$2=0),0,IF(E$3&lt;0,0,N(INDEX('CURVA PREVISION'!$A$1:$KZ$3000,$C69,11+3*MIN(E$3,$D$2-1)))))</f>
        <v>0</v>
      </c>
      <c r="F69" s="131" t="n">
        <f aca="false">IF(OR($C69="",$B$2="",$D$2=0),0,IF(F$3&lt;0,0,N(INDEX('CURVA PREVISION'!$A$1:$KZ$3000,$C69,11+3*MIN(F$3,$D$2-1)))))</f>
        <v>0</v>
      </c>
      <c r="G69" s="131" t="n">
        <f aca="false">IF(OR($C69="",$B$2="",$D$2=0),0,IF(G$3&lt;0,0,N(INDEX('CURVA PREVISION'!$A$1:$KZ$3000,$C69,11+3*MIN(G$3,$D$2-1)))))</f>
        <v>0</v>
      </c>
      <c r="H69" s="131" t="n">
        <f aca="false">IF(OR($C69="",$B$2="",$D$2=0),0,IF(H$3&lt;0,0,N(INDEX('CURVA PREVISION'!$A$1:$KZ$3000,$C69,11+3*MIN(H$3,$D$2-1)))))</f>
        <v>0</v>
      </c>
      <c r="I69" s="131" t="n">
        <f aca="false">IF(OR($C69="",$B$2="",$D$2=0),0,IF(I$3&lt;0,0,N(INDEX('CURVA PREVISION'!$A$1:$KZ$3000,$C69,11+3*MIN(I$3,$D$2-1)))))</f>
        <v>0</v>
      </c>
      <c r="J69" s="131" t="n">
        <f aca="false">IF(OR($C69="",$B$2="",$D$2=0),0,IF(J$3&lt;0,0,N(INDEX('CURVA PREVISION'!$A$1:$KZ$3000,$C69,11+3*MIN(J$3,$D$2-1)))))</f>
        <v>0</v>
      </c>
      <c r="K69" s="131" t="n">
        <f aca="false">IF(OR($C69="",$B$2="",$D$2=0),0,IF(K$3&lt;0,0,N(INDEX('CURVA PREVISION'!$A$1:$KZ$3000,$C69,11+3*MIN(K$3,$D$2-1)))))</f>
        <v>0</v>
      </c>
      <c r="L69" s="131" t="n">
        <f aca="false">IF(OR($C69="",$B$2="",$D$2=0),0,IF(L$3&lt;0,0,N(INDEX('CURVA PREVISION'!$A$1:$KZ$3000,$C69,11+3*MIN(L$3,$D$2-1)))))</f>
        <v>0</v>
      </c>
      <c r="M69" s="131" t="n">
        <f aca="false">IF(OR($C69="",$B$2="",$D$2=0),0,IF(M$3&lt;0,0,N(INDEX('CURVA PREVISION'!$A$1:$KZ$3000,$C69,11+3*MIN(M$3,$D$2-1)))))</f>
        <v>0</v>
      </c>
      <c r="N69" s="131" t="n">
        <f aca="false">IF(OR($C69="",$B$2="",$D$2=0),0,IF(N$3&lt;0,0,N(INDEX('CURVA PREVISION'!$A$1:$KZ$3000,$C69,11+3*MIN(N$3,$D$2-1)))))</f>
        <v>0</v>
      </c>
      <c r="O69" s="131" t="n">
        <f aca="false">IF(OR($C69="",$B$2="",$D$2=0),0,IF(O$3&lt;0,0,N(INDEX('CURVA PREVISION'!$A$1:$KZ$3000,$C69,11+3*MIN(O$3,$D$2-1)))))</f>
        <v>0</v>
      </c>
      <c r="P69" s="131" t="n">
        <f aca="false">IF(OR($C69="",$B$2="",$D$2=0),0,IF(P$3&lt;0,0,N(INDEX('CURVA PREVISION'!$A$1:$KZ$3000,$C69,11+3*MIN(P$3,$D$2-1)))))</f>
        <v>0</v>
      </c>
      <c r="Q69" s="131" t="n">
        <f aca="false">IF(OR($C69="",$B$2="",$D$2=0),0,IF(Q$3&lt;0,0,N(INDEX('CURVA PREVISION'!$A$1:$KZ$3000,$C69,11+3*MIN(Q$3,$D$2-1)))))</f>
        <v>0</v>
      </c>
      <c r="R69" s="131" t="n">
        <f aca="false">IF(OR($C69="",$B$2="",$D$2=0),0,IF(R$3&lt;0,0,N(INDEX('CURVA PREVISION'!$A$1:$KZ$3000,$C69,11+3*MIN(R$3,$D$2-1)))))</f>
        <v>0</v>
      </c>
      <c r="S69" s="131" t="n">
        <f aca="false">IF(OR($C69="",$B$2="",$D$2=0),0,IF(S$3&lt;0,0,N(INDEX('CURVA PREVISION'!$A$1:$KZ$3000,$C69,11+3*MIN(S$3,$D$2-1)))))</f>
        <v>0</v>
      </c>
      <c r="T69" s="131" t="n">
        <f aca="false">IF(OR($C69="",$B$2="",$D$2=0),0,IF(T$3&lt;0,0,N(INDEX('CURVA PREVISION'!$A$1:$KZ$3000,$C69,11+3*MIN(T$3,$D$2-1)))))</f>
        <v>0</v>
      </c>
      <c r="U69" s="131" t="n">
        <f aca="false">IF(OR($C69="",$B$2="",$D$2=0),0,IF(U$3&lt;0,0,N(INDEX('CURVA PREVISION'!$A$1:$KZ$3000,$C69,11+3*MIN(U$3,$D$2-1)))))</f>
        <v>0</v>
      </c>
      <c r="V69" s="131" t="n">
        <f aca="false">IF(OR($C69="",$B$2="",$D$2=0),0,IF(V$3&lt;0,0,N(INDEX('CURVA PREVISION'!$A$1:$KZ$3000,$C69,11+3*MIN(V$3,$D$2-1)))))</f>
        <v>0</v>
      </c>
      <c r="W69" s="131" t="n">
        <f aca="false">IF(OR($C69="",$B$2="",$D$2=0),0,IF(W$3&lt;0,0,N(INDEX('CURVA PREVISION'!$A$1:$KZ$3000,$C69,11+3*MIN(W$3,$D$2-1)))))</f>
        <v>0</v>
      </c>
      <c r="X69" s="131" t="n">
        <f aca="false">IF(OR($C69="",$B$2="",$D$2=0),0,IF(X$3&lt;0,0,N(INDEX('CURVA PREVISION'!$A$1:$KZ$3000,$C69,11+3*MIN(X$3,$D$2-1)))))</f>
        <v>0</v>
      </c>
      <c r="Y69" s="131" t="n">
        <f aca="false">IF(OR($C69="",$B$2="",$D$2=0),0,IF(Y$3&lt;0,0,N(INDEX('CURVA PREVISION'!$A$1:$KZ$3000,$C69,11+3*MIN(Y$3,$D$2-1)))))</f>
        <v>0</v>
      </c>
      <c r="Z69" s="131" t="n">
        <f aca="false">IF(OR($C69="",$B$2="",$D$2=0),0,IF(Z$3&lt;0,0,N(INDEX('CURVA PREVISION'!$A$1:$KZ$3000,$C69,11+3*MIN(Z$3,$D$2-1)))))</f>
        <v>0</v>
      </c>
      <c r="AA69" s="131" t="n">
        <f aca="false">IF(OR($C69="",$B$2="",$D$2=0),0,IF(AA$3&lt;0,0,N(INDEX('CURVA PREVISION'!$A$1:$KZ$3000,$C69,11+3*MIN(AA$3,$D$2-1)))))</f>
        <v>0</v>
      </c>
      <c r="AB69" s="131" t="n">
        <f aca="false">IF(OR($C69="",$B$2="",$D$2=0),0,IF(AB$3&lt;0,0,N(INDEX('CURVA PREVISION'!$A$1:$KZ$3000,$C69,11+3*MIN(AB$3,$D$2-1)))))</f>
        <v>0</v>
      </c>
      <c r="AC69" s="131" t="n">
        <f aca="false">IF(OR($C69="",$B$2="",$D$2=0),0,IF(AC$3&lt;0,0,N(INDEX('CURVA PREVISION'!$A$1:$KZ$3000,$C69,11+3*MIN(AC$3,$D$2-1)))))</f>
        <v>0</v>
      </c>
      <c r="AD69" s="131" t="n">
        <f aca="false">IF(OR($C69="",$B$2="",$D$2=0),0,IF(AD$3&lt;0,0,N(INDEX('CURVA PREVISION'!$A$1:$KZ$3000,$C69,11+3*MIN(AD$3,$D$2-1)))))</f>
        <v>0</v>
      </c>
      <c r="AE69" s="131" t="n">
        <f aca="false">IF(OR($C69="",$B$2="",$D$2=0),0,IF(AE$3&lt;0,0,N(INDEX('CURVA PREVISION'!$A$1:$KZ$3000,$C69,11+3*MIN(AE$3,$D$2-1)))))</f>
        <v>0</v>
      </c>
      <c r="AF69" s="131" t="n">
        <f aca="false">IF(OR($C69="",$B$2="",$D$2=0),0,IF(AF$3&lt;0,0,N(INDEX('CURVA PREVISION'!$A$1:$KZ$3000,$C69,11+3*MIN(AF$3,$D$2-1)))))</f>
        <v>0</v>
      </c>
      <c r="AG69" s="131" t="n">
        <f aca="false">IF(OR($C69="",$B$2="",$D$2=0),0,IF(AG$3&lt;0,0,N(INDEX('CURVA PREVISION'!$A$1:$KZ$3000,$C69,11+3*MIN(AG$3,$D$2-1)))))</f>
        <v>0</v>
      </c>
      <c r="AH69" s="131" t="n">
        <f aca="false">IF(OR($C69="",$B$2="",$D$2=0),0,IF(AH$3&lt;0,0,N(INDEX('CURVA PREVISION'!$A$1:$KZ$3000,$C69,11+3*MIN(AH$3,$D$2-1)))))</f>
        <v>0</v>
      </c>
      <c r="AI69" s="131" t="n">
        <f aca="false">IF(OR($C69="",$B$2="",$D$2=0),0,IF(AI$3&lt;0,0,N(INDEX('CURVA PREVISION'!$A$1:$KZ$3000,$C69,11+3*MIN(AI$3,$D$2-1)))))</f>
        <v>0</v>
      </c>
      <c r="AJ69" s="131" t="n">
        <f aca="false">IF(OR($C69="",$B$2="",$D$2=0),0,IF(AJ$3&lt;0,0,N(INDEX('CURVA PREVISION'!$A$1:$KZ$3000,$C69,11+3*MIN(AJ$3,$D$2-1)))))</f>
        <v>0</v>
      </c>
      <c r="AK69" s="131" t="n">
        <f aca="false">IF(OR($C69="",$B$2="",$D$2=0),0,IF(AK$3&lt;0,0,N(INDEX('CURVA PREVISION'!$A$1:$KZ$3000,$C69,11+3*MIN(AK$3,$D$2-1)))))</f>
        <v>0</v>
      </c>
      <c r="AL69" s="131" t="n">
        <f aca="false">IF(OR($C69="",$B$2="",$D$2=0),0,IF(AL$3&lt;0,0,N(INDEX('CURVA PREVISION'!$A$1:$KZ$3000,$C69,11+3*MIN(AL$3,$D$2-1)))))</f>
        <v>0</v>
      </c>
      <c r="AM69" s="131" t="n">
        <f aca="false">IF(OR($C69="",$B$2="",$D$2=0),0,IF(AM$3&lt;0,0,N(INDEX('CURVA PREVISION'!$A$1:$KZ$3000,$C69,11+3*MIN(AM$3,$D$2-1)))))</f>
        <v>0</v>
      </c>
      <c r="AN69" s="131" t="n">
        <f aca="false">IF(OR($C69="",$B$2="",$D$2=0),0,IF(AN$3&lt;0,0,N(INDEX('CURVA PREVISION'!$A$1:$KZ$3000,$C69,11+3*MIN(AN$3,$D$2-1)))))</f>
        <v>0</v>
      </c>
      <c r="AO69" s="131" t="n">
        <f aca="false">IF(OR($C69="",$B$2="",$D$2=0),0,IF(AO$3&lt;0,0,N(INDEX('CURVA PREVISION'!$A$1:$KZ$3000,$C69,11+3*MIN(AO$3,$D$2-1)))))</f>
        <v>0</v>
      </c>
      <c r="AP69" s="131" t="n">
        <f aca="false">IF(OR($C69="",$B$2="",$D$2=0),0,IF(AP$3&lt;0,0,N(INDEX('CURVA PREVISION'!$A$1:$KZ$3000,$C69,11+3*MIN(AP$3,$D$2-1)))))</f>
        <v>0</v>
      </c>
      <c r="AQ69" s="131" t="n">
        <f aca="false">IF(OR($C69="",$B$2="",$D$2=0),0,IF(AQ$3&lt;0,0,N(INDEX('CURVA PREVISION'!$A$1:$KZ$3000,$C69,11+3*MIN(AQ$3,$D$2-1)))))</f>
        <v>0</v>
      </c>
      <c r="AR69" s="131" t="n">
        <f aca="false">IF(OR($C69="",$B$2="",$D$2=0),0,IF(AR$3&lt;0,0,N(INDEX('CURVA PREVISION'!$A$1:$KZ$3000,$C69,11+3*MIN(AR$3,$D$2-1)))))</f>
        <v>0</v>
      </c>
      <c r="AS69" s="131" t="n">
        <f aca="false">IF(OR($C69="",$B$2="",$D$2=0),0,IF(AS$3&lt;0,0,N(INDEX('CURVA PREVISION'!$A$1:$KZ$3000,$C69,11+3*MIN(AS$3,$D$2-1)))))</f>
        <v>0</v>
      </c>
      <c r="AT69" s="131" t="n">
        <f aca="false">IF(OR($C69="",$B$2="",$D$2=0),0,IF(AT$3&lt;0,0,N(INDEX('CURVA PREVISION'!$A$1:$KZ$3000,$C69,11+3*MIN(AT$3,$D$2-1)))))</f>
        <v>0</v>
      </c>
      <c r="AU69" s="131" t="n">
        <f aca="false">IF(OR($C69="",$B$2="",$D$2=0),0,IF(AU$3&lt;0,0,N(INDEX('CURVA PREVISION'!$A$1:$KZ$3000,$C69,11+3*MIN(AU$3,$D$2-1)))))</f>
        <v>0</v>
      </c>
      <c r="AV69" s="131" t="n">
        <f aca="false">IF(OR($C69="",$B$2="",$D$2=0),0,IF(AV$3&lt;0,0,N(INDEX('CURVA PREVISION'!$A$1:$KZ$3000,$C69,11+3*MIN(AV$3,$D$2-1)))))</f>
        <v>0</v>
      </c>
      <c r="AW69" s="131" t="n">
        <f aca="false">IF(OR($C69="",$B$2="",$D$2=0),0,IF(AW$3&lt;0,0,N(INDEX('CURVA PREVISION'!$A$1:$KZ$3000,$C69,11+3*MIN(AW$3,$D$2-1)))))</f>
        <v>0</v>
      </c>
      <c r="AX69" s="131" t="n">
        <f aca="false">IF(OR($C69="",$B$2="",$D$2=0),0,IF(AX$3&lt;0,0,N(INDEX('CURVA PREVISION'!$A$1:$KZ$3000,$C69,11+3*MIN(AX$3,$D$2-1)))))</f>
        <v>0</v>
      </c>
      <c r="AY69" s="131" t="n">
        <f aca="false">IF(OR($C69="",$B$2="",$D$2=0),0,IF(AY$3&lt;0,0,N(INDEX('CURVA PREVISION'!$A$1:$KZ$3000,$C69,11+3*MIN(AY$3,$D$2-1)))))</f>
        <v>0</v>
      </c>
      <c r="AZ69" s="131" t="n">
        <f aca="false">IF(OR($C69="",$B$2="",$D$2=0),0,IF(AZ$3&lt;0,0,N(INDEX('CURVA PREVISION'!$A$1:$KZ$3000,$C69,11+3*MIN(AZ$3,$D$2-1)))))</f>
        <v>0</v>
      </c>
      <c r="BA69" s="131" t="n">
        <f aca="false">IF(OR($C69="",$B$2="",$D$2=0),0,IF(BA$3&lt;0,0,N(INDEX('CURVA PREVISION'!$A$1:$KZ$3000,$C69,11+3*MIN(BA$3,$D$2-1)))))</f>
        <v>0</v>
      </c>
      <c r="BB69" s="131" t="n">
        <f aca="false">IF(OR($C69="",$B$2="",$D$2=0),0,IF(BB$3&lt;0,0,N(INDEX('CURVA PREVISION'!$A$1:$KZ$3000,$C69,11+3*MIN(BB$3,$D$2-1)))))</f>
        <v>0</v>
      </c>
      <c r="BC69" s="131" t="n">
        <f aca="false">IF(OR($C69="",$B$2="",$D$2=0),0,IF(BC$3&lt;0,0,N(INDEX('CURVA PREVISION'!$A$1:$KZ$3000,$C69,11+3*MIN(BC$3,$D$2-1)))))</f>
        <v>0</v>
      </c>
      <c r="BD69" s="131" t="n">
        <f aca="false">IF(OR($C69="",$B$2="",$D$2=0),0,IF(BD$3&lt;0,0,N(INDEX('CURVA PREVISION'!$A$1:$KZ$3000,$C69,11+3*MIN(BD$3,$D$2-1)))))</f>
        <v>0</v>
      </c>
      <c r="BE69" s="131" t="n">
        <f aca="false">IF(OR($C69="",$B$2="",$D$2=0),0,IF(BE$3&lt;0,0,N(INDEX('CURVA PREVISION'!$A$1:$KZ$3000,$C69,11+3*MIN(BE$3,$D$2-1)))))</f>
        <v>0</v>
      </c>
      <c r="BF69" s="131" t="n">
        <f aca="false">IF(OR($C69="",$B$2="",$D$2=0),0,IF(BF$3&lt;0,0,N(INDEX('CURVA PREVISION'!$A$1:$KZ$3000,$C69,11+3*MIN(BF$3,$D$2-1)))))</f>
        <v>0</v>
      </c>
      <c r="BG69" s="131" t="n">
        <f aca="false">IF(OR($C69="",$B$2="",$D$2=0),0,IF(BG$3&lt;0,0,N(INDEX('CURVA PREVISION'!$A$1:$KZ$3000,$C69,11+3*MIN(BG$3,$D$2-1)))))</f>
        <v>0</v>
      </c>
      <c r="BH69" s="131" t="n">
        <f aca="false">IF(OR($C69="",$B$2="",$D$2=0),0,IF(BH$3&lt;0,0,N(INDEX('CURVA PREVISION'!$A$1:$KZ$3000,$C69,11+3*MIN(BH$3,$D$2-1)))))</f>
        <v>0</v>
      </c>
      <c r="BI69" s="131" t="n">
        <f aca="false">IF(OR($C69="",$B$2="",$D$2=0),0,IF(BI$3&lt;0,0,N(INDEX('CURVA PREVISION'!$A$1:$KZ$3000,$C69,11+3*MIN(BI$3,$D$2-1)))))</f>
        <v>0</v>
      </c>
      <c r="BJ69" s="131" t="n">
        <f aca="false">IF(OR($C69="",$B$2="",$D$2=0),0,IF(BJ$3&lt;0,0,N(INDEX('CURVA PREVISION'!$A$1:$KZ$3000,$C69,11+3*MIN(BJ$3,$D$2-1)))))</f>
        <v>0</v>
      </c>
      <c r="BK69" s="131" t="n">
        <f aca="false">IF(OR($C69="",$B$2="",$D$2=0),0,IF(BK$3&lt;0,0,N(INDEX('CURVA PREVISION'!$A$1:$KZ$3000,$C69,11+3*MIN(BK$3,$D$2-1)))))</f>
        <v>0</v>
      </c>
      <c r="BL69" s="131" t="n">
        <f aca="false">IF(OR($C69="",$B$2="",$D$2=0),0,IF(BL$3&lt;0,0,N(INDEX('CURVA PREVISION'!$A$1:$KZ$3000,$C69,11+3*MIN(BL$3,$D$2-1)))))</f>
        <v>0</v>
      </c>
      <c r="BM69" s="131" t="n">
        <f aca="false">IF(OR($C69="",$B$2="",$D$2=0),0,IF(BM$3&lt;0,0,N(INDEX('CURVA PREVISION'!$A$1:$KZ$3000,$C69,11+3*MIN(BM$3,$D$2-1)))))</f>
        <v>0</v>
      </c>
      <c r="BN69" s="131" t="n">
        <f aca="false">IF(OR($C69="",$B$2="",$D$2=0),0,IF(BN$3&lt;0,0,N(INDEX('CURVA PREVISION'!$A$1:$KZ$3000,$C69,11+3*MIN(BN$3,$D$2-1)))))</f>
        <v>0</v>
      </c>
      <c r="BO69" s="131" t="n">
        <f aca="false">IF(OR($C69="",$B$2="",$D$2=0),0,IF(BO$3&lt;0,0,N(INDEX('CURVA PREVISION'!$A$1:$KZ$3000,$C69,11+3*MIN(BO$3,$D$2-1)))))</f>
        <v>0</v>
      </c>
      <c r="BP69" s="131" t="n">
        <f aca="false">IF(OR($C69="",$B$2="",$D$2=0),0,IF(BP$3&lt;0,0,N(INDEX('CURVA PREVISION'!$A$1:$KZ$3000,$C69,11+3*MIN(BP$3,$D$2-1)))))</f>
        <v>0</v>
      </c>
      <c r="BQ69" s="131" t="n">
        <f aca="false">IF(OR($C69="",$B$2="",$D$2=0),0,IF(BQ$3&lt;0,0,N(INDEX('CURVA PREVISION'!$A$1:$KZ$3000,$C69,11+3*MIN(BQ$3,$D$2-1)))))</f>
        <v>0</v>
      </c>
      <c r="BR69" s="131" t="n">
        <f aca="false">IF(OR($C69="",$B$2="",$D$2=0),0,IF(BR$3&lt;0,0,N(INDEX('CURVA PREVISION'!$A$1:$KZ$3000,$C69,11+3*MIN(BR$3,$D$2-1)))))</f>
        <v>0</v>
      </c>
      <c r="BS69" s="131" t="n">
        <f aca="false">IF(OR($C69="",$B$2="",$D$2=0),0,IF(BS$3&lt;0,0,N(INDEX('CURVA PREVISION'!$A$1:$KZ$3000,$C69,11+3*MIN(BS$3,$D$2-1)))))</f>
        <v>0</v>
      </c>
      <c r="BT69" s="131" t="n">
        <f aca="false">IF(OR($C69="",$B$2="",$D$2=0),0,IF(BT$3&lt;0,0,N(INDEX('CURVA PREVISION'!$A$1:$KZ$3000,$C69,11+3*MIN(BT$3,$D$2-1)))))</f>
        <v>0</v>
      </c>
      <c r="BU69" s="131" t="n">
        <f aca="false">IF(OR($C69="",$B$2="",$D$2=0),0,IF(BU$3&lt;0,0,N(INDEX('CURVA PREVISION'!$A$1:$KZ$3000,$C69,11+3*MIN(BU$3,$D$2-1)))))</f>
        <v>0</v>
      </c>
      <c r="BV69" s="131" t="n">
        <f aca="false">IF(OR($C69="",$B$2="",$D$2=0),0,IF(BV$3&lt;0,0,N(INDEX('CURVA PREVISION'!$A$1:$KZ$3000,$C69,11+3*MIN(BV$3,$D$2-1)))))</f>
        <v>0</v>
      </c>
      <c r="BW69" s="131" t="n">
        <f aca="false">IF(OR($C69="",$B$2="",$D$2=0),0,IF(BW$3&lt;0,0,N(INDEX('CURVA PREVISION'!$A$1:$KZ$3000,$C69,11+3*MIN(BW$3,$D$2-1)))))</f>
        <v>0</v>
      </c>
    </row>
    <row r="70" customFormat="false" ht="15" hidden="false" customHeight="false" outlineLevel="0" collapsed="false">
      <c r="A70" s="57" t="str">
        <f aca="false">IF('VALOR POR PL'!Q34="",'VALOR POR PL'!C34,'VALOR POR PL'!Q34)</f>
        <v>24</v>
      </c>
      <c r="B70" s="47" t="str">
        <f aca="false">B28</f>
        <v>ELEVADORES</v>
      </c>
      <c r="C70" s="64" t="n">
        <f aca="false">IFERROR(MATCH(A70,'CURVA PREVISION'!$B$1:$B$3000,0),"")</f>
        <v>563</v>
      </c>
      <c r="D70" s="131" t="n">
        <f aca="false">IF(OR($C70="",$B$2="",$D$2=0),0,IF(D$3&lt;0,0,N(INDEX('CURVA PREVISION'!$A$1:$KZ$3000,$C70,11+3*MIN(D$3,$D$2-1)))))</f>
        <v>0</v>
      </c>
      <c r="E70" s="131" t="n">
        <f aca="false">IF(OR($C70="",$B$2="",$D$2=0),0,IF(E$3&lt;0,0,N(INDEX('CURVA PREVISION'!$A$1:$KZ$3000,$C70,11+3*MIN(E$3,$D$2-1)))))</f>
        <v>0</v>
      </c>
      <c r="F70" s="131" t="n">
        <f aca="false">IF(OR($C70="",$B$2="",$D$2=0),0,IF(F$3&lt;0,0,N(INDEX('CURVA PREVISION'!$A$1:$KZ$3000,$C70,11+3*MIN(F$3,$D$2-1)))))</f>
        <v>0</v>
      </c>
      <c r="G70" s="131" t="n">
        <f aca="false">IF(OR($C70="",$B$2="",$D$2=0),0,IF(G$3&lt;0,0,N(INDEX('CURVA PREVISION'!$A$1:$KZ$3000,$C70,11+3*MIN(G$3,$D$2-1)))))</f>
        <v>0</v>
      </c>
      <c r="H70" s="131" t="n">
        <f aca="false">IF(OR($C70="",$B$2="",$D$2=0),0,IF(H$3&lt;0,0,N(INDEX('CURVA PREVISION'!$A$1:$KZ$3000,$C70,11+3*MIN(H$3,$D$2-1)))))</f>
        <v>0</v>
      </c>
      <c r="I70" s="131" t="n">
        <f aca="false">IF(OR($C70="",$B$2="",$D$2=0),0,IF(I$3&lt;0,0,N(INDEX('CURVA PREVISION'!$A$1:$KZ$3000,$C70,11+3*MIN(I$3,$D$2-1)))))</f>
        <v>0</v>
      </c>
      <c r="J70" s="131" t="n">
        <f aca="false">IF(OR($C70="",$B$2="",$D$2=0),0,IF(J$3&lt;0,0,N(INDEX('CURVA PREVISION'!$A$1:$KZ$3000,$C70,11+3*MIN(J$3,$D$2-1)))))</f>
        <v>0</v>
      </c>
      <c r="K70" s="131" t="n">
        <f aca="false">IF(OR($C70="",$B$2="",$D$2=0),0,IF(K$3&lt;0,0,N(INDEX('CURVA PREVISION'!$A$1:$KZ$3000,$C70,11+3*MIN(K$3,$D$2-1)))))</f>
        <v>0</v>
      </c>
      <c r="L70" s="131" t="n">
        <f aca="false">IF(OR($C70="",$B$2="",$D$2=0),0,IF(L$3&lt;0,0,N(INDEX('CURVA PREVISION'!$A$1:$KZ$3000,$C70,11+3*MIN(L$3,$D$2-1)))))</f>
        <v>0</v>
      </c>
      <c r="M70" s="131" t="n">
        <f aca="false">IF(OR($C70="",$B$2="",$D$2=0),0,IF(M$3&lt;0,0,N(INDEX('CURVA PREVISION'!$A$1:$KZ$3000,$C70,11+3*MIN(M$3,$D$2-1)))))</f>
        <v>0</v>
      </c>
      <c r="N70" s="131" t="n">
        <f aca="false">IF(OR($C70="",$B$2="",$D$2=0),0,IF(N$3&lt;0,0,N(INDEX('CURVA PREVISION'!$A$1:$KZ$3000,$C70,11+3*MIN(N$3,$D$2-1)))))</f>
        <v>0</v>
      </c>
      <c r="O70" s="131" t="n">
        <f aca="false">IF(OR($C70="",$B$2="",$D$2=0),0,IF(O$3&lt;0,0,N(INDEX('CURVA PREVISION'!$A$1:$KZ$3000,$C70,11+3*MIN(O$3,$D$2-1)))))</f>
        <v>0</v>
      </c>
      <c r="P70" s="131" t="n">
        <f aca="false">IF(OR($C70="",$B$2="",$D$2=0),0,IF(P$3&lt;0,0,N(INDEX('CURVA PREVISION'!$A$1:$KZ$3000,$C70,11+3*MIN(P$3,$D$2-1)))))</f>
        <v>0</v>
      </c>
      <c r="Q70" s="131" t="n">
        <f aca="false">IF(OR($C70="",$B$2="",$D$2=0),0,IF(Q$3&lt;0,0,N(INDEX('CURVA PREVISION'!$A$1:$KZ$3000,$C70,11+3*MIN(Q$3,$D$2-1)))))</f>
        <v>0</v>
      </c>
      <c r="R70" s="131" t="n">
        <f aca="false">IF(OR($C70="",$B$2="",$D$2=0),0,IF(R$3&lt;0,0,N(INDEX('CURVA PREVISION'!$A$1:$KZ$3000,$C70,11+3*MIN(R$3,$D$2-1)))))</f>
        <v>0</v>
      </c>
      <c r="S70" s="131" t="n">
        <f aca="false">IF(OR($C70="",$B$2="",$D$2=0),0,IF(S$3&lt;0,0,N(INDEX('CURVA PREVISION'!$A$1:$KZ$3000,$C70,11+3*MIN(S$3,$D$2-1)))))</f>
        <v>0</v>
      </c>
      <c r="T70" s="131" t="n">
        <f aca="false">IF(OR($C70="",$B$2="",$D$2=0),0,IF(T$3&lt;0,0,N(INDEX('CURVA PREVISION'!$A$1:$KZ$3000,$C70,11+3*MIN(T$3,$D$2-1)))))</f>
        <v>0</v>
      </c>
      <c r="U70" s="131" t="n">
        <f aca="false">IF(OR($C70="",$B$2="",$D$2=0),0,IF(U$3&lt;0,0,N(INDEX('CURVA PREVISION'!$A$1:$KZ$3000,$C70,11+3*MIN(U$3,$D$2-1)))))</f>
        <v>0</v>
      </c>
      <c r="V70" s="131" t="n">
        <f aca="false">IF(OR($C70="",$B$2="",$D$2=0),0,IF(V$3&lt;0,0,N(INDEX('CURVA PREVISION'!$A$1:$KZ$3000,$C70,11+3*MIN(V$3,$D$2-1)))))</f>
        <v>0</v>
      </c>
      <c r="W70" s="131" t="n">
        <f aca="false">IF(OR($C70="",$B$2="",$D$2=0),0,IF(W$3&lt;0,0,N(INDEX('CURVA PREVISION'!$A$1:$KZ$3000,$C70,11+3*MIN(W$3,$D$2-1)))))</f>
        <v>0</v>
      </c>
      <c r="X70" s="131" t="n">
        <f aca="false">IF(OR($C70="",$B$2="",$D$2=0),0,IF(X$3&lt;0,0,N(INDEX('CURVA PREVISION'!$A$1:$KZ$3000,$C70,11+3*MIN(X$3,$D$2-1)))))</f>
        <v>0</v>
      </c>
      <c r="Y70" s="131" t="n">
        <f aca="false">IF(OR($C70="",$B$2="",$D$2=0),0,IF(Y$3&lt;0,0,N(INDEX('CURVA PREVISION'!$A$1:$KZ$3000,$C70,11+3*MIN(Y$3,$D$2-1)))))</f>
        <v>0</v>
      </c>
      <c r="Z70" s="131" t="n">
        <f aca="false">IF(OR($C70="",$B$2="",$D$2=0),0,IF(Z$3&lt;0,0,N(INDEX('CURVA PREVISION'!$A$1:$KZ$3000,$C70,11+3*MIN(Z$3,$D$2-1)))))</f>
        <v>0</v>
      </c>
      <c r="AA70" s="131" t="n">
        <f aca="false">IF(OR($C70="",$B$2="",$D$2=0),0,IF(AA$3&lt;0,0,N(INDEX('CURVA PREVISION'!$A$1:$KZ$3000,$C70,11+3*MIN(AA$3,$D$2-1)))))</f>
        <v>0</v>
      </c>
      <c r="AB70" s="131" t="n">
        <f aca="false">IF(OR($C70="",$B$2="",$D$2=0),0,IF(AB$3&lt;0,0,N(INDEX('CURVA PREVISION'!$A$1:$KZ$3000,$C70,11+3*MIN(AB$3,$D$2-1)))))</f>
        <v>0</v>
      </c>
      <c r="AC70" s="131" t="n">
        <f aca="false">IF(OR($C70="",$B$2="",$D$2=0),0,IF(AC$3&lt;0,0,N(INDEX('CURVA PREVISION'!$A$1:$KZ$3000,$C70,11+3*MIN(AC$3,$D$2-1)))))</f>
        <v>0</v>
      </c>
      <c r="AD70" s="131" t="n">
        <f aca="false">IF(OR($C70="",$B$2="",$D$2=0),0,IF(AD$3&lt;0,0,N(INDEX('CURVA PREVISION'!$A$1:$KZ$3000,$C70,11+3*MIN(AD$3,$D$2-1)))))</f>
        <v>0</v>
      </c>
      <c r="AE70" s="131" t="n">
        <f aca="false">IF(OR($C70="",$B$2="",$D$2=0),0,IF(AE$3&lt;0,0,N(INDEX('CURVA PREVISION'!$A$1:$KZ$3000,$C70,11+3*MIN(AE$3,$D$2-1)))))</f>
        <v>0</v>
      </c>
      <c r="AF70" s="131" t="n">
        <f aca="false">IF(OR($C70="",$B$2="",$D$2=0),0,IF(AF$3&lt;0,0,N(INDEX('CURVA PREVISION'!$A$1:$KZ$3000,$C70,11+3*MIN(AF$3,$D$2-1)))))</f>
        <v>0</v>
      </c>
      <c r="AG70" s="131" t="n">
        <f aca="false">IF(OR($C70="",$B$2="",$D$2=0),0,IF(AG$3&lt;0,0,N(INDEX('CURVA PREVISION'!$A$1:$KZ$3000,$C70,11+3*MIN(AG$3,$D$2-1)))))</f>
        <v>0</v>
      </c>
      <c r="AH70" s="131" t="n">
        <f aca="false">IF(OR($C70="",$B$2="",$D$2=0),0,IF(AH$3&lt;0,0,N(INDEX('CURVA PREVISION'!$A$1:$KZ$3000,$C70,11+3*MIN(AH$3,$D$2-1)))))</f>
        <v>0</v>
      </c>
      <c r="AI70" s="131" t="n">
        <f aca="false">IF(OR($C70="",$B$2="",$D$2=0),0,IF(AI$3&lt;0,0,N(INDEX('CURVA PREVISION'!$A$1:$KZ$3000,$C70,11+3*MIN(AI$3,$D$2-1)))))</f>
        <v>0</v>
      </c>
      <c r="AJ70" s="131" t="n">
        <f aca="false">IF(OR($C70="",$B$2="",$D$2=0),0,IF(AJ$3&lt;0,0,N(INDEX('CURVA PREVISION'!$A$1:$KZ$3000,$C70,11+3*MIN(AJ$3,$D$2-1)))))</f>
        <v>0</v>
      </c>
      <c r="AK70" s="131" t="n">
        <f aca="false">IF(OR($C70="",$B$2="",$D$2=0),0,IF(AK$3&lt;0,0,N(INDEX('CURVA PREVISION'!$A$1:$KZ$3000,$C70,11+3*MIN(AK$3,$D$2-1)))))</f>
        <v>0</v>
      </c>
      <c r="AL70" s="131" t="n">
        <f aca="false">IF(OR($C70="",$B$2="",$D$2=0),0,IF(AL$3&lt;0,0,N(INDEX('CURVA PREVISION'!$A$1:$KZ$3000,$C70,11+3*MIN(AL$3,$D$2-1)))))</f>
        <v>0</v>
      </c>
      <c r="AM70" s="131" t="n">
        <f aca="false">IF(OR($C70="",$B$2="",$D$2=0),0,IF(AM$3&lt;0,0,N(INDEX('CURVA PREVISION'!$A$1:$KZ$3000,$C70,11+3*MIN(AM$3,$D$2-1)))))</f>
        <v>0</v>
      </c>
      <c r="AN70" s="131" t="n">
        <f aca="false">IF(OR($C70="",$B$2="",$D$2=0),0,IF(AN$3&lt;0,0,N(INDEX('CURVA PREVISION'!$A$1:$KZ$3000,$C70,11+3*MIN(AN$3,$D$2-1)))))</f>
        <v>0</v>
      </c>
      <c r="AO70" s="131" t="n">
        <f aca="false">IF(OR($C70="",$B$2="",$D$2=0),0,IF(AO$3&lt;0,0,N(INDEX('CURVA PREVISION'!$A$1:$KZ$3000,$C70,11+3*MIN(AO$3,$D$2-1)))))</f>
        <v>0</v>
      </c>
      <c r="AP70" s="131" t="n">
        <f aca="false">IF(OR($C70="",$B$2="",$D$2=0),0,IF(AP$3&lt;0,0,N(INDEX('CURVA PREVISION'!$A$1:$KZ$3000,$C70,11+3*MIN(AP$3,$D$2-1)))))</f>
        <v>0</v>
      </c>
      <c r="AQ70" s="131" t="n">
        <f aca="false">IF(OR($C70="",$B$2="",$D$2=0),0,IF(AQ$3&lt;0,0,N(INDEX('CURVA PREVISION'!$A$1:$KZ$3000,$C70,11+3*MIN(AQ$3,$D$2-1)))))</f>
        <v>0</v>
      </c>
      <c r="AR70" s="131" t="n">
        <f aca="false">IF(OR($C70="",$B$2="",$D$2=0),0,IF(AR$3&lt;0,0,N(INDEX('CURVA PREVISION'!$A$1:$KZ$3000,$C70,11+3*MIN(AR$3,$D$2-1)))))</f>
        <v>0</v>
      </c>
      <c r="AS70" s="131" t="n">
        <f aca="false">IF(OR($C70="",$B$2="",$D$2=0),0,IF(AS$3&lt;0,0,N(INDEX('CURVA PREVISION'!$A$1:$KZ$3000,$C70,11+3*MIN(AS$3,$D$2-1)))))</f>
        <v>0</v>
      </c>
      <c r="AT70" s="131" t="n">
        <f aca="false">IF(OR($C70="",$B$2="",$D$2=0),0,IF(AT$3&lt;0,0,N(INDEX('CURVA PREVISION'!$A$1:$KZ$3000,$C70,11+3*MIN(AT$3,$D$2-1)))))</f>
        <v>0</v>
      </c>
      <c r="AU70" s="131" t="n">
        <f aca="false">IF(OR($C70="",$B$2="",$D$2=0),0,IF(AU$3&lt;0,0,N(INDEX('CURVA PREVISION'!$A$1:$KZ$3000,$C70,11+3*MIN(AU$3,$D$2-1)))))</f>
        <v>0</v>
      </c>
      <c r="AV70" s="131" t="n">
        <f aca="false">IF(OR($C70="",$B$2="",$D$2=0),0,IF(AV$3&lt;0,0,N(INDEX('CURVA PREVISION'!$A$1:$KZ$3000,$C70,11+3*MIN(AV$3,$D$2-1)))))</f>
        <v>0</v>
      </c>
      <c r="AW70" s="131" t="n">
        <f aca="false">IF(OR($C70="",$B$2="",$D$2=0),0,IF(AW$3&lt;0,0,N(INDEX('CURVA PREVISION'!$A$1:$KZ$3000,$C70,11+3*MIN(AW$3,$D$2-1)))))</f>
        <v>0</v>
      </c>
      <c r="AX70" s="131" t="n">
        <f aca="false">IF(OR($C70="",$B$2="",$D$2=0),0,IF(AX$3&lt;0,0,N(INDEX('CURVA PREVISION'!$A$1:$KZ$3000,$C70,11+3*MIN(AX$3,$D$2-1)))))</f>
        <v>0</v>
      </c>
      <c r="AY70" s="131" t="n">
        <f aca="false">IF(OR($C70="",$B$2="",$D$2=0),0,IF(AY$3&lt;0,0,N(INDEX('CURVA PREVISION'!$A$1:$KZ$3000,$C70,11+3*MIN(AY$3,$D$2-1)))))</f>
        <v>0</v>
      </c>
      <c r="AZ70" s="131" t="n">
        <f aca="false">IF(OR($C70="",$B$2="",$D$2=0),0,IF(AZ$3&lt;0,0,N(INDEX('CURVA PREVISION'!$A$1:$KZ$3000,$C70,11+3*MIN(AZ$3,$D$2-1)))))</f>
        <v>0</v>
      </c>
      <c r="BA70" s="131" t="n">
        <f aca="false">IF(OR($C70="",$B$2="",$D$2=0),0,IF(BA$3&lt;0,0,N(INDEX('CURVA PREVISION'!$A$1:$KZ$3000,$C70,11+3*MIN(BA$3,$D$2-1)))))</f>
        <v>0</v>
      </c>
      <c r="BB70" s="131" t="n">
        <f aca="false">IF(OR($C70="",$B$2="",$D$2=0),0,IF(BB$3&lt;0,0,N(INDEX('CURVA PREVISION'!$A$1:$KZ$3000,$C70,11+3*MIN(BB$3,$D$2-1)))))</f>
        <v>0</v>
      </c>
      <c r="BC70" s="131" t="n">
        <f aca="false">IF(OR($C70="",$B$2="",$D$2=0),0,IF(BC$3&lt;0,0,N(INDEX('CURVA PREVISION'!$A$1:$KZ$3000,$C70,11+3*MIN(BC$3,$D$2-1)))))</f>
        <v>0</v>
      </c>
      <c r="BD70" s="131" t="n">
        <f aca="false">IF(OR($C70="",$B$2="",$D$2=0),0,IF(BD$3&lt;0,0,N(INDEX('CURVA PREVISION'!$A$1:$KZ$3000,$C70,11+3*MIN(BD$3,$D$2-1)))))</f>
        <v>0</v>
      </c>
      <c r="BE70" s="131" t="n">
        <f aca="false">IF(OR($C70="",$B$2="",$D$2=0),0,IF(BE$3&lt;0,0,N(INDEX('CURVA PREVISION'!$A$1:$KZ$3000,$C70,11+3*MIN(BE$3,$D$2-1)))))</f>
        <v>0</v>
      </c>
      <c r="BF70" s="131" t="n">
        <f aca="false">IF(OR($C70="",$B$2="",$D$2=0),0,IF(BF$3&lt;0,0,N(INDEX('CURVA PREVISION'!$A$1:$KZ$3000,$C70,11+3*MIN(BF$3,$D$2-1)))))</f>
        <v>0</v>
      </c>
      <c r="BG70" s="131" t="n">
        <f aca="false">IF(OR($C70="",$B$2="",$D$2=0),0,IF(BG$3&lt;0,0,N(INDEX('CURVA PREVISION'!$A$1:$KZ$3000,$C70,11+3*MIN(BG$3,$D$2-1)))))</f>
        <v>0</v>
      </c>
      <c r="BH70" s="131" t="n">
        <f aca="false">IF(OR($C70="",$B$2="",$D$2=0),0,IF(BH$3&lt;0,0,N(INDEX('CURVA PREVISION'!$A$1:$KZ$3000,$C70,11+3*MIN(BH$3,$D$2-1)))))</f>
        <v>0</v>
      </c>
      <c r="BI70" s="131" t="n">
        <f aca="false">IF(OR($C70="",$B$2="",$D$2=0),0,IF(BI$3&lt;0,0,N(INDEX('CURVA PREVISION'!$A$1:$KZ$3000,$C70,11+3*MIN(BI$3,$D$2-1)))))</f>
        <v>0</v>
      </c>
      <c r="BJ70" s="131" t="n">
        <f aca="false">IF(OR($C70="",$B$2="",$D$2=0),0,IF(BJ$3&lt;0,0,N(INDEX('CURVA PREVISION'!$A$1:$KZ$3000,$C70,11+3*MIN(BJ$3,$D$2-1)))))</f>
        <v>0</v>
      </c>
      <c r="BK70" s="131" t="n">
        <f aca="false">IF(OR($C70="",$B$2="",$D$2=0),0,IF(BK$3&lt;0,0,N(INDEX('CURVA PREVISION'!$A$1:$KZ$3000,$C70,11+3*MIN(BK$3,$D$2-1)))))</f>
        <v>0</v>
      </c>
      <c r="BL70" s="131" t="n">
        <f aca="false">IF(OR($C70="",$B$2="",$D$2=0),0,IF(BL$3&lt;0,0,N(INDEX('CURVA PREVISION'!$A$1:$KZ$3000,$C70,11+3*MIN(BL$3,$D$2-1)))))</f>
        <v>0</v>
      </c>
      <c r="BM70" s="131" t="n">
        <f aca="false">IF(OR($C70="",$B$2="",$D$2=0),0,IF(BM$3&lt;0,0,N(INDEX('CURVA PREVISION'!$A$1:$KZ$3000,$C70,11+3*MIN(BM$3,$D$2-1)))))</f>
        <v>0</v>
      </c>
      <c r="BN70" s="131" t="n">
        <f aca="false">IF(OR($C70="",$B$2="",$D$2=0),0,IF(BN$3&lt;0,0,N(INDEX('CURVA PREVISION'!$A$1:$KZ$3000,$C70,11+3*MIN(BN$3,$D$2-1)))))</f>
        <v>0</v>
      </c>
      <c r="BO70" s="131" t="n">
        <f aca="false">IF(OR($C70="",$B$2="",$D$2=0),0,IF(BO$3&lt;0,0,N(INDEX('CURVA PREVISION'!$A$1:$KZ$3000,$C70,11+3*MIN(BO$3,$D$2-1)))))</f>
        <v>0</v>
      </c>
      <c r="BP70" s="131" t="n">
        <f aca="false">IF(OR($C70="",$B$2="",$D$2=0),0,IF(BP$3&lt;0,0,N(INDEX('CURVA PREVISION'!$A$1:$KZ$3000,$C70,11+3*MIN(BP$3,$D$2-1)))))</f>
        <v>0</v>
      </c>
      <c r="BQ70" s="131" t="n">
        <f aca="false">IF(OR($C70="",$B$2="",$D$2=0),0,IF(BQ$3&lt;0,0,N(INDEX('CURVA PREVISION'!$A$1:$KZ$3000,$C70,11+3*MIN(BQ$3,$D$2-1)))))</f>
        <v>0</v>
      </c>
      <c r="BR70" s="131" t="n">
        <f aca="false">IF(OR($C70="",$B$2="",$D$2=0),0,IF(BR$3&lt;0,0,N(INDEX('CURVA PREVISION'!$A$1:$KZ$3000,$C70,11+3*MIN(BR$3,$D$2-1)))))</f>
        <v>0</v>
      </c>
      <c r="BS70" s="131" t="n">
        <f aca="false">IF(OR($C70="",$B$2="",$D$2=0),0,IF(BS$3&lt;0,0,N(INDEX('CURVA PREVISION'!$A$1:$KZ$3000,$C70,11+3*MIN(BS$3,$D$2-1)))))</f>
        <v>0</v>
      </c>
      <c r="BT70" s="131" t="n">
        <f aca="false">IF(OR($C70="",$B$2="",$D$2=0),0,IF(BT$3&lt;0,0,N(INDEX('CURVA PREVISION'!$A$1:$KZ$3000,$C70,11+3*MIN(BT$3,$D$2-1)))))</f>
        <v>0</v>
      </c>
      <c r="BU70" s="131" t="n">
        <f aca="false">IF(OR($C70="",$B$2="",$D$2=0),0,IF(BU$3&lt;0,0,N(INDEX('CURVA PREVISION'!$A$1:$KZ$3000,$C70,11+3*MIN(BU$3,$D$2-1)))))</f>
        <v>0</v>
      </c>
      <c r="BV70" s="131" t="n">
        <f aca="false">IF(OR($C70="",$B$2="",$D$2=0),0,IF(BV$3&lt;0,0,N(INDEX('CURVA PREVISION'!$A$1:$KZ$3000,$C70,11+3*MIN(BV$3,$D$2-1)))))</f>
        <v>0</v>
      </c>
      <c r="BW70" s="131" t="n">
        <f aca="false">IF(OR($C70="",$B$2="",$D$2=0),0,IF(BW$3&lt;0,0,N(INDEX('CURVA PREVISION'!$A$1:$KZ$3000,$C70,11+3*MIN(BW$3,$D$2-1)))))</f>
        <v>0</v>
      </c>
    </row>
    <row r="71" customFormat="false" ht="15" hidden="false" customHeight="false" outlineLevel="0" collapsed="false">
      <c r="A71" s="57" t="str">
        <f aca="false">IF('VALOR POR PL'!Q35="",'VALOR POR PL'!C35,'VALOR POR PL'!Q35)</f>
        <v>25</v>
      </c>
      <c r="B71" s="47" t="str">
        <f aca="false">B29</f>
        <v>ESQUADRIAS</v>
      </c>
      <c r="C71" s="64" t="n">
        <f aca="false">IFERROR(MATCH(A71,'CURVA PREVISION'!$B$1:$B$3000,0),"")</f>
        <v>571</v>
      </c>
      <c r="D71" s="131" t="n">
        <f aca="false">IF(OR($C71="",$B$2="",$D$2=0),0,IF(D$3&lt;0,0,N(INDEX('CURVA PREVISION'!$A$1:$KZ$3000,$C71,11+3*MIN(D$3,$D$2-1)))))</f>
        <v>0</v>
      </c>
      <c r="E71" s="131" t="n">
        <f aca="false">IF(OR($C71="",$B$2="",$D$2=0),0,IF(E$3&lt;0,0,N(INDEX('CURVA PREVISION'!$A$1:$KZ$3000,$C71,11+3*MIN(E$3,$D$2-1)))))</f>
        <v>0</v>
      </c>
      <c r="F71" s="131" t="n">
        <f aca="false">IF(OR($C71="",$B$2="",$D$2=0),0,IF(F$3&lt;0,0,N(INDEX('CURVA PREVISION'!$A$1:$KZ$3000,$C71,11+3*MIN(F$3,$D$2-1)))))</f>
        <v>0</v>
      </c>
      <c r="G71" s="131" t="n">
        <f aca="false">IF(OR($C71="",$B$2="",$D$2=0),0,IF(G$3&lt;0,0,N(INDEX('CURVA PREVISION'!$A$1:$KZ$3000,$C71,11+3*MIN(G$3,$D$2-1)))))</f>
        <v>0</v>
      </c>
      <c r="H71" s="131" t="n">
        <f aca="false">IF(OR($C71="",$B$2="",$D$2=0),0,IF(H$3&lt;0,0,N(INDEX('CURVA PREVISION'!$A$1:$KZ$3000,$C71,11+3*MIN(H$3,$D$2-1)))))</f>
        <v>0</v>
      </c>
      <c r="I71" s="131" t="n">
        <f aca="false">IF(OR($C71="",$B$2="",$D$2=0),0,IF(I$3&lt;0,0,N(INDEX('CURVA PREVISION'!$A$1:$KZ$3000,$C71,11+3*MIN(I$3,$D$2-1)))))</f>
        <v>0</v>
      </c>
      <c r="J71" s="131" t="n">
        <f aca="false">IF(OR($C71="",$B$2="",$D$2=0),0,IF(J$3&lt;0,0,N(INDEX('CURVA PREVISION'!$A$1:$KZ$3000,$C71,11+3*MIN(J$3,$D$2-1)))))</f>
        <v>0</v>
      </c>
      <c r="K71" s="131" t="n">
        <f aca="false">IF(OR($C71="",$B$2="",$D$2=0),0,IF(K$3&lt;0,0,N(INDEX('CURVA PREVISION'!$A$1:$KZ$3000,$C71,11+3*MIN(K$3,$D$2-1)))))</f>
        <v>0</v>
      </c>
      <c r="L71" s="131" t="n">
        <f aca="false">IF(OR($C71="",$B$2="",$D$2=0),0,IF(L$3&lt;0,0,N(INDEX('CURVA PREVISION'!$A$1:$KZ$3000,$C71,11+3*MIN(L$3,$D$2-1)))))</f>
        <v>0</v>
      </c>
      <c r="M71" s="131" t="n">
        <f aca="false">IF(OR($C71="",$B$2="",$D$2=0),0,IF(M$3&lt;0,0,N(INDEX('CURVA PREVISION'!$A$1:$KZ$3000,$C71,11+3*MIN(M$3,$D$2-1)))))</f>
        <v>0</v>
      </c>
      <c r="N71" s="131" t="n">
        <f aca="false">IF(OR($C71="",$B$2="",$D$2=0),0,IF(N$3&lt;0,0,N(INDEX('CURVA PREVISION'!$A$1:$KZ$3000,$C71,11+3*MIN(N$3,$D$2-1)))))</f>
        <v>0</v>
      </c>
      <c r="O71" s="131" t="n">
        <f aca="false">IF(OR($C71="",$B$2="",$D$2=0),0,IF(O$3&lt;0,0,N(INDEX('CURVA PREVISION'!$A$1:$KZ$3000,$C71,11+3*MIN(O$3,$D$2-1)))))</f>
        <v>0</v>
      </c>
      <c r="P71" s="131" t="n">
        <f aca="false">IF(OR($C71="",$B$2="",$D$2=0),0,IF(P$3&lt;0,0,N(INDEX('CURVA PREVISION'!$A$1:$KZ$3000,$C71,11+3*MIN(P$3,$D$2-1)))))</f>
        <v>0</v>
      </c>
      <c r="Q71" s="131" t="n">
        <f aca="false">IF(OR($C71="",$B$2="",$D$2=0),0,IF(Q$3&lt;0,0,N(INDEX('CURVA PREVISION'!$A$1:$KZ$3000,$C71,11+3*MIN(Q$3,$D$2-1)))))</f>
        <v>0</v>
      </c>
      <c r="R71" s="131" t="n">
        <f aca="false">IF(OR($C71="",$B$2="",$D$2=0),0,IF(R$3&lt;0,0,N(INDEX('CURVA PREVISION'!$A$1:$KZ$3000,$C71,11+3*MIN(R$3,$D$2-1)))))</f>
        <v>0</v>
      </c>
      <c r="S71" s="131" t="n">
        <f aca="false">IF(OR($C71="",$B$2="",$D$2=0),0,IF(S$3&lt;0,0,N(INDEX('CURVA PREVISION'!$A$1:$KZ$3000,$C71,11+3*MIN(S$3,$D$2-1)))))</f>
        <v>0</v>
      </c>
      <c r="T71" s="131" t="n">
        <f aca="false">IF(OR($C71="",$B$2="",$D$2=0),0,IF(T$3&lt;0,0,N(INDEX('CURVA PREVISION'!$A$1:$KZ$3000,$C71,11+3*MIN(T$3,$D$2-1)))))</f>
        <v>0</v>
      </c>
      <c r="U71" s="131" t="n">
        <f aca="false">IF(OR($C71="",$B$2="",$D$2=0),0,IF(U$3&lt;0,0,N(INDEX('CURVA PREVISION'!$A$1:$KZ$3000,$C71,11+3*MIN(U$3,$D$2-1)))))</f>
        <v>0</v>
      </c>
      <c r="V71" s="131" t="n">
        <f aca="false">IF(OR($C71="",$B$2="",$D$2=0),0,IF(V$3&lt;0,0,N(INDEX('CURVA PREVISION'!$A$1:$KZ$3000,$C71,11+3*MIN(V$3,$D$2-1)))))</f>
        <v>0</v>
      </c>
      <c r="W71" s="131" t="n">
        <f aca="false">IF(OR($C71="",$B$2="",$D$2=0),0,IF(W$3&lt;0,0,N(INDEX('CURVA PREVISION'!$A$1:$KZ$3000,$C71,11+3*MIN(W$3,$D$2-1)))))</f>
        <v>0</v>
      </c>
      <c r="X71" s="131" t="n">
        <f aca="false">IF(OR($C71="",$B$2="",$D$2=0),0,IF(X$3&lt;0,0,N(INDEX('CURVA PREVISION'!$A$1:$KZ$3000,$C71,11+3*MIN(X$3,$D$2-1)))))</f>
        <v>0</v>
      </c>
      <c r="Y71" s="131" t="n">
        <f aca="false">IF(OR($C71="",$B$2="",$D$2=0),0,IF(Y$3&lt;0,0,N(INDEX('CURVA PREVISION'!$A$1:$KZ$3000,$C71,11+3*MIN(Y$3,$D$2-1)))))</f>
        <v>0</v>
      </c>
      <c r="Z71" s="131" t="n">
        <f aca="false">IF(OR($C71="",$B$2="",$D$2=0),0,IF(Z$3&lt;0,0,N(INDEX('CURVA PREVISION'!$A$1:$KZ$3000,$C71,11+3*MIN(Z$3,$D$2-1)))))</f>
        <v>0</v>
      </c>
      <c r="AA71" s="131" t="n">
        <f aca="false">IF(OR($C71="",$B$2="",$D$2=0),0,IF(AA$3&lt;0,0,N(INDEX('CURVA PREVISION'!$A$1:$KZ$3000,$C71,11+3*MIN(AA$3,$D$2-1)))))</f>
        <v>0</v>
      </c>
      <c r="AB71" s="131" t="n">
        <f aca="false">IF(OR($C71="",$B$2="",$D$2=0),0,IF(AB$3&lt;0,0,N(INDEX('CURVA PREVISION'!$A$1:$KZ$3000,$C71,11+3*MIN(AB$3,$D$2-1)))))</f>
        <v>0</v>
      </c>
      <c r="AC71" s="131" t="n">
        <f aca="false">IF(OR($C71="",$B$2="",$D$2=0),0,IF(AC$3&lt;0,0,N(INDEX('CURVA PREVISION'!$A$1:$KZ$3000,$C71,11+3*MIN(AC$3,$D$2-1)))))</f>
        <v>0</v>
      </c>
      <c r="AD71" s="131" t="n">
        <f aca="false">IF(OR($C71="",$B$2="",$D$2=0),0,IF(AD$3&lt;0,0,N(INDEX('CURVA PREVISION'!$A$1:$KZ$3000,$C71,11+3*MIN(AD$3,$D$2-1)))))</f>
        <v>0</v>
      </c>
      <c r="AE71" s="131" t="n">
        <f aca="false">IF(OR($C71="",$B$2="",$D$2=0),0,IF(AE$3&lt;0,0,N(INDEX('CURVA PREVISION'!$A$1:$KZ$3000,$C71,11+3*MIN(AE$3,$D$2-1)))))</f>
        <v>0</v>
      </c>
      <c r="AF71" s="131" t="n">
        <f aca="false">IF(OR($C71="",$B$2="",$D$2=0),0,IF(AF$3&lt;0,0,N(INDEX('CURVA PREVISION'!$A$1:$KZ$3000,$C71,11+3*MIN(AF$3,$D$2-1)))))</f>
        <v>0</v>
      </c>
      <c r="AG71" s="131" t="n">
        <f aca="false">IF(OR($C71="",$B$2="",$D$2=0),0,IF(AG$3&lt;0,0,N(INDEX('CURVA PREVISION'!$A$1:$KZ$3000,$C71,11+3*MIN(AG$3,$D$2-1)))))</f>
        <v>0</v>
      </c>
      <c r="AH71" s="131" t="n">
        <f aca="false">IF(OR($C71="",$B$2="",$D$2=0),0,IF(AH$3&lt;0,0,N(INDEX('CURVA PREVISION'!$A$1:$KZ$3000,$C71,11+3*MIN(AH$3,$D$2-1)))))</f>
        <v>0</v>
      </c>
      <c r="AI71" s="131" t="n">
        <f aca="false">IF(OR($C71="",$B$2="",$D$2=0),0,IF(AI$3&lt;0,0,N(INDEX('CURVA PREVISION'!$A$1:$KZ$3000,$C71,11+3*MIN(AI$3,$D$2-1)))))</f>
        <v>0</v>
      </c>
      <c r="AJ71" s="131" t="n">
        <f aca="false">IF(OR($C71="",$B$2="",$D$2=0),0,IF(AJ$3&lt;0,0,N(INDEX('CURVA PREVISION'!$A$1:$KZ$3000,$C71,11+3*MIN(AJ$3,$D$2-1)))))</f>
        <v>0</v>
      </c>
      <c r="AK71" s="131" t="n">
        <f aca="false">IF(OR($C71="",$B$2="",$D$2=0),0,IF(AK$3&lt;0,0,N(INDEX('CURVA PREVISION'!$A$1:$KZ$3000,$C71,11+3*MIN(AK$3,$D$2-1)))))</f>
        <v>0</v>
      </c>
      <c r="AL71" s="131" t="n">
        <f aca="false">IF(OR($C71="",$B$2="",$D$2=0),0,IF(AL$3&lt;0,0,N(INDEX('CURVA PREVISION'!$A$1:$KZ$3000,$C71,11+3*MIN(AL$3,$D$2-1)))))</f>
        <v>0</v>
      </c>
      <c r="AM71" s="131" t="n">
        <f aca="false">IF(OR($C71="",$B$2="",$D$2=0),0,IF(AM$3&lt;0,0,N(INDEX('CURVA PREVISION'!$A$1:$KZ$3000,$C71,11+3*MIN(AM$3,$D$2-1)))))</f>
        <v>0</v>
      </c>
      <c r="AN71" s="131" t="n">
        <f aca="false">IF(OR($C71="",$B$2="",$D$2=0),0,IF(AN$3&lt;0,0,N(INDEX('CURVA PREVISION'!$A$1:$KZ$3000,$C71,11+3*MIN(AN$3,$D$2-1)))))</f>
        <v>0</v>
      </c>
      <c r="AO71" s="131" t="n">
        <f aca="false">IF(OR($C71="",$B$2="",$D$2=0),0,IF(AO$3&lt;0,0,N(INDEX('CURVA PREVISION'!$A$1:$KZ$3000,$C71,11+3*MIN(AO$3,$D$2-1)))))</f>
        <v>0</v>
      </c>
      <c r="AP71" s="131" t="n">
        <f aca="false">IF(OR($C71="",$B$2="",$D$2=0),0,IF(AP$3&lt;0,0,N(INDEX('CURVA PREVISION'!$A$1:$KZ$3000,$C71,11+3*MIN(AP$3,$D$2-1)))))</f>
        <v>0</v>
      </c>
      <c r="AQ71" s="131" t="n">
        <f aca="false">IF(OR($C71="",$B$2="",$D$2=0),0,IF(AQ$3&lt;0,0,N(INDEX('CURVA PREVISION'!$A$1:$KZ$3000,$C71,11+3*MIN(AQ$3,$D$2-1)))))</f>
        <v>0</v>
      </c>
      <c r="AR71" s="131" t="n">
        <f aca="false">IF(OR($C71="",$B$2="",$D$2=0),0,IF(AR$3&lt;0,0,N(INDEX('CURVA PREVISION'!$A$1:$KZ$3000,$C71,11+3*MIN(AR$3,$D$2-1)))))</f>
        <v>0</v>
      </c>
      <c r="AS71" s="131" t="n">
        <f aca="false">IF(OR($C71="",$B$2="",$D$2=0),0,IF(AS$3&lt;0,0,N(INDEX('CURVA PREVISION'!$A$1:$KZ$3000,$C71,11+3*MIN(AS$3,$D$2-1)))))</f>
        <v>0</v>
      </c>
      <c r="AT71" s="131" t="n">
        <f aca="false">IF(OR($C71="",$B$2="",$D$2=0),0,IF(AT$3&lt;0,0,N(INDEX('CURVA PREVISION'!$A$1:$KZ$3000,$C71,11+3*MIN(AT$3,$D$2-1)))))</f>
        <v>0</v>
      </c>
      <c r="AU71" s="131" t="n">
        <f aca="false">IF(OR($C71="",$B$2="",$D$2=0),0,IF(AU$3&lt;0,0,N(INDEX('CURVA PREVISION'!$A$1:$KZ$3000,$C71,11+3*MIN(AU$3,$D$2-1)))))</f>
        <v>0</v>
      </c>
      <c r="AV71" s="131" t="n">
        <f aca="false">IF(OR($C71="",$B$2="",$D$2=0),0,IF(AV$3&lt;0,0,N(INDEX('CURVA PREVISION'!$A$1:$KZ$3000,$C71,11+3*MIN(AV$3,$D$2-1)))))</f>
        <v>0</v>
      </c>
      <c r="AW71" s="131" t="n">
        <f aca="false">IF(OR($C71="",$B$2="",$D$2=0),0,IF(AW$3&lt;0,0,N(INDEX('CURVA PREVISION'!$A$1:$KZ$3000,$C71,11+3*MIN(AW$3,$D$2-1)))))</f>
        <v>0</v>
      </c>
      <c r="AX71" s="131" t="n">
        <f aca="false">IF(OR($C71="",$B$2="",$D$2=0),0,IF(AX$3&lt;0,0,N(INDEX('CURVA PREVISION'!$A$1:$KZ$3000,$C71,11+3*MIN(AX$3,$D$2-1)))))</f>
        <v>0</v>
      </c>
      <c r="AY71" s="131" t="n">
        <f aca="false">IF(OR($C71="",$B$2="",$D$2=0),0,IF(AY$3&lt;0,0,N(INDEX('CURVA PREVISION'!$A$1:$KZ$3000,$C71,11+3*MIN(AY$3,$D$2-1)))))</f>
        <v>0</v>
      </c>
      <c r="AZ71" s="131" t="n">
        <f aca="false">IF(OR($C71="",$B$2="",$D$2=0),0,IF(AZ$3&lt;0,0,N(INDEX('CURVA PREVISION'!$A$1:$KZ$3000,$C71,11+3*MIN(AZ$3,$D$2-1)))))</f>
        <v>0</v>
      </c>
      <c r="BA71" s="131" t="n">
        <f aca="false">IF(OR($C71="",$B$2="",$D$2=0),0,IF(BA$3&lt;0,0,N(INDEX('CURVA PREVISION'!$A$1:$KZ$3000,$C71,11+3*MIN(BA$3,$D$2-1)))))</f>
        <v>0</v>
      </c>
      <c r="BB71" s="131" t="n">
        <f aca="false">IF(OR($C71="",$B$2="",$D$2=0),0,IF(BB$3&lt;0,0,N(INDEX('CURVA PREVISION'!$A$1:$KZ$3000,$C71,11+3*MIN(BB$3,$D$2-1)))))</f>
        <v>0</v>
      </c>
      <c r="BC71" s="131" t="n">
        <f aca="false">IF(OR($C71="",$B$2="",$D$2=0),0,IF(BC$3&lt;0,0,N(INDEX('CURVA PREVISION'!$A$1:$KZ$3000,$C71,11+3*MIN(BC$3,$D$2-1)))))</f>
        <v>0</v>
      </c>
      <c r="BD71" s="131" t="n">
        <f aca="false">IF(OR($C71="",$B$2="",$D$2=0),0,IF(BD$3&lt;0,0,N(INDEX('CURVA PREVISION'!$A$1:$KZ$3000,$C71,11+3*MIN(BD$3,$D$2-1)))))</f>
        <v>0</v>
      </c>
      <c r="BE71" s="131" t="n">
        <f aca="false">IF(OR($C71="",$B$2="",$D$2=0),0,IF(BE$3&lt;0,0,N(INDEX('CURVA PREVISION'!$A$1:$KZ$3000,$C71,11+3*MIN(BE$3,$D$2-1)))))</f>
        <v>0</v>
      </c>
      <c r="BF71" s="131" t="n">
        <f aca="false">IF(OR($C71="",$B$2="",$D$2=0),0,IF(BF$3&lt;0,0,N(INDEX('CURVA PREVISION'!$A$1:$KZ$3000,$C71,11+3*MIN(BF$3,$D$2-1)))))</f>
        <v>0</v>
      </c>
      <c r="BG71" s="131" t="n">
        <f aca="false">IF(OR($C71="",$B$2="",$D$2=0),0,IF(BG$3&lt;0,0,N(INDEX('CURVA PREVISION'!$A$1:$KZ$3000,$C71,11+3*MIN(BG$3,$D$2-1)))))</f>
        <v>0</v>
      </c>
      <c r="BH71" s="131" t="n">
        <f aca="false">IF(OR($C71="",$B$2="",$D$2=0),0,IF(BH$3&lt;0,0,N(INDEX('CURVA PREVISION'!$A$1:$KZ$3000,$C71,11+3*MIN(BH$3,$D$2-1)))))</f>
        <v>0</v>
      </c>
      <c r="BI71" s="131" t="n">
        <f aca="false">IF(OR($C71="",$B$2="",$D$2=0),0,IF(BI$3&lt;0,0,N(INDEX('CURVA PREVISION'!$A$1:$KZ$3000,$C71,11+3*MIN(BI$3,$D$2-1)))))</f>
        <v>0</v>
      </c>
      <c r="BJ71" s="131" t="n">
        <f aca="false">IF(OR($C71="",$B$2="",$D$2=0),0,IF(BJ$3&lt;0,0,N(INDEX('CURVA PREVISION'!$A$1:$KZ$3000,$C71,11+3*MIN(BJ$3,$D$2-1)))))</f>
        <v>0</v>
      </c>
      <c r="BK71" s="131" t="n">
        <f aca="false">IF(OR($C71="",$B$2="",$D$2=0),0,IF(BK$3&lt;0,0,N(INDEX('CURVA PREVISION'!$A$1:$KZ$3000,$C71,11+3*MIN(BK$3,$D$2-1)))))</f>
        <v>0</v>
      </c>
      <c r="BL71" s="131" t="n">
        <f aca="false">IF(OR($C71="",$B$2="",$D$2=0),0,IF(BL$3&lt;0,0,N(INDEX('CURVA PREVISION'!$A$1:$KZ$3000,$C71,11+3*MIN(BL$3,$D$2-1)))))</f>
        <v>0</v>
      </c>
      <c r="BM71" s="131" t="n">
        <f aca="false">IF(OR($C71="",$B$2="",$D$2=0),0,IF(BM$3&lt;0,0,N(INDEX('CURVA PREVISION'!$A$1:$KZ$3000,$C71,11+3*MIN(BM$3,$D$2-1)))))</f>
        <v>0</v>
      </c>
      <c r="BN71" s="131" t="n">
        <f aca="false">IF(OR($C71="",$B$2="",$D$2=0),0,IF(BN$3&lt;0,0,N(INDEX('CURVA PREVISION'!$A$1:$KZ$3000,$C71,11+3*MIN(BN$3,$D$2-1)))))</f>
        <v>0</v>
      </c>
      <c r="BO71" s="131" t="n">
        <f aca="false">IF(OR($C71="",$B$2="",$D$2=0),0,IF(BO$3&lt;0,0,N(INDEX('CURVA PREVISION'!$A$1:$KZ$3000,$C71,11+3*MIN(BO$3,$D$2-1)))))</f>
        <v>0</v>
      </c>
      <c r="BP71" s="131" t="n">
        <f aca="false">IF(OR($C71="",$B$2="",$D$2=0),0,IF(BP$3&lt;0,0,N(INDEX('CURVA PREVISION'!$A$1:$KZ$3000,$C71,11+3*MIN(BP$3,$D$2-1)))))</f>
        <v>0</v>
      </c>
      <c r="BQ71" s="131" t="n">
        <f aca="false">IF(OR($C71="",$B$2="",$D$2=0),0,IF(BQ$3&lt;0,0,N(INDEX('CURVA PREVISION'!$A$1:$KZ$3000,$C71,11+3*MIN(BQ$3,$D$2-1)))))</f>
        <v>0</v>
      </c>
      <c r="BR71" s="131" t="n">
        <f aca="false">IF(OR($C71="",$B$2="",$D$2=0),0,IF(BR$3&lt;0,0,N(INDEX('CURVA PREVISION'!$A$1:$KZ$3000,$C71,11+3*MIN(BR$3,$D$2-1)))))</f>
        <v>0</v>
      </c>
      <c r="BS71" s="131" t="n">
        <f aca="false">IF(OR($C71="",$B$2="",$D$2=0),0,IF(BS$3&lt;0,0,N(INDEX('CURVA PREVISION'!$A$1:$KZ$3000,$C71,11+3*MIN(BS$3,$D$2-1)))))</f>
        <v>0</v>
      </c>
      <c r="BT71" s="131" t="n">
        <f aca="false">IF(OR($C71="",$B$2="",$D$2=0),0,IF(BT$3&lt;0,0,N(INDEX('CURVA PREVISION'!$A$1:$KZ$3000,$C71,11+3*MIN(BT$3,$D$2-1)))))</f>
        <v>0</v>
      </c>
      <c r="BU71" s="131" t="n">
        <f aca="false">IF(OR($C71="",$B$2="",$D$2=0),0,IF(BU$3&lt;0,0,N(INDEX('CURVA PREVISION'!$A$1:$KZ$3000,$C71,11+3*MIN(BU$3,$D$2-1)))))</f>
        <v>0</v>
      </c>
      <c r="BV71" s="131" t="n">
        <f aca="false">IF(OR($C71="",$B$2="",$D$2=0),0,IF(BV$3&lt;0,0,N(INDEX('CURVA PREVISION'!$A$1:$KZ$3000,$C71,11+3*MIN(BV$3,$D$2-1)))))</f>
        <v>0</v>
      </c>
      <c r="BW71" s="131" t="n">
        <f aca="false">IF(OR($C71="",$B$2="",$D$2=0),0,IF(BW$3&lt;0,0,N(INDEX('CURVA PREVISION'!$A$1:$KZ$3000,$C71,11+3*MIN(BW$3,$D$2-1)))))</f>
        <v>0</v>
      </c>
    </row>
    <row r="72" customFormat="false" ht="15" hidden="false" customHeight="false" outlineLevel="0" collapsed="false">
      <c r="A72" s="57" t="str">
        <f aca="false">IF('VALOR POR PL'!Q36="",'VALOR POR PL'!C36,'VALOR POR PL'!Q36)</f>
        <v>26</v>
      </c>
      <c r="B72" s="47" t="str">
        <f aca="false">B30</f>
        <v>SERRALHERIA</v>
      </c>
      <c r="C72" s="64" t="n">
        <f aca="false">IFERROR(MATCH(A72,'CURVA PREVISION'!$B$1:$B$3000,0),"")</f>
        <v>579</v>
      </c>
      <c r="D72" s="131" t="n">
        <f aca="false">IF(OR($C72="",$B$2="",$D$2=0),0,IF(D$3&lt;0,0,N(INDEX('CURVA PREVISION'!$A$1:$KZ$3000,$C72,11+3*MIN(D$3,$D$2-1)))))</f>
        <v>0</v>
      </c>
      <c r="E72" s="131" t="n">
        <f aca="false">IF(OR($C72="",$B$2="",$D$2=0),0,IF(E$3&lt;0,0,N(INDEX('CURVA PREVISION'!$A$1:$KZ$3000,$C72,11+3*MIN(E$3,$D$2-1)))))</f>
        <v>0</v>
      </c>
      <c r="F72" s="131" t="n">
        <f aca="false">IF(OR($C72="",$B$2="",$D$2=0),0,IF(F$3&lt;0,0,N(INDEX('CURVA PREVISION'!$A$1:$KZ$3000,$C72,11+3*MIN(F$3,$D$2-1)))))</f>
        <v>0</v>
      </c>
      <c r="G72" s="131" t="n">
        <f aca="false">IF(OR($C72="",$B$2="",$D$2=0),0,IF(G$3&lt;0,0,N(INDEX('CURVA PREVISION'!$A$1:$KZ$3000,$C72,11+3*MIN(G$3,$D$2-1)))))</f>
        <v>0</v>
      </c>
      <c r="H72" s="131" t="n">
        <f aca="false">IF(OR($C72="",$B$2="",$D$2=0),0,IF(H$3&lt;0,0,N(INDEX('CURVA PREVISION'!$A$1:$KZ$3000,$C72,11+3*MIN(H$3,$D$2-1)))))</f>
        <v>0</v>
      </c>
      <c r="I72" s="131" t="n">
        <f aca="false">IF(OR($C72="",$B$2="",$D$2=0),0,IF(I$3&lt;0,0,N(INDEX('CURVA PREVISION'!$A$1:$KZ$3000,$C72,11+3*MIN(I$3,$D$2-1)))))</f>
        <v>0</v>
      </c>
      <c r="J72" s="131" t="n">
        <f aca="false">IF(OR($C72="",$B$2="",$D$2=0),0,IF(J$3&lt;0,0,N(INDEX('CURVA PREVISION'!$A$1:$KZ$3000,$C72,11+3*MIN(J$3,$D$2-1)))))</f>
        <v>0</v>
      </c>
      <c r="K72" s="131" t="n">
        <f aca="false">IF(OR($C72="",$B$2="",$D$2=0),0,IF(K$3&lt;0,0,N(INDEX('CURVA PREVISION'!$A$1:$KZ$3000,$C72,11+3*MIN(K$3,$D$2-1)))))</f>
        <v>0</v>
      </c>
      <c r="L72" s="131" t="n">
        <f aca="false">IF(OR($C72="",$B$2="",$D$2=0),0,IF(L$3&lt;0,0,N(INDEX('CURVA PREVISION'!$A$1:$KZ$3000,$C72,11+3*MIN(L$3,$D$2-1)))))</f>
        <v>0</v>
      </c>
      <c r="M72" s="131" t="n">
        <f aca="false">IF(OR($C72="",$B$2="",$D$2=0),0,IF(M$3&lt;0,0,N(INDEX('CURVA PREVISION'!$A$1:$KZ$3000,$C72,11+3*MIN(M$3,$D$2-1)))))</f>
        <v>0</v>
      </c>
      <c r="N72" s="131" t="n">
        <f aca="false">IF(OR($C72="",$B$2="",$D$2=0),0,IF(N$3&lt;0,0,N(INDEX('CURVA PREVISION'!$A$1:$KZ$3000,$C72,11+3*MIN(N$3,$D$2-1)))))</f>
        <v>0</v>
      </c>
      <c r="O72" s="131" t="n">
        <f aca="false">IF(OR($C72="",$B$2="",$D$2=0),0,IF(O$3&lt;0,0,N(INDEX('CURVA PREVISION'!$A$1:$KZ$3000,$C72,11+3*MIN(O$3,$D$2-1)))))</f>
        <v>0</v>
      </c>
      <c r="P72" s="131" t="n">
        <f aca="false">IF(OR($C72="",$B$2="",$D$2=0),0,IF(P$3&lt;0,0,N(INDEX('CURVA PREVISION'!$A$1:$KZ$3000,$C72,11+3*MIN(P$3,$D$2-1)))))</f>
        <v>0</v>
      </c>
      <c r="Q72" s="131" t="n">
        <f aca="false">IF(OR($C72="",$B$2="",$D$2=0),0,IF(Q$3&lt;0,0,N(INDEX('CURVA PREVISION'!$A$1:$KZ$3000,$C72,11+3*MIN(Q$3,$D$2-1)))))</f>
        <v>0</v>
      </c>
      <c r="R72" s="131" t="n">
        <f aca="false">IF(OR($C72="",$B$2="",$D$2=0),0,IF(R$3&lt;0,0,N(INDEX('CURVA PREVISION'!$A$1:$KZ$3000,$C72,11+3*MIN(R$3,$D$2-1)))))</f>
        <v>0</v>
      </c>
      <c r="S72" s="131" t="n">
        <f aca="false">IF(OR($C72="",$B$2="",$D$2=0),0,IF(S$3&lt;0,0,N(INDEX('CURVA PREVISION'!$A$1:$KZ$3000,$C72,11+3*MIN(S$3,$D$2-1)))))</f>
        <v>0</v>
      </c>
      <c r="T72" s="131" t="n">
        <f aca="false">IF(OR($C72="",$B$2="",$D$2=0),0,IF(T$3&lt;0,0,N(INDEX('CURVA PREVISION'!$A$1:$KZ$3000,$C72,11+3*MIN(T$3,$D$2-1)))))</f>
        <v>0</v>
      </c>
      <c r="U72" s="131" t="n">
        <f aca="false">IF(OR($C72="",$B$2="",$D$2=0),0,IF(U$3&lt;0,0,N(INDEX('CURVA PREVISION'!$A$1:$KZ$3000,$C72,11+3*MIN(U$3,$D$2-1)))))</f>
        <v>0</v>
      </c>
      <c r="V72" s="131" t="n">
        <f aca="false">IF(OR($C72="",$B$2="",$D$2=0),0,IF(V$3&lt;0,0,N(INDEX('CURVA PREVISION'!$A$1:$KZ$3000,$C72,11+3*MIN(V$3,$D$2-1)))))</f>
        <v>0</v>
      </c>
      <c r="W72" s="131" t="n">
        <f aca="false">IF(OR($C72="",$B$2="",$D$2=0),0,IF(W$3&lt;0,0,N(INDEX('CURVA PREVISION'!$A$1:$KZ$3000,$C72,11+3*MIN(W$3,$D$2-1)))))</f>
        <v>0</v>
      </c>
      <c r="X72" s="131" t="n">
        <f aca="false">IF(OR($C72="",$B$2="",$D$2=0),0,IF(X$3&lt;0,0,N(INDEX('CURVA PREVISION'!$A$1:$KZ$3000,$C72,11+3*MIN(X$3,$D$2-1)))))</f>
        <v>0</v>
      </c>
      <c r="Y72" s="131" t="n">
        <f aca="false">IF(OR($C72="",$B$2="",$D$2=0),0,IF(Y$3&lt;0,0,N(INDEX('CURVA PREVISION'!$A$1:$KZ$3000,$C72,11+3*MIN(Y$3,$D$2-1)))))</f>
        <v>0</v>
      </c>
      <c r="Z72" s="131" t="n">
        <f aca="false">IF(OR($C72="",$B$2="",$D$2=0),0,IF(Z$3&lt;0,0,N(INDEX('CURVA PREVISION'!$A$1:$KZ$3000,$C72,11+3*MIN(Z$3,$D$2-1)))))</f>
        <v>0</v>
      </c>
      <c r="AA72" s="131" t="n">
        <f aca="false">IF(OR($C72="",$B$2="",$D$2=0),0,IF(AA$3&lt;0,0,N(INDEX('CURVA PREVISION'!$A$1:$KZ$3000,$C72,11+3*MIN(AA$3,$D$2-1)))))</f>
        <v>0</v>
      </c>
      <c r="AB72" s="131" t="n">
        <f aca="false">IF(OR($C72="",$B$2="",$D$2=0),0,IF(AB$3&lt;0,0,N(INDEX('CURVA PREVISION'!$A$1:$KZ$3000,$C72,11+3*MIN(AB$3,$D$2-1)))))</f>
        <v>0</v>
      </c>
      <c r="AC72" s="131" t="n">
        <f aca="false">IF(OR($C72="",$B$2="",$D$2=0),0,IF(AC$3&lt;0,0,N(INDEX('CURVA PREVISION'!$A$1:$KZ$3000,$C72,11+3*MIN(AC$3,$D$2-1)))))</f>
        <v>0</v>
      </c>
      <c r="AD72" s="131" t="n">
        <f aca="false">IF(OR($C72="",$B$2="",$D$2=0),0,IF(AD$3&lt;0,0,N(INDEX('CURVA PREVISION'!$A$1:$KZ$3000,$C72,11+3*MIN(AD$3,$D$2-1)))))</f>
        <v>0</v>
      </c>
      <c r="AE72" s="131" t="n">
        <f aca="false">IF(OR($C72="",$B$2="",$D$2=0),0,IF(AE$3&lt;0,0,N(INDEX('CURVA PREVISION'!$A$1:$KZ$3000,$C72,11+3*MIN(AE$3,$D$2-1)))))</f>
        <v>0</v>
      </c>
      <c r="AF72" s="131" t="n">
        <f aca="false">IF(OR($C72="",$B$2="",$D$2=0),0,IF(AF$3&lt;0,0,N(INDEX('CURVA PREVISION'!$A$1:$KZ$3000,$C72,11+3*MIN(AF$3,$D$2-1)))))</f>
        <v>0</v>
      </c>
      <c r="AG72" s="131" t="n">
        <f aca="false">IF(OR($C72="",$B$2="",$D$2=0),0,IF(AG$3&lt;0,0,N(INDEX('CURVA PREVISION'!$A$1:$KZ$3000,$C72,11+3*MIN(AG$3,$D$2-1)))))</f>
        <v>0</v>
      </c>
      <c r="AH72" s="131" t="n">
        <f aca="false">IF(OR($C72="",$B$2="",$D$2=0),0,IF(AH$3&lt;0,0,N(INDEX('CURVA PREVISION'!$A$1:$KZ$3000,$C72,11+3*MIN(AH$3,$D$2-1)))))</f>
        <v>0</v>
      </c>
      <c r="AI72" s="131" t="n">
        <f aca="false">IF(OR($C72="",$B$2="",$D$2=0),0,IF(AI$3&lt;0,0,N(INDEX('CURVA PREVISION'!$A$1:$KZ$3000,$C72,11+3*MIN(AI$3,$D$2-1)))))</f>
        <v>0</v>
      </c>
      <c r="AJ72" s="131" t="n">
        <f aca="false">IF(OR($C72="",$B$2="",$D$2=0),0,IF(AJ$3&lt;0,0,N(INDEX('CURVA PREVISION'!$A$1:$KZ$3000,$C72,11+3*MIN(AJ$3,$D$2-1)))))</f>
        <v>0</v>
      </c>
      <c r="AK72" s="131" t="n">
        <f aca="false">IF(OR($C72="",$B$2="",$D$2=0),0,IF(AK$3&lt;0,0,N(INDEX('CURVA PREVISION'!$A$1:$KZ$3000,$C72,11+3*MIN(AK$3,$D$2-1)))))</f>
        <v>0</v>
      </c>
      <c r="AL72" s="131" t="n">
        <f aca="false">IF(OR($C72="",$B$2="",$D$2=0),0,IF(AL$3&lt;0,0,N(INDEX('CURVA PREVISION'!$A$1:$KZ$3000,$C72,11+3*MIN(AL$3,$D$2-1)))))</f>
        <v>0</v>
      </c>
      <c r="AM72" s="131" t="n">
        <f aca="false">IF(OR($C72="",$B$2="",$D$2=0),0,IF(AM$3&lt;0,0,N(INDEX('CURVA PREVISION'!$A$1:$KZ$3000,$C72,11+3*MIN(AM$3,$D$2-1)))))</f>
        <v>0</v>
      </c>
      <c r="AN72" s="131" t="n">
        <f aca="false">IF(OR($C72="",$B$2="",$D$2=0),0,IF(AN$3&lt;0,0,N(INDEX('CURVA PREVISION'!$A$1:$KZ$3000,$C72,11+3*MIN(AN$3,$D$2-1)))))</f>
        <v>0</v>
      </c>
      <c r="AO72" s="131" t="n">
        <f aca="false">IF(OR($C72="",$B$2="",$D$2=0),0,IF(AO$3&lt;0,0,N(INDEX('CURVA PREVISION'!$A$1:$KZ$3000,$C72,11+3*MIN(AO$3,$D$2-1)))))</f>
        <v>0</v>
      </c>
      <c r="AP72" s="131" t="n">
        <f aca="false">IF(OR($C72="",$B$2="",$D$2=0),0,IF(AP$3&lt;0,0,N(INDEX('CURVA PREVISION'!$A$1:$KZ$3000,$C72,11+3*MIN(AP$3,$D$2-1)))))</f>
        <v>0</v>
      </c>
      <c r="AQ72" s="131" t="n">
        <f aca="false">IF(OR($C72="",$B$2="",$D$2=0),0,IF(AQ$3&lt;0,0,N(INDEX('CURVA PREVISION'!$A$1:$KZ$3000,$C72,11+3*MIN(AQ$3,$D$2-1)))))</f>
        <v>0</v>
      </c>
      <c r="AR72" s="131" t="n">
        <f aca="false">IF(OR($C72="",$B$2="",$D$2=0),0,IF(AR$3&lt;0,0,N(INDEX('CURVA PREVISION'!$A$1:$KZ$3000,$C72,11+3*MIN(AR$3,$D$2-1)))))</f>
        <v>0</v>
      </c>
      <c r="AS72" s="131" t="n">
        <f aca="false">IF(OR($C72="",$B$2="",$D$2=0),0,IF(AS$3&lt;0,0,N(INDEX('CURVA PREVISION'!$A$1:$KZ$3000,$C72,11+3*MIN(AS$3,$D$2-1)))))</f>
        <v>0</v>
      </c>
      <c r="AT72" s="131" t="n">
        <f aca="false">IF(OR($C72="",$B$2="",$D$2=0),0,IF(AT$3&lt;0,0,N(INDEX('CURVA PREVISION'!$A$1:$KZ$3000,$C72,11+3*MIN(AT$3,$D$2-1)))))</f>
        <v>0</v>
      </c>
      <c r="AU72" s="131" t="n">
        <f aca="false">IF(OR($C72="",$B$2="",$D$2=0),0,IF(AU$3&lt;0,0,N(INDEX('CURVA PREVISION'!$A$1:$KZ$3000,$C72,11+3*MIN(AU$3,$D$2-1)))))</f>
        <v>0</v>
      </c>
      <c r="AV72" s="131" t="n">
        <f aca="false">IF(OR($C72="",$B$2="",$D$2=0),0,IF(AV$3&lt;0,0,N(INDEX('CURVA PREVISION'!$A$1:$KZ$3000,$C72,11+3*MIN(AV$3,$D$2-1)))))</f>
        <v>0</v>
      </c>
      <c r="AW72" s="131" t="n">
        <f aca="false">IF(OR($C72="",$B$2="",$D$2=0),0,IF(AW$3&lt;0,0,N(INDEX('CURVA PREVISION'!$A$1:$KZ$3000,$C72,11+3*MIN(AW$3,$D$2-1)))))</f>
        <v>0</v>
      </c>
      <c r="AX72" s="131" t="n">
        <f aca="false">IF(OR($C72="",$B$2="",$D$2=0),0,IF(AX$3&lt;0,0,N(INDEX('CURVA PREVISION'!$A$1:$KZ$3000,$C72,11+3*MIN(AX$3,$D$2-1)))))</f>
        <v>0</v>
      </c>
      <c r="AY72" s="131" t="n">
        <f aca="false">IF(OR($C72="",$B$2="",$D$2=0),0,IF(AY$3&lt;0,0,N(INDEX('CURVA PREVISION'!$A$1:$KZ$3000,$C72,11+3*MIN(AY$3,$D$2-1)))))</f>
        <v>0</v>
      </c>
      <c r="AZ72" s="131" t="n">
        <f aca="false">IF(OR($C72="",$B$2="",$D$2=0),0,IF(AZ$3&lt;0,0,N(INDEX('CURVA PREVISION'!$A$1:$KZ$3000,$C72,11+3*MIN(AZ$3,$D$2-1)))))</f>
        <v>0</v>
      </c>
      <c r="BA72" s="131" t="n">
        <f aca="false">IF(OR($C72="",$B$2="",$D$2=0),0,IF(BA$3&lt;0,0,N(INDEX('CURVA PREVISION'!$A$1:$KZ$3000,$C72,11+3*MIN(BA$3,$D$2-1)))))</f>
        <v>0</v>
      </c>
      <c r="BB72" s="131" t="n">
        <f aca="false">IF(OR($C72="",$B$2="",$D$2=0),0,IF(BB$3&lt;0,0,N(INDEX('CURVA PREVISION'!$A$1:$KZ$3000,$C72,11+3*MIN(BB$3,$D$2-1)))))</f>
        <v>0</v>
      </c>
      <c r="BC72" s="131" t="n">
        <f aca="false">IF(OR($C72="",$B$2="",$D$2=0),0,IF(BC$3&lt;0,0,N(INDEX('CURVA PREVISION'!$A$1:$KZ$3000,$C72,11+3*MIN(BC$3,$D$2-1)))))</f>
        <v>0</v>
      </c>
      <c r="BD72" s="131" t="n">
        <f aca="false">IF(OR($C72="",$B$2="",$D$2=0),0,IF(BD$3&lt;0,0,N(INDEX('CURVA PREVISION'!$A$1:$KZ$3000,$C72,11+3*MIN(BD$3,$D$2-1)))))</f>
        <v>0</v>
      </c>
      <c r="BE72" s="131" t="n">
        <f aca="false">IF(OR($C72="",$B$2="",$D$2=0),0,IF(BE$3&lt;0,0,N(INDEX('CURVA PREVISION'!$A$1:$KZ$3000,$C72,11+3*MIN(BE$3,$D$2-1)))))</f>
        <v>0</v>
      </c>
      <c r="BF72" s="131" t="n">
        <f aca="false">IF(OR($C72="",$B$2="",$D$2=0),0,IF(BF$3&lt;0,0,N(INDEX('CURVA PREVISION'!$A$1:$KZ$3000,$C72,11+3*MIN(BF$3,$D$2-1)))))</f>
        <v>0</v>
      </c>
      <c r="BG72" s="131" t="n">
        <f aca="false">IF(OR($C72="",$B$2="",$D$2=0),0,IF(BG$3&lt;0,0,N(INDEX('CURVA PREVISION'!$A$1:$KZ$3000,$C72,11+3*MIN(BG$3,$D$2-1)))))</f>
        <v>0</v>
      </c>
      <c r="BH72" s="131" t="n">
        <f aca="false">IF(OR($C72="",$B$2="",$D$2=0),0,IF(BH$3&lt;0,0,N(INDEX('CURVA PREVISION'!$A$1:$KZ$3000,$C72,11+3*MIN(BH$3,$D$2-1)))))</f>
        <v>0</v>
      </c>
      <c r="BI72" s="131" t="n">
        <f aca="false">IF(OR($C72="",$B$2="",$D$2=0),0,IF(BI$3&lt;0,0,N(INDEX('CURVA PREVISION'!$A$1:$KZ$3000,$C72,11+3*MIN(BI$3,$D$2-1)))))</f>
        <v>0</v>
      </c>
      <c r="BJ72" s="131" t="n">
        <f aca="false">IF(OR($C72="",$B$2="",$D$2=0),0,IF(BJ$3&lt;0,0,N(INDEX('CURVA PREVISION'!$A$1:$KZ$3000,$C72,11+3*MIN(BJ$3,$D$2-1)))))</f>
        <v>0</v>
      </c>
      <c r="BK72" s="131" t="n">
        <f aca="false">IF(OR($C72="",$B$2="",$D$2=0),0,IF(BK$3&lt;0,0,N(INDEX('CURVA PREVISION'!$A$1:$KZ$3000,$C72,11+3*MIN(BK$3,$D$2-1)))))</f>
        <v>0</v>
      </c>
      <c r="BL72" s="131" t="n">
        <f aca="false">IF(OR($C72="",$B$2="",$D$2=0),0,IF(BL$3&lt;0,0,N(INDEX('CURVA PREVISION'!$A$1:$KZ$3000,$C72,11+3*MIN(BL$3,$D$2-1)))))</f>
        <v>0</v>
      </c>
      <c r="BM72" s="131" t="n">
        <f aca="false">IF(OR($C72="",$B$2="",$D$2=0),0,IF(BM$3&lt;0,0,N(INDEX('CURVA PREVISION'!$A$1:$KZ$3000,$C72,11+3*MIN(BM$3,$D$2-1)))))</f>
        <v>0</v>
      </c>
      <c r="BN72" s="131" t="n">
        <f aca="false">IF(OR($C72="",$B$2="",$D$2=0),0,IF(BN$3&lt;0,0,N(INDEX('CURVA PREVISION'!$A$1:$KZ$3000,$C72,11+3*MIN(BN$3,$D$2-1)))))</f>
        <v>0</v>
      </c>
      <c r="BO72" s="131" t="n">
        <f aca="false">IF(OR($C72="",$B$2="",$D$2=0),0,IF(BO$3&lt;0,0,N(INDEX('CURVA PREVISION'!$A$1:$KZ$3000,$C72,11+3*MIN(BO$3,$D$2-1)))))</f>
        <v>0</v>
      </c>
      <c r="BP72" s="131" t="n">
        <f aca="false">IF(OR($C72="",$B$2="",$D$2=0),0,IF(BP$3&lt;0,0,N(INDEX('CURVA PREVISION'!$A$1:$KZ$3000,$C72,11+3*MIN(BP$3,$D$2-1)))))</f>
        <v>0</v>
      </c>
      <c r="BQ72" s="131" t="n">
        <f aca="false">IF(OR($C72="",$B$2="",$D$2=0),0,IF(BQ$3&lt;0,0,N(INDEX('CURVA PREVISION'!$A$1:$KZ$3000,$C72,11+3*MIN(BQ$3,$D$2-1)))))</f>
        <v>0</v>
      </c>
      <c r="BR72" s="131" t="n">
        <f aca="false">IF(OR($C72="",$B$2="",$D$2=0),0,IF(BR$3&lt;0,0,N(INDEX('CURVA PREVISION'!$A$1:$KZ$3000,$C72,11+3*MIN(BR$3,$D$2-1)))))</f>
        <v>0</v>
      </c>
      <c r="BS72" s="131" t="n">
        <f aca="false">IF(OR($C72="",$B$2="",$D$2=0),0,IF(BS$3&lt;0,0,N(INDEX('CURVA PREVISION'!$A$1:$KZ$3000,$C72,11+3*MIN(BS$3,$D$2-1)))))</f>
        <v>0</v>
      </c>
      <c r="BT72" s="131" t="n">
        <f aca="false">IF(OR($C72="",$B$2="",$D$2=0),0,IF(BT$3&lt;0,0,N(INDEX('CURVA PREVISION'!$A$1:$KZ$3000,$C72,11+3*MIN(BT$3,$D$2-1)))))</f>
        <v>0</v>
      </c>
      <c r="BU72" s="131" t="n">
        <f aca="false">IF(OR($C72="",$B$2="",$D$2=0),0,IF(BU$3&lt;0,0,N(INDEX('CURVA PREVISION'!$A$1:$KZ$3000,$C72,11+3*MIN(BU$3,$D$2-1)))))</f>
        <v>0</v>
      </c>
      <c r="BV72" s="131" t="n">
        <f aca="false">IF(OR($C72="",$B$2="",$D$2=0),0,IF(BV$3&lt;0,0,N(INDEX('CURVA PREVISION'!$A$1:$KZ$3000,$C72,11+3*MIN(BV$3,$D$2-1)))))</f>
        <v>0</v>
      </c>
      <c r="BW72" s="131" t="n">
        <f aca="false">IF(OR($C72="",$B$2="",$D$2=0),0,IF(BW$3&lt;0,0,N(INDEX('CURVA PREVISION'!$A$1:$KZ$3000,$C72,11+3*MIN(BW$3,$D$2-1)))))</f>
        <v>0</v>
      </c>
    </row>
    <row r="73" customFormat="false" ht="15" hidden="false" customHeight="false" outlineLevel="0" collapsed="false">
      <c r="A73" s="57" t="str">
        <f aca="false">IF('VALOR POR PL'!Q37="",'VALOR POR PL'!C37,'VALOR POR PL'!Q37)</f>
        <v>27</v>
      </c>
      <c r="B73" s="47" t="str">
        <f aca="false">B31</f>
        <v>MARCENARIA</v>
      </c>
      <c r="C73" s="64" t="n">
        <f aca="false">IFERROR(MATCH(A73,'CURVA PREVISION'!$B$1:$B$3000,0),"")</f>
        <v>603</v>
      </c>
      <c r="D73" s="131" t="n">
        <f aca="false">IF(OR($C73="",$B$2="",$D$2=0),0,IF(D$3&lt;0,0,N(INDEX('CURVA PREVISION'!$A$1:$KZ$3000,$C73,11+3*MIN(D$3,$D$2-1)))))</f>
        <v>0</v>
      </c>
      <c r="E73" s="131" t="n">
        <f aca="false">IF(OR($C73="",$B$2="",$D$2=0),0,IF(E$3&lt;0,0,N(INDEX('CURVA PREVISION'!$A$1:$KZ$3000,$C73,11+3*MIN(E$3,$D$2-1)))))</f>
        <v>0</v>
      </c>
      <c r="F73" s="131" t="n">
        <f aca="false">IF(OR($C73="",$B$2="",$D$2=0),0,IF(F$3&lt;0,0,N(INDEX('CURVA PREVISION'!$A$1:$KZ$3000,$C73,11+3*MIN(F$3,$D$2-1)))))</f>
        <v>0</v>
      </c>
      <c r="G73" s="131" t="n">
        <f aca="false">IF(OR($C73="",$B$2="",$D$2=0),0,IF(G$3&lt;0,0,N(INDEX('CURVA PREVISION'!$A$1:$KZ$3000,$C73,11+3*MIN(G$3,$D$2-1)))))</f>
        <v>0</v>
      </c>
      <c r="H73" s="131" t="n">
        <f aca="false">IF(OR($C73="",$B$2="",$D$2=0),0,IF(H$3&lt;0,0,N(INDEX('CURVA PREVISION'!$A$1:$KZ$3000,$C73,11+3*MIN(H$3,$D$2-1)))))</f>
        <v>0</v>
      </c>
      <c r="I73" s="131" t="n">
        <f aca="false">IF(OR($C73="",$B$2="",$D$2=0),0,IF(I$3&lt;0,0,N(INDEX('CURVA PREVISION'!$A$1:$KZ$3000,$C73,11+3*MIN(I$3,$D$2-1)))))</f>
        <v>0</v>
      </c>
      <c r="J73" s="131" t="n">
        <f aca="false">IF(OR($C73="",$B$2="",$D$2=0),0,IF(J$3&lt;0,0,N(INDEX('CURVA PREVISION'!$A$1:$KZ$3000,$C73,11+3*MIN(J$3,$D$2-1)))))</f>
        <v>0</v>
      </c>
      <c r="K73" s="131" t="n">
        <f aca="false">IF(OR($C73="",$B$2="",$D$2=0),0,IF(K$3&lt;0,0,N(INDEX('CURVA PREVISION'!$A$1:$KZ$3000,$C73,11+3*MIN(K$3,$D$2-1)))))</f>
        <v>0</v>
      </c>
      <c r="L73" s="131" t="n">
        <f aca="false">IF(OR($C73="",$B$2="",$D$2=0),0,IF(L$3&lt;0,0,N(INDEX('CURVA PREVISION'!$A$1:$KZ$3000,$C73,11+3*MIN(L$3,$D$2-1)))))</f>
        <v>0</v>
      </c>
      <c r="M73" s="131" t="n">
        <f aca="false">IF(OR($C73="",$B$2="",$D$2=0),0,IF(M$3&lt;0,0,N(INDEX('CURVA PREVISION'!$A$1:$KZ$3000,$C73,11+3*MIN(M$3,$D$2-1)))))</f>
        <v>0</v>
      </c>
      <c r="N73" s="131" t="n">
        <f aca="false">IF(OR($C73="",$B$2="",$D$2=0),0,IF(N$3&lt;0,0,N(INDEX('CURVA PREVISION'!$A$1:$KZ$3000,$C73,11+3*MIN(N$3,$D$2-1)))))</f>
        <v>0</v>
      </c>
      <c r="O73" s="131" t="n">
        <f aca="false">IF(OR($C73="",$B$2="",$D$2=0),0,IF(O$3&lt;0,0,N(INDEX('CURVA PREVISION'!$A$1:$KZ$3000,$C73,11+3*MIN(O$3,$D$2-1)))))</f>
        <v>0</v>
      </c>
      <c r="P73" s="131" t="n">
        <f aca="false">IF(OR($C73="",$B$2="",$D$2=0),0,IF(P$3&lt;0,0,N(INDEX('CURVA PREVISION'!$A$1:$KZ$3000,$C73,11+3*MIN(P$3,$D$2-1)))))</f>
        <v>0</v>
      </c>
      <c r="Q73" s="131" t="n">
        <f aca="false">IF(OR($C73="",$B$2="",$D$2=0),0,IF(Q$3&lt;0,0,N(INDEX('CURVA PREVISION'!$A$1:$KZ$3000,$C73,11+3*MIN(Q$3,$D$2-1)))))</f>
        <v>0</v>
      </c>
      <c r="R73" s="131" t="n">
        <f aca="false">IF(OR($C73="",$B$2="",$D$2=0),0,IF(R$3&lt;0,0,N(INDEX('CURVA PREVISION'!$A$1:$KZ$3000,$C73,11+3*MIN(R$3,$D$2-1)))))</f>
        <v>0</v>
      </c>
      <c r="S73" s="131" t="n">
        <f aca="false">IF(OR($C73="",$B$2="",$D$2=0),0,IF(S$3&lt;0,0,N(INDEX('CURVA PREVISION'!$A$1:$KZ$3000,$C73,11+3*MIN(S$3,$D$2-1)))))</f>
        <v>0</v>
      </c>
      <c r="T73" s="131" t="n">
        <f aca="false">IF(OR($C73="",$B$2="",$D$2=0),0,IF(T$3&lt;0,0,N(INDEX('CURVA PREVISION'!$A$1:$KZ$3000,$C73,11+3*MIN(T$3,$D$2-1)))))</f>
        <v>0</v>
      </c>
      <c r="U73" s="131" t="n">
        <f aca="false">IF(OR($C73="",$B$2="",$D$2=0),0,IF(U$3&lt;0,0,N(INDEX('CURVA PREVISION'!$A$1:$KZ$3000,$C73,11+3*MIN(U$3,$D$2-1)))))</f>
        <v>0</v>
      </c>
      <c r="V73" s="131" t="n">
        <f aca="false">IF(OR($C73="",$B$2="",$D$2=0),0,IF(V$3&lt;0,0,N(INDEX('CURVA PREVISION'!$A$1:$KZ$3000,$C73,11+3*MIN(V$3,$D$2-1)))))</f>
        <v>0</v>
      </c>
      <c r="W73" s="131" t="n">
        <f aca="false">IF(OR($C73="",$B$2="",$D$2=0),0,IF(W$3&lt;0,0,N(INDEX('CURVA PREVISION'!$A$1:$KZ$3000,$C73,11+3*MIN(W$3,$D$2-1)))))</f>
        <v>0</v>
      </c>
      <c r="X73" s="131" t="n">
        <f aca="false">IF(OR($C73="",$B$2="",$D$2=0),0,IF(X$3&lt;0,0,N(INDEX('CURVA PREVISION'!$A$1:$KZ$3000,$C73,11+3*MIN(X$3,$D$2-1)))))</f>
        <v>0</v>
      </c>
      <c r="Y73" s="131" t="n">
        <f aca="false">IF(OR($C73="",$B$2="",$D$2=0),0,IF(Y$3&lt;0,0,N(INDEX('CURVA PREVISION'!$A$1:$KZ$3000,$C73,11+3*MIN(Y$3,$D$2-1)))))</f>
        <v>0</v>
      </c>
      <c r="Z73" s="131" t="n">
        <f aca="false">IF(OR($C73="",$B$2="",$D$2=0),0,IF(Z$3&lt;0,0,N(INDEX('CURVA PREVISION'!$A$1:$KZ$3000,$C73,11+3*MIN(Z$3,$D$2-1)))))</f>
        <v>0</v>
      </c>
      <c r="AA73" s="131" t="n">
        <f aca="false">IF(OR($C73="",$B$2="",$D$2=0),0,IF(AA$3&lt;0,0,N(INDEX('CURVA PREVISION'!$A$1:$KZ$3000,$C73,11+3*MIN(AA$3,$D$2-1)))))</f>
        <v>0</v>
      </c>
      <c r="AB73" s="131" t="n">
        <f aca="false">IF(OR($C73="",$B$2="",$D$2=0),0,IF(AB$3&lt;0,0,N(INDEX('CURVA PREVISION'!$A$1:$KZ$3000,$C73,11+3*MIN(AB$3,$D$2-1)))))</f>
        <v>0</v>
      </c>
      <c r="AC73" s="131" t="n">
        <f aca="false">IF(OR($C73="",$B$2="",$D$2=0),0,IF(AC$3&lt;0,0,N(INDEX('CURVA PREVISION'!$A$1:$KZ$3000,$C73,11+3*MIN(AC$3,$D$2-1)))))</f>
        <v>0</v>
      </c>
      <c r="AD73" s="131" t="n">
        <f aca="false">IF(OR($C73="",$B$2="",$D$2=0),0,IF(AD$3&lt;0,0,N(INDEX('CURVA PREVISION'!$A$1:$KZ$3000,$C73,11+3*MIN(AD$3,$D$2-1)))))</f>
        <v>0</v>
      </c>
      <c r="AE73" s="131" t="n">
        <f aca="false">IF(OR($C73="",$B$2="",$D$2=0),0,IF(AE$3&lt;0,0,N(INDEX('CURVA PREVISION'!$A$1:$KZ$3000,$C73,11+3*MIN(AE$3,$D$2-1)))))</f>
        <v>0</v>
      </c>
      <c r="AF73" s="131" t="n">
        <f aca="false">IF(OR($C73="",$B$2="",$D$2=0),0,IF(AF$3&lt;0,0,N(INDEX('CURVA PREVISION'!$A$1:$KZ$3000,$C73,11+3*MIN(AF$3,$D$2-1)))))</f>
        <v>0</v>
      </c>
      <c r="AG73" s="131" t="n">
        <f aca="false">IF(OR($C73="",$B$2="",$D$2=0),0,IF(AG$3&lt;0,0,N(INDEX('CURVA PREVISION'!$A$1:$KZ$3000,$C73,11+3*MIN(AG$3,$D$2-1)))))</f>
        <v>0</v>
      </c>
      <c r="AH73" s="131" t="n">
        <f aca="false">IF(OR($C73="",$B$2="",$D$2=0),0,IF(AH$3&lt;0,0,N(INDEX('CURVA PREVISION'!$A$1:$KZ$3000,$C73,11+3*MIN(AH$3,$D$2-1)))))</f>
        <v>0</v>
      </c>
      <c r="AI73" s="131" t="n">
        <f aca="false">IF(OR($C73="",$B$2="",$D$2=0),0,IF(AI$3&lt;0,0,N(INDEX('CURVA PREVISION'!$A$1:$KZ$3000,$C73,11+3*MIN(AI$3,$D$2-1)))))</f>
        <v>0</v>
      </c>
      <c r="AJ73" s="131" t="n">
        <f aca="false">IF(OR($C73="",$B$2="",$D$2=0),0,IF(AJ$3&lt;0,0,N(INDEX('CURVA PREVISION'!$A$1:$KZ$3000,$C73,11+3*MIN(AJ$3,$D$2-1)))))</f>
        <v>0</v>
      </c>
      <c r="AK73" s="131" t="n">
        <f aca="false">IF(OR($C73="",$B$2="",$D$2=0),0,IF(AK$3&lt;0,0,N(INDEX('CURVA PREVISION'!$A$1:$KZ$3000,$C73,11+3*MIN(AK$3,$D$2-1)))))</f>
        <v>0</v>
      </c>
      <c r="AL73" s="131" t="n">
        <f aca="false">IF(OR($C73="",$B$2="",$D$2=0),0,IF(AL$3&lt;0,0,N(INDEX('CURVA PREVISION'!$A$1:$KZ$3000,$C73,11+3*MIN(AL$3,$D$2-1)))))</f>
        <v>0</v>
      </c>
      <c r="AM73" s="131" t="n">
        <f aca="false">IF(OR($C73="",$B$2="",$D$2=0),0,IF(AM$3&lt;0,0,N(INDEX('CURVA PREVISION'!$A$1:$KZ$3000,$C73,11+3*MIN(AM$3,$D$2-1)))))</f>
        <v>0</v>
      </c>
      <c r="AN73" s="131" t="n">
        <f aca="false">IF(OR($C73="",$B$2="",$D$2=0),0,IF(AN$3&lt;0,0,N(INDEX('CURVA PREVISION'!$A$1:$KZ$3000,$C73,11+3*MIN(AN$3,$D$2-1)))))</f>
        <v>0</v>
      </c>
      <c r="AO73" s="131" t="n">
        <f aca="false">IF(OR($C73="",$B$2="",$D$2=0),0,IF(AO$3&lt;0,0,N(INDEX('CURVA PREVISION'!$A$1:$KZ$3000,$C73,11+3*MIN(AO$3,$D$2-1)))))</f>
        <v>0</v>
      </c>
      <c r="AP73" s="131" t="n">
        <f aca="false">IF(OR($C73="",$B$2="",$D$2=0),0,IF(AP$3&lt;0,0,N(INDEX('CURVA PREVISION'!$A$1:$KZ$3000,$C73,11+3*MIN(AP$3,$D$2-1)))))</f>
        <v>0</v>
      </c>
      <c r="AQ73" s="131" t="n">
        <f aca="false">IF(OR($C73="",$B$2="",$D$2=0),0,IF(AQ$3&lt;0,0,N(INDEX('CURVA PREVISION'!$A$1:$KZ$3000,$C73,11+3*MIN(AQ$3,$D$2-1)))))</f>
        <v>0</v>
      </c>
      <c r="AR73" s="131" t="n">
        <f aca="false">IF(OR($C73="",$B$2="",$D$2=0),0,IF(AR$3&lt;0,0,N(INDEX('CURVA PREVISION'!$A$1:$KZ$3000,$C73,11+3*MIN(AR$3,$D$2-1)))))</f>
        <v>0</v>
      </c>
      <c r="AS73" s="131" t="n">
        <f aca="false">IF(OR($C73="",$B$2="",$D$2=0),0,IF(AS$3&lt;0,0,N(INDEX('CURVA PREVISION'!$A$1:$KZ$3000,$C73,11+3*MIN(AS$3,$D$2-1)))))</f>
        <v>0</v>
      </c>
      <c r="AT73" s="131" t="n">
        <f aca="false">IF(OR($C73="",$B$2="",$D$2=0),0,IF(AT$3&lt;0,0,N(INDEX('CURVA PREVISION'!$A$1:$KZ$3000,$C73,11+3*MIN(AT$3,$D$2-1)))))</f>
        <v>0</v>
      </c>
      <c r="AU73" s="131" t="n">
        <f aca="false">IF(OR($C73="",$B$2="",$D$2=0),0,IF(AU$3&lt;0,0,N(INDEX('CURVA PREVISION'!$A$1:$KZ$3000,$C73,11+3*MIN(AU$3,$D$2-1)))))</f>
        <v>0</v>
      </c>
      <c r="AV73" s="131" t="n">
        <f aca="false">IF(OR($C73="",$B$2="",$D$2=0),0,IF(AV$3&lt;0,0,N(INDEX('CURVA PREVISION'!$A$1:$KZ$3000,$C73,11+3*MIN(AV$3,$D$2-1)))))</f>
        <v>0</v>
      </c>
      <c r="AW73" s="131" t="n">
        <f aca="false">IF(OR($C73="",$B$2="",$D$2=0),0,IF(AW$3&lt;0,0,N(INDEX('CURVA PREVISION'!$A$1:$KZ$3000,$C73,11+3*MIN(AW$3,$D$2-1)))))</f>
        <v>0</v>
      </c>
      <c r="AX73" s="131" t="n">
        <f aca="false">IF(OR($C73="",$B$2="",$D$2=0),0,IF(AX$3&lt;0,0,N(INDEX('CURVA PREVISION'!$A$1:$KZ$3000,$C73,11+3*MIN(AX$3,$D$2-1)))))</f>
        <v>0</v>
      </c>
      <c r="AY73" s="131" t="n">
        <f aca="false">IF(OR($C73="",$B$2="",$D$2=0),0,IF(AY$3&lt;0,0,N(INDEX('CURVA PREVISION'!$A$1:$KZ$3000,$C73,11+3*MIN(AY$3,$D$2-1)))))</f>
        <v>0</v>
      </c>
      <c r="AZ73" s="131" t="n">
        <f aca="false">IF(OR($C73="",$B$2="",$D$2=0),0,IF(AZ$3&lt;0,0,N(INDEX('CURVA PREVISION'!$A$1:$KZ$3000,$C73,11+3*MIN(AZ$3,$D$2-1)))))</f>
        <v>0</v>
      </c>
      <c r="BA73" s="131" t="n">
        <f aca="false">IF(OR($C73="",$B$2="",$D$2=0),0,IF(BA$3&lt;0,0,N(INDEX('CURVA PREVISION'!$A$1:$KZ$3000,$C73,11+3*MIN(BA$3,$D$2-1)))))</f>
        <v>0</v>
      </c>
      <c r="BB73" s="131" t="n">
        <f aca="false">IF(OR($C73="",$B$2="",$D$2=0),0,IF(BB$3&lt;0,0,N(INDEX('CURVA PREVISION'!$A$1:$KZ$3000,$C73,11+3*MIN(BB$3,$D$2-1)))))</f>
        <v>0</v>
      </c>
      <c r="BC73" s="131" t="n">
        <f aca="false">IF(OR($C73="",$B$2="",$D$2=0),0,IF(BC$3&lt;0,0,N(INDEX('CURVA PREVISION'!$A$1:$KZ$3000,$C73,11+3*MIN(BC$3,$D$2-1)))))</f>
        <v>0</v>
      </c>
      <c r="BD73" s="131" t="n">
        <f aca="false">IF(OR($C73="",$B$2="",$D$2=0),0,IF(BD$3&lt;0,0,N(INDEX('CURVA PREVISION'!$A$1:$KZ$3000,$C73,11+3*MIN(BD$3,$D$2-1)))))</f>
        <v>0</v>
      </c>
      <c r="BE73" s="131" t="n">
        <f aca="false">IF(OR($C73="",$B$2="",$D$2=0),0,IF(BE$3&lt;0,0,N(INDEX('CURVA PREVISION'!$A$1:$KZ$3000,$C73,11+3*MIN(BE$3,$D$2-1)))))</f>
        <v>0</v>
      </c>
      <c r="BF73" s="131" t="n">
        <f aca="false">IF(OR($C73="",$B$2="",$D$2=0),0,IF(BF$3&lt;0,0,N(INDEX('CURVA PREVISION'!$A$1:$KZ$3000,$C73,11+3*MIN(BF$3,$D$2-1)))))</f>
        <v>0</v>
      </c>
      <c r="BG73" s="131" t="n">
        <f aca="false">IF(OR($C73="",$B$2="",$D$2=0),0,IF(BG$3&lt;0,0,N(INDEX('CURVA PREVISION'!$A$1:$KZ$3000,$C73,11+3*MIN(BG$3,$D$2-1)))))</f>
        <v>0</v>
      </c>
      <c r="BH73" s="131" t="n">
        <f aca="false">IF(OR($C73="",$B$2="",$D$2=0),0,IF(BH$3&lt;0,0,N(INDEX('CURVA PREVISION'!$A$1:$KZ$3000,$C73,11+3*MIN(BH$3,$D$2-1)))))</f>
        <v>0</v>
      </c>
      <c r="BI73" s="131" t="n">
        <f aca="false">IF(OR($C73="",$B$2="",$D$2=0),0,IF(BI$3&lt;0,0,N(INDEX('CURVA PREVISION'!$A$1:$KZ$3000,$C73,11+3*MIN(BI$3,$D$2-1)))))</f>
        <v>0</v>
      </c>
      <c r="BJ73" s="131" t="n">
        <f aca="false">IF(OR($C73="",$B$2="",$D$2=0),0,IF(BJ$3&lt;0,0,N(INDEX('CURVA PREVISION'!$A$1:$KZ$3000,$C73,11+3*MIN(BJ$3,$D$2-1)))))</f>
        <v>0</v>
      </c>
      <c r="BK73" s="131" t="n">
        <f aca="false">IF(OR($C73="",$B$2="",$D$2=0),0,IF(BK$3&lt;0,0,N(INDEX('CURVA PREVISION'!$A$1:$KZ$3000,$C73,11+3*MIN(BK$3,$D$2-1)))))</f>
        <v>0</v>
      </c>
      <c r="BL73" s="131" t="n">
        <f aca="false">IF(OR($C73="",$B$2="",$D$2=0),0,IF(BL$3&lt;0,0,N(INDEX('CURVA PREVISION'!$A$1:$KZ$3000,$C73,11+3*MIN(BL$3,$D$2-1)))))</f>
        <v>0</v>
      </c>
      <c r="BM73" s="131" t="n">
        <f aca="false">IF(OR($C73="",$B$2="",$D$2=0),0,IF(BM$3&lt;0,0,N(INDEX('CURVA PREVISION'!$A$1:$KZ$3000,$C73,11+3*MIN(BM$3,$D$2-1)))))</f>
        <v>0</v>
      </c>
      <c r="BN73" s="131" t="n">
        <f aca="false">IF(OR($C73="",$B$2="",$D$2=0),0,IF(BN$3&lt;0,0,N(INDEX('CURVA PREVISION'!$A$1:$KZ$3000,$C73,11+3*MIN(BN$3,$D$2-1)))))</f>
        <v>0</v>
      </c>
      <c r="BO73" s="131" t="n">
        <f aca="false">IF(OR($C73="",$B$2="",$D$2=0),0,IF(BO$3&lt;0,0,N(INDEX('CURVA PREVISION'!$A$1:$KZ$3000,$C73,11+3*MIN(BO$3,$D$2-1)))))</f>
        <v>0</v>
      </c>
      <c r="BP73" s="131" t="n">
        <f aca="false">IF(OR($C73="",$B$2="",$D$2=0),0,IF(BP$3&lt;0,0,N(INDEX('CURVA PREVISION'!$A$1:$KZ$3000,$C73,11+3*MIN(BP$3,$D$2-1)))))</f>
        <v>0</v>
      </c>
      <c r="BQ73" s="131" t="n">
        <f aca="false">IF(OR($C73="",$B$2="",$D$2=0),0,IF(BQ$3&lt;0,0,N(INDEX('CURVA PREVISION'!$A$1:$KZ$3000,$C73,11+3*MIN(BQ$3,$D$2-1)))))</f>
        <v>0</v>
      </c>
      <c r="BR73" s="131" t="n">
        <f aca="false">IF(OR($C73="",$B$2="",$D$2=0),0,IF(BR$3&lt;0,0,N(INDEX('CURVA PREVISION'!$A$1:$KZ$3000,$C73,11+3*MIN(BR$3,$D$2-1)))))</f>
        <v>0</v>
      </c>
      <c r="BS73" s="131" t="n">
        <f aca="false">IF(OR($C73="",$B$2="",$D$2=0),0,IF(BS$3&lt;0,0,N(INDEX('CURVA PREVISION'!$A$1:$KZ$3000,$C73,11+3*MIN(BS$3,$D$2-1)))))</f>
        <v>0</v>
      </c>
      <c r="BT73" s="131" t="n">
        <f aca="false">IF(OR($C73="",$B$2="",$D$2=0),0,IF(BT$3&lt;0,0,N(INDEX('CURVA PREVISION'!$A$1:$KZ$3000,$C73,11+3*MIN(BT$3,$D$2-1)))))</f>
        <v>0</v>
      </c>
      <c r="BU73" s="131" t="n">
        <f aca="false">IF(OR($C73="",$B$2="",$D$2=0),0,IF(BU$3&lt;0,0,N(INDEX('CURVA PREVISION'!$A$1:$KZ$3000,$C73,11+3*MIN(BU$3,$D$2-1)))))</f>
        <v>0</v>
      </c>
      <c r="BV73" s="131" t="n">
        <f aca="false">IF(OR($C73="",$B$2="",$D$2=0),0,IF(BV$3&lt;0,0,N(INDEX('CURVA PREVISION'!$A$1:$KZ$3000,$C73,11+3*MIN(BV$3,$D$2-1)))))</f>
        <v>0</v>
      </c>
      <c r="BW73" s="131" t="n">
        <f aca="false">IF(OR($C73="",$B$2="",$D$2=0),0,IF(BW$3&lt;0,0,N(INDEX('CURVA PREVISION'!$A$1:$KZ$3000,$C73,11+3*MIN(BW$3,$D$2-1)))))</f>
        <v>0</v>
      </c>
    </row>
    <row r="74" customFormat="false" ht="15" hidden="false" customHeight="false" outlineLevel="0" collapsed="false">
      <c r="A74" s="57" t="str">
        <f aca="false">IF('VALOR POR PL'!Q38="",'VALOR POR PL'!C38,'VALOR POR PL'!Q38)</f>
        <v>28</v>
      </c>
      <c r="B74" s="47" t="str">
        <f aca="false">B32</f>
        <v>REVESTIMENTOS DE MASSA EM PISOS</v>
      </c>
      <c r="C74" s="64" t="n">
        <f aca="false">IFERROR(MATCH(A74,'CURVA PREVISION'!$B$1:$B$3000,0),"")</f>
        <v>624</v>
      </c>
      <c r="D74" s="131" t="n">
        <f aca="false">IF(OR($C74="",$B$2="",$D$2=0),0,IF(D$3&lt;0,0,N(INDEX('CURVA PREVISION'!$A$1:$KZ$3000,$C74,11+3*MIN(D$3,$D$2-1)))))</f>
        <v>0</v>
      </c>
      <c r="E74" s="131" t="n">
        <f aca="false">IF(OR($C74="",$B$2="",$D$2=0),0,IF(E$3&lt;0,0,N(INDEX('CURVA PREVISION'!$A$1:$KZ$3000,$C74,11+3*MIN(E$3,$D$2-1)))))</f>
        <v>0</v>
      </c>
      <c r="F74" s="131" t="n">
        <f aca="false">IF(OR($C74="",$B$2="",$D$2=0),0,IF(F$3&lt;0,0,N(INDEX('CURVA PREVISION'!$A$1:$KZ$3000,$C74,11+3*MIN(F$3,$D$2-1)))))</f>
        <v>0</v>
      </c>
      <c r="G74" s="131" t="n">
        <f aca="false">IF(OR($C74="",$B$2="",$D$2=0),0,IF(G$3&lt;0,0,N(INDEX('CURVA PREVISION'!$A$1:$KZ$3000,$C74,11+3*MIN(G$3,$D$2-1)))))</f>
        <v>0</v>
      </c>
      <c r="H74" s="131" t="n">
        <f aca="false">IF(OR($C74="",$B$2="",$D$2=0),0,IF(H$3&lt;0,0,N(INDEX('CURVA PREVISION'!$A$1:$KZ$3000,$C74,11+3*MIN(H$3,$D$2-1)))))</f>
        <v>0</v>
      </c>
      <c r="I74" s="131" t="n">
        <f aca="false">IF(OR($C74="",$B$2="",$D$2=0),0,IF(I$3&lt;0,0,N(INDEX('CURVA PREVISION'!$A$1:$KZ$3000,$C74,11+3*MIN(I$3,$D$2-1)))))</f>
        <v>0</v>
      </c>
      <c r="J74" s="131" t="n">
        <f aca="false">IF(OR($C74="",$B$2="",$D$2=0),0,IF(J$3&lt;0,0,N(INDEX('CURVA PREVISION'!$A$1:$KZ$3000,$C74,11+3*MIN(J$3,$D$2-1)))))</f>
        <v>0</v>
      </c>
      <c r="K74" s="131" t="n">
        <f aca="false">IF(OR($C74="",$B$2="",$D$2=0),0,IF(K$3&lt;0,0,N(INDEX('CURVA PREVISION'!$A$1:$KZ$3000,$C74,11+3*MIN(K$3,$D$2-1)))))</f>
        <v>0</v>
      </c>
      <c r="L74" s="131" t="n">
        <f aca="false">IF(OR($C74="",$B$2="",$D$2=0),0,IF(L$3&lt;0,0,N(INDEX('CURVA PREVISION'!$A$1:$KZ$3000,$C74,11+3*MIN(L$3,$D$2-1)))))</f>
        <v>0</v>
      </c>
      <c r="M74" s="131" t="n">
        <f aca="false">IF(OR($C74="",$B$2="",$D$2=0),0,IF(M$3&lt;0,0,N(INDEX('CURVA PREVISION'!$A$1:$KZ$3000,$C74,11+3*MIN(M$3,$D$2-1)))))</f>
        <v>0</v>
      </c>
      <c r="N74" s="131" t="n">
        <f aca="false">IF(OR($C74="",$B$2="",$D$2=0),0,IF(N$3&lt;0,0,N(INDEX('CURVA PREVISION'!$A$1:$KZ$3000,$C74,11+3*MIN(N$3,$D$2-1)))))</f>
        <v>0</v>
      </c>
      <c r="O74" s="131" t="n">
        <f aca="false">IF(OR($C74="",$B$2="",$D$2=0),0,IF(O$3&lt;0,0,N(INDEX('CURVA PREVISION'!$A$1:$KZ$3000,$C74,11+3*MIN(O$3,$D$2-1)))))</f>
        <v>0</v>
      </c>
      <c r="P74" s="131" t="n">
        <f aca="false">IF(OR($C74="",$B$2="",$D$2=0),0,IF(P$3&lt;0,0,N(INDEX('CURVA PREVISION'!$A$1:$KZ$3000,$C74,11+3*MIN(P$3,$D$2-1)))))</f>
        <v>0</v>
      </c>
      <c r="Q74" s="131" t="n">
        <f aca="false">IF(OR($C74="",$B$2="",$D$2=0),0,IF(Q$3&lt;0,0,N(INDEX('CURVA PREVISION'!$A$1:$KZ$3000,$C74,11+3*MIN(Q$3,$D$2-1)))))</f>
        <v>0</v>
      </c>
      <c r="R74" s="131" t="n">
        <f aca="false">IF(OR($C74="",$B$2="",$D$2=0),0,IF(R$3&lt;0,0,N(INDEX('CURVA PREVISION'!$A$1:$KZ$3000,$C74,11+3*MIN(R$3,$D$2-1)))))</f>
        <v>0</v>
      </c>
      <c r="S74" s="131" t="n">
        <f aca="false">IF(OR($C74="",$B$2="",$D$2=0),0,IF(S$3&lt;0,0,N(INDEX('CURVA PREVISION'!$A$1:$KZ$3000,$C74,11+3*MIN(S$3,$D$2-1)))))</f>
        <v>0</v>
      </c>
      <c r="T74" s="131" t="n">
        <f aca="false">IF(OR($C74="",$B$2="",$D$2=0),0,IF(T$3&lt;0,0,N(INDEX('CURVA PREVISION'!$A$1:$KZ$3000,$C74,11+3*MIN(T$3,$D$2-1)))))</f>
        <v>0</v>
      </c>
      <c r="U74" s="131" t="n">
        <f aca="false">IF(OR($C74="",$B$2="",$D$2=0),0,IF(U$3&lt;0,0,N(INDEX('CURVA PREVISION'!$A$1:$KZ$3000,$C74,11+3*MIN(U$3,$D$2-1)))))</f>
        <v>0</v>
      </c>
      <c r="V74" s="131" t="n">
        <f aca="false">IF(OR($C74="",$B$2="",$D$2=0),0,IF(V$3&lt;0,0,N(INDEX('CURVA PREVISION'!$A$1:$KZ$3000,$C74,11+3*MIN(V$3,$D$2-1)))))</f>
        <v>0</v>
      </c>
      <c r="W74" s="131" t="n">
        <f aca="false">IF(OR($C74="",$B$2="",$D$2=0),0,IF(W$3&lt;0,0,N(INDEX('CURVA PREVISION'!$A$1:$KZ$3000,$C74,11+3*MIN(W$3,$D$2-1)))))</f>
        <v>0</v>
      </c>
      <c r="X74" s="131" t="n">
        <f aca="false">IF(OR($C74="",$B$2="",$D$2=0),0,IF(X$3&lt;0,0,N(INDEX('CURVA PREVISION'!$A$1:$KZ$3000,$C74,11+3*MIN(X$3,$D$2-1)))))</f>
        <v>0</v>
      </c>
      <c r="Y74" s="131" t="n">
        <f aca="false">IF(OR($C74="",$B$2="",$D$2=0),0,IF(Y$3&lt;0,0,N(INDEX('CURVA PREVISION'!$A$1:$KZ$3000,$C74,11+3*MIN(Y$3,$D$2-1)))))</f>
        <v>0</v>
      </c>
      <c r="Z74" s="131" t="n">
        <f aca="false">IF(OR($C74="",$B$2="",$D$2=0),0,IF(Z$3&lt;0,0,N(INDEX('CURVA PREVISION'!$A$1:$KZ$3000,$C74,11+3*MIN(Z$3,$D$2-1)))))</f>
        <v>0</v>
      </c>
      <c r="AA74" s="131" t="n">
        <f aca="false">IF(OR($C74="",$B$2="",$D$2=0),0,IF(AA$3&lt;0,0,N(INDEX('CURVA PREVISION'!$A$1:$KZ$3000,$C74,11+3*MIN(AA$3,$D$2-1)))))</f>
        <v>0</v>
      </c>
      <c r="AB74" s="131" t="n">
        <f aca="false">IF(OR($C74="",$B$2="",$D$2=0),0,IF(AB$3&lt;0,0,N(INDEX('CURVA PREVISION'!$A$1:$KZ$3000,$C74,11+3*MIN(AB$3,$D$2-1)))))</f>
        <v>0</v>
      </c>
      <c r="AC74" s="131" t="n">
        <f aca="false">IF(OR($C74="",$B$2="",$D$2=0),0,IF(AC$3&lt;0,0,N(INDEX('CURVA PREVISION'!$A$1:$KZ$3000,$C74,11+3*MIN(AC$3,$D$2-1)))))</f>
        <v>0</v>
      </c>
      <c r="AD74" s="131" t="n">
        <f aca="false">IF(OR($C74="",$B$2="",$D$2=0),0,IF(AD$3&lt;0,0,N(INDEX('CURVA PREVISION'!$A$1:$KZ$3000,$C74,11+3*MIN(AD$3,$D$2-1)))))</f>
        <v>0</v>
      </c>
      <c r="AE74" s="131" t="n">
        <f aca="false">IF(OR($C74="",$B$2="",$D$2=0),0,IF(AE$3&lt;0,0,N(INDEX('CURVA PREVISION'!$A$1:$KZ$3000,$C74,11+3*MIN(AE$3,$D$2-1)))))</f>
        <v>0</v>
      </c>
      <c r="AF74" s="131" t="n">
        <f aca="false">IF(OR($C74="",$B$2="",$D$2=0),0,IF(AF$3&lt;0,0,N(INDEX('CURVA PREVISION'!$A$1:$KZ$3000,$C74,11+3*MIN(AF$3,$D$2-1)))))</f>
        <v>0</v>
      </c>
      <c r="AG74" s="131" t="n">
        <f aca="false">IF(OR($C74="",$B$2="",$D$2=0),0,IF(AG$3&lt;0,0,N(INDEX('CURVA PREVISION'!$A$1:$KZ$3000,$C74,11+3*MIN(AG$3,$D$2-1)))))</f>
        <v>0</v>
      </c>
      <c r="AH74" s="131" t="n">
        <f aca="false">IF(OR($C74="",$B$2="",$D$2=0),0,IF(AH$3&lt;0,0,N(INDEX('CURVA PREVISION'!$A$1:$KZ$3000,$C74,11+3*MIN(AH$3,$D$2-1)))))</f>
        <v>0</v>
      </c>
      <c r="AI74" s="131" t="n">
        <f aca="false">IF(OR($C74="",$B$2="",$D$2=0),0,IF(AI$3&lt;0,0,N(INDEX('CURVA PREVISION'!$A$1:$KZ$3000,$C74,11+3*MIN(AI$3,$D$2-1)))))</f>
        <v>0</v>
      </c>
      <c r="AJ74" s="131" t="n">
        <f aca="false">IF(OR($C74="",$B$2="",$D$2=0),0,IF(AJ$3&lt;0,0,N(INDEX('CURVA PREVISION'!$A$1:$KZ$3000,$C74,11+3*MIN(AJ$3,$D$2-1)))))</f>
        <v>0</v>
      </c>
      <c r="AK74" s="131" t="n">
        <f aca="false">IF(OR($C74="",$B$2="",$D$2=0),0,IF(AK$3&lt;0,0,N(INDEX('CURVA PREVISION'!$A$1:$KZ$3000,$C74,11+3*MIN(AK$3,$D$2-1)))))</f>
        <v>0</v>
      </c>
      <c r="AL74" s="131" t="n">
        <f aca="false">IF(OR($C74="",$B$2="",$D$2=0),0,IF(AL$3&lt;0,0,N(INDEX('CURVA PREVISION'!$A$1:$KZ$3000,$C74,11+3*MIN(AL$3,$D$2-1)))))</f>
        <v>0</v>
      </c>
      <c r="AM74" s="131" t="n">
        <f aca="false">IF(OR($C74="",$B$2="",$D$2=0),0,IF(AM$3&lt;0,0,N(INDEX('CURVA PREVISION'!$A$1:$KZ$3000,$C74,11+3*MIN(AM$3,$D$2-1)))))</f>
        <v>0</v>
      </c>
      <c r="AN74" s="131" t="n">
        <f aca="false">IF(OR($C74="",$B$2="",$D$2=0),0,IF(AN$3&lt;0,0,N(INDEX('CURVA PREVISION'!$A$1:$KZ$3000,$C74,11+3*MIN(AN$3,$D$2-1)))))</f>
        <v>0</v>
      </c>
      <c r="AO74" s="131" t="n">
        <f aca="false">IF(OR($C74="",$B$2="",$D$2=0),0,IF(AO$3&lt;0,0,N(INDEX('CURVA PREVISION'!$A$1:$KZ$3000,$C74,11+3*MIN(AO$3,$D$2-1)))))</f>
        <v>0</v>
      </c>
      <c r="AP74" s="131" t="n">
        <f aca="false">IF(OR($C74="",$B$2="",$D$2=0),0,IF(AP$3&lt;0,0,N(INDEX('CURVA PREVISION'!$A$1:$KZ$3000,$C74,11+3*MIN(AP$3,$D$2-1)))))</f>
        <v>0</v>
      </c>
      <c r="AQ74" s="131" t="n">
        <f aca="false">IF(OR($C74="",$B$2="",$D$2=0),0,IF(AQ$3&lt;0,0,N(INDEX('CURVA PREVISION'!$A$1:$KZ$3000,$C74,11+3*MIN(AQ$3,$D$2-1)))))</f>
        <v>0</v>
      </c>
      <c r="AR74" s="131" t="n">
        <f aca="false">IF(OR($C74="",$B$2="",$D$2=0),0,IF(AR$3&lt;0,0,N(INDEX('CURVA PREVISION'!$A$1:$KZ$3000,$C74,11+3*MIN(AR$3,$D$2-1)))))</f>
        <v>0</v>
      </c>
      <c r="AS74" s="131" t="n">
        <f aca="false">IF(OR($C74="",$B$2="",$D$2=0),0,IF(AS$3&lt;0,0,N(INDEX('CURVA PREVISION'!$A$1:$KZ$3000,$C74,11+3*MIN(AS$3,$D$2-1)))))</f>
        <v>0</v>
      </c>
      <c r="AT74" s="131" t="n">
        <f aca="false">IF(OR($C74="",$B$2="",$D$2=0),0,IF(AT$3&lt;0,0,N(INDEX('CURVA PREVISION'!$A$1:$KZ$3000,$C74,11+3*MIN(AT$3,$D$2-1)))))</f>
        <v>0</v>
      </c>
      <c r="AU74" s="131" t="n">
        <f aca="false">IF(OR($C74="",$B$2="",$D$2=0),0,IF(AU$3&lt;0,0,N(INDEX('CURVA PREVISION'!$A$1:$KZ$3000,$C74,11+3*MIN(AU$3,$D$2-1)))))</f>
        <v>0</v>
      </c>
      <c r="AV74" s="131" t="n">
        <f aca="false">IF(OR($C74="",$B$2="",$D$2=0),0,IF(AV$3&lt;0,0,N(INDEX('CURVA PREVISION'!$A$1:$KZ$3000,$C74,11+3*MIN(AV$3,$D$2-1)))))</f>
        <v>0</v>
      </c>
      <c r="AW74" s="131" t="n">
        <f aca="false">IF(OR($C74="",$B$2="",$D$2=0),0,IF(AW$3&lt;0,0,N(INDEX('CURVA PREVISION'!$A$1:$KZ$3000,$C74,11+3*MIN(AW$3,$D$2-1)))))</f>
        <v>0</v>
      </c>
      <c r="AX74" s="131" t="n">
        <f aca="false">IF(OR($C74="",$B$2="",$D$2=0),0,IF(AX$3&lt;0,0,N(INDEX('CURVA PREVISION'!$A$1:$KZ$3000,$C74,11+3*MIN(AX$3,$D$2-1)))))</f>
        <v>0</v>
      </c>
      <c r="AY74" s="131" t="n">
        <f aca="false">IF(OR($C74="",$B$2="",$D$2=0),0,IF(AY$3&lt;0,0,N(INDEX('CURVA PREVISION'!$A$1:$KZ$3000,$C74,11+3*MIN(AY$3,$D$2-1)))))</f>
        <v>0</v>
      </c>
      <c r="AZ74" s="131" t="n">
        <f aca="false">IF(OR($C74="",$B$2="",$D$2=0),0,IF(AZ$3&lt;0,0,N(INDEX('CURVA PREVISION'!$A$1:$KZ$3000,$C74,11+3*MIN(AZ$3,$D$2-1)))))</f>
        <v>0</v>
      </c>
      <c r="BA74" s="131" t="n">
        <f aca="false">IF(OR($C74="",$B$2="",$D$2=0),0,IF(BA$3&lt;0,0,N(INDEX('CURVA PREVISION'!$A$1:$KZ$3000,$C74,11+3*MIN(BA$3,$D$2-1)))))</f>
        <v>0</v>
      </c>
      <c r="BB74" s="131" t="n">
        <f aca="false">IF(OR($C74="",$B$2="",$D$2=0),0,IF(BB$3&lt;0,0,N(INDEX('CURVA PREVISION'!$A$1:$KZ$3000,$C74,11+3*MIN(BB$3,$D$2-1)))))</f>
        <v>0</v>
      </c>
      <c r="BC74" s="131" t="n">
        <f aca="false">IF(OR($C74="",$B$2="",$D$2=0),0,IF(BC$3&lt;0,0,N(INDEX('CURVA PREVISION'!$A$1:$KZ$3000,$C74,11+3*MIN(BC$3,$D$2-1)))))</f>
        <v>0</v>
      </c>
      <c r="BD74" s="131" t="n">
        <f aca="false">IF(OR($C74="",$B$2="",$D$2=0),0,IF(BD$3&lt;0,0,N(INDEX('CURVA PREVISION'!$A$1:$KZ$3000,$C74,11+3*MIN(BD$3,$D$2-1)))))</f>
        <v>0</v>
      </c>
      <c r="BE74" s="131" t="n">
        <f aca="false">IF(OR($C74="",$B$2="",$D$2=0),0,IF(BE$3&lt;0,0,N(INDEX('CURVA PREVISION'!$A$1:$KZ$3000,$C74,11+3*MIN(BE$3,$D$2-1)))))</f>
        <v>0</v>
      </c>
      <c r="BF74" s="131" t="n">
        <f aca="false">IF(OR($C74="",$B$2="",$D$2=0),0,IF(BF$3&lt;0,0,N(INDEX('CURVA PREVISION'!$A$1:$KZ$3000,$C74,11+3*MIN(BF$3,$D$2-1)))))</f>
        <v>0</v>
      </c>
      <c r="BG74" s="131" t="n">
        <f aca="false">IF(OR($C74="",$B$2="",$D$2=0),0,IF(BG$3&lt;0,0,N(INDEX('CURVA PREVISION'!$A$1:$KZ$3000,$C74,11+3*MIN(BG$3,$D$2-1)))))</f>
        <v>0</v>
      </c>
      <c r="BH74" s="131" t="n">
        <f aca="false">IF(OR($C74="",$B$2="",$D$2=0),0,IF(BH$3&lt;0,0,N(INDEX('CURVA PREVISION'!$A$1:$KZ$3000,$C74,11+3*MIN(BH$3,$D$2-1)))))</f>
        <v>0</v>
      </c>
      <c r="BI74" s="131" t="n">
        <f aca="false">IF(OR($C74="",$B$2="",$D$2=0),0,IF(BI$3&lt;0,0,N(INDEX('CURVA PREVISION'!$A$1:$KZ$3000,$C74,11+3*MIN(BI$3,$D$2-1)))))</f>
        <v>0</v>
      </c>
      <c r="BJ74" s="131" t="n">
        <f aca="false">IF(OR($C74="",$B$2="",$D$2=0),0,IF(BJ$3&lt;0,0,N(INDEX('CURVA PREVISION'!$A$1:$KZ$3000,$C74,11+3*MIN(BJ$3,$D$2-1)))))</f>
        <v>0</v>
      </c>
      <c r="BK74" s="131" t="n">
        <f aca="false">IF(OR($C74="",$B$2="",$D$2=0),0,IF(BK$3&lt;0,0,N(INDEX('CURVA PREVISION'!$A$1:$KZ$3000,$C74,11+3*MIN(BK$3,$D$2-1)))))</f>
        <v>0</v>
      </c>
      <c r="BL74" s="131" t="n">
        <f aca="false">IF(OR($C74="",$B$2="",$D$2=0),0,IF(BL$3&lt;0,0,N(INDEX('CURVA PREVISION'!$A$1:$KZ$3000,$C74,11+3*MIN(BL$3,$D$2-1)))))</f>
        <v>0</v>
      </c>
      <c r="BM74" s="131" t="n">
        <f aca="false">IF(OR($C74="",$B$2="",$D$2=0),0,IF(BM$3&lt;0,0,N(INDEX('CURVA PREVISION'!$A$1:$KZ$3000,$C74,11+3*MIN(BM$3,$D$2-1)))))</f>
        <v>0</v>
      </c>
      <c r="BN74" s="131" t="n">
        <f aca="false">IF(OR($C74="",$B$2="",$D$2=0),0,IF(BN$3&lt;0,0,N(INDEX('CURVA PREVISION'!$A$1:$KZ$3000,$C74,11+3*MIN(BN$3,$D$2-1)))))</f>
        <v>0</v>
      </c>
      <c r="BO74" s="131" t="n">
        <f aca="false">IF(OR($C74="",$B$2="",$D$2=0),0,IF(BO$3&lt;0,0,N(INDEX('CURVA PREVISION'!$A$1:$KZ$3000,$C74,11+3*MIN(BO$3,$D$2-1)))))</f>
        <v>0</v>
      </c>
      <c r="BP74" s="131" t="n">
        <f aca="false">IF(OR($C74="",$B$2="",$D$2=0),0,IF(BP$3&lt;0,0,N(INDEX('CURVA PREVISION'!$A$1:$KZ$3000,$C74,11+3*MIN(BP$3,$D$2-1)))))</f>
        <v>0</v>
      </c>
      <c r="BQ74" s="131" t="n">
        <f aca="false">IF(OR($C74="",$B$2="",$D$2=0),0,IF(BQ$3&lt;0,0,N(INDEX('CURVA PREVISION'!$A$1:$KZ$3000,$C74,11+3*MIN(BQ$3,$D$2-1)))))</f>
        <v>0</v>
      </c>
      <c r="BR74" s="131" t="n">
        <f aca="false">IF(OR($C74="",$B$2="",$D$2=0),0,IF(BR$3&lt;0,0,N(INDEX('CURVA PREVISION'!$A$1:$KZ$3000,$C74,11+3*MIN(BR$3,$D$2-1)))))</f>
        <v>0</v>
      </c>
      <c r="BS74" s="131" t="n">
        <f aca="false">IF(OR($C74="",$B$2="",$D$2=0),0,IF(BS$3&lt;0,0,N(INDEX('CURVA PREVISION'!$A$1:$KZ$3000,$C74,11+3*MIN(BS$3,$D$2-1)))))</f>
        <v>0</v>
      </c>
      <c r="BT74" s="131" t="n">
        <f aca="false">IF(OR($C74="",$B$2="",$D$2=0),0,IF(BT$3&lt;0,0,N(INDEX('CURVA PREVISION'!$A$1:$KZ$3000,$C74,11+3*MIN(BT$3,$D$2-1)))))</f>
        <v>0</v>
      </c>
      <c r="BU74" s="131" t="n">
        <f aca="false">IF(OR($C74="",$B$2="",$D$2=0),0,IF(BU$3&lt;0,0,N(INDEX('CURVA PREVISION'!$A$1:$KZ$3000,$C74,11+3*MIN(BU$3,$D$2-1)))))</f>
        <v>0</v>
      </c>
      <c r="BV74" s="131" t="n">
        <f aca="false">IF(OR($C74="",$B$2="",$D$2=0),0,IF(BV$3&lt;0,0,N(INDEX('CURVA PREVISION'!$A$1:$KZ$3000,$C74,11+3*MIN(BV$3,$D$2-1)))))</f>
        <v>0</v>
      </c>
      <c r="BW74" s="131" t="n">
        <f aca="false">IF(OR($C74="",$B$2="",$D$2=0),0,IF(BW$3&lt;0,0,N(INDEX('CURVA PREVISION'!$A$1:$KZ$3000,$C74,11+3*MIN(BW$3,$D$2-1)))))</f>
        <v>0</v>
      </c>
    </row>
    <row r="75" customFormat="false" ht="15" hidden="false" customHeight="false" outlineLevel="0" collapsed="false">
      <c r="A75" s="57" t="str">
        <f aca="false">IF('VALOR POR PL'!Q39="",'VALOR POR PL'!C39,'VALOR POR PL'!Q39)</f>
        <v>29</v>
      </c>
      <c r="B75" s="47" t="str">
        <f aca="false">B33</f>
        <v>REVESTIMENTOS DE MASSA EM PAREDES</v>
      </c>
      <c r="C75" s="64" t="n">
        <f aca="false">IFERROR(MATCH(A75,'CURVA PREVISION'!$B$1:$B$3000,0),"")</f>
        <v>633</v>
      </c>
      <c r="D75" s="131" t="n">
        <f aca="false">IF(OR($C75="",$B$2="",$D$2=0),0,IF(D$3&lt;0,0,N(INDEX('CURVA PREVISION'!$A$1:$KZ$3000,$C75,11+3*MIN(D$3,$D$2-1)))))</f>
        <v>0</v>
      </c>
      <c r="E75" s="131" t="n">
        <f aca="false">IF(OR($C75="",$B$2="",$D$2=0),0,IF(E$3&lt;0,0,N(INDEX('CURVA PREVISION'!$A$1:$KZ$3000,$C75,11+3*MIN(E$3,$D$2-1)))))</f>
        <v>0</v>
      </c>
      <c r="F75" s="131" t="n">
        <f aca="false">IF(OR($C75="",$B$2="",$D$2=0),0,IF(F$3&lt;0,0,N(INDEX('CURVA PREVISION'!$A$1:$KZ$3000,$C75,11+3*MIN(F$3,$D$2-1)))))</f>
        <v>0</v>
      </c>
      <c r="G75" s="131" t="n">
        <f aca="false">IF(OR($C75="",$B$2="",$D$2=0),0,IF(G$3&lt;0,0,N(INDEX('CURVA PREVISION'!$A$1:$KZ$3000,$C75,11+3*MIN(G$3,$D$2-1)))))</f>
        <v>0</v>
      </c>
      <c r="H75" s="131" t="n">
        <f aca="false">IF(OR($C75="",$B$2="",$D$2=0),0,IF(H$3&lt;0,0,N(INDEX('CURVA PREVISION'!$A$1:$KZ$3000,$C75,11+3*MIN(H$3,$D$2-1)))))</f>
        <v>0</v>
      </c>
      <c r="I75" s="131" t="n">
        <f aca="false">IF(OR($C75="",$B$2="",$D$2=0),0,IF(I$3&lt;0,0,N(INDEX('CURVA PREVISION'!$A$1:$KZ$3000,$C75,11+3*MIN(I$3,$D$2-1)))))</f>
        <v>0</v>
      </c>
      <c r="J75" s="131" t="n">
        <f aca="false">IF(OR($C75="",$B$2="",$D$2=0),0,IF(J$3&lt;0,0,N(INDEX('CURVA PREVISION'!$A$1:$KZ$3000,$C75,11+3*MIN(J$3,$D$2-1)))))</f>
        <v>0</v>
      </c>
      <c r="K75" s="131" t="n">
        <f aca="false">IF(OR($C75="",$B$2="",$D$2=0),0,IF(K$3&lt;0,0,N(INDEX('CURVA PREVISION'!$A$1:$KZ$3000,$C75,11+3*MIN(K$3,$D$2-1)))))</f>
        <v>0</v>
      </c>
      <c r="L75" s="131" t="n">
        <f aca="false">IF(OR($C75="",$B$2="",$D$2=0),0,IF(L$3&lt;0,0,N(INDEX('CURVA PREVISION'!$A$1:$KZ$3000,$C75,11+3*MIN(L$3,$D$2-1)))))</f>
        <v>0</v>
      </c>
      <c r="M75" s="131" t="n">
        <f aca="false">IF(OR($C75="",$B$2="",$D$2=0),0,IF(M$3&lt;0,0,N(INDEX('CURVA PREVISION'!$A$1:$KZ$3000,$C75,11+3*MIN(M$3,$D$2-1)))))</f>
        <v>0</v>
      </c>
      <c r="N75" s="131" t="n">
        <f aca="false">IF(OR($C75="",$B$2="",$D$2=0),0,IF(N$3&lt;0,0,N(INDEX('CURVA PREVISION'!$A$1:$KZ$3000,$C75,11+3*MIN(N$3,$D$2-1)))))</f>
        <v>0</v>
      </c>
      <c r="O75" s="131" t="n">
        <f aca="false">IF(OR($C75="",$B$2="",$D$2=0),0,IF(O$3&lt;0,0,N(INDEX('CURVA PREVISION'!$A$1:$KZ$3000,$C75,11+3*MIN(O$3,$D$2-1)))))</f>
        <v>0</v>
      </c>
      <c r="P75" s="131" t="n">
        <f aca="false">IF(OR($C75="",$B$2="",$D$2=0),0,IF(P$3&lt;0,0,N(INDEX('CURVA PREVISION'!$A$1:$KZ$3000,$C75,11+3*MIN(P$3,$D$2-1)))))</f>
        <v>0</v>
      </c>
      <c r="Q75" s="131" t="n">
        <f aca="false">IF(OR($C75="",$B$2="",$D$2=0),0,IF(Q$3&lt;0,0,N(INDEX('CURVA PREVISION'!$A$1:$KZ$3000,$C75,11+3*MIN(Q$3,$D$2-1)))))</f>
        <v>0</v>
      </c>
      <c r="R75" s="131" t="n">
        <f aca="false">IF(OR($C75="",$B$2="",$D$2=0),0,IF(R$3&lt;0,0,N(INDEX('CURVA PREVISION'!$A$1:$KZ$3000,$C75,11+3*MIN(R$3,$D$2-1)))))</f>
        <v>0</v>
      </c>
      <c r="S75" s="131" t="n">
        <f aca="false">IF(OR($C75="",$B$2="",$D$2=0),0,IF(S$3&lt;0,0,N(INDEX('CURVA PREVISION'!$A$1:$KZ$3000,$C75,11+3*MIN(S$3,$D$2-1)))))</f>
        <v>0</v>
      </c>
      <c r="T75" s="131" t="n">
        <f aca="false">IF(OR($C75="",$B$2="",$D$2=0),0,IF(T$3&lt;0,0,N(INDEX('CURVA PREVISION'!$A$1:$KZ$3000,$C75,11+3*MIN(T$3,$D$2-1)))))</f>
        <v>0</v>
      </c>
      <c r="U75" s="131" t="n">
        <f aca="false">IF(OR($C75="",$B$2="",$D$2=0),0,IF(U$3&lt;0,0,N(INDEX('CURVA PREVISION'!$A$1:$KZ$3000,$C75,11+3*MIN(U$3,$D$2-1)))))</f>
        <v>0</v>
      </c>
      <c r="V75" s="131" t="n">
        <f aca="false">IF(OR($C75="",$B$2="",$D$2=0),0,IF(V$3&lt;0,0,N(INDEX('CURVA PREVISION'!$A$1:$KZ$3000,$C75,11+3*MIN(V$3,$D$2-1)))))</f>
        <v>0</v>
      </c>
      <c r="W75" s="131" t="n">
        <f aca="false">IF(OR($C75="",$B$2="",$D$2=0),0,IF(W$3&lt;0,0,N(INDEX('CURVA PREVISION'!$A$1:$KZ$3000,$C75,11+3*MIN(W$3,$D$2-1)))))</f>
        <v>0</v>
      </c>
      <c r="X75" s="131" t="n">
        <f aca="false">IF(OR($C75="",$B$2="",$D$2=0),0,IF(X$3&lt;0,0,N(INDEX('CURVA PREVISION'!$A$1:$KZ$3000,$C75,11+3*MIN(X$3,$D$2-1)))))</f>
        <v>0</v>
      </c>
      <c r="Y75" s="131" t="n">
        <f aca="false">IF(OR($C75="",$B$2="",$D$2=0),0,IF(Y$3&lt;0,0,N(INDEX('CURVA PREVISION'!$A$1:$KZ$3000,$C75,11+3*MIN(Y$3,$D$2-1)))))</f>
        <v>0</v>
      </c>
      <c r="Z75" s="131" t="n">
        <f aca="false">IF(OR($C75="",$B$2="",$D$2=0),0,IF(Z$3&lt;0,0,N(INDEX('CURVA PREVISION'!$A$1:$KZ$3000,$C75,11+3*MIN(Z$3,$D$2-1)))))</f>
        <v>0</v>
      </c>
      <c r="AA75" s="131" t="n">
        <f aca="false">IF(OR($C75="",$B$2="",$D$2=0),0,IF(AA$3&lt;0,0,N(INDEX('CURVA PREVISION'!$A$1:$KZ$3000,$C75,11+3*MIN(AA$3,$D$2-1)))))</f>
        <v>0</v>
      </c>
      <c r="AB75" s="131" t="n">
        <f aca="false">IF(OR($C75="",$B$2="",$D$2=0),0,IF(AB$3&lt;0,0,N(INDEX('CURVA PREVISION'!$A$1:$KZ$3000,$C75,11+3*MIN(AB$3,$D$2-1)))))</f>
        <v>0</v>
      </c>
      <c r="AC75" s="131" t="n">
        <f aca="false">IF(OR($C75="",$B$2="",$D$2=0),0,IF(AC$3&lt;0,0,N(INDEX('CURVA PREVISION'!$A$1:$KZ$3000,$C75,11+3*MIN(AC$3,$D$2-1)))))</f>
        <v>0</v>
      </c>
      <c r="AD75" s="131" t="n">
        <f aca="false">IF(OR($C75="",$B$2="",$D$2=0),0,IF(AD$3&lt;0,0,N(INDEX('CURVA PREVISION'!$A$1:$KZ$3000,$C75,11+3*MIN(AD$3,$D$2-1)))))</f>
        <v>0</v>
      </c>
      <c r="AE75" s="131" t="n">
        <f aca="false">IF(OR($C75="",$B$2="",$D$2=0),0,IF(AE$3&lt;0,0,N(INDEX('CURVA PREVISION'!$A$1:$KZ$3000,$C75,11+3*MIN(AE$3,$D$2-1)))))</f>
        <v>0</v>
      </c>
      <c r="AF75" s="131" t="n">
        <f aca="false">IF(OR($C75="",$B$2="",$D$2=0),0,IF(AF$3&lt;0,0,N(INDEX('CURVA PREVISION'!$A$1:$KZ$3000,$C75,11+3*MIN(AF$3,$D$2-1)))))</f>
        <v>0</v>
      </c>
      <c r="AG75" s="131" t="n">
        <f aca="false">IF(OR($C75="",$B$2="",$D$2=0),0,IF(AG$3&lt;0,0,N(INDEX('CURVA PREVISION'!$A$1:$KZ$3000,$C75,11+3*MIN(AG$3,$D$2-1)))))</f>
        <v>0</v>
      </c>
      <c r="AH75" s="131" t="n">
        <f aca="false">IF(OR($C75="",$B$2="",$D$2=0),0,IF(AH$3&lt;0,0,N(INDEX('CURVA PREVISION'!$A$1:$KZ$3000,$C75,11+3*MIN(AH$3,$D$2-1)))))</f>
        <v>0</v>
      </c>
      <c r="AI75" s="131" t="n">
        <f aca="false">IF(OR($C75="",$B$2="",$D$2=0),0,IF(AI$3&lt;0,0,N(INDEX('CURVA PREVISION'!$A$1:$KZ$3000,$C75,11+3*MIN(AI$3,$D$2-1)))))</f>
        <v>0</v>
      </c>
      <c r="AJ75" s="131" t="n">
        <f aca="false">IF(OR($C75="",$B$2="",$D$2=0),0,IF(AJ$3&lt;0,0,N(INDEX('CURVA PREVISION'!$A$1:$KZ$3000,$C75,11+3*MIN(AJ$3,$D$2-1)))))</f>
        <v>0</v>
      </c>
      <c r="AK75" s="131" t="n">
        <f aca="false">IF(OR($C75="",$B$2="",$D$2=0),0,IF(AK$3&lt;0,0,N(INDEX('CURVA PREVISION'!$A$1:$KZ$3000,$C75,11+3*MIN(AK$3,$D$2-1)))))</f>
        <v>0</v>
      </c>
      <c r="AL75" s="131" t="n">
        <f aca="false">IF(OR($C75="",$B$2="",$D$2=0),0,IF(AL$3&lt;0,0,N(INDEX('CURVA PREVISION'!$A$1:$KZ$3000,$C75,11+3*MIN(AL$3,$D$2-1)))))</f>
        <v>0</v>
      </c>
      <c r="AM75" s="131" t="n">
        <f aca="false">IF(OR($C75="",$B$2="",$D$2=0),0,IF(AM$3&lt;0,0,N(INDEX('CURVA PREVISION'!$A$1:$KZ$3000,$C75,11+3*MIN(AM$3,$D$2-1)))))</f>
        <v>0</v>
      </c>
      <c r="AN75" s="131" t="n">
        <f aca="false">IF(OR($C75="",$B$2="",$D$2=0),0,IF(AN$3&lt;0,0,N(INDEX('CURVA PREVISION'!$A$1:$KZ$3000,$C75,11+3*MIN(AN$3,$D$2-1)))))</f>
        <v>0</v>
      </c>
      <c r="AO75" s="131" t="n">
        <f aca="false">IF(OR($C75="",$B$2="",$D$2=0),0,IF(AO$3&lt;0,0,N(INDEX('CURVA PREVISION'!$A$1:$KZ$3000,$C75,11+3*MIN(AO$3,$D$2-1)))))</f>
        <v>0</v>
      </c>
      <c r="AP75" s="131" t="n">
        <f aca="false">IF(OR($C75="",$B$2="",$D$2=0),0,IF(AP$3&lt;0,0,N(INDEX('CURVA PREVISION'!$A$1:$KZ$3000,$C75,11+3*MIN(AP$3,$D$2-1)))))</f>
        <v>0</v>
      </c>
      <c r="AQ75" s="131" t="n">
        <f aca="false">IF(OR($C75="",$B$2="",$D$2=0),0,IF(AQ$3&lt;0,0,N(INDEX('CURVA PREVISION'!$A$1:$KZ$3000,$C75,11+3*MIN(AQ$3,$D$2-1)))))</f>
        <v>0</v>
      </c>
      <c r="AR75" s="131" t="n">
        <f aca="false">IF(OR($C75="",$B$2="",$D$2=0),0,IF(AR$3&lt;0,0,N(INDEX('CURVA PREVISION'!$A$1:$KZ$3000,$C75,11+3*MIN(AR$3,$D$2-1)))))</f>
        <v>0</v>
      </c>
      <c r="AS75" s="131" t="n">
        <f aca="false">IF(OR($C75="",$B$2="",$D$2=0),0,IF(AS$3&lt;0,0,N(INDEX('CURVA PREVISION'!$A$1:$KZ$3000,$C75,11+3*MIN(AS$3,$D$2-1)))))</f>
        <v>0</v>
      </c>
      <c r="AT75" s="131" t="n">
        <f aca="false">IF(OR($C75="",$B$2="",$D$2=0),0,IF(AT$3&lt;0,0,N(INDEX('CURVA PREVISION'!$A$1:$KZ$3000,$C75,11+3*MIN(AT$3,$D$2-1)))))</f>
        <v>0</v>
      </c>
      <c r="AU75" s="131" t="n">
        <f aca="false">IF(OR($C75="",$B$2="",$D$2=0),0,IF(AU$3&lt;0,0,N(INDEX('CURVA PREVISION'!$A$1:$KZ$3000,$C75,11+3*MIN(AU$3,$D$2-1)))))</f>
        <v>0</v>
      </c>
      <c r="AV75" s="131" t="n">
        <f aca="false">IF(OR($C75="",$B$2="",$D$2=0),0,IF(AV$3&lt;0,0,N(INDEX('CURVA PREVISION'!$A$1:$KZ$3000,$C75,11+3*MIN(AV$3,$D$2-1)))))</f>
        <v>0</v>
      </c>
      <c r="AW75" s="131" t="n">
        <f aca="false">IF(OR($C75="",$B$2="",$D$2=0),0,IF(AW$3&lt;0,0,N(INDEX('CURVA PREVISION'!$A$1:$KZ$3000,$C75,11+3*MIN(AW$3,$D$2-1)))))</f>
        <v>0</v>
      </c>
      <c r="AX75" s="131" t="n">
        <f aca="false">IF(OR($C75="",$B$2="",$D$2=0),0,IF(AX$3&lt;0,0,N(INDEX('CURVA PREVISION'!$A$1:$KZ$3000,$C75,11+3*MIN(AX$3,$D$2-1)))))</f>
        <v>0</v>
      </c>
      <c r="AY75" s="131" t="n">
        <f aca="false">IF(OR($C75="",$B$2="",$D$2=0),0,IF(AY$3&lt;0,0,N(INDEX('CURVA PREVISION'!$A$1:$KZ$3000,$C75,11+3*MIN(AY$3,$D$2-1)))))</f>
        <v>0</v>
      </c>
      <c r="AZ75" s="131" t="n">
        <f aca="false">IF(OR($C75="",$B$2="",$D$2=0),0,IF(AZ$3&lt;0,0,N(INDEX('CURVA PREVISION'!$A$1:$KZ$3000,$C75,11+3*MIN(AZ$3,$D$2-1)))))</f>
        <v>0</v>
      </c>
      <c r="BA75" s="131" t="n">
        <f aca="false">IF(OR($C75="",$B$2="",$D$2=0),0,IF(BA$3&lt;0,0,N(INDEX('CURVA PREVISION'!$A$1:$KZ$3000,$C75,11+3*MIN(BA$3,$D$2-1)))))</f>
        <v>0</v>
      </c>
      <c r="BB75" s="131" t="n">
        <f aca="false">IF(OR($C75="",$B$2="",$D$2=0),0,IF(BB$3&lt;0,0,N(INDEX('CURVA PREVISION'!$A$1:$KZ$3000,$C75,11+3*MIN(BB$3,$D$2-1)))))</f>
        <v>0</v>
      </c>
      <c r="BC75" s="131" t="n">
        <f aca="false">IF(OR($C75="",$B$2="",$D$2=0),0,IF(BC$3&lt;0,0,N(INDEX('CURVA PREVISION'!$A$1:$KZ$3000,$C75,11+3*MIN(BC$3,$D$2-1)))))</f>
        <v>0</v>
      </c>
      <c r="BD75" s="131" t="n">
        <f aca="false">IF(OR($C75="",$B$2="",$D$2=0),0,IF(BD$3&lt;0,0,N(INDEX('CURVA PREVISION'!$A$1:$KZ$3000,$C75,11+3*MIN(BD$3,$D$2-1)))))</f>
        <v>0</v>
      </c>
      <c r="BE75" s="131" t="n">
        <f aca="false">IF(OR($C75="",$B$2="",$D$2=0),0,IF(BE$3&lt;0,0,N(INDEX('CURVA PREVISION'!$A$1:$KZ$3000,$C75,11+3*MIN(BE$3,$D$2-1)))))</f>
        <v>0</v>
      </c>
      <c r="BF75" s="131" t="n">
        <f aca="false">IF(OR($C75="",$B$2="",$D$2=0),0,IF(BF$3&lt;0,0,N(INDEX('CURVA PREVISION'!$A$1:$KZ$3000,$C75,11+3*MIN(BF$3,$D$2-1)))))</f>
        <v>0</v>
      </c>
      <c r="BG75" s="131" t="n">
        <f aca="false">IF(OR($C75="",$B$2="",$D$2=0),0,IF(BG$3&lt;0,0,N(INDEX('CURVA PREVISION'!$A$1:$KZ$3000,$C75,11+3*MIN(BG$3,$D$2-1)))))</f>
        <v>0</v>
      </c>
      <c r="BH75" s="131" t="n">
        <f aca="false">IF(OR($C75="",$B$2="",$D$2=0),0,IF(BH$3&lt;0,0,N(INDEX('CURVA PREVISION'!$A$1:$KZ$3000,$C75,11+3*MIN(BH$3,$D$2-1)))))</f>
        <v>0</v>
      </c>
      <c r="BI75" s="131" t="n">
        <f aca="false">IF(OR($C75="",$B$2="",$D$2=0),0,IF(BI$3&lt;0,0,N(INDEX('CURVA PREVISION'!$A$1:$KZ$3000,$C75,11+3*MIN(BI$3,$D$2-1)))))</f>
        <v>0</v>
      </c>
      <c r="BJ75" s="131" t="n">
        <f aca="false">IF(OR($C75="",$B$2="",$D$2=0),0,IF(BJ$3&lt;0,0,N(INDEX('CURVA PREVISION'!$A$1:$KZ$3000,$C75,11+3*MIN(BJ$3,$D$2-1)))))</f>
        <v>0</v>
      </c>
      <c r="BK75" s="131" t="n">
        <f aca="false">IF(OR($C75="",$B$2="",$D$2=0),0,IF(BK$3&lt;0,0,N(INDEX('CURVA PREVISION'!$A$1:$KZ$3000,$C75,11+3*MIN(BK$3,$D$2-1)))))</f>
        <v>0</v>
      </c>
      <c r="BL75" s="131" t="n">
        <f aca="false">IF(OR($C75="",$B$2="",$D$2=0),0,IF(BL$3&lt;0,0,N(INDEX('CURVA PREVISION'!$A$1:$KZ$3000,$C75,11+3*MIN(BL$3,$D$2-1)))))</f>
        <v>0</v>
      </c>
      <c r="BM75" s="131" t="n">
        <f aca="false">IF(OR($C75="",$B$2="",$D$2=0),0,IF(BM$3&lt;0,0,N(INDEX('CURVA PREVISION'!$A$1:$KZ$3000,$C75,11+3*MIN(BM$3,$D$2-1)))))</f>
        <v>0</v>
      </c>
      <c r="BN75" s="131" t="n">
        <f aca="false">IF(OR($C75="",$B$2="",$D$2=0),0,IF(BN$3&lt;0,0,N(INDEX('CURVA PREVISION'!$A$1:$KZ$3000,$C75,11+3*MIN(BN$3,$D$2-1)))))</f>
        <v>0</v>
      </c>
      <c r="BO75" s="131" t="n">
        <f aca="false">IF(OR($C75="",$B$2="",$D$2=0),0,IF(BO$3&lt;0,0,N(INDEX('CURVA PREVISION'!$A$1:$KZ$3000,$C75,11+3*MIN(BO$3,$D$2-1)))))</f>
        <v>0</v>
      </c>
      <c r="BP75" s="131" t="n">
        <f aca="false">IF(OR($C75="",$B$2="",$D$2=0),0,IF(BP$3&lt;0,0,N(INDEX('CURVA PREVISION'!$A$1:$KZ$3000,$C75,11+3*MIN(BP$3,$D$2-1)))))</f>
        <v>0</v>
      </c>
      <c r="BQ75" s="131" t="n">
        <f aca="false">IF(OR($C75="",$B$2="",$D$2=0),0,IF(BQ$3&lt;0,0,N(INDEX('CURVA PREVISION'!$A$1:$KZ$3000,$C75,11+3*MIN(BQ$3,$D$2-1)))))</f>
        <v>0</v>
      </c>
      <c r="BR75" s="131" t="n">
        <f aca="false">IF(OR($C75="",$B$2="",$D$2=0),0,IF(BR$3&lt;0,0,N(INDEX('CURVA PREVISION'!$A$1:$KZ$3000,$C75,11+3*MIN(BR$3,$D$2-1)))))</f>
        <v>0</v>
      </c>
      <c r="BS75" s="131" t="n">
        <f aca="false">IF(OR($C75="",$B$2="",$D$2=0),0,IF(BS$3&lt;0,0,N(INDEX('CURVA PREVISION'!$A$1:$KZ$3000,$C75,11+3*MIN(BS$3,$D$2-1)))))</f>
        <v>0</v>
      </c>
      <c r="BT75" s="131" t="n">
        <f aca="false">IF(OR($C75="",$B$2="",$D$2=0),0,IF(BT$3&lt;0,0,N(INDEX('CURVA PREVISION'!$A$1:$KZ$3000,$C75,11+3*MIN(BT$3,$D$2-1)))))</f>
        <v>0</v>
      </c>
      <c r="BU75" s="131" t="n">
        <f aca="false">IF(OR($C75="",$B$2="",$D$2=0),0,IF(BU$3&lt;0,0,N(INDEX('CURVA PREVISION'!$A$1:$KZ$3000,$C75,11+3*MIN(BU$3,$D$2-1)))))</f>
        <v>0</v>
      </c>
      <c r="BV75" s="131" t="n">
        <f aca="false">IF(OR($C75="",$B$2="",$D$2=0),0,IF(BV$3&lt;0,0,N(INDEX('CURVA PREVISION'!$A$1:$KZ$3000,$C75,11+3*MIN(BV$3,$D$2-1)))))</f>
        <v>0</v>
      </c>
      <c r="BW75" s="131" t="n">
        <f aca="false">IF(OR($C75="",$B$2="",$D$2=0),0,IF(BW$3&lt;0,0,N(INDEX('CURVA PREVISION'!$A$1:$KZ$3000,$C75,11+3*MIN(BW$3,$D$2-1)))))</f>
        <v>0</v>
      </c>
    </row>
    <row r="76" customFormat="false" ht="15" hidden="false" customHeight="false" outlineLevel="0" collapsed="false">
      <c r="A76" s="57" t="str">
        <f aca="false">IF('VALOR POR PL'!Q40="",'VALOR POR PL'!C40,'VALOR POR PL'!Q40)</f>
        <v>30</v>
      </c>
      <c r="B76" s="47" t="str">
        <f aca="false">B34</f>
        <v>REVESTIMENTOS DE ACABAMENTO</v>
      </c>
      <c r="C76" s="64" t="n">
        <f aca="false">IFERROR(MATCH(A76,'CURVA PREVISION'!$B$1:$B$3000,0),"")</f>
        <v>640</v>
      </c>
      <c r="D76" s="131" t="n">
        <f aca="false">IF(OR($C76="",$B$2="",$D$2=0),0,IF(D$3&lt;0,0,N(INDEX('CURVA PREVISION'!$A$1:$KZ$3000,$C76,11+3*MIN(D$3,$D$2-1)))))</f>
        <v>0</v>
      </c>
      <c r="E76" s="131" t="n">
        <f aca="false">IF(OR($C76="",$B$2="",$D$2=0),0,IF(E$3&lt;0,0,N(INDEX('CURVA PREVISION'!$A$1:$KZ$3000,$C76,11+3*MIN(E$3,$D$2-1)))))</f>
        <v>0</v>
      </c>
      <c r="F76" s="131" t="n">
        <f aca="false">IF(OR($C76="",$B$2="",$D$2=0),0,IF(F$3&lt;0,0,N(INDEX('CURVA PREVISION'!$A$1:$KZ$3000,$C76,11+3*MIN(F$3,$D$2-1)))))</f>
        <v>0</v>
      </c>
      <c r="G76" s="131" t="n">
        <f aca="false">IF(OR($C76="",$B$2="",$D$2=0),0,IF(G$3&lt;0,0,N(INDEX('CURVA PREVISION'!$A$1:$KZ$3000,$C76,11+3*MIN(G$3,$D$2-1)))))</f>
        <v>0</v>
      </c>
      <c r="H76" s="131" t="n">
        <f aca="false">IF(OR($C76="",$B$2="",$D$2=0),0,IF(H$3&lt;0,0,N(INDEX('CURVA PREVISION'!$A$1:$KZ$3000,$C76,11+3*MIN(H$3,$D$2-1)))))</f>
        <v>0</v>
      </c>
      <c r="I76" s="131" t="n">
        <f aca="false">IF(OR($C76="",$B$2="",$D$2=0),0,IF(I$3&lt;0,0,N(INDEX('CURVA PREVISION'!$A$1:$KZ$3000,$C76,11+3*MIN(I$3,$D$2-1)))))</f>
        <v>0</v>
      </c>
      <c r="J76" s="131" t="n">
        <f aca="false">IF(OR($C76="",$B$2="",$D$2=0),0,IF(J$3&lt;0,0,N(INDEX('CURVA PREVISION'!$A$1:$KZ$3000,$C76,11+3*MIN(J$3,$D$2-1)))))</f>
        <v>0</v>
      </c>
      <c r="K76" s="131" t="n">
        <f aca="false">IF(OR($C76="",$B$2="",$D$2=0),0,IF(K$3&lt;0,0,N(INDEX('CURVA PREVISION'!$A$1:$KZ$3000,$C76,11+3*MIN(K$3,$D$2-1)))))</f>
        <v>0</v>
      </c>
      <c r="L76" s="131" t="n">
        <f aca="false">IF(OR($C76="",$B$2="",$D$2=0),0,IF(L$3&lt;0,0,N(INDEX('CURVA PREVISION'!$A$1:$KZ$3000,$C76,11+3*MIN(L$3,$D$2-1)))))</f>
        <v>0</v>
      </c>
      <c r="M76" s="131" t="n">
        <f aca="false">IF(OR($C76="",$B$2="",$D$2=0),0,IF(M$3&lt;0,0,N(INDEX('CURVA PREVISION'!$A$1:$KZ$3000,$C76,11+3*MIN(M$3,$D$2-1)))))</f>
        <v>0</v>
      </c>
      <c r="N76" s="131" t="n">
        <f aca="false">IF(OR($C76="",$B$2="",$D$2=0),0,IF(N$3&lt;0,0,N(INDEX('CURVA PREVISION'!$A$1:$KZ$3000,$C76,11+3*MIN(N$3,$D$2-1)))))</f>
        <v>0</v>
      </c>
      <c r="O76" s="131" t="n">
        <f aca="false">IF(OR($C76="",$B$2="",$D$2=0),0,IF(O$3&lt;0,0,N(INDEX('CURVA PREVISION'!$A$1:$KZ$3000,$C76,11+3*MIN(O$3,$D$2-1)))))</f>
        <v>0</v>
      </c>
      <c r="P76" s="131" t="n">
        <f aca="false">IF(OR($C76="",$B$2="",$D$2=0),0,IF(P$3&lt;0,0,N(INDEX('CURVA PREVISION'!$A$1:$KZ$3000,$C76,11+3*MIN(P$3,$D$2-1)))))</f>
        <v>0</v>
      </c>
      <c r="Q76" s="131" t="n">
        <f aca="false">IF(OR($C76="",$B$2="",$D$2=0),0,IF(Q$3&lt;0,0,N(INDEX('CURVA PREVISION'!$A$1:$KZ$3000,$C76,11+3*MIN(Q$3,$D$2-1)))))</f>
        <v>0</v>
      </c>
      <c r="R76" s="131" t="n">
        <f aca="false">IF(OR($C76="",$B$2="",$D$2=0),0,IF(R$3&lt;0,0,N(INDEX('CURVA PREVISION'!$A$1:$KZ$3000,$C76,11+3*MIN(R$3,$D$2-1)))))</f>
        <v>0</v>
      </c>
      <c r="S76" s="131" t="n">
        <f aca="false">IF(OR($C76="",$B$2="",$D$2=0),0,IF(S$3&lt;0,0,N(INDEX('CURVA PREVISION'!$A$1:$KZ$3000,$C76,11+3*MIN(S$3,$D$2-1)))))</f>
        <v>0</v>
      </c>
      <c r="T76" s="131" t="n">
        <f aca="false">IF(OR($C76="",$B$2="",$D$2=0),0,IF(T$3&lt;0,0,N(INDEX('CURVA PREVISION'!$A$1:$KZ$3000,$C76,11+3*MIN(T$3,$D$2-1)))))</f>
        <v>0</v>
      </c>
      <c r="U76" s="131" t="n">
        <f aca="false">IF(OR($C76="",$B$2="",$D$2=0),0,IF(U$3&lt;0,0,N(INDEX('CURVA PREVISION'!$A$1:$KZ$3000,$C76,11+3*MIN(U$3,$D$2-1)))))</f>
        <v>0</v>
      </c>
      <c r="V76" s="131" t="n">
        <f aca="false">IF(OR($C76="",$B$2="",$D$2=0),0,IF(V$3&lt;0,0,N(INDEX('CURVA PREVISION'!$A$1:$KZ$3000,$C76,11+3*MIN(V$3,$D$2-1)))))</f>
        <v>0</v>
      </c>
      <c r="W76" s="131" t="n">
        <f aca="false">IF(OR($C76="",$B$2="",$D$2=0),0,IF(W$3&lt;0,0,N(INDEX('CURVA PREVISION'!$A$1:$KZ$3000,$C76,11+3*MIN(W$3,$D$2-1)))))</f>
        <v>0</v>
      </c>
      <c r="X76" s="131" t="n">
        <f aca="false">IF(OR($C76="",$B$2="",$D$2=0),0,IF(X$3&lt;0,0,N(INDEX('CURVA PREVISION'!$A$1:$KZ$3000,$C76,11+3*MIN(X$3,$D$2-1)))))</f>
        <v>0</v>
      </c>
      <c r="Y76" s="131" t="n">
        <f aca="false">IF(OR($C76="",$B$2="",$D$2=0),0,IF(Y$3&lt;0,0,N(INDEX('CURVA PREVISION'!$A$1:$KZ$3000,$C76,11+3*MIN(Y$3,$D$2-1)))))</f>
        <v>0</v>
      </c>
      <c r="Z76" s="131" t="n">
        <f aca="false">IF(OR($C76="",$B$2="",$D$2=0),0,IF(Z$3&lt;0,0,N(INDEX('CURVA PREVISION'!$A$1:$KZ$3000,$C76,11+3*MIN(Z$3,$D$2-1)))))</f>
        <v>0</v>
      </c>
      <c r="AA76" s="131" t="n">
        <f aca="false">IF(OR($C76="",$B$2="",$D$2=0),0,IF(AA$3&lt;0,0,N(INDEX('CURVA PREVISION'!$A$1:$KZ$3000,$C76,11+3*MIN(AA$3,$D$2-1)))))</f>
        <v>0</v>
      </c>
      <c r="AB76" s="131" t="n">
        <f aca="false">IF(OR($C76="",$B$2="",$D$2=0),0,IF(AB$3&lt;0,0,N(INDEX('CURVA PREVISION'!$A$1:$KZ$3000,$C76,11+3*MIN(AB$3,$D$2-1)))))</f>
        <v>0</v>
      </c>
      <c r="AC76" s="131" t="n">
        <f aca="false">IF(OR($C76="",$B$2="",$D$2=0),0,IF(AC$3&lt;0,0,N(INDEX('CURVA PREVISION'!$A$1:$KZ$3000,$C76,11+3*MIN(AC$3,$D$2-1)))))</f>
        <v>0</v>
      </c>
      <c r="AD76" s="131" t="n">
        <f aca="false">IF(OR($C76="",$B$2="",$D$2=0),0,IF(AD$3&lt;0,0,N(INDEX('CURVA PREVISION'!$A$1:$KZ$3000,$C76,11+3*MIN(AD$3,$D$2-1)))))</f>
        <v>0</v>
      </c>
      <c r="AE76" s="131" t="n">
        <f aca="false">IF(OR($C76="",$B$2="",$D$2=0),0,IF(AE$3&lt;0,0,N(INDEX('CURVA PREVISION'!$A$1:$KZ$3000,$C76,11+3*MIN(AE$3,$D$2-1)))))</f>
        <v>0</v>
      </c>
      <c r="AF76" s="131" t="n">
        <f aca="false">IF(OR($C76="",$B$2="",$D$2=0),0,IF(AF$3&lt;0,0,N(INDEX('CURVA PREVISION'!$A$1:$KZ$3000,$C76,11+3*MIN(AF$3,$D$2-1)))))</f>
        <v>0</v>
      </c>
      <c r="AG76" s="131" t="n">
        <f aca="false">IF(OR($C76="",$B$2="",$D$2=0),0,IF(AG$3&lt;0,0,N(INDEX('CURVA PREVISION'!$A$1:$KZ$3000,$C76,11+3*MIN(AG$3,$D$2-1)))))</f>
        <v>0</v>
      </c>
      <c r="AH76" s="131" t="n">
        <f aca="false">IF(OR($C76="",$B$2="",$D$2=0),0,IF(AH$3&lt;0,0,N(INDEX('CURVA PREVISION'!$A$1:$KZ$3000,$C76,11+3*MIN(AH$3,$D$2-1)))))</f>
        <v>0</v>
      </c>
      <c r="AI76" s="131" t="n">
        <f aca="false">IF(OR($C76="",$B$2="",$D$2=0),0,IF(AI$3&lt;0,0,N(INDEX('CURVA PREVISION'!$A$1:$KZ$3000,$C76,11+3*MIN(AI$3,$D$2-1)))))</f>
        <v>0</v>
      </c>
      <c r="AJ76" s="131" t="n">
        <f aca="false">IF(OR($C76="",$B$2="",$D$2=0),0,IF(AJ$3&lt;0,0,N(INDEX('CURVA PREVISION'!$A$1:$KZ$3000,$C76,11+3*MIN(AJ$3,$D$2-1)))))</f>
        <v>0</v>
      </c>
      <c r="AK76" s="131" t="n">
        <f aca="false">IF(OR($C76="",$B$2="",$D$2=0),0,IF(AK$3&lt;0,0,N(INDEX('CURVA PREVISION'!$A$1:$KZ$3000,$C76,11+3*MIN(AK$3,$D$2-1)))))</f>
        <v>0</v>
      </c>
      <c r="AL76" s="131" t="n">
        <f aca="false">IF(OR($C76="",$B$2="",$D$2=0),0,IF(AL$3&lt;0,0,N(INDEX('CURVA PREVISION'!$A$1:$KZ$3000,$C76,11+3*MIN(AL$3,$D$2-1)))))</f>
        <v>0</v>
      </c>
      <c r="AM76" s="131" t="n">
        <f aca="false">IF(OR($C76="",$B$2="",$D$2=0),0,IF(AM$3&lt;0,0,N(INDEX('CURVA PREVISION'!$A$1:$KZ$3000,$C76,11+3*MIN(AM$3,$D$2-1)))))</f>
        <v>0</v>
      </c>
      <c r="AN76" s="131" t="n">
        <f aca="false">IF(OR($C76="",$B$2="",$D$2=0),0,IF(AN$3&lt;0,0,N(INDEX('CURVA PREVISION'!$A$1:$KZ$3000,$C76,11+3*MIN(AN$3,$D$2-1)))))</f>
        <v>0</v>
      </c>
      <c r="AO76" s="131" t="n">
        <f aca="false">IF(OR($C76="",$B$2="",$D$2=0),0,IF(AO$3&lt;0,0,N(INDEX('CURVA PREVISION'!$A$1:$KZ$3000,$C76,11+3*MIN(AO$3,$D$2-1)))))</f>
        <v>0</v>
      </c>
      <c r="AP76" s="131" t="n">
        <f aca="false">IF(OR($C76="",$B$2="",$D$2=0),0,IF(AP$3&lt;0,0,N(INDEX('CURVA PREVISION'!$A$1:$KZ$3000,$C76,11+3*MIN(AP$3,$D$2-1)))))</f>
        <v>0</v>
      </c>
      <c r="AQ76" s="131" t="n">
        <f aca="false">IF(OR($C76="",$B$2="",$D$2=0),0,IF(AQ$3&lt;0,0,N(INDEX('CURVA PREVISION'!$A$1:$KZ$3000,$C76,11+3*MIN(AQ$3,$D$2-1)))))</f>
        <v>0</v>
      </c>
      <c r="AR76" s="131" t="n">
        <f aca="false">IF(OR($C76="",$B$2="",$D$2=0),0,IF(AR$3&lt;0,0,N(INDEX('CURVA PREVISION'!$A$1:$KZ$3000,$C76,11+3*MIN(AR$3,$D$2-1)))))</f>
        <v>0</v>
      </c>
      <c r="AS76" s="131" t="n">
        <f aca="false">IF(OR($C76="",$B$2="",$D$2=0),0,IF(AS$3&lt;0,0,N(INDEX('CURVA PREVISION'!$A$1:$KZ$3000,$C76,11+3*MIN(AS$3,$D$2-1)))))</f>
        <v>0</v>
      </c>
      <c r="AT76" s="131" t="n">
        <f aca="false">IF(OR($C76="",$B$2="",$D$2=0),0,IF(AT$3&lt;0,0,N(INDEX('CURVA PREVISION'!$A$1:$KZ$3000,$C76,11+3*MIN(AT$3,$D$2-1)))))</f>
        <v>0</v>
      </c>
      <c r="AU76" s="131" t="n">
        <f aca="false">IF(OR($C76="",$B$2="",$D$2=0),0,IF(AU$3&lt;0,0,N(INDEX('CURVA PREVISION'!$A$1:$KZ$3000,$C76,11+3*MIN(AU$3,$D$2-1)))))</f>
        <v>0</v>
      </c>
      <c r="AV76" s="131" t="n">
        <f aca="false">IF(OR($C76="",$B$2="",$D$2=0),0,IF(AV$3&lt;0,0,N(INDEX('CURVA PREVISION'!$A$1:$KZ$3000,$C76,11+3*MIN(AV$3,$D$2-1)))))</f>
        <v>0</v>
      </c>
      <c r="AW76" s="131" t="n">
        <f aca="false">IF(OR($C76="",$B$2="",$D$2=0),0,IF(AW$3&lt;0,0,N(INDEX('CURVA PREVISION'!$A$1:$KZ$3000,$C76,11+3*MIN(AW$3,$D$2-1)))))</f>
        <v>0</v>
      </c>
      <c r="AX76" s="131" t="n">
        <f aca="false">IF(OR($C76="",$B$2="",$D$2=0),0,IF(AX$3&lt;0,0,N(INDEX('CURVA PREVISION'!$A$1:$KZ$3000,$C76,11+3*MIN(AX$3,$D$2-1)))))</f>
        <v>0</v>
      </c>
      <c r="AY76" s="131" t="n">
        <f aca="false">IF(OR($C76="",$B$2="",$D$2=0),0,IF(AY$3&lt;0,0,N(INDEX('CURVA PREVISION'!$A$1:$KZ$3000,$C76,11+3*MIN(AY$3,$D$2-1)))))</f>
        <v>0</v>
      </c>
      <c r="AZ76" s="131" t="n">
        <f aca="false">IF(OR($C76="",$B$2="",$D$2=0),0,IF(AZ$3&lt;0,0,N(INDEX('CURVA PREVISION'!$A$1:$KZ$3000,$C76,11+3*MIN(AZ$3,$D$2-1)))))</f>
        <v>0</v>
      </c>
      <c r="BA76" s="131" t="n">
        <f aca="false">IF(OR($C76="",$B$2="",$D$2=0),0,IF(BA$3&lt;0,0,N(INDEX('CURVA PREVISION'!$A$1:$KZ$3000,$C76,11+3*MIN(BA$3,$D$2-1)))))</f>
        <v>0</v>
      </c>
      <c r="BB76" s="131" t="n">
        <f aca="false">IF(OR($C76="",$B$2="",$D$2=0),0,IF(BB$3&lt;0,0,N(INDEX('CURVA PREVISION'!$A$1:$KZ$3000,$C76,11+3*MIN(BB$3,$D$2-1)))))</f>
        <v>0</v>
      </c>
      <c r="BC76" s="131" t="n">
        <f aca="false">IF(OR($C76="",$B$2="",$D$2=0),0,IF(BC$3&lt;0,0,N(INDEX('CURVA PREVISION'!$A$1:$KZ$3000,$C76,11+3*MIN(BC$3,$D$2-1)))))</f>
        <v>0</v>
      </c>
      <c r="BD76" s="131" t="n">
        <f aca="false">IF(OR($C76="",$B$2="",$D$2=0),0,IF(BD$3&lt;0,0,N(INDEX('CURVA PREVISION'!$A$1:$KZ$3000,$C76,11+3*MIN(BD$3,$D$2-1)))))</f>
        <v>0</v>
      </c>
      <c r="BE76" s="131" t="n">
        <f aca="false">IF(OR($C76="",$B$2="",$D$2=0),0,IF(BE$3&lt;0,0,N(INDEX('CURVA PREVISION'!$A$1:$KZ$3000,$C76,11+3*MIN(BE$3,$D$2-1)))))</f>
        <v>0</v>
      </c>
      <c r="BF76" s="131" t="n">
        <f aca="false">IF(OR($C76="",$B$2="",$D$2=0),0,IF(BF$3&lt;0,0,N(INDEX('CURVA PREVISION'!$A$1:$KZ$3000,$C76,11+3*MIN(BF$3,$D$2-1)))))</f>
        <v>0</v>
      </c>
      <c r="BG76" s="131" t="n">
        <f aca="false">IF(OR($C76="",$B$2="",$D$2=0),0,IF(BG$3&lt;0,0,N(INDEX('CURVA PREVISION'!$A$1:$KZ$3000,$C76,11+3*MIN(BG$3,$D$2-1)))))</f>
        <v>0</v>
      </c>
      <c r="BH76" s="131" t="n">
        <f aca="false">IF(OR($C76="",$B$2="",$D$2=0),0,IF(BH$3&lt;0,0,N(INDEX('CURVA PREVISION'!$A$1:$KZ$3000,$C76,11+3*MIN(BH$3,$D$2-1)))))</f>
        <v>0</v>
      </c>
      <c r="BI76" s="131" t="n">
        <f aca="false">IF(OR($C76="",$B$2="",$D$2=0),0,IF(BI$3&lt;0,0,N(INDEX('CURVA PREVISION'!$A$1:$KZ$3000,$C76,11+3*MIN(BI$3,$D$2-1)))))</f>
        <v>0</v>
      </c>
      <c r="BJ76" s="131" t="n">
        <f aca="false">IF(OR($C76="",$B$2="",$D$2=0),0,IF(BJ$3&lt;0,0,N(INDEX('CURVA PREVISION'!$A$1:$KZ$3000,$C76,11+3*MIN(BJ$3,$D$2-1)))))</f>
        <v>0</v>
      </c>
      <c r="BK76" s="131" t="n">
        <f aca="false">IF(OR($C76="",$B$2="",$D$2=0),0,IF(BK$3&lt;0,0,N(INDEX('CURVA PREVISION'!$A$1:$KZ$3000,$C76,11+3*MIN(BK$3,$D$2-1)))))</f>
        <v>0</v>
      </c>
      <c r="BL76" s="131" t="n">
        <f aca="false">IF(OR($C76="",$B$2="",$D$2=0),0,IF(BL$3&lt;0,0,N(INDEX('CURVA PREVISION'!$A$1:$KZ$3000,$C76,11+3*MIN(BL$3,$D$2-1)))))</f>
        <v>0</v>
      </c>
      <c r="BM76" s="131" t="n">
        <f aca="false">IF(OR($C76="",$B$2="",$D$2=0),0,IF(BM$3&lt;0,0,N(INDEX('CURVA PREVISION'!$A$1:$KZ$3000,$C76,11+3*MIN(BM$3,$D$2-1)))))</f>
        <v>0</v>
      </c>
      <c r="BN76" s="131" t="n">
        <f aca="false">IF(OR($C76="",$B$2="",$D$2=0),0,IF(BN$3&lt;0,0,N(INDEX('CURVA PREVISION'!$A$1:$KZ$3000,$C76,11+3*MIN(BN$3,$D$2-1)))))</f>
        <v>0</v>
      </c>
      <c r="BO76" s="131" t="n">
        <f aca="false">IF(OR($C76="",$B$2="",$D$2=0),0,IF(BO$3&lt;0,0,N(INDEX('CURVA PREVISION'!$A$1:$KZ$3000,$C76,11+3*MIN(BO$3,$D$2-1)))))</f>
        <v>0</v>
      </c>
      <c r="BP76" s="131" t="n">
        <f aca="false">IF(OR($C76="",$B$2="",$D$2=0),0,IF(BP$3&lt;0,0,N(INDEX('CURVA PREVISION'!$A$1:$KZ$3000,$C76,11+3*MIN(BP$3,$D$2-1)))))</f>
        <v>0</v>
      </c>
      <c r="BQ76" s="131" t="n">
        <f aca="false">IF(OR($C76="",$B$2="",$D$2=0),0,IF(BQ$3&lt;0,0,N(INDEX('CURVA PREVISION'!$A$1:$KZ$3000,$C76,11+3*MIN(BQ$3,$D$2-1)))))</f>
        <v>0</v>
      </c>
      <c r="BR76" s="131" t="n">
        <f aca="false">IF(OR($C76="",$B$2="",$D$2=0),0,IF(BR$3&lt;0,0,N(INDEX('CURVA PREVISION'!$A$1:$KZ$3000,$C76,11+3*MIN(BR$3,$D$2-1)))))</f>
        <v>0</v>
      </c>
      <c r="BS76" s="131" t="n">
        <f aca="false">IF(OR($C76="",$B$2="",$D$2=0),0,IF(BS$3&lt;0,0,N(INDEX('CURVA PREVISION'!$A$1:$KZ$3000,$C76,11+3*MIN(BS$3,$D$2-1)))))</f>
        <v>0</v>
      </c>
      <c r="BT76" s="131" t="n">
        <f aca="false">IF(OR($C76="",$B$2="",$D$2=0),0,IF(BT$3&lt;0,0,N(INDEX('CURVA PREVISION'!$A$1:$KZ$3000,$C76,11+3*MIN(BT$3,$D$2-1)))))</f>
        <v>0</v>
      </c>
      <c r="BU76" s="131" t="n">
        <f aca="false">IF(OR($C76="",$B$2="",$D$2=0),0,IF(BU$3&lt;0,0,N(INDEX('CURVA PREVISION'!$A$1:$KZ$3000,$C76,11+3*MIN(BU$3,$D$2-1)))))</f>
        <v>0</v>
      </c>
      <c r="BV76" s="131" t="n">
        <f aca="false">IF(OR($C76="",$B$2="",$D$2=0),0,IF(BV$3&lt;0,0,N(INDEX('CURVA PREVISION'!$A$1:$KZ$3000,$C76,11+3*MIN(BV$3,$D$2-1)))))</f>
        <v>0</v>
      </c>
      <c r="BW76" s="131" t="n">
        <f aca="false">IF(OR($C76="",$B$2="",$D$2=0),0,IF(BW$3&lt;0,0,N(INDEX('CURVA PREVISION'!$A$1:$KZ$3000,$C76,11+3*MIN(BW$3,$D$2-1)))))</f>
        <v>0</v>
      </c>
    </row>
    <row r="77" customFormat="false" ht="15" hidden="false" customHeight="false" outlineLevel="0" collapsed="false">
      <c r="A77" s="57" t="str">
        <f aca="false">IF('VALOR POR PL'!Q41="",'VALOR POR PL'!C41,'VALOR POR PL'!Q41)</f>
        <v>31</v>
      </c>
      <c r="B77" s="47" t="str">
        <f aca="false">B35</f>
        <v>PAVIMENTAÇÃO</v>
      </c>
      <c r="C77" s="64" t="n">
        <f aca="false">IFERROR(MATCH(A77,'CURVA PREVISION'!$B$1:$B$3000,0),"")</f>
        <v>773</v>
      </c>
      <c r="D77" s="131" t="n">
        <f aca="false">IF(OR($C77="",$B$2="",$D$2=0),0,IF(D$3&lt;0,0,N(INDEX('CURVA PREVISION'!$A$1:$KZ$3000,$C77,11+3*MIN(D$3,$D$2-1)))))</f>
        <v>0</v>
      </c>
      <c r="E77" s="131" t="n">
        <f aca="false">IF(OR($C77="",$B$2="",$D$2=0),0,IF(E$3&lt;0,0,N(INDEX('CURVA PREVISION'!$A$1:$KZ$3000,$C77,11+3*MIN(E$3,$D$2-1)))))</f>
        <v>0</v>
      </c>
      <c r="F77" s="131" t="n">
        <f aca="false">IF(OR($C77="",$B$2="",$D$2=0),0,IF(F$3&lt;0,0,N(INDEX('CURVA PREVISION'!$A$1:$KZ$3000,$C77,11+3*MIN(F$3,$D$2-1)))))</f>
        <v>0</v>
      </c>
      <c r="G77" s="131" t="n">
        <f aca="false">IF(OR($C77="",$B$2="",$D$2=0),0,IF(G$3&lt;0,0,N(INDEX('CURVA PREVISION'!$A$1:$KZ$3000,$C77,11+3*MIN(G$3,$D$2-1)))))</f>
        <v>0</v>
      </c>
      <c r="H77" s="131" t="n">
        <f aca="false">IF(OR($C77="",$B$2="",$D$2=0),0,IF(H$3&lt;0,0,N(INDEX('CURVA PREVISION'!$A$1:$KZ$3000,$C77,11+3*MIN(H$3,$D$2-1)))))</f>
        <v>0</v>
      </c>
      <c r="I77" s="131" t="n">
        <f aca="false">IF(OR($C77="",$B$2="",$D$2=0),0,IF(I$3&lt;0,0,N(INDEX('CURVA PREVISION'!$A$1:$KZ$3000,$C77,11+3*MIN(I$3,$D$2-1)))))</f>
        <v>0</v>
      </c>
      <c r="J77" s="131" t="n">
        <f aca="false">IF(OR($C77="",$B$2="",$D$2=0),0,IF(J$3&lt;0,0,N(INDEX('CURVA PREVISION'!$A$1:$KZ$3000,$C77,11+3*MIN(J$3,$D$2-1)))))</f>
        <v>0</v>
      </c>
      <c r="K77" s="131" t="n">
        <f aca="false">IF(OR($C77="",$B$2="",$D$2=0),0,IF(K$3&lt;0,0,N(INDEX('CURVA PREVISION'!$A$1:$KZ$3000,$C77,11+3*MIN(K$3,$D$2-1)))))</f>
        <v>0</v>
      </c>
      <c r="L77" s="131" t="n">
        <f aca="false">IF(OR($C77="",$B$2="",$D$2=0),0,IF(L$3&lt;0,0,N(INDEX('CURVA PREVISION'!$A$1:$KZ$3000,$C77,11+3*MIN(L$3,$D$2-1)))))</f>
        <v>0</v>
      </c>
      <c r="M77" s="131" t="n">
        <f aca="false">IF(OR($C77="",$B$2="",$D$2=0),0,IF(M$3&lt;0,0,N(INDEX('CURVA PREVISION'!$A$1:$KZ$3000,$C77,11+3*MIN(M$3,$D$2-1)))))</f>
        <v>0</v>
      </c>
      <c r="N77" s="131" t="n">
        <f aca="false">IF(OR($C77="",$B$2="",$D$2=0),0,IF(N$3&lt;0,0,N(INDEX('CURVA PREVISION'!$A$1:$KZ$3000,$C77,11+3*MIN(N$3,$D$2-1)))))</f>
        <v>0</v>
      </c>
      <c r="O77" s="131" t="n">
        <f aca="false">IF(OR($C77="",$B$2="",$D$2=0),0,IF(O$3&lt;0,0,N(INDEX('CURVA PREVISION'!$A$1:$KZ$3000,$C77,11+3*MIN(O$3,$D$2-1)))))</f>
        <v>0</v>
      </c>
      <c r="P77" s="131" t="n">
        <f aca="false">IF(OR($C77="",$B$2="",$D$2=0),0,IF(P$3&lt;0,0,N(INDEX('CURVA PREVISION'!$A$1:$KZ$3000,$C77,11+3*MIN(P$3,$D$2-1)))))</f>
        <v>0</v>
      </c>
      <c r="Q77" s="131" t="n">
        <f aca="false">IF(OR($C77="",$B$2="",$D$2=0),0,IF(Q$3&lt;0,0,N(INDEX('CURVA PREVISION'!$A$1:$KZ$3000,$C77,11+3*MIN(Q$3,$D$2-1)))))</f>
        <v>0</v>
      </c>
      <c r="R77" s="131" t="n">
        <f aca="false">IF(OR($C77="",$B$2="",$D$2=0),0,IF(R$3&lt;0,0,N(INDEX('CURVA PREVISION'!$A$1:$KZ$3000,$C77,11+3*MIN(R$3,$D$2-1)))))</f>
        <v>0</v>
      </c>
      <c r="S77" s="131" t="n">
        <f aca="false">IF(OR($C77="",$B$2="",$D$2=0),0,IF(S$3&lt;0,0,N(INDEX('CURVA PREVISION'!$A$1:$KZ$3000,$C77,11+3*MIN(S$3,$D$2-1)))))</f>
        <v>0</v>
      </c>
      <c r="T77" s="131" t="n">
        <f aca="false">IF(OR($C77="",$B$2="",$D$2=0),0,IF(T$3&lt;0,0,N(INDEX('CURVA PREVISION'!$A$1:$KZ$3000,$C77,11+3*MIN(T$3,$D$2-1)))))</f>
        <v>0</v>
      </c>
      <c r="U77" s="131" t="n">
        <f aca="false">IF(OR($C77="",$B$2="",$D$2=0),0,IF(U$3&lt;0,0,N(INDEX('CURVA PREVISION'!$A$1:$KZ$3000,$C77,11+3*MIN(U$3,$D$2-1)))))</f>
        <v>0</v>
      </c>
      <c r="V77" s="131" t="n">
        <f aca="false">IF(OR($C77="",$B$2="",$D$2=0),0,IF(V$3&lt;0,0,N(INDEX('CURVA PREVISION'!$A$1:$KZ$3000,$C77,11+3*MIN(V$3,$D$2-1)))))</f>
        <v>0</v>
      </c>
      <c r="W77" s="131" t="n">
        <f aca="false">IF(OR($C77="",$B$2="",$D$2=0),0,IF(W$3&lt;0,0,N(INDEX('CURVA PREVISION'!$A$1:$KZ$3000,$C77,11+3*MIN(W$3,$D$2-1)))))</f>
        <v>0</v>
      </c>
      <c r="X77" s="131" t="n">
        <f aca="false">IF(OR($C77="",$B$2="",$D$2=0),0,IF(X$3&lt;0,0,N(INDEX('CURVA PREVISION'!$A$1:$KZ$3000,$C77,11+3*MIN(X$3,$D$2-1)))))</f>
        <v>0</v>
      </c>
      <c r="Y77" s="131" t="n">
        <f aca="false">IF(OR($C77="",$B$2="",$D$2=0),0,IF(Y$3&lt;0,0,N(INDEX('CURVA PREVISION'!$A$1:$KZ$3000,$C77,11+3*MIN(Y$3,$D$2-1)))))</f>
        <v>0</v>
      </c>
      <c r="Z77" s="131" t="n">
        <f aca="false">IF(OR($C77="",$B$2="",$D$2=0),0,IF(Z$3&lt;0,0,N(INDEX('CURVA PREVISION'!$A$1:$KZ$3000,$C77,11+3*MIN(Z$3,$D$2-1)))))</f>
        <v>0</v>
      </c>
      <c r="AA77" s="131" t="n">
        <f aca="false">IF(OR($C77="",$B$2="",$D$2=0),0,IF(AA$3&lt;0,0,N(INDEX('CURVA PREVISION'!$A$1:$KZ$3000,$C77,11+3*MIN(AA$3,$D$2-1)))))</f>
        <v>0</v>
      </c>
      <c r="AB77" s="131" t="n">
        <f aca="false">IF(OR($C77="",$B$2="",$D$2=0),0,IF(AB$3&lt;0,0,N(INDEX('CURVA PREVISION'!$A$1:$KZ$3000,$C77,11+3*MIN(AB$3,$D$2-1)))))</f>
        <v>0</v>
      </c>
      <c r="AC77" s="131" t="n">
        <f aca="false">IF(OR($C77="",$B$2="",$D$2=0),0,IF(AC$3&lt;0,0,N(INDEX('CURVA PREVISION'!$A$1:$KZ$3000,$C77,11+3*MIN(AC$3,$D$2-1)))))</f>
        <v>0</v>
      </c>
      <c r="AD77" s="131" t="n">
        <f aca="false">IF(OR($C77="",$B$2="",$D$2=0),0,IF(AD$3&lt;0,0,N(INDEX('CURVA PREVISION'!$A$1:$KZ$3000,$C77,11+3*MIN(AD$3,$D$2-1)))))</f>
        <v>0</v>
      </c>
      <c r="AE77" s="131" t="n">
        <f aca="false">IF(OR($C77="",$B$2="",$D$2=0),0,IF(AE$3&lt;0,0,N(INDEX('CURVA PREVISION'!$A$1:$KZ$3000,$C77,11+3*MIN(AE$3,$D$2-1)))))</f>
        <v>0</v>
      </c>
      <c r="AF77" s="131" t="n">
        <f aca="false">IF(OR($C77="",$B$2="",$D$2=0),0,IF(AF$3&lt;0,0,N(INDEX('CURVA PREVISION'!$A$1:$KZ$3000,$C77,11+3*MIN(AF$3,$D$2-1)))))</f>
        <v>0</v>
      </c>
      <c r="AG77" s="131" t="n">
        <f aca="false">IF(OR($C77="",$B$2="",$D$2=0),0,IF(AG$3&lt;0,0,N(INDEX('CURVA PREVISION'!$A$1:$KZ$3000,$C77,11+3*MIN(AG$3,$D$2-1)))))</f>
        <v>0</v>
      </c>
      <c r="AH77" s="131" t="n">
        <f aca="false">IF(OR($C77="",$B$2="",$D$2=0),0,IF(AH$3&lt;0,0,N(INDEX('CURVA PREVISION'!$A$1:$KZ$3000,$C77,11+3*MIN(AH$3,$D$2-1)))))</f>
        <v>0</v>
      </c>
      <c r="AI77" s="131" t="n">
        <f aca="false">IF(OR($C77="",$B$2="",$D$2=0),0,IF(AI$3&lt;0,0,N(INDEX('CURVA PREVISION'!$A$1:$KZ$3000,$C77,11+3*MIN(AI$3,$D$2-1)))))</f>
        <v>0</v>
      </c>
      <c r="AJ77" s="131" t="n">
        <f aca="false">IF(OR($C77="",$B$2="",$D$2=0),0,IF(AJ$3&lt;0,0,N(INDEX('CURVA PREVISION'!$A$1:$KZ$3000,$C77,11+3*MIN(AJ$3,$D$2-1)))))</f>
        <v>0</v>
      </c>
      <c r="AK77" s="131" t="n">
        <f aca="false">IF(OR($C77="",$B$2="",$D$2=0),0,IF(AK$3&lt;0,0,N(INDEX('CURVA PREVISION'!$A$1:$KZ$3000,$C77,11+3*MIN(AK$3,$D$2-1)))))</f>
        <v>0</v>
      </c>
      <c r="AL77" s="131" t="n">
        <f aca="false">IF(OR($C77="",$B$2="",$D$2=0),0,IF(AL$3&lt;0,0,N(INDEX('CURVA PREVISION'!$A$1:$KZ$3000,$C77,11+3*MIN(AL$3,$D$2-1)))))</f>
        <v>0</v>
      </c>
      <c r="AM77" s="131" t="n">
        <f aca="false">IF(OR($C77="",$B$2="",$D$2=0),0,IF(AM$3&lt;0,0,N(INDEX('CURVA PREVISION'!$A$1:$KZ$3000,$C77,11+3*MIN(AM$3,$D$2-1)))))</f>
        <v>0</v>
      </c>
      <c r="AN77" s="131" t="n">
        <f aca="false">IF(OR($C77="",$B$2="",$D$2=0),0,IF(AN$3&lt;0,0,N(INDEX('CURVA PREVISION'!$A$1:$KZ$3000,$C77,11+3*MIN(AN$3,$D$2-1)))))</f>
        <v>0</v>
      </c>
      <c r="AO77" s="131" t="n">
        <f aca="false">IF(OR($C77="",$B$2="",$D$2=0),0,IF(AO$3&lt;0,0,N(INDEX('CURVA PREVISION'!$A$1:$KZ$3000,$C77,11+3*MIN(AO$3,$D$2-1)))))</f>
        <v>0</v>
      </c>
      <c r="AP77" s="131" t="n">
        <f aca="false">IF(OR($C77="",$B$2="",$D$2=0),0,IF(AP$3&lt;0,0,N(INDEX('CURVA PREVISION'!$A$1:$KZ$3000,$C77,11+3*MIN(AP$3,$D$2-1)))))</f>
        <v>0</v>
      </c>
      <c r="AQ77" s="131" t="n">
        <f aca="false">IF(OR($C77="",$B$2="",$D$2=0),0,IF(AQ$3&lt;0,0,N(INDEX('CURVA PREVISION'!$A$1:$KZ$3000,$C77,11+3*MIN(AQ$3,$D$2-1)))))</f>
        <v>0</v>
      </c>
      <c r="AR77" s="131" t="n">
        <f aca="false">IF(OR($C77="",$B$2="",$D$2=0),0,IF(AR$3&lt;0,0,N(INDEX('CURVA PREVISION'!$A$1:$KZ$3000,$C77,11+3*MIN(AR$3,$D$2-1)))))</f>
        <v>0</v>
      </c>
      <c r="AS77" s="131" t="n">
        <f aca="false">IF(OR($C77="",$B$2="",$D$2=0),0,IF(AS$3&lt;0,0,N(INDEX('CURVA PREVISION'!$A$1:$KZ$3000,$C77,11+3*MIN(AS$3,$D$2-1)))))</f>
        <v>0</v>
      </c>
      <c r="AT77" s="131" t="n">
        <f aca="false">IF(OR($C77="",$B$2="",$D$2=0),0,IF(AT$3&lt;0,0,N(INDEX('CURVA PREVISION'!$A$1:$KZ$3000,$C77,11+3*MIN(AT$3,$D$2-1)))))</f>
        <v>0</v>
      </c>
      <c r="AU77" s="131" t="n">
        <f aca="false">IF(OR($C77="",$B$2="",$D$2=0),0,IF(AU$3&lt;0,0,N(INDEX('CURVA PREVISION'!$A$1:$KZ$3000,$C77,11+3*MIN(AU$3,$D$2-1)))))</f>
        <v>0</v>
      </c>
      <c r="AV77" s="131" t="n">
        <f aca="false">IF(OR($C77="",$B$2="",$D$2=0),0,IF(AV$3&lt;0,0,N(INDEX('CURVA PREVISION'!$A$1:$KZ$3000,$C77,11+3*MIN(AV$3,$D$2-1)))))</f>
        <v>0</v>
      </c>
      <c r="AW77" s="131" t="n">
        <f aca="false">IF(OR($C77="",$B$2="",$D$2=0),0,IF(AW$3&lt;0,0,N(INDEX('CURVA PREVISION'!$A$1:$KZ$3000,$C77,11+3*MIN(AW$3,$D$2-1)))))</f>
        <v>0</v>
      </c>
      <c r="AX77" s="131" t="n">
        <f aca="false">IF(OR($C77="",$B$2="",$D$2=0),0,IF(AX$3&lt;0,0,N(INDEX('CURVA PREVISION'!$A$1:$KZ$3000,$C77,11+3*MIN(AX$3,$D$2-1)))))</f>
        <v>0</v>
      </c>
      <c r="AY77" s="131" t="n">
        <f aca="false">IF(OR($C77="",$B$2="",$D$2=0),0,IF(AY$3&lt;0,0,N(INDEX('CURVA PREVISION'!$A$1:$KZ$3000,$C77,11+3*MIN(AY$3,$D$2-1)))))</f>
        <v>0</v>
      </c>
      <c r="AZ77" s="131" t="n">
        <f aca="false">IF(OR($C77="",$B$2="",$D$2=0),0,IF(AZ$3&lt;0,0,N(INDEX('CURVA PREVISION'!$A$1:$KZ$3000,$C77,11+3*MIN(AZ$3,$D$2-1)))))</f>
        <v>0</v>
      </c>
      <c r="BA77" s="131" t="n">
        <f aca="false">IF(OR($C77="",$B$2="",$D$2=0),0,IF(BA$3&lt;0,0,N(INDEX('CURVA PREVISION'!$A$1:$KZ$3000,$C77,11+3*MIN(BA$3,$D$2-1)))))</f>
        <v>0</v>
      </c>
      <c r="BB77" s="131" t="n">
        <f aca="false">IF(OR($C77="",$B$2="",$D$2=0),0,IF(BB$3&lt;0,0,N(INDEX('CURVA PREVISION'!$A$1:$KZ$3000,$C77,11+3*MIN(BB$3,$D$2-1)))))</f>
        <v>0</v>
      </c>
      <c r="BC77" s="131" t="n">
        <f aca="false">IF(OR($C77="",$B$2="",$D$2=0),0,IF(BC$3&lt;0,0,N(INDEX('CURVA PREVISION'!$A$1:$KZ$3000,$C77,11+3*MIN(BC$3,$D$2-1)))))</f>
        <v>0</v>
      </c>
      <c r="BD77" s="131" t="n">
        <f aca="false">IF(OR($C77="",$B$2="",$D$2=0),0,IF(BD$3&lt;0,0,N(INDEX('CURVA PREVISION'!$A$1:$KZ$3000,$C77,11+3*MIN(BD$3,$D$2-1)))))</f>
        <v>0</v>
      </c>
      <c r="BE77" s="131" t="n">
        <f aca="false">IF(OR($C77="",$B$2="",$D$2=0),0,IF(BE$3&lt;0,0,N(INDEX('CURVA PREVISION'!$A$1:$KZ$3000,$C77,11+3*MIN(BE$3,$D$2-1)))))</f>
        <v>0</v>
      </c>
      <c r="BF77" s="131" t="n">
        <f aca="false">IF(OR($C77="",$B$2="",$D$2=0),0,IF(BF$3&lt;0,0,N(INDEX('CURVA PREVISION'!$A$1:$KZ$3000,$C77,11+3*MIN(BF$3,$D$2-1)))))</f>
        <v>0</v>
      </c>
      <c r="BG77" s="131" t="n">
        <f aca="false">IF(OR($C77="",$B$2="",$D$2=0),0,IF(BG$3&lt;0,0,N(INDEX('CURVA PREVISION'!$A$1:$KZ$3000,$C77,11+3*MIN(BG$3,$D$2-1)))))</f>
        <v>0</v>
      </c>
      <c r="BH77" s="131" t="n">
        <f aca="false">IF(OR($C77="",$B$2="",$D$2=0),0,IF(BH$3&lt;0,0,N(INDEX('CURVA PREVISION'!$A$1:$KZ$3000,$C77,11+3*MIN(BH$3,$D$2-1)))))</f>
        <v>0</v>
      </c>
      <c r="BI77" s="131" t="n">
        <f aca="false">IF(OR($C77="",$B$2="",$D$2=0),0,IF(BI$3&lt;0,0,N(INDEX('CURVA PREVISION'!$A$1:$KZ$3000,$C77,11+3*MIN(BI$3,$D$2-1)))))</f>
        <v>0</v>
      </c>
      <c r="BJ77" s="131" t="n">
        <f aca="false">IF(OR($C77="",$B$2="",$D$2=0),0,IF(BJ$3&lt;0,0,N(INDEX('CURVA PREVISION'!$A$1:$KZ$3000,$C77,11+3*MIN(BJ$3,$D$2-1)))))</f>
        <v>0</v>
      </c>
      <c r="BK77" s="131" t="n">
        <f aca="false">IF(OR($C77="",$B$2="",$D$2=0),0,IF(BK$3&lt;0,0,N(INDEX('CURVA PREVISION'!$A$1:$KZ$3000,$C77,11+3*MIN(BK$3,$D$2-1)))))</f>
        <v>0</v>
      </c>
      <c r="BL77" s="131" t="n">
        <f aca="false">IF(OR($C77="",$B$2="",$D$2=0),0,IF(BL$3&lt;0,0,N(INDEX('CURVA PREVISION'!$A$1:$KZ$3000,$C77,11+3*MIN(BL$3,$D$2-1)))))</f>
        <v>0</v>
      </c>
      <c r="BM77" s="131" t="n">
        <f aca="false">IF(OR($C77="",$B$2="",$D$2=0),0,IF(BM$3&lt;0,0,N(INDEX('CURVA PREVISION'!$A$1:$KZ$3000,$C77,11+3*MIN(BM$3,$D$2-1)))))</f>
        <v>0</v>
      </c>
      <c r="BN77" s="131" t="n">
        <f aca="false">IF(OR($C77="",$B$2="",$D$2=0),0,IF(BN$3&lt;0,0,N(INDEX('CURVA PREVISION'!$A$1:$KZ$3000,$C77,11+3*MIN(BN$3,$D$2-1)))))</f>
        <v>0</v>
      </c>
      <c r="BO77" s="131" t="n">
        <f aca="false">IF(OR($C77="",$B$2="",$D$2=0),0,IF(BO$3&lt;0,0,N(INDEX('CURVA PREVISION'!$A$1:$KZ$3000,$C77,11+3*MIN(BO$3,$D$2-1)))))</f>
        <v>0</v>
      </c>
      <c r="BP77" s="131" t="n">
        <f aca="false">IF(OR($C77="",$B$2="",$D$2=0),0,IF(BP$3&lt;0,0,N(INDEX('CURVA PREVISION'!$A$1:$KZ$3000,$C77,11+3*MIN(BP$3,$D$2-1)))))</f>
        <v>0</v>
      </c>
      <c r="BQ77" s="131" t="n">
        <f aca="false">IF(OR($C77="",$B$2="",$D$2=0),0,IF(BQ$3&lt;0,0,N(INDEX('CURVA PREVISION'!$A$1:$KZ$3000,$C77,11+3*MIN(BQ$3,$D$2-1)))))</f>
        <v>0</v>
      </c>
      <c r="BR77" s="131" t="n">
        <f aca="false">IF(OR($C77="",$B$2="",$D$2=0),0,IF(BR$3&lt;0,0,N(INDEX('CURVA PREVISION'!$A$1:$KZ$3000,$C77,11+3*MIN(BR$3,$D$2-1)))))</f>
        <v>0</v>
      </c>
      <c r="BS77" s="131" t="n">
        <f aca="false">IF(OR($C77="",$B$2="",$D$2=0),0,IF(BS$3&lt;0,0,N(INDEX('CURVA PREVISION'!$A$1:$KZ$3000,$C77,11+3*MIN(BS$3,$D$2-1)))))</f>
        <v>0</v>
      </c>
      <c r="BT77" s="131" t="n">
        <f aca="false">IF(OR($C77="",$B$2="",$D$2=0),0,IF(BT$3&lt;0,0,N(INDEX('CURVA PREVISION'!$A$1:$KZ$3000,$C77,11+3*MIN(BT$3,$D$2-1)))))</f>
        <v>0</v>
      </c>
      <c r="BU77" s="131" t="n">
        <f aca="false">IF(OR($C77="",$B$2="",$D$2=0),0,IF(BU$3&lt;0,0,N(INDEX('CURVA PREVISION'!$A$1:$KZ$3000,$C77,11+3*MIN(BU$3,$D$2-1)))))</f>
        <v>0</v>
      </c>
      <c r="BV77" s="131" t="n">
        <f aca="false">IF(OR($C77="",$B$2="",$D$2=0),0,IF(BV$3&lt;0,0,N(INDEX('CURVA PREVISION'!$A$1:$KZ$3000,$C77,11+3*MIN(BV$3,$D$2-1)))))</f>
        <v>0</v>
      </c>
      <c r="BW77" s="131" t="n">
        <f aca="false">IF(OR($C77="",$B$2="",$D$2=0),0,IF(BW$3&lt;0,0,N(INDEX('CURVA PREVISION'!$A$1:$KZ$3000,$C77,11+3*MIN(BW$3,$D$2-1)))))</f>
        <v>0</v>
      </c>
    </row>
    <row r="78" customFormat="false" ht="15" hidden="false" customHeight="false" outlineLevel="0" collapsed="false">
      <c r="A78" s="57" t="str">
        <f aca="false">IF('VALOR POR PL'!Q42="",'VALOR POR PL'!C42,'VALOR POR PL'!Q42)</f>
        <v>32</v>
      </c>
      <c r="B78" s="47" t="str">
        <f aca="false">B36</f>
        <v>REVESTIMENTO DIVERSOS - FACHADA</v>
      </c>
      <c r="C78" s="64" t="n">
        <f aca="false">IFERROR(MATCH(A78,'CURVA PREVISION'!$B$1:$B$3000,0),"")</f>
        <v>782</v>
      </c>
      <c r="D78" s="131" t="n">
        <f aca="false">IF(OR($C78="",$B$2="",$D$2=0),0,IF(D$3&lt;0,0,N(INDEX('CURVA PREVISION'!$A$1:$KZ$3000,$C78,11+3*MIN(D$3,$D$2-1)))))</f>
        <v>0</v>
      </c>
      <c r="E78" s="131" t="n">
        <f aca="false">IF(OR($C78="",$B$2="",$D$2=0),0,IF(E$3&lt;0,0,N(INDEX('CURVA PREVISION'!$A$1:$KZ$3000,$C78,11+3*MIN(E$3,$D$2-1)))))</f>
        <v>0</v>
      </c>
      <c r="F78" s="131" t="n">
        <f aca="false">IF(OR($C78="",$B$2="",$D$2=0),0,IF(F$3&lt;0,0,N(INDEX('CURVA PREVISION'!$A$1:$KZ$3000,$C78,11+3*MIN(F$3,$D$2-1)))))</f>
        <v>0</v>
      </c>
      <c r="G78" s="131" t="n">
        <f aca="false">IF(OR($C78="",$B$2="",$D$2=0),0,IF(G$3&lt;0,0,N(INDEX('CURVA PREVISION'!$A$1:$KZ$3000,$C78,11+3*MIN(G$3,$D$2-1)))))</f>
        <v>0</v>
      </c>
      <c r="H78" s="131" t="n">
        <f aca="false">IF(OR($C78="",$B$2="",$D$2=0),0,IF(H$3&lt;0,0,N(INDEX('CURVA PREVISION'!$A$1:$KZ$3000,$C78,11+3*MIN(H$3,$D$2-1)))))</f>
        <v>0</v>
      </c>
      <c r="I78" s="131" t="n">
        <f aca="false">IF(OR($C78="",$B$2="",$D$2=0),0,IF(I$3&lt;0,0,N(INDEX('CURVA PREVISION'!$A$1:$KZ$3000,$C78,11+3*MIN(I$3,$D$2-1)))))</f>
        <v>0</v>
      </c>
      <c r="J78" s="131" t="n">
        <f aca="false">IF(OR($C78="",$B$2="",$D$2=0),0,IF(J$3&lt;0,0,N(INDEX('CURVA PREVISION'!$A$1:$KZ$3000,$C78,11+3*MIN(J$3,$D$2-1)))))</f>
        <v>0</v>
      </c>
      <c r="K78" s="131" t="n">
        <f aca="false">IF(OR($C78="",$B$2="",$D$2=0),0,IF(K$3&lt;0,0,N(INDEX('CURVA PREVISION'!$A$1:$KZ$3000,$C78,11+3*MIN(K$3,$D$2-1)))))</f>
        <v>0</v>
      </c>
      <c r="L78" s="131" t="n">
        <f aca="false">IF(OR($C78="",$B$2="",$D$2=0),0,IF(L$3&lt;0,0,N(INDEX('CURVA PREVISION'!$A$1:$KZ$3000,$C78,11+3*MIN(L$3,$D$2-1)))))</f>
        <v>0</v>
      </c>
      <c r="M78" s="131" t="n">
        <f aca="false">IF(OR($C78="",$B$2="",$D$2=0),0,IF(M$3&lt;0,0,N(INDEX('CURVA PREVISION'!$A$1:$KZ$3000,$C78,11+3*MIN(M$3,$D$2-1)))))</f>
        <v>0</v>
      </c>
      <c r="N78" s="131" t="n">
        <f aca="false">IF(OR($C78="",$B$2="",$D$2=0),0,IF(N$3&lt;0,0,N(INDEX('CURVA PREVISION'!$A$1:$KZ$3000,$C78,11+3*MIN(N$3,$D$2-1)))))</f>
        <v>0</v>
      </c>
      <c r="O78" s="131" t="n">
        <f aca="false">IF(OR($C78="",$B$2="",$D$2=0),0,IF(O$3&lt;0,0,N(INDEX('CURVA PREVISION'!$A$1:$KZ$3000,$C78,11+3*MIN(O$3,$D$2-1)))))</f>
        <v>0</v>
      </c>
      <c r="P78" s="131" t="n">
        <f aca="false">IF(OR($C78="",$B$2="",$D$2=0),0,IF(P$3&lt;0,0,N(INDEX('CURVA PREVISION'!$A$1:$KZ$3000,$C78,11+3*MIN(P$3,$D$2-1)))))</f>
        <v>0</v>
      </c>
      <c r="Q78" s="131" t="n">
        <f aca="false">IF(OR($C78="",$B$2="",$D$2=0),0,IF(Q$3&lt;0,0,N(INDEX('CURVA PREVISION'!$A$1:$KZ$3000,$C78,11+3*MIN(Q$3,$D$2-1)))))</f>
        <v>0</v>
      </c>
      <c r="R78" s="131" t="n">
        <f aca="false">IF(OR($C78="",$B$2="",$D$2=0),0,IF(R$3&lt;0,0,N(INDEX('CURVA PREVISION'!$A$1:$KZ$3000,$C78,11+3*MIN(R$3,$D$2-1)))))</f>
        <v>0</v>
      </c>
      <c r="S78" s="131" t="n">
        <f aca="false">IF(OR($C78="",$B$2="",$D$2=0),0,IF(S$3&lt;0,0,N(INDEX('CURVA PREVISION'!$A$1:$KZ$3000,$C78,11+3*MIN(S$3,$D$2-1)))))</f>
        <v>0</v>
      </c>
      <c r="T78" s="131" t="n">
        <f aca="false">IF(OR($C78="",$B$2="",$D$2=0),0,IF(T$3&lt;0,0,N(INDEX('CURVA PREVISION'!$A$1:$KZ$3000,$C78,11+3*MIN(T$3,$D$2-1)))))</f>
        <v>0</v>
      </c>
      <c r="U78" s="131" t="n">
        <f aca="false">IF(OR($C78="",$B$2="",$D$2=0),0,IF(U$3&lt;0,0,N(INDEX('CURVA PREVISION'!$A$1:$KZ$3000,$C78,11+3*MIN(U$3,$D$2-1)))))</f>
        <v>0</v>
      </c>
      <c r="V78" s="131" t="n">
        <f aca="false">IF(OR($C78="",$B$2="",$D$2=0),0,IF(V$3&lt;0,0,N(INDEX('CURVA PREVISION'!$A$1:$KZ$3000,$C78,11+3*MIN(V$3,$D$2-1)))))</f>
        <v>0</v>
      </c>
      <c r="W78" s="131" t="n">
        <f aca="false">IF(OR($C78="",$B$2="",$D$2=0),0,IF(W$3&lt;0,0,N(INDEX('CURVA PREVISION'!$A$1:$KZ$3000,$C78,11+3*MIN(W$3,$D$2-1)))))</f>
        <v>0</v>
      </c>
      <c r="X78" s="131" t="n">
        <f aca="false">IF(OR($C78="",$B$2="",$D$2=0),0,IF(X$3&lt;0,0,N(INDEX('CURVA PREVISION'!$A$1:$KZ$3000,$C78,11+3*MIN(X$3,$D$2-1)))))</f>
        <v>0</v>
      </c>
      <c r="Y78" s="131" t="n">
        <f aca="false">IF(OR($C78="",$B$2="",$D$2=0),0,IF(Y$3&lt;0,0,N(INDEX('CURVA PREVISION'!$A$1:$KZ$3000,$C78,11+3*MIN(Y$3,$D$2-1)))))</f>
        <v>0</v>
      </c>
      <c r="Z78" s="131" t="n">
        <f aca="false">IF(OR($C78="",$B$2="",$D$2=0),0,IF(Z$3&lt;0,0,N(INDEX('CURVA PREVISION'!$A$1:$KZ$3000,$C78,11+3*MIN(Z$3,$D$2-1)))))</f>
        <v>0</v>
      </c>
      <c r="AA78" s="131" t="n">
        <f aca="false">IF(OR($C78="",$B$2="",$D$2=0),0,IF(AA$3&lt;0,0,N(INDEX('CURVA PREVISION'!$A$1:$KZ$3000,$C78,11+3*MIN(AA$3,$D$2-1)))))</f>
        <v>0</v>
      </c>
      <c r="AB78" s="131" t="n">
        <f aca="false">IF(OR($C78="",$B$2="",$D$2=0),0,IF(AB$3&lt;0,0,N(INDEX('CURVA PREVISION'!$A$1:$KZ$3000,$C78,11+3*MIN(AB$3,$D$2-1)))))</f>
        <v>0</v>
      </c>
      <c r="AC78" s="131" t="n">
        <f aca="false">IF(OR($C78="",$B$2="",$D$2=0),0,IF(AC$3&lt;0,0,N(INDEX('CURVA PREVISION'!$A$1:$KZ$3000,$C78,11+3*MIN(AC$3,$D$2-1)))))</f>
        <v>0</v>
      </c>
      <c r="AD78" s="131" t="n">
        <f aca="false">IF(OR($C78="",$B$2="",$D$2=0),0,IF(AD$3&lt;0,0,N(INDEX('CURVA PREVISION'!$A$1:$KZ$3000,$C78,11+3*MIN(AD$3,$D$2-1)))))</f>
        <v>0</v>
      </c>
      <c r="AE78" s="131" t="n">
        <f aca="false">IF(OR($C78="",$B$2="",$D$2=0),0,IF(AE$3&lt;0,0,N(INDEX('CURVA PREVISION'!$A$1:$KZ$3000,$C78,11+3*MIN(AE$3,$D$2-1)))))</f>
        <v>0</v>
      </c>
      <c r="AF78" s="131" t="n">
        <f aca="false">IF(OR($C78="",$B$2="",$D$2=0),0,IF(AF$3&lt;0,0,N(INDEX('CURVA PREVISION'!$A$1:$KZ$3000,$C78,11+3*MIN(AF$3,$D$2-1)))))</f>
        <v>0</v>
      </c>
      <c r="AG78" s="131" t="n">
        <f aca="false">IF(OR($C78="",$B$2="",$D$2=0),0,IF(AG$3&lt;0,0,N(INDEX('CURVA PREVISION'!$A$1:$KZ$3000,$C78,11+3*MIN(AG$3,$D$2-1)))))</f>
        <v>0</v>
      </c>
      <c r="AH78" s="131" t="n">
        <f aca="false">IF(OR($C78="",$B$2="",$D$2=0),0,IF(AH$3&lt;0,0,N(INDEX('CURVA PREVISION'!$A$1:$KZ$3000,$C78,11+3*MIN(AH$3,$D$2-1)))))</f>
        <v>0</v>
      </c>
      <c r="AI78" s="131" t="n">
        <f aca="false">IF(OR($C78="",$B$2="",$D$2=0),0,IF(AI$3&lt;0,0,N(INDEX('CURVA PREVISION'!$A$1:$KZ$3000,$C78,11+3*MIN(AI$3,$D$2-1)))))</f>
        <v>0</v>
      </c>
      <c r="AJ78" s="131" t="n">
        <f aca="false">IF(OR($C78="",$B$2="",$D$2=0),0,IF(AJ$3&lt;0,0,N(INDEX('CURVA PREVISION'!$A$1:$KZ$3000,$C78,11+3*MIN(AJ$3,$D$2-1)))))</f>
        <v>0</v>
      </c>
      <c r="AK78" s="131" t="n">
        <f aca="false">IF(OR($C78="",$B$2="",$D$2=0),0,IF(AK$3&lt;0,0,N(INDEX('CURVA PREVISION'!$A$1:$KZ$3000,$C78,11+3*MIN(AK$3,$D$2-1)))))</f>
        <v>0</v>
      </c>
      <c r="AL78" s="131" t="n">
        <f aca="false">IF(OR($C78="",$B$2="",$D$2=0),0,IF(AL$3&lt;0,0,N(INDEX('CURVA PREVISION'!$A$1:$KZ$3000,$C78,11+3*MIN(AL$3,$D$2-1)))))</f>
        <v>0</v>
      </c>
      <c r="AM78" s="131" t="n">
        <f aca="false">IF(OR($C78="",$B$2="",$D$2=0),0,IF(AM$3&lt;0,0,N(INDEX('CURVA PREVISION'!$A$1:$KZ$3000,$C78,11+3*MIN(AM$3,$D$2-1)))))</f>
        <v>0</v>
      </c>
      <c r="AN78" s="131" t="n">
        <f aca="false">IF(OR($C78="",$B$2="",$D$2=0),0,IF(AN$3&lt;0,0,N(INDEX('CURVA PREVISION'!$A$1:$KZ$3000,$C78,11+3*MIN(AN$3,$D$2-1)))))</f>
        <v>0</v>
      </c>
      <c r="AO78" s="131" t="n">
        <f aca="false">IF(OR($C78="",$B$2="",$D$2=0),0,IF(AO$3&lt;0,0,N(INDEX('CURVA PREVISION'!$A$1:$KZ$3000,$C78,11+3*MIN(AO$3,$D$2-1)))))</f>
        <v>0</v>
      </c>
      <c r="AP78" s="131" t="n">
        <f aca="false">IF(OR($C78="",$B$2="",$D$2=0),0,IF(AP$3&lt;0,0,N(INDEX('CURVA PREVISION'!$A$1:$KZ$3000,$C78,11+3*MIN(AP$3,$D$2-1)))))</f>
        <v>0</v>
      </c>
      <c r="AQ78" s="131" t="n">
        <f aca="false">IF(OR($C78="",$B$2="",$D$2=0),0,IF(AQ$3&lt;0,0,N(INDEX('CURVA PREVISION'!$A$1:$KZ$3000,$C78,11+3*MIN(AQ$3,$D$2-1)))))</f>
        <v>0</v>
      </c>
      <c r="AR78" s="131" t="n">
        <f aca="false">IF(OR($C78="",$B$2="",$D$2=0),0,IF(AR$3&lt;0,0,N(INDEX('CURVA PREVISION'!$A$1:$KZ$3000,$C78,11+3*MIN(AR$3,$D$2-1)))))</f>
        <v>0</v>
      </c>
      <c r="AS78" s="131" t="n">
        <f aca="false">IF(OR($C78="",$B$2="",$D$2=0),0,IF(AS$3&lt;0,0,N(INDEX('CURVA PREVISION'!$A$1:$KZ$3000,$C78,11+3*MIN(AS$3,$D$2-1)))))</f>
        <v>0</v>
      </c>
      <c r="AT78" s="131" t="n">
        <f aca="false">IF(OR($C78="",$B$2="",$D$2=0),0,IF(AT$3&lt;0,0,N(INDEX('CURVA PREVISION'!$A$1:$KZ$3000,$C78,11+3*MIN(AT$3,$D$2-1)))))</f>
        <v>0</v>
      </c>
      <c r="AU78" s="131" t="n">
        <f aca="false">IF(OR($C78="",$B$2="",$D$2=0),0,IF(AU$3&lt;0,0,N(INDEX('CURVA PREVISION'!$A$1:$KZ$3000,$C78,11+3*MIN(AU$3,$D$2-1)))))</f>
        <v>0</v>
      </c>
      <c r="AV78" s="131" t="n">
        <f aca="false">IF(OR($C78="",$B$2="",$D$2=0),0,IF(AV$3&lt;0,0,N(INDEX('CURVA PREVISION'!$A$1:$KZ$3000,$C78,11+3*MIN(AV$3,$D$2-1)))))</f>
        <v>0</v>
      </c>
      <c r="AW78" s="131" t="n">
        <f aca="false">IF(OR($C78="",$B$2="",$D$2=0),0,IF(AW$3&lt;0,0,N(INDEX('CURVA PREVISION'!$A$1:$KZ$3000,$C78,11+3*MIN(AW$3,$D$2-1)))))</f>
        <v>0</v>
      </c>
      <c r="AX78" s="131" t="n">
        <f aca="false">IF(OR($C78="",$B$2="",$D$2=0),0,IF(AX$3&lt;0,0,N(INDEX('CURVA PREVISION'!$A$1:$KZ$3000,$C78,11+3*MIN(AX$3,$D$2-1)))))</f>
        <v>0</v>
      </c>
      <c r="AY78" s="131" t="n">
        <f aca="false">IF(OR($C78="",$B$2="",$D$2=0),0,IF(AY$3&lt;0,0,N(INDEX('CURVA PREVISION'!$A$1:$KZ$3000,$C78,11+3*MIN(AY$3,$D$2-1)))))</f>
        <v>0</v>
      </c>
      <c r="AZ78" s="131" t="n">
        <f aca="false">IF(OR($C78="",$B$2="",$D$2=0),0,IF(AZ$3&lt;0,0,N(INDEX('CURVA PREVISION'!$A$1:$KZ$3000,$C78,11+3*MIN(AZ$3,$D$2-1)))))</f>
        <v>0</v>
      </c>
      <c r="BA78" s="131" t="n">
        <f aca="false">IF(OR($C78="",$B$2="",$D$2=0),0,IF(BA$3&lt;0,0,N(INDEX('CURVA PREVISION'!$A$1:$KZ$3000,$C78,11+3*MIN(BA$3,$D$2-1)))))</f>
        <v>0</v>
      </c>
      <c r="BB78" s="131" t="n">
        <f aca="false">IF(OR($C78="",$B$2="",$D$2=0),0,IF(BB$3&lt;0,0,N(INDEX('CURVA PREVISION'!$A$1:$KZ$3000,$C78,11+3*MIN(BB$3,$D$2-1)))))</f>
        <v>0</v>
      </c>
      <c r="BC78" s="131" t="n">
        <f aca="false">IF(OR($C78="",$B$2="",$D$2=0),0,IF(BC$3&lt;0,0,N(INDEX('CURVA PREVISION'!$A$1:$KZ$3000,$C78,11+3*MIN(BC$3,$D$2-1)))))</f>
        <v>0</v>
      </c>
      <c r="BD78" s="131" t="n">
        <f aca="false">IF(OR($C78="",$B$2="",$D$2=0),0,IF(BD$3&lt;0,0,N(INDEX('CURVA PREVISION'!$A$1:$KZ$3000,$C78,11+3*MIN(BD$3,$D$2-1)))))</f>
        <v>0</v>
      </c>
      <c r="BE78" s="131" t="n">
        <f aca="false">IF(OR($C78="",$B$2="",$D$2=0),0,IF(BE$3&lt;0,0,N(INDEX('CURVA PREVISION'!$A$1:$KZ$3000,$C78,11+3*MIN(BE$3,$D$2-1)))))</f>
        <v>0</v>
      </c>
      <c r="BF78" s="131" t="n">
        <f aca="false">IF(OR($C78="",$B$2="",$D$2=0),0,IF(BF$3&lt;0,0,N(INDEX('CURVA PREVISION'!$A$1:$KZ$3000,$C78,11+3*MIN(BF$3,$D$2-1)))))</f>
        <v>0</v>
      </c>
      <c r="BG78" s="131" t="n">
        <f aca="false">IF(OR($C78="",$B$2="",$D$2=0),0,IF(BG$3&lt;0,0,N(INDEX('CURVA PREVISION'!$A$1:$KZ$3000,$C78,11+3*MIN(BG$3,$D$2-1)))))</f>
        <v>0</v>
      </c>
      <c r="BH78" s="131" t="n">
        <f aca="false">IF(OR($C78="",$B$2="",$D$2=0),0,IF(BH$3&lt;0,0,N(INDEX('CURVA PREVISION'!$A$1:$KZ$3000,$C78,11+3*MIN(BH$3,$D$2-1)))))</f>
        <v>0</v>
      </c>
      <c r="BI78" s="131" t="n">
        <f aca="false">IF(OR($C78="",$B$2="",$D$2=0),0,IF(BI$3&lt;0,0,N(INDEX('CURVA PREVISION'!$A$1:$KZ$3000,$C78,11+3*MIN(BI$3,$D$2-1)))))</f>
        <v>0</v>
      </c>
      <c r="BJ78" s="131" t="n">
        <f aca="false">IF(OR($C78="",$B$2="",$D$2=0),0,IF(BJ$3&lt;0,0,N(INDEX('CURVA PREVISION'!$A$1:$KZ$3000,$C78,11+3*MIN(BJ$3,$D$2-1)))))</f>
        <v>0</v>
      </c>
      <c r="BK78" s="131" t="n">
        <f aca="false">IF(OR($C78="",$B$2="",$D$2=0),0,IF(BK$3&lt;0,0,N(INDEX('CURVA PREVISION'!$A$1:$KZ$3000,$C78,11+3*MIN(BK$3,$D$2-1)))))</f>
        <v>0</v>
      </c>
      <c r="BL78" s="131" t="n">
        <f aca="false">IF(OR($C78="",$B$2="",$D$2=0),0,IF(BL$3&lt;0,0,N(INDEX('CURVA PREVISION'!$A$1:$KZ$3000,$C78,11+3*MIN(BL$3,$D$2-1)))))</f>
        <v>0</v>
      </c>
      <c r="BM78" s="131" t="n">
        <f aca="false">IF(OR($C78="",$B$2="",$D$2=0),0,IF(BM$3&lt;0,0,N(INDEX('CURVA PREVISION'!$A$1:$KZ$3000,$C78,11+3*MIN(BM$3,$D$2-1)))))</f>
        <v>0</v>
      </c>
      <c r="BN78" s="131" t="n">
        <f aca="false">IF(OR($C78="",$B$2="",$D$2=0),0,IF(BN$3&lt;0,0,N(INDEX('CURVA PREVISION'!$A$1:$KZ$3000,$C78,11+3*MIN(BN$3,$D$2-1)))))</f>
        <v>0</v>
      </c>
      <c r="BO78" s="131" t="n">
        <f aca="false">IF(OR($C78="",$B$2="",$D$2=0),0,IF(BO$3&lt;0,0,N(INDEX('CURVA PREVISION'!$A$1:$KZ$3000,$C78,11+3*MIN(BO$3,$D$2-1)))))</f>
        <v>0</v>
      </c>
      <c r="BP78" s="131" t="n">
        <f aca="false">IF(OR($C78="",$B$2="",$D$2=0),0,IF(BP$3&lt;0,0,N(INDEX('CURVA PREVISION'!$A$1:$KZ$3000,$C78,11+3*MIN(BP$3,$D$2-1)))))</f>
        <v>0</v>
      </c>
      <c r="BQ78" s="131" t="n">
        <f aca="false">IF(OR($C78="",$B$2="",$D$2=0),0,IF(BQ$3&lt;0,0,N(INDEX('CURVA PREVISION'!$A$1:$KZ$3000,$C78,11+3*MIN(BQ$3,$D$2-1)))))</f>
        <v>0</v>
      </c>
      <c r="BR78" s="131" t="n">
        <f aca="false">IF(OR($C78="",$B$2="",$D$2=0),0,IF(BR$3&lt;0,0,N(INDEX('CURVA PREVISION'!$A$1:$KZ$3000,$C78,11+3*MIN(BR$3,$D$2-1)))))</f>
        <v>0</v>
      </c>
      <c r="BS78" s="131" t="n">
        <f aca="false">IF(OR($C78="",$B$2="",$D$2=0),0,IF(BS$3&lt;0,0,N(INDEX('CURVA PREVISION'!$A$1:$KZ$3000,$C78,11+3*MIN(BS$3,$D$2-1)))))</f>
        <v>0</v>
      </c>
      <c r="BT78" s="131" t="n">
        <f aca="false">IF(OR($C78="",$B$2="",$D$2=0),0,IF(BT$3&lt;0,0,N(INDEX('CURVA PREVISION'!$A$1:$KZ$3000,$C78,11+3*MIN(BT$3,$D$2-1)))))</f>
        <v>0</v>
      </c>
      <c r="BU78" s="131" t="n">
        <f aca="false">IF(OR($C78="",$B$2="",$D$2=0),0,IF(BU$3&lt;0,0,N(INDEX('CURVA PREVISION'!$A$1:$KZ$3000,$C78,11+3*MIN(BU$3,$D$2-1)))))</f>
        <v>0</v>
      </c>
      <c r="BV78" s="131" t="n">
        <f aca="false">IF(OR($C78="",$B$2="",$D$2=0),0,IF(BV$3&lt;0,0,N(INDEX('CURVA PREVISION'!$A$1:$KZ$3000,$C78,11+3*MIN(BV$3,$D$2-1)))))</f>
        <v>0</v>
      </c>
      <c r="BW78" s="131" t="n">
        <f aca="false">IF(OR($C78="",$B$2="",$D$2=0),0,IF(BW$3&lt;0,0,N(INDEX('CURVA PREVISION'!$A$1:$KZ$3000,$C78,11+3*MIN(BW$3,$D$2-1)))))</f>
        <v>0</v>
      </c>
    </row>
    <row r="79" customFormat="false" ht="15" hidden="false" customHeight="false" outlineLevel="0" collapsed="false">
      <c r="A79" s="57" t="str">
        <f aca="false">IF('VALOR POR PL'!Q43="",'VALOR POR PL'!C43,'VALOR POR PL'!Q43)</f>
        <v>33</v>
      </c>
      <c r="B79" s="47" t="str">
        <f aca="false">B37</f>
        <v>FORRO</v>
      </c>
      <c r="C79" s="64" t="n">
        <f aca="false">IFERROR(MATCH(A79,'CURVA PREVISION'!$B$1:$B$3000,0),"")</f>
        <v>815</v>
      </c>
      <c r="D79" s="131" t="n">
        <f aca="false">IF(OR($C79="",$B$2="",$D$2=0),0,IF(D$3&lt;0,0,N(INDEX('CURVA PREVISION'!$A$1:$KZ$3000,$C79,11+3*MIN(D$3,$D$2-1)))))</f>
        <v>0</v>
      </c>
      <c r="E79" s="131" t="n">
        <f aca="false">IF(OR($C79="",$B$2="",$D$2=0),0,IF(E$3&lt;0,0,N(INDEX('CURVA PREVISION'!$A$1:$KZ$3000,$C79,11+3*MIN(E$3,$D$2-1)))))</f>
        <v>0</v>
      </c>
      <c r="F79" s="131" t="n">
        <f aca="false">IF(OR($C79="",$B$2="",$D$2=0),0,IF(F$3&lt;0,0,N(INDEX('CURVA PREVISION'!$A$1:$KZ$3000,$C79,11+3*MIN(F$3,$D$2-1)))))</f>
        <v>0</v>
      </c>
      <c r="G79" s="131" t="n">
        <f aca="false">IF(OR($C79="",$B$2="",$D$2=0),0,IF(G$3&lt;0,0,N(INDEX('CURVA PREVISION'!$A$1:$KZ$3000,$C79,11+3*MIN(G$3,$D$2-1)))))</f>
        <v>0</v>
      </c>
      <c r="H79" s="131" t="n">
        <f aca="false">IF(OR($C79="",$B$2="",$D$2=0),0,IF(H$3&lt;0,0,N(INDEX('CURVA PREVISION'!$A$1:$KZ$3000,$C79,11+3*MIN(H$3,$D$2-1)))))</f>
        <v>0</v>
      </c>
      <c r="I79" s="131" t="n">
        <f aca="false">IF(OR($C79="",$B$2="",$D$2=0),0,IF(I$3&lt;0,0,N(INDEX('CURVA PREVISION'!$A$1:$KZ$3000,$C79,11+3*MIN(I$3,$D$2-1)))))</f>
        <v>0</v>
      </c>
      <c r="J79" s="131" t="n">
        <f aca="false">IF(OR($C79="",$B$2="",$D$2=0),0,IF(J$3&lt;0,0,N(INDEX('CURVA PREVISION'!$A$1:$KZ$3000,$C79,11+3*MIN(J$3,$D$2-1)))))</f>
        <v>0</v>
      </c>
      <c r="K79" s="131" t="n">
        <f aca="false">IF(OR($C79="",$B$2="",$D$2=0),0,IF(K$3&lt;0,0,N(INDEX('CURVA PREVISION'!$A$1:$KZ$3000,$C79,11+3*MIN(K$3,$D$2-1)))))</f>
        <v>0</v>
      </c>
      <c r="L79" s="131" t="n">
        <f aca="false">IF(OR($C79="",$B$2="",$D$2=0),0,IF(L$3&lt;0,0,N(INDEX('CURVA PREVISION'!$A$1:$KZ$3000,$C79,11+3*MIN(L$3,$D$2-1)))))</f>
        <v>0</v>
      </c>
      <c r="M79" s="131" t="n">
        <f aca="false">IF(OR($C79="",$B$2="",$D$2=0),0,IF(M$3&lt;0,0,N(INDEX('CURVA PREVISION'!$A$1:$KZ$3000,$C79,11+3*MIN(M$3,$D$2-1)))))</f>
        <v>0</v>
      </c>
      <c r="N79" s="131" t="n">
        <f aca="false">IF(OR($C79="",$B$2="",$D$2=0),0,IF(N$3&lt;0,0,N(INDEX('CURVA PREVISION'!$A$1:$KZ$3000,$C79,11+3*MIN(N$3,$D$2-1)))))</f>
        <v>0</v>
      </c>
      <c r="O79" s="131" t="n">
        <f aca="false">IF(OR($C79="",$B$2="",$D$2=0),0,IF(O$3&lt;0,0,N(INDEX('CURVA PREVISION'!$A$1:$KZ$3000,$C79,11+3*MIN(O$3,$D$2-1)))))</f>
        <v>0</v>
      </c>
      <c r="P79" s="131" t="n">
        <f aca="false">IF(OR($C79="",$B$2="",$D$2=0),0,IF(P$3&lt;0,0,N(INDEX('CURVA PREVISION'!$A$1:$KZ$3000,$C79,11+3*MIN(P$3,$D$2-1)))))</f>
        <v>0</v>
      </c>
      <c r="Q79" s="131" t="n">
        <f aca="false">IF(OR($C79="",$B$2="",$D$2=0),0,IF(Q$3&lt;0,0,N(INDEX('CURVA PREVISION'!$A$1:$KZ$3000,$C79,11+3*MIN(Q$3,$D$2-1)))))</f>
        <v>0</v>
      </c>
      <c r="R79" s="131" t="n">
        <f aca="false">IF(OR($C79="",$B$2="",$D$2=0),0,IF(R$3&lt;0,0,N(INDEX('CURVA PREVISION'!$A$1:$KZ$3000,$C79,11+3*MIN(R$3,$D$2-1)))))</f>
        <v>0</v>
      </c>
      <c r="S79" s="131" t="n">
        <f aca="false">IF(OR($C79="",$B$2="",$D$2=0),0,IF(S$3&lt;0,0,N(INDEX('CURVA PREVISION'!$A$1:$KZ$3000,$C79,11+3*MIN(S$3,$D$2-1)))))</f>
        <v>0</v>
      </c>
      <c r="T79" s="131" t="n">
        <f aca="false">IF(OR($C79="",$B$2="",$D$2=0),0,IF(T$3&lt;0,0,N(INDEX('CURVA PREVISION'!$A$1:$KZ$3000,$C79,11+3*MIN(T$3,$D$2-1)))))</f>
        <v>0</v>
      </c>
      <c r="U79" s="131" t="n">
        <f aca="false">IF(OR($C79="",$B$2="",$D$2=0),0,IF(U$3&lt;0,0,N(INDEX('CURVA PREVISION'!$A$1:$KZ$3000,$C79,11+3*MIN(U$3,$D$2-1)))))</f>
        <v>0</v>
      </c>
      <c r="V79" s="131" t="n">
        <f aca="false">IF(OR($C79="",$B$2="",$D$2=0),0,IF(V$3&lt;0,0,N(INDEX('CURVA PREVISION'!$A$1:$KZ$3000,$C79,11+3*MIN(V$3,$D$2-1)))))</f>
        <v>0</v>
      </c>
      <c r="W79" s="131" t="n">
        <f aca="false">IF(OR($C79="",$B$2="",$D$2=0),0,IF(W$3&lt;0,0,N(INDEX('CURVA PREVISION'!$A$1:$KZ$3000,$C79,11+3*MIN(W$3,$D$2-1)))))</f>
        <v>0</v>
      </c>
      <c r="X79" s="131" t="n">
        <f aca="false">IF(OR($C79="",$B$2="",$D$2=0),0,IF(X$3&lt;0,0,N(INDEX('CURVA PREVISION'!$A$1:$KZ$3000,$C79,11+3*MIN(X$3,$D$2-1)))))</f>
        <v>0</v>
      </c>
      <c r="Y79" s="131" t="n">
        <f aca="false">IF(OR($C79="",$B$2="",$D$2=0),0,IF(Y$3&lt;0,0,N(INDEX('CURVA PREVISION'!$A$1:$KZ$3000,$C79,11+3*MIN(Y$3,$D$2-1)))))</f>
        <v>0</v>
      </c>
      <c r="Z79" s="131" t="n">
        <f aca="false">IF(OR($C79="",$B$2="",$D$2=0),0,IF(Z$3&lt;0,0,N(INDEX('CURVA PREVISION'!$A$1:$KZ$3000,$C79,11+3*MIN(Z$3,$D$2-1)))))</f>
        <v>0</v>
      </c>
      <c r="AA79" s="131" t="n">
        <f aca="false">IF(OR($C79="",$B$2="",$D$2=0),0,IF(AA$3&lt;0,0,N(INDEX('CURVA PREVISION'!$A$1:$KZ$3000,$C79,11+3*MIN(AA$3,$D$2-1)))))</f>
        <v>0</v>
      </c>
      <c r="AB79" s="131" t="n">
        <f aca="false">IF(OR($C79="",$B$2="",$D$2=0),0,IF(AB$3&lt;0,0,N(INDEX('CURVA PREVISION'!$A$1:$KZ$3000,$C79,11+3*MIN(AB$3,$D$2-1)))))</f>
        <v>0</v>
      </c>
      <c r="AC79" s="131" t="n">
        <f aca="false">IF(OR($C79="",$B$2="",$D$2=0),0,IF(AC$3&lt;0,0,N(INDEX('CURVA PREVISION'!$A$1:$KZ$3000,$C79,11+3*MIN(AC$3,$D$2-1)))))</f>
        <v>0</v>
      </c>
      <c r="AD79" s="131" t="n">
        <f aca="false">IF(OR($C79="",$B$2="",$D$2=0),0,IF(AD$3&lt;0,0,N(INDEX('CURVA PREVISION'!$A$1:$KZ$3000,$C79,11+3*MIN(AD$3,$D$2-1)))))</f>
        <v>0</v>
      </c>
      <c r="AE79" s="131" t="n">
        <f aca="false">IF(OR($C79="",$B$2="",$D$2=0),0,IF(AE$3&lt;0,0,N(INDEX('CURVA PREVISION'!$A$1:$KZ$3000,$C79,11+3*MIN(AE$3,$D$2-1)))))</f>
        <v>0</v>
      </c>
      <c r="AF79" s="131" t="n">
        <f aca="false">IF(OR($C79="",$B$2="",$D$2=0),0,IF(AF$3&lt;0,0,N(INDEX('CURVA PREVISION'!$A$1:$KZ$3000,$C79,11+3*MIN(AF$3,$D$2-1)))))</f>
        <v>0</v>
      </c>
      <c r="AG79" s="131" t="n">
        <f aca="false">IF(OR($C79="",$B$2="",$D$2=0),0,IF(AG$3&lt;0,0,N(INDEX('CURVA PREVISION'!$A$1:$KZ$3000,$C79,11+3*MIN(AG$3,$D$2-1)))))</f>
        <v>0</v>
      </c>
      <c r="AH79" s="131" t="n">
        <f aca="false">IF(OR($C79="",$B$2="",$D$2=0),0,IF(AH$3&lt;0,0,N(INDEX('CURVA PREVISION'!$A$1:$KZ$3000,$C79,11+3*MIN(AH$3,$D$2-1)))))</f>
        <v>0</v>
      </c>
      <c r="AI79" s="131" t="n">
        <f aca="false">IF(OR($C79="",$B$2="",$D$2=0),0,IF(AI$3&lt;0,0,N(INDEX('CURVA PREVISION'!$A$1:$KZ$3000,$C79,11+3*MIN(AI$3,$D$2-1)))))</f>
        <v>0</v>
      </c>
      <c r="AJ79" s="131" t="n">
        <f aca="false">IF(OR($C79="",$B$2="",$D$2=0),0,IF(AJ$3&lt;0,0,N(INDEX('CURVA PREVISION'!$A$1:$KZ$3000,$C79,11+3*MIN(AJ$3,$D$2-1)))))</f>
        <v>0</v>
      </c>
      <c r="AK79" s="131" t="n">
        <f aca="false">IF(OR($C79="",$B$2="",$D$2=0),0,IF(AK$3&lt;0,0,N(INDEX('CURVA PREVISION'!$A$1:$KZ$3000,$C79,11+3*MIN(AK$3,$D$2-1)))))</f>
        <v>0</v>
      </c>
      <c r="AL79" s="131" t="n">
        <f aca="false">IF(OR($C79="",$B$2="",$D$2=0),0,IF(AL$3&lt;0,0,N(INDEX('CURVA PREVISION'!$A$1:$KZ$3000,$C79,11+3*MIN(AL$3,$D$2-1)))))</f>
        <v>0</v>
      </c>
      <c r="AM79" s="131" t="n">
        <f aca="false">IF(OR($C79="",$B$2="",$D$2=0),0,IF(AM$3&lt;0,0,N(INDEX('CURVA PREVISION'!$A$1:$KZ$3000,$C79,11+3*MIN(AM$3,$D$2-1)))))</f>
        <v>0</v>
      </c>
      <c r="AN79" s="131" t="n">
        <f aca="false">IF(OR($C79="",$B$2="",$D$2=0),0,IF(AN$3&lt;0,0,N(INDEX('CURVA PREVISION'!$A$1:$KZ$3000,$C79,11+3*MIN(AN$3,$D$2-1)))))</f>
        <v>0</v>
      </c>
      <c r="AO79" s="131" t="n">
        <f aca="false">IF(OR($C79="",$B$2="",$D$2=0),0,IF(AO$3&lt;0,0,N(INDEX('CURVA PREVISION'!$A$1:$KZ$3000,$C79,11+3*MIN(AO$3,$D$2-1)))))</f>
        <v>0</v>
      </c>
      <c r="AP79" s="131" t="n">
        <f aca="false">IF(OR($C79="",$B$2="",$D$2=0),0,IF(AP$3&lt;0,0,N(INDEX('CURVA PREVISION'!$A$1:$KZ$3000,$C79,11+3*MIN(AP$3,$D$2-1)))))</f>
        <v>0</v>
      </c>
      <c r="AQ79" s="131" t="n">
        <f aca="false">IF(OR($C79="",$B$2="",$D$2=0),0,IF(AQ$3&lt;0,0,N(INDEX('CURVA PREVISION'!$A$1:$KZ$3000,$C79,11+3*MIN(AQ$3,$D$2-1)))))</f>
        <v>0</v>
      </c>
      <c r="AR79" s="131" t="n">
        <f aca="false">IF(OR($C79="",$B$2="",$D$2=0),0,IF(AR$3&lt;0,0,N(INDEX('CURVA PREVISION'!$A$1:$KZ$3000,$C79,11+3*MIN(AR$3,$D$2-1)))))</f>
        <v>0</v>
      </c>
      <c r="AS79" s="131" t="n">
        <f aca="false">IF(OR($C79="",$B$2="",$D$2=0),0,IF(AS$3&lt;0,0,N(INDEX('CURVA PREVISION'!$A$1:$KZ$3000,$C79,11+3*MIN(AS$3,$D$2-1)))))</f>
        <v>0</v>
      </c>
      <c r="AT79" s="131" t="n">
        <f aca="false">IF(OR($C79="",$B$2="",$D$2=0),0,IF(AT$3&lt;0,0,N(INDEX('CURVA PREVISION'!$A$1:$KZ$3000,$C79,11+3*MIN(AT$3,$D$2-1)))))</f>
        <v>0</v>
      </c>
      <c r="AU79" s="131" t="n">
        <f aca="false">IF(OR($C79="",$B$2="",$D$2=0),0,IF(AU$3&lt;0,0,N(INDEX('CURVA PREVISION'!$A$1:$KZ$3000,$C79,11+3*MIN(AU$3,$D$2-1)))))</f>
        <v>0</v>
      </c>
      <c r="AV79" s="131" t="n">
        <f aca="false">IF(OR($C79="",$B$2="",$D$2=0),0,IF(AV$3&lt;0,0,N(INDEX('CURVA PREVISION'!$A$1:$KZ$3000,$C79,11+3*MIN(AV$3,$D$2-1)))))</f>
        <v>0</v>
      </c>
      <c r="AW79" s="131" t="n">
        <f aca="false">IF(OR($C79="",$B$2="",$D$2=0),0,IF(AW$3&lt;0,0,N(INDEX('CURVA PREVISION'!$A$1:$KZ$3000,$C79,11+3*MIN(AW$3,$D$2-1)))))</f>
        <v>0</v>
      </c>
      <c r="AX79" s="131" t="n">
        <f aca="false">IF(OR($C79="",$B$2="",$D$2=0),0,IF(AX$3&lt;0,0,N(INDEX('CURVA PREVISION'!$A$1:$KZ$3000,$C79,11+3*MIN(AX$3,$D$2-1)))))</f>
        <v>0</v>
      </c>
      <c r="AY79" s="131" t="n">
        <f aca="false">IF(OR($C79="",$B$2="",$D$2=0),0,IF(AY$3&lt;0,0,N(INDEX('CURVA PREVISION'!$A$1:$KZ$3000,$C79,11+3*MIN(AY$3,$D$2-1)))))</f>
        <v>0</v>
      </c>
      <c r="AZ79" s="131" t="n">
        <f aca="false">IF(OR($C79="",$B$2="",$D$2=0),0,IF(AZ$3&lt;0,0,N(INDEX('CURVA PREVISION'!$A$1:$KZ$3000,$C79,11+3*MIN(AZ$3,$D$2-1)))))</f>
        <v>0</v>
      </c>
      <c r="BA79" s="131" t="n">
        <f aca="false">IF(OR($C79="",$B$2="",$D$2=0),0,IF(BA$3&lt;0,0,N(INDEX('CURVA PREVISION'!$A$1:$KZ$3000,$C79,11+3*MIN(BA$3,$D$2-1)))))</f>
        <v>0</v>
      </c>
      <c r="BB79" s="131" t="n">
        <f aca="false">IF(OR($C79="",$B$2="",$D$2=0),0,IF(BB$3&lt;0,0,N(INDEX('CURVA PREVISION'!$A$1:$KZ$3000,$C79,11+3*MIN(BB$3,$D$2-1)))))</f>
        <v>0</v>
      </c>
      <c r="BC79" s="131" t="n">
        <f aca="false">IF(OR($C79="",$B$2="",$D$2=0),0,IF(BC$3&lt;0,0,N(INDEX('CURVA PREVISION'!$A$1:$KZ$3000,$C79,11+3*MIN(BC$3,$D$2-1)))))</f>
        <v>0</v>
      </c>
      <c r="BD79" s="131" t="n">
        <f aca="false">IF(OR($C79="",$B$2="",$D$2=0),0,IF(BD$3&lt;0,0,N(INDEX('CURVA PREVISION'!$A$1:$KZ$3000,$C79,11+3*MIN(BD$3,$D$2-1)))))</f>
        <v>0</v>
      </c>
      <c r="BE79" s="131" t="n">
        <f aca="false">IF(OR($C79="",$B$2="",$D$2=0),0,IF(BE$3&lt;0,0,N(INDEX('CURVA PREVISION'!$A$1:$KZ$3000,$C79,11+3*MIN(BE$3,$D$2-1)))))</f>
        <v>0</v>
      </c>
      <c r="BF79" s="131" t="n">
        <f aca="false">IF(OR($C79="",$B$2="",$D$2=0),0,IF(BF$3&lt;0,0,N(INDEX('CURVA PREVISION'!$A$1:$KZ$3000,$C79,11+3*MIN(BF$3,$D$2-1)))))</f>
        <v>0</v>
      </c>
      <c r="BG79" s="131" t="n">
        <f aca="false">IF(OR($C79="",$B$2="",$D$2=0),0,IF(BG$3&lt;0,0,N(INDEX('CURVA PREVISION'!$A$1:$KZ$3000,$C79,11+3*MIN(BG$3,$D$2-1)))))</f>
        <v>0</v>
      </c>
      <c r="BH79" s="131" t="n">
        <f aca="false">IF(OR($C79="",$B$2="",$D$2=0),0,IF(BH$3&lt;0,0,N(INDEX('CURVA PREVISION'!$A$1:$KZ$3000,$C79,11+3*MIN(BH$3,$D$2-1)))))</f>
        <v>0</v>
      </c>
      <c r="BI79" s="131" t="n">
        <f aca="false">IF(OR($C79="",$B$2="",$D$2=0),0,IF(BI$3&lt;0,0,N(INDEX('CURVA PREVISION'!$A$1:$KZ$3000,$C79,11+3*MIN(BI$3,$D$2-1)))))</f>
        <v>0</v>
      </c>
      <c r="BJ79" s="131" t="n">
        <f aca="false">IF(OR($C79="",$B$2="",$D$2=0),0,IF(BJ$3&lt;0,0,N(INDEX('CURVA PREVISION'!$A$1:$KZ$3000,$C79,11+3*MIN(BJ$3,$D$2-1)))))</f>
        <v>0</v>
      </c>
      <c r="BK79" s="131" t="n">
        <f aca="false">IF(OR($C79="",$B$2="",$D$2=0),0,IF(BK$3&lt;0,0,N(INDEX('CURVA PREVISION'!$A$1:$KZ$3000,$C79,11+3*MIN(BK$3,$D$2-1)))))</f>
        <v>0</v>
      </c>
      <c r="BL79" s="131" t="n">
        <f aca="false">IF(OR($C79="",$B$2="",$D$2=0),0,IF(BL$3&lt;0,0,N(INDEX('CURVA PREVISION'!$A$1:$KZ$3000,$C79,11+3*MIN(BL$3,$D$2-1)))))</f>
        <v>0</v>
      </c>
      <c r="BM79" s="131" t="n">
        <f aca="false">IF(OR($C79="",$B$2="",$D$2=0),0,IF(BM$3&lt;0,0,N(INDEX('CURVA PREVISION'!$A$1:$KZ$3000,$C79,11+3*MIN(BM$3,$D$2-1)))))</f>
        <v>0</v>
      </c>
      <c r="BN79" s="131" t="n">
        <f aca="false">IF(OR($C79="",$B$2="",$D$2=0),0,IF(BN$3&lt;0,0,N(INDEX('CURVA PREVISION'!$A$1:$KZ$3000,$C79,11+3*MIN(BN$3,$D$2-1)))))</f>
        <v>0</v>
      </c>
      <c r="BO79" s="131" t="n">
        <f aca="false">IF(OR($C79="",$B$2="",$D$2=0),0,IF(BO$3&lt;0,0,N(INDEX('CURVA PREVISION'!$A$1:$KZ$3000,$C79,11+3*MIN(BO$3,$D$2-1)))))</f>
        <v>0</v>
      </c>
      <c r="BP79" s="131" t="n">
        <f aca="false">IF(OR($C79="",$B$2="",$D$2=0),0,IF(BP$3&lt;0,0,N(INDEX('CURVA PREVISION'!$A$1:$KZ$3000,$C79,11+3*MIN(BP$3,$D$2-1)))))</f>
        <v>0</v>
      </c>
      <c r="BQ79" s="131" t="n">
        <f aca="false">IF(OR($C79="",$B$2="",$D$2=0),0,IF(BQ$3&lt;0,0,N(INDEX('CURVA PREVISION'!$A$1:$KZ$3000,$C79,11+3*MIN(BQ$3,$D$2-1)))))</f>
        <v>0</v>
      </c>
      <c r="BR79" s="131" t="n">
        <f aca="false">IF(OR($C79="",$B$2="",$D$2=0),0,IF(BR$3&lt;0,0,N(INDEX('CURVA PREVISION'!$A$1:$KZ$3000,$C79,11+3*MIN(BR$3,$D$2-1)))))</f>
        <v>0</v>
      </c>
      <c r="BS79" s="131" t="n">
        <f aca="false">IF(OR($C79="",$B$2="",$D$2=0),0,IF(BS$3&lt;0,0,N(INDEX('CURVA PREVISION'!$A$1:$KZ$3000,$C79,11+3*MIN(BS$3,$D$2-1)))))</f>
        <v>0</v>
      </c>
      <c r="BT79" s="131" t="n">
        <f aca="false">IF(OR($C79="",$B$2="",$D$2=0),0,IF(BT$3&lt;0,0,N(INDEX('CURVA PREVISION'!$A$1:$KZ$3000,$C79,11+3*MIN(BT$3,$D$2-1)))))</f>
        <v>0</v>
      </c>
      <c r="BU79" s="131" t="n">
        <f aca="false">IF(OR($C79="",$B$2="",$D$2=0),0,IF(BU$3&lt;0,0,N(INDEX('CURVA PREVISION'!$A$1:$KZ$3000,$C79,11+3*MIN(BU$3,$D$2-1)))))</f>
        <v>0</v>
      </c>
      <c r="BV79" s="131" t="n">
        <f aca="false">IF(OR($C79="",$B$2="",$D$2=0),0,IF(BV$3&lt;0,0,N(INDEX('CURVA PREVISION'!$A$1:$KZ$3000,$C79,11+3*MIN(BV$3,$D$2-1)))))</f>
        <v>0</v>
      </c>
      <c r="BW79" s="131" t="n">
        <f aca="false">IF(OR($C79="",$B$2="",$D$2=0),0,IF(BW$3&lt;0,0,N(INDEX('CURVA PREVISION'!$A$1:$KZ$3000,$C79,11+3*MIN(BW$3,$D$2-1)))))</f>
        <v>0</v>
      </c>
    </row>
    <row r="80" customFormat="false" ht="15" hidden="false" customHeight="false" outlineLevel="0" collapsed="false">
      <c r="A80" s="57" t="str">
        <f aca="false">IF('VALOR POR PL'!Q44="",'VALOR POR PL'!C44,'VALOR POR PL'!Q44)</f>
        <v>34</v>
      </c>
      <c r="B80" s="47" t="str">
        <f aca="false">B38</f>
        <v>LOUÇAS SANITÁRIAS</v>
      </c>
      <c r="C80" s="64" t="n">
        <f aca="false">IFERROR(MATCH(A80,'CURVA PREVISION'!$B$1:$B$3000,0),"")</f>
        <v>823</v>
      </c>
      <c r="D80" s="131" t="n">
        <f aca="false">IF(OR($C80="",$B$2="",$D$2=0),0,IF(D$3&lt;0,0,N(INDEX('CURVA PREVISION'!$A$1:$KZ$3000,$C80,11+3*MIN(D$3,$D$2-1)))))</f>
        <v>0</v>
      </c>
      <c r="E80" s="131" t="n">
        <f aca="false">IF(OR($C80="",$B$2="",$D$2=0),0,IF(E$3&lt;0,0,N(INDEX('CURVA PREVISION'!$A$1:$KZ$3000,$C80,11+3*MIN(E$3,$D$2-1)))))</f>
        <v>0</v>
      </c>
      <c r="F80" s="131" t="n">
        <f aca="false">IF(OR($C80="",$B$2="",$D$2=0),0,IF(F$3&lt;0,0,N(INDEX('CURVA PREVISION'!$A$1:$KZ$3000,$C80,11+3*MIN(F$3,$D$2-1)))))</f>
        <v>0</v>
      </c>
      <c r="G80" s="131" t="n">
        <f aca="false">IF(OR($C80="",$B$2="",$D$2=0),0,IF(G$3&lt;0,0,N(INDEX('CURVA PREVISION'!$A$1:$KZ$3000,$C80,11+3*MIN(G$3,$D$2-1)))))</f>
        <v>0</v>
      </c>
      <c r="H80" s="131" t="n">
        <f aca="false">IF(OR($C80="",$B$2="",$D$2=0),0,IF(H$3&lt;0,0,N(INDEX('CURVA PREVISION'!$A$1:$KZ$3000,$C80,11+3*MIN(H$3,$D$2-1)))))</f>
        <v>0</v>
      </c>
      <c r="I80" s="131" t="n">
        <f aca="false">IF(OR($C80="",$B$2="",$D$2=0),0,IF(I$3&lt;0,0,N(INDEX('CURVA PREVISION'!$A$1:$KZ$3000,$C80,11+3*MIN(I$3,$D$2-1)))))</f>
        <v>0</v>
      </c>
      <c r="J80" s="131" t="n">
        <f aca="false">IF(OR($C80="",$B$2="",$D$2=0),0,IF(J$3&lt;0,0,N(INDEX('CURVA PREVISION'!$A$1:$KZ$3000,$C80,11+3*MIN(J$3,$D$2-1)))))</f>
        <v>0</v>
      </c>
      <c r="K80" s="131" t="n">
        <f aca="false">IF(OR($C80="",$B$2="",$D$2=0),0,IF(K$3&lt;0,0,N(INDEX('CURVA PREVISION'!$A$1:$KZ$3000,$C80,11+3*MIN(K$3,$D$2-1)))))</f>
        <v>0</v>
      </c>
      <c r="L80" s="131" t="n">
        <f aca="false">IF(OR($C80="",$B$2="",$D$2=0),0,IF(L$3&lt;0,0,N(INDEX('CURVA PREVISION'!$A$1:$KZ$3000,$C80,11+3*MIN(L$3,$D$2-1)))))</f>
        <v>0</v>
      </c>
      <c r="M80" s="131" t="n">
        <f aca="false">IF(OR($C80="",$B$2="",$D$2=0),0,IF(M$3&lt;0,0,N(INDEX('CURVA PREVISION'!$A$1:$KZ$3000,$C80,11+3*MIN(M$3,$D$2-1)))))</f>
        <v>0</v>
      </c>
      <c r="N80" s="131" t="n">
        <f aca="false">IF(OR($C80="",$B$2="",$D$2=0),0,IF(N$3&lt;0,0,N(INDEX('CURVA PREVISION'!$A$1:$KZ$3000,$C80,11+3*MIN(N$3,$D$2-1)))))</f>
        <v>0</v>
      </c>
      <c r="O80" s="131" t="n">
        <f aca="false">IF(OR($C80="",$B$2="",$D$2=0),0,IF(O$3&lt;0,0,N(INDEX('CURVA PREVISION'!$A$1:$KZ$3000,$C80,11+3*MIN(O$3,$D$2-1)))))</f>
        <v>0</v>
      </c>
      <c r="P80" s="131" t="n">
        <f aca="false">IF(OR($C80="",$B$2="",$D$2=0),0,IF(P$3&lt;0,0,N(INDEX('CURVA PREVISION'!$A$1:$KZ$3000,$C80,11+3*MIN(P$3,$D$2-1)))))</f>
        <v>0</v>
      </c>
      <c r="Q80" s="131" t="n">
        <f aca="false">IF(OR($C80="",$B$2="",$D$2=0),0,IF(Q$3&lt;0,0,N(INDEX('CURVA PREVISION'!$A$1:$KZ$3000,$C80,11+3*MIN(Q$3,$D$2-1)))))</f>
        <v>0</v>
      </c>
      <c r="R80" s="131" t="n">
        <f aca="false">IF(OR($C80="",$B$2="",$D$2=0),0,IF(R$3&lt;0,0,N(INDEX('CURVA PREVISION'!$A$1:$KZ$3000,$C80,11+3*MIN(R$3,$D$2-1)))))</f>
        <v>0</v>
      </c>
      <c r="S80" s="131" t="n">
        <f aca="false">IF(OR($C80="",$B$2="",$D$2=0),0,IF(S$3&lt;0,0,N(INDEX('CURVA PREVISION'!$A$1:$KZ$3000,$C80,11+3*MIN(S$3,$D$2-1)))))</f>
        <v>0</v>
      </c>
      <c r="T80" s="131" t="n">
        <f aca="false">IF(OR($C80="",$B$2="",$D$2=0),0,IF(T$3&lt;0,0,N(INDEX('CURVA PREVISION'!$A$1:$KZ$3000,$C80,11+3*MIN(T$3,$D$2-1)))))</f>
        <v>0</v>
      </c>
      <c r="U80" s="131" t="n">
        <f aca="false">IF(OR($C80="",$B$2="",$D$2=0),0,IF(U$3&lt;0,0,N(INDEX('CURVA PREVISION'!$A$1:$KZ$3000,$C80,11+3*MIN(U$3,$D$2-1)))))</f>
        <v>0</v>
      </c>
      <c r="V80" s="131" t="n">
        <f aca="false">IF(OR($C80="",$B$2="",$D$2=0),0,IF(V$3&lt;0,0,N(INDEX('CURVA PREVISION'!$A$1:$KZ$3000,$C80,11+3*MIN(V$3,$D$2-1)))))</f>
        <v>0</v>
      </c>
      <c r="W80" s="131" t="n">
        <f aca="false">IF(OR($C80="",$B$2="",$D$2=0),0,IF(W$3&lt;0,0,N(INDEX('CURVA PREVISION'!$A$1:$KZ$3000,$C80,11+3*MIN(W$3,$D$2-1)))))</f>
        <v>0</v>
      </c>
      <c r="X80" s="131" t="n">
        <f aca="false">IF(OR($C80="",$B$2="",$D$2=0),0,IF(X$3&lt;0,0,N(INDEX('CURVA PREVISION'!$A$1:$KZ$3000,$C80,11+3*MIN(X$3,$D$2-1)))))</f>
        <v>0</v>
      </c>
      <c r="Y80" s="131" t="n">
        <f aca="false">IF(OR($C80="",$B$2="",$D$2=0),0,IF(Y$3&lt;0,0,N(INDEX('CURVA PREVISION'!$A$1:$KZ$3000,$C80,11+3*MIN(Y$3,$D$2-1)))))</f>
        <v>0</v>
      </c>
      <c r="Z80" s="131" t="n">
        <f aca="false">IF(OR($C80="",$B$2="",$D$2=0),0,IF(Z$3&lt;0,0,N(INDEX('CURVA PREVISION'!$A$1:$KZ$3000,$C80,11+3*MIN(Z$3,$D$2-1)))))</f>
        <v>0</v>
      </c>
      <c r="AA80" s="131" t="n">
        <f aca="false">IF(OR($C80="",$B$2="",$D$2=0),0,IF(AA$3&lt;0,0,N(INDEX('CURVA PREVISION'!$A$1:$KZ$3000,$C80,11+3*MIN(AA$3,$D$2-1)))))</f>
        <v>0</v>
      </c>
      <c r="AB80" s="131" t="n">
        <f aca="false">IF(OR($C80="",$B$2="",$D$2=0),0,IF(AB$3&lt;0,0,N(INDEX('CURVA PREVISION'!$A$1:$KZ$3000,$C80,11+3*MIN(AB$3,$D$2-1)))))</f>
        <v>0</v>
      </c>
      <c r="AC80" s="131" t="n">
        <f aca="false">IF(OR($C80="",$B$2="",$D$2=0),0,IF(AC$3&lt;0,0,N(INDEX('CURVA PREVISION'!$A$1:$KZ$3000,$C80,11+3*MIN(AC$3,$D$2-1)))))</f>
        <v>0</v>
      </c>
      <c r="AD80" s="131" t="n">
        <f aca="false">IF(OR($C80="",$B$2="",$D$2=0),0,IF(AD$3&lt;0,0,N(INDEX('CURVA PREVISION'!$A$1:$KZ$3000,$C80,11+3*MIN(AD$3,$D$2-1)))))</f>
        <v>0</v>
      </c>
      <c r="AE80" s="131" t="n">
        <f aca="false">IF(OR($C80="",$B$2="",$D$2=0),0,IF(AE$3&lt;0,0,N(INDEX('CURVA PREVISION'!$A$1:$KZ$3000,$C80,11+3*MIN(AE$3,$D$2-1)))))</f>
        <v>0</v>
      </c>
      <c r="AF80" s="131" t="n">
        <f aca="false">IF(OR($C80="",$B$2="",$D$2=0),0,IF(AF$3&lt;0,0,N(INDEX('CURVA PREVISION'!$A$1:$KZ$3000,$C80,11+3*MIN(AF$3,$D$2-1)))))</f>
        <v>0</v>
      </c>
      <c r="AG80" s="131" t="n">
        <f aca="false">IF(OR($C80="",$B$2="",$D$2=0),0,IF(AG$3&lt;0,0,N(INDEX('CURVA PREVISION'!$A$1:$KZ$3000,$C80,11+3*MIN(AG$3,$D$2-1)))))</f>
        <v>0</v>
      </c>
      <c r="AH80" s="131" t="n">
        <f aca="false">IF(OR($C80="",$B$2="",$D$2=0),0,IF(AH$3&lt;0,0,N(INDEX('CURVA PREVISION'!$A$1:$KZ$3000,$C80,11+3*MIN(AH$3,$D$2-1)))))</f>
        <v>0</v>
      </c>
      <c r="AI80" s="131" t="n">
        <f aca="false">IF(OR($C80="",$B$2="",$D$2=0),0,IF(AI$3&lt;0,0,N(INDEX('CURVA PREVISION'!$A$1:$KZ$3000,$C80,11+3*MIN(AI$3,$D$2-1)))))</f>
        <v>0</v>
      </c>
      <c r="AJ80" s="131" t="n">
        <f aca="false">IF(OR($C80="",$B$2="",$D$2=0),0,IF(AJ$3&lt;0,0,N(INDEX('CURVA PREVISION'!$A$1:$KZ$3000,$C80,11+3*MIN(AJ$3,$D$2-1)))))</f>
        <v>0</v>
      </c>
      <c r="AK80" s="131" t="n">
        <f aca="false">IF(OR($C80="",$B$2="",$D$2=0),0,IF(AK$3&lt;0,0,N(INDEX('CURVA PREVISION'!$A$1:$KZ$3000,$C80,11+3*MIN(AK$3,$D$2-1)))))</f>
        <v>0</v>
      </c>
      <c r="AL80" s="131" t="n">
        <f aca="false">IF(OR($C80="",$B$2="",$D$2=0),0,IF(AL$3&lt;0,0,N(INDEX('CURVA PREVISION'!$A$1:$KZ$3000,$C80,11+3*MIN(AL$3,$D$2-1)))))</f>
        <v>0</v>
      </c>
      <c r="AM80" s="131" t="n">
        <f aca="false">IF(OR($C80="",$B$2="",$D$2=0),0,IF(AM$3&lt;0,0,N(INDEX('CURVA PREVISION'!$A$1:$KZ$3000,$C80,11+3*MIN(AM$3,$D$2-1)))))</f>
        <v>0</v>
      </c>
      <c r="AN80" s="131" t="n">
        <f aca="false">IF(OR($C80="",$B$2="",$D$2=0),0,IF(AN$3&lt;0,0,N(INDEX('CURVA PREVISION'!$A$1:$KZ$3000,$C80,11+3*MIN(AN$3,$D$2-1)))))</f>
        <v>0</v>
      </c>
      <c r="AO80" s="131" t="n">
        <f aca="false">IF(OR($C80="",$B$2="",$D$2=0),0,IF(AO$3&lt;0,0,N(INDEX('CURVA PREVISION'!$A$1:$KZ$3000,$C80,11+3*MIN(AO$3,$D$2-1)))))</f>
        <v>0</v>
      </c>
      <c r="AP80" s="131" t="n">
        <f aca="false">IF(OR($C80="",$B$2="",$D$2=0),0,IF(AP$3&lt;0,0,N(INDEX('CURVA PREVISION'!$A$1:$KZ$3000,$C80,11+3*MIN(AP$3,$D$2-1)))))</f>
        <v>0</v>
      </c>
      <c r="AQ80" s="131" t="n">
        <f aca="false">IF(OR($C80="",$B$2="",$D$2=0),0,IF(AQ$3&lt;0,0,N(INDEX('CURVA PREVISION'!$A$1:$KZ$3000,$C80,11+3*MIN(AQ$3,$D$2-1)))))</f>
        <v>0</v>
      </c>
      <c r="AR80" s="131" t="n">
        <f aca="false">IF(OR($C80="",$B$2="",$D$2=0),0,IF(AR$3&lt;0,0,N(INDEX('CURVA PREVISION'!$A$1:$KZ$3000,$C80,11+3*MIN(AR$3,$D$2-1)))))</f>
        <v>0</v>
      </c>
      <c r="AS80" s="131" t="n">
        <f aca="false">IF(OR($C80="",$B$2="",$D$2=0),0,IF(AS$3&lt;0,0,N(INDEX('CURVA PREVISION'!$A$1:$KZ$3000,$C80,11+3*MIN(AS$3,$D$2-1)))))</f>
        <v>0</v>
      </c>
      <c r="AT80" s="131" t="n">
        <f aca="false">IF(OR($C80="",$B$2="",$D$2=0),0,IF(AT$3&lt;0,0,N(INDEX('CURVA PREVISION'!$A$1:$KZ$3000,$C80,11+3*MIN(AT$3,$D$2-1)))))</f>
        <v>0</v>
      </c>
      <c r="AU80" s="131" t="n">
        <f aca="false">IF(OR($C80="",$B$2="",$D$2=0),0,IF(AU$3&lt;0,0,N(INDEX('CURVA PREVISION'!$A$1:$KZ$3000,$C80,11+3*MIN(AU$3,$D$2-1)))))</f>
        <v>0</v>
      </c>
      <c r="AV80" s="131" t="n">
        <f aca="false">IF(OR($C80="",$B$2="",$D$2=0),0,IF(AV$3&lt;0,0,N(INDEX('CURVA PREVISION'!$A$1:$KZ$3000,$C80,11+3*MIN(AV$3,$D$2-1)))))</f>
        <v>0</v>
      </c>
      <c r="AW80" s="131" t="n">
        <f aca="false">IF(OR($C80="",$B$2="",$D$2=0),0,IF(AW$3&lt;0,0,N(INDEX('CURVA PREVISION'!$A$1:$KZ$3000,$C80,11+3*MIN(AW$3,$D$2-1)))))</f>
        <v>0</v>
      </c>
      <c r="AX80" s="131" t="n">
        <f aca="false">IF(OR($C80="",$B$2="",$D$2=0),0,IF(AX$3&lt;0,0,N(INDEX('CURVA PREVISION'!$A$1:$KZ$3000,$C80,11+3*MIN(AX$3,$D$2-1)))))</f>
        <v>0</v>
      </c>
      <c r="AY80" s="131" t="n">
        <f aca="false">IF(OR($C80="",$B$2="",$D$2=0),0,IF(AY$3&lt;0,0,N(INDEX('CURVA PREVISION'!$A$1:$KZ$3000,$C80,11+3*MIN(AY$3,$D$2-1)))))</f>
        <v>0</v>
      </c>
      <c r="AZ80" s="131" t="n">
        <f aca="false">IF(OR($C80="",$B$2="",$D$2=0),0,IF(AZ$3&lt;0,0,N(INDEX('CURVA PREVISION'!$A$1:$KZ$3000,$C80,11+3*MIN(AZ$3,$D$2-1)))))</f>
        <v>0</v>
      </c>
      <c r="BA80" s="131" t="n">
        <f aca="false">IF(OR($C80="",$B$2="",$D$2=0),0,IF(BA$3&lt;0,0,N(INDEX('CURVA PREVISION'!$A$1:$KZ$3000,$C80,11+3*MIN(BA$3,$D$2-1)))))</f>
        <v>0</v>
      </c>
      <c r="BB80" s="131" t="n">
        <f aca="false">IF(OR($C80="",$B$2="",$D$2=0),0,IF(BB$3&lt;0,0,N(INDEX('CURVA PREVISION'!$A$1:$KZ$3000,$C80,11+3*MIN(BB$3,$D$2-1)))))</f>
        <v>0</v>
      </c>
      <c r="BC80" s="131" t="n">
        <f aca="false">IF(OR($C80="",$B$2="",$D$2=0),0,IF(BC$3&lt;0,0,N(INDEX('CURVA PREVISION'!$A$1:$KZ$3000,$C80,11+3*MIN(BC$3,$D$2-1)))))</f>
        <v>0</v>
      </c>
      <c r="BD80" s="131" t="n">
        <f aca="false">IF(OR($C80="",$B$2="",$D$2=0),0,IF(BD$3&lt;0,0,N(INDEX('CURVA PREVISION'!$A$1:$KZ$3000,$C80,11+3*MIN(BD$3,$D$2-1)))))</f>
        <v>0</v>
      </c>
      <c r="BE80" s="131" t="n">
        <f aca="false">IF(OR($C80="",$B$2="",$D$2=0),0,IF(BE$3&lt;0,0,N(INDEX('CURVA PREVISION'!$A$1:$KZ$3000,$C80,11+3*MIN(BE$3,$D$2-1)))))</f>
        <v>0</v>
      </c>
      <c r="BF80" s="131" t="n">
        <f aca="false">IF(OR($C80="",$B$2="",$D$2=0),0,IF(BF$3&lt;0,0,N(INDEX('CURVA PREVISION'!$A$1:$KZ$3000,$C80,11+3*MIN(BF$3,$D$2-1)))))</f>
        <v>0</v>
      </c>
      <c r="BG80" s="131" t="n">
        <f aca="false">IF(OR($C80="",$B$2="",$D$2=0),0,IF(BG$3&lt;0,0,N(INDEX('CURVA PREVISION'!$A$1:$KZ$3000,$C80,11+3*MIN(BG$3,$D$2-1)))))</f>
        <v>0</v>
      </c>
      <c r="BH80" s="131" t="n">
        <f aca="false">IF(OR($C80="",$B$2="",$D$2=0),0,IF(BH$3&lt;0,0,N(INDEX('CURVA PREVISION'!$A$1:$KZ$3000,$C80,11+3*MIN(BH$3,$D$2-1)))))</f>
        <v>0</v>
      </c>
      <c r="BI80" s="131" t="n">
        <f aca="false">IF(OR($C80="",$B$2="",$D$2=0),0,IF(BI$3&lt;0,0,N(INDEX('CURVA PREVISION'!$A$1:$KZ$3000,$C80,11+3*MIN(BI$3,$D$2-1)))))</f>
        <v>0</v>
      </c>
      <c r="BJ80" s="131" t="n">
        <f aca="false">IF(OR($C80="",$B$2="",$D$2=0),0,IF(BJ$3&lt;0,0,N(INDEX('CURVA PREVISION'!$A$1:$KZ$3000,$C80,11+3*MIN(BJ$3,$D$2-1)))))</f>
        <v>0</v>
      </c>
      <c r="BK80" s="131" t="n">
        <f aca="false">IF(OR($C80="",$B$2="",$D$2=0),0,IF(BK$3&lt;0,0,N(INDEX('CURVA PREVISION'!$A$1:$KZ$3000,$C80,11+3*MIN(BK$3,$D$2-1)))))</f>
        <v>0</v>
      </c>
      <c r="BL80" s="131" t="n">
        <f aca="false">IF(OR($C80="",$B$2="",$D$2=0),0,IF(BL$3&lt;0,0,N(INDEX('CURVA PREVISION'!$A$1:$KZ$3000,$C80,11+3*MIN(BL$3,$D$2-1)))))</f>
        <v>0</v>
      </c>
      <c r="BM80" s="131" t="n">
        <f aca="false">IF(OR($C80="",$B$2="",$D$2=0),0,IF(BM$3&lt;0,0,N(INDEX('CURVA PREVISION'!$A$1:$KZ$3000,$C80,11+3*MIN(BM$3,$D$2-1)))))</f>
        <v>0</v>
      </c>
      <c r="BN80" s="131" t="n">
        <f aca="false">IF(OR($C80="",$B$2="",$D$2=0),0,IF(BN$3&lt;0,0,N(INDEX('CURVA PREVISION'!$A$1:$KZ$3000,$C80,11+3*MIN(BN$3,$D$2-1)))))</f>
        <v>0</v>
      </c>
      <c r="BO80" s="131" t="n">
        <f aca="false">IF(OR($C80="",$B$2="",$D$2=0),0,IF(BO$3&lt;0,0,N(INDEX('CURVA PREVISION'!$A$1:$KZ$3000,$C80,11+3*MIN(BO$3,$D$2-1)))))</f>
        <v>0</v>
      </c>
      <c r="BP80" s="131" t="n">
        <f aca="false">IF(OR($C80="",$B$2="",$D$2=0),0,IF(BP$3&lt;0,0,N(INDEX('CURVA PREVISION'!$A$1:$KZ$3000,$C80,11+3*MIN(BP$3,$D$2-1)))))</f>
        <v>0</v>
      </c>
      <c r="BQ80" s="131" t="n">
        <f aca="false">IF(OR($C80="",$B$2="",$D$2=0),0,IF(BQ$3&lt;0,0,N(INDEX('CURVA PREVISION'!$A$1:$KZ$3000,$C80,11+3*MIN(BQ$3,$D$2-1)))))</f>
        <v>0</v>
      </c>
      <c r="BR80" s="131" t="n">
        <f aca="false">IF(OR($C80="",$B$2="",$D$2=0),0,IF(BR$3&lt;0,0,N(INDEX('CURVA PREVISION'!$A$1:$KZ$3000,$C80,11+3*MIN(BR$3,$D$2-1)))))</f>
        <v>0</v>
      </c>
      <c r="BS80" s="131" t="n">
        <f aca="false">IF(OR($C80="",$B$2="",$D$2=0),0,IF(BS$3&lt;0,0,N(INDEX('CURVA PREVISION'!$A$1:$KZ$3000,$C80,11+3*MIN(BS$3,$D$2-1)))))</f>
        <v>0</v>
      </c>
      <c r="BT80" s="131" t="n">
        <f aca="false">IF(OR($C80="",$B$2="",$D$2=0),0,IF(BT$3&lt;0,0,N(INDEX('CURVA PREVISION'!$A$1:$KZ$3000,$C80,11+3*MIN(BT$3,$D$2-1)))))</f>
        <v>0</v>
      </c>
      <c r="BU80" s="131" t="n">
        <f aca="false">IF(OR($C80="",$B$2="",$D$2=0),0,IF(BU$3&lt;0,0,N(INDEX('CURVA PREVISION'!$A$1:$KZ$3000,$C80,11+3*MIN(BU$3,$D$2-1)))))</f>
        <v>0</v>
      </c>
      <c r="BV80" s="131" t="n">
        <f aca="false">IF(OR($C80="",$B$2="",$D$2=0),0,IF(BV$3&lt;0,0,N(INDEX('CURVA PREVISION'!$A$1:$KZ$3000,$C80,11+3*MIN(BV$3,$D$2-1)))))</f>
        <v>0</v>
      </c>
      <c r="BW80" s="131" t="n">
        <f aca="false">IF(OR($C80="",$B$2="",$D$2=0),0,IF(BW$3&lt;0,0,N(INDEX('CURVA PREVISION'!$A$1:$KZ$3000,$C80,11+3*MIN(BW$3,$D$2-1)))))</f>
        <v>0</v>
      </c>
    </row>
    <row r="81" customFormat="false" ht="15" hidden="false" customHeight="false" outlineLevel="0" collapsed="false">
      <c r="A81" s="57" t="str">
        <f aca="false">IF('VALOR POR PL'!Q45="",'VALOR POR PL'!C45,'VALOR POR PL'!Q45)</f>
        <v>35</v>
      </c>
      <c r="B81" s="47" t="str">
        <f aca="false">B39</f>
        <v>PINTURA</v>
      </c>
      <c r="C81" s="64" t="n">
        <f aca="false">IFERROR(MATCH(A81,'CURVA PREVISION'!$B$1:$B$3000,0),"")</f>
        <v>892</v>
      </c>
      <c r="D81" s="131" t="n">
        <f aca="false">IF(OR($C81="",$B$2="",$D$2=0),0,IF(D$3&lt;0,0,N(INDEX('CURVA PREVISION'!$A$1:$KZ$3000,$C81,11+3*MIN(D$3,$D$2-1)))))</f>
        <v>0</v>
      </c>
      <c r="E81" s="131" t="n">
        <f aca="false">IF(OR($C81="",$B$2="",$D$2=0),0,IF(E$3&lt;0,0,N(INDEX('CURVA PREVISION'!$A$1:$KZ$3000,$C81,11+3*MIN(E$3,$D$2-1)))))</f>
        <v>0</v>
      </c>
      <c r="F81" s="131" t="n">
        <f aca="false">IF(OR($C81="",$B$2="",$D$2=0),0,IF(F$3&lt;0,0,N(INDEX('CURVA PREVISION'!$A$1:$KZ$3000,$C81,11+3*MIN(F$3,$D$2-1)))))</f>
        <v>0</v>
      </c>
      <c r="G81" s="131" t="n">
        <f aca="false">IF(OR($C81="",$B$2="",$D$2=0),0,IF(G$3&lt;0,0,N(INDEX('CURVA PREVISION'!$A$1:$KZ$3000,$C81,11+3*MIN(G$3,$D$2-1)))))</f>
        <v>0</v>
      </c>
      <c r="H81" s="131" t="n">
        <f aca="false">IF(OR($C81="",$B$2="",$D$2=0),0,IF(H$3&lt;0,0,N(INDEX('CURVA PREVISION'!$A$1:$KZ$3000,$C81,11+3*MIN(H$3,$D$2-1)))))</f>
        <v>0</v>
      </c>
      <c r="I81" s="131" t="n">
        <f aca="false">IF(OR($C81="",$B$2="",$D$2=0),0,IF(I$3&lt;0,0,N(INDEX('CURVA PREVISION'!$A$1:$KZ$3000,$C81,11+3*MIN(I$3,$D$2-1)))))</f>
        <v>0</v>
      </c>
      <c r="J81" s="131" t="n">
        <f aca="false">IF(OR($C81="",$B$2="",$D$2=0),0,IF(J$3&lt;0,0,N(INDEX('CURVA PREVISION'!$A$1:$KZ$3000,$C81,11+3*MIN(J$3,$D$2-1)))))</f>
        <v>0</v>
      </c>
      <c r="K81" s="131" t="n">
        <f aca="false">IF(OR($C81="",$B$2="",$D$2=0),0,IF(K$3&lt;0,0,N(INDEX('CURVA PREVISION'!$A$1:$KZ$3000,$C81,11+3*MIN(K$3,$D$2-1)))))</f>
        <v>0</v>
      </c>
      <c r="L81" s="131" t="n">
        <f aca="false">IF(OR($C81="",$B$2="",$D$2=0),0,IF(L$3&lt;0,0,N(INDEX('CURVA PREVISION'!$A$1:$KZ$3000,$C81,11+3*MIN(L$3,$D$2-1)))))</f>
        <v>0</v>
      </c>
      <c r="M81" s="131" t="n">
        <f aca="false">IF(OR($C81="",$B$2="",$D$2=0),0,IF(M$3&lt;0,0,N(INDEX('CURVA PREVISION'!$A$1:$KZ$3000,$C81,11+3*MIN(M$3,$D$2-1)))))</f>
        <v>0</v>
      </c>
      <c r="N81" s="131" t="n">
        <f aca="false">IF(OR($C81="",$B$2="",$D$2=0),0,IF(N$3&lt;0,0,N(INDEX('CURVA PREVISION'!$A$1:$KZ$3000,$C81,11+3*MIN(N$3,$D$2-1)))))</f>
        <v>0</v>
      </c>
      <c r="O81" s="131" t="n">
        <f aca="false">IF(OR($C81="",$B$2="",$D$2=0),0,IF(O$3&lt;0,0,N(INDEX('CURVA PREVISION'!$A$1:$KZ$3000,$C81,11+3*MIN(O$3,$D$2-1)))))</f>
        <v>0</v>
      </c>
      <c r="P81" s="131" t="n">
        <f aca="false">IF(OR($C81="",$B$2="",$D$2=0),0,IF(P$3&lt;0,0,N(INDEX('CURVA PREVISION'!$A$1:$KZ$3000,$C81,11+3*MIN(P$3,$D$2-1)))))</f>
        <v>0</v>
      </c>
      <c r="Q81" s="131" t="n">
        <f aca="false">IF(OR($C81="",$B$2="",$D$2=0),0,IF(Q$3&lt;0,0,N(INDEX('CURVA PREVISION'!$A$1:$KZ$3000,$C81,11+3*MIN(Q$3,$D$2-1)))))</f>
        <v>0</v>
      </c>
      <c r="R81" s="131" t="n">
        <f aca="false">IF(OR($C81="",$B$2="",$D$2=0),0,IF(R$3&lt;0,0,N(INDEX('CURVA PREVISION'!$A$1:$KZ$3000,$C81,11+3*MIN(R$3,$D$2-1)))))</f>
        <v>0</v>
      </c>
      <c r="S81" s="131" t="n">
        <f aca="false">IF(OR($C81="",$B$2="",$D$2=0),0,IF(S$3&lt;0,0,N(INDEX('CURVA PREVISION'!$A$1:$KZ$3000,$C81,11+3*MIN(S$3,$D$2-1)))))</f>
        <v>0</v>
      </c>
      <c r="T81" s="131" t="n">
        <f aca="false">IF(OR($C81="",$B$2="",$D$2=0),0,IF(T$3&lt;0,0,N(INDEX('CURVA PREVISION'!$A$1:$KZ$3000,$C81,11+3*MIN(T$3,$D$2-1)))))</f>
        <v>0</v>
      </c>
      <c r="U81" s="131" t="n">
        <f aca="false">IF(OR($C81="",$B$2="",$D$2=0),0,IF(U$3&lt;0,0,N(INDEX('CURVA PREVISION'!$A$1:$KZ$3000,$C81,11+3*MIN(U$3,$D$2-1)))))</f>
        <v>0</v>
      </c>
      <c r="V81" s="131" t="n">
        <f aca="false">IF(OR($C81="",$B$2="",$D$2=0),0,IF(V$3&lt;0,0,N(INDEX('CURVA PREVISION'!$A$1:$KZ$3000,$C81,11+3*MIN(V$3,$D$2-1)))))</f>
        <v>0</v>
      </c>
      <c r="W81" s="131" t="n">
        <f aca="false">IF(OR($C81="",$B$2="",$D$2=0),0,IF(W$3&lt;0,0,N(INDEX('CURVA PREVISION'!$A$1:$KZ$3000,$C81,11+3*MIN(W$3,$D$2-1)))))</f>
        <v>0</v>
      </c>
      <c r="X81" s="131" t="n">
        <f aca="false">IF(OR($C81="",$B$2="",$D$2=0),0,IF(X$3&lt;0,0,N(INDEX('CURVA PREVISION'!$A$1:$KZ$3000,$C81,11+3*MIN(X$3,$D$2-1)))))</f>
        <v>0</v>
      </c>
      <c r="Y81" s="131" t="n">
        <f aca="false">IF(OR($C81="",$B$2="",$D$2=0),0,IF(Y$3&lt;0,0,N(INDEX('CURVA PREVISION'!$A$1:$KZ$3000,$C81,11+3*MIN(Y$3,$D$2-1)))))</f>
        <v>0</v>
      </c>
      <c r="Z81" s="131" t="n">
        <f aca="false">IF(OR($C81="",$B$2="",$D$2=0),0,IF(Z$3&lt;0,0,N(INDEX('CURVA PREVISION'!$A$1:$KZ$3000,$C81,11+3*MIN(Z$3,$D$2-1)))))</f>
        <v>0</v>
      </c>
      <c r="AA81" s="131" t="n">
        <f aca="false">IF(OR($C81="",$B$2="",$D$2=0),0,IF(AA$3&lt;0,0,N(INDEX('CURVA PREVISION'!$A$1:$KZ$3000,$C81,11+3*MIN(AA$3,$D$2-1)))))</f>
        <v>0</v>
      </c>
      <c r="AB81" s="131" t="n">
        <f aca="false">IF(OR($C81="",$B$2="",$D$2=0),0,IF(AB$3&lt;0,0,N(INDEX('CURVA PREVISION'!$A$1:$KZ$3000,$C81,11+3*MIN(AB$3,$D$2-1)))))</f>
        <v>0</v>
      </c>
      <c r="AC81" s="131" t="n">
        <f aca="false">IF(OR($C81="",$B$2="",$D$2=0),0,IF(AC$3&lt;0,0,N(INDEX('CURVA PREVISION'!$A$1:$KZ$3000,$C81,11+3*MIN(AC$3,$D$2-1)))))</f>
        <v>0</v>
      </c>
      <c r="AD81" s="131" t="n">
        <f aca="false">IF(OR($C81="",$B$2="",$D$2=0),0,IF(AD$3&lt;0,0,N(INDEX('CURVA PREVISION'!$A$1:$KZ$3000,$C81,11+3*MIN(AD$3,$D$2-1)))))</f>
        <v>0</v>
      </c>
      <c r="AE81" s="131" t="n">
        <f aca="false">IF(OR($C81="",$B$2="",$D$2=0),0,IF(AE$3&lt;0,0,N(INDEX('CURVA PREVISION'!$A$1:$KZ$3000,$C81,11+3*MIN(AE$3,$D$2-1)))))</f>
        <v>0</v>
      </c>
      <c r="AF81" s="131" t="n">
        <f aca="false">IF(OR($C81="",$B$2="",$D$2=0),0,IF(AF$3&lt;0,0,N(INDEX('CURVA PREVISION'!$A$1:$KZ$3000,$C81,11+3*MIN(AF$3,$D$2-1)))))</f>
        <v>0</v>
      </c>
      <c r="AG81" s="131" t="n">
        <f aca="false">IF(OR($C81="",$B$2="",$D$2=0),0,IF(AG$3&lt;0,0,N(INDEX('CURVA PREVISION'!$A$1:$KZ$3000,$C81,11+3*MIN(AG$3,$D$2-1)))))</f>
        <v>0</v>
      </c>
      <c r="AH81" s="131" t="n">
        <f aca="false">IF(OR($C81="",$B$2="",$D$2=0),0,IF(AH$3&lt;0,0,N(INDEX('CURVA PREVISION'!$A$1:$KZ$3000,$C81,11+3*MIN(AH$3,$D$2-1)))))</f>
        <v>0</v>
      </c>
      <c r="AI81" s="131" t="n">
        <f aca="false">IF(OR($C81="",$B$2="",$D$2=0),0,IF(AI$3&lt;0,0,N(INDEX('CURVA PREVISION'!$A$1:$KZ$3000,$C81,11+3*MIN(AI$3,$D$2-1)))))</f>
        <v>0</v>
      </c>
      <c r="AJ81" s="131" t="n">
        <f aca="false">IF(OR($C81="",$B$2="",$D$2=0),0,IF(AJ$3&lt;0,0,N(INDEX('CURVA PREVISION'!$A$1:$KZ$3000,$C81,11+3*MIN(AJ$3,$D$2-1)))))</f>
        <v>0</v>
      </c>
      <c r="AK81" s="131" t="n">
        <f aca="false">IF(OR($C81="",$B$2="",$D$2=0),0,IF(AK$3&lt;0,0,N(INDEX('CURVA PREVISION'!$A$1:$KZ$3000,$C81,11+3*MIN(AK$3,$D$2-1)))))</f>
        <v>0</v>
      </c>
      <c r="AL81" s="131" t="n">
        <f aca="false">IF(OR($C81="",$B$2="",$D$2=0),0,IF(AL$3&lt;0,0,N(INDEX('CURVA PREVISION'!$A$1:$KZ$3000,$C81,11+3*MIN(AL$3,$D$2-1)))))</f>
        <v>0</v>
      </c>
      <c r="AM81" s="131" t="n">
        <f aca="false">IF(OR($C81="",$B$2="",$D$2=0),0,IF(AM$3&lt;0,0,N(INDEX('CURVA PREVISION'!$A$1:$KZ$3000,$C81,11+3*MIN(AM$3,$D$2-1)))))</f>
        <v>0</v>
      </c>
      <c r="AN81" s="131" t="n">
        <f aca="false">IF(OR($C81="",$B$2="",$D$2=0),0,IF(AN$3&lt;0,0,N(INDEX('CURVA PREVISION'!$A$1:$KZ$3000,$C81,11+3*MIN(AN$3,$D$2-1)))))</f>
        <v>0</v>
      </c>
      <c r="AO81" s="131" t="n">
        <f aca="false">IF(OR($C81="",$B$2="",$D$2=0),0,IF(AO$3&lt;0,0,N(INDEX('CURVA PREVISION'!$A$1:$KZ$3000,$C81,11+3*MIN(AO$3,$D$2-1)))))</f>
        <v>0</v>
      </c>
      <c r="AP81" s="131" t="n">
        <f aca="false">IF(OR($C81="",$B$2="",$D$2=0),0,IF(AP$3&lt;0,0,N(INDEX('CURVA PREVISION'!$A$1:$KZ$3000,$C81,11+3*MIN(AP$3,$D$2-1)))))</f>
        <v>0</v>
      </c>
      <c r="AQ81" s="131" t="n">
        <f aca="false">IF(OR($C81="",$B$2="",$D$2=0),0,IF(AQ$3&lt;0,0,N(INDEX('CURVA PREVISION'!$A$1:$KZ$3000,$C81,11+3*MIN(AQ$3,$D$2-1)))))</f>
        <v>0</v>
      </c>
      <c r="AR81" s="131" t="n">
        <f aca="false">IF(OR($C81="",$B$2="",$D$2=0),0,IF(AR$3&lt;0,0,N(INDEX('CURVA PREVISION'!$A$1:$KZ$3000,$C81,11+3*MIN(AR$3,$D$2-1)))))</f>
        <v>0</v>
      </c>
      <c r="AS81" s="131" t="n">
        <f aca="false">IF(OR($C81="",$B$2="",$D$2=0),0,IF(AS$3&lt;0,0,N(INDEX('CURVA PREVISION'!$A$1:$KZ$3000,$C81,11+3*MIN(AS$3,$D$2-1)))))</f>
        <v>0</v>
      </c>
      <c r="AT81" s="131" t="n">
        <f aca="false">IF(OR($C81="",$B$2="",$D$2=0),0,IF(AT$3&lt;0,0,N(INDEX('CURVA PREVISION'!$A$1:$KZ$3000,$C81,11+3*MIN(AT$3,$D$2-1)))))</f>
        <v>0</v>
      </c>
      <c r="AU81" s="131" t="n">
        <f aca="false">IF(OR($C81="",$B$2="",$D$2=0),0,IF(AU$3&lt;0,0,N(INDEX('CURVA PREVISION'!$A$1:$KZ$3000,$C81,11+3*MIN(AU$3,$D$2-1)))))</f>
        <v>0</v>
      </c>
      <c r="AV81" s="131" t="n">
        <f aca="false">IF(OR($C81="",$B$2="",$D$2=0),0,IF(AV$3&lt;0,0,N(INDEX('CURVA PREVISION'!$A$1:$KZ$3000,$C81,11+3*MIN(AV$3,$D$2-1)))))</f>
        <v>0</v>
      </c>
      <c r="AW81" s="131" t="n">
        <f aca="false">IF(OR($C81="",$B$2="",$D$2=0),0,IF(AW$3&lt;0,0,N(INDEX('CURVA PREVISION'!$A$1:$KZ$3000,$C81,11+3*MIN(AW$3,$D$2-1)))))</f>
        <v>0</v>
      </c>
      <c r="AX81" s="131" t="n">
        <f aca="false">IF(OR($C81="",$B$2="",$D$2=0),0,IF(AX$3&lt;0,0,N(INDEX('CURVA PREVISION'!$A$1:$KZ$3000,$C81,11+3*MIN(AX$3,$D$2-1)))))</f>
        <v>0</v>
      </c>
      <c r="AY81" s="131" t="n">
        <f aca="false">IF(OR($C81="",$B$2="",$D$2=0),0,IF(AY$3&lt;0,0,N(INDEX('CURVA PREVISION'!$A$1:$KZ$3000,$C81,11+3*MIN(AY$3,$D$2-1)))))</f>
        <v>0</v>
      </c>
      <c r="AZ81" s="131" t="n">
        <f aca="false">IF(OR($C81="",$B$2="",$D$2=0),0,IF(AZ$3&lt;0,0,N(INDEX('CURVA PREVISION'!$A$1:$KZ$3000,$C81,11+3*MIN(AZ$3,$D$2-1)))))</f>
        <v>0</v>
      </c>
      <c r="BA81" s="131" t="n">
        <f aca="false">IF(OR($C81="",$B$2="",$D$2=0),0,IF(BA$3&lt;0,0,N(INDEX('CURVA PREVISION'!$A$1:$KZ$3000,$C81,11+3*MIN(BA$3,$D$2-1)))))</f>
        <v>0</v>
      </c>
      <c r="BB81" s="131" t="n">
        <f aca="false">IF(OR($C81="",$B$2="",$D$2=0),0,IF(BB$3&lt;0,0,N(INDEX('CURVA PREVISION'!$A$1:$KZ$3000,$C81,11+3*MIN(BB$3,$D$2-1)))))</f>
        <v>0</v>
      </c>
      <c r="BC81" s="131" t="n">
        <f aca="false">IF(OR($C81="",$B$2="",$D$2=0),0,IF(BC$3&lt;0,0,N(INDEX('CURVA PREVISION'!$A$1:$KZ$3000,$C81,11+3*MIN(BC$3,$D$2-1)))))</f>
        <v>0</v>
      </c>
      <c r="BD81" s="131" t="n">
        <f aca="false">IF(OR($C81="",$B$2="",$D$2=0),0,IF(BD$3&lt;0,0,N(INDEX('CURVA PREVISION'!$A$1:$KZ$3000,$C81,11+3*MIN(BD$3,$D$2-1)))))</f>
        <v>0</v>
      </c>
      <c r="BE81" s="131" t="n">
        <f aca="false">IF(OR($C81="",$B$2="",$D$2=0),0,IF(BE$3&lt;0,0,N(INDEX('CURVA PREVISION'!$A$1:$KZ$3000,$C81,11+3*MIN(BE$3,$D$2-1)))))</f>
        <v>0</v>
      </c>
      <c r="BF81" s="131" t="n">
        <f aca="false">IF(OR($C81="",$B$2="",$D$2=0),0,IF(BF$3&lt;0,0,N(INDEX('CURVA PREVISION'!$A$1:$KZ$3000,$C81,11+3*MIN(BF$3,$D$2-1)))))</f>
        <v>0</v>
      </c>
      <c r="BG81" s="131" t="n">
        <f aca="false">IF(OR($C81="",$B$2="",$D$2=0),0,IF(BG$3&lt;0,0,N(INDEX('CURVA PREVISION'!$A$1:$KZ$3000,$C81,11+3*MIN(BG$3,$D$2-1)))))</f>
        <v>0</v>
      </c>
      <c r="BH81" s="131" t="n">
        <f aca="false">IF(OR($C81="",$B$2="",$D$2=0),0,IF(BH$3&lt;0,0,N(INDEX('CURVA PREVISION'!$A$1:$KZ$3000,$C81,11+3*MIN(BH$3,$D$2-1)))))</f>
        <v>0</v>
      </c>
      <c r="BI81" s="131" t="n">
        <f aca="false">IF(OR($C81="",$B$2="",$D$2=0),0,IF(BI$3&lt;0,0,N(INDEX('CURVA PREVISION'!$A$1:$KZ$3000,$C81,11+3*MIN(BI$3,$D$2-1)))))</f>
        <v>0</v>
      </c>
      <c r="BJ81" s="131" t="n">
        <f aca="false">IF(OR($C81="",$B$2="",$D$2=0),0,IF(BJ$3&lt;0,0,N(INDEX('CURVA PREVISION'!$A$1:$KZ$3000,$C81,11+3*MIN(BJ$3,$D$2-1)))))</f>
        <v>0</v>
      </c>
      <c r="BK81" s="131" t="n">
        <f aca="false">IF(OR($C81="",$B$2="",$D$2=0),0,IF(BK$3&lt;0,0,N(INDEX('CURVA PREVISION'!$A$1:$KZ$3000,$C81,11+3*MIN(BK$3,$D$2-1)))))</f>
        <v>0</v>
      </c>
      <c r="BL81" s="131" t="n">
        <f aca="false">IF(OR($C81="",$B$2="",$D$2=0),0,IF(BL$3&lt;0,0,N(INDEX('CURVA PREVISION'!$A$1:$KZ$3000,$C81,11+3*MIN(BL$3,$D$2-1)))))</f>
        <v>0</v>
      </c>
      <c r="BM81" s="131" t="n">
        <f aca="false">IF(OR($C81="",$B$2="",$D$2=0),0,IF(BM$3&lt;0,0,N(INDEX('CURVA PREVISION'!$A$1:$KZ$3000,$C81,11+3*MIN(BM$3,$D$2-1)))))</f>
        <v>0</v>
      </c>
      <c r="BN81" s="131" t="n">
        <f aca="false">IF(OR($C81="",$B$2="",$D$2=0),0,IF(BN$3&lt;0,0,N(INDEX('CURVA PREVISION'!$A$1:$KZ$3000,$C81,11+3*MIN(BN$3,$D$2-1)))))</f>
        <v>0</v>
      </c>
      <c r="BO81" s="131" t="n">
        <f aca="false">IF(OR($C81="",$B$2="",$D$2=0),0,IF(BO$3&lt;0,0,N(INDEX('CURVA PREVISION'!$A$1:$KZ$3000,$C81,11+3*MIN(BO$3,$D$2-1)))))</f>
        <v>0</v>
      </c>
      <c r="BP81" s="131" t="n">
        <f aca="false">IF(OR($C81="",$B$2="",$D$2=0),0,IF(BP$3&lt;0,0,N(INDEX('CURVA PREVISION'!$A$1:$KZ$3000,$C81,11+3*MIN(BP$3,$D$2-1)))))</f>
        <v>0</v>
      </c>
      <c r="BQ81" s="131" t="n">
        <f aca="false">IF(OR($C81="",$B$2="",$D$2=0),0,IF(BQ$3&lt;0,0,N(INDEX('CURVA PREVISION'!$A$1:$KZ$3000,$C81,11+3*MIN(BQ$3,$D$2-1)))))</f>
        <v>0</v>
      </c>
      <c r="BR81" s="131" t="n">
        <f aca="false">IF(OR($C81="",$B$2="",$D$2=0),0,IF(BR$3&lt;0,0,N(INDEX('CURVA PREVISION'!$A$1:$KZ$3000,$C81,11+3*MIN(BR$3,$D$2-1)))))</f>
        <v>0</v>
      </c>
      <c r="BS81" s="131" t="n">
        <f aca="false">IF(OR($C81="",$B$2="",$D$2=0),0,IF(BS$3&lt;0,0,N(INDEX('CURVA PREVISION'!$A$1:$KZ$3000,$C81,11+3*MIN(BS$3,$D$2-1)))))</f>
        <v>0</v>
      </c>
      <c r="BT81" s="131" t="n">
        <f aca="false">IF(OR($C81="",$B$2="",$D$2=0),0,IF(BT$3&lt;0,0,N(INDEX('CURVA PREVISION'!$A$1:$KZ$3000,$C81,11+3*MIN(BT$3,$D$2-1)))))</f>
        <v>0</v>
      </c>
      <c r="BU81" s="131" t="n">
        <f aca="false">IF(OR($C81="",$B$2="",$D$2=0),0,IF(BU$3&lt;0,0,N(INDEX('CURVA PREVISION'!$A$1:$KZ$3000,$C81,11+3*MIN(BU$3,$D$2-1)))))</f>
        <v>0</v>
      </c>
      <c r="BV81" s="131" t="n">
        <f aca="false">IF(OR($C81="",$B$2="",$D$2=0),0,IF(BV$3&lt;0,0,N(INDEX('CURVA PREVISION'!$A$1:$KZ$3000,$C81,11+3*MIN(BV$3,$D$2-1)))))</f>
        <v>0</v>
      </c>
      <c r="BW81" s="131" t="n">
        <f aca="false">IF(OR($C81="",$B$2="",$D$2=0),0,IF(BW$3&lt;0,0,N(INDEX('CURVA PREVISION'!$A$1:$KZ$3000,$C81,11+3*MIN(BW$3,$D$2-1)))))</f>
        <v>0</v>
      </c>
    </row>
    <row r="82" customFormat="false" ht="15" hidden="false" customHeight="false" outlineLevel="0" collapsed="false">
      <c r="A82" s="57" t="str">
        <f aca="false">IF('VALOR POR PL'!Q46="",'VALOR POR PL'!C46,'VALOR POR PL'!Q46)</f>
        <v>36</v>
      </c>
      <c r="B82" s="47" t="str">
        <f aca="false">B40</f>
        <v>PAISAGISMO</v>
      </c>
      <c r="C82" s="64" t="n">
        <f aca="false">IFERROR(MATCH(A82,'CURVA PREVISION'!$B$1:$B$3000,0),"")</f>
        <v>919</v>
      </c>
      <c r="D82" s="131" t="n">
        <f aca="false">IF(OR($C82="",$B$2="",$D$2=0),0,IF(D$3&lt;0,0,N(INDEX('CURVA PREVISION'!$A$1:$KZ$3000,$C82,11+3*MIN(D$3,$D$2-1)))))</f>
        <v>0</v>
      </c>
      <c r="E82" s="131" t="n">
        <f aca="false">IF(OR($C82="",$B$2="",$D$2=0),0,IF(E$3&lt;0,0,N(INDEX('CURVA PREVISION'!$A$1:$KZ$3000,$C82,11+3*MIN(E$3,$D$2-1)))))</f>
        <v>0</v>
      </c>
      <c r="F82" s="131" t="n">
        <f aca="false">IF(OR($C82="",$B$2="",$D$2=0),0,IF(F$3&lt;0,0,N(INDEX('CURVA PREVISION'!$A$1:$KZ$3000,$C82,11+3*MIN(F$3,$D$2-1)))))</f>
        <v>0</v>
      </c>
      <c r="G82" s="131" t="n">
        <f aca="false">IF(OR($C82="",$B$2="",$D$2=0),0,IF(G$3&lt;0,0,N(INDEX('CURVA PREVISION'!$A$1:$KZ$3000,$C82,11+3*MIN(G$3,$D$2-1)))))</f>
        <v>0</v>
      </c>
      <c r="H82" s="131" t="n">
        <f aca="false">IF(OR($C82="",$B$2="",$D$2=0),0,IF(H$3&lt;0,0,N(INDEX('CURVA PREVISION'!$A$1:$KZ$3000,$C82,11+3*MIN(H$3,$D$2-1)))))</f>
        <v>0</v>
      </c>
      <c r="I82" s="131" t="n">
        <f aca="false">IF(OR($C82="",$B$2="",$D$2=0),0,IF(I$3&lt;0,0,N(INDEX('CURVA PREVISION'!$A$1:$KZ$3000,$C82,11+3*MIN(I$3,$D$2-1)))))</f>
        <v>0</v>
      </c>
      <c r="J82" s="131" t="n">
        <f aca="false">IF(OR($C82="",$B$2="",$D$2=0),0,IF(J$3&lt;0,0,N(INDEX('CURVA PREVISION'!$A$1:$KZ$3000,$C82,11+3*MIN(J$3,$D$2-1)))))</f>
        <v>0</v>
      </c>
      <c r="K82" s="131" t="n">
        <f aca="false">IF(OR($C82="",$B$2="",$D$2=0),0,IF(K$3&lt;0,0,N(INDEX('CURVA PREVISION'!$A$1:$KZ$3000,$C82,11+3*MIN(K$3,$D$2-1)))))</f>
        <v>0</v>
      </c>
      <c r="L82" s="131" t="n">
        <f aca="false">IF(OR($C82="",$B$2="",$D$2=0),0,IF(L$3&lt;0,0,N(INDEX('CURVA PREVISION'!$A$1:$KZ$3000,$C82,11+3*MIN(L$3,$D$2-1)))))</f>
        <v>0</v>
      </c>
      <c r="M82" s="131" t="n">
        <f aca="false">IF(OR($C82="",$B$2="",$D$2=0),0,IF(M$3&lt;0,0,N(INDEX('CURVA PREVISION'!$A$1:$KZ$3000,$C82,11+3*MIN(M$3,$D$2-1)))))</f>
        <v>0</v>
      </c>
      <c r="N82" s="131" t="n">
        <f aca="false">IF(OR($C82="",$B$2="",$D$2=0),0,IF(N$3&lt;0,0,N(INDEX('CURVA PREVISION'!$A$1:$KZ$3000,$C82,11+3*MIN(N$3,$D$2-1)))))</f>
        <v>0</v>
      </c>
      <c r="O82" s="131" t="n">
        <f aca="false">IF(OR($C82="",$B$2="",$D$2=0),0,IF(O$3&lt;0,0,N(INDEX('CURVA PREVISION'!$A$1:$KZ$3000,$C82,11+3*MIN(O$3,$D$2-1)))))</f>
        <v>0</v>
      </c>
      <c r="P82" s="131" t="n">
        <f aca="false">IF(OR($C82="",$B$2="",$D$2=0),0,IF(P$3&lt;0,0,N(INDEX('CURVA PREVISION'!$A$1:$KZ$3000,$C82,11+3*MIN(P$3,$D$2-1)))))</f>
        <v>0</v>
      </c>
      <c r="Q82" s="131" t="n">
        <f aca="false">IF(OR($C82="",$B$2="",$D$2=0),0,IF(Q$3&lt;0,0,N(INDEX('CURVA PREVISION'!$A$1:$KZ$3000,$C82,11+3*MIN(Q$3,$D$2-1)))))</f>
        <v>0</v>
      </c>
      <c r="R82" s="131" t="n">
        <f aca="false">IF(OR($C82="",$B$2="",$D$2=0),0,IF(R$3&lt;0,0,N(INDEX('CURVA PREVISION'!$A$1:$KZ$3000,$C82,11+3*MIN(R$3,$D$2-1)))))</f>
        <v>0</v>
      </c>
      <c r="S82" s="131" t="n">
        <f aca="false">IF(OR($C82="",$B$2="",$D$2=0),0,IF(S$3&lt;0,0,N(INDEX('CURVA PREVISION'!$A$1:$KZ$3000,$C82,11+3*MIN(S$3,$D$2-1)))))</f>
        <v>0</v>
      </c>
      <c r="T82" s="131" t="n">
        <f aca="false">IF(OR($C82="",$B$2="",$D$2=0),0,IF(T$3&lt;0,0,N(INDEX('CURVA PREVISION'!$A$1:$KZ$3000,$C82,11+3*MIN(T$3,$D$2-1)))))</f>
        <v>0</v>
      </c>
      <c r="U82" s="131" t="n">
        <f aca="false">IF(OR($C82="",$B$2="",$D$2=0),0,IF(U$3&lt;0,0,N(INDEX('CURVA PREVISION'!$A$1:$KZ$3000,$C82,11+3*MIN(U$3,$D$2-1)))))</f>
        <v>0</v>
      </c>
      <c r="V82" s="131" t="n">
        <f aca="false">IF(OR($C82="",$B$2="",$D$2=0),0,IF(V$3&lt;0,0,N(INDEX('CURVA PREVISION'!$A$1:$KZ$3000,$C82,11+3*MIN(V$3,$D$2-1)))))</f>
        <v>0</v>
      </c>
      <c r="W82" s="131" t="n">
        <f aca="false">IF(OR($C82="",$B$2="",$D$2=0),0,IF(W$3&lt;0,0,N(INDEX('CURVA PREVISION'!$A$1:$KZ$3000,$C82,11+3*MIN(W$3,$D$2-1)))))</f>
        <v>0</v>
      </c>
      <c r="X82" s="131" t="n">
        <f aca="false">IF(OR($C82="",$B$2="",$D$2=0),0,IF(X$3&lt;0,0,N(INDEX('CURVA PREVISION'!$A$1:$KZ$3000,$C82,11+3*MIN(X$3,$D$2-1)))))</f>
        <v>0</v>
      </c>
      <c r="Y82" s="131" t="n">
        <f aca="false">IF(OR($C82="",$B$2="",$D$2=0),0,IF(Y$3&lt;0,0,N(INDEX('CURVA PREVISION'!$A$1:$KZ$3000,$C82,11+3*MIN(Y$3,$D$2-1)))))</f>
        <v>0</v>
      </c>
      <c r="Z82" s="131" t="n">
        <f aca="false">IF(OR($C82="",$B$2="",$D$2=0),0,IF(Z$3&lt;0,0,N(INDEX('CURVA PREVISION'!$A$1:$KZ$3000,$C82,11+3*MIN(Z$3,$D$2-1)))))</f>
        <v>0</v>
      </c>
      <c r="AA82" s="131" t="n">
        <f aca="false">IF(OR($C82="",$B$2="",$D$2=0),0,IF(AA$3&lt;0,0,N(INDEX('CURVA PREVISION'!$A$1:$KZ$3000,$C82,11+3*MIN(AA$3,$D$2-1)))))</f>
        <v>0</v>
      </c>
      <c r="AB82" s="131" t="n">
        <f aca="false">IF(OR($C82="",$B$2="",$D$2=0),0,IF(AB$3&lt;0,0,N(INDEX('CURVA PREVISION'!$A$1:$KZ$3000,$C82,11+3*MIN(AB$3,$D$2-1)))))</f>
        <v>0</v>
      </c>
      <c r="AC82" s="131" t="n">
        <f aca="false">IF(OR($C82="",$B$2="",$D$2=0),0,IF(AC$3&lt;0,0,N(INDEX('CURVA PREVISION'!$A$1:$KZ$3000,$C82,11+3*MIN(AC$3,$D$2-1)))))</f>
        <v>0</v>
      </c>
      <c r="AD82" s="131" t="n">
        <f aca="false">IF(OR($C82="",$B$2="",$D$2=0),0,IF(AD$3&lt;0,0,N(INDEX('CURVA PREVISION'!$A$1:$KZ$3000,$C82,11+3*MIN(AD$3,$D$2-1)))))</f>
        <v>0</v>
      </c>
      <c r="AE82" s="131" t="n">
        <f aca="false">IF(OR($C82="",$B$2="",$D$2=0),0,IF(AE$3&lt;0,0,N(INDEX('CURVA PREVISION'!$A$1:$KZ$3000,$C82,11+3*MIN(AE$3,$D$2-1)))))</f>
        <v>0</v>
      </c>
      <c r="AF82" s="131" t="n">
        <f aca="false">IF(OR($C82="",$B$2="",$D$2=0),0,IF(AF$3&lt;0,0,N(INDEX('CURVA PREVISION'!$A$1:$KZ$3000,$C82,11+3*MIN(AF$3,$D$2-1)))))</f>
        <v>0</v>
      </c>
      <c r="AG82" s="131" t="n">
        <f aca="false">IF(OR($C82="",$B$2="",$D$2=0),0,IF(AG$3&lt;0,0,N(INDEX('CURVA PREVISION'!$A$1:$KZ$3000,$C82,11+3*MIN(AG$3,$D$2-1)))))</f>
        <v>0</v>
      </c>
      <c r="AH82" s="131" t="n">
        <f aca="false">IF(OR($C82="",$B$2="",$D$2=0),0,IF(AH$3&lt;0,0,N(INDEX('CURVA PREVISION'!$A$1:$KZ$3000,$C82,11+3*MIN(AH$3,$D$2-1)))))</f>
        <v>0</v>
      </c>
      <c r="AI82" s="131" t="n">
        <f aca="false">IF(OR($C82="",$B$2="",$D$2=0),0,IF(AI$3&lt;0,0,N(INDEX('CURVA PREVISION'!$A$1:$KZ$3000,$C82,11+3*MIN(AI$3,$D$2-1)))))</f>
        <v>0</v>
      </c>
      <c r="AJ82" s="131" t="n">
        <f aca="false">IF(OR($C82="",$B$2="",$D$2=0),0,IF(AJ$3&lt;0,0,N(INDEX('CURVA PREVISION'!$A$1:$KZ$3000,$C82,11+3*MIN(AJ$3,$D$2-1)))))</f>
        <v>0</v>
      </c>
      <c r="AK82" s="131" t="n">
        <f aca="false">IF(OR($C82="",$B$2="",$D$2=0),0,IF(AK$3&lt;0,0,N(INDEX('CURVA PREVISION'!$A$1:$KZ$3000,$C82,11+3*MIN(AK$3,$D$2-1)))))</f>
        <v>0</v>
      </c>
      <c r="AL82" s="131" t="n">
        <f aca="false">IF(OR($C82="",$B$2="",$D$2=0),0,IF(AL$3&lt;0,0,N(INDEX('CURVA PREVISION'!$A$1:$KZ$3000,$C82,11+3*MIN(AL$3,$D$2-1)))))</f>
        <v>0</v>
      </c>
      <c r="AM82" s="131" t="n">
        <f aca="false">IF(OR($C82="",$B$2="",$D$2=0),0,IF(AM$3&lt;0,0,N(INDEX('CURVA PREVISION'!$A$1:$KZ$3000,$C82,11+3*MIN(AM$3,$D$2-1)))))</f>
        <v>0</v>
      </c>
      <c r="AN82" s="131" t="n">
        <f aca="false">IF(OR($C82="",$B$2="",$D$2=0),0,IF(AN$3&lt;0,0,N(INDEX('CURVA PREVISION'!$A$1:$KZ$3000,$C82,11+3*MIN(AN$3,$D$2-1)))))</f>
        <v>0</v>
      </c>
      <c r="AO82" s="131" t="n">
        <f aca="false">IF(OR($C82="",$B$2="",$D$2=0),0,IF(AO$3&lt;0,0,N(INDEX('CURVA PREVISION'!$A$1:$KZ$3000,$C82,11+3*MIN(AO$3,$D$2-1)))))</f>
        <v>0</v>
      </c>
      <c r="AP82" s="131" t="n">
        <f aca="false">IF(OR($C82="",$B$2="",$D$2=0),0,IF(AP$3&lt;0,0,N(INDEX('CURVA PREVISION'!$A$1:$KZ$3000,$C82,11+3*MIN(AP$3,$D$2-1)))))</f>
        <v>0</v>
      </c>
      <c r="AQ82" s="131" t="n">
        <f aca="false">IF(OR($C82="",$B$2="",$D$2=0),0,IF(AQ$3&lt;0,0,N(INDEX('CURVA PREVISION'!$A$1:$KZ$3000,$C82,11+3*MIN(AQ$3,$D$2-1)))))</f>
        <v>0</v>
      </c>
      <c r="AR82" s="131" t="n">
        <f aca="false">IF(OR($C82="",$B$2="",$D$2=0),0,IF(AR$3&lt;0,0,N(INDEX('CURVA PREVISION'!$A$1:$KZ$3000,$C82,11+3*MIN(AR$3,$D$2-1)))))</f>
        <v>0</v>
      </c>
      <c r="AS82" s="131" t="n">
        <f aca="false">IF(OR($C82="",$B$2="",$D$2=0),0,IF(AS$3&lt;0,0,N(INDEX('CURVA PREVISION'!$A$1:$KZ$3000,$C82,11+3*MIN(AS$3,$D$2-1)))))</f>
        <v>0</v>
      </c>
      <c r="AT82" s="131" t="n">
        <f aca="false">IF(OR($C82="",$B$2="",$D$2=0),0,IF(AT$3&lt;0,0,N(INDEX('CURVA PREVISION'!$A$1:$KZ$3000,$C82,11+3*MIN(AT$3,$D$2-1)))))</f>
        <v>0</v>
      </c>
      <c r="AU82" s="131" t="n">
        <f aca="false">IF(OR($C82="",$B$2="",$D$2=0),0,IF(AU$3&lt;0,0,N(INDEX('CURVA PREVISION'!$A$1:$KZ$3000,$C82,11+3*MIN(AU$3,$D$2-1)))))</f>
        <v>0</v>
      </c>
      <c r="AV82" s="131" t="n">
        <f aca="false">IF(OR($C82="",$B$2="",$D$2=0),0,IF(AV$3&lt;0,0,N(INDEX('CURVA PREVISION'!$A$1:$KZ$3000,$C82,11+3*MIN(AV$3,$D$2-1)))))</f>
        <v>0</v>
      </c>
      <c r="AW82" s="131" t="n">
        <f aca="false">IF(OR($C82="",$B$2="",$D$2=0),0,IF(AW$3&lt;0,0,N(INDEX('CURVA PREVISION'!$A$1:$KZ$3000,$C82,11+3*MIN(AW$3,$D$2-1)))))</f>
        <v>0</v>
      </c>
      <c r="AX82" s="131" t="n">
        <f aca="false">IF(OR($C82="",$B$2="",$D$2=0),0,IF(AX$3&lt;0,0,N(INDEX('CURVA PREVISION'!$A$1:$KZ$3000,$C82,11+3*MIN(AX$3,$D$2-1)))))</f>
        <v>0</v>
      </c>
      <c r="AY82" s="131" t="n">
        <f aca="false">IF(OR($C82="",$B$2="",$D$2=0),0,IF(AY$3&lt;0,0,N(INDEX('CURVA PREVISION'!$A$1:$KZ$3000,$C82,11+3*MIN(AY$3,$D$2-1)))))</f>
        <v>0</v>
      </c>
      <c r="AZ82" s="131" t="n">
        <f aca="false">IF(OR($C82="",$B$2="",$D$2=0),0,IF(AZ$3&lt;0,0,N(INDEX('CURVA PREVISION'!$A$1:$KZ$3000,$C82,11+3*MIN(AZ$3,$D$2-1)))))</f>
        <v>0</v>
      </c>
      <c r="BA82" s="131" t="n">
        <f aca="false">IF(OR($C82="",$B$2="",$D$2=0),0,IF(BA$3&lt;0,0,N(INDEX('CURVA PREVISION'!$A$1:$KZ$3000,$C82,11+3*MIN(BA$3,$D$2-1)))))</f>
        <v>0</v>
      </c>
      <c r="BB82" s="131" t="n">
        <f aca="false">IF(OR($C82="",$B$2="",$D$2=0),0,IF(BB$3&lt;0,0,N(INDEX('CURVA PREVISION'!$A$1:$KZ$3000,$C82,11+3*MIN(BB$3,$D$2-1)))))</f>
        <v>0</v>
      </c>
      <c r="BC82" s="131" t="n">
        <f aca="false">IF(OR($C82="",$B$2="",$D$2=0),0,IF(BC$3&lt;0,0,N(INDEX('CURVA PREVISION'!$A$1:$KZ$3000,$C82,11+3*MIN(BC$3,$D$2-1)))))</f>
        <v>0</v>
      </c>
      <c r="BD82" s="131" t="n">
        <f aca="false">IF(OR($C82="",$B$2="",$D$2=0),0,IF(BD$3&lt;0,0,N(INDEX('CURVA PREVISION'!$A$1:$KZ$3000,$C82,11+3*MIN(BD$3,$D$2-1)))))</f>
        <v>0</v>
      </c>
      <c r="BE82" s="131" t="n">
        <f aca="false">IF(OR($C82="",$B$2="",$D$2=0),0,IF(BE$3&lt;0,0,N(INDEX('CURVA PREVISION'!$A$1:$KZ$3000,$C82,11+3*MIN(BE$3,$D$2-1)))))</f>
        <v>0</v>
      </c>
      <c r="BF82" s="131" t="n">
        <f aca="false">IF(OR($C82="",$B$2="",$D$2=0),0,IF(BF$3&lt;0,0,N(INDEX('CURVA PREVISION'!$A$1:$KZ$3000,$C82,11+3*MIN(BF$3,$D$2-1)))))</f>
        <v>0</v>
      </c>
      <c r="BG82" s="131" t="n">
        <f aca="false">IF(OR($C82="",$B$2="",$D$2=0),0,IF(BG$3&lt;0,0,N(INDEX('CURVA PREVISION'!$A$1:$KZ$3000,$C82,11+3*MIN(BG$3,$D$2-1)))))</f>
        <v>0</v>
      </c>
      <c r="BH82" s="131" t="n">
        <f aca="false">IF(OR($C82="",$B$2="",$D$2=0),0,IF(BH$3&lt;0,0,N(INDEX('CURVA PREVISION'!$A$1:$KZ$3000,$C82,11+3*MIN(BH$3,$D$2-1)))))</f>
        <v>0</v>
      </c>
      <c r="BI82" s="131" t="n">
        <f aca="false">IF(OR($C82="",$B$2="",$D$2=0),0,IF(BI$3&lt;0,0,N(INDEX('CURVA PREVISION'!$A$1:$KZ$3000,$C82,11+3*MIN(BI$3,$D$2-1)))))</f>
        <v>0</v>
      </c>
      <c r="BJ82" s="131" t="n">
        <f aca="false">IF(OR($C82="",$B$2="",$D$2=0),0,IF(BJ$3&lt;0,0,N(INDEX('CURVA PREVISION'!$A$1:$KZ$3000,$C82,11+3*MIN(BJ$3,$D$2-1)))))</f>
        <v>0</v>
      </c>
      <c r="BK82" s="131" t="n">
        <f aca="false">IF(OR($C82="",$B$2="",$D$2=0),0,IF(BK$3&lt;0,0,N(INDEX('CURVA PREVISION'!$A$1:$KZ$3000,$C82,11+3*MIN(BK$3,$D$2-1)))))</f>
        <v>0</v>
      </c>
      <c r="BL82" s="131" t="n">
        <f aca="false">IF(OR($C82="",$B$2="",$D$2=0),0,IF(BL$3&lt;0,0,N(INDEX('CURVA PREVISION'!$A$1:$KZ$3000,$C82,11+3*MIN(BL$3,$D$2-1)))))</f>
        <v>0</v>
      </c>
      <c r="BM82" s="131" t="n">
        <f aca="false">IF(OR($C82="",$B$2="",$D$2=0),0,IF(BM$3&lt;0,0,N(INDEX('CURVA PREVISION'!$A$1:$KZ$3000,$C82,11+3*MIN(BM$3,$D$2-1)))))</f>
        <v>0</v>
      </c>
      <c r="BN82" s="131" t="n">
        <f aca="false">IF(OR($C82="",$B$2="",$D$2=0),0,IF(BN$3&lt;0,0,N(INDEX('CURVA PREVISION'!$A$1:$KZ$3000,$C82,11+3*MIN(BN$3,$D$2-1)))))</f>
        <v>0</v>
      </c>
      <c r="BO82" s="131" t="n">
        <f aca="false">IF(OR($C82="",$B$2="",$D$2=0),0,IF(BO$3&lt;0,0,N(INDEX('CURVA PREVISION'!$A$1:$KZ$3000,$C82,11+3*MIN(BO$3,$D$2-1)))))</f>
        <v>0</v>
      </c>
      <c r="BP82" s="131" t="n">
        <f aca="false">IF(OR($C82="",$B$2="",$D$2=0),0,IF(BP$3&lt;0,0,N(INDEX('CURVA PREVISION'!$A$1:$KZ$3000,$C82,11+3*MIN(BP$3,$D$2-1)))))</f>
        <v>0</v>
      </c>
      <c r="BQ82" s="131" t="n">
        <f aca="false">IF(OR($C82="",$B$2="",$D$2=0),0,IF(BQ$3&lt;0,0,N(INDEX('CURVA PREVISION'!$A$1:$KZ$3000,$C82,11+3*MIN(BQ$3,$D$2-1)))))</f>
        <v>0</v>
      </c>
      <c r="BR82" s="131" t="n">
        <f aca="false">IF(OR($C82="",$B$2="",$D$2=0),0,IF(BR$3&lt;0,0,N(INDEX('CURVA PREVISION'!$A$1:$KZ$3000,$C82,11+3*MIN(BR$3,$D$2-1)))))</f>
        <v>0</v>
      </c>
      <c r="BS82" s="131" t="n">
        <f aca="false">IF(OR($C82="",$B$2="",$D$2=0),0,IF(BS$3&lt;0,0,N(INDEX('CURVA PREVISION'!$A$1:$KZ$3000,$C82,11+3*MIN(BS$3,$D$2-1)))))</f>
        <v>0</v>
      </c>
      <c r="BT82" s="131" t="n">
        <f aca="false">IF(OR($C82="",$B$2="",$D$2=0),0,IF(BT$3&lt;0,0,N(INDEX('CURVA PREVISION'!$A$1:$KZ$3000,$C82,11+3*MIN(BT$3,$D$2-1)))))</f>
        <v>0</v>
      </c>
      <c r="BU82" s="131" t="n">
        <f aca="false">IF(OR($C82="",$B$2="",$D$2=0),0,IF(BU$3&lt;0,0,N(INDEX('CURVA PREVISION'!$A$1:$KZ$3000,$C82,11+3*MIN(BU$3,$D$2-1)))))</f>
        <v>0</v>
      </c>
      <c r="BV82" s="131" t="n">
        <f aca="false">IF(OR($C82="",$B$2="",$D$2=0),0,IF(BV$3&lt;0,0,N(INDEX('CURVA PREVISION'!$A$1:$KZ$3000,$C82,11+3*MIN(BV$3,$D$2-1)))))</f>
        <v>0</v>
      </c>
      <c r="BW82" s="131" t="n">
        <f aca="false">IF(OR($C82="",$B$2="",$D$2=0),0,IF(BW$3&lt;0,0,N(INDEX('CURVA PREVISION'!$A$1:$KZ$3000,$C82,11+3*MIN(BW$3,$D$2-1)))))</f>
        <v>0</v>
      </c>
    </row>
    <row r="83" customFormat="false" ht="15" hidden="false" customHeight="false" outlineLevel="0" collapsed="false">
      <c r="A83" s="57" t="str">
        <f aca="false">IF('VALOR POR PL'!Q47="",'VALOR POR PL'!C47,'VALOR POR PL'!Q47)</f>
        <v>37</v>
      </c>
      <c r="B83" s="47" t="str">
        <f aca="false">B41</f>
        <v>LIMPEZA FINAL DE OBRA</v>
      </c>
      <c r="C83" s="64" t="n">
        <f aca="false">IFERROR(MATCH(A83,'CURVA PREVISION'!$B$1:$B$3000,0),"")</f>
        <v>927</v>
      </c>
      <c r="D83" s="131" t="n">
        <f aca="false">IF(OR($C83="",$B$2="",$D$2=0),0,IF(D$3&lt;0,0,N(INDEX('CURVA PREVISION'!$A$1:$KZ$3000,$C83,11+3*MIN(D$3,$D$2-1)))))</f>
        <v>0</v>
      </c>
      <c r="E83" s="131" t="n">
        <f aca="false">IF(OR($C83="",$B$2="",$D$2=0),0,IF(E$3&lt;0,0,N(INDEX('CURVA PREVISION'!$A$1:$KZ$3000,$C83,11+3*MIN(E$3,$D$2-1)))))</f>
        <v>0</v>
      </c>
      <c r="F83" s="131" t="n">
        <f aca="false">IF(OR($C83="",$B$2="",$D$2=0),0,IF(F$3&lt;0,0,N(INDEX('CURVA PREVISION'!$A$1:$KZ$3000,$C83,11+3*MIN(F$3,$D$2-1)))))</f>
        <v>0</v>
      </c>
      <c r="G83" s="131" t="n">
        <f aca="false">IF(OR($C83="",$B$2="",$D$2=0),0,IF(G$3&lt;0,0,N(INDEX('CURVA PREVISION'!$A$1:$KZ$3000,$C83,11+3*MIN(G$3,$D$2-1)))))</f>
        <v>0</v>
      </c>
      <c r="H83" s="131" t="n">
        <f aca="false">IF(OR($C83="",$B$2="",$D$2=0),0,IF(H$3&lt;0,0,N(INDEX('CURVA PREVISION'!$A$1:$KZ$3000,$C83,11+3*MIN(H$3,$D$2-1)))))</f>
        <v>0</v>
      </c>
      <c r="I83" s="131" t="n">
        <f aca="false">IF(OR($C83="",$B$2="",$D$2=0),0,IF(I$3&lt;0,0,N(INDEX('CURVA PREVISION'!$A$1:$KZ$3000,$C83,11+3*MIN(I$3,$D$2-1)))))</f>
        <v>0</v>
      </c>
      <c r="J83" s="131" t="n">
        <f aca="false">IF(OR($C83="",$B$2="",$D$2=0),0,IF(J$3&lt;0,0,N(INDEX('CURVA PREVISION'!$A$1:$KZ$3000,$C83,11+3*MIN(J$3,$D$2-1)))))</f>
        <v>0</v>
      </c>
      <c r="K83" s="131" t="n">
        <f aca="false">IF(OR($C83="",$B$2="",$D$2=0),0,IF(K$3&lt;0,0,N(INDEX('CURVA PREVISION'!$A$1:$KZ$3000,$C83,11+3*MIN(K$3,$D$2-1)))))</f>
        <v>0</v>
      </c>
      <c r="L83" s="131" t="n">
        <f aca="false">IF(OR($C83="",$B$2="",$D$2=0),0,IF(L$3&lt;0,0,N(INDEX('CURVA PREVISION'!$A$1:$KZ$3000,$C83,11+3*MIN(L$3,$D$2-1)))))</f>
        <v>0</v>
      </c>
      <c r="M83" s="131" t="n">
        <f aca="false">IF(OR($C83="",$B$2="",$D$2=0),0,IF(M$3&lt;0,0,N(INDEX('CURVA PREVISION'!$A$1:$KZ$3000,$C83,11+3*MIN(M$3,$D$2-1)))))</f>
        <v>0</v>
      </c>
      <c r="N83" s="131" t="n">
        <f aca="false">IF(OR($C83="",$B$2="",$D$2=0),0,IF(N$3&lt;0,0,N(INDEX('CURVA PREVISION'!$A$1:$KZ$3000,$C83,11+3*MIN(N$3,$D$2-1)))))</f>
        <v>0</v>
      </c>
      <c r="O83" s="131" t="n">
        <f aca="false">IF(OR($C83="",$B$2="",$D$2=0),0,IF(O$3&lt;0,0,N(INDEX('CURVA PREVISION'!$A$1:$KZ$3000,$C83,11+3*MIN(O$3,$D$2-1)))))</f>
        <v>0</v>
      </c>
      <c r="P83" s="131" t="n">
        <f aca="false">IF(OR($C83="",$B$2="",$D$2=0),0,IF(P$3&lt;0,0,N(INDEX('CURVA PREVISION'!$A$1:$KZ$3000,$C83,11+3*MIN(P$3,$D$2-1)))))</f>
        <v>0</v>
      </c>
      <c r="Q83" s="131" t="n">
        <f aca="false">IF(OR($C83="",$B$2="",$D$2=0),0,IF(Q$3&lt;0,0,N(INDEX('CURVA PREVISION'!$A$1:$KZ$3000,$C83,11+3*MIN(Q$3,$D$2-1)))))</f>
        <v>0</v>
      </c>
      <c r="R83" s="131" t="n">
        <f aca="false">IF(OR($C83="",$B$2="",$D$2=0),0,IF(R$3&lt;0,0,N(INDEX('CURVA PREVISION'!$A$1:$KZ$3000,$C83,11+3*MIN(R$3,$D$2-1)))))</f>
        <v>0</v>
      </c>
      <c r="S83" s="131" t="n">
        <f aca="false">IF(OR($C83="",$B$2="",$D$2=0),0,IF(S$3&lt;0,0,N(INDEX('CURVA PREVISION'!$A$1:$KZ$3000,$C83,11+3*MIN(S$3,$D$2-1)))))</f>
        <v>0</v>
      </c>
      <c r="T83" s="131" t="n">
        <f aca="false">IF(OR($C83="",$B$2="",$D$2=0),0,IF(T$3&lt;0,0,N(INDEX('CURVA PREVISION'!$A$1:$KZ$3000,$C83,11+3*MIN(T$3,$D$2-1)))))</f>
        <v>0</v>
      </c>
      <c r="U83" s="131" t="n">
        <f aca="false">IF(OR($C83="",$B$2="",$D$2=0),0,IF(U$3&lt;0,0,N(INDEX('CURVA PREVISION'!$A$1:$KZ$3000,$C83,11+3*MIN(U$3,$D$2-1)))))</f>
        <v>0</v>
      </c>
      <c r="V83" s="131" t="n">
        <f aca="false">IF(OR($C83="",$B$2="",$D$2=0),0,IF(V$3&lt;0,0,N(INDEX('CURVA PREVISION'!$A$1:$KZ$3000,$C83,11+3*MIN(V$3,$D$2-1)))))</f>
        <v>0</v>
      </c>
      <c r="W83" s="131" t="n">
        <f aca="false">IF(OR($C83="",$B$2="",$D$2=0),0,IF(W$3&lt;0,0,N(INDEX('CURVA PREVISION'!$A$1:$KZ$3000,$C83,11+3*MIN(W$3,$D$2-1)))))</f>
        <v>0</v>
      </c>
      <c r="X83" s="131" t="n">
        <f aca="false">IF(OR($C83="",$B$2="",$D$2=0),0,IF(X$3&lt;0,0,N(INDEX('CURVA PREVISION'!$A$1:$KZ$3000,$C83,11+3*MIN(X$3,$D$2-1)))))</f>
        <v>0</v>
      </c>
      <c r="Y83" s="131" t="n">
        <f aca="false">IF(OR($C83="",$B$2="",$D$2=0),0,IF(Y$3&lt;0,0,N(INDEX('CURVA PREVISION'!$A$1:$KZ$3000,$C83,11+3*MIN(Y$3,$D$2-1)))))</f>
        <v>0</v>
      </c>
      <c r="Z83" s="131" t="n">
        <f aca="false">IF(OR($C83="",$B$2="",$D$2=0),0,IF(Z$3&lt;0,0,N(INDEX('CURVA PREVISION'!$A$1:$KZ$3000,$C83,11+3*MIN(Z$3,$D$2-1)))))</f>
        <v>0</v>
      </c>
      <c r="AA83" s="131" t="n">
        <f aca="false">IF(OR($C83="",$B$2="",$D$2=0),0,IF(AA$3&lt;0,0,N(INDEX('CURVA PREVISION'!$A$1:$KZ$3000,$C83,11+3*MIN(AA$3,$D$2-1)))))</f>
        <v>0</v>
      </c>
      <c r="AB83" s="131" t="n">
        <f aca="false">IF(OR($C83="",$B$2="",$D$2=0),0,IF(AB$3&lt;0,0,N(INDEX('CURVA PREVISION'!$A$1:$KZ$3000,$C83,11+3*MIN(AB$3,$D$2-1)))))</f>
        <v>0</v>
      </c>
      <c r="AC83" s="131" t="n">
        <f aca="false">IF(OR($C83="",$B$2="",$D$2=0),0,IF(AC$3&lt;0,0,N(INDEX('CURVA PREVISION'!$A$1:$KZ$3000,$C83,11+3*MIN(AC$3,$D$2-1)))))</f>
        <v>0</v>
      </c>
      <c r="AD83" s="131" t="n">
        <f aca="false">IF(OR($C83="",$B$2="",$D$2=0),0,IF(AD$3&lt;0,0,N(INDEX('CURVA PREVISION'!$A$1:$KZ$3000,$C83,11+3*MIN(AD$3,$D$2-1)))))</f>
        <v>0</v>
      </c>
      <c r="AE83" s="131" t="n">
        <f aca="false">IF(OR($C83="",$B$2="",$D$2=0),0,IF(AE$3&lt;0,0,N(INDEX('CURVA PREVISION'!$A$1:$KZ$3000,$C83,11+3*MIN(AE$3,$D$2-1)))))</f>
        <v>0</v>
      </c>
      <c r="AF83" s="131" t="n">
        <f aca="false">IF(OR($C83="",$B$2="",$D$2=0),0,IF(AF$3&lt;0,0,N(INDEX('CURVA PREVISION'!$A$1:$KZ$3000,$C83,11+3*MIN(AF$3,$D$2-1)))))</f>
        <v>0</v>
      </c>
      <c r="AG83" s="131" t="n">
        <f aca="false">IF(OR($C83="",$B$2="",$D$2=0),0,IF(AG$3&lt;0,0,N(INDEX('CURVA PREVISION'!$A$1:$KZ$3000,$C83,11+3*MIN(AG$3,$D$2-1)))))</f>
        <v>0</v>
      </c>
      <c r="AH83" s="131" t="n">
        <f aca="false">IF(OR($C83="",$B$2="",$D$2=0),0,IF(AH$3&lt;0,0,N(INDEX('CURVA PREVISION'!$A$1:$KZ$3000,$C83,11+3*MIN(AH$3,$D$2-1)))))</f>
        <v>0</v>
      </c>
      <c r="AI83" s="131" t="n">
        <f aca="false">IF(OR($C83="",$B$2="",$D$2=0),0,IF(AI$3&lt;0,0,N(INDEX('CURVA PREVISION'!$A$1:$KZ$3000,$C83,11+3*MIN(AI$3,$D$2-1)))))</f>
        <v>0</v>
      </c>
      <c r="AJ83" s="131" t="n">
        <f aca="false">IF(OR($C83="",$B$2="",$D$2=0),0,IF(AJ$3&lt;0,0,N(INDEX('CURVA PREVISION'!$A$1:$KZ$3000,$C83,11+3*MIN(AJ$3,$D$2-1)))))</f>
        <v>0</v>
      </c>
      <c r="AK83" s="131" t="n">
        <f aca="false">IF(OR($C83="",$B$2="",$D$2=0),0,IF(AK$3&lt;0,0,N(INDEX('CURVA PREVISION'!$A$1:$KZ$3000,$C83,11+3*MIN(AK$3,$D$2-1)))))</f>
        <v>0</v>
      </c>
      <c r="AL83" s="131" t="n">
        <f aca="false">IF(OR($C83="",$B$2="",$D$2=0),0,IF(AL$3&lt;0,0,N(INDEX('CURVA PREVISION'!$A$1:$KZ$3000,$C83,11+3*MIN(AL$3,$D$2-1)))))</f>
        <v>0</v>
      </c>
      <c r="AM83" s="131" t="n">
        <f aca="false">IF(OR($C83="",$B$2="",$D$2=0),0,IF(AM$3&lt;0,0,N(INDEX('CURVA PREVISION'!$A$1:$KZ$3000,$C83,11+3*MIN(AM$3,$D$2-1)))))</f>
        <v>0</v>
      </c>
      <c r="AN83" s="131" t="n">
        <f aca="false">IF(OR($C83="",$B$2="",$D$2=0),0,IF(AN$3&lt;0,0,N(INDEX('CURVA PREVISION'!$A$1:$KZ$3000,$C83,11+3*MIN(AN$3,$D$2-1)))))</f>
        <v>0</v>
      </c>
      <c r="AO83" s="131" t="n">
        <f aca="false">IF(OR($C83="",$B$2="",$D$2=0),0,IF(AO$3&lt;0,0,N(INDEX('CURVA PREVISION'!$A$1:$KZ$3000,$C83,11+3*MIN(AO$3,$D$2-1)))))</f>
        <v>0</v>
      </c>
      <c r="AP83" s="131" t="n">
        <f aca="false">IF(OR($C83="",$B$2="",$D$2=0),0,IF(AP$3&lt;0,0,N(INDEX('CURVA PREVISION'!$A$1:$KZ$3000,$C83,11+3*MIN(AP$3,$D$2-1)))))</f>
        <v>0</v>
      </c>
      <c r="AQ83" s="131" t="n">
        <f aca="false">IF(OR($C83="",$B$2="",$D$2=0),0,IF(AQ$3&lt;0,0,N(INDEX('CURVA PREVISION'!$A$1:$KZ$3000,$C83,11+3*MIN(AQ$3,$D$2-1)))))</f>
        <v>0</v>
      </c>
      <c r="AR83" s="131" t="n">
        <f aca="false">IF(OR($C83="",$B$2="",$D$2=0),0,IF(AR$3&lt;0,0,N(INDEX('CURVA PREVISION'!$A$1:$KZ$3000,$C83,11+3*MIN(AR$3,$D$2-1)))))</f>
        <v>0</v>
      </c>
      <c r="AS83" s="131" t="n">
        <f aca="false">IF(OR($C83="",$B$2="",$D$2=0),0,IF(AS$3&lt;0,0,N(INDEX('CURVA PREVISION'!$A$1:$KZ$3000,$C83,11+3*MIN(AS$3,$D$2-1)))))</f>
        <v>0</v>
      </c>
      <c r="AT83" s="131" t="n">
        <f aca="false">IF(OR($C83="",$B$2="",$D$2=0),0,IF(AT$3&lt;0,0,N(INDEX('CURVA PREVISION'!$A$1:$KZ$3000,$C83,11+3*MIN(AT$3,$D$2-1)))))</f>
        <v>0</v>
      </c>
      <c r="AU83" s="131" t="n">
        <f aca="false">IF(OR($C83="",$B$2="",$D$2=0),0,IF(AU$3&lt;0,0,N(INDEX('CURVA PREVISION'!$A$1:$KZ$3000,$C83,11+3*MIN(AU$3,$D$2-1)))))</f>
        <v>0</v>
      </c>
      <c r="AV83" s="131" t="n">
        <f aca="false">IF(OR($C83="",$B$2="",$D$2=0),0,IF(AV$3&lt;0,0,N(INDEX('CURVA PREVISION'!$A$1:$KZ$3000,$C83,11+3*MIN(AV$3,$D$2-1)))))</f>
        <v>0</v>
      </c>
      <c r="AW83" s="131" t="n">
        <f aca="false">IF(OR($C83="",$B$2="",$D$2=0),0,IF(AW$3&lt;0,0,N(INDEX('CURVA PREVISION'!$A$1:$KZ$3000,$C83,11+3*MIN(AW$3,$D$2-1)))))</f>
        <v>0</v>
      </c>
      <c r="AX83" s="131" t="n">
        <f aca="false">IF(OR($C83="",$B$2="",$D$2=0),0,IF(AX$3&lt;0,0,N(INDEX('CURVA PREVISION'!$A$1:$KZ$3000,$C83,11+3*MIN(AX$3,$D$2-1)))))</f>
        <v>0</v>
      </c>
      <c r="AY83" s="131" t="n">
        <f aca="false">IF(OR($C83="",$B$2="",$D$2=0),0,IF(AY$3&lt;0,0,N(INDEX('CURVA PREVISION'!$A$1:$KZ$3000,$C83,11+3*MIN(AY$3,$D$2-1)))))</f>
        <v>0</v>
      </c>
      <c r="AZ83" s="131" t="n">
        <f aca="false">IF(OR($C83="",$B$2="",$D$2=0),0,IF(AZ$3&lt;0,0,N(INDEX('CURVA PREVISION'!$A$1:$KZ$3000,$C83,11+3*MIN(AZ$3,$D$2-1)))))</f>
        <v>0</v>
      </c>
      <c r="BA83" s="131" t="n">
        <f aca="false">IF(OR($C83="",$B$2="",$D$2=0),0,IF(BA$3&lt;0,0,N(INDEX('CURVA PREVISION'!$A$1:$KZ$3000,$C83,11+3*MIN(BA$3,$D$2-1)))))</f>
        <v>0</v>
      </c>
      <c r="BB83" s="131" t="n">
        <f aca="false">IF(OR($C83="",$B$2="",$D$2=0),0,IF(BB$3&lt;0,0,N(INDEX('CURVA PREVISION'!$A$1:$KZ$3000,$C83,11+3*MIN(BB$3,$D$2-1)))))</f>
        <v>0</v>
      </c>
      <c r="BC83" s="131" t="n">
        <f aca="false">IF(OR($C83="",$B$2="",$D$2=0),0,IF(BC$3&lt;0,0,N(INDEX('CURVA PREVISION'!$A$1:$KZ$3000,$C83,11+3*MIN(BC$3,$D$2-1)))))</f>
        <v>0</v>
      </c>
      <c r="BD83" s="131" t="n">
        <f aca="false">IF(OR($C83="",$B$2="",$D$2=0),0,IF(BD$3&lt;0,0,N(INDEX('CURVA PREVISION'!$A$1:$KZ$3000,$C83,11+3*MIN(BD$3,$D$2-1)))))</f>
        <v>0</v>
      </c>
      <c r="BE83" s="131" t="n">
        <f aca="false">IF(OR($C83="",$B$2="",$D$2=0),0,IF(BE$3&lt;0,0,N(INDEX('CURVA PREVISION'!$A$1:$KZ$3000,$C83,11+3*MIN(BE$3,$D$2-1)))))</f>
        <v>0</v>
      </c>
      <c r="BF83" s="131" t="n">
        <f aca="false">IF(OR($C83="",$B$2="",$D$2=0),0,IF(BF$3&lt;0,0,N(INDEX('CURVA PREVISION'!$A$1:$KZ$3000,$C83,11+3*MIN(BF$3,$D$2-1)))))</f>
        <v>0</v>
      </c>
      <c r="BG83" s="131" t="n">
        <f aca="false">IF(OR($C83="",$B$2="",$D$2=0),0,IF(BG$3&lt;0,0,N(INDEX('CURVA PREVISION'!$A$1:$KZ$3000,$C83,11+3*MIN(BG$3,$D$2-1)))))</f>
        <v>0</v>
      </c>
      <c r="BH83" s="131" t="n">
        <f aca="false">IF(OR($C83="",$B$2="",$D$2=0),0,IF(BH$3&lt;0,0,N(INDEX('CURVA PREVISION'!$A$1:$KZ$3000,$C83,11+3*MIN(BH$3,$D$2-1)))))</f>
        <v>0</v>
      </c>
      <c r="BI83" s="131" t="n">
        <f aca="false">IF(OR($C83="",$B$2="",$D$2=0),0,IF(BI$3&lt;0,0,N(INDEX('CURVA PREVISION'!$A$1:$KZ$3000,$C83,11+3*MIN(BI$3,$D$2-1)))))</f>
        <v>0</v>
      </c>
      <c r="BJ83" s="131" t="n">
        <f aca="false">IF(OR($C83="",$B$2="",$D$2=0),0,IF(BJ$3&lt;0,0,N(INDEX('CURVA PREVISION'!$A$1:$KZ$3000,$C83,11+3*MIN(BJ$3,$D$2-1)))))</f>
        <v>0</v>
      </c>
      <c r="BK83" s="131" t="n">
        <f aca="false">IF(OR($C83="",$B$2="",$D$2=0),0,IF(BK$3&lt;0,0,N(INDEX('CURVA PREVISION'!$A$1:$KZ$3000,$C83,11+3*MIN(BK$3,$D$2-1)))))</f>
        <v>0</v>
      </c>
      <c r="BL83" s="131" t="n">
        <f aca="false">IF(OR($C83="",$B$2="",$D$2=0),0,IF(BL$3&lt;0,0,N(INDEX('CURVA PREVISION'!$A$1:$KZ$3000,$C83,11+3*MIN(BL$3,$D$2-1)))))</f>
        <v>0</v>
      </c>
      <c r="BM83" s="131" t="n">
        <f aca="false">IF(OR($C83="",$B$2="",$D$2=0),0,IF(BM$3&lt;0,0,N(INDEX('CURVA PREVISION'!$A$1:$KZ$3000,$C83,11+3*MIN(BM$3,$D$2-1)))))</f>
        <v>0</v>
      </c>
      <c r="BN83" s="131" t="n">
        <f aca="false">IF(OR($C83="",$B$2="",$D$2=0),0,IF(BN$3&lt;0,0,N(INDEX('CURVA PREVISION'!$A$1:$KZ$3000,$C83,11+3*MIN(BN$3,$D$2-1)))))</f>
        <v>0</v>
      </c>
      <c r="BO83" s="131" t="n">
        <f aca="false">IF(OR($C83="",$B$2="",$D$2=0),0,IF(BO$3&lt;0,0,N(INDEX('CURVA PREVISION'!$A$1:$KZ$3000,$C83,11+3*MIN(BO$3,$D$2-1)))))</f>
        <v>0</v>
      </c>
      <c r="BP83" s="131" t="n">
        <f aca="false">IF(OR($C83="",$B$2="",$D$2=0),0,IF(BP$3&lt;0,0,N(INDEX('CURVA PREVISION'!$A$1:$KZ$3000,$C83,11+3*MIN(BP$3,$D$2-1)))))</f>
        <v>0</v>
      </c>
      <c r="BQ83" s="131" t="n">
        <f aca="false">IF(OR($C83="",$B$2="",$D$2=0),0,IF(BQ$3&lt;0,0,N(INDEX('CURVA PREVISION'!$A$1:$KZ$3000,$C83,11+3*MIN(BQ$3,$D$2-1)))))</f>
        <v>0</v>
      </c>
      <c r="BR83" s="131" t="n">
        <f aca="false">IF(OR($C83="",$B$2="",$D$2=0),0,IF(BR$3&lt;0,0,N(INDEX('CURVA PREVISION'!$A$1:$KZ$3000,$C83,11+3*MIN(BR$3,$D$2-1)))))</f>
        <v>0</v>
      </c>
      <c r="BS83" s="131" t="n">
        <f aca="false">IF(OR($C83="",$B$2="",$D$2=0),0,IF(BS$3&lt;0,0,N(INDEX('CURVA PREVISION'!$A$1:$KZ$3000,$C83,11+3*MIN(BS$3,$D$2-1)))))</f>
        <v>0</v>
      </c>
      <c r="BT83" s="131" t="n">
        <f aca="false">IF(OR($C83="",$B$2="",$D$2=0),0,IF(BT$3&lt;0,0,N(INDEX('CURVA PREVISION'!$A$1:$KZ$3000,$C83,11+3*MIN(BT$3,$D$2-1)))))</f>
        <v>0</v>
      </c>
      <c r="BU83" s="131" t="n">
        <f aca="false">IF(OR($C83="",$B$2="",$D$2=0),0,IF(BU$3&lt;0,0,N(INDEX('CURVA PREVISION'!$A$1:$KZ$3000,$C83,11+3*MIN(BU$3,$D$2-1)))))</f>
        <v>0</v>
      </c>
      <c r="BV83" s="131" t="n">
        <f aca="false">IF(OR($C83="",$B$2="",$D$2=0),0,IF(BV$3&lt;0,0,N(INDEX('CURVA PREVISION'!$A$1:$KZ$3000,$C83,11+3*MIN(BV$3,$D$2-1)))))</f>
        <v>0</v>
      </c>
      <c r="BW83" s="131" t="n">
        <f aca="false">IF(OR($C83="",$B$2="",$D$2=0),0,IF(BW$3&lt;0,0,N(INDEX('CURVA PREVISION'!$A$1:$KZ$3000,$C83,11+3*MIN(BW$3,$D$2-1)))))</f>
        <v>0</v>
      </c>
    </row>
    <row r="84" customFormat="false" ht="15" hidden="false" customHeight="false" outlineLevel="0" collapsed="false">
      <c r="A84" s="57" t="str">
        <f aca="false">IF('VALOR POR PL'!Q48="",'VALOR POR PL'!C48,'VALOR POR PL'!Q48)</f>
        <v>00</v>
      </c>
      <c r="B84" s="47" t="str">
        <f aca="false">B42</f>
        <v>TAXA DE ADMINISTRAÇÃO</v>
      </c>
      <c r="C84" s="64" t="str">
        <f aca="false">IFERROR(MATCH(A84,'CURVA PREVISION'!$B$1:$B$3000,0),"")</f>
        <v/>
      </c>
      <c r="D84" s="131" t="n">
        <f aca="false">IF(OR($C84="",$B$2="",$D$2=0),0,IF(D$3&lt;0,0,N(INDEX('CURVA PREVISION'!$A$1:$KZ$3000,$C84,11+3*MIN(D$3,$D$2-1)))))</f>
        <v>0</v>
      </c>
      <c r="E84" s="131" t="n">
        <f aca="false">IF(OR($C84="",$B$2="",$D$2=0),0,IF(E$3&lt;0,0,N(INDEX('CURVA PREVISION'!$A$1:$KZ$3000,$C84,11+3*MIN(E$3,$D$2-1)))))</f>
        <v>0</v>
      </c>
      <c r="F84" s="131" t="n">
        <f aca="false">IF(OR($C84="",$B$2="",$D$2=0),0,IF(F$3&lt;0,0,N(INDEX('CURVA PREVISION'!$A$1:$KZ$3000,$C84,11+3*MIN(F$3,$D$2-1)))))</f>
        <v>0</v>
      </c>
      <c r="G84" s="131" t="n">
        <f aca="false">IF(OR($C84="",$B$2="",$D$2=0),0,IF(G$3&lt;0,0,N(INDEX('CURVA PREVISION'!$A$1:$KZ$3000,$C84,11+3*MIN(G$3,$D$2-1)))))</f>
        <v>0</v>
      </c>
      <c r="H84" s="131" t="n">
        <f aca="false">IF(OR($C84="",$B$2="",$D$2=0),0,IF(H$3&lt;0,0,N(INDEX('CURVA PREVISION'!$A$1:$KZ$3000,$C84,11+3*MIN(H$3,$D$2-1)))))</f>
        <v>0</v>
      </c>
      <c r="I84" s="131" t="n">
        <f aca="false">IF(OR($C84="",$B$2="",$D$2=0),0,IF(I$3&lt;0,0,N(INDEX('CURVA PREVISION'!$A$1:$KZ$3000,$C84,11+3*MIN(I$3,$D$2-1)))))</f>
        <v>0</v>
      </c>
      <c r="J84" s="131" t="n">
        <f aca="false">IF(OR($C84="",$B$2="",$D$2=0),0,IF(J$3&lt;0,0,N(INDEX('CURVA PREVISION'!$A$1:$KZ$3000,$C84,11+3*MIN(J$3,$D$2-1)))))</f>
        <v>0</v>
      </c>
      <c r="K84" s="131" t="n">
        <f aca="false">IF(OR($C84="",$B$2="",$D$2=0),0,IF(K$3&lt;0,0,N(INDEX('CURVA PREVISION'!$A$1:$KZ$3000,$C84,11+3*MIN(K$3,$D$2-1)))))</f>
        <v>0</v>
      </c>
      <c r="L84" s="131" t="n">
        <f aca="false">IF(OR($C84="",$B$2="",$D$2=0),0,IF(L$3&lt;0,0,N(INDEX('CURVA PREVISION'!$A$1:$KZ$3000,$C84,11+3*MIN(L$3,$D$2-1)))))</f>
        <v>0</v>
      </c>
      <c r="M84" s="131" t="n">
        <f aca="false">IF(OR($C84="",$B$2="",$D$2=0),0,IF(M$3&lt;0,0,N(INDEX('CURVA PREVISION'!$A$1:$KZ$3000,$C84,11+3*MIN(M$3,$D$2-1)))))</f>
        <v>0</v>
      </c>
      <c r="N84" s="131" t="n">
        <f aca="false">IF(OR($C84="",$B$2="",$D$2=0),0,IF(N$3&lt;0,0,N(INDEX('CURVA PREVISION'!$A$1:$KZ$3000,$C84,11+3*MIN(N$3,$D$2-1)))))</f>
        <v>0</v>
      </c>
      <c r="O84" s="131" t="n">
        <f aca="false">IF(OR($C84="",$B$2="",$D$2=0),0,IF(O$3&lt;0,0,N(INDEX('CURVA PREVISION'!$A$1:$KZ$3000,$C84,11+3*MIN(O$3,$D$2-1)))))</f>
        <v>0</v>
      </c>
      <c r="P84" s="131" t="n">
        <f aca="false">IF(OR($C84="",$B$2="",$D$2=0),0,IF(P$3&lt;0,0,N(INDEX('CURVA PREVISION'!$A$1:$KZ$3000,$C84,11+3*MIN(P$3,$D$2-1)))))</f>
        <v>0</v>
      </c>
      <c r="Q84" s="131" t="n">
        <f aca="false">IF(OR($C84="",$B$2="",$D$2=0),0,IF(Q$3&lt;0,0,N(INDEX('CURVA PREVISION'!$A$1:$KZ$3000,$C84,11+3*MIN(Q$3,$D$2-1)))))</f>
        <v>0</v>
      </c>
      <c r="R84" s="131" t="n">
        <f aca="false">IF(OR($C84="",$B$2="",$D$2=0),0,IF(R$3&lt;0,0,N(INDEX('CURVA PREVISION'!$A$1:$KZ$3000,$C84,11+3*MIN(R$3,$D$2-1)))))</f>
        <v>0</v>
      </c>
      <c r="S84" s="131" t="n">
        <f aca="false">IF(OR($C84="",$B$2="",$D$2=0),0,IF(S$3&lt;0,0,N(INDEX('CURVA PREVISION'!$A$1:$KZ$3000,$C84,11+3*MIN(S$3,$D$2-1)))))</f>
        <v>0</v>
      </c>
      <c r="T84" s="131" t="n">
        <f aca="false">IF(OR($C84="",$B$2="",$D$2=0),0,IF(T$3&lt;0,0,N(INDEX('CURVA PREVISION'!$A$1:$KZ$3000,$C84,11+3*MIN(T$3,$D$2-1)))))</f>
        <v>0</v>
      </c>
      <c r="U84" s="131" t="n">
        <f aca="false">IF(OR($C84="",$B$2="",$D$2=0),0,IF(U$3&lt;0,0,N(INDEX('CURVA PREVISION'!$A$1:$KZ$3000,$C84,11+3*MIN(U$3,$D$2-1)))))</f>
        <v>0</v>
      </c>
      <c r="V84" s="131" t="n">
        <f aca="false">IF(OR($C84="",$B$2="",$D$2=0),0,IF(V$3&lt;0,0,N(INDEX('CURVA PREVISION'!$A$1:$KZ$3000,$C84,11+3*MIN(V$3,$D$2-1)))))</f>
        <v>0</v>
      </c>
      <c r="W84" s="131" t="n">
        <f aca="false">IF(OR($C84="",$B$2="",$D$2=0),0,IF(W$3&lt;0,0,N(INDEX('CURVA PREVISION'!$A$1:$KZ$3000,$C84,11+3*MIN(W$3,$D$2-1)))))</f>
        <v>0</v>
      </c>
      <c r="X84" s="131" t="n">
        <f aca="false">IF(OR($C84="",$B$2="",$D$2=0),0,IF(X$3&lt;0,0,N(INDEX('CURVA PREVISION'!$A$1:$KZ$3000,$C84,11+3*MIN(X$3,$D$2-1)))))</f>
        <v>0</v>
      </c>
      <c r="Y84" s="131" t="n">
        <f aca="false">IF(OR($C84="",$B$2="",$D$2=0),0,IF(Y$3&lt;0,0,N(INDEX('CURVA PREVISION'!$A$1:$KZ$3000,$C84,11+3*MIN(Y$3,$D$2-1)))))</f>
        <v>0</v>
      </c>
      <c r="Z84" s="131" t="n">
        <f aca="false">IF(OR($C84="",$B$2="",$D$2=0),0,IF(Z$3&lt;0,0,N(INDEX('CURVA PREVISION'!$A$1:$KZ$3000,$C84,11+3*MIN(Z$3,$D$2-1)))))</f>
        <v>0</v>
      </c>
      <c r="AA84" s="131" t="n">
        <f aca="false">IF(OR($C84="",$B$2="",$D$2=0),0,IF(AA$3&lt;0,0,N(INDEX('CURVA PREVISION'!$A$1:$KZ$3000,$C84,11+3*MIN(AA$3,$D$2-1)))))</f>
        <v>0</v>
      </c>
      <c r="AB84" s="131" t="n">
        <f aca="false">IF(OR($C84="",$B$2="",$D$2=0),0,IF(AB$3&lt;0,0,N(INDEX('CURVA PREVISION'!$A$1:$KZ$3000,$C84,11+3*MIN(AB$3,$D$2-1)))))</f>
        <v>0</v>
      </c>
      <c r="AC84" s="131" t="n">
        <f aca="false">IF(OR($C84="",$B$2="",$D$2=0),0,IF(AC$3&lt;0,0,N(INDEX('CURVA PREVISION'!$A$1:$KZ$3000,$C84,11+3*MIN(AC$3,$D$2-1)))))</f>
        <v>0</v>
      </c>
      <c r="AD84" s="131" t="n">
        <f aca="false">IF(OR($C84="",$B$2="",$D$2=0),0,IF(AD$3&lt;0,0,N(INDEX('CURVA PREVISION'!$A$1:$KZ$3000,$C84,11+3*MIN(AD$3,$D$2-1)))))</f>
        <v>0</v>
      </c>
      <c r="AE84" s="131" t="n">
        <f aca="false">IF(OR($C84="",$B$2="",$D$2=0),0,IF(AE$3&lt;0,0,N(INDEX('CURVA PREVISION'!$A$1:$KZ$3000,$C84,11+3*MIN(AE$3,$D$2-1)))))</f>
        <v>0</v>
      </c>
      <c r="AF84" s="131" t="n">
        <f aca="false">IF(OR($C84="",$B$2="",$D$2=0),0,IF(AF$3&lt;0,0,N(INDEX('CURVA PREVISION'!$A$1:$KZ$3000,$C84,11+3*MIN(AF$3,$D$2-1)))))</f>
        <v>0</v>
      </c>
      <c r="AG84" s="131" t="n">
        <f aca="false">IF(OR($C84="",$B$2="",$D$2=0),0,IF(AG$3&lt;0,0,N(INDEX('CURVA PREVISION'!$A$1:$KZ$3000,$C84,11+3*MIN(AG$3,$D$2-1)))))</f>
        <v>0</v>
      </c>
      <c r="AH84" s="131" t="n">
        <f aca="false">IF(OR($C84="",$B$2="",$D$2=0),0,IF(AH$3&lt;0,0,N(INDEX('CURVA PREVISION'!$A$1:$KZ$3000,$C84,11+3*MIN(AH$3,$D$2-1)))))</f>
        <v>0</v>
      </c>
      <c r="AI84" s="131" t="n">
        <f aca="false">IF(OR($C84="",$B$2="",$D$2=0),0,IF(AI$3&lt;0,0,N(INDEX('CURVA PREVISION'!$A$1:$KZ$3000,$C84,11+3*MIN(AI$3,$D$2-1)))))</f>
        <v>0</v>
      </c>
      <c r="AJ84" s="131" t="n">
        <f aca="false">IF(OR($C84="",$B$2="",$D$2=0),0,IF(AJ$3&lt;0,0,N(INDEX('CURVA PREVISION'!$A$1:$KZ$3000,$C84,11+3*MIN(AJ$3,$D$2-1)))))</f>
        <v>0</v>
      </c>
      <c r="AK84" s="131" t="n">
        <f aca="false">IF(OR($C84="",$B$2="",$D$2=0),0,IF(AK$3&lt;0,0,N(INDEX('CURVA PREVISION'!$A$1:$KZ$3000,$C84,11+3*MIN(AK$3,$D$2-1)))))</f>
        <v>0</v>
      </c>
      <c r="AL84" s="131" t="n">
        <f aca="false">IF(OR($C84="",$B$2="",$D$2=0),0,IF(AL$3&lt;0,0,N(INDEX('CURVA PREVISION'!$A$1:$KZ$3000,$C84,11+3*MIN(AL$3,$D$2-1)))))</f>
        <v>0</v>
      </c>
      <c r="AM84" s="131" t="n">
        <f aca="false">IF(OR($C84="",$B$2="",$D$2=0),0,IF(AM$3&lt;0,0,N(INDEX('CURVA PREVISION'!$A$1:$KZ$3000,$C84,11+3*MIN(AM$3,$D$2-1)))))</f>
        <v>0</v>
      </c>
      <c r="AN84" s="131" t="n">
        <f aca="false">IF(OR($C84="",$B$2="",$D$2=0),0,IF(AN$3&lt;0,0,N(INDEX('CURVA PREVISION'!$A$1:$KZ$3000,$C84,11+3*MIN(AN$3,$D$2-1)))))</f>
        <v>0</v>
      </c>
      <c r="AO84" s="131" t="n">
        <f aca="false">IF(OR($C84="",$B$2="",$D$2=0),0,IF(AO$3&lt;0,0,N(INDEX('CURVA PREVISION'!$A$1:$KZ$3000,$C84,11+3*MIN(AO$3,$D$2-1)))))</f>
        <v>0</v>
      </c>
      <c r="AP84" s="131" t="n">
        <f aca="false">IF(OR($C84="",$B$2="",$D$2=0),0,IF(AP$3&lt;0,0,N(INDEX('CURVA PREVISION'!$A$1:$KZ$3000,$C84,11+3*MIN(AP$3,$D$2-1)))))</f>
        <v>0</v>
      </c>
      <c r="AQ84" s="131" t="n">
        <f aca="false">IF(OR($C84="",$B$2="",$D$2=0),0,IF(AQ$3&lt;0,0,N(INDEX('CURVA PREVISION'!$A$1:$KZ$3000,$C84,11+3*MIN(AQ$3,$D$2-1)))))</f>
        <v>0</v>
      </c>
      <c r="AR84" s="131" t="n">
        <f aca="false">IF(OR($C84="",$B$2="",$D$2=0),0,IF(AR$3&lt;0,0,N(INDEX('CURVA PREVISION'!$A$1:$KZ$3000,$C84,11+3*MIN(AR$3,$D$2-1)))))</f>
        <v>0</v>
      </c>
      <c r="AS84" s="131" t="n">
        <f aca="false">IF(OR($C84="",$B$2="",$D$2=0),0,IF(AS$3&lt;0,0,N(INDEX('CURVA PREVISION'!$A$1:$KZ$3000,$C84,11+3*MIN(AS$3,$D$2-1)))))</f>
        <v>0</v>
      </c>
      <c r="AT84" s="131" t="n">
        <f aca="false">IF(OR($C84="",$B$2="",$D$2=0),0,IF(AT$3&lt;0,0,N(INDEX('CURVA PREVISION'!$A$1:$KZ$3000,$C84,11+3*MIN(AT$3,$D$2-1)))))</f>
        <v>0</v>
      </c>
      <c r="AU84" s="131" t="n">
        <f aca="false">IF(OR($C84="",$B$2="",$D$2=0),0,IF(AU$3&lt;0,0,N(INDEX('CURVA PREVISION'!$A$1:$KZ$3000,$C84,11+3*MIN(AU$3,$D$2-1)))))</f>
        <v>0</v>
      </c>
      <c r="AV84" s="131" t="n">
        <f aca="false">IF(OR($C84="",$B$2="",$D$2=0),0,IF(AV$3&lt;0,0,N(INDEX('CURVA PREVISION'!$A$1:$KZ$3000,$C84,11+3*MIN(AV$3,$D$2-1)))))</f>
        <v>0</v>
      </c>
      <c r="AW84" s="131" t="n">
        <f aca="false">IF(OR($C84="",$B$2="",$D$2=0),0,IF(AW$3&lt;0,0,N(INDEX('CURVA PREVISION'!$A$1:$KZ$3000,$C84,11+3*MIN(AW$3,$D$2-1)))))</f>
        <v>0</v>
      </c>
      <c r="AX84" s="131" t="n">
        <f aca="false">IF(OR($C84="",$B$2="",$D$2=0),0,IF(AX$3&lt;0,0,N(INDEX('CURVA PREVISION'!$A$1:$KZ$3000,$C84,11+3*MIN(AX$3,$D$2-1)))))</f>
        <v>0</v>
      </c>
      <c r="AY84" s="131" t="n">
        <f aca="false">IF(OR($C84="",$B$2="",$D$2=0),0,IF(AY$3&lt;0,0,N(INDEX('CURVA PREVISION'!$A$1:$KZ$3000,$C84,11+3*MIN(AY$3,$D$2-1)))))</f>
        <v>0</v>
      </c>
      <c r="AZ84" s="131" t="n">
        <f aca="false">IF(OR($C84="",$B$2="",$D$2=0),0,IF(AZ$3&lt;0,0,N(INDEX('CURVA PREVISION'!$A$1:$KZ$3000,$C84,11+3*MIN(AZ$3,$D$2-1)))))</f>
        <v>0</v>
      </c>
      <c r="BA84" s="131" t="n">
        <f aca="false">IF(OR($C84="",$B$2="",$D$2=0),0,IF(BA$3&lt;0,0,N(INDEX('CURVA PREVISION'!$A$1:$KZ$3000,$C84,11+3*MIN(BA$3,$D$2-1)))))</f>
        <v>0</v>
      </c>
      <c r="BB84" s="131" t="n">
        <f aca="false">IF(OR($C84="",$B$2="",$D$2=0),0,IF(BB$3&lt;0,0,N(INDEX('CURVA PREVISION'!$A$1:$KZ$3000,$C84,11+3*MIN(BB$3,$D$2-1)))))</f>
        <v>0</v>
      </c>
      <c r="BC84" s="131" t="n">
        <f aca="false">IF(OR($C84="",$B$2="",$D$2=0),0,IF(BC$3&lt;0,0,N(INDEX('CURVA PREVISION'!$A$1:$KZ$3000,$C84,11+3*MIN(BC$3,$D$2-1)))))</f>
        <v>0</v>
      </c>
      <c r="BD84" s="131" t="n">
        <f aca="false">IF(OR($C84="",$B$2="",$D$2=0),0,IF(BD$3&lt;0,0,N(INDEX('CURVA PREVISION'!$A$1:$KZ$3000,$C84,11+3*MIN(BD$3,$D$2-1)))))</f>
        <v>0</v>
      </c>
      <c r="BE84" s="131" t="n">
        <f aca="false">IF(OR($C84="",$B$2="",$D$2=0),0,IF(BE$3&lt;0,0,N(INDEX('CURVA PREVISION'!$A$1:$KZ$3000,$C84,11+3*MIN(BE$3,$D$2-1)))))</f>
        <v>0</v>
      </c>
      <c r="BF84" s="131" t="n">
        <f aca="false">IF(OR($C84="",$B$2="",$D$2=0),0,IF(BF$3&lt;0,0,N(INDEX('CURVA PREVISION'!$A$1:$KZ$3000,$C84,11+3*MIN(BF$3,$D$2-1)))))</f>
        <v>0</v>
      </c>
      <c r="BG84" s="131" t="n">
        <f aca="false">IF(OR($C84="",$B$2="",$D$2=0),0,IF(BG$3&lt;0,0,N(INDEX('CURVA PREVISION'!$A$1:$KZ$3000,$C84,11+3*MIN(BG$3,$D$2-1)))))</f>
        <v>0</v>
      </c>
      <c r="BH84" s="131" t="n">
        <f aca="false">IF(OR($C84="",$B$2="",$D$2=0),0,IF(BH$3&lt;0,0,N(INDEX('CURVA PREVISION'!$A$1:$KZ$3000,$C84,11+3*MIN(BH$3,$D$2-1)))))</f>
        <v>0</v>
      </c>
      <c r="BI84" s="131" t="n">
        <f aca="false">IF(OR($C84="",$B$2="",$D$2=0),0,IF(BI$3&lt;0,0,N(INDEX('CURVA PREVISION'!$A$1:$KZ$3000,$C84,11+3*MIN(BI$3,$D$2-1)))))</f>
        <v>0</v>
      </c>
      <c r="BJ84" s="131" t="n">
        <f aca="false">IF(OR($C84="",$B$2="",$D$2=0),0,IF(BJ$3&lt;0,0,N(INDEX('CURVA PREVISION'!$A$1:$KZ$3000,$C84,11+3*MIN(BJ$3,$D$2-1)))))</f>
        <v>0</v>
      </c>
      <c r="BK84" s="131" t="n">
        <f aca="false">IF(OR($C84="",$B$2="",$D$2=0),0,IF(BK$3&lt;0,0,N(INDEX('CURVA PREVISION'!$A$1:$KZ$3000,$C84,11+3*MIN(BK$3,$D$2-1)))))</f>
        <v>0</v>
      </c>
      <c r="BL84" s="131" t="n">
        <f aca="false">IF(OR($C84="",$B$2="",$D$2=0),0,IF(BL$3&lt;0,0,N(INDEX('CURVA PREVISION'!$A$1:$KZ$3000,$C84,11+3*MIN(BL$3,$D$2-1)))))</f>
        <v>0</v>
      </c>
      <c r="BM84" s="131" t="n">
        <f aca="false">IF(OR($C84="",$B$2="",$D$2=0),0,IF(BM$3&lt;0,0,N(INDEX('CURVA PREVISION'!$A$1:$KZ$3000,$C84,11+3*MIN(BM$3,$D$2-1)))))</f>
        <v>0</v>
      </c>
      <c r="BN84" s="131" t="n">
        <f aca="false">IF(OR($C84="",$B$2="",$D$2=0),0,IF(BN$3&lt;0,0,N(INDEX('CURVA PREVISION'!$A$1:$KZ$3000,$C84,11+3*MIN(BN$3,$D$2-1)))))</f>
        <v>0</v>
      </c>
      <c r="BO84" s="131" t="n">
        <f aca="false">IF(OR($C84="",$B$2="",$D$2=0),0,IF(BO$3&lt;0,0,N(INDEX('CURVA PREVISION'!$A$1:$KZ$3000,$C84,11+3*MIN(BO$3,$D$2-1)))))</f>
        <v>0</v>
      </c>
      <c r="BP84" s="131" t="n">
        <f aca="false">IF(OR($C84="",$B$2="",$D$2=0),0,IF(BP$3&lt;0,0,N(INDEX('CURVA PREVISION'!$A$1:$KZ$3000,$C84,11+3*MIN(BP$3,$D$2-1)))))</f>
        <v>0</v>
      </c>
      <c r="BQ84" s="131" t="n">
        <f aca="false">IF(OR($C84="",$B$2="",$D$2=0),0,IF(BQ$3&lt;0,0,N(INDEX('CURVA PREVISION'!$A$1:$KZ$3000,$C84,11+3*MIN(BQ$3,$D$2-1)))))</f>
        <v>0</v>
      </c>
      <c r="BR84" s="131" t="n">
        <f aca="false">IF(OR($C84="",$B$2="",$D$2=0),0,IF(BR$3&lt;0,0,N(INDEX('CURVA PREVISION'!$A$1:$KZ$3000,$C84,11+3*MIN(BR$3,$D$2-1)))))</f>
        <v>0</v>
      </c>
      <c r="BS84" s="131" t="n">
        <f aca="false">IF(OR($C84="",$B$2="",$D$2=0),0,IF(BS$3&lt;0,0,N(INDEX('CURVA PREVISION'!$A$1:$KZ$3000,$C84,11+3*MIN(BS$3,$D$2-1)))))</f>
        <v>0</v>
      </c>
      <c r="BT84" s="131" t="n">
        <f aca="false">IF(OR($C84="",$B$2="",$D$2=0),0,IF(BT$3&lt;0,0,N(INDEX('CURVA PREVISION'!$A$1:$KZ$3000,$C84,11+3*MIN(BT$3,$D$2-1)))))</f>
        <v>0</v>
      </c>
      <c r="BU84" s="131" t="n">
        <f aca="false">IF(OR($C84="",$B$2="",$D$2=0),0,IF(BU$3&lt;0,0,N(INDEX('CURVA PREVISION'!$A$1:$KZ$3000,$C84,11+3*MIN(BU$3,$D$2-1)))))</f>
        <v>0</v>
      </c>
      <c r="BV84" s="131" t="n">
        <f aca="false">IF(OR($C84="",$B$2="",$D$2=0),0,IF(BV$3&lt;0,0,N(INDEX('CURVA PREVISION'!$A$1:$KZ$3000,$C84,11+3*MIN(BV$3,$D$2-1)))))</f>
        <v>0</v>
      </c>
      <c r="BW84" s="131" t="n">
        <f aca="false">IF(OR($C84="",$B$2="",$D$2=0),0,IF(BW$3&lt;0,0,N(INDEX('CURVA PREVISION'!$A$1:$KZ$3000,$C84,11+3*MIN(BW$3,$D$2-1)))))</f>
        <v>0</v>
      </c>
    </row>
  </sheetData>
  <conditionalFormatting sqref="D47:BW84">
    <cfRule type="expression" priority="2" aboveAverage="0" equalAverage="0" bottom="0" percent="0" rank="0" text="" dxfId="9">
      <formula>D$4&gt;'VALOR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JS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2" min="1" style="0" width="44"/>
    <col collapsed="false" customWidth="true" hidden="false" outlineLevel="0" max="3" min="3" style="0" width="24"/>
    <col collapsed="false" customWidth="true" hidden="false" outlineLevel="0" max="75" min="4" style="0" width="11"/>
    <col collapsed="false" customWidth="true" hidden="false" outlineLevel="0" max="78" min="78" style="0" width="14"/>
    <col collapsed="false" customWidth="true" hidden="true" outlineLevel="1" max="279" min="80" style="0" width="13"/>
  </cols>
  <sheetData>
    <row r="1" customFormat="false" ht="15" hidden="false" customHeight="false" outlineLevel="0" collapsed="false">
      <c r="A1" s="3" t="s">
        <v>2865</v>
      </c>
      <c r="CB1" s="132" t="n">
        <f aca="false">IF(CB$4="",0,IFERROR(1/INDEX('"INCC-FGV"'!$B$2:$B$800,MATCH(CB$4,'"INCC-FGV"'!$A$2:$A$800,0)),0))</f>
        <v>0.000929765513137587</v>
      </c>
      <c r="CC1" s="132" t="n">
        <f aca="false">IF(CC$4="",0,IFERROR(1/INDEX('"INCC-FGV"'!$B$2:$B$800,MATCH(CC$4,'"INCC-FGV"'!$A$2:$A$800,0)),0))</f>
        <v>0.000921670878702582</v>
      </c>
      <c r="CD1" s="132" t="n">
        <f aca="false">IF(CD$4="",0,IFERROR(1/INDEX('"INCC-FGV"'!$B$2:$B$800,MATCH(CD$4,'"INCC-FGV"'!$A$2:$A$800,0)),0))</f>
        <v>0.000915176835043951</v>
      </c>
      <c r="CE1" s="132" t="n">
        <f aca="false">IF(CE$4="",0,IFERROR(1/INDEX('"INCC-FGV"'!$B$2:$B$800,MATCH(CE$4,'"INCC-FGV"'!$A$2:$A$800,0)),0))</f>
        <v>0.000912626923589398</v>
      </c>
      <c r="CF1" s="132" t="n">
        <f aca="false">IF(CF$4="",0,IFERROR(1/INDEX('"INCC-FGV"'!$B$2:$B$800,MATCH(CF$4,'"INCC-FGV"'!$A$2:$A$800,0)),0))</f>
        <v>0.000907944422905985</v>
      </c>
      <c r="CG1" s="132" t="n">
        <f aca="false">IF(CG$4="",0,IFERROR(1/INDEX('"INCC-FGV"'!$B$2:$B$800,MATCH(CG$4,'"INCC-FGV"'!$A$2:$A$800,0)),0))</f>
        <v>0.000900181566621988</v>
      </c>
      <c r="CH1" s="132" t="n">
        <f aca="false">IF(CH$4="",0,IFERROR(1/INDEX('"INCC-FGV"'!$B$2:$B$800,MATCH(CH$4,'"INCC-FGV"'!$A$2:$A$800,0)),0))</f>
        <v>0.000893793231661374</v>
      </c>
      <c r="CI1" s="132" t="n">
        <f aca="false">IF(CI$4="",0,IFERROR(1/INDEX('"INCC-FGV"'!$B$2:$B$800,MATCH(CI$4,'"INCC-FGV"'!$A$2:$A$800,0)),0))</f>
        <v>0.000887377586261975</v>
      </c>
      <c r="CJ1" s="132" t="n">
        <f aca="false">IF(CJ$4="",0,IFERROR(1/INDEX('"INCC-FGV"'!$B$2:$B$800,MATCH(CJ$4,'"INCC-FGV"'!$A$2:$A$800,0)),0))</f>
        <v>0.000881231962283272</v>
      </c>
      <c r="CK1" s="132" t="n">
        <f aca="false">IF(CK$4="",0,IFERROR(1/INDEX('"INCC-FGV"'!$B$2:$B$800,MATCH(CK$4,'"INCC-FGV"'!$A$2:$A$800,0)),0))</f>
        <v>0.000876118584402636</v>
      </c>
      <c r="CL1" s="132" t="n">
        <f aca="false">IF(CL$4="",0,IFERROR(1/INDEX('"INCC-FGV"'!$B$2:$B$800,MATCH(CL$4,'"INCC-FGV"'!$A$2:$A$800,0)),0))</f>
        <v>0.00087019326992525</v>
      </c>
      <c r="CM1" s="132" t="n">
        <f aca="false">IF(CM$4="",0,IFERROR(1/INDEX('"INCC-FGV"'!$B$2:$B$800,MATCH(CM$4,'"INCC-FGV"'!$A$2:$A$800,0)),0))</f>
        <v>0.00086675767622267</v>
      </c>
      <c r="CN1" s="132" t="n">
        <f aca="false">IF(CN$4="",0,IFERROR(1/INDEX('"INCC-FGV"'!$B$2:$B$800,MATCH(CN$4,'"INCC-FGV"'!$A$2:$A$800,0)),0))</f>
        <v>0.000862413931089677</v>
      </c>
      <c r="CO1" s="132" t="n">
        <f aca="false">IF(CO$4="",0,IFERROR(1/INDEX('"INCC-FGV"'!$B$2:$B$800,MATCH(CO$4,'"INCC-FGV"'!$A$2:$A$800,0)),0))</f>
        <v>0.000855347116967008</v>
      </c>
      <c r="CP1" s="132" t="n">
        <f aca="false">IF(CP$4="",0,IFERROR(1/INDEX('"INCC-FGV"'!$B$2:$B$800,MATCH(CP$4,'"INCC-FGV"'!$A$2:$A$800,0)),0))</f>
        <v>0.000851952035100424</v>
      </c>
      <c r="CQ1" s="132" t="n">
        <f aca="false">IF(CQ$4="",0,IFERROR(1/INDEX('"INCC-FGV"'!$B$2:$B$800,MATCH(CQ$4,'"INCC-FGV"'!$A$2:$A$800,0)),0))</f>
        <v>0.000848618364440854</v>
      </c>
      <c r="CR1" s="132" t="n">
        <f aca="false">IF(CR$4="",0,IFERROR(1/INDEX('"INCC-FGV"'!$B$2:$B$800,MATCH(CR$4,'"INCC-FGV"'!$A$2:$A$800,0)),0))</f>
        <v>0.000844265160047346</v>
      </c>
      <c r="CS1" s="132" t="n">
        <f aca="false">IF(CS$4="",0,IFERROR(1/INDEX('"INCC-FGV"'!$B$2:$B$800,MATCH(CS$4,'"INCC-FGV"'!$A$2:$A$800,0)),0))</f>
        <v>0.000839400097538291</v>
      </c>
      <c r="CT1" s="132" t="n">
        <f aca="false">IF(CT$4="",0,IFERROR(1/INDEX('"INCC-FGV"'!$B$2:$B$800,MATCH(CT$4,'"INCC-FGV"'!$A$2:$A$800,0)),0))</f>
        <v>0.000833674445127131</v>
      </c>
      <c r="CU1" s="132" t="n">
        <f aca="false">IF(CU$4="",0,IFERROR(1/INDEX('"INCC-FGV"'!$B$2:$B$800,MATCH(CU$4,'"INCC-FGV"'!$A$2:$A$800,0)),0))</f>
        <v>0.000826124706828995</v>
      </c>
      <c r="CV1" s="132" t="n">
        <f aca="false">IF(CV$4="",0,IFERROR(1/INDEX('"INCC-FGV"'!$B$2:$B$800,MATCH(CV$4,'"INCC-FGV"'!$A$2:$A$800,0)),0))</f>
        <v>0.000821891237488761</v>
      </c>
      <c r="CW1" s="132" t="n">
        <f aca="false">IF(CW$4="",0,IFERROR(1/INDEX('"INCC-FGV"'!$B$2:$B$800,MATCH(CW$4,'"INCC-FGV"'!$A$2:$A$800,0)),0))</f>
        <v>0.000820514840241658</v>
      </c>
      <c r="CX1" s="132" t="n">
        <f aca="false">IF(CX$4="",0,IFERROR(1/INDEX('"INCC-FGV"'!$B$2:$B$800,MATCH(CX$4,'"INCC-FGV"'!$A$2:$A$800,0)),0))</f>
        <v>0.000818092274263799</v>
      </c>
      <c r="CY1" s="132" t="n">
        <f aca="false">IF(CY$4="",0,IFERROR(1/INDEX('"INCC-FGV"'!$B$2:$B$800,MATCH(CY$4,'"INCC-FGV"'!$A$2:$A$800,0)),0))</f>
        <v>0.000815904924230989</v>
      </c>
      <c r="CZ1" s="132" t="n">
        <f aca="false">IF(CZ$4="",0,IFERROR(1/INDEX('"INCC-FGV"'!$B$2:$B$800,MATCH(CZ$4,'"INCC-FGV"'!$A$2:$A$800,0)),0))</f>
        <v>0.000814225496494352</v>
      </c>
      <c r="DA1" s="132" t="n">
        <f aca="false">IF(DA$4="",0,IFERROR(1/INDEX('"INCC-FGV"'!$B$2:$B$800,MATCH(DA$4,'"INCC-FGV"'!$A$2:$A$800,0)),0))</f>
        <v>0.000808383911220045</v>
      </c>
      <c r="DB1" s="132" t="n">
        <f aca="false">IF(DB$4="",0,IFERROR(1/INDEX('"INCC-FGV"'!$B$2:$B$800,MATCH(DB$4,'"INCC-FGV"'!$A$2:$A$800,0)),0))</f>
        <v>0.000806138909019969</v>
      </c>
      <c r="DC1" s="132" t="n">
        <f aca="false">IF(DC$4="",0,IFERROR(1/INDEX('"INCC-FGV"'!$B$2:$B$800,MATCH(DC$4,'"INCC-FGV"'!$A$2:$A$800,0)),0))</f>
        <v>0.000801808237938198</v>
      </c>
      <c r="DD1" s="132" t="n">
        <f aca="false">IF(DD$4="",0,IFERROR(1/INDEX('"INCC-FGV"'!$B$2:$B$800,MATCH(DD$4,'"INCC-FGV"'!$A$2:$A$800,0)),0))</f>
        <v>0.000793870052998765</v>
      </c>
      <c r="DE1" s="132" t="n">
        <f aca="false">IF(DE$4="",0,IFERROR(1/INDEX('"INCC-FGV"'!$B$2:$B$800,MATCH(DE$4,'"INCC-FGV"'!$A$2:$A$800,0)),0))</f>
        <v>0.000786970909620326</v>
      </c>
      <c r="DF1" s="132" t="n">
        <f aca="false">IF(DF$4="",0,IFERROR(1/INDEX('"INCC-FGV"'!$B$2:$B$800,MATCH(DF$4,'"INCC-FGV"'!$A$2:$A$800,0)),0))</f>
        <v>0.0007808589604737</v>
      </c>
      <c r="DG1" s="132" t="n">
        <f aca="false">IF(DG$4="",0,IFERROR(1/INDEX('"INCC-FGV"'!$B$2:$B$800,MATCH(DG$4,'"INCC-FGV"'!$A$2:$A$800,0)),0))</f>
        <v>0.000776137798609316</v>
      </c>
      <c r="DH1" s="132" t="n">
        <f aca="false">IF(DH$4="",0,IFERROR(1/INDEX('"INCC-FGV"'!$B$2:$B$800,MATCH(DH$4,'"INCC-FGV"'!$A$2:$A$800,0)),0))</f>
        <v>0.000771076013444481</v>
      </c>
      <c r="DI1" s="132" t="n">
        <f aca="false">IF(DI$4="",0,IFERROR(1/INDEX('"INCC-FGV"'!$B$2:$B$800,MATCH(DI$4,'"INCC-FGV"'!$A$2:$A$800,0)),0))</f>
        <v>0.000769383462256356</v>
      </c>
      <c r="DJ1" s="132" t="n">
        <f aca="false">IF(DJ$4="",0,IFERROR(1/INDEX('"INCC-FGV"'!$B$2:$B$800,MATCH(DJ$4,'"INCC-FGV"'!$A$2:$A$800,0)),0))</f>
        <v>0</v>
      </c>
      <c r="DK1" s="132" t="n">
        <f aca="false">IF(DK$4="",0,IFERROR(1/INDEX('"INCC-FGV"'!$B$2:$B$800,MATCH(DK$4,'"INCC-FGV"'!$A$2:$A$800,0)),0))</f>
        <v>0</v>
      </c>
      <c r="DL1" s="132" t="n">
        <f aca="false">IF(DL$4="",0,IFERROR(1/INDEX('"INCC-FGV"'!$B$2:$B$800,MATCH(DL$4,'"INCC-FGV"'!$A$2:$A$800,0)),0))</f>
        <v>0</v>
      </c>
      <c r="DM1" s="132" t="n">
        <f aca="false">IF(DM$4="",0,IFERROR(1/INDEX('"INCC-FGV"'!$B$2:$B$800,MATCH(DM$4,'"INCC-FGV"'!$A$2:$A$800,0)),0))</f>
        <v>0</v>
      </c>
      <c r="DN1" s="132" t="n">
        <f aca="false">IF(DN$4="",0,IFERROR(1/INDEX('"INCC-FGV"'!$B$2:$B$800,MATCH(DN$4,'"INCC-FGV"'!$A$2:$A$800,0)),0))</f>
        <v>0</v>
      </c>
      <c r="DO1" s="132" t="n">
        <f aca="false">IF(DO$4="",0,IFERROR(1/INDEX('"INCC-FGV"'!$B$2:$B$800,MATCH(DO$4,'"INCC-FGV"'!$A$2:$A$800,0)),0))</f>
        <v>0</v>
      </c>
      <c r="DP1" s="132" t="n">
        <f aca="false">IF(DP$4="",0,IFERROR(1/INDEX('"INCC-FGV"'!$B$2:$B$800,MATCH(DP$4,'"INCC-FGV"'!$A$2:$A$800,0)),0))</f>
        <v>0</v>
      </c>
      <c r="DQ1" s="132" t="n">
        <f aca="false">IF(DQ$4="",0,IFERROR(1/INDEX('"INCC-FGV"'!$B$2:$B$800,MATCH(DQ$4,'"INCC-FGV"'!$A$2:$A$800,0)),0))</f>
        <v>0</v>
      </c>
      <c r="DR1" s="132" t="n">
        <f aca="false">IF(DR$4="",0,IFERROR(1/INDEX('"INCC-FGV"'!$B$2:$B$800,MATCH(DR$4,'"INCC-FGV"'!$A$2:$A$800,0)),0))</f>
        <v>0</v>
      </c>
      <c r="DS1" s="132" t="n">
        <f aca="false">IF(DS$4="",0,IFERROR(1/INDEX('"INCC-FGV"'!$B$2:$B$800,MATCH(DS$4,'"INCC-FGV"'!$A$2:$A$800,0)),0))</f>
        <v>0</v>
      </c>
      <c r="DT1" s="132" t="n">
        <f aca="false">IF(DT$4="",0,IFERROR(1/INDEX('"INCC-FGV"'!$B$2:$B$800,MATCH(DT$4,'"INCC-FGV"'!$A$2:$A$800,0)),0))</f>
        <v>0</v>
      </c>
      <c r="DU1" s="132" t="n">
        <f aca="false">IF(DU$4="",0,IFERROR(1/INDEX('"INCC-FGV"'!$B$2:$B$800,MATCH(DU$4,'"INCC-FGV"'!$A$2:$A$800,0)),0))</f>
        <v>0</v>
      </c>
      <c r="DV1" s="132" t="n">
        <f aca="false">IF(DV$4="",0,IFERROR(1/INDEX('"INCC-FGV"'!$B$2:$B$800,MATCH(DV$4,'"INCC-FGV"'!$A$2:$A$800,0)),0))</f>
        <v>0</v>
      </c>
      <c r="DW1" s="132" t="n">
        <f aca="false">IF(DW$4="",0,IFERROR(1/INDEX('"INCC-FGV"'!$B$2:$B$800,MATCH(DW$4,'"INCC-FGV"'!$A$2:$A$800,0)),0))</f>
        <v>0</v>
      </c>
      <c r="DX1" s="132" t="n">
        <f aca="false">IF(DX$4="",0,IFERROR(1/INDEX('"INCC-FGV"'!$B$2:$B$800,MATCH(DX$4,'"INCC-FGV"'!$A$2:$A$800,0)),0))</f>
        <v>0</v>
      </c>
      <c r="DY1" s="132" t="n">
        <f aca="false">IF(DY$4="",0,IFERROR(1/INDEX('"INCC-FGV"'!$B$2:$B$800,MATCH(DY$4,'"INCC-FGV"'!$A$2:$A$800,0)),0))</f>
        <v>0</v>
      </c>
      <c r="DZ1" s="132" t="n">
        <f aca="false">IF(DZ$4="",0,IFERROR(1/INDEX('"INCC-FGV"'!$B$2:$B$800,MATCH(DZ$4,'"INCC-FGV"'!$A$2:$A$800,0)),0))</f>
        <v>0</v>
      </c>
      <c r="EA1" s="132" t="n">
        <f aca="false">IF(EA$4="",0,IFERROR(1/INDEX('"INCC-FGV"'!$B$2:$B$800,MATCH(EA$4,'"INCC-FGV"'!$A$2:$A$800,0)),0))</f>
        <v>0</v>
      </c>
      <c r="EB1" s="132" t="n">
        <f aca="false">IF(EB$4="",0,IFERROR(1/INDEX('"INCC-FGV"'!$B$2:$B$800,MATCH(EB$4,'"INCC-FGV"'!$A$2:$A$800,0)),0))</f>
        <v>0</v>
      </c>
      <c r="EC1" s="132" t="n">
        <f aca="false">IF(EC$4="",0,IFERROR(1/INDEX('"INCC-FGV"'!$B$2:$B$800,MATCH(EC$4,'"INCC-FGV"'!$A$2:$A$800,0)),0))</f>
        <v>0</v>
      </c>
      <c r="ED1" s="132" t="n">
        <f aca="false">IF(ED$4="",0,IFERROR(1/INDEX('"INCC-FGV"'!$B$2:$B$800,MATCH(ED$4,'"INCC-FGV"'!$A$2:$A$800,0)),0))</f>
        <v>0</v>
      </c>
      <c r="EE1" s="132" t="n">
        <f aca="false">IF(EE$4="",0,IFERROR(1/INDEX('"INCC-FGV"'!$B$2:$B$800,MATCH(EE$4,'"INCC-FGV"'!$A$2:$A$800,0)),0))</f>
        <v>0</v>
      </c>
      <c r="EF1" s="132" t="n">
        <f aca="false">IF(EF$4="",0,IFERROR(1/INDEX('"INCC-FGV"'!$B$2:$B$800,MATCH(EF$4,'"INCC-FGV"'!$A$2:$A$800,0)),0))</f>
        <v>0</v>
      </c>
      <c r="EG1" s="132" t="n">
        <f aca="false">IF(EG$4="",0,IFERROR(1/INDEX('"INCC-FGV"'!$B$2:$B$800,MATCH(EG$4,'"INCC-FGV"'!$A$2:$A$800,0)),0))</f>
        <v>0</v>
      </c>
      <c r="EH1" s="132" t="n">
        <f aca="false">IF(EH$4="",0,IFERROR(1/INDEX('"INCC-FGV"'!$B$2:$B$800,MATCH(EH$4,'"INCC-FGV"'!$A$2:$A$800,0)),0))</f>
        <v>0</v>
      </c>
      <c r="EI1" s="132" t="n">
        <f aca="false">IF(EI$4="",0,IFERROR(1/INDEX('"INCC-FGV"'!$B$2:$B$800,MATCH(EI$4,'"INCC-FGV"'!$A$2:$A$800,0)),0))</f>
        <v>0</v>
      </c>
      <c r="EJ1" s="132" t="n">
        <f aca="false">IF(EJ$4="",0,IFERROR(1/INDEX('"INCC-FGV"'!$B$2:$B$800,MATCH(EJ$4,'"INCC-FGV"'!$A$2:$A$800,0)),0))</f>
        <v>0</v>
      </c>
      <c r="EK1" s="132" t="n">
        <f aca="false">IF(EK$4="",0,IFERROR(1/INDEX('"INCC-FGV"'!$B$2:$B$800,MATCH(EK$4,'"INCC-FGV"'!$A$2:$A$800,0)),0))</f>
        <v>0</v>
      </c>
      <c r="EL1" s="132" t="n">
        <f aca="false">IF(EL$4="",0,IFERROR(1/INDEX('"INCC-FGV"'!$B$2:$B$800,MATCH(EL$4,'"INCC-FGV"'!$A$2:$A$800,0)),0))</f>
        <v>0</v>
      </c>
      <c r="EM1" s="132" t="n">
        <f aca="false">IF(EM$4="",0,IFERROR(1/INDEX('"INCC-FGV"'!$B$2:$B$800,MATCH(EM$4,'"INCC-FGV"'!$A$2:$A$800,0)),0))</f>
        <v>0</v>
      </c>
      <c r="EN1" s="132" t="n">
        <f aca="false">IF(EN$4="",0,IFERROR(1/INDEX('"INCC-FGV"'!$B$2:$B$800,MATCH(EN$4,'"INCC-FGV"'!$A$2:$A$800,0)),0))</f>
        <v>0</v>
      </c>
      <c r="EO1" s="132" t="n">
        <f aca="false">IF(EO$4="",0,IFERROR(1/INDEX('"INCC-FGV"'!$B$2:$B$800,MATCH(EO$4,'"INCC-FGV"'!$A$2:$A$800,0)),0))</f>
        <v>0</v>
      </c>
      <c r="EP1" s="132" t="n">
        <f aca="false">IF(EP$4="",0,IFERROR(1/INDEX('"INCC-FGV"'!$B$2:$B$800,MATCH(EP$4,'"INCC-FGV"'!$A$2:$A$800,0)),0))</f>
        <v>0</v>
      </c>
      <c r="EQ1" s="132" t="n">
        <f aca="false">IF(EQ$4="",0,IFERROR(1/INDEX('"INCC-FGV"'!$B$2:$B$800,MATCH(EQ$4,'"INCC-FGV"'!$A$2:$A$800,0)),0))</f>
        <v>0</v>
      </c>
      <c r="ER1" s="132" t="n">
        <f aca="false">IF(ER$4="",0,IFERROR(1/INDEX('"INCC-FGV"'!$B$2:$B$800,MATCH(ER$4,'"INCC-FGV"'!$A$2:$A$800,0)),0))</f>
        <v>0</v>
      </c>
      <c r="ES1" s="132" t="n">
        <f aca="false">IF(ES$4="",0,IFERROR(1/INDEX('"INCC-FGV"'!$B$2:$B$800,MATCH(ES$4,'"INCC-FGV"'!$A$2:$A$800,0)),0))</f>
        <v>0</v>
      </c>
      <c r="ET1" s="132" t="n">
        <f aca="false">IF(ET$4="",0,IFERROR(1/INDEX('"INCC-FGV"'!$B$2:$B$800,MATCH(ET$4,'"INCC-FGV"'!$A$2:$A$800,0)),0))</f>
        <v>0</v>
      </c>
      <c r="EU1" s="132" t="n">
        <f aca="false">IF(EU$4="",0,IFERROR(1/INDEX('"INCC-FGV"'!$B$2:$B$800,MATCH(EU$4,'"INCC-FGV"'!$A$2:$A$800,0)),0))</f>
        <v>0</v>
      </c>
      <c r="EV1" s="132" t="n">
        <f aca="false">IF(EV$4="",0,IFERROR(1/INDEX('"INCC-FGV"'!$B$2:$B$800,MATCH(EV$4,'"INCC-FGV"'!$A$2:$A$800,0)),0))</f>
        <v>0</v>
      </c>
      <c r="EW1" s="132" t="n">
        <f aca="false">IF(EW$4="",0,IFERROR(1/INDEX('"INCC-FGV"'!$B$2:$B$800,MATCH(EW$4,'"INCC-FGV"'!$A$2:$A$800,0)),0))</f>
        <v>0</v>
      </c>
      <c r="EX1" s="132" t="n">
        <f aca="false">IF(EX$4="",0,IFERROR(1/INDEX('"INCC-FGV"'!$B$2:$B$800,MATCH(EX$4,'"INCC-FGV"'!$A$2:$A$800,0)),0))</f>
        <v>0</v>
      </c>
      <c r="EY1" s="132" t="n">
        <f aca="false">IF(EY$4="",0,IFERROR(1/INDEX('"INCC-FGV"'!$B$2:$B$800,MATCH(EY$4,'"INCC-FGV"'!$A$2:$A$800,0)),0))</f>
        <v>0</v>
      </c>
      <c r="EZ1" s="132" t="n">
        <f aca="false">IF(EZ$4="",0,IFERROR(1/INDEX('"INCC-FGV"'!$B$2:$B$800,MATCH(EZ$4,'"INCC-FGV"'!$A$2:$A$800,0)),0))</f>
        <v>0</v>
      </c>
      <c r="FA1" s="132" t="n">
        <f aca="false">IF(FA$4="",0,IFERROR(1/INDEX('"INCC-FGV"'!$B$2:$B$800,MATCH(FA$4,'"INCC-FGV"'!$A$2:$A$800,0)),0))</f>
        <v>0</v>
      </c>
      <c r="FB1" s="132" t="n">
        <f aca="false">IF(FB$4="",0,IFERROR(1/INDEX('"INCC-FGV"'!$B$2:$B$800,MATCH(FB$4,'"INCC-FGV"'!$A$2:$A$800,0)),0))</f>
        <v>0</v>
      </c>
      <c r="FC1" s="132" t="n">
        <f aca="false">IF(FC$4="",0,IFERROR(1/INDEX('"INCC-FGV"'!$B$2:$B$800,MATCH(FC$4,'"INCC-FGV"'!$A$2:$A$800,0)),0))</f>
        <v>0</v>
      </c>
      <c r="FD1" s="132" t="n">
        <f aca="false">IF(FD$4="",0,IFERROR(1/INDEX('"INCC-FGV"'!$B$2:$B$800,MATCH(FD$4,'"INCC-FGV"'!$A$2:$A$800,0)),0))</f>
        <v>0</v>
      </c>
      <c r="FE1" s="132" t="n">
        <f aca="false">IF(FE$4="",0,IFERROR(1/INDEX('"INCC-FGV"'!$B$2:$B$800,MATCH(FE$4,'"INCC-FGV"'!$A$2:$A$800,0)),0))</f>
        <v>0</v>
      </c>
      <c r="FF1" s="132" t="n">
        <f aca="false">IF(FF$4="",0,IFERROR(1/INDEX('"INCC-FGV"'!$B$2:$B$800,MATCH(FF$4,'"INCC-FGV"'!$A$2:$A$800,0)),0))</f>
        <v>0</v>
      </c>
      <c r="FG1" s="132" t="n">
        <f aca="false">IF(FG$4="",0,IFERROR(1/INDEX('"INCC-FGV"'!$B$2:$B$800,MATCH(FG$4,'"INCC-FGV"'!$A$2:$A$800,0)),0))</f>
        <v>0</v>
      </c>
      <c r="FH1" s="132" t="n">
        <f aca="false">IF(FH$4="",0,IFERROR(1/INDEX('"INCC-FGV"'!$B$2:$B$800,MATCH(FH$4,'"INCC-FGV"'!$A$2:$A$800,0)),0))</f>
        <v>0</v>
      </c>
      <c r="FI1" s="132" t="n">
        <f aca="false">IF(FI$4="",0,IFERROR(1/INDEX('"INCC-FGV"'!$B$2:$B$800,MATCH(FI$4,'"INCC-FGV"'!$A$2:$A$800,0)),0))</f>
        <v>0</v>
      </c>
      <c r="FJ1" s="132" t="n">
        <f aca="false">IF(FJ$4="",0,IFERROR(1/INDEX('"INCC-FGV"'!$B$2:$B$800,MATCH(FJ$4,'"INCC-FGV"'!$A$2:$A$800,0)),0))</f>
        <v>0</v>
      </c>
      <c r="FK1" s="132" t="n">
        <f aca="false">IF(FK$4="",0,IFERROR(1/INDEX('"INCC-FGV"'!$B$2:$B$800,MATCH(FK$4,'"INCC-FGV"'!$A$2:$A$800,0)),0))</f>
        <v>0</v>
      </c>
      <c r="FL1" s="132" t="n">
        <f aca="false">IF(FL$4="",0,IFERROR(1/INDEX('"INCC-FGV"'!$B$2:$B$800,MATCH(FL$4,'"INCC-FGV"'!$A$2:$A$800,0)),0))</f>
        <v>0</v>
      </c>
      <c r="FM1" s="132" t="n">
        <f aca="false">IF(FM$4="",0,IFERROR(1/INDEX('"INCC-FGV"'!$B$2:$B$800,MATCH(FM$4,'"INCC-FGV"'!$A$2:$A$800,0)),0))</f>
        <v>0</v>
      </c>
      <c r="FN1" s="132" t="n">
        <f aca="false">IF(FN$4="",0,IFERROR(1/INDEX('"INCC-FGV"'!$B$2:$B$800,MATCH(FN$4,'"INCC-FGV"'!$A$2:$A$800,0)),0))</f>
        <v>0</v>
      </c>
      <c r="FO1" s="132" t="n">
        <f aca="false">IF(FO$4="",0,IFERROR(1/INDEX('"INCC-FGV"'!$B$2:$B$800,MATCH(FO$4,'"INCC-FGV"'!$A$2:$A$800,0)),0))</f>
        <v>0</v>
      </c>
      <c r="FP1" s="132" t="n">
        <f aca="false">IF(FP$4="",0,IFERROR(1/INDEX('"INCC-FGV"'!$B$2:$B$800,MATCH(FP$4,'"INCC-FGV"'!$A$2:$A$800,0)),0))</f>
        <v>0</v>
      </c>
      <c r="FQ1" s="132" t="n">
        <f aca="false">IF(FQ$4="",0,IFERROR(1/INDEX('"INCC-FGV"'!$B$2:$B$800,MATCH(FQ$4,'"INCC-FGV"'!$A$2:$A$800,0)),0))</f>
        <v>0</v>
      </c>
      <c r="FR1" s="132" t="n">
        <f aca="false">IF(FR$4="",0,IFERROR(1/INDEX('"INCC-FGV"'!$B$2:$B$800,MATCH(FR$4,'"INCC-FGV"'!$A$2:$A$800,0)),0))</f>
        <v>0</v>
      </c>
      <c r="FS1" s="132" t="n">
        <f aca="false">IF(FS$4="",0,IFERROR(1/INDEX('"INCC-FGV"'!$B$2:$B$800,MATCH(FS$4,'"INCC-FGV"'!$A$2:$A$800,0)),0))</f>
        <v>0</v>
      </c>
      <c r="FT1" s="132" t="n">
        <f aca="false">IF(FT$4="",0,IFERROR(1/INDEX('"INCC-FGV"'!$B$2:$B$800,MATCH(FT$4,'"INCC-FGV"'!$A$2:$A$800,0)),0))</f>
        <v>0</v>
      </c>
      <c r="FU1" s="132" t="n">
        <f aca="false">IF(FU$4="",0,IFERROR(1/INDEX('"INCC-FGV"'!$B$2:$B$800,MATCH(FU$4,'"INCC-FGV"'!$A$2:$A$800,0)),0))</f>
        <v>0</v>
      </c>
      <c r="FV1" s="132" t="n">
        <f aca="false">IF(FV$4="",0,IFERROR(1/INDEX('"INCC-FGV"'!$B$2:$B$800,MATCH(FV$4,'"INCC-FGV"'!$A$2:$A$800,0)),0))</f>
        <v>0</v>
      </c>
      <c r="FW1" s="132" t="n">
        <f aca="false">IF(FW$4="",0,IFERROR(1/INDEX('"INCC-FGV"'!$B$2:$B$800,MATCH(FW$4,'"INCC-FGV"'!$A$2:$A$800,0)),0))</f>
        <v>0</v>
      </c>
      <c r="FX1" s="132" t="n">
        <f aca="false">IF(FX$4="",0,IFERROR(1/INDEX('"INCC-FGV"'!$B$2:$B$800,MATCH(FX$4,'"INCC-FGV"'!$A$2:$A$800,0)),0))</f>
        <v>0</v>
      </c>
      <c r="FY1" s="132" t="n">
        <f aca="false">IF(FY$4="",0,IFERROR(1/INDEX('"INCC-FGV"'!$B$2:$B$800,MATCH(FY$4,'"INCC-FGV"'!$A$2:$A$800,0)),0))</f>
        <v>0</v>
      </c>
      <c r="FZ1" s="132" t="n">
        <f aca="false">IF(FZ$4="",0,IFERROR(1/INDEX('"INCC-FGV"'!$B$2:$B$800,MATCH(FZ$4,'"INCC-FGV"'!$A$2:$A$800,0)),0))</f>
        <v>0</v>
      </c>
      <c r="GA1" s="132" t="n">
        <f aca="false">IF(GA$4="",0,IFERROR(1/INDEX('"INCC-FGV"'!$B$2:$B$800,MATCH(GA$4,'"INCC-FGV"'!$A$2:$A$800,0)),0))</f>
        <v>0</v>
      </c>
      <c r="GB1" s="132" t="n">
        <f aca="false">IF(GB$4="",0,IFERROR(1/INDEX('"INCC-FGV"'!$B$2:$B$800,MATCH(GB$4,'"INCC-FGV"'!$A$2:$A$800,0)),0))</f>
        <v>0</v>
      </c>
      <c r="GC1" s="132" t="n">
        <f aca="false">IF(GC$4="",0,IFERROR(1/INDEX('"INCC-FGV"'!$B$2:$B$800,MATCH(GC$4,'"INCC-FGV"'!$A$2:$A$800,0)),0))</f>
        <v>0</v>
      </c>
      <c r="GD1" s="132" t="n">
        <f aca="false">IF(GD$4="",0,IFERROR(1/INDEX('"INCC-FGV"'!$B$2:$B$800,MATCH(GD$4,'"INCC-FGV"'!$A$2:$A$800,0)),0))</f>
        <v>0</v>
      </c>
      <c r="GE1" s="132" t="n">
        <f aca="false">IF(GE$4="",0,IFERROR(1/INDEX('"INCC-FGV"'!$B$2:$B$800,MATCH(GE$4,'"INCC-FGV"'!$A$2:$A$800,0)),0))</f>
        <v>0</v>
      </c>
      <c r="GF1" s="132" t="n">
        <f aca="false">IF(GF$4="",0,IFERROR(1/INDEX('"INCC-FGV"'!$B$2:$B$800,MATCH(GF$4,'"INCC-FGV"'!$A$2:$A$800,0)),0))</f>
        <v>0</v>
      </c>
      <c r="GG1" s="132" t="n">
        <f aca="false">IF(GG$4="",0,IFERROR(1/INDEX('"INCC-FGV"'!$B$2:$B$800,MATCH(GG$4,'"INCC-FGV"'!$A$2:$A$800,0)),0))</f>
        <v>0</v>
      </c>
      <c r="GH1" s="132" t="n">
        <f aca="false">IF(GH$4="",0,IFERROR(1/INDEX('"INCC-FGV"'!$B$2:$B$800,MATCH(GH$4,'"INCC-FGV"'!$A$2:$A$800,0)),0))</f>
        <v>0</v>
      </c>
      <c r="GI1" s="132" t="n">
        <f aca="false">IF(GI$4="",0,IFERROR(1/INDEX('"INCC-FGV"'!$B$2:$B$800,MATCH(GI$4,'"INCC-FGV"'!$A$2:$A$800,0)),0))</f>
        <v>0</v>
      </c>
      <c r="GJ1" s="132" t="n">
        <f aca="false">IF(GJ$4="",0,IFERROR(1/INDEX('"INCC-FGV"'!$B$2:$B$800,MATCH(GJ$4,'"INCC-FGV"'!$A$2:$A$800,0)),0))</f>
        <v>0</v>
      </c>
      <c r="GK1" s="132" t="n">
        <f aca="false">IF(GK$4="",0,IFERROR(1/INDEX('"INCC-FGV"'!$B$2:$B$800,MATCH(GK$4,'"INCC-FGV"'!$A$2:$A$800,0)),0))</f>
        <v>0</v>
      </c>
      <c r="GL1" s="132" t="n">
        <f aca="false">IF(GL$4="",0,IFERROR(1/INDEX('"INCC-FGV"'!$B$2:$B$800,MATCH(GL$4,'"INCC-FGV"'!$A$2:$A$800,0)),0))</f>
        <v>0</v>
      </c>
      <c r="GM1" s="132" t="n">
        <f aca="false">IF(GM$4="",0,IFERROR(1/INDEX('"INCC-FGV"'!$B$2:$B$800,MATCH(GM$4,'"INCC-FGV"'!$A$2:$A$800,0)),0))</f>
        <v>0</v>
      </c>
      <c r="GN1" s="132" t="n">
        <f aca="false">IF(GN$4="",0,IFERROR(1/INDEX('"INCC-FGV"'!$B$2:$B$800,MATCH(GN$4,'"INCC-FGV"'!$A$2:$A$800,0)),0))</f>
        <v>0</v>
      </c>
      <c r="GO1" s="132" t="n">
        <f aca="false">IF(GO$4="",0,IFERROR(1/INDEX('"INCC-FGV"'!$B$2:$B$800,MATCH(GO$4,'"INCC-FGV"'!$A$2:$A$800,0)),0))</f>
        <v>0</v>
      </c>
      <c r="GP1" s="132" t="n">
        <f aca="false">IF(GP$4="",0,IFERROR(1/INDEX('"INCC-FGV"'!$B$2:$B$800,MATCH(GP$4,'"INCC-FGV"'!$A$2:$A$800,0)),0))</f>
        <v>0</v>
      </c>
      <c r="GQ1" s="132" t="n">
        <f aca="false">IF(GQ$4="",0,IFERROR(1/INDEX('"INCC-FGV"'!$B$2:$B$800,MATCH(GQ$4,'"INCC-FGV"'!$A$2:$A$800,0)),0))</f>
        <v>0</v>
      </c>
      <c r="GR1" s="132" t="n">
        <f aca="false">IF(GR$4="",0,IFERROR(1/INDEX('"INCC-FGV"'!$B$2:$B$800,MATCH(GR$4,'"INCC-FGV"'!$A$2:$A$800,0)),0))</f>
        <v>0</v>
      </c>
      <c r="GS1" s="132" t="n">
        <f aca="false">IF(GS$4="",0,IFERROR(1/INDEX('"INCC-FGV"'!$B$2:$B$800,MATCH(GS$4,'"INCC-FGV"'!$A$2:$A$800,0)),0))</f>
        <v>0</v>
      </c>
      <c r="GT1" s="132" t="n">
        <f aca="false">IF(GT$4="",0,IFERROR(1/INDEX('"INCC-FGV"'!$B$2:$B$800,MATCH(GT$4,'"INCC-FGV"'!$A$2:$A$800,0)),0))</f>
        <v>0</v>
      </c>
      <c r="GU1" s="132" t="n">
        <f aca="false">IF(GU$4="",0,IFERROR(1/INDEX('"INCC-FGV"'!$B$2:$B$800,MATCH(GU$4,'"INCC-FGV"'!$A$2:$A$800,0)),0))</f>
        <v>0</v>
      </c>
      <c r="GV1" s="132" t="n">
        <f aca="false">IF(GV$4="",0,IFERROR(1/INDEX('"INCC-FGV"'!$B$2:$B$800,MATCH(GV$4,'"INCC-FGV"'!$A$2:$A$800,0)),0))</f>
        <v>0</v>
      </c>
      <c r="GW1" s="132" t="n">
        <f aca="false">IF(GW$4="",0,IFERROR(1/INDEX('"INCC-FGV"'!$B$2:$B$800,MATCH(GW$4,'"INCC-FGV"'!$A$2:$A$800,0)),0))</f>
        <v>0</v>
      </c>
      <c r="GX1" s="132" t="n">
        <f aca="false">IF(GX$4="",0,IFERROR(1/INDEX('"INCC-FGV"'!$B$2:$B$800,MATCH(GX$4,'"INCC-FGV"'!$A$2:$A$800,0)),0))</f>
        <v>0</v>
      </c>
      <c r="GY1" s="132" t="n">
        <f aca="false">IF(GY$4="",0,IFERROR(1/INDEX('"INCC-FGV"'!$B$2:$B$800,MATCH(GY$4,'"INCC-FGV"'!$A$2:$A$800,0)),0))</f>
        <v>0</v>
      </c>
      <c r="GZ1" s="132" t="n">
        <f aca="false">IF(GZ$4="",0,IFERROR(1/INDEX('"INCC-FGV"'!$B$2:$B$800,MATCH(GZ$4,'"INCC-FGV"'!$A$2:$A$800,0)),0))</f>
        <v>0</v>
      </c>
      <c r="HA1" s="132" t="n">
        <f aca="false">IF(HA$4="",0,IFERROR(1/INDEX('"INCC-FGV"'!$B$2:$B$800,MATCH(HA$4,'"INCC-FGV"'!$A$2:$A$800,0)),0))</f>
        <v>0</v>
      </c>
      <c r="HB1" s="132" t="n">
        <f aca="false">IF(HB$4="",0,IFERROR(1/INDEX('"INCC-FGV"'!$B$2:$B$800,MATCH(HB$4,'"INCC-FGV"'!$A$2:$A$800,0)),0))</f>
        <v>0</v>
      </c>
      <c r="HC1" s="132" t="n">
        <f aca="false">IF(HC$4="",0,IFERROR(1/INDEX('"INCC-FGV"'!$B$2:$B$800,MATCH(HC$4,'"INCC-FGV"'!$A$2:$A$800,0)),0))</f>
        <v>0</v>
      </c>
      <c r="HD1" s="132" t="n">
        <f aca="false">IF(HD$4="",0,IFERROR(1/INDEX('"INCC-FGV"'!$B$2:$B$800,MATCH(HD$4,'"INCC-FGV"'!$A$2:$A$800,0)),0))</f>
        <v>0</v>
      </c>
      <c r="HE1" s="132" t="n">
        <f aca="false">IF(HE$4="",0,IFERROR(1/INDEX('"INCC-FGV"'!$B$2:$B$800,MATCH(HE$4,'"INCC-FGV"'!$A$2:$A$800,0)),0))</f>
        <v>0</v>
      </c>
      <c r="HF1" s="132" t="n">
        <f aca="false">IF(HF$4="",0,IFERROR(1/INDEX('"INCC-FGV"'!$B$2:$B$800,MATCH(HF$4,'"INCC-FGV"'!$A$2:$A$800,0)),0))</f>
        <v>0</v>
      </c>
      <c r="HG1" s="132" t="n">
        <f aca="false">IF(HG$4="",0,IFERROR(1/INDEX('"INCC-FGV"'!$B$2:$B$800,MATCH(HG$4,'"INCC-FGV"'!$A$2:$A$800,0)),0))</f>
        <v>0</v>
      </c>
      <c r="HH1" s="132" t="n">
        <f aca="false">IF(HH$4="",0,IFERROR(1/INDEX('"INCC-FGV"'!$B$2:$B$800,MATCH(HH$4,'"INCC-FGV"'!$A$2:$A$800,0)),0))</f>
        <v>0</v>
      </c>
      <c r="HI1" s="132" t="n">
        <f aca="false">IF(HI$4="",0,IFERROR(1/INDEX('"INCC-FGV"'!$B$2:$B$800,MATCH(HI$4,'"INCC-FGV"'!$A$2:$A$800,0)),0))</f>
        <v>0</v>
      </c>
      <c r="HJ1" s="132" t="n">
        <f aca="false">IF(HJ$4="",0,IFERROR(1/INDEX('"INCC-FGV"'!$B$2:$B$800,MATCH(HJ$4,'"INCC-FGV"'!$A$2:$A$800,0)),0))</f>
        <v>0</v>
      </c>
      <c r="HK1" s="132" t="n">
        <f aca="false">IF(HK$4="",0,IFERROR(1/INDEX('"INCC-FGV"'!$B$2:$B$800,MATCH(HK$4,'"INCC-FGV"'!$A$2:$A$800,0)),0))</f>
        <v>0</v>
      </c>
      <c r="HL1" s="132" t="n">
        <f aca="false">IF(HL$4="",0,IFERROR(1/INDEX('"INCC-FGV"'!$B$2:$B$800,MATCH(HL$4,'"INCC-FGV"'!$A$2:$A$800,0)),0))</f>
        <v>0</v>
      </c>
      <c r="HM1" s="132" t="n">
        <f aca="false">IF(HM$4="",0,IFERROR(1/INDEX('"INCC-FGV"'!$B$2:$B$800,MATCH(HM$4,'"INCC-FGV"'!$A$2:$A$800,0)),0))</f>
        <v>0</v>
      </c>
      <c r="HN1" s="132" t="n">
        <f aca="false">IF(HN$4="",0,IFERROR(1/INDEX('"INCC-FGV"'!$B$2:$B$800,MATCH(HN$4,'"INCC-FGV"'!$A$2:$A$800,0)),0))</f>
        <v>0</v>
      </c>
      <c r="HO1" s="132" t="n">
        <f aca="false">IF(HO$4="",0,IFERROR(1/INDEX('"INCC-FGV"'!$B$2:$B$800,MATCH(HO$4,'"INCC-FGV"'!$A$2:$A$800,0)),0))</f>
        <v>0</v>
      </c>
      <c r="HP1" s="132" t="n">
        <f aca="false">IF(HP$4="",0,IFERROR(1/INDEX('"INCC-FGV"'!$B$2:$B$800,MATCH(HP$4,'"INCC-FGV"'!$A$2:$A$800,0)),0))</f>
        <v>0</v>
      </c>
      <c r="HQ1" s="132" t="n">
        <f aca="false">IF(HQ$4="",0,IFERROR(1/INDEX('"INCC-FGV"'!$B$2:$B$800,MATCH(HQ$4,'"INCC-FGV"'!$A$2:$A$800,0)),0))</f>
        <v>0</v>
      </c>
      <c r="HR1" s="132" t="n">
        <f aca="false">IF(HR$4="",0,IFERROR(1/INDEX('"INCC-FGV"'!$B$2:$B$800,MATCH(HR$4,'"INCC-FGV"'!$A$2:$A$800,0)),0))</f>
        <v>0</v>
      </c>
      <c r="HS1" s="132" t="n">
        <f aca="false">IF(HS$4="",0,IFERROR(1/INDEX('"INCC-FGV"'!$B$2:$B$800,MATCH(HS$4,'"INCC-FGV"'!$A$2:$A$800,0)),0))</f>
        <v>0</v>
      </c>
      <c r="HT1" s="132" t="n">
        <f aca="false">IF(HT$4="",0,IFERROR(1/INDEX('"INCC-FGV"'!$B$2:$B$800,MATCH(HT$4,'"INCC-FGV"'!$A$2:$A$800,0)),0))</f>
        <v>0</v>
      </c>
      <c r="HU1" s="132" t="n">
        <f aca="false">IF(HU$4="",0,IFERROR(1/INDEX('"INCC-FGV"'!$B$2:$B$800,MATCH(HU$4,'"INCC-FGV"'!$A$2:$A$800,0)),0))</f>
        <v>0</v>
      </c>
      <c r="HV1" s="132" t="n">
        <f aca="false">IF(HV$4="",0,IFERROR(1/INDEX('"INCC-FGV"'!$B$2:$B$800,MATCH(HV$4,'"INCC-FGV"'!$A$2:$A$800,0)),0))</f>
        <v>0</v>
      </c>
      <c r="HW1" s="132" t="n">
        <f aca="false">IF(HW$4="",0,IFERROR(1/INDEX('"INCC-FGV"'!$B$2:$B$800,MATCH(HW$4,'"INCC-FGV"'!$A$2:$A$800,0)),0))</f>
        <v>0</v>
      </c>
      <c r="HX1" s="132" t="n">
        <f aca="false">IF(HX$4="",0,IFERROR(1/INDEX('"INCC-FGV"'!$B$2:$B$800,MATCH(HX$4,'"INCC-FGV"'!$A$2:$A$800,0)),0))</f>
        <v>0</v>
      </c>
      <c r="HY1" s="132" t="n">
        <f aca="false">IF(HY$4="",0,IFERROR(1/INDEX('"INCC-FGV"'!$B$2:$B$800,MATCH(HY$4,'"INCC-FGV"'!$A$2:$A$800,0)),0))</f>
        <v>0</v>
      </c>
      <c r="HZ1" s="132" t="n">
        <f aca="false">IF(HZ$4="",0,IFERROR(1/INDEX('"INCC-FGV"'!$B$2:$B$800,MATCH(HZ$4,'"INCC-FGV"'!$A$2:$A$800,0)),0))</f>
        <v>0</v>
      </c>
      <c r="IA1" s="132" t="n">
        <f aca="false">IF(IA$4="",0,IFERROR(1/INDEX('"INCC-FGV"'!$B$2:$B$800,MATCH(IA$4,'"INCC-FGV"'!$A$2:$A$800,0)),0))</f>
        <v>0</v>
      </c>
      <c r="IB1" s="132" t="n">
        <f aca="false">IF(IB$4="",0,IFERROR(1/INDEX('"INCC-FGV"'!$B$2:$B$800,MATCH(IB$4,'"INCC-FGV"'!$A$2:$A$800,0)),0))</f>
        <v>0</v>
      </c>
      <c r="IC1" s="132" t="n">
        <f aca="false">IF(IC$4="",0,IFERROR(1/INDEX('"INCC-FGV"'!$B$2:$B$800,MATCH(IC$4,'"INCC-FGV"'!$A$2:$A$800,0)),0))</f>
        <v>0</v>
      </c>
      <c r="ID1" s="132" t="n">
        <f aca="false">IF(ID$4="",0,IFERROR(1/INDEX('"INCC-FGV"'!$B$2:$B$800,MATCH(ID$4,'"INCC-FGV"'!$A$2:$A$800,0)),0))</f>
        <v>0</v>
      </c>
      <c r="IE1" s="132" t="n">
        <f aca="false">IF(IE$4="",0,IFERROR(1/INDEX('"INCC-FGV"'!$B$2:$B$800,MATCH(IE$4,'"INCC-FGV"'!$A$2:$A$800,0)),0))</f>
        <v>0</v>
      </c>
      <c r="IF1" s="132" t="n">
        <f aca="false">IF(IF$4="",0,IFERROR(1/INDEX('"INCC-FGV"'!$B$2:$B$800,MATCH(IF$4,'"INCC-FGV"'!$A$2:$A$800,0)),0))</f>
        <v>0</v>
      </c>
      <c r="IG1" s="132" t="n">
        <f aca="false">IF(IG$4="",0,IFERROR(1/INDEX('"INCC-FGV"'!$B$2:$B$800,MATCH(IG$4,'"INCC-FGV"'!$A$2:$A$800,0)),0))</f>
        <v>0</v>
      </c>
      <c r="IH1" s="132" t="n">
        <f aca="false">IF(IH$4="",0,IFERROR(1/INDEX('"INCC-FGV"'!$B$2:$B$800,MATCH(IH$4,'"INCC-FGV"'!$A$2:$A$800,0)),0))</f>
        <v>0</v>
      </c>
      <c r="II1" s="132" t="n">
        <f aca="false">IF(II$4="",0,IFERROR(1/INDEX('"INCC-FGV"'!$B$2:$B$800,MATCH(II$4,'"INCC-FGV"'!$A$2:$A$800,0)),0))</f>
        <v>0</v>
      </c>
      <c r="IJ1" s="132" t="n">
        <f aca="false">IF(IJ$4="",0,IFERROR(1/INDEX('"INCC-FGV"'!$B$2:$B$800,MATCH(IJ$4,'"INCC-FGV"'!$A$2:$A$800,0)),0))</f>
        <v>0</v>
      </c>
      <c r="IK1" s="132" t="n">
        <f aca="false">IF(IK$4="",0,IFERROR(1/INDEX('"INCC-FGV"'!$B$2:$B$800,MATCH(IK$4,'"INCC-FGV"'!$A$2:$A$800,0)),0))</f>
        <v>0</v>
      </c>
      <c r="IL1" s="132" t="n">
        <f aca="false">IF(IL$4="",0,IFERROR(1/INDEX('"INCC-FGV"'!$B$2:$B$800,MATCH(IL$4,'"INCC-FGV"'!$A$2:$A$800,0)),0))</f>
        <v>0</v>
      </c>
      <c r="IM1" s="132" t="n">
        <f aca="false">IF(IM$4="",0,IFERROR(1/INDEX('"INCC-FGV"'!$B$2:$B$800,MATCH(IM$4,'"INCC-FGV"'!$A$2:$A$800,0)),0))</f>
        <v>0</v>
      </c>
      <c r="IN1" s="132" t="n">
        <f aca="false">IF(IN$4="",0,IFERROR(1/INDEX('"INCC-FGV"'!$B$2:$B$800,MATCH(IN$4,'"INCC-FGV"'!$A$2:$A$800,0)),0))</f>
        <v>0</v>
      </c>
      <c r="IO1" s="132" t="n">
        <f aca="false">IF(IO$4="",0,IFERROR(1/INDEX('"INCC-FGV"'!$B$2:$B$800,MATCH(IO$4,'"INCC-FGV"'!$A$2:$A$800,0)),0))</f>
        <v>0</v>
      </c>
      <c r="IP1" s="132" t="n">
        <f aca="false">IF(IP$4="",0,IFERROR(1/INDEX('"INCC-FGV"'!$B$2:$B$800,MATCH(IP$4,'"INCC-FGV"'!$A$2:$A$800,0)),0))</f>
        <v>0</v>
      </c>
      <c r="IQ1" s="132" t="n">
        <f aca="false">IF(IQ$4="",0,IFERROR(1/INDEX('"INCC-FGV"'!$B$2:$B$800,MATCH(IQ$4,'"INCC-FGV"'!$A$2:$A$800,0)),0))</f>
        <v>0</v>
      </c>
      <c r="IR1" s="132" t="n">
        <f aca="false">IF(IR$4="",0,IFERROR(1/INDEX('"INCC-FGV"'!$B$2:$B$800,MATCH(IR$4,'"INCC-FGV"'!$A$2:$A$800,0)),0))</f>
        <v>0</v>
      </c>
      <c r="IS1" s="132" t="n">
        <f aca="false">IF(IS$4="",0,IFERROR(1/INDEX('"INCC-FGV"'!$B$2:$B$800,MATCH(IS$4,'"INCC-FGV"'!$A$2:$A$800,0)),0))</f>
        <v>0</v>
      </c>
      <c r="IT1" s="132" t="n">
        <f aca="false">IF(IT$4="",0,IFERROR(1/INDEX('"INCC-FGV"'!$B$2:$B$800,MATCH(IT$4,'"INCC-FGV"'!$A$2:$A$800,0)),0))</f>
        <v>0</v>
      </c>
      <c r="IU1" s="132" t="n">
        <f aca="false">IF(IU$4="",0,IFERROR(1/INDEX('"INCC-FGV"'!$B$2:$B$800,MATCH(IU$4,'"INCC-FGV"'!$A$2:$A$800,0)),0))</f>
        <v>0</v>
      </c>
      <c r="IV1" s="132" t="n">
        <f aca="false">IF(IV$4="",0,IFERROR(1/INDEX('"INCC-FGV"'!$B$2:$B$800,MATCH(IV$4,'"INCC-FGV"'!$A$2:$A$800,0)),0))</f>
        <v>0</v>
      </c>
      <c r="IW1" s="132" t="n">
        <f aca="false">IF(IW$4="",0,IFERROR(1/INDEX('"INCC-FGV"'!$B$2:$B$800,MATCH(IW$4,'"INCC-FGV"'!$A$2:$A$800,0)),0))</f>
        <v>0</v>
      </c>
      <c r="IX1" s="132" t="n">
        <f aca="false">IF(IX$4="",0,IFERROR(1/INDEX('"INCC-FGV"'!$B$2:$B$800,MATCH(IX$4,'"INCC-FGV"'!$A$2:$A$800,0)),0))</f>
        <v>0</v>
      </c>
      <c r="IY1" s="132" t="n">
        <f aca="false">IF(IY$4="",0,IFERROR(1/INDEX('"INCC-FGV"'!$B$2:$B$800,MATCH(IY$4,'"INCC-FGV"'!$A$2:$A$800,0)),0))</f>
        <v>0</v>
      </c>
      <c r="IZ1" s="132" t="n">
        <f aca="false">IF(IZ$4="",0,IFERROR(1/INDEX('"INCC-FGV"'!$B$2:$B$800,MATCH(IZ$4,'"INCC-FGV"'!$A$2:$A$800,0)),0))</f>
        <v>0</v>
      </c>
      <c r="JA1" s="132" t="n">
        <f aca="false">IF(JA$4="",0,IFERROR(1/INDEX('"INCC-FGV"'!$B$2:$B$800,MATCH(JA$4,'"INCC-FGV"'!$A$2:$A$800,0)),0))</f>
        <v>0</v>
      </c>
      <c r="JB1" s="132" t="n">
        <f aca="false">IF(JB$4="",0,IFERROR(1/INDEX('"INCC-FGV"'!$B$2:$B$800,MATCH(JB$4,'"INCC-FGV"'!$A$2:$A$800,0)),0))</f>
        <v>0</v>
      </c>
      <c r="JC1" s="132" t="n">
        <f aca="false">IF(JC$4="",0,IFERROR(1/INDEX('"INCC-FGV"'!$B$2:$B$800,MATCH(JC$4,'"INCC-FGV"'!$A$2:$A$800,0)),0))</f>
        <v>0</v>
      </c>
      <c r="JD1" s="132" t="n">
        <f aca="false">IF(JD$4="",0,IFERROR(1/INDEX('"INCC-FGV"'!$B$2:$B$800,MATCH(JD$4,'"INCC-FGV"'!$A$2:$A$800,0)),0))</f>
        <v>0</v>
      </c>
      <c r="JE1" s="132" t="n">
        <f aca="false">IF(JE$4="",0,IFERROR(1/INDEX('"INCC-FGV"'!$B$2:$B$800,MATCH(JE$4,'"INCC-FGV"'!$A$2:$A$800,0)),0))</f>
        <v>0</v>
      </c>
      <c r="JF1" s="132" t="n">
        <f aca="false">IF(JF$4="",0,IFERROR(1/INDEX('"INCC-FGV"'!$B$2:$B$800,MATCH(JF$4,'"INCC-FGV"'!$A$2:$A$800,0)),0))</f>
        <v>0</v>
      </c>
      <c r="JG1" s="132" t="n">
        <f aca="false">IF(JG$4="",0,IFERROR(1/INDEX('"INCC-FGV"'!$B$2:$B$800,MATCH(JG$4,'"INCC-FGV"'!$A$2:$A$800,0)),0))</f>
        <v>0</v>
      </c>
      <c r="JH1" s="132" t="n">
        <f aca="false">IF(JH$4="",0,IFERROR(1/INDEX('"INCC-FGV"'!$B$2:$B$800,MATCH(JH$4,'"INCC-FGV"'!$A$2:$A$800,0)),0))</f>
        <v>0</v>
      </c>
      <c r="JI1" s="132" t="n">
        <f aca="false">IF(JI$4="",0,IFERROR(1/INDEX('"INCC-FGV"'!$B$2:$B$800,MATCH(JI$4,'"INCC-FGV"'!$A$2:$A$800,0)),0))</f>
        <v>0</v>
      </c>
      <c r="JJ1" s="132" t="n">
        <f aca="false">IF(JJ$4="",0,IFERROR(1/INDEX('"INCC-FGV"'!$B$2:$B$800,MATCH(JJ$4,'"INCC-FGV"'!$A$2:$A$800,0)),0))</f>
        <v>0</v>
      </c>
      <c r="JK1" s="132" t="n">
        <f aca="false">IF(JK$4="",0,IFERROR(1/INDEX('"INCC-FGV"'!$B$2:$B$800,MATCH(JK$4,'"INCC-FGV"'!$A$2:$A$800,0)),0))</f>
        <v>0</v>
      </c>
      <c r="JL1" s="132" t="n">
        <f aca="false">IF(JL$4="",0,IFERROR(1/INDEX('"INCC-FGV"'!$B$2:$B$800,MATCH(JL$4,'"INCC-FGV"'!$A$2:$A$800,0)),0))</f>
        <v>0</v>
      </c>
      <c r="JM1" s="132" t="n">
        <f aca="false">IF(JM$4="",0,IFERROR(1/INDEX('"INCC-FGV"'!$B$2:$B$800,MATCH(JM$4,'"INCC-FGV"'!$A$2:$A$800,0)),0))</f>
        <v>0</v>
      </c>
      <c r="JN1" s="132" t="n">
        <f aca="false">IF(JN$4="",0,IFERROR(1/INDEX('"INCC-FGV"'!$B$2:$B$800,MATCH(JN$4,'"INCC-FGV"'!$A$2:$A$800,0)),0))</f>
        <v>0</v>
      </c>
      <c r="JO1" s="132" t="n">
        <f aca="false">IF(JO$4="",0,IFERROR(1/INDEX('"INCC-FGV"'!$B$2:$B$800,MATCH(JO$4,'"INCC-FGV"'!$A$2:$A$800,0)),0))</f>
        <v>0</v>
      </c>
      <c r="JP1" s="132" t="n">
        <f aca="false">IF(JP$4="",0,IFERROR(1/INDEX('"INCC-FGV"'!$B$2:$B$800,MATCH(JP$4,'"INCC-FGV"'!$A$2:$A$800,0)),0))</f>
        <v>0</v>
      </c>
      <c r="JQ1" s="132" t="n">
        <f aca="false">IF(JQ$4="",0,IFERROR(1/INDEX('"INCC-FGV"'!$B$2:$B$800,MATCH(JQ$4,'"INCC-FGV"'!$A$2:$A$800,0)),0))</f>
        <v>0</v>
      </c>
      <c r="JR1" s="132" t="n">
        <f aca="false">IF(JR$4="",0,IFERROR(1/INDEX('"INCC-FGV"'!$B$2:$B$800,MATCH(JR$4,'"INCC-FGV"'!$A$2:$A$800,0)),0))</f>
        <v>0</v>
      </c>
      <c r="JS1" s="132" t="n">
        <f aca="false">IF(JS$4="",0,IFERROR(1/INDEX('"INCC-FGV"'!$B$2:$B$800,MATCH(JS$4,'"INCC-FGV"'!$A$2:$A$800,0)),0))</f>
        <v>0</v>
      </c>
    </row>
    <row r="2" customFormat="false" ht="15" hidden="false" customHeight="false" outlineLevel="0" collapsed="false">
      <c r="A2" s="2" t="s">
        <v>2866</v>
      </c>
      <c r="C2" s="63" t="n">
        <f aca="false">SUMPRODUCT(('DADOS BRUTOS'!$A$3:$A$500&lt;&gt;"")*(COUNTIF($B$5:$C$42,'DADOS BRUTOS'!$A$3:$A$500)=0)*(COUNTIF($A$50:$A$69,'DADOS BRUTOS'!$A$3:$A$500)=0))</f>
        <v>0</v>
      </c>
      <c r="CB2" s="123" t="s">
        <v>2867</v>
      </c>
    </row>
    <row r="3" customFormat="false" ht="15" hidden="false" customHeight="false" outlineLevel="0" collapsed="false">
      <c r="D3" s="123" t="s">
        <v>2868</v>
      </c>
      <c r="CB3" s="123" t="str">
        <f aca="false">"B"</f>
        <v>B</v>
      </c>
      <c r="CC3" s="123" t="str">
        <f aca="false">"C"</f>
        <v>C</v>
      </c>
      <c r="CD3" s="123" t="str">
        <f aca="false">"D"</f>
        <v>D</v>
      </c>
      <c r="CE3" s="123" t="str">
        <f aca="false">"E"</f>
        <v>E</v>
      </c>
      <c r="CF3" s="123" t="str">
        <f aca="false">"F"</f>
        <v>F</v>
      </c>
      <c r="CG3" s="123" t="str">
        <f aca="false">"G"</f>
        <v>G</v>
      </c>
      <c r="CH3" s="123" t="str">
        <f aca="false">"H"</f>
        <v>H</v>
      </c>
      <c r="CI3" s="123" t="str">
        <f aca="false">"I"</f>
        <v>I</v>
      </c>
      <c r="CJ3" s="123" t="str">
        <f aca="false">"J"</f>
        <v>J</v>
      </c>
      <c r="CK3" s="123" t="str">
        <f aca="false">"K"</f>
        <v>K</v>
      </c>
      <c r="CL3" s="123" t="str">
        <f aca="false">"L"</f>
        <v>L</v>
      </c>
      <c r="CM3" s="123" t="str">
        <f aca="false">"M"</f>
        <v>M</v>
      </c>
      <c r="CN3" s="123" t="str">
        <f aca="false">"N"</f>
        <v>N</v>
      </c>
      <c r="CO3" s="123" t="str">
        <f aca="false">"O"</f>
        <v>O</v>
      </c>
      <c r="CP3" s="123" t="str">
        <f aca="false">"P"</f>
        <v>P</v>
      </c>
      <c r="CQ3" s="123" t="str">
        <f aca="false">"Q"</f>
        <v>Q</v>
      </c>
      <c r="CR3" s="123" t="str">
        <f aca="false">"R"</f>
        <v>R</v>
      </c>
      <c r="CS3" s="123" t="str">
        <f aca="false">"S"</f>
        <v>S</v>
      </c>
      <c r="CT3" s="123" t="str">
        <f aca="false">"T"</f>
        <v>T</v>
      </c>
      <c r="CU3" s="123" t="str">
        <f aca="false">"U"</f>
        <v>U</v>
      </c>
      <c r="CV3" s="123" t="str">
        <f aca="false">"V"</f>
        <v>V</v>
      </c>
      <c r="CW3" s="123" t="str">
        <f aca="false">"W"</f>
        <v>W</v>
      </c>
      <c r="CX3" s="123" t="str">
        <f aca="false">"X"</f>
        <v>X</v>
      </c>
      <c r="CY3" s="123" t="str">
        <f aca="false">"Y"</f>
        <v>Y</v>
      </c>
      <c r="CZ3" s="123" t="str">
        <f aca="false">"Z"</f>
        <v>Z</v>
      </c>
      <c r="DA3" s="123" t="str">
        <f aca="false">"AA"</f>
        <v>AA</v>
      </c>
      <c r="DB3" s="123" t="str">
        <f aca="false">"AB"</f>
        <v>AB</v>
      </c>
      <c r="DC3" s="123" t="str">
        <f aca="false">"AC"</f>
        <v>AC</v>
      </c>
      <c r="DD3" s="123" t="str">
        <f aca="false">"AD"</f>
        <v>AD</v>
      </c>
      <c r="DE3" s="123" t="str">
        <f aca="false">"AE"</f>
        <v>AE</v>
      </c>
      <c r="DF3" s="123" t="str">
        <f aca="false">"AF"</f>
        <v>AF</v>
      </c>
      <c r="DG3" s="123" t="str">
        <f aca="false">"AG"</f>
        <v>AG</v>
      </c>
      <c r="DH3" s="123" t="str">
        <f aca="false">"AH"</f>
        <v>AH</v>
      </c>
      <c r="DI3" s="123" t="str">
        <f aca="false">"AI"</f>
        <v>AI</v>
      </c>
      <c r="DJ3" s="123" t="str">
        <f aca="false">"AJ"</f>
        <v>AJ</v>
      </c>
      <c r="DK3" s="123" t="str">
        <f aca="false">"AK"</f>
        <v>AK</v>
      </c>
      <c r="DL3" s="123" t="str">
        <f aca="false">"AL"</f>
        <v>AL</v>
      </c>
      <c r="DM3" s="123" t="str">
        <f aca="false">"AM"</f>
        <v>AM</v>
      </c>
      <c r="DN3" s="123" t="str">
        <f aca="false">"AN"</f>
        <v>AN</v>
      </c>
      <c r="DO3" s="123" t="str">
        <f aca="false">"AO"</f>
        <v>AO</v>
      </c>
      <c r="DP3" s="123" t="str">
        <f aca="false">"AP"</f>
        <v>AP</v>
      </c>
      <c r="DQ3" s="123" t="str">
        <f aca="false">"AQ"</f>
        <v>AQ</v>
      </c>
      <c r="DR3" s="123" t="str">
        <f aca="false">"AR"</f>
        <v>AR</v>
      </c>
      <c r="DS3" s="123" t="str">
        <f aca="false">"AS"</f>
        <v>AS</v>
      </c>
      <c r="DT3" s="123" t="str">
        <f aca="false">"AT"</f>
        <v>AT</v>
      </c>
      <c r="DU3" s="123" t="str">
        <f aca="false">"AU"</f>
        <v>AU</v>
      </c>
      <c r="DV3" s="123" t="str">
        <f aca="false">"AV"</f>
        <v>AV</v>
      </c>
      <c r="DW3" s="123" t="str">
        <f aca="false">"AW"</f>
        <v>AW</v>
      </c>
      <c r="DX3" s="123" t="str">
        <f aca="false">"AX"</f>
        <v>AX</v>
      </c>
      <c r="DY3" s="123" t="str">
        <f aca="false">"AY"</f>
        <v>AY</v>
      </c>
      <c r="DZ3" s="123" t="str">
        <f aca="false">"AZ"</f>
        <v>AZ</v>
      </c>
      <c r="EA3" s="123" t="str">
        <f aca="false">"BA"</f>
        <v>BA</v>
      </c>
      <c r="EB3" s="123" t="str">
        <f aca="false">"BB"</f>
        <v>BB</v>
      </c>
      <c r="EC3" s="123" t="str">
        <f aca="false">"BC"</f>
        <v>BC</v>
      </c>
      <c r="ED3" s="123" t="str">
        <f aca="false">"BD"</f>
        <v>BD</v>
      </c>
      <c r="EE3" s="123" t="str">
        <f aca="false">"BE"</f>
        <v>BE</v>
      </c>
      <c r="EF3" s="123" t="str">
        <f aca="false">"BF"</f>
        <v>BF</v>
      </c>
      <c r="EG3" s="123" t="str">
        <f aca="false">"BG"</f>
        <v>BG</v>
      </c>
      <c r="EH3" s="123" t="str">
        <f aca="false">"BH"</f>
        <v>BH</v>
      </c>
      <c r="EI3" s="123" t="str">
        <f aca="false">"BI"</f>
        <v>BI</v>
      </c>
      <c r="EJ3" s="123" t="str">
        <f aca="false">"BJ"</f>
        <v>BJ</v>
      </c>
      <c r="EK3" s="123" t="str">
        <f aca="false">"BK"</f>
        <v>BK</v>
      </c>
      <c r="EL3" s="123" t="str">
        <f aca="false">"BL"</f>
        <v>BL</v>
      </c>
      <c r="EM3" s="123" t="str">
        <f aca="false">"BM"</f>
        <v>BM</v>
      </c>
      <c r="EN3" s="123" t="str">
        <f aca="false">"BN"</f>
        <v>BN</v>
      </c>
      <c r="EO3" s="123" t="str">
        <f aca="false">"BO"</f>
        <v>BO</v>
      </c>
      <c r="EP3" s="123" t="str">
        <f aca="false">"BP"</f>
        <v>BP</v>
      </c>
      <c r="EQ3" s="123" t="str">
        <f aca="false">"BQ"</f>
        <v>BQ</v>
      </c>
      <c r="ER3" s="123" t="str">
        <f aca="false">"BR"</f>
        <v>BR</v>
      </c>
      <c r="ES3" s="123" t="str">
        <f aca="false">"BS"</f>
        <v>BS</v>
      </c>
      <c r="ET3" s="123" t="str">
        <f aca="false">"BT"</f>
        <v>BT</v>
      </c>
      <c r="EU3" s="123" t="str">
        <f aca="false">"BU"</f>
        <v>BU</v>
      </c>
      <c r="EV3" s="123" t="str">
        <f aca="false">"BV"</f>
        <v>BV</v>
      </c>
      <c r="EW3" s="123" t="str">
        <f aca="false">"BW"</f>
        <v>BW</v>
      </c>
      <c r="EX3" s="123" t="str">
        <f aca="false">"BX"</f>
        <v>BX</v>
      </c>
      <c r="EY3" s="123" t="str">
        <f aca="false">"BY"</f>
        <v>BY</v>
      </c>
      <c r="EZ3" s="123" t="str">
        <f aca="false">"BZ"</f>
        <v>BZ</v>
      </c>
      <c r="FA3" s="123" t="str">
        <f aca="false">"CA"</f>
        <v>CA</v>
      </c>
      <c r="FB3" s="123" t="str">
        <f aca="false">"CB"</f>
        <v>CB</v>
      </c>
      <c r="FC3" s="123" t="str">
        <f aca="false">"CC"</f>
        <v>CC</v>
      </c>
      <c r="FD3" s="123" t="str">
        <f aca="false">"CD"</f>
        <v>CD</v>
      </c>
      <c r="FE3" s="123" t="str">
        <f aca="false">"CE"</f>
        <v>CE</v>
      </c>
      <c r="FF3" s="123" t="str">
        <f aca="false">"CF"</f>
        <v>CF</v>
      </c>
      <c r="FG3" s="123" t="str">
        <f aca="false">"CG"</f>
        <v>CG</v>
      </c>
      <c r="FH3" s="123" t="str">
        <f aca="false">"CH"</f>
        <v>CH</v>
      </c>
      <c r="FI3" s="123" t="str">
        <f aca="false">"CI"</f>
        <v>CI</v>
      </c>
      <c r="FJ3" s="123" t="str">
        <f aca="false">"CJ"</f>
        <v>CJ</v>
      </c>
      <c r="FK3" s="123" t="str">
        <f aca="false">"CK"</f>
        <v>CK</v>
      </c>
      <c r="FL3" s="123" t="str">
        <f aca="false">"CL"</f>
        <v>CL</v>
      </c>
      <c r="FM3" s="123" t="str">
        <f aca="false">"CM"</f>
        <v>CM</v>
      </c>
      <c r="FN3" s="123" t="str">
        <f aca="false">"CN"</f>
        <v>CN</v>
      </c>
      <c r="FO3" s="123" t="str">
        <f aca="false">"CO"</f>
        <v>CO</v>
      </c>
      <c r="FP3" s="123" t="str">
        <f aca="false">"CP"</f>
        <v>CP</v>
      </c>
      <c r="FQ3" s="123" t="str">
        <f aca="false">"CQ"</f>
        <v>CQ</v>
      </c>
      <c r="FR3" s="123" t="str">
        <f aca="false">"CR"</f>
        <v>CR</v>
      </c>
      <c r="FS3" s="123" t="str">
        <f aca="false">"CS"</f>
        <v>CS</v>
      </c>
      <c r="FT3" s="123" t="str">
        <f aca="false">"CT"</f>
        <v>CT</v>
      </c>
      <c r="FU3" s="123" t="str">
        <f aca="false">"CU"</f>
        <v>CU</v>
      </c>
      <c r="FV3" s="123" t="str">
        <f aca="false">"CV"</f>
        <v>CV</v>
      </c>
      <c r="FW3" s="123" t="str">
        <f aca="false">"CW"</f>
        <v>CW</v>
      </c>
      <c r="FX3" s="123" t="str">
        <f aca="false">"CX"</f>
        <v>CX</v>
      </c>
      <c r="FY3" s="123" t="str">
        <f aca="false">"CY"</f>
        <v>CY</v>
      </c>
      <c r="FZ3" s="123" t="str">
        <f aca="false">"CZ"</f>
        <v>CZ</v>
      </c>
      <c r="GA3" s="123" t="str">
        <f aca="false">"DA"</f>
        <v>DA</v>
      </c>
      <c r="GB3" s="123" t="str">
        <f aca="false">"DB"</f>
        <v>DB</v>
      </c>
      <c r="GC3" s="123" t="str">
        <f aca="false">"DC"</f>
        <v>DC</v>
      </c>
      <c r="GD3" s="123" t="str">
        <f aca="false">"DD"</f>
        <v>DD</v>
      </c>
      <c r="GE3" s="123" t="str">
        <f aca="false">"DE"</f>
        <v>DE</v>
      </c>
      <c r="GF3" s="123" t="str">
        <f aca="false">"DF"</f>
        <v>DF</v>
      </c>
      <c r="GG3" s="123" t="str">
        <f aca="false">"DG"</f>
        <v>DG</v>
      </c>
      <c r="GH3" s="123" t="str">
        <f aca="false">"DH"</f>
        <v>DH</v>
      </c>
      <c r="GI3" s="123" t="str">
        <f aca="false">"DI"</f>
        <v>DI</v>
      </c>
      <c r="GJ3" s="123" t="str">
        <f aca="false">"DJ"</f>
        <v>DJ</v>
      </c>
      <c r="GK3" s="123" t="str">
        <f aca="false">"DK"</f>
        <v>DK</v>
      </c>
      <c r="GL3" s="123" t="str">
        <f aca="false">"DL"</f>
        <v>DL</v>
      </c>
      <c r="GM3" s="123" t="str">
        <f aca="false">"DM"</f>
        <v>DM</v>
      </c>
      <c r="GN3" s="123" t="str">
        <f aca="false">"DN"</f>
        <v>DN</v>
      </c>
      <c r="GO3" s="123" t="str">
        <f aca="false">"DO"</f>
        <v>DO</v>
      </c>
      <c r="GP3" s="123" t="str">
        <f aca="false">"DP"</f>
        <v>DP</v>
      </c>
      <c r="GQ3" s="123" t="str">
        <f aca="false">"DQ"</f>
        <v>DQ</v>
      </c>
      <c r="GR3" s="123" t="str">
        <f aca="false">"DR"</f>
        <v>DR</v>
      </c>
      <c r="GS3" s="123" t="str">
        <f aca="false">"DS"</f>
        <v>DS</v>
      </c>
      <c r="GT3" s="123" t="str">
        <f aca="false">"DT"</f>
        <v>DT</v>
      </c>
      <c r="GU3" s="123" t="str">
        <f aca="false">"DU"</f>
        <v>DU</v>
      </c>
      <c r="GV3" s="123" t="str">
        <f aca="false">"DV"</f>
        <v>DV</v>
      </c>
      <c r="GW3" s="123" t="str">
        <f aca="false">"DW"</f>
        <v>DW</v>
      </c>
      <c r="GX3" s="123" t="str">
        <f aca="false">"DX"</f>
        <v>DX</v>
      </c>
      <c r="GY3" s="123" t="str">
        <f aca="false">"DY"</f>
        <v>DY</v>
      </c>
      <c r="GZ3" s="123" t="str">
        <f aca="false">"DZ"</f>
        <v>DZ</v>
      </c>
      <c r="HA3" s="123" t="str">
        <f aca="false">"EA"</f>
        <v>EA</v>
      </c>
      <c r="HB3" s="123" t="str">
        <f aca="false">"EB"</f>
        <v>EB</v>
      </c>
      <c r="HC3" s="123" t="str">
        <f aca="false">"EC"</f>
        <v>EC</v>
      </c>
      <c r="HD3" s="123" t="str">
        <f aca="false">"ED"</f>
        <v>ED</v>
      </c>
      <c r="HE3" s="123" t="str">
        <f aca="false">"EE"</f>
        <v>EE</v>
      </c>
      <c r="HF3" s="123" t="str">
        <f aca="false">"EF"</f>
        <v>EF</v>
      </c>
      <c r="HG3" s="123" t="str">
        <f aca="false">"EG"</f>
        <v>EG</v>
      </c>
      <c r="HH3" s="123" t="str">
        <f aca="false">"EH"</f>
        <v>EH</v>
      </c>
      <c r="HI3" s="123" t="str">
        <f aca="false">"EI"</f>
        <v>EI</v>
      </c>
      <c r="HJ3" s="123" t="str">
        <f aca="false">"EJ"</f>
        <v>EJ</v>
      </c>
      <c r="HK3" s="123" t="str">
        <f aca="false">"EK"</f>
        <v>EK</v>
      </c>
      <c r="HL3" s="123" t="str">
        <f aca="false">"EL"</f>
        <v>EL</v>
      </c>
      <c r="HM3" s="123" t="str">
        <f aca="false">"EM"</f>
        <v>EM</v>
      </c>
      <c r="HN3" s="123" t="str">
        <f aca="false">"EN"</f>
        <v>EN</v>
      </c>
      <c r="HO3" s="123" t="str">
        <f aca="false">"EO"</f>
        <v>EO</v>
      </c>
      <c r="HP3" s="123" t="str">
        <f aca="false">"EP"</f>
        <v>EP</v>
      </c>
      <c r="HQ3" s="123" t="str">
        <f aca="false">"EQ"</f>
        <v>EQ</v>
      </c>
      <c r="HR3" s="123" t="str">
        <f aca="false">"ER"</f>
        <v>ER</v>
      </c>
      <c r="HS3" s="123" t="str">
        <f aca="false">"ES"</f>
        <v>ES</v>
      </c>
      <c r="HT3" s="123" t="str">
        <f aca="false">"ET"</f>
        <v>ET</v>
      </c>
      <c r="HU3" s="123" t="str">
        <f aca="false">"EU"</f>
        <v>EU</v>
      </c>
      <c r="HV3" s="123" t="str">
        <f aca="false">"EV"</f>
        <v>EV</v>
      </c>
      <c r="HW3" s="123" t="str">
        <f aca="false">"EW"</f>
        <v>EW</v>
      </c>
      <c r="HX3" s="123" t="str">
        <f aca="false">"EX"</f>
        <v>EX</v>
      </c>
      <c r="HY3" s="123" t="str">
        <f aca="false">"EY"</f>
        <v>EY</v>
      </c>
      <c r="HZ3" s="123" t="str">
        <f aca="false">"EZ"</f>
        <v>EZ</v>
      </c>
      <c r="IA3" s="123" t="str">
        <f aca="false">"FA"</f>
        <v>FA</v>
      </c>
      <c r="IB3" s="123" t="str">
        <f aca="false">"FB"</f>
        <v>FB</v>
      </c>
      <c r="IC3" s="123" t="str">
        <f aca="false">"FC"</f>
        <v>FC</v>
      </c>
      <c r="ID3" s="123" t="str">
        <f aca="false">"FD"</f>
        <v>FD</v>
      </c>
      <c r="IE3" s="123" t="str">
        <f aca="false">"FE"</f>
        <v>FE</v>
      </c>
      <c r="IF3" s="123" t="str">
        <f aca="false">"FF"</f>
        <v>FF</v>
      </c>
      <c r="IG3" s="123" t="str">
        <f aca="false">"FG"</f>
        <v>FG</v>
      </c>
      <c r="IH3" s="123" t="str">
        <f aca="false">"FH"</f>
        <v>FH</v>
      </c>
      <c r="II3" s="123" t="str">
        <f aca="false">"FI"</f>
        <v>FI</v>
      </c>
      <c r="IJ3" s="123" t="str">
        <f aca="false">"FJ"</f>
        <v>FJ</v>
      </c>
      <c r="IK3" s="123" t="str">
        <f aca="false">"FK"</f>
        <v>FK</v>
      </c>
      <c r="IL3" s="123" t="str">
        <f aca="false">"FL"</f>
        <v>FL</v>
      </c>
      <c r="IM3" s="123" t="str">
        <f aca="false">"FM"</f>
        <v>FM</v>
      </c>
      <c r="IN3" s="123" t="str">
        <f aca="false">"FN"</f>
        <v>FN</v>
      </c>
      <c r="IO3" s="123" t="str">
        <f aca="false">"FO"</f>
        <v>FO</v>
      </c>
      <c r="IP3" s="123" t="str">
        <f aca="false">"FP"</f>
        <v>FP</v>
      </c>
      <c r="IQ3" s="123" t="str">
        <f aca="false">"FQ"</f>
        <v>FQ</v>
      </c>
      <c r="IR3" s="123" t="str">
        <f aca="false">"FR"</f>
        <v>FR</v>
      </c>
      <c r="IS3" s="123" t="str">
        <f aca="false">"FS"</f>
        <v>FS</v>
      </c>
      <c r="IT3" s="123" t="str">
        <f aca="false">"FT"</f>
        <v>FT</v>
      </c>
      <c r="IU3" s="123" t="str">
        <f aca="false">"FU"</f>
        <v>FU</v>
      </c>
      <c r="IV3" s="123" t="str">
        <f aca="false">"FV"</f>
        <v>FV</v>
      </c>
      <c r="IW3" s="123" t="str">
        <f aca="false">"FW"</f>
        <v>FW</v>
      </c>
      <c r="IX3" s="123" t="str">
        <f aca="false">"FX"</f>
        <v>FX</v>
      </c>
      <c r="IY3" s="123" t="str">
        <f aca="false">"FY"</f>
        <v>FY</v>
      </c>
      <c r="IZ3" s="123" t="str">
        <f aca="false">"FZ"</f>
        <v>FZ</v>
      </c>
      <c r="JA3" s="123" t="str">
        <f aca="false">"GA"</f>
        <v>GA</v>
      </c>
      <c r="JB3" s="123" t="str">
        <f aca="false">"GB"</f>
        <v>GB</v>
      </c>
      <c r="JC3" s="123" t="str">
        <f aca="false">"GC"</f>
        <v>GC</v>
      </c>
      <c r="JD3" s="123" t="str">
        <f aca="false">"GD"</f>
        <v>GD</v>
      </c>
      <c r="JE3" s="123" t="str">
        <f aca="false">"GE"</f>
        <v>GE</v>
      </c>
      <c r="JF3" s="123" t="str">
        <f aca="false">"GF"</f>
        <v>GF</v>
      </c>
      <c r="JG3" s="123" t="str">
        <f aca="false">"GG"</f>
        <v>GG</v>
      </c>
      <c r="JH3" s="123" t="str">
        <f aca="false">"GH"</f>
        <v>GH</v>
      </c>
      <c r="JI3" s="123" t="str">
        <f aca="false">"GI"</f>
        <v>GI</v>
      </c>
      <c r="JJ3" s="123" t="str">
        <f aca="false">"GJ"</f>
        <v>GJ</v>
      </c>
      <c r="JK3" s="123" t="str">
        <f aca="false">"GK"</f>
        <v>GK</v>
      </c>
      <c r="JL3" s="123" t="str">
        <f aca="false">"GL"</f>
        <v>GL</v>
      </c>
      <c r="JM3" s="123" t="str">
        <f aca="false">"GM"</f>
        <v>GM</v>
      </c>
      <c r="JN3" s="123" t="str">
        <f aca="false">"GN"</f>
        <v>GN</v>
      </c>
      <c r="JO3" s="123" t="str">
        <f aca="false">"GO"</f>
        <v>GO</v>
      </c>
      <c r="JP3" s="123" t="str">
        <f aca="false">"GP"</f>
        <v>GP</v>
      </c>
      <c r="JQ3" s="123" t="str">
        <f aca="false">"GQ"</f>
        <v>GQ</v>
      </c>
      <c r="JR3" s="123" t="str">
        <f aca="false">"GR"</f>
        <v>GR</v>
      </c>
      <c r="JS3" s="123" t="str">
        <f aca="false">"GS"</f>
        <v>GS</v>
      </c>
    </row>
    <row r="4" customFormat="false" ht="55.2" hidden="false" customHeight="false" outlineLevel="0" collapsed="false">
      <c r="A4" s="54" t="s">
        <v>61</v>
      </c>
      <c r="B4" s="54" t="s">
        <v>2869</v>
      </c>
      <c r="C4" s="54" t="s">
        <v>2870</v>
      </c>
      <c r="D4" s="130" t="n">
        <f aca="false">'MODELO PARA BI'!H1</f>
        <v>45627</v>
      </c>
      <c r="E4" s="130" t="n">
        <f aca="false">'MODELO PARA BI'!I1</f>
        <v>45658</v>
      </c>
      <c r="F4" s="130" t="n">
        <f aca="false">'MODELO PARA BI'!J1</f>
        <v>45689</v>
      </c>
      <c r="G4" s="130" t="n">
        <f aca="false">'MODELO PARA BI'!K1</f>
        <v>45717</v>
      </c>
      <c r="H4" s="130" t="n">
        <f aca="false">'MODELO PARA BI'!L1</f>
        <v>45748</v>
      </c>
      <c r="I4" s="130" t="n">
        <f aca="false">'MODELO PARA BI'!M1</f>
        <v>45778</v>
      </c>
      <c r="J4" s="130" t="n">
        <f aca="false">'MODELO PARA BI'!N1</f>
        <v>45809</v>
      </c>
      <c r="K4" s="130" t="n">
        <f aca="false">'MODELO PARA BI'!O1</f>
        <v>45839</v>
      </c>
      <c r="L4" s="130" t="n">
        <f aca="false">'MODELO PARA BI'!P1</f>
        <v>45870</v>
      </c>
      <c r="M4" s="130" t="n">
        <f aca="false">'MODELO PARA BI'!Q1</f>
        <v>45901</v>
      </c>
      <c r="N4" s="130" t="n">
        <f aca="false">'MODELO PARA BI'!R1</f>
        <v>45931</v>
      </c>
      <c r="O4" s="130" t="n">
        <f aca="false">'MODELO PARA BI'!S1</f>
        <v>45962</v>
      </c>
      <c r="P4" s="130" t="n">
        <f aca="false">'MODELO PARA BI'!T1</f>
        <v>45992</v>
      </c>
      <c r="Q4" s="130" t="n">
        <f aca="false">'MODELO PARA BI'!U1</f>
        <v>46023</v>
      </c>
      <c r="R4" s="130" t="n">
        <f aca="false">'MODELO PARA BI'!V1</f>
        <v>46054</v>
      </c>
      <c r="S4" s="130" t="n">
        <f aca="false">'MODELO PARA BI'!W1</f>
        <v>46082</v>
      </c>
      <c r="T4" s="130" t="n">
        <f aca="false">'MODELO PARA BI'!X1</f>
        <v>46113</v>
      </c>
      <c r="U4" s="130" t="n">
        <f aca="false">'MODELO PARA BI'!Y1</f>
        <v>46143</v>
      </c>
      <c r="V4" s="130" t="n">
        <f aca="false">'MODELO PARA BI'!Z1</f>
        <v>46174</v>
      </c>
      <c r="W4" s="130" t="n">
        <f aca="false">'MODELO PARA BI'!AA1</f>
        <v>46204</v>
      </c>
      <c r="X4" s="130" t="n">
        <f aca="false">'MODELO PARA BI'!AB1</f>
        <v>46235</v>
      </c>
      <c r="Y4" s="130" t="n">
        <f aca="false">'MODELO PARA BI'!AC1</f>
        <v>46266</v>
      </c>
      <c r="Z4" s="130" t="n">
        <f aca="false">'MODELO PARA BI'!AD1</f>
        <v>46296</v>
      </c>
      <c r="AA4" s="130" t="n">
        <f aca="false">'MODELO PARA BI'!AE1</f>
        <v>46327</v>
      </c>
      <c r="AB4" s="130" t="n">
        <f aca="false">'MODELO PARA BI'!AF1</f>
        <v>46357</v>
      </c>
      <c r="AC4" s="130" t="n">
        <f aca="false">'MODELO PARA BI'!AG1</f>
        <v>46388</v>
      </c>
      <c r="AD4" s="130" t="n">
        <f aca="false">'MODELO PARA BI'!AH1</f>
        <v>46419</v>
      </c>
      <c r="AE4" s="130" t="n">
        <f aca="false">'MODELO PARA BI'!AI1</f>
        <v>46447</v>
      </c>
      <c r="AF4" s="130" t="n">
        <f aca="false">'MODELO PARA BI'!AJ1</f>
        <v>46478</v>
      </c>
      <c r="AG4" s="130" t="n">
        <f aca="false">'MODELO PARA BI'!AK1</f>
        <v>46508</v>
      </c>
      <c r="AH4" s="130" t="n">
        <f aca="false">'MODELO PARA BI'!AL1</f>
        <v>46539</v>
      </c>
      <c r="AI4" s="130" t="n">
        <f aca="false">'MODELO PARA BI'!AM1</f>
        <v>46569</v>
      </c>
      <c r="AJ4" s="130" t="n">
        <f aca="false">'MODELO PARA BI'!AN1</f>
        <v>46600</v>
      </c>
      <c r="AK4" s="130" t="n">
        <f aca="false">'MODELO PARA BI'!AO1</f>
        <v>46631</v>
      </c>
      <c r="AL4" s="130" t="n">
        <f aca="false">'MODELO PARA BI'!AP1</f>
        <v>46661</v>
      </c>
      <c r="AM4" s="130" t="n">
        <f aca="false">'MODELO PARA BI'!AQ1</f>
        <v>46692</v>
      </c>
      <c r="AN4" s="130" t="n">
        <f aca="false">'MODELO PARA BI'!AR1</f>
        <v>46722</v>
      </c>
      <c r="AO4" s="130" t="n">
        <f aca="false">'MODELO PARA BI'!AS1</f>
        <v>46753</v>
      </c>
      <c r="AP4" s="130" t="n">
        <f aca="false">'MODELO PARA BI'!AT1</f>
        <v>46784</v>
      </c>
      <c r="AQ4" s="130" t="n">
        <f aca="false">'MODELO PARA BI'!AU1</f>
        <v>46813</v>
      </c>
      <c r="AR4" s="130" t="n">
        <f aca="false">'MODELO PARA BI'!AV1</f>
        <v>46844</v>
      </c>
      <c r="AS4" s="130" t="n">
        <f aca="false">'MODELO PARA BI'!AW1</f>
        <v>46874</v>
      </c>
      <c r="AT4" s="130" t="n">
        <f aca="false">'MODELO PARA BI'!AX1</f>
        <v>46905</v>
      </c>
      <c r="AU4" s="130" t="n">
        <f aca="false">'MODELO PARA BI'!AY1</f>
        <v>46935</v>
      </c>
      <c r="AV4" s="130" t="n">
        <f aca="false">'MODELO PARA BI'!AZ1</f>
        <v>46966</v>
      </c>
      <c r="AW4" s="130" t="n">
        <f aca="false">'MODELO PARA BI'!BA1</f>
        <v>46997</v>
      </c>
      <c r="AX4" s="130" t="n">
        <f aca="false">'MODELO PARA BI'!BB1</f>
        <v>47027</v>
      </c>
      <c r="AY4" s="130" t="n">
        <f aca="false">'MODELO PARA BI'!BC1</f>
        <v>47058</v>
      </c>
      <c r="AZ4" s="130" t="n">
        <f aca="false">'MODELO PARA BI'!BD1</f>
        <v>47088</v>
      </c>
      <c r="BA4" s="130" t="n">
        <f aca="false">'MODELO PARA BI'!BE1</f>
        <v>47119</v>
      </c>
      <c r="BB4" s="130" t="n">
        <f aca="false">'MODELO PARA BI'!BF1</f>
        <v>47150</v>
      </c>
      <c r="BC4" s="130" t="n">
        <f aca="false">'MODELO PARA BI'!BG1</f>
        <v>47178</v>
      </c>
      <c r="BD4" s="130" t="n">
        <f aca="false">'MODELO PARA BI'!BH1</f>
        <v>47209</v>
      </c>
      <c r="BE4" s="130" t="n">
        <f aca="false">'MODELO PARA BI'!BI1</f>
        <v>47239</v>
      </c>
      <c r="BF4" s="130" t="n">
        <f aca="false">'MODELO PARA BI'!BJ1</f>
        <v>47270</v>
      </c>
      <c r="BG4" s="130" t="n">
        <f aca="false">'MODELO PARA BI'!BK1</f>
        <v>47300</v>
      </c>
      <c r="BH4" s="130" t="n">
        <f aca="false">'MODELO PARA BI'!BL1</f>
        <v>47331</v>
      </c>
      <c r="BI4" s="130" t="n">
        <f aca="false">'MODELO PARA BI'!BM1</f>
        <v>47362</v>
      </c>
      <c r="BJ4" s="130" t="n">
        <f aca="false">'MODELO PARA BI'!BN1</f>
        <v>47392</v>
      </c>
      <c r="BK4" s="130" t="n">
        <f aca="false">'MODELO PARA BI'!BO1</f>
        <v>47423</v>
      </c>
      <c r="BL4" s="130" t="n">
        <f aca="false">'MODELO PARA BI'!BP1</f>
        <v>47453</v>
      </c>
      <c r="BM4" s="130" t="n">
        <f aca="false">'MODELO PARA BI'!BQ1</f>
        <v>47484</v>
      </c>
      <c r="BN4" s="130" t="n">
        <f aca="false">'MODELO PARA BI'!BR1</f>
        <v>47515</v>
      </c>
      <c r="BO4" s="130" t="n">
        <f aca="false">'MODELO PARA BI'!BS1</f>
        <v>47543</v>
      </c>
      <c r="BP4" s="130" t="n">
        <f aca="false">'MODELO PARA BI'!BT1</f>
        <v>47574</v>
      </c>
      <c r="BQ4" s="130" t="n">
        <f aca="false">'MODELO PARA BI'!BU1</f>
        <v>47604</v>
      </c>
      <c r="BR4" s="130" t="n">
        <f aca="false">'MODELO PARA BI'!BV1</f>
        <v>47635</v>
      </c>
      <c r="BS4" s="130" t="n">
        <f aca="false">'MODELO PARA BI'!BW1</f>
        <v>47665</v>
      </c>
      <c r="BT4" s="130" t="n">
        <f aca="false">'MODELO PARA BI'!BX1</f>
        <v>47696</v>
      </c>
      <c r="BU4" s="130" t="n">
        <f aca="false">'MODELO PARA BI'!BY1</f>
        <v>47727</v>
      </c>
      <c r="BV4" s="130" t="n">
        <f aca="false">'MODELO PARA BI'!BZ1</f>
        <v>47757</v>
      </c>
      <c r="BW4" s="130" t="n">
        <f aca="false">'MODELO PARA BI'!CA1</f>
        <v>47788</v>
      </c>
      <c r="BX4" s="54" t="s">
        <v>2871</v>
      </c>
      <c r="BY4" s="54" t="s">
        <v>2872</v>
      </c>
      <c r="BZ4" s="54" t="s">
        <v>2873</v>
      </c>
      <c r="CB4" s="119" t="n">
        <f aca="false">IF(ISNUMBER('DADOS BRUTOS'!B$2),DATE(YEAR('DADOS BRUTOS'!B$2),MONTH('DADOS BRUTOS'!B$2),1),"")</f>
        <v>45078</v>
      </c>
      <c r="CC4" s="119" t="n">
        <f aca="false">IF(ISNUMBER('DADOS BRUTOS'!C$2),DATE(YEAR('DADOS BRUTOS'!C$2),MONTH('DADOS BRUTOS'!C$2),1),"")</f>
        <v>45231</v>
      </c>
      <c r="CD4" s="119" t="n">
        <f aca="false">IF(ISNUMBER('DADOS BRUTOS'!D$2),DATE(YEAR('DADOS BRUTOS'!D$2),MONTH('DADOS BRUTOS'!D$2),1),"")</f>
        <v>45323</v>
      </c>
      <c r="CE4" s="119" t="n">
        <f aca="false">IF(ISNUMBER('DADOS BRUTOS'!E$2),DATE(YEAR('DADOS BRUTOS'!E$2),MONTH('DADOS BRUTOS'!E$2),1),"")</f>
        <v>45352</v>
      </c>
      <c r="CF4" s="119" t="n">
        <f aca="false">IF(ISNUMBER('DADOS BRUTOS'!F$2),DATE(YEAR('DADOS BRUTOS'!F$2),MONTH('DADOS BRUTOS'!F$2),1),"")</f>
        <v>45383</v>
      </c>
      <c r="CG4" s="119" t="n">
        <f aca="false">IF(ISNUMBER('DADOS BRUTOS'!G$2),DATE(YEAR('DADOS BRUTOS'!G$2),MONTH('DADOS BRUTOS'!G$2),1),"")</f>
        <v>45413</v>
      </c>
      <c r="CH4" s="119" t="n">
        <f aca="false">IF(ISNUMBER('DADOS BRUTOS'!H$2),DATE(YEAR('DADOS BRUTOS'!H$2),MONTH('DADOS BRUTOS'!H$2),1),"")</f>
        <v>45444</v>
      </c>
      <c r="CI4" s="119" t="n">
        <f aca="false">IF(ISNUMBER('DADOS BRUTOS'!I$2),DATE(YEAR('DADOS BRUTOS'!I$2),MONTH('DADOS BRUTOS'!I$2),1),"")</f>
        <v>45474</v>
      </c>
      <c r="CJ4" s="119" t="n">
        <f aca="false">IF(ISNUMBER('DADOS BRUTOS'!J$2),DATE(YEAR('DADOS BRUTOS'!J$2),MONTH('DADOS BRUTOS'!J$2),1),"")</f>
        <v>45505</v>
      </c>
      <c r="CK4" s="119" t="n">
        <f aca="false">IF(ISNUMBER('DADOS BRUTOS'!K$2),DATE(YEAR('DADOS BRUTOS'!K$2),MONTH('DADOS BRUTOS'!K$2),1),"")</f>
        <v>45536</v>
      </c>
      <c r="CL4" s="119" t="n">
        <f aca="false">IF(ISNUMBER('DADOS BRUTOS'!L$2),DATE(YEAR('DADOS BRUTOS'!L$2),MONTH('DADOS BRUTOS'!L$2),1),"")</f>
        <v>45566</v>
      </c>
      <c r="CM4" s="119" t="n">
        <f aca="false">IF(ISNUMBER('DADOS BRUTOS'!M$2),DATE(YEAR('DADOS BRUTOS'!M$2),MONTH('DADOS BRUTOS'!M$2),1),"")</f>
        <v>45597</v>
      </c>
      <c r="CN4" s="119" t="n">
        <f aca="false">IF(ISNUMBER('DADOS BRUTOS'!N$2),DATE(YEAR('DADOS BRUTOS'!N$2),MONTH('DADOS BRUTOS'!N$2),1),"")</f>
        <v>45627</v>
      </c>
      <c r="CO4" s="119" t="n">
        <f aca="false">IF(ISNUMBER('DADOS BRUTOS'!O$2),DATE(YEAR('DADOS BRUTOS'!O$2),MONTH('DADOS BRUTOS'!O$2),1),"")</f>
        <v>45658</v>
      </c>
      <c r="CP4" s="119" t="n">
        <f aca="false">IF(ISNUMBER('DADOS BRUTOS'!P$2),DATE(YEAR('DADOS BRUTOS'!P$2),MONTH('DADOS BRUTOS'!P$2),1),"")</f>
        <v>45689</v>
      </c>
      <c r="CQ4" s="119" t="n">
        <f aca="false">IF(ISNUMBER('DADOS BRUTOS'!Q$2),DATE(YEAR('DADOS BRUTOS'!Q$2),MONTH('DADOS BRUTOS'!Q$2),1),"")</f>
        <v>45717</v>
      </c>
      <c r="CR4" s="119" t="n">
        <f aca="false">IF(ISNUMBER('DADOS BRUTOS'!R$2),DATE(YEAR('DADOS BRUTOS'!R$2),MONTH('DADOS BRUTOS'!R$2),1),"")</f>
        <v>45748</v>
      </c>
      <c r="CS4" s="119" t="n">
        <f aca="false">IF(ISNUMBER('DADOS BRUTOS'!S$2),DATE(YEAR('DADOS BRUTOS'!S$2),MONTH('DADOS BRUTOS'!S$2),1),"")</f>
        <v>45778</v>
      </c>
      <c r="CT4" s="119" t="n">
        <f aca="false">IF(ISNUMBER('DADOS BRUTOS'!T$2),DATE(YEAR('DADOS BRUTOS'!T$2),MONTH('DADOS BRUTOS'!T$2),1),"")</f>
        <v>45809</v>
      </c>
      <c r="CU4" s="119" t="n">
        <f aca="false">IF(ISNUMBER('DADOS BRUTOS'!U$2),DATE(YEAR('DADOS BRUTOS'!U$2),MONTH('DADOS BRUTOS'!U$2),1),"")</f>
        <v>45839</v>
      </c>
      <c r="CV4" s="119" t="n">
        <f aca="false">IF(ISNUMBER('DADOS BRUTOS'!V$2),DATE(YEAR('DADOS BRUTOS'!V$2),MONTH('DADOS BRUTOS'!V$2),1),"")</f>
        <v>45870</v>
      </c>
      <c r="CW4" s="119" t="n">
        <f aca="false">IF(ISNUMBER('DADOS BRUTOS'!W$2),DATE(YEAR('DADOS BRUTOS'!W$2),MONTH('DADOS BRUTOS'!W$2),1),"")</f>
        <v>45901</v>
      </c>
      <c r="CX4" s="119" t="n">
        <f aca="false">IF(ISNUMBER('DADOS BRUTOS'!X$2),DATE(YEAR('DADOS BRUTOS'!X$2),MONTH('DADOS BRUTOS'!X$2),1),"")</f>
        <v>45931</v>
      </c>
      <c r="CY4" s="119" t="n">
        <f aca="false">IF(ISNUMBER('DADOS BRUTOS'!Y$2),DATE(YEAR('DADOS BRUTOS'!Y$2),MONTH('DADOS BRUTOS'!Y$2),1),"")</f>
        <v>45962</v>
      </c>
      <c r="CZ4" s="119" t="n">
        <f aca="false">IF(ISNUMBER('DADOS BRUTOS'!Z$2),DATE(YEAR('DADOS BRUTOS'!Z$2),MONTH('DADOS BRUTOS'!Z$2),1),"")</f>
        <v>45992</v>
      </c>
      <c r="DA4" s="119" t="n">
        <f aca="false">IF(ISNUMBER('DADOS BRUTOS'!AA$2),DATE(YEAR('DADOS BRUTOS'!AA$2),MONTH('DADOS BRUTOS'!AA$2),1),"")</f>
        <v>46023</v>
      </c>
      <c r="DB4" s="119" t="n">
        <f aca="false">IF(ISNUMBER('DADOS BRUTOS'!AB$2),DATE(YEAR('DADOS BRUTOS'!AB$2),MONTH('DADOS BRUTOS'!AB$2),1),"")</f>
        <v>46054</v>
      </c>
      <c r="DC4" s="119" t="n">
        <f aca="false">IF(ISNUMBER('DADOS BRUTOS'!AC$2),DATE(YEAR('DADOS BRUTOS'!AC$2),MONTH('DADOS BRUTOS'!AC$2),1),"")</f>
        <v>46082</v>
      </c>
      <c r="DD4" s="119" t="n">
        <f aca="false">IF(ISNUMBER('DADOS BRUTOS'!AD$2),DATE(YEAR('DADOS BRUTOS'!AD$2),MONTH('DADOS BRUTOS'!AD$2),1),"")</f>
        <v>46113</v>
      </c>
      <c r="DE4" s="119" t="n">
        <f aca="false">IF(ISNUMBER('DADOS BRUTOS'!AE$2),DATE(YEAR('DADOS BRUTOS'!AE$2),MONTH('DADOS BRUTOS'!AE$2),1),"")</f>
        <v>46143</v>
      </c>
      <c r="DF4" s="119" t="n">
        <f aca="false">IF(ISNUMBER('DADOS BRUTOS'!AF$2),DATE(YEAR('DADOS BRUTOS'!AF$2),MONTH('DADOS BRUTOS'!AF$2),1),"")</f>
        <v>46174</v>
      </c>
      <c r="DG4" s="119" t="n">
        <f aca="false">IF(ISNUMBER('DADOS BRUTOS'!AG$2),DATE(YEAR('DADOS BRUTOS'!AG$2),MONTH('DADOS BRUTOS'!AG$2),1),"")</f>
        <v>46204</v>
      </c>
      <c r="DH4" s="119" t="n">
        <f aca="false">IF(ISNUMBER('DADOS BRUTOS'!AH$2),DATE(YEAR('DADOS BRUTOS'!AH$2),MONTH('DADOS BRUTOS'!AH$2),1),"")</f>
        <v>46235</v>
      </c>
      <c r="DI4" s="119" t="n">
        <f aca="false">IF(ISNUMBER('DADOS BRUTOS'!AI$2),DATE(YEAR('DADOS BRUTOS'!AI$2),MONTH('DADOS BRUTOS'!AI$2),1),"")</f>
        <v>46266</v>
      </c>
      <c r="DJ4" s="119" t="n">
        <f aca="false">IF(ISNUMBER('DADOS BRUTOS'!AJ$2),DATE(YEAR('DADOS BRUTOS'!AJ$2),MONTH('DADOS BRUTOS'!AJ$2),1),"")</f>
        <v>46296</v>
      </c>
      <c r="DK4" s="119" t="n">
        <f aca="false">IF(ISNUMBER('DADOS BRUTOS'!AK$2),DATE(YEAR('DADOS BRUTOS'!AK$2),MONTH('DADOS BRUTOS'!AK$2),1),"")</f>
        <v>46327</v>
      </c>
      <c r="DL4" s="119" t="n">
        <f aca="false">IF(ISNUMBER('DADOS BRUTOS'!AL$2),DATE(YEAR('DADOS BRUTOS'!AL$2),MONTH('DADOS BRUTOS'!AL$2),1),"")</f>
        <v>46357</v>
      </c>
      <c r="DM4" s="119" t="n">
        <f aca="false">IF(ISNUMBER('DADOS BRUTOS'!AM$2),DATE(YEAR('DADOS BRUTOS'!AM$2),MONTH('DADOS BRUTOS'!AM$2),1),"")</f>
        <v>46388</v>
      </c>
      <c r="DN4" s="119" t="n">
        <f aca="false">IF(ISNUMBER('DADOS BRUTOS'!AN$2),DATE(YEAR('DADOS BRUTOS'!AN$2),MONTH('DADOS BRUTOS'!AN$2),1),"")</f>
        <v>46419</v>
      </c>
      <c r="DO4" s="119" t="n">
        <f aca="false">IF(ISNUMBER('DADOS BRUTOS'!AO$2),DATE(YEAR('DADOS BRUTOS'!AO$2),MONTH('DADOS BRUTOS'!AO$2),1),"")</f>
        <v>46447</v>
      </c>
      <c r="DP4" s="119" t="n">
        <f aca="false">IF(ISNUMBER('DADOS BRUTOS'!AP$2),DATE(YEAR('DADOS BRUTOS'!AP$2),MONTH('DADOS BRUTOS'!AP$2),1),"")</f>
        <v>46478</v>
      </c>
      <c r="DQ4" s="119" t="n">
        <f aca="false">IF(ISNUMBER('DADOS BRUTOS'!AQ$2),DATE(YEAR('DADOS BRUTOS'!AQ$2),MONTH('DADOS BRUTOS'!AQ$2),1),"")</f>
        <v>46508</v>
      </c>
      <c r="DR4" s="119" t="n">
        <f aca="false">IF(ISNUMBER('DADOS BRUTOS'!AR$2),DATE(YEAR('DADOS BRUTOS'!AR$2),MONTH('DADOS BRUTOS'!AR$2),1),"")</f>
        <v>46539</v>
      </c>
      <c r="DS4" s="119" t="n">
        <f aca="false">IF(ISNUMBER('DADOS BRUTOS'!AS$2),DATE(YEAR('DADOS BRUTOS'!AS$2),MONTH('DADOS BRUTOS'!AS$2),1),"")</f>
        <v>46569</v>
      </c>
      <c r="DT4" s="119" t="n">
        <f aca="false">IF(ISNUMBER('DADOS BRUTOS'!AT$2),DATE(YEAR('DADOS BRUTOS'!AT$2),MONTH('DADOS BRUTOS'!AT$2),1),"")</f>
        <v>46600</v>
      </c>
      <c r="DU4" s="119" t="n">
        <f aca="false">IF(ISNUMBER('DADOS BRUTOS'!AU$2),DATE(YEAR('DADOS BRUTOS'!AU$2),MONTH('DADOS BRUTOS'!AU$2),1),"")</f>
        <v>46631</v>
      </c>
      <c r="DV4" s="119" t="n">
        <f aca="false">IF(ISNUMBER('DADOS BRUTOS'!AV$2),DATE(YEAR('DADOS BRUTOS'!AV$2),MONTH('DADOS BRUTOS'!AV$2),1),"")</f>
        <v>46661</v>
      </c>
      <c r="DW4" s="119" t="n">
        <f aca="false">IF(ISNUMBER('DADOS BRUTOS'!AW$2),DATE(YEAR('DADOS BRUTOS'!AW$2),MONTH('DADOS BRUTOS'!AW$2),1),"")</f>
        <v>46692</v>
      </c>
      <c r="DX4" s="119" t="n">
        <f aca="false">IF(ISNUMBER('DADOS BRUTOS'!AX$2),DATE(YEAR('DADOS BRUTOS'!AX$2),MONTH('DADOS BRUTOS'!AX$2),1),"")</f>
        <v>46722</v>
      </c>
      <c r="DY4" s="119" t="n">
        <f aca="false">IF(ISNUMBER('DADOS BRUTOS'!AY$2),DATE(YEAR('DADOS BRUTOS'!AY$2),MONTH('DADOS BRUTOS'!AY$2),1),"")</f>
        <v>46753</v>
      </c>
      <c r="DZ4" s="119" t="n">
        <f aca="false">IF(ISNUMBER('DADOS BRUTOS'!AZ$2),DATE(YEAR('DADOS BRUTOS'!AZ$2),MONTH('DADOS BRUTOS'!AZ$2),1),"")</f>
        <v>46784</v>
      </c>
      <c r="EA4" s="119" t="n">
        <f aca="false">IF(ISNUMBER('DADOS BRUTOS'!BA$2),DATE(YEAR('DADOS BRUTOS'!BA$2),MONTH('DADOS BRUTOS'!BA$2),1),"")</f>
        <v>46813</v>
      </c>
      <c r="EB4" s="119" t="n">
        <f aca="false">IF(ISNUMBER('DADOS BRUTOS'!BB$2),DATE(YEAR('DADOS BRUTOS'!BB$2),MONTH('DADOS BRUTOS'!BB$2),1),"")</f>
        <v>46844</v>
      </c>
      <c r="EC4" s="119" t="n">
        <f aca="false">IF(ISNUMBER('DADOS BRUTOS'!BC$2),DATE(YEAR('DADOS BRUTOS'!BC$2),MONTH('DADOS BRUTOS'!BC$2),1),"")</f>
        <v>46874</v>
      </c>
      <c r="ED4" s="119" t="n">
        <f aca="false">IF(ISNUMBER('DADOS BRUTOS'!BD$2),DATE(YEAR('DADOS BRUTOS'!BD$2),MONTH('DADOS BRUTOS'!BD$2),1),"")</f>
        <v>46905</v>
      </c>
      <c r="EE4" s="119" t="n">
        <f aca="false">IF(ISNUMBER('DADOS BRUTOS'!BE$2),DATE(YEAR('DADOS BRUTOS'!BE$2),MONTH('DADOS BRUTOS'!BE$2),1),"")</f>
        <v>46935</v>
      </c>
      <c r="EF4" s="119" t="n">
        <f aca="false">IF(ISNUMBER('DADOS BRUTOS'!BF$2),DATE(YEAR('DADOS BRUTOS'!BF$2),MONTH('DADOS BRUTOS'!BF$2),1),"")</f>
        <v>46966</v>
      </c>
      <c r="EG4" s="119" t="n">
        <f aca="false">IF(ISNUMBER('DADOS BRUTOS'!BG$2),DATE(YEAR('DADOS BRUTOS'!BG$2),MONTH('DADOS BRUTOS'!BG$2),1),"")</f>
        <v>46997</v>
      </c>
      <c r="EH4" s="119" t="n">
        <f aca="false">IF(ISNUMBER('DADOS BRUTOS'!BH$2),DATE(YEAR('DADOS BRUTOS'!BH$2),MONTH('DADOS BRUTOS'!BH$2),1),"")</f>
        <v>47027</v>
      </c>
      <c r="EI4" s="119" t="n">
        <f aca="false">IF(ISNUMBER('DADOS BRUTOS'!BI$2),DATE(YEAR('DADOS BRUTOS'!BI$2),MONTH('DADOS BRUTOS'!BI$2),1),"")</f>
        <v>47058</v>
      </c>
      <c r="EJ4" s="119" t="n">
        <f aca="false">IF(ISNUMBER('DADOS BRUTOS'!BJ$2),DATE(YEAR('DADOS BRUTOS'!BJ$2),MONTH('DADOS BRUTOS'!BJ$2),1),"")</f>
        <v>47088</v>
      </c>
      <c r="EK4" s="119" t="n">
        <f aca="false">IF(ISNUMBER('DADOS BRUTOS'!BK$2),DATE(YEAR('DADOS BRUTOS'!BK$2),MONTH('DADOS BRUTOS'!BK$2),1),"")</f>
        <v>47119</v>
      </c>
      <c r="EL4" s="119" t="n">
        <f aca="false">IF(ISNUMBER('DADOS BRUTOS'!BL$2),DATE(YEAR('DADOS BRUTOS'!BL$2),MONTH('DADOS BRUTOS'!BL$2),1),"")</f>
        <v>47150</v>
      </c>
      <c r="EM4" s="119" t="n">
        <f aca="false">IF(ISNUMBER('DADOS BRUTOS'!BM$2),DATE(YEAR('DADOS BRUTOS'!BM$2),MONTH('DADOS BRUTOS'!BM$2),1),"")</f>
        <v>47178</v>
      </c>
      <c r="EN4" s="119" t="n">
        <f aca="false">IF(ISNUMBER('DADOS BRUTOS'!BN$2),DATE(YEAR('DADOS BRUTOS'!BN$2),MONTH('DADOS BRUTOS'!BN$2),1),"")</f>
        <v>47209</v>
      </c>
      <c r="EO4" s="119" t="n">
        <f aca="false">IF(ISNUMBER('DADOS BRUTOS'!BO$2),DATE(YEAR('DADOS BRUTOS'!BO$2),MONTH('DADOS BRUTOS'!BO$2),1),"")</f>
        <v>47239</v>
      </c>
      <c r="EP4" s="119" t="n">
        <f aca="false">IF(ISNUMBER('DADOS BRUTOS'!BP$2),DATE(YEAR('DADOS BRUTOS'!BP$2),MONTH('DADOS BRUTOS'!BP$2),1),"")</f>
        <v>47270</v>
      </c>
      <c r="EQ4" s="119" t="str">
        <f aca="false">IF(ISNUMBER('DADOS BRUTOS'!BQ$2),DATE(YEAR('DADOS BRUTOS'!BQ$2),MONTH('DADOS BRUTOS'!BQ$2),1),"")</f>
        <v/>
      </c>
      <c r="ER4" s="119" t="str">
        <f aca="false">IF(ISNUMBER('DADOS BRUTOS'!BR$2),DATE(YEAR('DADOS BRUTOS'!BR$2),MONTH('DADOS BRUTOS'!BR$2),1),"")</f>
        <v/>
      </c>
      <c r="ES4" s="119" t="str">
        <f aca="false">IF(ISNUMBER('DADOS BRUTOS'!BS$2),DATE(YEAR('DADOS BRUTOS'!BS$2),MONTH('DADOS BRUTOS'!BS$2),1),"")</f>
        <v/>
      </c>
      <c r="ET4" s="119" t="str">
        <f aca="false">IF(ISNUMBER('DADOS BRUTOS'!BT$2),DATE(YEAR('DADOS BRUTOS'!BT$2),MONTH('DADOS BRUTOS'!BT$2),1),"")</f>
        <v/>
      </c>
      <c r="EU4" s="119" t="str">
        <f aca="false">IF(ISNUMBER('DADOS BRUTOS'!BU$2),DATE(YEAR('DADOS BRUTOS'!BU$2),MONTH('DADOS BRUTOS'!BU$2),1),"")</f>
        <v/>
      </c>
      <c r="EV4" s="119" t="str">
        <f aca="false">IF(ISNUMBER('DADOS BRUTOS'!BV$2),DATE(YEAR('DADOS BRUTOS'!BV$2),MONTH('DADOS BRUTOS'!BV$2),1),"")</f>
        <v/>
      </c>
      <c r="EW4" s="119" t="str">
        <f aca="false">IF(ISNUMBER('DADOS BRUTOS'!BW$2),DATE(YEAR('DADOS BRUTOS'!BW$2),MONTH('DADOS BRUTOS'!BW$2),1),"")</f>
        <v/>
      </c>
      <c r="EX4" s="119" t="str">
        <f aca="false">IF(ISNUMBER('DADOS BRUTOS'!BX$2),DATE(YEAR('DADOS BRUTOS'!BX$2),MONTH('DADOS BRUTOS'!BX$2),1),"")</f>
        <v/>
      </c>
      <c r="EY4" s="119" t="str">
        <f aca="false">IF(ISNUMBER('DADOS BRUTOS'!BY$2),DATE(YEAR('DADOS BRUTOS'!BY$2),MONTH('DADOS BRUTOS'!BY$2),1),"")</f>
        <v/>
      </c>
      <c r="EZ4" s="119" t="str">
        <f aca="false">IF(ISNUMBER('DADOS BRUTOS'!BZ$2),DATE(YEAR('DADOS BRUTOS'!BZ$2),MONTH('DADOS BRUTOS'!BZ$2),1),"")</f>
        <v/>
      </c>
      <c r="FA4" s="119" t="str">
        <f aca="false">IF(ISNUMBER('DADOS BRUTOS'!CA$2),DATE(YEAR('DADOS BRUTOS'!CA$2),MONTH('DADOS BRUTOS'!CA$2),1),"")</f>
        <v/>
      </c>
      <c r="FB4" s="119" t="str">
        <f aca="false">IF(ISNUMBER('DADOS BRUTOS'!CB$2),DATE(YEAR('DADOS BRUTOS'!CB$2),MONTH('DADOS BRUTOS'!CB$2),1),"")</f>
        <v/>
      </c>
      <c r="FC4" s="119" t="str">
        <f aca="false">IF(ISNUMBER('DADOS BRUTOS'!CC$2),DATE(YEAR('DADOS BRUTOS'!CC$2),MONTH('DADOS BRUTOS'!CC$2),1),"")</f>
        <v/>
      </c>
      <c r="FD4" s="119" t="str">
        <f aca="false">IF(ISNUMBER('DADOS BRUTOS'!CD$2),DATE(YEAR('DADOS BRUTOS'!CD$2),MONTH('DADOS BRUTOS'!CD$2),1),"")</f>
        <v/>
      </c>
      <c r="FE4" s="119" t="str">
        <f aca="false">IF(ISNUMBER('DADOS BRUTOS'!CE$2),DATE(YEAR('DADOS BRUTOS'!CE$2),MONTH('DADOS BRUTOS'!CE$2),1),"")</f>
        <v/>
      </c>
      <c r="FF4" s="119" t="str">
        <f aca="false">IF(ISNUMBER('DADOS BRUTOS'!CF$2),DATE(YEAR('DADOS BRUTOS'!CF$2),MONTH('DADOS BRUTOS'!CF$2),1),"")</f>
        <v/>
      </c>
      <c r="FG4" s="119" t="str">
        <f aca="false">IF(ISNUMBER('DADOS BRUTOS'!CG$2),DATE(YEAR('DADOS BRUTOS'!CG$2),MONTH('DADOS BRUTOS'!CG$2),1),"")</f>
        <v/>
      </c>
      <c r="FH4" s="119" t="str">
        <f aca="false">IF(ISNUMBER('DADOS BRUTOS'!CH$2),DATE(YEAR('DADOS BRUTOS'!CH$2),MONTH('DADOS BRUTOS'!CH$2),1),"")</f>
        <v/>
      </c>
      <c r="FI4" s="119" t="str">
        <f aca="false">IF(ISNUMBER('DADOS BRUTOS'!CI$2),DATE(YEAR('DADOS BRUTOS'!CI$2),MONTH('DADOS BRUTOS'!CI$2),1),"")</f>
        <v/>
      </c>
      <c r="FJ4" s="119" t="str">
        <f aca="false">IF(ISNUMBER('DADOS BRUTOS'!CJ$2),DATE(YEAR('DADOS BRUTOS'!CJ$2),MONTH('DADOS BRUTOS'!CJ$2),1),"")</f>
        <v/>
      </c>
      <c r="FK4" s="119" t="str">
        <f aca="false">IF(ISNUMBER('DADOS BRUTOS'!CK$2),DATE(YEAR('DADOS BRUTOS'!CK$2),MONTH('DADOS BRUTOS'!CK$2),1),"")</f>
        <v/>
      </c>
      <c r="FL4" s="119" t="str">
        <f aca="false">IF(ISNUMBER('DADOS BRUTOS'!CL$2),DATE(YEAR('DADOS BRUTOS'!CL$2),MONTH('DADOS BRUTOS'!CL$2),1),"")</f>
        <v/>
      </c>
      <c r="FM4" s="119" t="str">
        <f aca="false">IF(ISNUMBER('DADOS BRUTOS'!CM$2),DATE(YEAR('DADOS BRUTOS'!CM$2),MONTH('DADOS BRUTOS'!CM$2),1),"")</f>
        <v/>
      </c>
      <c r="FN4" s="119" t="str">
        <f aca="false">IF(ISNUMBER('DADOS BRUTOS'!CN$2),DATE(YEAR('DADOS BRUTOS'!CN$2),MONTH('DADOS BRUTOS'!CN$2),1),"")</f>
        <v/>
      </c>
      <c r="FO4" s="119" t="str">
        <f aca="false">IF(ISNUMBER('DADOS BRUTOS'!CO$2),DATE(YEAR('DADOS BRUTOS'!CO$2),MONTH('DADOS BRUTOS'!CO$2),1),"")</f>
        <v/>
      </c>
      <c r="FP4" s="119" t="str">
        <f aca="false">IF(ISNUMBER('DADOS BRUTOS'!CP$2),DATE(YEAR('DADOS BRUTOS'!CP$2),MONTH('DADOS BRUTOS'!CP$2),1),"")</f>
        <v/>
      </c>
      <c r="FQ4" s="119" t="str">
        <f aca="false">IF(ISNUMBER('DADOS BRUTOS'!CQ$2),DATE(YEAR('DADOS BRUTOS'!CQ$2),MONTH('DADOS BRUTOS'!CQ$2),1),"")</f>
        <v/>
      </c>
      <c r="FR4" s="119" t="str">
        <f aca="false">IF(ISNUMBER('DADOS BRUTOS'!CR$2),DATE(YEAR('DADOS BRUTOS'!CR$2),MONTH('DADOS BRUTOS'!CR$2),1),"")</f>
        <v/>
      </c>
      <c r="FS4" s="119" t="str">
        <f aca="false">IF(ISNUMBER('DADOS BRUTOS'!CS$2),DATE(YEAR('DADOS BRUTOS'!CS$2),MONTH('DADOS BRUTOS'!CS$2),1),"")</f>
        <v/>
      </c>
      <c r="FT4" s="119" t="str">
        <f aca="false">IF(ISNUMBER('DADOS BRUTOS'!CT$2),DATE(YEAR('DADOS BRUTOS'!CT$2),MONTH('DADOS BRUTOS'!CT$2),1),"")</f>
        <v/>
      </c>
      <c r="FU4" s="119" t="str">
        <f aca="false">IF(ISNUMBER('DADOS BRUTOS'!CU$2),DATE(YEAR('DADOS BRUTOS'!CU$2),MONTH('DADOS BRUTOS'!CU$2),1),"")</f>
        <v/>
      </c>
      <c r="FV4" s="119" t="str">
        <f aca="false">IF(ISNUMBER('DADOS BRUTOS'!CV$2),DATE(YEAR('DADOS BRUTOS'!CV$2),MONTH('DADOS BRUTOS'!CV$2),1),"")</f>
        <v/>
      </c>
      <c r="FW4" s="119" t="str">
        <f aca="false">IF(ISNUMBER('DADOS BRUTOS'!CW$2),DATE(YEAR('DADOS BRUTOS'!CW$2),MONTH('DADOS BRUTOS'!CW$2),1),"")</f>
        <v/>
      </c>
      <c r="FX4" s="119" t="str">
        <f aca="false">IF(ISNUMBER('DADOS BRUTOS'!CX$2),DATE(YEAR('DADOS BRUTOS'!CX$2),MONTH('DADOS BRUTOS'!CX$2),1),"")</f>
        <v/>
      </c>
      <c r="FY4" s="119" t="str">
        <f aca="false">IF(ISNUMBER('DADOS BRUTOS'!CY$2),DATE(YEAR('DADOS BRUTOS'!CY$2),MONTH('DADOS BRUTOS'!CY$2),1),"")</f>
        <v/>
      </c>
      <c r="FZ4" s="119" t="str">
        <f aca="false">IF(ISNUMBER('DADOS BRUTOS'!CZ$2),DATE(YEAR('DADOS BRUTOS'!CZ$2),MONTH('DADOS BRUTOS'!CZ$2),1),"")</f>
        <v/>
      </c>
      <c r="GA4" s="119" t="str">
        <f aca="false">IF(ISNUMBER('DADOS BRUTOS'!DA$2),DATE(YEAR('DADOS BRUTOS'!DA$2),MONTH('DADOS BRUTOS'!DA$2),1),"")</f>
        <v/>
      </c>
      <c r="GB4" s="119" t="str">
        <f aca="false">IF(ISNUMBER('DADOS BRUTOS'!DB$2),DATE(YEAR('DADOS BRUTOS'!DB$2),MONTH('DADOS BRUTOS'!DB$2),1),"")</f>
        <v/>
      </c>
      <c r="GC4" s="119" t="str">
        <f aca="false">IF(ISNUMBER('DADOS BRUTOS'!DC$2),DATE(YEAR('DADOS BRUTOS'!DC$2),MONTH('DADOS BRUTOS'!DC$2),1),"")</f>
        <v/>
      </c>
      <c r="GD4" s="119" t="str">
        <f aca="false">IF(ISNUMBER('DADOS BRUTOS'!DD$2),DATE(YEAR('DADOS BRUTOS'!DD$2),MONTH('DADOS BRUTOS'!DD$2),1),"")</f>
        <v/>
      </c>
      <c r="GE4" s="119" t="str">
        <f aca="false">IF(ISNUMBER('DADOS BRUTOS'!DE$2),DATE(YEAR('DADOS BRUTOS'!DE$2),MONTH('DADOS BRUTOS'!DE$2),1),"")</f>
        <v/>
      </c>
      <c r="GF4" s="119" t="str">
        <f aca="false">IF(ISNUMBER('DADOS BRUTOS'!DF$2),DATE(YEAR('DADOS BRUTOS'!DF$2),MONTH('DADOS BRUTOS'!DF$2),1),"")</f>
        <v/>
      </c>
      <c r="GG4" s="119" t="str">
        <f aca="false">IF(ISNUMBER('DADOS BRUTOS'!DG$2),DATE(YEAR('DADOS BRUTOS'!DG$2),MONTH('DADOS BRUTOS'!DG$2),1),"")</f>
        <v/>
      </c>
      <c r="GH4" s="119" t="str">
        <f aca="false">IF(ISNUMBER('DADOS BRUTOS'!DH$2),DATE(YEAR('DADOS BRUTOS'!DH$2),MONTH('DADOS BRUTOS'!DH$2),1),"")</f>
        <v/>
      </c>
      <c r="GI4" s="119" t="str">
        <f aca="false">IF(ISNUMBER('DADOS BRUTOS'!DI$2),DATE(YEAR('DADOS BRUTOS'!DI$2),MONTH('DADOS BRUTOS'!DI$2),1),"")</f>
        <v/>
      </c>
      <c r="GJ4" s="119" t="str">
        <f aca="false">IF(ISNUMBER('DADOS BRUTOS'!DJ$2),DATE(YEAR('DADOS BRUTOS'!DJ$2),MONTH('DADOS BRUTOS'!DJ$2),1),"")</f>
        <v/>
      </c>
      <c r="GK4" s="119" t="str">
        <f aca="false">IF(ISNUMBER('DADOS BRUTOS'!DK$2),DATE(YEAR('DADOS BRUTOS'!DK$2),MONTH('DADOS BRUTOS'!DK$2),1),"")</f>
        <v/>
      </c>
      <c r="GL4" s="119" t="str">
        <f aca="false">IF(ISNUMBER('DADOS BRUTOS'!DL$2),DATE(YEAR('DADOS BRUTOS'!DL$2),MONTH('DADOS BRUTOS'!DL$2),1),"")</f>
        <v/>
      </c>
      <c r="GM4" s="119" t="str">
        <f aca="false">IF(ISNUMBER('DADOS BRUTOS'!DM$2),DATE(YEAR('DADOS BRUTOS'!DM$2),MONTH('DADOS BRUTOS'!DM$2),1),"")</f>
        <v/>
      </c>
      <c r="GN4" s="119" t="str">
        <f aca="false">IF(ISNUMBER('DADOS BRUTOS'!DN$2),DATE(YEAR('DADOS BRUTOS'!DN$2),MONTH('DADOS BRUTOS'!DN$2),1),"")</f>
        <v/>
      </c>
      <c r="GO4" s="119" t="str">
        <f aca="false">IF(ISNUMBER('DADOS BRUTOS'!DO$2),DATE(YEAR('DADOS BRUTOS'!DO$2),MONTH('DADOS BRUTOS'!DO$2),1),"")</f>
        <v/>
      </c>
      <c r="GP4" s="119" t="str">
        <f aca="false">IF(ISNUMBER('DADOS BRUTOS'!DP$2),DATE(YEAR('DADOS BRUTOS'!DP$2),MONTH('DADOS BRUTOS'!DP$2),1),"")</f>
        <v/>
      </c>
      <c r="GQ4" s="119" t="str">
        <f aca="false">IF(ISNUMBER('DADOS BRUTOS'!DQ$2),DATE(YEAR('DADOS BRUTOS'!DQ$2),MONTH('DADOS BRUTOS'!DQ$2),1),"")</f>
        <v/>
      </c>
      <c r="GR4" s="119" t="str">
        <f aca="false">IF(ISNUMBER('DADOS BRUTOS'!DR$2),DATE(YEAR('DADOS BRUTOS'!DR$2),MONTH('DADOS BRUTOS'!DR$2),1),"")</f>
        <v/>
      </c>
      <c r="GS4" s="119" t="str">
        <f aca="false">IF(ISNUMBER('DADOS BRUTOS'!DS$2),DATE(YEAR('DADOS BRUTOS'!DS$2),MONTH('DADOS BRUTOS'!DS$2),1),"")</f>
        <v/>
      </c>
      <c r="GT4" s="119" t="str">
        <f aca="false">IF(ISNUMBER('DADOS BRUTOS'!DT$2),DATE(YEAR('DADOS BRUTOS'!DT$2),MONTH('DADOS BRUTOS'!DT$2),1),"")</f>
        <v/>
      </c>
      <c r="GU4" s="119" t="str">
        <f aca="false">IF(ISNUMBER('DADOS BRUTOS'!DU$2),DATE(YEAR('DADOS BRUTOS'!DU$2),MONTH('DADOS BRUTOS'!DU$2),1),"")</f>
        <v/>
      </c>
      <c r="GV4" s="119" t="str">
        <f aca="false">IF(ISNUMBER('DADOS BRUTOS'!DV$2),DATE(YEAR('DADOS BRUTOS'!DV$2),MONTH('DADOS BRUTOS'!DV$2),1),"")</f>
        <v/>
      </c>
      <c r="GW4" s="119" t="str">
        <f aca="false">IF(ISNUMBER('DADOS BRUTOS'!DW$2),DATE(YEAR('DADOS BRUTOS'!DW$2),MONTH('DADOS BRUTOS'!DW$2),1),"")</f>
        <v/>
      </c>
      <c r="GX4" s="119" t="str">
        <f aca="false">IF(ISNUMBER('DADOS BRUTOS'!DX$2),DATE(YEAR('DADOS BRUTOS'!DX$2),MONTH('DADOS BRUTOS'!DX$2),1),"")</f>
        <v/>
      </c>
      <c r="GY4" s="119" t="str">
        <f aca="false">IF(ISNUMBER('DADOS BRUTOS'!DY$2),DATE(YEAR('DADOS BRUTOS'!DY$2),MONTH('DADOS BRUTOS'!DY$2),1),"")</f>
        <v/>
      </c>
      <c r="GZ4" s="119" t="str">
        <f aca="false">IF(ISNUMBER('DADOS BRUTOS'!DZ$2),DATE(YEAR('DADOS BRUTOS'!DZ$2),MONTH('DADOS BRUTOS'!DZ$2),1),"")</f>
        <v/>
      </c>
      <c r="HA4" s="119" t="str">
        <f aca="false">IF(ISNUMBER('DADOS BRUTOS'!EA$2),DATE(YEAR('DADOS BRUTOS'!EA$2),MONTH('DADOS BRUTOS'!EA$2),1),"")</f>
        <v/>
      </c>
      <c r="HB4" s="119" t="str">
        <f aca="false">IF(ISNUMBER('DADOS BRUTOS'!EB$2),DATE(YEAR('DADOS BRUTOS'!EB$2),MONTH('DADOS BRUTOS'!EB$2),1),"")</f>
        <v/>
      </c>
      <c r="HC4" s="119" t="str">
        <f aca="false">IF(ISNUMBER('DADOS BRUTOS'!EC$2),DATE(YEAR('DADOS BRUTOS'!EC$2),MONTH('DADOS BRUTOS'!EC$2),1),"")</f>
        <v/>
      </c>
      <c r="HD4" s="119" t="str">
        <f aca="false">IF(ISNUMBER('DADOS BRUTOS'!ED$2),DATE(YEAR('DADOS BRUTOS'!ED$2),MONTH('DADOS BRUTOS'!ED$2),1),"")</f>
        <v/>
      </c>
      <c r="HE4" s="119" t="str">
        <f aca="false">IF(ISNUMBER('DADOS BRUTOS'!EE$2),DATE(YEAR('DADOS BRUTOS'!EE$2),MONTH('DADOS BRUTOS'!EE$2),1),"")</f>
        <v/>
      </c>
      <c r="HF4" s="119" t="str">
        <f aca="false">IF(ISNUMBER('DADOS BRUTOS'!EF$2),DATE(YEAR('DADOS BRUTOS'!EF$2),MONTH('DADOS BRUTOS'!EF$2),1),"")</f>
        <v/>
      </c>
      <c r="HG4" s="119" t="str">
        <f aca="false">IF(ISNUMBER('DADOS BRUTOS'!EG$2),DATE(YEAR('DADOS BRUTOS'!EG$2),MONTH('DADOS BRUTOS'!EG$2),1),"")</f>
        <v/>
      </c>
      <c r="HH4" s="119" t="str">
        <f aca="false">IF(ISNUMBER('DADOS BRUTOS'!EH$2),DATE(YEAR('DADOS BRUTOS'!EH$2),MONTH('DADOS BRUTOS'!EH$2),1),"")</f>
        <v/>
      </c>
      <c r="HI4" s="119" t="str">
        <f aca="false">IF(ISNUMBER('DADOS BRUTOS'!EI$2),DATE(YEAR('DADOS BRUTOS'!EI$2),MONTH('DADOS BRUTOS'!EI$2),1),"")</f>
        <v/>
      </c>
      <c r="HJ4" s="119" t="str">
        <f aca="false">IF(ISNUMBER('DADOS BRUTOS'!EJ$2),DATE(YEAR('DADOS BRUTOS'!EJ$2),MONTH('DADOS BRUTOS'!EJ$2),1),"")</f>
        <v/>
      </c>
      <c r="HK4" s="119" t="str">
        <f aca="false">IF(ISNUMBER('DADOS BRUTOS'!EK$2),DATE(YEAR('DADOS BRUTOS'!EK$2),MONTH('DADOS BRUTOS'!EK$2),1),"")</f>
        <v/>
      </c>
      <c r="HL4" s="119" t="str">
        <f aca="false">IF(ISNUMBER('DADOS BRUTOS'!EL$2),DATE(YEAR('DADOS BRUTOS'!EL$2),MONTH('DADOS BRUTOS'!EL$2),1),"")</f>
        <v/>
      </c>
      <c r="HM4" s="119" t="str">
        <f aca="false">IF(ISNUMBER('DADOS BRUTOS'!EM$2),DATE(YEAR('DADOS BRUTOS'!EM$2),MONTH('DADOS BRUTOS'!EM$2),1),"")</f>
        <v/>
      </c>
      <c r="HN4" s="119" t="str">
        <f aca="false">IF(ISNUMBER('DADOS BRUTOS'!EN$2),DATE(YEAR('DADOS BRUTOS'!EN$2),MONTH('DADOS BRUTOS'!EN$2),1),"")</f>
        <v/>
      </c>
      <c r="HO4" s="119" t="str">
        <f aca="false">IF(ISNUMBER('DADOS BRUTOS'!EO$2),DATE(YEAR('DADOS BRUTOS'!EO$2),MONTH('DADOS BRUTOS'!EO$2),1),"")</f>
        <v/>
      </c>
      <c r="HP4" s="119" t="str">
        <f aca="false">IF(ISNUMBER('DADOS BRUTOS'!EP$2),DATE(YEAR('DADOS BRUTOS'!EP$2),MONTH('DADOS BRUTOS'!EP$2),1),"")</f>
        <v/>
      </c>
      <c r="HQ4" s="119" t="str">
        <f aca="false">IF(ISNUMBER('DADOS BRUTOS'!EQ$2),DATE(YEAR('DADOS BRUTOS'!EQ$2),MONTH('DADOS BRUTOS'!EQ$2),1),"")</f>
        <v/>
      </c>
      <c r="HR4" s="119" t="str">
        <f aca="false">IF(ISNUMBER('DADOS BRUTOS'!ER$2),DATE(YEAR('DADOS BRUTOS'!ER$2),MONTH('DADOS BRUTOS'!ER$2),1),"")</f>
        <v/>
      </c>
      <c r="HS4" s="119" t="str">
        <f aca="false">IF(ISNUMBER('DADOS BRUTOS'!ES$2),DATE(YEAR('DADOS BRUTOS'!ES$2),MONTH('DADOS BRUTOS'!ES$2),1),"")</f>
        <v/>
      </c>
      <c r="HT4" s="119" t="str">
        <f aca="false">IF(ISNUMBER('DADOS BRUTOS'!ET$2),DATE(YEAR('DADOS BRUTOS'!ET$2),MONTH('DADOS BRUTOS'!ET$2),1),"")</f>
        <v/>
      </c>
      <c r="HU4" s="119" t="str">
        <f aca="false">IF(ISNUMBER('DADOS BRUTOS'!EU$2),DATE(YEAR('DADOS BRUTOS'!EU$2),MONTH('DADOS BRUTOS'!EU$2),1),"")</f>
        <v/>
      </c>
      <c r="HV4" s="119" t="str">
        <f aca="false">IF(ISNUMBER('DADOS BRUTOS'!EV$2),DATE(YEAR('DADOS BRUTOS'!EV$2),MONTH('DADOS BRUTOS'!EV$2),1),"")</f>
        <v/>
      </c>
      <c r="HW4" s="119" t="str">
        <f aca="false">IF(ISNUMBER('DADOS BRUTOS'!EW$2),DATE(YEAR('DADOS BRUTOS'!EW$2),MONTH('DADOS BRUTOS'!EW$2),1),"")</f>
        <v/>
      </c>
      <c r="HX4" s="119" t="str">
        <f aca="false">IF(ISNUMBER('DADOS BRUTOS'!EX$2),DATE(YEAR('DADOS BRUTOS'!EX$2),MONTH('DADOS BRUTOS'!EX$2),1),"")</f>
        <v/>
      </c>
      <c r="HY4" s="119" t="str">
        <f aca="false">IF(ISNUMBER('DADOS BRUTOS'!EY$2),DATE(YEAR('DADOS BRUTOS'!EY$2),MONTH('DADOS BRUTOS'!EY$2),1),"")</f>
        <v/>
      </c>
      <c r="HZ4" s="119" t="str">
        <f aca="false">IF(ISNUMBER('DADOS BRUTOS'!EZ$2),DATE(YEAR('DADOS BRUTOS'!EZ$2),MONTH('DADOS BRUTOS'!EZ$2),1),"")</f>
        <v/>
      </c>
      <c r="IA4" s="119" t="str">
        <f aca="false">IF(ISNUMBER('DADOS BRUTOS'!FA$2),DATE(YEAR('DADOS BRUTOS'!FA$2),MONTH('DADOS BRUTOS'!FA$2),1),"")</f>
        <v/>
      </c>
      <c r="IB4" s="119" t="str">
        <f aca="false">IF(ISNUMBER('DADOS BRUTOS'!FB$2),DATE(YEAR('DADOS BRUTOS'!FB$2),MONTH('DADOS BRUTOS'!FB$2),1),"")</f>
        <v/>
      </c>
      <c r="IC4" s="119" t="str">
        <f aca="false">IF(ISNUMBER('DADOS BRUTOS'!FC$2),DATE(YEAR('DADOS BRUTOS'!FC$2),MONTH('DADOS BRUTOS'!FC$2),1),"")</f>
        <v/>
      </c>
      <c r="ID4" s="119" t="str">
        <f aca="false">IF(ISNUMBER('DADOS BRUTOS'!FD$2),DATE(YEAR('DADOS BRUTOS'!FD$2),MONTH('DADOS BRUTOS'!FD$2),1),"")</f>
        <v/>
      </c>
      <c r="IE4" s="119" t="str">
        <f aca="false">IF(ISNUMBER('DADOS BRUTOS'!FE$2),DATE(YEAR('DADOS BRUTOS'!FE$2),MONTH('DADOS BRUTOS'!FE$2),1),"")</f>
        <v/>
      </c>
      <c r="IF4" s="119" t="str">
        <f aca="false">IF(ISNUMBER('DADOS BRUTOS'!FF$2),DATE(YEAR('DADOS BRUTOS'!FF$2),MONTH('DADOS BRUTOS'!FF$2),1),"")</f>
        <v/>
      </c>
      <c r="IG4" s="119" t="str">
        <f aca="false">IF(ISNUMBER('DADOS BRUTOS'!FG$2),DATE(YEAR('DADOS BRUTOS'!FG$2),MONTH('DADOS BRUTOS'!FG$2),1),"")</f>
        <v/>
      </c>
      <c r="IH4" s="119" t="str">
        <f aca="false">IF(ISNUMBER('DADOS BRUTOS'!FH$2),DATE(YEAR('DADOS BRUTOS'!FH$2),MONTH('DADOS BRUTOS'!FH$2),1),"")</f>
        <v/>
      </c>
      <c r="II4" s="119" t="str">
        <f aca="false">IF(ISNUMBER('DADOS BRUTOS'!FI$2),DATE(YEAR('DADOS BRUTOS'!FI$2),MONTH('DADOS BRUTOS'!FI$2),1),"")</f>
        <v/>
      </c>
      <c r="IJ4" s="119" t="str">
        <f aca="false">IF(ISNUMBER('DADOS BRUTOS'!FJ$2),DATE(YEAR('DADOS BRUTOS'!FJ$2),MONTH('DADOS BRUTOS'!FJ$2),1),"")</f>
        <v/>
      </c>
      <c r="IK4" s="119" t="str">
        <f aca="false">IF(ISNUMBER('DADOS BRUTOS'!FK$2),DATE(YEAR('DADOS BRUTOS'!FK$2),MONTH('DADOS BRUTOS'!FK$2),1),"")</f>
        <v/>
      </c>
      <c r="IL4" s="119" t="str">
        <f aca="false">IF(ISNUMBER('DADOS BRUTOS'!FL$2),DATE(YEAR('DADOS BRUTOS'!FL$2),MONTH('DADOS BRUTOS'!FL$2),1),"")</f>
        <v/>
      </c>
      <c r="IM4" s="119" t="str">
        <f aca="false">IF(ISNUMBER('DADOS BRUTOS'!FM$2),DATE(YEAR('DADOS BRUTOS'!FM$2),MONTH('DADOS BRUTOS'!FM$2),1),"")</f>
        <v/>
      </c>
      <c r="IN4" s="119" t="str">
        <f aca="false">IF(ISNUMBER('DADOS BRUTOS'!FN$2),DATE(YEAR('DADOS BRUTOS'!FN$2),MONTH('DADOS BRUTOS'!FN$2),1),"")</f>
        <v/>
      </c>
      <c r="IO4" s="119" t="str">
        <f aca="false">IF(ISNUMBER('DADOS BRUTOS'!FO$2),DATE(YEAR('DADOS BRUTOS'!FO$2),MONTH('DADOS BRUTOS'!FO$2),1),"")</f>
        <v/>
      </c>
      <c r="IP4" s="119" t="str">
        <f aca="false">IF(ISNUMBER('DADOS BRUTOS'!FP$2),DATE(YEAR('DADOS BRUTOS'!FP$2),MONTH('DADOS BRUTOS'!FP$2),1),"")</f>
        <v/>
      </c>
      <c r="IQ4" s="119" t="str">
        <f aca="false">IF(ISNUMBER('DADOS BRUTOS'!FQ$2),DATE(YEAR('DADOS BRUTOS'!FQ$2),MONTH('DADOS BRUTOS'!FQ$2),1),"")</f>
        <v/>
      </c>
      <c r="IR4" s="119" t="str">
        <f aca="false">IF(ISNUMBER('DADOS BRUTOS'!FR$2),DATE(YEAR('DADOS BRUTOS'!FR$2),MONTH('DADOS BRUTOS'!FR$2),1),"")</f>
        <v/>
      </c>
      <c r="IS4" s="119" t="str">
        <f aca="false">IF(ISNUMBER('DADOS BRUTOS'!FS$2),DATE(YEAR('DADOS BRUTOS'!FS$2),MONTH('DADOS BRUTOS'!FS$2),1),"")</f>
        <v/>
      </c>
      <c r="IT4" s="119" t="str">
        <f aca="false">IF(ISNUMBER('DADOS BRUTOS'!FT$2),DATE(YEAR('DADOS BRUTOS'!FT$2),MONTH('DADOS BRUTOS'!FT$2),1),"")</f>
        <v/>
      </c>
      <c r="IU4" s="119" t="str">
        <f aca="false">IF(ISNUMBER('DADOS BRUTOS'!FU$2),DATE(YEAR('DADOS BRUTOS'!FU$2),MONTH('DADOS BRUTOS'!FU$2),1),"")</f>
        <v/>
      </c>
      <c r="IV4" s="119" t="str">
        <f aca="false">IF(ISNUMBER('DADOS BRUTOS'!FV$2),DATE(YEAR('DADOS BRUTOS'!FV$2),MONTH('DADOS BRUTOS'!FV$2),1),"")</f>
        <v/>
      </c>
      <c r="IW4" s="119" t="str">
        <f aca="false">IF(ISNUMBER('DADOS BRUTOS'!FW$2),DATE(YEAR('DADOS BRUTOS'!FW$2),MONTH('DADOS BRUTOS'!FW$2),1),"")</f>
        <v/>
      </c>
      <c r="IX4" s="119" t="str">
        <f aca="false">IF(ISNUMBER('DADOS BRUTOS'!FX$2),DATE(YEAR('DADOS BRUTOS'!FX$2),MONTH('DADOS BRUTOS'!FX$2),1),"")</f>
        <v/>
      </c>
      <c r="IY4" s="119" t="str">
        <f aca="false">IF(ISNUMBER('DADOS BRUTOS'!FY$2),DATE(YEAR('DADOS BRUTOS'!FY$2),MONTH('DADOS BRUTOS'!FY$2),1),"")</f>
        <v/>
      </c>
      <c r="IZ4" s="119" t="str">
        <f aca="false">IF(ISNUMBER('DADOS BRUTOS'!FZ$2),DATE(YEAR('DADOS BRUTOS'!FZ$2),MONTH('DADOS BRUTOS'!FZ$2),1),"")</f>
        <v/>
      </c>
      <c r="JA4" s="119" t="str">
        <f aca="false">IF(ISNUMBER('DADOS BRUTOS'!GA$2),DATE(YEAR('DADOS BRUTOS'!GA$2),MONTH('DADOS BRUTOS'!GA$2),1),"")</f>
        <v/>
      </c>
      <c r="JB4" s="119" t="str">
        <f aca="false">IF(ISNUMBER('DADOS BRUTOS'!GB$2),DATE(YEAR('DADOS BRUTOS'!GB$2),MONTH('DADOS BRUTOS'!GB$2),1),"")</f>
        <v/>
      </c>
      <c r="JC4" s="119" t="str">
        <f aca="false">IF(ISNUMBER('DADOS BRUTOS'!GC$2),DATE(YEAR('DADOS BRUTOS'!GC$2),MONTH('DADOS BRUTOS'!GC$2),1),"")</f>
        <v/>
      </c>
      <c r="JD4" s="119" t="str">
        <f aca="false">IF(ISNUMBER('DADOS BRUTOS'!GD$2),DATE(YEAR('DADOS BRUTOS'!GD$2),MONTH('DADOS BRUTOS'!GD$2),1),"")</f>
        <v/>
      </c>
      <c r="JE4" s="119" t="str">
        <f aca="false">IF(ISNUMBER('DADOS BRUTOS'!GE$2),DATE(YEAR('DADOS BRUTOS'!GE$2),MONTH('DADOS BRUTOS'!GE$2),1),"")</f>
        <v/>
      </c>
      <c r="JF4" s="119" t="str">
        <f aca="false">IF(ISNUMBER('DADOS BRUTOS'!GF$2),DATE(YEAR('DADOS BRUTOS'!GF$2),MONTH('DADOS BRUTOS'!GF$2),1),"")</f>
        <v/>
      </c>
      <c r="JG4" s="119" t="str">
        <f aca="false">IF(ISNUMBER('DADOS BRUTOS'!GG$2),DATE(YEAR('DADOS BRUTOS'!GG$2),MONTH('DADOS BRUTOS'!GG$2),1),"")</f>
        <v/>
      </c>
      <c r="JH4" s="119" t="str">
        <f aca="false">IF(ISNUMBER('DADOS BRUTOS'!GH$2),DATE(YEAR('DADOS BRUTOS'!GH$2),MONTH('DADOS BRUTOS'!GH$2),1),"")</f>
        <v/>
      </c>
      <c r="JI4" s="119" t="str">
        <f aca="false">IF(ISNUMBER('DADOS BRUTOS'!GI$2),DATE(YEAR('DADOS BRUTOS'!GI$2),MONTH('DADOS BRUTOS'!GI$2),1),"")</f>
        <v/>
      </c>
      <c r="JJ4" s="119" t="str">
        <f aca="false">IF(ISNUMBER('DADOS BRUTOS'!GJ$2),DATE(YEAR('DADOS BRUTOS'!GJ$2),MONTH('DADOS BRUTOS'!GJ$2),1),"")</f>
        <v/>
      </c>
      <c r="JK4" s="119" t="str">
        <f aca="false">IF(ISNUMBER('DADOS BRUTOS'!GK$2),DATE(YEAR('DADOS BRUTOS'!GK$2),MONTH('DADOS BRUTOS'!GK$2),1),"")</f>
        <v/>
      </c>
      <c r="JL4" s="119" t="str">
        <f aca="false">IF(ISNUMBER('DADOS BRUTOS'!GL$2),DATE(YEAR('DADOS BRUTOS'!GL$2),MONTH('DADOS BRUTOS'!GL$2),1),"")</f>
        <v/>
      </c>
      <c r="JM4" s="119" t="str">
        <f aca="false">IF(ISNUMBER('DADOS BRUTOS'!GM$2),DATE(YEAR('DADOS BRUTOS'!GM$2),MONTH('DADOS BRUTOS'!GM$2),1),"")</f>
        <v/>
      </c>
      <c r="JN4" s="119" t="str">
        <f aca="false">IF(ISNUMBER('DADOS BRUTOS'!GN$2),DATE(YEAR('DADOS BRUTOS'!GN$2),MONTH('DADOS BRUTOS'!GN$2),1),"")</f>
        <v/>
      </c>
      <c r="JO4" s="119" t="str">
        <f aca="false">IF(ISNUMBER('DADOS BRUTOS'!GO$2),DATE(YEAR('DADOS BRUTOS'!GO$2),MONTH('DADOS BRUTOS'!GO$2),1),"")</f>
        <v/>
      </c>
      <c r="JP4" s="119" t="str">
        <f aca="false">IF(ISNUMBER('DADOS BRUTOS'!GP$2),DATE(YEAR('DADOS BRUTOS'!GP$2),MONTH('DADOS BRUTOS'!GP$2),1),"")</f>
        <v/>
      </c>
      <c r="JQ4" s="119" t="str">
        <f aca="false">IF(ISNUMBER('DADOS BRUTOS'!GQ$2),DATE(YEAR('DADOS BRUTOS'!GQ$2),MONTH('DADOS BRUTOS'!GQ$2),1),"")</f>
        <v/>
      </c>
      <c r="JR4" s="119" t="str">
        <f aca="false">IF(ISNUMBER('DADOS BRUTOS'!GR$2),DATE(YEAR('DADOS BRUTOS'!GR$2),MONTH('DADOS BRUTOS'!GR$2),1),"")</f>
        <v/>
      </c>
      <c r="JS4" s="119" t="str">
        <f aca="false">IF(ISNUMBER('DADOS BRUTOS'!GS$2),DATE(YEAR('DADOS BRUTOS'!GS$2),MONTH('DADOS BRUTOS'!GS$2),1),"")</f>
        <v/>
      </c>
    </row>
    <row r="5" customFormat="false" ht="15" hidden="false" customHeight="false" outlineLevel="0" collapsed="false">
      <c r="A5" s="57" t="str">
        <f aca="false">'VALOR POR PL'!D11</f>
        <v>PROJETOS</v>
      </c>
      <c r="B5" s="55" t="s">
        <v>63</v>
      </c>
      <c r="C5" s="55"/>
      <c r="D5" s="50" t="n">
        <f aca="false">SUMIF($CB$4:$JS$4,"&lt;="&amp;D$4,$CB5:$JS5)</f>
        <v>418594.15</v>
      </c>
      <c r="E5" s="50" t="n">
        <f aca="false">SUMIF($CB$4:$JS$4,E$4,$CB5:$JS5)</f>
        <v>10917.03</v>
      </c>
      <c r="F5" s="50" t="n">
        <f aca="false">SUMIF($CB$4:$JS$4,F$4,$CB5:$JS5)</f>
        <v>263811.08</v>
      </c>
      <c r="G5" s="50" t="n">
        <f aca="false">SUMIF($CB$4:$JS$4,G$4,$CB5:$JS5)</f>
        <v>95377.59</v>
      </c>
      <c r="H5" s="50" t="n">
        <f aca="false">SUMIF($CB$4:$JS$4,H$4,$CB5:$JS5)</f>
        <v>152105.86</v>
      </c>
      <c r="I5" s="50" t="n">
        <f aca="false">SUMIF($CB$4:$JS$4,I$4,$CB5:$JS5)</f>
        <v>202477.1</v>
      </c>
      <c r="J5" s="50" t="n">
        <f aca="false">SUMIF($CB$4:$JS$4,J$4,$CB5:$JS5)</f>
        <v>65133.61</v>
      </c>
      <c r="K5" s="50" t="n">
        <f aca="false">SUMIF($CB$4:$JS$4,K$4,$CB5:$JS5)</f>
        <v>46336.42</v>
      </c>
      <c r="L5" s="50" t="n">
        <f aca="false">SUMIF($CB$4:$JS$4,L$4,$CB5:$JS5)</f>
        <v>89390.73</v>
      </c>
      <c r="M5" s="50" t="n">
        <f aca="false">SUMIF($CB$4:$JS$4,M$4,$CB5:$JS5)</f>
        <v>31201.11</v>
      </c>
      <c r="N5" s="50" t="n">
        <f aca="false">SUMIF($CB$4:$JS$4,N$4,$CB5:$JS5)</f>
        <v>59081.79</v>
      </c>
      <c r="O5" s="50" t="n">
        <f aca="false">SUMIF($CB$4:$JS$4,O$4,$CB5:$JS5)</f>
        <v>118743.26</v>
      </c>
      <c r="P5" s="50" t="n">
        <f aca="false">SUMIF($CB$4:$JS$4,P$4,$CB5:$JS5)</f>
        <v>73812.68</v>
      </c>
      <c r="Q5" s="50" t="n">
        <f aca="false">SUMIF($CB$4:$JS$4,Q$4,$CB5:$JS5)</f>
        <v>141055.81</v>
      </c>
      <c r="R5" s="50" t="n">
        <f aca="false">SUMIF($CB$4:$JS$4,R$4,$CB5:$JS5)</f>
        <v>93013.12</v>
      </c>
      <c r="S5" s="50" t="n">
        <f aca="false">SUMIF($CB$4:$JS$4,S$4,$CB5:$JS5)</f>
        <v>46600</v>
      </c>
      <c r="T5" s="50" t="n">
        <f aca="false">SUMIF($CB$4:$JS$4,T$4,$CB5:$JS5)</f>
        <v>145577.73</v>
      </c>
      <c r="U5" s="50" t="n">
        <f aca="false">SUMIF($CB$4:$JS$4,U$4,$CB5:$JS5)</f>
        <v>925</v>
      </c>
      <c r="V5" s="50" t="n">
        <f aca="false">SUMIF($CB$4:$JS$4,V$4,$CB5:$JS5)</f>
        <v>925</v>
      </c>
      <c r="W5" s="50" t="n">
        <f aca="false">SUMIF($CB$4:$JS$4,W$4,$CB5:$JS5)</f>
        <v>17537.85</v>
      </c>
      <c r="X5" s="50" t="n">
        <f aca="false">SUMIF($CB$4:$JS$4,X$4,$CB5:$JS5)</f>
        <v>33676.72</v>
      </c>
      <c r="Y5" s="50" t="n">
        <f aca="false">SUMIF($CB$4:$JS$4,Y$4,$CB5:$JS5)</f>
        <v>54437.23</v>
      </c>
      <c r="Z5" s="50" t="n">
        <f aca="false">SUMIF($CB$4:$JS$4,Z$4,$CB5:$JS5)</f>
        <v>0</v>
      </c>
      <c r="AA5" s="50" t="n">
        <f aca="false">SUMIF($CB$4:$JS$4,AA$4,$CB5:$JS5)</f>
        <v>0</v>
      </c>
      <c r="AB5" s="50" t="n">
        <f aca="false">SUMIF($CB$4:$JS$4,AB$4,$CB5:$JS5)</f>
        <v>0</v>
      </c>
      <c r="AC5" s="50" t="n">
        <f aca="false">SUMIF($CB$4:$JS$4,AC$4,$CB5:$JS5)</f>
        <v>0</v>
      </c>
      <c r="AD5" s="50" t="n">
        <f aca="false">SUMIF($CB$4:$JS$4,AD$4,$CB5:$JS5)</f>
        <v>0</v>
      </c>
      <c r="AE5" s="50" t="n">
        <f aca="false">SUMIF($CB$4:$JS$4,AE$4,$CB5:$JS5)</f>
        <v>0</v>
      </c>
      <c r="AF5" s="50" t="n">
        <f aca="false">SUMIF($CB$4:$JS$4,AF$4,$CB5:$JS5)</f>
        <v>0</v>
      </c>
      <c r="AG5" s="50" t="n">
        <f aca="false">SUMIF($CB$4:$JS$4,AG$4,$CB5:$JS5)</f>
        <v>0</v>
      </c>
      <c r="AH5" s="50" t="n">
        <f aca="false">SUMIF($CB$4:$JS$4,AH$4,$CB5:$JS5)</f>
        <v>0</v>
      </c>
      <c r="AI5" s="50" t="n">
        <f aca="false">SUMIF($CB$4:$JS$4,AI$4,$CB5:$JS5)</f>
        <v>0</v>
      </c>
      <c r="AJ5" s="50" t="n">
        <f aca="false">SUMIF($CB$4:$JS$4,AJ$4,$CB5:$JS5)</f>
        <v>0</v>
      </c>
      <c r="AK5" s="50" t="n">
        <f aca="false">SUMIF($CB$4:$JS$4,AK$4,$CB5:$JS5)</f>
        <v>0</v>
      </c>
      <c r="AL5" s="50" t="n">
        <f aca="false">SUMIF($CB$4:$JS$4,AL$4,$CB5:$JS5)</f>
        <v>0</v>
      </c>
      <c r="AM5" s="50" t="n">
        <f aca="false">SUMIF($CB$4:$JS$4,AM$4,$CB5:$JS5)</f>
        <v>0</v>
      </c>
      <c r="AN5" s="50" t="n">
        <f aca="false">SUMIF($CB$4:$JS$4,AN$4,$CB5:$JS5)</f>
        <v>0</v>
      </c>
      <c r="AO5" s="50" t="n">
        <f aca="false">SUMIF($CB$4:$JS$4,AO$4,$CB5:$JS5)</f>
        <v>0</v>
      </c>
      <c r="AP5" s="50" t="n">
        <f aca="false">SUMIF($CB$4:$JS$4,AP$4,$CB5:$JS5)</f>
        <v>0</v>
      </c>
      <c r="AQ5" s="50" t="n">
        <f aca="false">SUMIF($CB$4:$JS$4,AQ$4,$CB5:$JS5)</f>
        <v>0</v>
      </c>
      <c r="AR5" s="50" t="n">
        <f aca="false">SUMIF($CB$4:$JS$4,AR$4,$CB5:$JS5)</f>
        <v>0</v>
      </c>
      <c r="AS5" s="50" t="n">
        <f aca="false">SUMIF($CB$4:$JS$4,AS$4,$CB5:$JS5)</f>
        <v>0</v>
      </c>
      <c r="AT5" s="50" t="n">
        <f aca="false">SUMIF($CB$4:$JS$4,AT$4,$CB5:$JS5)</f>
        <v>0</v>
      </c>
      <c r="AU5" s="50" t="n">
        <f aca="false">SUMIF($CB$4:$JS$4,AU$4,$CB5:$JS5)</f>
        <v>0</v>
      </c>
      <c r="AV5" s="50" t="n">
        <f aca="false">SUMIF($CB$4:$JS$4,AV$4,$CB5:$JS5)</f>
        <v>0</v>
      </c>
      <c r="AW5" s="50" t="n">
        <f aca="false">SUMIF($CB$4:$JS$4,AW$4,$CB5:$JS5)</f>
        <v>0</v>
      </c>
      <c r="AX5" s="50" t="n">
        <f aca="false">SUMIF($CB$4:$JS$4,AX$4,$CB5:$JS5)</f>
        <v>0</v>
      </c>
      <c r="AY5" s="50" t="n">
        <f aca="false">SUMIF($CB$4:$JS$4,AY$4,$CB5:$JS5)</f>
        <v>0</v>
      </c>
      <c r="AZ5" s="50" t="n">
        <f aca="false">SUMIF($CB$4:$JS$4,AZ$4,$CB5:$JS5)</f>
        <v>0</v>
      </c>
      <c r="BA5" s="50" t="n">
        <f aca="false">SUMIF($CB$4:$JS$4,BA$4,$CB5:$JS5)</f>
        <v>0</v>
      </c>
      <c r="BB5" s="50" t="n">
        <f aca="false">SUMIF($CB$4:$JS$4,BB$4,$CB5:$JS5)</f>
        <v>0</v>
      </c>
      <c r="BC5" s="50" t="n">
        <f aca="false">SUMIF($CB$4:$JS$4,BC$4,$CB5:$JS5)</f>
        <v>0</v>
      </c>
      <c r="BD5" s="50" t="n">
        <f aca="false">SUMIF($CB$4:$JS$4,BD$4,$CB5:$JS5)</f>
        <v>0</v>
      </c>
      <c r="BE5" s="50" t="n">
        <f aca="false">SUMIF($CB$4:$JS$4,BE$4,$CB5:$JS5)</f>
        <v>0</v>
      </c>
      <c r="BF5" s="50" t="n">
        <f aca="false">SUMIF($CB$4:$JS$4,BF$4,$CB5:$JS5)</f>
        <v>0</v>
      </c>
      <c r="BG5" s="50" t="n">
        <f aca="false">SUMIF($CB$4:$JS$4,BG$4,$CB5:$JS5)</f>
        <v>0</v>
      </c>
      <c r="BH5" s="50" t="n">
        <f aca="false">SUMIF($CB$4:$JS$4,BH$4,$CB5:$JS5)</f>
        <v>0</v>
      </c>
      <c r="BI5" s="50" t="n">
        <f aca="false">SUMIF($CB$4:$JS$4,BI$4,$CB5:$JS5)</f>
        <v>0</v>
      </c>
      <c r="BJ5" s="50" t="n">
        <f aca="false">SUMIF($CB$4:$JS$4,BJ$4,$CB5:$JS5)</f>
        <v>0</v>
      </c>
      <c r="BK5" s="50" t="n">
        <f aca="false">SUMIF($CB$4:$JS$4,BK$4,$CB5:$JS5)</f>
        <v>0</v>
      </c>
      <c r="BL5" s="50" t="n">
        <f aca="false">SUMIF($CB$4:$JS$4,BL$4,$CB5:$JS5)</f>
        <v>0</v>
      </c>
      <c r="BM5" s="50" t="n">
        <f aca="false">SUMIF($CB$4:$JS$4,BM$4,$CB5:$JS5)</f>
        <v>0</v>
      </c>
      <c r="BN5" s="50" t="n">
        <f aca="false">SUMIF($CB$4:$JS$4,BN$4,$CB5:$JS5)</f>
        <v>0</v>
      </c>
      <c r="BO5" s="50" t="n">
        <f aca="false">SUMIF($CB$4:$JS$4,BO$4,$CB5:$JS5)</f>
        <v>0</v>
      </c>
      <c r="BP5" s="50" t="n">
        <f aca="false">SUMIF($CB$4:$JS$4,BP$4,$CB5:$JS5)</f>
        <v>0</v>
      </c>
      <c r="BQ5" s="50" t="n">
        <f aca="false">SUMIF($CB$4:$JS$4,BQ$4,$CB5:$JS5)</f>
        <v>0</v>
      </c>
      <c r="BR5" s="50" t="n">
        <f aca="false">SUMIF($CB$4:$JS$4,BR$4,$CB5:$JS5)</f>
        <v>0</v>
      </c>
      <c r="BS5" s="50" t="n">
        <f aca="false">SUMIF($CB$4:$JS$4,BS$4,$CB5:$JS5)</f>
        <v>0</v>
      </c>
      <c r="BT5" s="50" t="n">
        <f aca="false">SUMIF($CB$4:$JS$4,BT$4,$CB5:$JS5)</f>
        <v>0</v>
      </c>
      <c r="BU5" s="50" t="n">
        <f aca="false">SUMIF($CB$4:$JS$4,BU$4,$CB5:$JS5)</f>
        <v>0</v>
      </c>
      <c r="BV5" s="50" t="n">
        <f aca="false">SUMIF($CB$4:$JS$4,BV$4,$CB5:$JS5)</f>
        <v>0</v>
      </c>
      <c r="BW5" s="50" t="n">
        <f aca="false">SUMIF($CB$4:$JS$4,BW$4,$CB5:$JS5)</f>
        <v>0</v>
      </c>
      <c r="BX5" s="50" t="n">
        <f aca="false">SUMIF($CB$4:$JS$4,"&gt;"&amp;'VALOR POR PL'!$P$8,$CB5:$JS5)</f>
        <v>0</v>
      </c>
      <c r="BY5" s="50" t="n">
        <f aca="false">SUM($CB5:$JS5)</f>
        <v>2160730.87</v>
      </c>
      <c r="BZ5" s="45" t="n">
        <f aca="false">SUMPRODUCT(($CB$4:$JS$4&lt;&gt;"")*($CB$4:$JS$4&lt;=$D$4),$CB5:$JS5,$CB$1:$JS$1)</f>
        <v>373.966007423308</v>
      </c>
      <c r="CB5" s="133" t="n">
        <f aca="false">IF(OR(CB$4="",$B5=""),0,SUMIF('DADOS BRUTOS'!$A$3:$A$500,$B5,'DADOS BRUTOS'!B$3:B$500)+IF($C5="",0,SUMIF('DADOS BRUTOS'!$A$3:$A$500,$C5,'DADOS BRUTOS'!B$3:B$500)))</f>
        <v>0</v>
      </c>
      <c r="CC5" s="133" t="n">
        <f aca="false">IF(OR(CC$4="",$B5=""),0,SUMIF('DADOS BRUTOS'!$A$3:$A$500,$B5,'DADOS BRUTOS'!C$3:C$500)+IF($C5="",0,SUMIF('DADOS BRUTOS'!$A$3:$A$500,$C5,'DADOS BRUTOS'!C$3:C$500)))</f>
        <v>0</v>
      </c>
      <c r="CD5" s="133" t="n">
        <f aca="false">IF(OR(CD$4="",$B5=""),0,SUMIF('DADOS BRUTOS'!$A$3:$A$500,$B5,'DADOS BRUTOS'!D$3:D$500)+IF($C5="",0,SUMIF('DADOS BRUTOS'!$A$3:$A$500,$C5,'DADOS BRUTOS'!D$3:D$500)))</f>
        <v>0</v>
      </c>
      <c r="CE5" s="133" t="n">
        <f aca="false">IF(OR(CE$4="",$B5=""),0,SUMIF('DADOS BRUTOS'!$A$3:$A$500,$B5,'DADOS BRUTOS'!E$3:E$500)+IF($C5="",0,SUMIF('DADOS BRUTOS'!$A$3:$A$500,$C5,'DADOS BRUTOS'!E$3:E$500)))</f>
        <v>129412.72</v>
      </c>
      <c r="CF5" s="133" t="n">
        <f aca="false">IF(OR(CF$4="",$B5=""),0,SUMIF('DADOS BRUTOS'!$A$3:$A$500,$B5,'DADOS BRUTOS'!F$3:F$500)+IF($C5="",0,SUMIF('DADOS BRUTOS'!$A$3:$A$500,$C5,'DADOS BRUTOS'!F$3:F$500)))</f>
        <v>38210.98</v>
      </c>
      <c r="CG5" s="133" t="n">
        <f aca="false">IF(OR(CG$4="",$B5=""),0,SUMIF('DADOS BRUTOS'!$A$3:$A$500,$B5,'DADOS BRUTOS'!G$3:G$500)+IF($C5="",0,SUMIF('DADOS BRUTOS'!$A$3:$A$500,$C5,'DADOS BRUTOS'!G$3:G$500)))</f>
        <v>44489.71</v>
      </c>
      <c r="CH5" s="133" t="n">
        <f aca="false">IF(OR(CH$4="",$B5=""),0,SUMIF('DADOS BRUTOS'!$A$3:$A$500,$B5,'DADOS BRUTOS'!H$3:H$500)+IF($C5="",0,SUMIF('DADOS BRUTOS'!$A$3:$A$500,$C5,'DADOS BRUTOS'!H$3:H$500)))</f>
        <v>9769.88</v>
      </c>
      <c r="CI5" s="133" t="n">
        <f aca="false">IF(OR(CI$4="",$B5=""),0,SUMIF('DADOS BRUTOS'!$A$3:$A$500,$B5,'DADOS BRUTOS'!I$3:I$500)+IF($C5="",0,SUMIF('DADOS BRUTOS'!$A$3:$A$500,$C5,'DADOS BRUTOS'!I$3:I$500)))</f>
        <v>53439.61</v>
      </c>
      <c r="CJ5" s="133" t="n">
        <f aca="false">IF(OR(CJ$4="",$B5=""),0,SUMIF('DADOS BRUTOS'!$A$3:$A$500,$B5,'DADOS BRUTOS'!J$3:J$500)+IF($C5="",0,SUMIF('DADOS BRUTOS'!$A$3:$A$500,$C5,'DADOS BRUTOS'!J$3:J$500)))</f>
        <v>56848.49</v>
      </c>
      <c r="CK5" s="133" t="n">
        <f aca="false">IF(OR(CK$4="",$B5=""),0,SUMIF('DADOS BRUTOS'!$A$3:$A$500,$B5,'DADOS BRUTOS'!K$3:K$500)+IF($C5="",0,SUMIF('DADOS BRUTOS'!$A$3:$A$500,$C5,'DADOS BRUTOS'!K$3:K$500)))</f>
        <v>9211.24</v>
      </c>
      <c r="CL5" s="133" t="n">
        <f aca="false">IF(OR(CL$4="",$B5=""),0,SUMIF('DADOS BRUTOS'!$A$3:$A$500,$B5,'DADOS BRUTOS'!L$3:L$500)+IF($C5="",0,SUMIF('DADOS BRUTOS'!$A$3:$A$500,$C5,'DADOS BRUTOS'!L$3:L$500)))</f>
        <v>7608.12</v>
      </c>
      <c r="CM5" s="133" t="n">
        <f aca="false">IF(OR(CM$4="",$B5=""),0,SUMIF('DADOS BRUTOS'!$A$3:$A$500,$B5,'DADOS BRUTOS'!M$3:M$500)+IF($C5="",0,SUMIF('DADOS BRUTOS'!$A$3:$A$500,$C5,'DADOS BRUTOS'!M$3:M$500)))</f>
        <v>34653.4</v>
      </c>
      <c r="CN5" s="133" t="n">
        <f aca="false">IF(OR(CN$4="",$B5=""),0,SUMIF('DADOS BRUTOS'!$A$3:$A$500,$B5,'DADOS BRUTOS'!N$3:N$500)+IF($C5="",0,SUMIF('DADOS BRUTOS'!$A$3:$A$500,$C5,'DADOS BRUTOS'!N$3:N$500)))</f>
        <v>34950</v>
      </c>
      <c r="CO5" s="133" t="n">
        <f aca="false">IF(OR(CO$4="",$B5=""),0,SUMIF('DADOS BRUTOS'!$A$3:$A$500,$B5,'DADOS BRUTOS'!O$3:O$500)+IF($C5="",0,SUMIF('DADOS BRUTOS'!$A$3:$A$500,$C5,'DADOS BRUTOS'!O$3:O$500)))</f>
        <v>10917.03</v>
      </c>
      <c r="CP5" s="133" t="n">
        <f aca="false">IF(OR(CP$4="",$B5=""),0,SUMIF('DADOS BRUTOS'!$A$3:$A$500,$B5,'DADOS BRUTOS'!P$3:P$500)+IF($C5="",0,SUMIF('DADOS BRUTOS'!$A$3:$A$500,$C5,'DADOS BRUTOS'!P$3:P$500)))</f>
        <v>263811.08</v>
      </c>
      <c r="CQ5" s="133" t="n">
        <f aca="false">IF(OR(CQ$4="",$B5=""),0,SUMIF('DADOS BRUTOS'!$A$3:$A$500,$B5,'DADOS BRUTOS'!Q$3:Q$500)+IF($C5="",0,SUMIF('DADOS BRUTOS'!$A$3:$A$500,$C5,'DADOS BRUTOS'!Q$3:Q$500)))</f>
        <v>95377.59</v>
      </c>
      <c r="CR5" s="133" t="n">
        <f aca="false">IF(OR(CR$4="",$B5=""),0,SUMIF('DADOS BRUTOS'!$A$3:$A$500,$B5,'DADOS BRUTOS'!R$3:R$500)+IF($C5="",0,SUMIF('DADOS BRUTOS'!$A$3:$A$500,$C5,'DADOS BRUTOS'!R$3:R$500)))</f>
        <v>152105.86</v>
      </c>
      <c r="CS5" s="133" t="n">
        <f aca="false">IF(OR(CS$4="",$B5=""),0,SUMIF('DADOS BRUTOS'!$A$3:$A$500,$B5,'DADOS BRUTOS'!S$3:S$500)+IF($C5="",0,SUMIF('DADOS BRUTOS'!$A$3:$A$500,$C5,'DADOS BRUTOS'!S$3:S$500)))</f>
        <v>202477.1</v>
      </c>
      <c r="CT5" s="133" t="n">
        <f aca="false">IF(OR(CT$4="",$B5=""),0,SUMIF('DADOS BRUTOS'!$A$3:$A$500,$B5,'DADOS BRUTOS'!T$3:T$500)+IF($C5="",0,SUMIF('DADOS BRUTOS'!$A$3:$A$500,$C5,'DADOS BRUTOS'!T$3:T$500)))</f>
        <v>65133.61</v>
      </c>
      <c r="CU5" s="133" t="n">
        <f aca="false">IF(OR(CU$4="",$B5=""),0,SUMIF('DADOS BRUTOS'!$A$3:$A$500,$B5,'DADOS BRUTOS'!U$3:U$500)+IF($C5="",0,SUMIF('DADOS BRUTOS'!$A$3:$A$500,$C5,'DADOS BRUTOS'!U$3:U$500)))</f>
        <v>46336.42</v>
      </c>
      <c r="CV5" s="133" t="n">
        <f aca="false">IF(OR(CV$4="",$B5=""),0,SUMIF('DADOS BRUTOS'!$A$3:$A$500,$B5,'DADOS BRUTOS'!V$3:V$500)+IF($C5="",0,SUMIF('DADOS BRUTOS'!$A$3:$A$500,$C5,'DADOS BRUTOS'!V$3:V$500)))</f>
        <v>89390.73</v>
      </c>
      <c r="CW5" s="133" t="n">
        <f aca="false">IF(OR(CW$4="",$B5=""),0,SUMIF('DADOS BRUTOS'!$A$3:$A$500,$B5,'DADOS BRUTOS'!W$3:W$500)+IF($C5="",0,SUMIF('DADOS BRUTOS'!$A$3:$A$500,$C5,'DADOS BRUTOS'!W$3:W$500)))</f>
        <v>31201.11</v>
      </c>
      <c r="CX5" s="133" t="n">
        <f aca="false">IF(OR(CX$4="",$B5=""),0,SUMIF('DADOS BRUTOS'!$A$3:$A$500,$B5,'DADOS BRUTOS'!X$3:X$500)+IF($C5="",0,SUMIF('DADOS BRUTOS'!$A$3:$A$500,$C5,'DADOS BRUTOS'!X$3:X$500)))</f>
        <v>59081.79</v>
      </c>
      <c r="CY5" s="133" t="n">
        <f aca="false">IF(OR(CY$4="",$B5=""),0,SUMIF('DADOS BRUTOS'!$A$3:$A$500,$B5,'DADOS BRUTOS'!Y$3:Y$500)+IF($C5="",0,SUMIF('DADOS BRUTOS'!$A$3:$A$500,$C5,'DADOS BRUTOS'!Y$3:Y$500)))</f>
        <v>118743.26</v>
      </c>
      <c r="CZ5" s="133" t="n">
        <f aca="false">IF(OR(CZ$4="",$B5=""),0,SUMIF('DADOS BRUTOS'!$A$3:$A$500,$B5,'DADOS BRUTOS'!Z$3:Z$500)+IF($C5="",0,SUMIF('DADOS BRUTOS'!$A$3:$A$500,$C5,'DADOS BRUTOS'!Z$3:Z$500)))</f>
        <v>73812.68</v>
      </c>
      <c r="DA5" s="133" t="n">
        <f aca="false">IF(OR(DA$4="",$B5=""),0,SUMIF('DADOS BRUTOS'!$A$3:$A$500,$B5,'DADOS BRUTOS'!AA$3:AA$500)+IF($C5="",0,SUMIF('DADOS BRUTOS'!$A$3:$A$500,$C5,'DADOS BRUTOS'!AA$3:AA$500)))</f>
        <v>141055.81</v>
      </c>
      <c r="DB5" s="133" t="n">
        <f aca="false">IF(OR(DB$4="",$B5=""),0,SUMIF('DADOS BRUTOS'!$A$3:$A$500,$B5,'DADOS BRUTOS'!AB$3:AB$500)+IF($C5="",0,SUMIF('DADOS BRUTOS'!$A$3:$A$500,$C5,'DADOS BRUTOS'!AB$3:AB$500)))</f>
        <v>93013.12</v>
      </c>
      <c r="DC5" s="133" t="n">
        <f aca="false">IF(OR(DC$4="",$B5=""),0,SUMIF('DADOS BRUTOS'!$A$3:$A$500,$B5,'DADOS BRUTOS'!AC$3:AC$500)+IF($C5="",0,SUMIF('DADOS BRUTOS'!$A$3:$A$500,$C5,'DADOS BRUTOS'!AC$3:AC$500)))</f>
        <v>46600</v>
      </c>
      <c r="DD5" s="133" t="n">
        <f aca="false">IF(OR(DD$4="",$B5=""),0,SUMIF('DADOS BRUTOS'!$A$3:$A$500,$B5,'DADOS BRUTOS'!AD$3:AD$500)+IF($C5="",0,SUMIF('DADOS BRUTOS'!$A$3:$A$500,$C5,'DADOS BRUTOS'!AD$3:AD$500)))</f>
        <v>145577.73</v>
      </c>
      <c r="DE5" s="133" t="n">
        <f aca="false">IF(OR(DE$4="",$B5=""),0,SUMIF('DADOS BRUTOS'!$A$3:$A$500,$B5,'DADOS BRUTOS'!AE$3:AE$500)+IF($C5="",0,SUMIF('DADOS BRUTOS'!$A$3:$A$500,$C5,'DADOS BRUTOS'!AE$3:AE$500)))</f>
        <v>925</v>
      </c>
      <c r="DF5" s="133" t="n">
        <f aca="false">IF(OR(DF$4="",$B5=""),0,SUMIF('DADOS BRUTOS'!$A$3:$A$500,$B5,'DADOS BRUTOS'!AF$3:AF$500)+IF($C5="",0,SUMIF('DADOS BRUTOS'!$A$3:$A$500,$C5,'DADOS BRUTOS'!AF$3:AF$500)))</f>
        <v>925</v>
      </c>
      <c r="DG5" s="133" t="n">
        <f aca="false">IF(OR(DG$4="",$B5=""),0,SUMIF('DADOS BRUTOS'!$A$3:$A$500,$B5,'DADOS BRUTOS'!AG$3:AG$500)+IF($C5="",0,SUMIF('DADOS BRUTOS'!$A$3:$A$500,$C5,'DADOS BRUTOS'!AG$3:AG$500)))</f>
        <v>17537.85</v>
      </c>
      <c r="DH5" s="133" t="n">
        <f aca="false">IF(OR(DH$4="",$B5=""),0,SUMIF('DADOS BRUTOS'!$A$3:$A$500,$B5,'DADOS BRUTOS'!AH$3:AH$500)+IF($C5="",0,SUMIF('DADOS BRUTOS'!$A$3:$A$500,$C5,'DADOS BRUTOS'!AH$3:AH$500)))</f>
        <v>33676.72</v>
      </c>
      <c r="DI5" s="133" t="n">
        <f aca="false">IF(OR(DI$4="",$B5=""),0,SUMIF('DADOS BRUTOS'!$A$3:$A$500,$B5,'DADOS BRUTOS'!AI$3:AI$500)+IF($C5="",0,SUMIF('DADOS BRUTOS'!$A$3:$A$500,$C5,'DADOS BRUTOS'!AI$3:AI$500)))</f>
        <v>54437.23</v>
      </c>
      <c r="DJ5" s="133" t="n">
        <f aca="false">IF(OR(DJ$4="",$B5=""),0,SUMIF('DADOS BRUTOS'!$A$3:$A$500,$B5,'DADOS BRUTOS'!AJ$3:AJ$500)+IF($C5="",0,SUMIF('DADOS BRUTOS'!$A$3:$A$500,$C5,'DADOS BRUTOS'!AJ$3:AJ$500)))</f>
        <v>0</v>
      </c>
      <c r="DK5" s="133" t="n">
        <f aca="false">IF(OR(DK$4="",$B5=""),0,SUMIF('DADOS BRUTOS'!$A$3:$A$500,$B5,'DADOS BRUTOS'!AK$3:AK$500)+IF($C5="",0,SUMIF('DADOS BRUTOS'!$A$3:$A$500,$C5,'DADOS BRUTOS'!AK$3:AK$500)))</f>
        <v>0</v>
      </c>
      <c r="DL5" s="133" t="n">
        <f aca="false">IF(OR(DL$4="",$B5=""),0,SUMIF('DADOS BRUTOS'!$A$3:$A$500,$B5,'DADOS BRUTOS'!AL$3:AL$500)+IF($C5="",0,SUMIF('DADOS BRUTOS'!$A$3:$A$500,$C5,'DADOS BRUTOS'!AL$3:AL$500)))</f>
        <v>0</v>
      </c>
      <c r="DM5" s="133" t="n">
        <f aca="false">IF(OR(DM$4="",$B5=""),0,SUMIF('DADOS BRUTOS'!$A$3:$A$500,$B5,'DADOS BRUTOS'!AM$3:AM$500)+IF($C5="",0,SUMIF('DADOS BRUTOS'!$A$3:$A$500,$C5,'DADOS BRUTOS'!AM$3:AM$500)))</f>
        <v>0</v>
      </c>
      <c r="DN5" s="133" t="n">
        <f aca="false">IF(OR(DN$4="",$B5=""),0,SUMIF('DADOS BRUTOS'!$A$3:$A$500,$B5,'DADOS BRUTOS'!AN$3:AN$500)+IF($C5="",0,SUMIF('DADOS BRUTOS'!$A$3:$A$500,$C5,'DADOS BRUTOS'!AN$3:AN$500)))</f>
        <v>0</v>
      </c>
      <c r="DO5" s="133" t="n">
        <f aca="false">IF(OR(DO$4="",$B5=""),0,SUMIF('DADOS BRUTOS'!$A$3:$A$500,$B5,'DADOS BRUTOS'!AO$3:AO$500)+IF($C5="",0,SUMIF('DADOS BRUTOS'!$A$3:$A$500,$C5,'DADOS BRUTOS'!AO$3:AO$500)))</f>
        <v>0</v>
      </c>
      <c r="DP5" s="133" t="n">
        <f aca="false">IF(OR(DP$4="",$B5=""),0,SUMIF('DADOS BRUTOS'!$A$3:$A$500,$B5,'DADOS BRUTOS'!AP$3:AP$500)+IF($C5="",0,SUMIF('DADOS BRUTOS'!$A$3:$A$500,$C5,'DADOS BRUTOS'!AP$3:AP$500)))</f>
        <v>0</v>
      </c>
      <c r="DQ5" s="133" t="n">
        <f aca="false">IF(OR(DQ$4="",$B5=""),0,SUMIF('DADOS BRUTOS'!$A$3:$A$500,$B5,'DADOS BRUTOS'!AQ$3:AQ$500)+IF($C5="",0,SUMIF('DADOS BRUTOS'!$A$3:$A$500,$C5,'DADOS BRUTOS'!AQ$3:AQ$500)))</f>
        <v>0</v>
      </c>
      <c r="DR5" s="133" t="n">
        <f aca="false">IF(OR(DR$4="",$B5=""),0,SUMIF('DADOS BRUTOS'!$A$3:$A$500,$B5,'DADOS BRUTOS'!AR$3:AR$500)+IF($C5="",0,SUMIF('DADOS BRUTOS'!$A$3:$A$500,$C5,'DADOS BRUTOS'!AR$3:AR$500)))</f>
        <v>0</v>
      </c>
      <c r="DS5" s="133" t="n">
        <f aca="false">IF(OR(DS$4="",$B5=""),0,SUMIF('DADOS BRUTOS'!$A$3:$A$500,$B5,'DADOS BRUTOS'!AS$3:AS$500)+IF($C5="",0,SUMIF('DADOS BRUTOS'!$A$3:$A$500,$C5,'DADOS BRUTOS'!AS$3:AS$500)))</f>
        <v>0</v>
      </c>
      <c r="DT5" s="133" t="n">
        <f aca="false">IF(OR(DT$4="",$B5=""),0,SUMIF('DADOS BRUTOS'!$A$3:$A$500,$B5,'DADOS BRUTOS'!AT$3:AT$500)+IF($C5="",0,SUMIF('DADOS BRUTOS'!$A$3:$A$500,$C5,'DADOS BRUTOS'!AT$3:AT$500)))</f>
        <v>0</v>
      </c>
      <c r="DU5" s="133" t="n">
        <f aca="false">IF(OR(DU$4="",$B5=""),0,SUMIF('DADOS BRUTOS'!$A$3:$A$500,$B5,'DADOS BRUTOS'!AU$3:AU$500)+IF($C5="",0,SUMIF('DADOS BRUTOS'!$A$3:$A$500,$C5,'DADOS BRUTOS'!AU$3:AU$500)))</f>
        <v>0</v>
      </c>
      <c r="DV5" s="133" t="n">
        <f aca="false">IF(OR(DV$4="",$B5=""),0,SUMIF('DADOS BRUTOS'!$A$3:$A$500,$B5,'DADOS BRUTOS'!AV$3:AV$500)+IF($C5="",0,SUMIF('DADOS BRUTOS'!$A$3:$A$500,$C5,'DADOS BRUTOS'!AV$3:AV$500)))</f>
        <v>0</v>
      </c>
      <c r="DW5" s="133" t="n">
        <f aca="false">IF(OR(DW$4="",$B5=""),0,SUMIF('DADOS BRUTOS'!$A$3:$A$500,$B5,'DADOS BRUTOS'!AW$3:AW$500)+IF($C5="",0,SUMIF('DADOS BRUTOS'!$A$3:$A$500,$C5,'DADOS BRUTOS'!AW$3:AW$500)))</f>
        <v>0</v>
      </c>
      <c r="DX5" s="133" t="n">
        <f aca="false">IF(OR(DX$4="",$B5=""),0,SUMIF('DADOS BRUTOS'!$A$3:$A$500,$B5,'DADOS BRUTOS'!AX$3:AX$500)+IF($C5="",0,SUMIF('DADOS BRUTOS'!$A$3:$A$500,$C5,'DADOS BRUTOS'!AX$3:AX$500)))</f>
        <v>0</v>
      </c>
      <c r="DY5" s="133" t="n">
        <f aca="false">IF(OR(DY$4="",$B5=""),0,SUMIF('DADOS BRUTOS'!$A$3:$A$500,$B5,'DADOS BRUTOS'!AY$3:AY$500)+IF($C5="",0,SUMIF('DADOS BRUTOS'!$A$3:$A$500,$C5,'DADOS BRUTOS'!AY$3:AY$500)))</f>
        <v>0</v>
      </c>
      <c r="DZ5" s="133" t="n">
        <f aca="false">IF(OR(DZ$4="",$B5=""),0,SUMIF('DADOS BRUTOS'!$A$3:$A$500,$B5,'DADOS BRUTOS'!AZ$3:AZ$500)+IF($C5="",0,SUMIF('DADOS BRUTOS'!$A$3:$A$500,$C5,'DADOS BRUTOS'!AZ$3:AZ$500)))</f>
        <v>0</v>
      </c>
      <c r="EA5" s="133" t="n">
        <f aca="false">IF(OR(EA$4="",$B5=""),0,SUMIF('DADOS BRUTOS'!$A$3:$A$500,$B5,'DADOS BRUTOS'!BA$3:BA$500)+IF($C5="",0,SUMIF('DADOS BRUTOS'!$A$3:$A$500,$C5,'DADOS BRUTOS'!BA$3:BA$500)))</f>
        <v>0</v>
      </c>
      <c r="EB5" s="133" t="n">
        <f aca="false">IF(OR(EB$4="",$B5=""),0,SUMIF('DADOS BRUTOS'!$A$3:$A$500,$B5,'DADOS BRUTOS'!BB$3:BB$500)+IF($C5="",0,SUMIF('DADOS BRUTOS'!$A$3:$A$500,$C5,'DADOS BRUTOS'!BB$3:BB$500)))</f>
        <v>0</v>
      </c>
      <c r="EC5" s="133" t="n">
        <f aca="false">IF(OR(EC$4="",$B5=""),0,SUMIF('DADOS BRUTOS'!$A$3:$A$500,$B5,'DADOS BRUTOS'!BC$3:BC$500)+IF($C5="",0,SUMIF('DADOS BRUTOS'!$A$3:$A$500,$C5,'DADOS BRUTOS'!BC$3:BC$500)))</f>
        <v>0</v>
      </c>
      <c r="ED5" s="133" t="n">
        <f aca="false">IF(OR(ED$4="",$B5=""),0,SUMIF('DADOS BRUTOS'!$A$3:$A$500,$B5,'DADOS BRUTOS'!BD$3:BD$500)+IF($C5="",0,SUMIF('DADOS BRUTOS'!$A$3:$A$500,$C5,'DADOS BRUTOS'!BD$3:BD$500)))</f>
        <v>0</v>
      </c>
      <c r="EE5" s="133" t="n">
        <f aca="false">IF(OR(EE$4="",$B5=""),0,SUMIF('DADOS BRUTOS'!$A$3:$A$500,$B5,'DADOS BRUTOS'!BE$3:BE$500)+IF($C5="",0,SUMIF('DADOS BRUTOS'!$A$3:$A$500,$C5,'DADOS BRUTOS'!BE$3:BE$500)))</f>
        <v>0</v>
      </c>
      <c r="EF5" s="133" t="n">
        <f aca="false">IF(OR(EF$4="",$B5=""),0,SUMIF('DADOS BRUTOS'!$A$3:$A$500,$B5,'DADOS BRUTOS'!BF$3:BF$500)+IF($C5="",0,SUMIF('DADOS BRUTOS'!$A$3:$A$500,$C5,'DADOS BRUTOS'!BF$3:BF$500)))</f>
        <v>0</v>
      </c>
      <c r="EG5" s="133" t="n">
        <f aca="false">IF(OR(EG$4="",$B5=""),0,SUMIF('DADOS BRUTOS'!$A$3:$A$500,$B5,'DADOS BRUTOS'!BG$3:BG$500)+IF($C5="",0,SUMIF('DADOS BRUTOS'!$A$3:$A$500,$C5,'DADOS BRUTOS'!BG$3:BG$500)))</f>
        <v>0</v>
      </c>
      <c r="EH5" s="133" t="n">
        <f aca="false">IF(OR(EH$4="",$B5=""),0,SUMIF('DADOS BRUTOS'!$A$3:$A$500,$B5,'DADOS BRUTOS'!BH$3:BH$500)+IF($C5="",0,SUMIF('DADOS BRUTOS'!$A$3:$A$500,$C5,'DADOS BRUTOS'!BH$3:BH$500)))</f>
        <v>0</v>
      </c>
      <c r="EI5" s="133" t="n">
        <f aca="false">IF(OR(EI$4="",$B5=""),0,SUMIF('DADOS BRUTOS'!$A$3:$A$500,$B5,'DADOS BRUTOS'!BI$3:BI$500)+IF($C5="",0,SUMIF('DADOS BRUTOS'!$A$3:$A$500,$C5,'DADOS BRUTOS'!BI$3:BI$500)))</f>
        <v>0</v>
      </c>
      <c r="EJ5" s="133" t="n">
        <f aca="false">IF(OR(EJ$4="",$B5=""),0,SUMIF('DADOS BRUTOS'!$A$3:$A$500,$B5,'DADOS BRUTOS'!BJ$3:BJ$500)+IF($C5="",0,SUMIF('DADOS BRUTOS'!$A$3:$A$500,$C5,'DADOS BRUTOS'!BJ$3:BJ$500)))</f>
        <v>0</v>
      </c>
      <c r="EK5" s="133" t="n">
        <f aca="false">IF(OR(EK$4="",$B5=""),0,SUMIF('DADOS BRUTOS'!$A$3:$A$500,$B5,'DADOS BRUTOS'!BK$3:BK$500)+IF($C5="",0,SUMIF('DADOS BRUTOS'!$A$3:$A$500,$C5,'DADOS BRUTOS'!BK$3:BK$500)))</f>
        <v>0</v>
      </c>
      <c r="EL5" s="133" t="n">
        <f aca="false">IF(OR(EL$4="",$B5=""),0,SUMIF('DADOS BRUTOS'!$A$3:$A$500,$B5,'DADOS BRUTOS'!BL$3:BL$500)+IF($C5="",0,SUMIF('DADOS BRUTOS'!$A$3:$A$500,$C5,'DADOS BRUTOS'!BL$3:BL$500)))</f>
        <v>0</v>
      </c>
      <c r="EM5" s="133" t="n">
        <f aca="false">IF(OR(EM$4="",$B5=""),0,SUMIF('DADOS BRUTOS'!$A$3:$A$500,$B5,'DADOS BRUTOS'!BM$3:BM$500)+IF($C5="",0,SUMIF('DADOS BRUTOS'!$A$3:$A$500,$C5,'DADOS BRUTOS'!BM$3:BM$500)))</f>
        <v>0</v>
      </c>
      <c r="EN5" s="133" t="n">
        <f aca="false">IF(OR(EN$4="",$B5=""),0,SUMIF('DADOS BRUTOS'!$A$3:$A$500,$B5,'DADOS BRUTOS'!BN$3:BN$500)+IF($C5="",0,SUMIF('DADOS BRUTOS'!$A$3:$A$500,$C5,'DADOS BRUTOS'!BN$3:BN$500)))</f>
        <v>0</v>
      </c>
      <c r="EO5" s="133" t="n">
        <f aca="false">IF(OR(EO$4="",$B5=""),0,SUMIF('DADOS BRUTOS'!$A$3:$A$500,$B5,'DADOS BRUTOS'!BO$3:BO$500)+IF($C5="",0,SUMIF('DADOS BRUTOS'!$A$3:$A$500,$C5,'DADOS BRUTOS'!BO$3:BO$500)))</f>
        <v>0</v>
      </c>
      <c r="EP5" s="133" t="n">
        <f aca="false">IF(OR(EP$4="",$B5=""),0,SUMIF('DADOS BRUTOS'!$A$3:$A$500,$B5,'DADOS BRUTOS'!BP$3:BP$500)+IF($C5="",0,SUMIF('DADOS BRUTOS'!$A$3:$A$500,$C5,'DADOS BRUTOS'!BP$3:BP$500)))</f>
        <v>0</v>
      </c>
      <c r="EQ5" s="133" t="n">
        <f aca="false">IF(OR(EQ$4="",$B5=""),0,SUMIF('DADOS BRUTOS'!$A$3:$A$500,$B5,'DADOS BRUTOS'!BQ$3:BQ$500)+IF($C5="",0,SUMIF('DADOS BRUTOS'!$A$3:$A$500,$C5,'DADOS BRUTOS'!BQ$3:BQ$500)))</f>
        <v>0</v>
      </c>
      <c r="ER5" s="133" t="n">
        <f aca="false">IF(OR(ER$4="",$B5=""),0,SUMIF('DADOS BRUTOS'!$A$3:$A$500,$B5,'DADOS BRUTOS'!BR$3:BR$500)+IF($C5="",0,SUMIF('DADOS BRUTOS'!$A$3:$A$500,$C5,'DADOS BRUTOS'!BR$3:BR$500)))</f>
        <v>0</v>
      </c>
      <c r="ES5" s="133" t="n">
        <f aca="false">IF(OR(ES$4="",$B5=""),0,SUMIF('DADOS BRUTOS'!$A$3:$A$500,$B5,'DADOS BRUTOS'!BS$3:BS$500)+IF($C5="",0,SUMIF('DADOS BRUTOS'!$A$3:$A$500,$C5,'DADOS BRUTOS'!BS$3:BS$500)))</f>
        <v>0</v>
      </c>
      <c r="ET5" s="133" t="n">
        <f aca="false">IF(OR(ET$4="",$B5=""),0,SUMIF('DADOS BRUTOS'!$A$3:$A$500,$B5,'DADOS BRUTOS'!BT$3:BT$500)+IF($C5="",0,SUMIF('DADOS BRUTOS'!$A$3:$A$500,$C5,'DADOS BRUTOS'!BT$3:BT$500)))</f>
        <v>0</v>
      </c>
      <c r="EU5" s="133" t="n">
        <f aca="false">IF(OR(EU$4="",$B5=""),0,SUMIF('DADOS BRUTOS'!$A$3:$A$500,$B5,'DADOS BRUTOS'!BU$3:BU$500)+IF($C5="",0,SUMIF('DADOS BRUTOS'!$A$3:$A$500,$C5,'DADOS BRUTOS'!BU$3:BU$500)))</f>
        <v>0</v>
      </c>
      <c r="EV5" s="133" t="n">
        <f aca="false">IF(OR(EV$4="",$B5=""),0,SUMIF('DADOS BRUTOS'!$A$3:$A$500,$B5,'DADOS BRUTOS'!BV$3:BV$500)+IF($C5="",0,SUMIF('DADOS BRUTOS'!$A$3:$A$500,$C5,'DADOS BRUTOS'!BV$3:BV$500)))</f>
        <v>0</v>
      </c>
      <c r="EW5" s="133" t="n">
        <f aca="false">IF(OR(EW$4="",$B5=""),0,SUMIF('DADOS BRUTOS'!$A$3:$A$500,$B5,'DADOS BRUTOS'!BW$3:BW$500)+IF($C5="",0,SUMIF('DADOS BRUTOS'!$A$3:$A$500,$C5,'DADOS BRUTOS'!BW$3:BW$500)))</f>
        <v>0</v>
      </c>
      <c r="EX5" s="133" t="n">
        <f aca="false">IF(OR(EX$4="",$B5=""),0,SUMIF('DADOS BRUTOS'!$A$3:$A$500,$B5,'DADOS BRUTOS'!BX$3:BX$500)+IF($C5="",0,SUMIF('DADOS BRUTOS'!$A$3:$A$500,$C5,'DADOS BRUTOS'!BX$3:BX$500)))</f>
        <v>0</v>
      </c>
      <c r="EY5" s="133" t="n">
        <f aca="false">IF(OR(EY$4="",$B5=""),0,SUMIF('DADOS BRUTOS'!$A$3:$A$500,$B5,'DADOS BRUTOS'!BY$3:BY$500)+IF($C5="",0,SUMIF('DADOS BRUTOS'!$A$3:$A$500,$C5,'DADOS BRUTOS'!BY$3:BY$500)))</f>
        <v>0</v>
      </c>
      <c r="EZ5" s="133" t="n">
        <f aca="false">IF(OR(EZ$4="",$B5=""),0,SUMIF('DADOS BRUTOS'!$A$3:$A$500,$B5,'DADOS BRUTOS'!BZ$3:BZ$500)+IF($C5="",0,SUMIF('DADOS BRUTOS'!$A$3:$A$500,$C5,'DADOS BRUTOS'!BZ$3:BZ$500)))</f>
        <v>0</v>
      </c>
      <c r="FA5" s="133" t="n">
        <f aca="false">IF(OR(FA$4="",$B5=""),0,SUMIF('DADOS BRUTOS'!$A$3:$A$500,$B5,'DADOS BRUTOS'!CA$3:CA$500)+IF($C5="",0,SUMIF('DADOS BRUTOS'!$A$3:$A$500,$C5,'DADOS BRUTOS'!CA$3:CA$500)))</f>
        <v>0</v>
      </c>
      <c r="FB5" s="133" t="n">
        <f aca="false">IF(OR(FB$4="",$B5=""),0,SUMIF('DADOS BRUTOS'!$A$3:$A$500,$B5,'DADOS BRUTOS'!CB$3:CB$500)+IF($C5="",0,SUMIF('DADOS BRUTOS'!$A$3:$A$500,$C5,'DADOS BRUTOS'!CB$3:CB$500)))</f>
        <v>0</v>
      </c>
      <c r="FC5" s="133" t="n">
        <f aca="false">IF(OR(FC$4="",$B5=""),0,SUMIF('DADOS BRUTOS'!$A$3:$A$500,$B5,'DADOS BRUTOS'!CC$3:CC$500)+IF($C5="",0,SUMIF('DADOS BRUTOS'!$A$3:$A$500,$C5,'DADOS BRUTOS'!CC$3:CC$500)))</f>
        <v>0</v>
      </c>
      <c r="FD5" s="133" t="n">
        <f aca="false">IF(OR(FD$4="",$B5=""),0,SUMIF('DADOS BRUTOS'!$A$3:$A$500,$B5,'DADOS BRUTOS'!CD$3:CD$500)+IF($C5="",0,SUMIF('DADOS BRUTOS'!$A$3:$A$500,$C5,'DADOS BRUTOS'!CD$3:CD$500)))</f>
        <v>0</v>
      </c>
      <c r="FE5" s="133" t="n">
        <f aca="false">IF(OR(FE$4="",$B5=""),0,SUMIF('DADOS BRUTOS'!$A$3:$A$500,$B5,'DADOS BRUTOS'!CE$3:CE$500)+IF($C5="",0,SUMIF('DADOS BRUTOS'!$A$3:$A$500,$C5,'DADOS BRUTOS'!CE$3:CE$500)))</f>
        <v>0</v>
      </c>
      <c r="FF5" s="133" t="n">
        <f aca="false">IF(OR(FF$4="",$B5=""),0,SUMIF('DADOS BRUTOS'!$A$3:$A$500,$B5,'DADOS BRUTOS'!CF$3:CF$500)+IF($C5="",0,SUMIF('DADOS BRUTOS'!$A$3:$A$500,$C5,'DADOS BRUTOS'!CF$3:CF$500)))</f>
        <v>0</v>
      </c>
      <c r="FG5" s="133" t="n">
        <f aca="false">IF(OR(FG$4="",$B5=""),0,SUMIF('DADOS BRUTOS'!$A$3:$A$500,$B5,'DADOS BRUTOS'!CG$3:CG$500)+IF($C5="",0,SUMIF('DADOS BRUTOS'!$A$3:$A$500,$C5,'DADOS BRUTOS'!CG$3:CG$500)))</f>
        <v>0</v>
      </c>
      <c r="FH5" s="133" t="n">
        <f aca="false">IF(OR(FH$4="",$B5=""),0,SUMIF('DADOS BRUTOS'!$A$3:$A$500,$B5,'DADOS BRUTOS'!CH$3:CH$500)+IF($C5="",0,SUMIF('DADOS BRUTOS'!$A$3:$A$500,$C5,'DADOS BRUTOS'!CH$3:CH$500)))</f>
        <v>0</v>
      </c>
      <c r="FI5" s="133" t="n">
        <f aca="false">IF(OR(FI$4="",$B5=""),0,SUMIF('DADOS BRUTOS'!$A$3:$A$500,$B5,'DADOS BRUTOS'!CI$3:CI$500)+IF($C5="",0,SUMIF('DADOS BRUTOS'!$A$3:$A$500,$C5,'DADOS BRUTOS'!CI$3:CI$500)))</f>
        <v>0</v>
      </c>
      <c r="FJ5" s="133" t="n">
        <f aca="false">IF(OR(FJ$4="",$B5=""),0,SUMIF('DADOS BRUTOS'!$A$3:$A$500,$B5,'DADOS BRUTOS'!CJ$3:CJ$500)+IF($C5="",0,SUMIF('DADOS BRUTOS'!$A$3:$A$500,$C5,'DADOS BRUTOS'!CJ$3:CJ$500)))</f>
        <v>0</v>
      </c>
      <c r="FK5" s="133" t="n">
        <f aca="false">IF(OR(FK$4="",$B5=""),0,SUMIF('DADOS BRUTOS'!$A$3:$A$500,$B5,'DADOS BRUTOS'!CK$3:CK$500)+IF($C5="",0,SUMIF('DADOS BRUTOS'!$A$3:$A$500,$C5,'DADOS BRUTOS'!CK$3:CK$500)))</f>
        <v>0</v>
      </c>
      <c r="FL5" s="133" t="n">
        <f aca="false">IF(OR(FL$4="",$B5=""),0,SUMIF('DADOS BRUTOS'!$A$3:$A$500,$B5,'DADOS BRUTOS'!CL$3:CL$500)+IF($C5="",0,SUMIF('DADOS BRUTOS'!$A$3:$A$500,$C5,'DADOS BRUTOS'!CL$3:CL$500)))</f>
        <v>0</v>
      </c>
      <c r="FM5" s="133" t="n">
        <f aca="false">IF(OR(FM$4="",$B5=""),0,SUMIF('DADOS BRUTOS'!$A$3:$A$500,$B5,'DADOS BRUTOS'!CM$3:CM$500)+IF($C5="",0,SUMIF('DADOS BRUTOS'!$A$3:$A$500,$C5,'DADOS BRUTOS'!CM$3:CM$500)))</f>
        <v>0</v>
      </c>
      <c r="FN5" s="133" t="n">
        <f aca="false">IF(OR(FN$4="",$B5=""),0,SUMIF('DADOS BRUTOS'!$A$3:$A$500,$B5,'DADOS BRUTOS'!CN$3:CN$500)+IF($C5="",0,SUMIF('DADOS BRUTOS'!$A$3:$A$500,$C5,'DADOS BRUTOS'!CN$3:CN$500)))</f>
        <v>0</v>
      </c>
      <c r="FO5" s="133" t="n">
        <f aca="false">IF(OR(FO$4="",$B5=""),0,SUMIF('DADOS BRUTOS'!$A$3:$A$500,$B5,'DADOS BRUTOS'!CO$3:CO$500)+IF($C5="",0,SUMIF('DADOS BRUTOS'!$A$3:$A$500,$C5,'DADOS BRUTOS'!CO$3:CO$500)))</f>
        <v>0</v>
      </c>
      <c r="FP5" s="133" t="n">
        <f aca="false">IF(OR(FP$4="",$B5=""),0,SUMIF('DADOS BRUTOS'!$A$3:$A$500,$B5,'DADOS BRUTOS'!CP$3:CP$500)+IF($C5="",0,SUMIF('DADOS BRUTOS'!$A$3:$A$500,$C5,'DADOS BRUTOS'!CP$3:CP$500)))</f>
        <v>0</v>
      </c>
      <c r="FQ5" s="133" t="n">
        <f aca="false">IF(OR(FQ$4="",$B5=""),0,SUMIF('DADOS BRUTOS'!$A$3:$A$500,$B5,'DADOS BRUTOS'!CQ$3:CQ$500)+IF($C5="",0,SUMIF('DADOS BRUTOS'!$A$3:$A$500,$C5,'DADOS BRUTOS'!CQ$3:CQ$500)))</f>
        <v>0</v>
      </c>
      <c r="FR5" s="133" t="n">
        <f aca="false">IF(OR(FR$4="",$B5=""),0,SUMIF('DADOS BRUTOS'!$A$3:$A$500,$B5,'DADOS BRUTOS'!CR$3:CR$500)+IF($C5="",0,SUMIF('DADOS BRUTOS'!$A$3:$A$500,$C5,'DADOS BRUTOS'!CR$3:CR$500)))</f>
        <v>0</v>
      </c>
      <c r="FS5" s="133" t="n">
        <f aca="false">IF(OR(FS$4="",$B5=""),0,SUMIF('DADOS BRUTOS'!$A$3:$A$500,$B5,'DADOS BRUTOS'!CS$3:CS$500)+IF($C5="",0,SUMIF('DADOS BRUTOS'!$A$3:$A$500,$C5,'DADOS BRUTOS'!CS$3:CS$500)))</f>
        <v>0</v>
      </c>
      <c r="FT5" s="133" t="n">
        <f aca="false">IF(OR(FT$4="",$B5=""),0,SUMIF('DADOS BRUTOS'!$A$3:$A$500,$B5,'DADOS BRUTOS'!CT$3:CT$500)+IF($C5="",0,SUMIF('DADOS BRUTOS'!$A$3:$A$500,$C5,'DADOS BRUTOS'!CT$3:CT$500)))</f>
        <v>0</v>
      </c>
      <c r="FU5" s="133" t="n">
        <f aca="false">IF(OR(FU$4="",$B5=""),0,SUMIF('DADOS BRUTOS'!$A$3:$A$500,$B5,'DADOS BRUTOS'!CU$3:CU$500)+IF($C5="",0,SUMIF('DADOS BRUTOS'!$A$3:$A$500,$C5,'DADOS BRUTOS'!CU$3:CU$500)))</f>
        <v>0</v>
      </c>
      <c r="FV5" s="133" t="n">
        <f aca="false">IF(OR(FV$4="",$B5=""),0,SUMIF('DADOS BRUTOS'!$A$3:$A$500,$B5,'DADOS BRUTOS'!CV$3:CV$500)+IF($C5="",0,SUMIF('DADOS BRUTOS'!$A$3:$A$500,$C5,'DADOS BRUTOS'!CV$3:CV$500)))</f>
        <v>0</v>
      </c>
      <c r="FW5" s="133" t="n">
        <f aca="false">IF(OR(FW$4="",$B5=""),0,SUMIF('DADOS BRUTOS'!$A$3:$A$500,$B5,'DADOS BRUTOS'!CW$3:CW$500)+IF($C5="",0,SUMIF('DADOS BRUTOS'!$A$3:$A$500,$C5,'DADOS BRUTOS'!CW$3:CW$500)))</f>
        <v>0</v>
      </c>
      <c r="FX5" s="133" t="n">
        <f aca="false">IF(OR(FX$4="",$B5=""),0,SUMIF('DADOS BRUTOS'!$A$3:$A$500,$B5,'DADOS BRUTOS'!CX$3:CX$500)+IF($C5="",0,SUMIF('DADOS BRUTOS'!$A$3:$A$500,$C5,'DADOS BRUTOS'!CX$3:CX$500)))</f>
        <v>0</v>
      </c>
      <c r="FY5" s="133" t="n">
        <f aca="false">IF(OR(FY$4="",$B5=""),0,SUMIF('DADOS BRUTOS'!$A$3:$A$500,$B5,'DADOS BRUTOS'!CY$3:CY$500)+IF($C5="",0,SUMIF('DADOS BRUTOS'!$A$3:$A$500,$C5,'DADOS BRUTOS'!CY$3:CY$500)))</f>
        <v>0</v>
      </c>
      <c r="FZ5" s="133" t="n">
        <f aca="false">IF(OR(FZ$4="",$B5=""),0,SUMIF('DADOS BRUTOS'!$A$3:$A$500,$B5,'DADOS BRUTOS'!CZ$3:CZ$500)+IF($C5="",0,SUMIF('DADOS BRUTOS'!$A$3:$A$500,$C5,'DADOS BRUTOS'!CZ$3:CZ$500)))</f>
        <v>0</v>
      </c>
      <c r="GA5" s="133" t="n">
        <f aca="false">IF(OR(GA$4="",$B5=""),0,SUMIF('DADOS BRUTOS'!$A$3:$A$500,$B5,'DADOS BRUTOS'!DA$3:DA$500)+IF($C5="",0,SUMIF('DADOS BRUTOS'!$A$3:$A$500,$C5,'DADOS BRUTOS'!DA$3:DA$500)))</f>
        <v>0</v>
      </c>
      <c r="GB5" s="133" t="n">
        <f aca="false">IF(OR(GB$4="",$B5=""),0,SUMIF('DADOS BRUTOS'!$A$3:$A$500,$B5,'DADOS BRUTOS'!DB$3:DB$500)+IF($C5="",0,SUMIF('DADOS BRUTOS'!$A$3:$A$500,$C5,'DADOS BRUTOS'!DB$3:DB$500)))</f>
        <v>0</v>
      </c>
      <c r="GC5" s="133" t="n">
        <f aca="false">IF(OR(GC$4="",$B5=""),0,SUMIF('DADOS BRUTOS'!$A$3:$A$500,$B5,'DADOS BRUTOS'!DC$3:DC$500)+IF($C5="",0,SUMIF('DADOS BRUTOS'!$A$3:$A$500,$C5,'DADOS BRUTOS'!DC$3:DC$500)))</f>
        <v>0</v>
      </c>
      <c r="GD5" s="133" t="n">
        <f aca="false">IF(OR(GD$4="",$B5=""),0,SUMIF('DADOS BRUTOS'!$A$3:$A$500,$B5,'DADOS BRUTOS'!DD$3:DD$500)+IF($C5="",0,SUMIF('DADOS BRUTOS'!$A$3:$A$500,$C5,'DADOS BRUTOS'!DD$3:DD$500)))</f>
        <v>0</v>
      </c>
      <c r="GE5" s="133" t="n">
        <f aca="false">IF(OR(GE$4="",$B5=""),0,SUMIF('DADOS BRUTOS'!$A$3:$A$500,$B5,'DADOS BRUTOS'!DE$3:DE$500)+IF($C5="",0,SUMIF('DADOS BRUTOS'!$A$3:$A$500,$C5,'DADOS BRUTOS'!DE$3:DE$500)))</f>
        <v>0</v>
      </c>
      <c r="GF5" s="133" t="n">
        <f aca="false">IF(OR(GF$4="",$B5=""),0,SUMIF('DADOS BRUTOS'!$A$3:$A$500,$B5,'DADOS BRUTOS'!DF$3:DF$500)+IF($C5="",0,SUMIF('DADOS BRUTOS'!$A$3:$A$500,$C5,'DADOS BRUTOS'!DF$3:DF$500)))</f>
        <v>0</v>
      </c>
      <c r="GG5" s="133" t="n">
        <f aca="false">IF(OR(GG$4="",$B5=""),0,SUMIF('DADOS BRUTOS'!$A$3:$A$500,$B5,'DADOS BRUTOS'!DG$3:DG$500)+IF($C5="",0,SUMIF('DADOS BRUTOS'!$A$3:$A$500,$C5,'DADOS BRUTOS'!DG$3:DG$500)))</f>
        <v>0</v>
      </c>
      <c r="GH5" s="133" t="n">
        <f aca="false">IF(OR(GH$4="",$B5=""),0,SUMIF('DADOS BRUTOS'!$A$3:$A$500,$B5,'DADOS BRUTOS'!DH$3:DH$500)+IF($C5="",0,SUMIF('DADOS BRUTOS'!$A$3:$A$500,$C5,'DADOS BRUTOS'!DH$3:DH$500)))</f>
        <v>0</v>
      </c>
      <c r="GI5" s="133" t="n">
        <f aca="false">IF(OR(GI$4="",$B5=""),0,SUMIF('DADOS BRUTOS'!$A$3:$A$500,$B5,'DADOS BRUTOS'!DI$3:DI$500)+IF($C5="",0,SUMIF('DADOS BRUTOS'!$A$3:$A$500,$C5,'DADOS BRUTOS'!DI$3:DI$500)))</f>
        <v>0</v>
      </c>
      <c r="GJ5" s="133" t="n">
        <f aca="false">IF(OR(GJ$4="",$B5=""),0,SUMIF('DADOS BRUTOS'!$A$3:$A$500,$B5,'DADOS BRUTOS'!DJ$3:DJ$500)+IF($C5="",0,SUMIF('DADOS BRUTOS'!$A$3:$A$500,$C5,'DADOS BRUTOS'!DJ$3:DJ$500)))</f>
        <v>0</v>
      </c>
      <c r="GK5" s="133" t="n">
        <f aca="false">IF(OR(GK$4="",$B5=""),0,SUMIF('DADOS BRUTOS'!$A$3:$A$500,$B5,'DADOS BRUTOS'!DK$3:DK$500)+IF($C5="",0,SUMIF('DADOS BRUTOS'!$A$3:$A$500,$C5,'DADOS BRUTOS'!DK$3:DK$500)))</f>
        <v>0</v>
      </c>
      <c r="GL5" s="133" t="n">
        <f aca="false">IF(OR(GL$4="",$B5=""),0,SUMIF('DADOS BRUTOS'!$A$3:$A$500,$B5,'DADOS BRUTOS'!DL$3:DL$500)+IF($C5="",0,SUMIF('DADOS BRUTOS'!$A$3:$A$500,$C5,'DADOS BRUTOS'!DL$3:DL$500)))</f>
        <v>0</v>
      </c>
      <c r="GM5" s="133" t="n">
        <f aca="false">IF(OR(GM$4="",$B5=""),0,SUMIF('DADOS BRUTOS'!$A$3:$A$500,$B5,'DADOS BRUTOS'!DM$3:DM$500)+IF($C5="",0,SUMIF('DADOS BRUTOS'!$A$3:$A$500,$C5,'DADOS BRUTOS'!DM$3:DM$500)))</f>
        <v>0</v>
      </c>
      <c r="GN5" s="133" t="n">
        <f aca="false">IF(OR(GN$4="",$B5=""),0,SUMIF('DADOS BRUTOS'!$A$3:$A$500,$B5,'DADOS BRUTOS'!DN$3:DN$500)+IF($C5="",0,SUMIF('DADOS BRUTOS'!$A$3:$A$500,$C5,'DADOS BRUTOS'!DN$3:DN$500)))</f>
        <v>0</v>
      </c>
      <c r="GO5" s="133" t="n">
        <f aca="false">IF(OR(GO$4="",$B5=""),0,SUMIF('DADOS BRUTOS'!$A$3:$A$500,$B5,'DADOS BRUTOS'!DO$3:DO$500)+IF($C5="",0,SUMIF('DADOS BRUTOS'!$A$3:$A$500,$C5,'DADOS BRUTOS'!DO$3:DO$500)))</f>
        <v>0</v>
      </c>
      <c r="GP5" s="133" t="n">
        <f aca="false">IF(OR(GP$4="",$B5=""),0,SUMIF('DADOS BRUTOS'!$A$3:$A$500,$B5,'DADOS BRUTOS'!DP$3:DP$500)+IF($C5="",0,SUMIF('DADOS BRUTOS'!$A$3:$A$500,$C5,'DADOS BRUTOS'!DP$3:DP$500)))</f>
        <v>0</v>
      </c>
      <c r="GQ5" s="133" t="n">
        <f aca="false">IF(OR(GQ$4="",$B5=""),0,SUMIF('DADOS BRUTOS'!$A$3:$A$500,$B5,'DADOS BRUTOS'!DQ$3:DQ$500)+IF($C5="",0,SUMIF('DADOS BRUTOS'!$A$3:$A$500,$C5,'DADOS BRUTOS'!DQ$3:DQ$500)))</f>
        <v>0</v>
      </c>
      <c r="GR5" s="133" t="n">
        <f aca="false">IF(OR(GR$4="",$B5=""),0,SUMIF('DADOS BRUTOS'!$A$3:$A$500,$B5,'DADOS BRUTOS'!DR$3:DR$500)+IF($C5="",0,SUMIF('DADOS BRUTOS'!$A$3:$A$500,$C5,'DADOS BRUTOS'!DR$3:DR$500)))</f>
        <v>0</v>
      </c>
      <c r="GS5" s="133" t="n">
        <f aca="false">IF(OR(GS$4="",$B5=""),0,SUMIF('DADOS BRUTOS'!$A$3:$A$500,$B5,'DADOS BRUTOS'!DS$3:DS$500)+IF($C5="",0,SUMIF('DADOS BRUTOS'!$A$3:$A$500,$C5,'DADOS BRUTOS'!DS$3:DS$500)))</f>
        <v>0</v>
      </c>
      <c r="GT5" s="133" t="n">
        <f aca="false">IF(OR(GT$4="",$B5=""),0,SUMIF('DADOS BRUTOS'!$A$3:$A$500,$B5,'DADOS BRUTOS'!DT$3:DT$500)+IF($C5="",0,SUMIF('DADOS BRUTOS'!$A$3:$A$500,$C5,'DADOS BRUTOS'!DT$3:DT$500)))</f>
        <v>0</v>
      </c>
      <c r="GU5" s="133" t="n">
        <f aca="false">IF(OR(GU$4="",$B5=""),0,SUMIF('DADOS BRUTOS'!$A$3:$A$500,$B5,'DADOS BRUTOS'!DU$3:DU$500)+IF($C5="",0,SUMIF('DADOS BRUTOS'!$A$3:$A$500,$C5,'DADOS BRUTOS'!DU$3:DU$500)))</f>
        <v>0</v>
      </c>
      <c r="GV5" s="133" t="n">
        <f aca="false">IF(OR(GV$4="",$B5=""),0,SUMIF('DADOS BRUTOS'!$A$3:$A$500,$B5,'DADOS BRUTOS'!DV$3:DV$500)+IF($C5="",0,SUMIF('DADOS BRUTOS'!$A$3:$A$500,$C5,'DADOS BRUTOS'!DV$3:DV$500)))</f>
        <v>0</v>
      </c>
      <c r="GW5" s="133" t="n">
        <f aca="false">IF(OR(GW$4="",$B5=""),0,SUMIF('DADOS BRUTOS'!$A$3:$A$500,$B5,'DADOS BRUTOS'!DW$3:DW$500)+IF($C5="",0,SUMIF('DADOS BRUTOS'!$A$3:$A$500,$C5,'DADOS BRUTOS'!DW$3:DW$500)))</f>
        <v>0</v>
      </c>
      <c r="GX5" s="133" t="n">
        <f aca="false">IF(OR(GX$4="",$B5=""),0,SUMIF('DADOS BRUTOS'!$A$3:$A$500,$B5,'DADOS BRUTOS'!DX$3:DX$500)+IF($C5="",0,SUMIF('DADOS BRUTOS'!$A$3:$A$500,$C5,'DADOS BRUTOS'!DX$3:DX$500)))</f>
        <v>0</v>
      </c>
      <c r="GY5" s="133" t="n">
        <f aca="false">IF(OR(GY$4="",$B5=""),0,SUMIF('DADOS BRUTOS'!$A$3:$A$500,$B5,'DADOS BRUTOS'!DY$3:DY$500)+IF($C5="",0,SUMIF('DADOS BRUTOS'!$A$3:$A$500,$C5,'DADOS BRUTOS'!DY$3:DY$500)))</f>
        <v>0</v>
      </c>
      <c r="GZ5" s="133" t="n">
        <f aca="false">IF(OR(GZ$4="",$B5=""),0,SUMIF('DADOS BRUTOS'!$A$3:$A$500,$B5,'DADOS BRUTOS'!DZ$3:DZ$500)+IF($C5="",0,SUMIF('DADOS BRUTOS'!$A$3:$A$500,$C5,'DADOS BRUTOS'!DZ$3:DZ$500)))</f>
        <v>0</v>
      </c>
      <c r="HA5" s="133" t="n">
        <f aca="false">IF(OR(HA$4="",$B5=""),0,SUMIF('DADOS BRUTOS'!$A$3:$A$500,$B5,'DADOS BRUTOS'!EA$3:EA$500)+IF($C5="",0,SUMIF('DADOS BRUTOS'!$A$3:$A$500,$C5,'DADOS BRUTOS'!EA$3:EA$500)))</f>
        <v>0</v>
      </c>
      <c r="HB5" s="133" t="n">
        <f aca="false">IF(OR(HB$4="",$B5=""),0,SUMIF('DADOS BRUTOS'!$A$3:$A$500,$B5,'DADOS BRUTOS'!EB$3:EB$500)+IF($C5="",0,SUMIF('DADOS BRUTOS'!$A$3:$A$500,$C5,'DADOS BRUTOS'!EB$3:EB$500)))</f>
        <v>0</v>
      </c>
      <c r="HC5" s="133" t="n">
        <f aca="false">IF(OR(HC$4="",$B5=""),0,SUMIF('DADOS BRUTOS'!$A$3:$A$500,$B5,'DADOS BRUTOS'!EC$3:EC$500)+IF($C5="",0,SUMIF('DADOS BRUTOS'!$A$3:$A$500,$C5,'DADOS BRUTOS'!EC$3:EC$500)))</f>
        <v>0</v>
      </c>
      <c r="HD5" s="133" t="n">
        <f aca="false">IF(OR(HD$4="",$B5=""),0,SUMIF('DADOS BRUTOS'!$A$3:$A$500,$B5,'DADOS BRUTOS'!ED$3:ED$500)+IF($C5="",0,SUMIF('DADOS BRUTOS'!$A$3:$A$500,$C5,'DADOS BRUTOS'!ED$3:ED$500)))</f>
        <v>0</v>
      </c>
      <c r="HE5" s="133" t="n">
        <f aca="false">IF(OR(HE$4="",$B5=""),0,SUMIF('DADOS BRUTOS'!$A$3:$A$500,$B5,'DADOS BRUTOS'!EE$3:EE$500)+IF($C5="",0,SUMIF('DADOS BRUTOS'!$A$3:$A$500,$C5,'DADOS BRUTOS'!EE$3:EE$500)))</f>
        <v>0</v>
      </c>
      <c r="HF5" s="133" t="n">
        <f aca="false">IF(OR(HF$4="",$B5=""),0,SUMIF('DADOS BRUTOS'!$A$3:$A$500,$B5,'DADOS BRUTOS'!EF$3:EF$500)+IF($C5="",0,SUMIF('DADOS BRUTOS'!$A$3:$A$500,$C5,'DADOS BRUTOS'!EF$3:EF$500)))</f>
        <v>0</v>
      </c>
      <c r="HG5" s="133" t="n">
        <f aca="false">IF(OR(HG$4="",$B5=""),0,SUMIF('DADOS BRUTOS'!$A$3:$A$500,$B5,'DADOS BRUTOS'!EG$3:EG$500)+IF($C5="",0,SUMIF('DADOS BRUTOS'!$A$3:$A$500,$C5,'DADOS BRUTOS'!EG$3:EG$500)))</f>
        <v>0</v>
      </c>
      <c r="HH5" s="133" t="n">
        <f aca="false">IF(OR(HH$4="",$B5=""),0,SUMIF('DADOS BRUTOS'!$A$3:$A$500,$B5,'DADOS BRUTOS'!EH$3:EH$500)+IF($C5="",0,SUMIF('DADOS BRUTOS'!$A$3:$A$500,$C5,'DADOS BRUTOS'!EH$3:EH$500)))</f>
        <v>0</v>
      </c>
      <c r="HI5" s="133" t="n">
        <f aca="false">IF(OR(HI$4="",$B5=""),0,SUMIF('DADOS BRUTOS'!$A$3:$A$500,$B5,'DADOS BRUTOS'!EI$3:EI$500)+IF($C5="",0,SUMIF('DADOS BRUTOS'!$A$3:$A$500,$C5,'DADOS BRUTOS'!EI$3:EI$500)))</f>
        <v>0</v>
      </c>
      <c r="HJ5" s="133" t="n">
        <f aca="false">IF(OR(HJ$4="",$B5=""),0,SUMIF('DADOS BRUTOS'!$A$3:$A$500,$B5,'DADOS BRUTOS'!EJ$3:EJ$500)+IF($C5="",0,SUMIF('DADOS BRUTOS'!$A$3:$A$500,$C5,'DADOS BRUTOS'!EJ$3:EJ$500)))</f>
        <v>0</v>
      </c>
      <c r="HK5" s="133" t="n">
        <f aca="false">IF(OR(HK$4="",$B5=""),0,SUMIF('DADOS BRUTOS'!$A$3:$A$500,$B5,'DADOS BRUTOS'!EK$3:EK$500)+IF($C5="",0,SUMIF('DADOS BRUTOS'!$A$3:$A$500,$C5,'DADOS BRUTOS'!EK$3:EK$500)))</f>
        <v>0</v>
      </c>
      <c r="HL5" s="133" t="n">
        <f aca="false">IF(OR(HL$4="",$B5=""),0,SUMIF('DADOS BRUTOS'!$A$3:$A$500,$B5,'DADOS BRUTOS'!EL$3:EL$500)+IF($C5="",0,SUMIF('DADOS BRUTOS'!$A$3:$A$500,$C5,'DADOS BRUTOS'!EL$3:EL$500)))</f>
        <v>0</v>
      </c>
      <c r="HM5" s="133" t="n">
        <f aca="false">IF(OR(HM$4="",$B5=""),0,SUMIF('DADOS BRUTOS'!$A$3:$A$500,$B5,'DADOS BRUTOS'!EM$3:EM$500)+IF($C5="",0,SUMIF('DADOS BRUTOS'!$A$3:$A$500,$C5,'DADOS BRUTOS'!EM$3:EM$500)))</f>
        <v>0</v>
      </c>
      <c r="HN5" s="133" t="n">
        <f aca="false">IF(OR(HN$4="",$B5=""),0,SUMIF('DADOS BRUTOS'!$A$3:$A$500,$B5,'DADOS BRUTOS'!EN$3:EN$500)+IF($C5="",0,SUMIF('DADOS BRUTOS'!$A$3:$A$500,$C5,'DADOS BRUTOS'!EN$3:EN$500)))</f>
        <v>0</v>
      </c>
      <c r="HO5" s="133" t="n">
        <f aca="false">IF(OR(HO$4="",$B5=""),0,SUMIF('DADOS BRUTOS'!$A$3:$A$500,$B5,'DADOS BRUTOS'!EO$3:EO$500)+IF($C5="",0,SUMIF('DADOS BRUTOS'!$A$3:$A$500,$C5,'DADOS BRUTOS'!EO$3:EO$500)))</f>
        <v>0</v>
      </c>
      <c r="HP5" s="133" t="n">
        <f aca="false">IF(OR(HP$4="",$B5=""),0,SUMIF('DADOS BRUTOS'!$A$3:$A$500,$B5,'DADOS BRUTOS'!EP$3:EP$500)+IF($C5="",0,SUMIF('DADOS BRUTOS'!$A$3:$A$500,$C5,'DADOS BRUTOS'!EP$3:EP$500)))</f>
        <v>0</v>
      </c>
      <c r="HQ5" s="133" t="n">
        <f aca="false">IF(OR(HQ$4="",$B5=""),0,SUMIF('DADOS BRUTOS'!$A$3:$A$500,$B5,'DADOS BRUTOS'!EQ$3:EQ$500)+IF($C5="",0,SUMIF('DADOS BRUTOS'!$A$3:$A$500,$C5,'DADOS BRUTOS'!EQ$3:EQ$500)))</f>
        <v>0</v>
      </c>
      <c r="HR5" s="133" t="n">
        <f aca="false">IF(OR(HR$4="",$B5=""),0,SUMIF('DADOS BRUTOS'!$A$3:$A$500,$B5,'DADOS BRUTOS'!ER$3:ER$500)+IF($C5="",0,SUMIF('DADOS BRUTOS'!$A$3:$A$500,$C5,'DADOS BRUTOS'!ER$3:ER$500)))</f>
        <v>0</v>
      </c>
      <c r="HS5" s="133" t="n">
        <f aca="false">IF(OR(HS$4="",$B5=""),0,SUMIF('DADOS BRUTOS'!$A$3:$A$500,$B5,'DADOS BRUTOS'!ES$3:ES$500)+IF($C5="",0,SUMIF('DADOS BRUTOS'!$A$3:$A$500,$C5,'DADOS BRUTOS'!ES$3:ES$500)))</f>
        <v>0</v>
      </c>
      <c r="HT5" s="133" t="n">
        <f aca="false">IF(OR(HT$4="",$B5=""),0,SUMIF('DADOS BRUTOS'!$A$3:$A$500,$B5,'DADOS BRUTOS'!ET$3:ET$500)+IF($C5="",0,SUMIF('DADOS BRUTOS'!$A$3:$A$500,$C5,'DADOS BRUTOS'!ET$3:ET$500)))</f>
        <v>0</v>
      </c>
      <c r="HU5" s="133" t="n">
        <f aca="false">IF(OR(HU$4="",$B5=""),0,SUMIF('DADOS BRUTOS'!$A$3:$A$500,$B5,'DADOS BRUTOS'!EU$3:EU$500)+IF($C5="",0,SUMIF('DADOS BRUTOS'!$A$3:$A$500,$C5,'DADOS BRUTOS'!EU$3:EU$500)))</f>
        <v>0</v>
      </c>
      <c r="HV5" s="133" t="n">
        <f aca="false">IF(OR(HV$4="",$B5=""),0,SUMIF('DADOS BRUTOS'!$A$3:$A$500,$B5,'DADOS BRUTOS'!EV$3:EV$500)+IF($C5="",0,SUMIF('DADOS BRUTOS'!$A$3:$A$500,$C5,'DADOS BRUTOS'!EV$3:EV$500)))</f>
        <v>0</v>
      </c>
      <c r="HW5" s="133" t="n">
        <f aca="false">IF(OR(HW$4="",$B5=""),0,SUMIF('DADOS BRUTOS'!$A$3:$A$500,$B5,'DADOS BRUTOS'!EW$3:EW$500)+IF($C5="",0,SUMIF('DADOS BRUTOS'!$A$3:$A$500,$C5,'DADOS BRUTOS'!EW$3:EW$500)))</f>
        <v>0</v>
      </c>
      <c r="HX5" s="133" t="n">
        <f aca="false">IF(OR(HX$4="",$B5=""),0,SUMIF('DADOS BRUTOS'!$A$3:$A$500,$B5,'DADOS BRUTOS'!EX$3:EX$500)+IF($C5="",0,SUMIF('DADOS BRUTOS'!$A$3:$A$500,$C5,'DADOS BRUTOS'!EX$3:EX$500)))</f>
        <v>0</v>
      </c>
      <c r="HY5" s="133" t="n">
        <f aca="false">IF(OR(HY$4="",$B5=""),0,SUMIF('DADOS BRUTOS'!$A$3:$A$500,$B5,'DADOS BRUTOS'!EY$3:EY$500)+IF($C5="",0,SUMIF('DADOS BRUTOS'!$A$3:$A$500,$C5,'DADOS BRUTOS'!EY$3:EY$500)))</f>
        <v>0</v>
      </c>
      <c r="HZ5" s="133" t="n">
        <f aca="false">IF(OR(HZ$4="",$B5=""),0,SUMIF('DADOS BRUTOS'!$A$3:$A$500,$B5,'DADOS BRUTOS'!EZ$3:EZ$500)+IF($C5="",0,SUMIF('DADOS BRUTOS'!$A$3:$A$500,$C5,'DADOS BRUTOS'!EZ$3:EZ$500)))</f>
        <v>0</v>
      </c>
      <c r="IA5" s="133" t="n">
        <f aca="false">IF(OR(IA$4="",$B5=""),0,SUMIF('DADOS BRUTOS'!$A$3:$A$500,$B5,'DADOS BRUTOS'!FA$3:FA$500)+IF($C5="",0,SUMIF('DADOS BRUTOS'!$A$3:$A$500,$C5,'DADOS BRUTOS'!FA$3:FA$500)))</f>
        <v>0</v>
      </c>
      <c r="IB5" s="133" t="n">
        <f aca="false">IF(OR(IB$4="",$B5=""),0,SUMIF('DADOS BRUTOS'!$A$3:$A$500,$B5,'DADOS BRUTOS'!FB$3:FB$500)+IF($C5="",0,SUMIF('DADOS BRUTOS'!$A$3:$A$500,$C5,'DADOS BRUTOS'!FB$3:FB$500)))</f>
        <v>0</v>
      </c>
      <c r="IC5" s="133" t="n">
        <f aca="false">IF(OR(IC$4="",$B5=""),0,SUMIF('DADOS BRUTOS'!$A$3:$A$500,$B5,'DADOS BRUTOS'!FC$3:FC$500)+IF($C5="",0,SUMIF('DADOS BRUTOS'!$A$3:$A$500,$C5,'DADOS BRUTOS'!FC$3:FC$500)))</f>
        <v>0</v>
      </c>
      <c r="ID5" s="133" t="n">
        <f aca="false">IF(OR(ID$4="",$B5=""),0,SUMIF('DADOS BRUTOS'!$A$3:$A$500,$B5,'DADOS BRUTOS'!FD$3:FD$500)+IF($C5="",0,SUMIF('DADOS BRUTOS'!$A$3:$A$500,$C5,'DADOS BRUTOS'!FD$3:FD$500)))</f>
        <v>0</v>
      </c>
      <c r="IE5" s="133" t="n">
        <f aca="false">IF(OR(IE$4="",$B5=""),0,SUMIF('DADOS BRUTOS'!$A$3:$A$500,$B5,'DADOS BRUTOS'!FE$3:FE$500)+IF($C5="",0,SUMIF('DADOS BRUTOS'!$A$3:$A$500,$C5,'DADOS BRUTOS'!FE$3:FE$500)))</f>
        <v>0</v>
      </c>
      <c r="IF5" s="133" t="n">
        <f aca="false">IF(OR(IF$4="",$B5=""),0,SUMIF('DADOS BRUTOS'!$A$3:$A$500,$B5,'DADOS BRUTOS'!FF$3:FF$500)+IF($C5="",0,SUMIF('DADOS BRUTOS'!$A$3:$A$500,$C5,'DADOS BRUTOS'!FF$3:FF$500)))</f>
        <v>0</v>
      </c>
      <c r="IG5" s="133" t="n">
        <f aca="false">IF(OR(IG$4="",$B5=""),0,SUMIF('DADOS BRUTOS'!$A$3:$A$500,$B5,'DADOS BRUTOS'!FG$3:FG$500)+IF($C5="",0,SUMIF('DADOS BRUTOS'!$A$3:$A$500,$C5,'DADOS BRUTOS'!FG$3:FG$500)))</f>
        <v>0</v>
      </c>
      <c r="IH5" s="133" t="n">
        <f aca="false">IF(OR(IH$4="",$B5=""),0,SUMIF('DADOS BRUTOS'!$A$3:$A$500,$B5,'DADOS BRUTOS'!FH$3:FH$500)+IF($C5="",0,SUMIF('DADOS BRUTOS'!$A$3:$A$500,$C5,'DADOS BRUTOS'!FH$3:FH$500)))</f>
        <v>0</v>
      </c>
      <c r="II5" s="133" t="n">
        <f aca="false">IF(OR(II$4="",$B5=""),0,SUMIF('DADOS BRUTOS'!$A$3:$A$500,$B5,'DADOS BRUTOS'!FI$3:FI$500)+IF($C5="",0,SUMIF('DADOS BRUTOS'!$A$3:$A$500,$C5,'DADOS BRUTOS'!FI$3:FI$500)))</f>
        <v>0</v>
      </c>
      <c r="IJ5" s="133" t="n">
        <f aca="false">IF(OR(IJ$4="",$B5=""),0,SUMIF('DADOS BRUTOS'!$A$3:$A$500,$B5,'DADOS BRUTOS'!FJ$3:FJ$500)+IF($C5="",0,SUMIF('DADOS BRUTOS'!$A$3:$A$500,$C5,'DADOS BRUTOS'!FJ$3:FJ$500)))</f>
        <v>0</v>
      </c>
      <c r="IK5" s="133" t="n">
        <f aca="false">IF(OR(IK$4="",$B5=""),0,SUMIF('DADOS BRUTOS'!$A$3:$A$500,$B5,'DADOS BRUTOS'!FK$3:FK$500)+IF($C5="",0,SUMIF('DADOS BRUTOS'!$A$3:$A$500,$C5,'DADOS BRUTOS'!FK$3:FK$500)))</f>
        <v>0</v>
      </c>
      <c r="IL5" s="133" t="n">
        <f aca="false">IF(OR(IL$4="",$B5=""),0,SUMIF('DADOS BRUTOS'!$A$3:$A$500,$B5,'DADOS BRUTOS'!FL$3:FL$500)+IF($C5="",0,SUMIF('DADOS BRUTOS'!$A$3:$A$500,$C5,'DADOS BRUTOS'!FL$3:FL$500)))</f>
        <v>0</v>
      </c>
      <c r="IM5" s="133" t="n">
        <f aca="false">IF(OR(IM$4="",$B5=""),0,SUMIF('DADOS BRUTOS'!$A$3:$A$500,$B5,'DADOS BRUTOS'!FM$3:FM$500)+IF($C5="",0,SUMIF('DADOS BRUTOS'!$A$3:$A$500,$C5,'DADOS BRUTOS'!FM$3:FM$500)))</f>
        <v>0</v>
      </c>
      <c r="IN5" s="133" t="n">
        <f aca="false">IF(OR(IN$4="",$B5=""),0,SUMIF('DADOS BRUTOS'!$A$3:$A$500,$B5,'DADOS BRUTOS'!FN$3:FN$500)+IF($C5="",0,SUMIF('DADOS BRUTOS'!$A$3:$A$500,$C5,'DADOS BRUTOS'!FN$3:FN$500)))</f>
        <v>0</v>
      </c>
      <c r="IO5" s="133" t="n">
        <f aca="false">IF(OR(IO$4="",$B5=""),0,SUMIF('DADOS BRUTOS'!$A$3:$A$500,$B5,'DADOS BRUTOS'!FO$3:FO$500)+IF($C5="",0,SUMIF('DADOS BRUTOS'!$A$3:$A$500,$C5,'DADOS BRUTOS'!FO$3:FO$500)))</f>
        <v>0</v>
      </c>
      <c r="IP5" s="133" t="n">
        <f aca="false">IF(OR(IP$4="",$B5=""),0,SUMIF('DADOS BRUTOS'!$A$3:$A$500,$B5,'DADOS BRUTOS'!FP$3:FP$500)+IF($C5="",0,SUMIF('DADOS BRUTOS'!$A$3:$A$500,$C5,'DADOS BRUTOS'!FP$3:FP$500)))</f>
        <v>0</v>
      </c>
      <c r="IQ5" s="133" t="n">
        <f aca="false">IF(OR(IQ$4="",$B5=""),0,SUMIF('DADOS BRUTOS'!$A$3:$A$500,$B5,'DADOS BRUTOS'!FQ$3:FQ$500)+IF($C5="",0,SUMIF('DADOS BRUTOS'!$A$3:$A$500,$C5,'DADOS BRUTOS'!FQ$3:FQ$500)))</f>
        <v>0</v>
      </c>
      <c r="IR5" s="133" t="n">
        <f aca="false">IF(OR(IR$4="",$B5=""),0,SUMIF('DADOS BRUTOS'!$A$3:$A$500,$B5,'DADOS BRUTOS'!FR$3:FR$500)+IF($C5="",0,SUMIF('DADOS BRUTOS'!$A$3:$A$500,$C5,'DADOS BRUTOS'!FR$3:FR$500)))</f>
        <v>0</v>
      </c>
      <c r="IS5" s="133" t="n">
        <f aca="false">IF(OR(IS$4="",$B5=""),0,SUMIF('DADOS BRUTOS'!$A$3:$A$500,$B5,'DADOS BRUTOS'!FS$3:FS$500)+IF($C5="",0,SUMIF('DADOS BRUTOS'!$A$3:$A$500,$C5,'DADOS BRUTOS'!FS$3:FS$500)))</f>
        <v>0</v>
      </c>
      <c r="IT5" s="133" t="n">
        <f aca="false">IF(OR(IT$4="",$B5=""),0,SUMIF('DADOS BRUTOS'!$A$3:$A$500,$B5,'DADOS BRUTOS'!FT$3:FT$500)+IF($C5="",0,SUMIF('DADOS BRUTOS'!$A$3:$A$500,$C5,'DADOS BRUTOS'!FT$3:FT$500)))</f>
        <v>0</v>
      </c>
      <c r="IU5" s="133" t="n">
        <f aca="false">IF(OR(IU$4="",$B5=""),0,SUMIF('DADOS BRUTOS'!$A$3:$A$500,$B5,'DADOS BRUTOS'!FU$3:FU$500)+IF($C5="",0,SUMIF('DADOS BRUTOS'!$A$3:$A$500,$C5,'DADOS BRUTOS'!FU$3:FU$500)))</f>
        <v>0</v>
      </c>
      <c r="IV5" s="133" t="n">
        <f aca="false">IF(OR(IV$4="",$B5=""),0,SUMIF('DADOS BRUTOS'!$A$3:$A$500,$B5,'DADOS BRUTOS'!FV$3:FV$500)+IF($C5="",0,SUMIF('DADOS BRUTOS'!$A$3:$A$500,$C5,'DADOS BRUTOS'!FV$3:FV$500)))</f>
        <v>0</v>
      </c>
      <c r="IW5" s="133" t="n">
        <f aca="false">IF(OR(IW$4="",$B5=""),0,SUMIF('DADOS BRUTOS'!$A$3:$A$500,$B5,'DADOS BRUTOS'!FW$3:FW$500)+IF($C5="",0,SUMIF('DADOS BRUTOS'!$A$3:$A$500,$C5,'DADOS BRUTOS'!FW$3:FW$500)))</f>
        <v>0</v>
      </c>
      <c r="IX5" s="133" t="n">
        <f aca="false">IF(OR(IX$4="",$B5=""),0,SUMIF('DADOS BRUTOS'!$A$3:$A$500,$B5,'DADOS BRUTOS'!FX$3:FX$500)+IF($C5="",0,SUMIF('DADOS BRUTOS'!$A$3:$A$500,$C5,'DADOS BRUTOS'!FX$3:FX$500)))</f>
        <v>0</v>
      </c>
      <c r="IY5" s="133" t="n">
        <f aca="false">IF(OR(IY$4="",$B5=""),0,SUMIF('DADOS BRUTOS'!$A$3:$A$500,$B5,'DADOS BRUTOS'!FY$3:FY$500)+IF($C5="",0,SUMIF('DADOS BRUTOS'!$A$3:$A$500,$C5,'DADOS BRUTOS'!FY$3:FY$500)))</f>
        <v>0</v>
      </c>
      <c r="IZ5" s="133" t="n">
        <f aca="false">IF(OR(IZ$4="",$B5=""),0,SUMIF('DADOS BRUTOS'!$A$3:$A$500,$B5,'DADOS BRUTOS'!FZ$3:FZ$500)+IF($C5="",0,SUMIF('DADOS BRUTOS'!$A$3:$A$500,$C5,'DADOS BRUTOS'!FZ$3:FZ$500)))</f>
        <v>0</v>
      </c>
      <c r="JA5" s="133" t="n">
        <f aca="false">IF(OR(JA$4="",$B5=""),0,SUMIF('DADOS BRUTOS'!$A$3:$A$500,$B5,'DADOS BRUTOS'!GA$3:GA$500)+IF($C5="",0,SUMIF('DADOS BRUTOS'!$A$3:$A$500,$C5,'DADOS BRUTOS'!GA$3:GA$500)))</f>
        <v>0</v>
      </c>
      <c r="JB5" s="133" t="n">
        <f aca="false">IF(OR(JB$4="",$B5=""),0,SUMIF('DADOS BRUTOS'!$A$3:$A$500,$B5,'DADOS BRUTOS'!GB$3:GB$500)+IF($C5="",0,SUMIF('DADOS BRUTOS'!$A$3:$A$500,$C5,'DADOS BRUTOS'!GB$3:GB$500)))</f>
        <v>0</v>
      </c>
      <c r="JC5" s="133" t="n">
        <f aca="false">IF(OR(JC$4="",$B5=""),0,SUMIF('DADOS BRUTOS'!$A$3:$A$500,$B5,'DADOS BRUTOS'!GC$3:GC$500)+IF($C5="",0,SUMIF('DADOS BRUTOS'!$A$3:$A$500,$C5,'DADOS BRUTOS'!GC$3:GC$500)))</f>
        <v>0</v>
      </c>
      <c r="JD5" s="133" t="n">
        <f aca="false">IF(OR(JD$4="",$B5=""),0,SUMIF('DADOS BRUTOS'!$A$3:$A$500,$B5,'DADOS BRUTOS'!GD$3:GD$500)+IF($C5="",0,SUMIF('DADOS BRUTOS'!$A$3:$A$500,$C5,'DADOS BRUTOS'!GD$3:GD$500)))</f>
        <v>0</v>
      </c>
      <c r="JE5" s="133" t="n">
        <f aca="false">IF(OR(JE$4="",$B5=""),0,SUMIF('DADOS BRUTOS'!$A$3:$A$500,$B5,'DADOS BRUTOS'!GE$3:GE$500)+IF($C5="",0,SUMIF('DADOS BRUTOS'!$A$3:$A$500,$C5,'DADOS BRUTOS'!GE$3:GE$500)))</f>
        <v>0</v>
      </c>
      <c r="JF5" s="133" t="n">
        <f aca="false">IF(OR(JF$4="",$B5=""),0,SUMIF('DADOS BRUTOS'!$A$3:$A$500,$B5,'DADOS BRUTOS'!GF$3:GF$500)+IF($C5="",0,SUMIF('DADOS BRUTOS'!$A$3:$A$500,$C5,'DADOS BRUTOS'!GF$3:GF$500)))</f>
        <v>0</v>
      </c>
      <c r="JG5" s="133" t="n">
        <f aca="false">IF(OR(JG$4="",$B5=""),0,SUMIF('DADOS BRUTOS'!$A$3:$A$500,$B5,'DADOS BRUTOS'!GG$3:GG$500)+IF($C5="",0,SUMIF('DADOS BRUTOS'!$A$3:$A$500,$C5,'DADOS BRUTOS'!GG$3:GG$500)))</f>
        <v>0</v>
      </c>
      <c r="JH5" s="133" t="n">
        <f aca="false">IF(OR(JH$4="",$B5=""),0,SUMIF('DADOS BRUTOS'!$A$3:$A$500,$B5,'DADOS BRUTOS'!GH$3:GH$500)+IF($C5="",0,SUMIF('DADOS BRUTOS'!$A$3:$A$500,$C5,'DADOS BRUTOS'!GH$3:GH$500)))</f>
        <v>0</v>
      </c>
      <c r="JI5" s="133" t="n">
        <f aca="false">IF(OR(JI$4="",$B5=""),0,SUMIF('DADOS BRUTOS'!$A$3:$A$500,$B5,'DADOS BRUTOS'!GI$3:GI$500)+IF($C5="",0,SUMIF('DADOS BRUTOS'!$A$3:$A$500,$C5,'DADOS BRUTOS'!GI$3:GI$500)))</f>
        <v>0</v>
      </c>
      <c r="JJ5" s="133" t="n">
        <f aca="false">IF(OR(JJ$4="",$B5=""),0,SUMIF('DADOS BRUTOS'!$A$3:$A$500,$B5,'DADOS BRUTOS'!GJ$3:GJ$500)+IF($C5="",0,SUMIF('DADOS BRUTOS'!$A$3:$A$500,$C5,'DADOS BRUTOS'!GJ$3:GJ$500)))</f>
        <v>0</v>
      </c>
      <c r="JK5" s="133" t="n">
        <f aca="false">IF(OR(JK$4="",$B5=""),0,SUMIF('DADOS BRUTOS'!$A$3:$A$500,$B5,'DADOS BRUTOS'!GK$3:GK$500)+IF($C5="",0,SUMIF('DADOS BRUTOS'!$A$3:$A$500,$C5,'DADOS BRUTOS'!GK$3:GK$500)))</f>
        <v>0</v>
      </c>
      <c r="JL5" s="133" t="n">
        <f aca="false">IF(OR(JL$4="",$B5=""),0,SUMIF('DADOS BRUTOS'!$A$3:$A$500,$B5,'DADOS BRUTOS'!GL$3:GL$500)+IF($C5="",0,SUMIF('DADOS BRUTOS'!$A$3:$A$500,$C5,'DADOS BRUTOS'!GL$3:GL$500)))</f>
        <v>0</v>
      </c>
      <c r="JM5" s="133" t="n">
        <f aca="false">IF(OR(JM$4="",$B5=""),0,SUMIF('DADOS BRUTOS'!$A$3:$A$500,$B5,'DADOS BRUTOS'!GM$3:GM$500)+IF($C5="",0,SUMIF('DADOS BRUTOS'!$A$3:$A$500,$C5,'DADOS BRUTOS'!GM$3:GM$500)))</f>
        <v>0</v>
      </c>
      <c r="JN5" s="133" t="n">
        <f aca="false">IF(OR(JN$4="",$B5=""),0,SUMIF('DADOS BRUTOS'!$A$3:$A$500,$B5,'DADOS BRUTOS'!GN$3:GN$500)+IF($C5="",0,SUMIF('DADOS BRUTOS'!$A$3:$A$500,$C5,'DADOS BRUTOS'!GN$3:GN$500)))</f>
        <v>0</v>
      </c>
      <c r="JO5" s="133" t="n">
        <f aca="false">IF(OR(JO$4="",$B5=""),0,SUMIF('DADOS BRUTOS'!$A$3:$A$500,$B5,'DADOS BRUTOS'!GO$3:GO$500)+IF($C5="",0,SUMIF('DADOS BRUTOS'!$A$3:$A$500,$C5,'DADOS BRUTOS'!GO$3:GO$500)))</f>
        <v>0</v>
      </c>
      <c r="JP5" s="133" t="n">
        <f aca="false">IF(OR(JP$4="",$B5=""),0,SUMIF('DADOS BRUTOS'!$A$3:$A$500,$B5,'DADOS BRUTOS'!GP$3:GP$500)+IF($C5="",0,SUMIF('DADOS BRUTOS'!$A$3:$A$500,$C5,'DADOS BRUTOS'!GP$3:GP$500)))</f>
        <v>0</v>
      </c>
      <c r="JQ5" s="133" t="n">
        <f aca="false">IF(OR(JQ$4="",$B5=""),0,SUMIF('DADOS BRUTOS'!$A$3:$A$500,$B5,'DADOS BRUTOS'!GQ$3:GQ$500)+IF($C5="",0,SUMIF('DADOS BRUTOS'!$A$3:$A$500,$C5,'DADOS BRUTOS'!GQ$3:GQ$500)))</f>
        <v>0</v>
      </c>
      <c r="JR5" s="133" t="n">
        <f aca="false">IF(OR(JR$4="",$B5=""),0,SUMIF('DADOS BRUTOS'!$A$3:$A$500,$B5,'DADOS BRUTOS'!GR$3:GR$500)+IF($C5="",0,SUMIF('DADOS BRUTOS'!$A$3:$A$500,$C5,'DADOS BRUTOS'!GR$3:GR$500)))</f>
        <v>0</v>
      </c>
      <c r="JS5" s="133" t="n">
        <f aca="false">IF(OR(JS$4="",$B5=""),0,SUMIF('DADOS BRUTOS'!$A$3:$A$500,$B5,'DADOS BRUTOS'!GS$3:GS$500)+IF($C5="",0,SUMIF('DADOS BRUTOS'!$A$3:$A$500,$C5,'DADOS BRUTOS'!GS$3:GS$500)))</f>
        <v>0</v>
      </c>
    </row>
    <row r="6" customFormat="false" ht="15" hidden="false" customHeight="false" outlineLevel="0" collapsed="false">
      <c r="A6" s="57" t="str">
        <f aca="false">'VALOR POR PL'!D12</f>
        <v>SEGUROS</v>
      </c>
      <c r="B6" s="55" t="s">
        <v>64</v>
      </c>
      <c r="C6" s="55"/>
      <c r="D6" s="50" t="n">
        <f aca="false">SUMIF($CB$4:$JS$4,"&lt;="&amp;D$4,$CB6:$JS6)</f>
        <v>0</v>
      </c>
      <c r="E6" s="50" t="n">
        <f aca="false">SUMIF($CB$4:$JS$4,E$4,$CB6:$JS6)</f>
        <v>0</v>
      </c>
      <c r="F6" s="50" t="n">
        <f aca="false">SUMIF($CB$4:$JS$4,F$4,$CB6:$JS6)</f>
        <v>0</v>
      </c>
      <c r="G6" s="50" t="n">
        <f aca="false">SUMIF($CB$4:$JS$4,G$4,$CB6:$JS6)</f>
        <v>0</v>
      </c>
      <c r="H6" s="50" t="n">
        <f aca="false">SUMIF($CB$4:$JS$4,H$4,$CB6:$JS6)</f>
        <v>0</v>
      </c>
      <c r="I6" s="50" t="n">
        <f aca="false">SUMIF($CB$4:$JS$4,I$4,$CB6:$JS6)</f>
        <v>0</v>
      </c>
      <c r="J6" s="50" t="n">
        <f aca="false">SUMIF($CB$4:$JS$4,J$4,$CB6:$JS6)</f>
        <v>0</v>
      </c>
      <c r="K6" s="50" t="n">
        <f aca="false">SUMIF($CB$4:$JS$4,K$4,$CB6:$JS6)</f>
        <v>0</v>
      </c>
      <c r="L6" s="50" t="n">
        <f aca="false">SUMIF($CB$4:$JS$4,L$4,$CB6:$JS6)</f>
        <v>0</v>
      </c>
      <c r="M6" s="50" t="n">
        <f aca="false">SUMIF($CB$4:$JS$4,M$4,$CB6:$JS6)</f>
        <v>29594.38</v>
      </c>
      <c r="N6" s="50" t="n">
        <f aca="false">SUMIF($CB$4:$JS$4,N$4,$CB6:$JS6)</f>
        <v>15763.13</v>
      </c>
      <c r="O6" s="50" t="n">
        <f aca="false">SUMIF($CB$4:$JS$4,O$4,$CB6:$JS6)</f>
        <v>1931.88</v>
      </c>
      <c r="P6" s="50" t="n">
        <f aca="false">SUMIF($CB$4:$JS$4,P$4,$CB6:$JS6)</f>
        <v>29895.53</v>
      </c>
      <c r="Q6" s="50" t="n">
        <f aca="false">SUMIF($CB$4:$JS$4,Q$4,$CB6:$JS6)</f>
        <v>16064.28</v>
      </c>
      <c r="R6" s="50" t="n">
        <f aca="false">SUMIF($CB$4:$JS$4,R$4,$CB6:$JS6)</f>
        <v>2233.03</v>
      </c>
      <c r="S6" s="50" t="n">
        <f aca="false">SUMIF($CB$4:$JS$4,S$4,$CB6:$JS6)</f>
        <v>29895.47</v>
      </c>
      <c r="T6" s="50" t="n">
        <f aca="false">SUMIF($CB$4:$JS$4,T$4,$CB6:$JS6)</f>
        <v>2232.98</v>
      </c>
      <c r="U6" s="50" t="n">
        <f aca="false">SUMIF($CB$4:$JS$4,U$4,$CB6:$JS6)</f>
        <v>301.15</v>
      </c>
      <c r="V6" s="50" t="n">
        <f aca="false">SUMIF($CB$4:$JS$4,V$4,$CB6:$JS6)</f>
        <v>0</v>
      </c>
      <c r="W6" s="50" t="n">
        <f aca="false">SUMIF($CB$4:$JS$4,W$4,$CB6:$JS6)</f>
        <v>0</v>
      </c>
      <c r="X6" s="50" t="n">
        <f aca="false">SUMIF($CB$4:$JS$4,X$4,$CB6:$JS6)</f>
        <v>0</v>
      </c>
      <c r="Y6" s="50" t="n">
        <f aca="false">SUMIF($CB$4:$JS$4,Y$4,$CB6:$JS6)</f>
        <v>0</v>
      </c>
      <c r="Z6" s="50" t="n">
        <f aca="false">SUMIF($CB$4:$JS$4,Z$4,$CB6:$JS6)</f>
        <v>18870.38</v>
      </c>
      <c r="AA6" s="50" t="n">
        <f aca="false">SUMIF($CB$4:$JS$4,AA$4,$CB6:$JS6)</f>
        <v>18870.38</v>
      </c>
      <c r="AB6" s="50" t="n">
        <f aca="false">SUMIF($CB$4:$JS$4,AB$4,$CB6:$JS6)</f>
        <v>18870.38</v>
      </c>
      <c r="AC6" s="50" t="n">
        <f aca="false">SUMIF($CB$4:$JS$4,AC$4,$CB6:$JS6)</f>
        <v>18870.38</v>
      </c>
      <c r="AD6" s="50" t="n">
        <f aca="false">SUMIF($CB$4:$JS$4,AD$4,$CB6:$JS6)</f>
        <v>18870.38</v>
      </c>
      <c r="AE6" s="50" t="n">
        <f aca="false">SUMIF($CB$4:$JS$4,AE$4,$CB6:$JS6)</f>
        <v>18871.43</v>
      </c>
      <c r="AF6" s="50" t="n">
        <f aca="false">SUMIF($CB$4:$JS$4,AF$4,$CB6:$JS6)</f>
        <v>0</v>
      </c>
      <c r="AG6" s="50" t="n">
        <f aca="false">SUMIF($CB$4:$JS$4,AG$4,$CB6:$JS6)</f>
        <v>0</v>
      </c>
      <c r="AH6" s="50" t="n">
        <f aca="false">SUMIF($CB$4:$JS$4,AH$4,$CB6:$JS6)</f>
        <v>0</v>
      </c>
      <c r="AI6" s="50" t="n">
        <f aca="false">SUMIF($CB$4:$JS$4,AI$4,$CB6:$JS6)</f>
        <v>0</v>
      </c>
      <c r="AJ6" s="50" t="n">
        <f aca="false">SUMIF($CB$4:$JS$4,AJ$4,$CB6:$JS6)</f>
        <v>0</v>
      </c>
      <c r="AK6" s="50" t="n">
        <f aca="false">SUMIF($CB$4:$JS$4,AK$4,$CB6:$JS6)</f>
        <v>0</v>
      </c>
      <c r="AL6" s="50" t="n">
        <f aca="false">SUMIF($CB$4:$JS$4,AL$4,$CB6:$JS6)</f>
        <v>0</v>
      </c>
      <c r="AM6" s="50" t="n">
        <f aca="false">SUMIF($CB$4:$JS$4,AM$4,$CB6:$JS6)</f>
        <v>0</v>
      </c>
      <c r="AN6" s="50" t="n">
        <f aca="false">SUMIF($CB$4:$JS$4,AN$4,$CB6:$JS6)</f>
        <v>0</v>
      </c>
      <c r="AO6" s="50" t="n">
        <f aca="false">SUMIF($CB$4:$JS$4,AO$4,$CB6:$JS6)</f>
        <v>0</v>
      </c>
      <c r="AP6" s="50" t="n">
        <f aca="false">SUMIF($CB$4:$JS$4,AP$4,$CB6:$JS6)</f>
        <v>0</v>
      </c>
      <c r="AQ6" s="50" t="n">
        <f aca="false">SUMIF($CB$4:$JS$4,AQ$4,$CB6:$JS6)</f>
        <v>0</v>
      </c>
      <c r="AR6" s="50" t="n">
        <f aca="false">SUMIF($CB$4:$JS$4,AR$4,$CB6:$JS6)</f>
        <v>0</v>
      </c>
      <c r="AS6" s="50" t="n">
        <f aca="false">SUMIF($CB$4:$JS$4,AS$4,$CB6:$JS6)</f>
        <v>0</v>
      </c>
      <c r="AT6" s="50" t="n">
        <f aca="false">SUMIF($CB$4:$JS$4,AT$4,$CB6:$JS6)</f>
        <v>0</v>
      </c>
      <c r="AU6" s="50" t="n">
        <f aca="false">SUMIF($CB$4:$JS$4,AU$4,$CB6:$JS6)</f>
        <v>0</v>
      </c>
      <c r="AV6" s="50" t="n">
        <f aca="false">SUMIF($CB$4:$JS$4,AV$4,$CB6:$JS6)</f>
        <v>0</v>
      </c>
      <c r="AW6" s="50" t="n">
        <f aca="false">SUMIF($CB$4:$JS$4,AW$4,$CB6:$JS6)</f>
        <v>0</v>
      </c>
      <c r="AX6" s="50" t="n">
        <f aca="false">SUMIF($CB$4:$JS$4,AX$4,$CB6:$JS6)</f>
        <v>0</v>
      </c>
      <c r="AY6" s="50" t="n">
        <f aca="false">SUMIF($CB$4:$JS$4,AY$4,$CB6:$JS6)</f>
        <v>0</v>
      </c>
      <c r="AZ6" s="50" t="n">
        <f aca="false">SUMIF($CB$4:$JS$4,AZ$4,$CB6:$JS6)</f>
        <v>0</v>
      </c>
      <c r="BA6" s="50" t="n">
        <f aca="false">SUMIF($CB$4:$JS$4,BA$4,$CB6:$JS6)</f>
        <v>0</v>
      </c>
      <c r="BB6" s="50" t="n">
        <f aca="false">SUMIF($CB$4:$JS$4,BB$4,$CB6:$JS6)</f>
        <v>0</v>
      </c>
      <c r="BC6" s="50" t="n">
        <f aca="false">SUMIF($CB$4:$JS$4,BC$4,$CB6:$JS6)</f>
        <v>0</v>
      </c>
      <c r="BD6" s="50" t="n">
        <f aca="false">SUMIF($CB$4:$JS$4,BD$4,$CB6:$JS6)</f>
        <v>0</v>
      </c>
      <c r="BE6" s="50" t="n">
        <f aca="false">SUMIF($CB$4:$JS$4,BE$4,$CB6:$JS6)</f>
        <v>0</v>
      </c>
      <c r="BF6" s="50" t="n">
        <f aca="false">SUMIF($CB$4:$JS$4,BF$4,$CB6:$JS6)</f>
        <v>0</v>
      </c>
      <c r="BG6" s="50" t="n">
        <f aca="false">SUMIF($CB$4:$JS$4,BG$4,$CB6:$JS6)</f>
        <v>0</v>
      </c>
      <c r="BH6" s="50" t="n">
        <f aca="false">SUMIF($CB$4:$JS$4,BH$4,$CB6:$JS6)</f>
        <v>0</v>
      </c>
      <c r="BI6" s="50" t="n">
        <f aca="false">SUMIF($CB$4:$JS$4,BI$4,$CB6:$JS6)</f>
        <v>0</v>
      </c>
      <c r="BJ6" s="50" t="n">
        <f aca="false">SUMIF($CB$4:$JS$4,BJ$4,$CB6:$JS6)</f>
        <v>0</v>
      </c>
      <c r="BK6" s="50" t="n">
        <f aca="false">SUMIF($CB$4:$JS$4,BK$4,$CB6:$JS6)</f>
        <v>0</v>
      </c>
      <c r="BL6" s="50" t="n">
        <f aca="false">SUMIF($CB$4:$JS$4,BL$4,$CB6:$JS6)</f>
        <v>0</v>
      </c>
      <c r="BM6" s="50" t="n">
        <f aca="false">SUMIF($CB$4:$JS$4,BM$4,$CB6:$JS6)</f>
        <v>0</v>
      </c>
      <c r="BN6" s="50" t="n">
        <f aca="false">SUMIF($CB$4:$JS$4,BN$4,$CB6:$JS6)</f>
        <v>0</v>
      </c>
      <c r="BO6" s="50" t="n">
        <f aca="false">SUMIF($CB$4:$JS$4,BO$4,$CB6:$JS6)</f>
        <v>0</v>
      </c>
      <c r="BP6" s="50" t="n">
        <f aca="false">SUMIF($CB$4:$JS$4,BP$4,$CB6:$JS6)</f>
        <v>0</v>
      </c>
      <c r="BQ6" s="50" t="n">
        <f aca="false">SUMIF($CB$4:$JS$4,BQ$4,$CB6:$JS6)</f>
        <v>0</v>
      </c>
      <c r="BR6" s="50" t="n">
        <f aca="false">SUMIF($CB$4:$JS$4,BR$4,$CB6:$JS6)</f>
        <v>0</v>
      </c>
      <c r="BS6" s="50" t="n">
        <f aca="false">SUMIF($CB$4:$JS$4,BS$4,$CB6:$JS6)</f>
        <v>0</v>
      </c>
      <c r="BT6" s="50" t="n">
        <f aca="false">SUMIF($CB$4:$JS$4,BT$4,$CB6:$JS6)</f>
        <v>0</v>
      </c>
      <c r="BU6" s="50" t="n">
        <f aca="false">SUMIF($CB$4:$JS$4,BU$4,$CB6:$JS6)</f>
        <v>0</v>
      </c>
      <c r="BV6" s="50" t="n">
        <f aca="false">SUMIF($CB$4:$JS$4,BV$4,$CB6:$JS6)</f>
        <v>0</v>
      </c>
      <c r="BW6" s="50" t="n">
        <f aca="false">SUMIF($CB$4:$JS$4,BW$4,$CB6:$JS6)</f>
        <v>0</v>
      </c>
      <c r="BX6" s="50" t="n">
        <f aca="false">SUMIF($CB$4:$JS$4,"&gt;"&amp;'VALOR POR PL'!$P$8,$CB6:$JS6)</f>
        <v>0</v>
      </c>
      <c r="BY6" s="50" t="n">
        <f aca="false">SUM($CB6:$JS6)</f>
        <v>241135.16</v>
      </c>
      <c r="BZ6" s="45" t="n">
        <f aca="false">SUMPRODUCT(($CB$4:$JS$4&lt;&gt;"")*($CB$4:$JS$4&lt;=$D$4),$CB6:$JS6,$CB$1:$JS$1)</f>
        <v>0</v>
      </c>
      <c r="CB6" s="133" t="n">
        <f aca="false">IF(OR(CB$4="",$B6=""),0,SUMIF('DADOS BRUTOS'!$A$3:$A$500,$B6,'DADOS BRUTOS'!B$3:B$500)+IF($C6="",0,SUMIF('DADOS BRUTOS'!$A$3:$A$500,$C6,'DADOS BRUTOS'!B$3:B$500)))</f>
        <v>0</v>
      </c>
      <c r="CC6" s="133" t="n">
        <f aca="false">IF(OR(CC$4="",$B6=""),0,SUMIF('DADOS BRUTOS'!$A$3:$A$500,$B6,'DADOS BRUTOS'!C$3:C$500)+IF($C6="",0,SUMIF('DADOS BRUTOS'!$A$3:$A$500,$C6,'DADOS BRUTOS'!C$3:C$500)))</f>
        <v>0</v>
      </c>
      <c r="CD6" s="133" t="n">
        <f aca="false">IF(OR(CD$4="",$B6=""),0,SUMIF('DADOS BRUTOS'!$A$3:$A$500,$B6,'DADOS BRUTOS'!D$3:D$500)+IF($C6="",0,SUMIF('DADOS BRUTOS'!$A$3:$A$500,$C6,'DADOS BRUTOS'!D$3:D$500)))</f>
        <v>0</v>
      </c>
      <c r="CE6" s="133" t="n">
        <f aca="false">IF(OR(CE$4="",$B6=""),0,SUMIF('DADOS BRUTOS'!$A$3:$A$500,$B6,'DADOS BRUTOS'!E$3:E$500)+IF($C6="",0,SUMIF('DADOS BRUTOS'!$A$3:$A$500,$C6,'DADOS BRUTOS'!E$3:E$500)))</f>
        <v>0</v>
      </c>
      <c r="CF6" s="133" t="n">
        <f aca="false">IF(OR(CF$4="",$B6=""),0,SUMIF('DADOS BRUTOS'!$A$3:$A$500,$B6,'DADOS BRUTOS'!F$3:F$500)+IF($C6="",0,SUMIF('DADOS BRUTOS'!$A$3:$A$500,$C6,'DADOS BRUTOS'!F$3:F$500)))</f>
        <v>0</v>
      </c>
      <c r="CG6" s="133" t="n">
        <f aca="false">IF(OR(CG$4="",$B6=""),0,SUMIF('DADOS BRUTOS'!$A$3:$A$500,$B6,'DADOS BRUTOS'!G$3:G$500)+IF($C6="",0,SUMIF('DADOS BRUTOS'!$A$3:$A$500,$C6,'DADOS BRUTOS'!G$3:G$500)))</f>
        <v>0</v>
      </c>
      <c r="CH6" s="133" t="n">
        <f aca="false">IF(OR(CH$4="",$B6=""),0,SUMIF('DADOS BRUTOS'!$A$3:$A$500,$B6,'DADOS BRUTOS'!H$3:H$500)+IF($C6="",0,SUMIF('DADOS BRUTOS'!$A$3:$A$500,$C6,'DADOS BRUTOS'!H$3:H$500)))</f>
        <v>0</v>
      </c>
      <c r="CI6" s="133" t="n">
        <f aca="false">IF(OR(CI$4="",$B6=""),0,SUMIF('DADOS BRUTOS'!$A$3:$A$500,$B6,'DADOS BRUTOS'!I$3:I$500)+IF($C6="",0,SUMIF('DADOS BRUTOS'!$A$3:$A$500,$C6,'DADOS BRUTOS'!I$3:I$500)))</f>
        <v>0</v>
      </c>
      <c r="CJ6" s="133" t="n">
        <f aca="false">IF(OR(CJ$4="",$B6=""),0,SUMIF('DADOS BRUTOS'!$A$3:$A$500,$B6,'DADOS BRUTOS'!J$3:J$500)+IF($C6="",0,SUMIF('DADOS BRUTOS'!$A$3:$A$500,$C6,'DADOS BRUTOS'!J$3:J$500)))</f>
        <v>0</v>
      </c>
      <c r="CK6" s="133" t="n">
        <f aca="false">IF(OR(CK$4="",$B6=""),0,SUMIF('DADOS BRUTOS'!$A$3:$A$500,$B6,'DADOS BRUTOS'!K$3:K$500)+IF($C6="",0,SUMIF('DADOS BRUTOS'!$A$3:$A$500,$C6,'DADOS BRUTOS'!K$3:K$500)))</f>
        <v>0</v>
      </c>
      <c r="CL6" s="133" t="n">
        <f aca="false">IF(OR(CL$4="",$B6=""),0,SUMIF('DADOS BRUTOS'!$A$3:$A$500,$B6,'DADOS BRUTOS'!L$3:L$500)+IF($C6="",0,SUMIF('DADOS BRUTOS'!$A$3:$A$500,$C6,'DADOS BRUTOS'!L$3:L$500)))</f>
        <v>0</v>
      </c>
      <c r="CM6" s="133" t="n">
        <f aca="false">IF(OR(CM$4="",$B6=""),0,SUMIF('DADOS BRUTOS'!$A$3:$A$500,$B6,'DADOS BRUTOS'!M$3:M$500)+IF($C6="",0,SUMIF('DADOS BRUTOS'!$A$3:$A$500,$C6,'DADOS BRUTOS'!M$3:M$500)))</f>
        <v>0</v>
      </c>
      <c r="CN6" s="133" t="n">
        <f aca="false">IF(OR(CN$4="",$B6=""),0,SUMIF('DADOS BRUTOS'!$A$3:$A$500,$B6,'DADOS BRUTOS'!N$3:N$500)+IF($C6="",0,SUMIF('DADOS BRUTOS'!$A$3:$A$500,$C6,'DADOS BRUTOS'!N$3:N$500)))</f>
        <v>0</v>
      </c>
      <c r="CO6" s="133" t="n">
        <f aca="false">IF(OR(CO$4="",$B6=""),0,SUMIF('DADOS BRUTOS'!$A$3:$A$500,$B6,'DADOS BRUTOS'!O$3:O$500)+IF($C6="",0,SUMIF('DADOS BRUTOS'!$A$3:$A$500,$C6,'DADOS BRUTOS'!O$3:O$500)))</f>
        <v>0</v>
      </c>
      <c r="CP6" s="133" t="n">
        <f aca="false">IF(OR(CP$4="",$B6=""),0,SUMIF('DADOS BRUTOS'!$A$3:$A$500,$B6,'DADOS BRUTOS'!P$3:P$500)+IF($C6="",0,SUMIF('DADOS BRUTOS'!$A$3:$A$500,$C6,'DADOS BRUTOS'!P$3:P$500)))</f>
        <v>0</v>
      </c>
      <c r="CQ6" s="133" t="n">
        <f aca="false">IF(OR(CQ$4="",$B6=""),0,SUMIF('DADOS BRUTOS'!$A$3:$A$500,$B6,'DADOS BRUTOS'!Q$3:Q$500)+IF($C6="",0,SUMIF('DADOS BRUTOS'!$A$3:$A$500,$C6,'DADOS BRUTOS'!Q$3:Q$500)))</f>
        <v>0</v>
      </c>
      <c r="CR6" s="133" t="n">
        <f aca="false">IF(OR(CR$4="",$B6=""),0,SUMIF('DADOS BRUTOS'!$A$3:$A$500,$B6,'DADOS BRUTOS'!R$3:R$500)+IF($C6="",0,SUMIF('DADOS BRUTOS'!$A$3:$A$500,$C6,'DADOS BRUTOS'!R$3:R$500)))</f>
        <v>0</v>
      </c>
      <c r="CS6" s="133" t="n">
        <f aca="false">IF(OR(CS$4="",$B6=""),0,SUMIF('DADOS BRUTOS'!$A$3:$A$500,$B6,'DADOS BRUTOS'!S$3:S$500)+IF($C6="",0,SUMIF('DADOS BRUTOS'!$A$3:$A$500,$C6,'DADOS BRUTOS'!S$3:S$500)))</f>
        <v>0</v>
      </c>
      <c r="CT6" s="133" t="n">
        <f aca="false">IF(OR(CT$4="",$B6=""),0,SUMIF('DADOS BRUTOS'!$A$3:$A$500,$B6,'DADOS BRUTOS'!T$3:T$500)+IF($C6="",0,SUMIF('DADOS BRUTOS'!$A$3:$A$500,$C6,'DADOS BRUTOS'!T$3:T$500)))</f>
        <v>0</v>
      </c>
      <c r="CU6" s="133" t="n">
        <f aca="false">IF(OR(CU$4="",$B6=""),0,SUMIF('DADOS BRUTOS'!$A$3:$A$500,$B6,'DADOS BRUTOS'!U$3:U$500)+IF($C6="",0,SUMIF('DADOS BRUTOS'!$A$3:$A$500,$C6,'DADOS BRUTOS'!U$3:U$500)))</f>
        <v>0</v>
      </c>
      <c r="CV6" s="133" t="n">
        <f aca="false">IF(OR(CV$4="",$B6=""),0,SUMIF('DADOS BRUTOS'!$A$3:$A$500,$B6,'DADOS BRUTOS'!V$3:V$500)+IF($C6="",0,SUMIF('DADOS BRUTOS'!$A$3:$A$500,$C6,'DADOS BRUTOS'!V$3:V$500)))</f>
        <v>0</v>
      </c>
      <c r="CW6" s="133" t="n">
        <f aca="false">IF(OR(CW$4="",$B6=""),0,SUMIF('DADOS BRUTOS'!$A$3:$A$500,$B6,'DADOS BRUTOS'!W$3:W$500)+IF($C6="",0,SUMIF('DADOS BRUTOS'!$A$3:$A$500,$C6,'DADOS BRUTOS'!W$3:W$500)))</f>
        <v>29594.38</v>
      </c>
      <c r="CX6" s="133" t="n">
        <f aca="false">IF(OR(CX$4="",$B6=""),0,SUMIF('DADOS BRUTOS'!$A$3:$A$500,$B6,'DADOS BRUTOS'!X$3:X$500)+IF($C6="",0,SUMIF('DADOS BRUTOS'!$A$3:$A$500,$C6,'DADOS BRUTOS'!X$3:X$500)))</f>
        <v>15763.13</v>
      </c>
      <c r="CY6" s="133" t="n">
        <f aca="false">IF(OR(CY$4="",$B6=""),0,SUMIF('DADOS BRUTOS'!$A$3:$A$500,$B6,'DADOS BRUTOS'!Y$3:Y$500)+IF($C6="",0,SUMIF('DADOS BRUTOS'!$A$3:$A$500,$C6,'DADOS BRUTOS'!Y$3:Y$500)))</f>
        <v>1931.88</v>
      </c>
      <c r="CZ6" s="133" t="n">
        <f aca="false">IF(OR(CZ$4="",$B6=""),0,SUMIF('DADOS BRUTOS'!$A$3:$A$500,$B6,'DADOS BRUTOS'!Z$3:Z$500)+IF($C6="",0,SUMIF('DADOS BRUTOS'!$A$3:$A$500,$C6,'DADOS BRUTOS'!Z$3:Z$500)))</f>
        <v>29895.53</v>
      </c>
      <c r="DA6" s="133" t="n">
        <f aca="false">IF(OR(DA$4="",$B6=""),0,SUMIF('DADOS BRUTOS'!$A$3:$A$500,$B6,'DADOS BRUTOS'!AA$3:AA$500)+IF($C6="",0,SUMIF('DADOS BRUTOS'!$A$3:$A$500,$C6,'DADOS BRUTOS'!AA$3:AA$500)))</f>
        <v>16064.28</v>
      </c>
      <c r="DB6" s="133" t="n">
        <f aca="false">IF(OR(DB$4="",$B6=""),0,SUMIF('DADOS BRUTOS'!$A$3:$A$500,$B6,'DADOS BRUTOS'!AB$3:AB$500)+IF($C6="",0,SUMIF('DADOS BRUTOS'!$A$3:$A$500,$C6,'DADOS BRUTOS'!AB$3:AB$500)))</f>
        <v>2233.03</v>
      </c>
      <c r="DC6" s="133" t="n">
        <f aca="false">IF(OR(DC$4="",$B6=""),0,SUMIF('DADOS BRUTOS'!$A$3:$A$500,$B6,'DADOS BRUTOS'!AC$3:AC$500)+IF($C6="",0,SUMIF('DADOS BRUTOS'!$A$3:$A$500,$C6,'DADOS BRUTOS'!AC$3:AC$500)))</f>
        <v>29895.47</v>
      </c>
      <c r="DD6" s="133" t="n">
        <f aca="false">IF(OR(DD$4="",$B6=""),0,SUMIF('DADOS BRUTOS'!$A$3:$A$500,$B6,'DADOS BRUTOS'!AD$3:AD$500)+IF($C6="",0,SUMIF('DADOS BRUTOS'!$A$3:$A$500,$C6,'DADOS BRUTOS'!AD$3:AD$500)))</f>
        <v>2232.98</v>
      </c>
      <c r="DE6" s="133" t="n">
        <f aca="false">IF(OR(DE$4="",$B6=""),0,SUMIF('DADOS BRUTOS'!$A$3:$A$500,$B6,'DADOS BRUTOS'!AE$3:AE$500)+IF($C6="",0,SUMIF('DADOS BRUTOS'!$A$3:$A$500,$C6,'DADOS BRUTOS'!AE$3:AE$500)))</f>
        <v>301.15</v>
      </c>
      <c r="DF6" s="133" t="n">
        <f aca="false">IF(OR(DF$4="",$B6=""),0,SUMIF('DADOS BRUTOS'!$A$3:$A$500,$B6,'DADOS BRUTOS'!AF$3:AF$500)+IF($C6="",0,SUMIF('DADOS BRUTOS'!$A$3:$A$500,$C6,'DADOS BRUTOS'!AF$3:AF$500)))</f>
        <v>0</v>
      </c>
      <c r="DG6" s="133" t="n">
        <f aca="false">IF(OR(DG$4="",$B6=""),0,SUMIF('DADOS BRUTOS'!$A$3:$A$500,$B6,'DADOS BRUTOS'!AG$3:AG$500)+IF($C6="",0,SUMIF('DADOS BRUTOS'!$A$3:$A$500,$C6,'DADOS BRUTOS'!AG$3:AG$500)))</f>
        <v>0</v>
      </c>
      <c r="DH6" s="133" t="n">
        <f aca="false">IF(OR(DH$4="",$B6=""),0,SUMIF('DADOS BRUTOS'!$A$3:$A$500,$B6,'DADOS BRUTOS'!AH$3:AH$500)+IF($C6="",0,SUMIF('DADOS BRUTOS'!$A$3:$A$500,$C6,'DADOS BRUTOS'!AH$3:AH$500)))</f>
        <v>0</v>
      </c>
      <c r="DI6" s="133" t="n">
        <f aca="false">IF(OR(DI$4="",$B6=""),0,SUMIF('DADOS BRUTOS'!$A$3:$A$500,$B6,'DADOS BRUTOS'!AI$3:AI$500)+IF($C6="",0,SUMIF('DADOS BRUTOS'!$A$3:$A$500,$C6,'DADOS BRUTOS'!AI$3:AI$500)))</f>
        <v>0</v>
      </c>
      <c r="DJ6" s="133" t="n">
        <f aca="false">IF(OR(DJ$4="",$B6=""),0,SUMIF('DADOS BRUTOS'!$A$3:$A$500,$B6,'DADOS BRUTOS'!AJ$3:AJ$500)+IF($C6="",0,SUMIF('DADOS BRUTOS'!$A$3:$A$500,$C6,'DADOS BRUTOS'!AJ$3:AJ$500)))</f>
        <v>18870.38</v>
      </c>
      <c r="DK6" s="133" t="n">
        <f aca="false">IF(OR(DK$4="",$B6=""),0,SUMIF('DADOS BRUTOS'!$A$3:$A$500,$B6,'DADOS BRUTOS'!AK$3:AK$500)+IF($C6="",0,SUMIF('DADOS BRUTOS'!$A$3:$A$500,$C6,'DADOS BRUTOS'!AK$3:AK$500)))</f>
        <v>18870.38</v>
      </c>
      <c r="DL6" s="133" t="n">
        <f aca="false">IF(OR(DL$4="",$B6=""),0,SUMIF('DADOS BRUTOS'!$A$3:$A$500,$B6,'DADOS BRUTOS'!AL$3:AL$500)+IF($C6="",0,SUMIF('DADOS BRUTOS'!$A$3:$A$500,$C6,'DADOS BRUTOS'!AL$3:AL$500)))</f>
        <v>18870.38</v>
      </c>
      <c r="DM6" s="133" t="n">
        <f aca="false">IF(OR(DM$4="",$B6=""),0,SUMIF('DADOS BRUTOS'!$A$3:$A$500,$B6,'DADOS BRUTOS'!AM$3:AM$500)+IF($C6="",0,SUMIF('DADOS BRUTOS'!$A$3:$A$500,$C6,'DADOS BRUTOS'!AM$3:AM$500)))</f>
        <v>18870.38</v>
      </c>
      <c r="DN6" s="133" t="n">
        <f aca="false">IF(OR(DN$4="",$B6=""),0,SUMIF('DADOS BRUTOS'!$A$3:$A$500,$B6,'DADOS BRUTOS'!AN$3:AN$500)+IF($C6="",0,SUMIF('DADOS BRUTOS'!$A$3:$A$500,$C6,'DADOS BRUTOS'!AN$3:AN$500)))</f>
        <v>18870.38</v>
      </c>
      <c r="DO6" s="133" t="n">
        <f aca="false">IF(OR(DO$4="",$B6=""),0,SUMIF('DADOS BRUTOS'!$A$3:$A$500,$B6,'DADOS BRUTOS'!AO$3:AO$500)+IF($C6="",0,SUMIF('DADOS BRUTOS'!$A$3:$A$500,$C6,'DADOS BRUTOS'!AO$3:AO$500)))</f>
        <v>18871.43</v>
      </c>
      <c r="DP6" s="133" t="n">
        <f aca="false">IF(OR(DP$4="",$B6=""),0,SUMIF('DADOS BRUTOS'!$A$3:$A$500,$B6,'DADOS BRUTOS'!AP$3:AP$500)+IF($C6="",0,SUMIF('DADOS BRUTOS'!$A$3:$A$500,$C6,'DADOS BRUTOS'!AP$3:AP$500)))</f>
        <v>0</v>
      </c>
      <c r="DQ6" s="133" t="n">
        <f aca="false">IF(OR(DQ$4="",$B6=""),0,SUMIF('DADOS BRUTOS'!$A$3:$A$500,$B6,'DADOS BRUTOS'!AQ$3:AQ$500)+IF($C6="",0,SUMIF('DADOS BRUTOS'!$A$3:$A$500,$C6,'DADOS BRUTOS'!AQ$3:AQ$500)))</f>
        <v>0</v>
      </c>
      <c r="DR6" s="133" t="n">
        <f aca="false">IF(OR(DR$4="",$B6=""),0,SUMIF('DADOS BRUTOS'!$A$3:$A$500,$B6,'DADOS BRUTOS'!AR$3:AR$500)+IF($C6="",0,SUMIF('DADOS BRUTOS'!$A$3:$A$500,$C6,'DADOS BRUTOS'!AR$3:AR$500)))</f>
        <v>0</v>
      </c>
      <c r="DS6" s="133" t="n">
        <f aca="false">IF(OR(DS$4="",$B6=""),0,SUMIF('DADOS BRUTOS'!$A$3:$A$500,$B6,'DADOS BRUTOS'!AS$3:AS$500)+IF($C6="",0,SUMIF('DADOS BRUTOS'!$A$3:$A$500,$C6,'DADOS BRUTOS'!AS$3:AS$500)))</f>
        <v>0</v>
      </c>
      <c r="DT6" s="133" t="n">
        <f aca="false">IF(OR(DT$4="",$B6=""),0,SUMIF('DADOS BRUTOS'!$A$3:$A$500,$B6,'DADOS BRUTOS'!AT$3:AT$500)+IF($C6="",0,SUMIF('DADOS BRUTOS'!$A$3:$A$500,$C6,'DADOS BRUTOS'!AT$3:AT$500)))</f>
        <v>0</v>
      </c>
      <c r="DU6" s="133" t="n">
        <f aca="false">IF(OR(DU$4="",$B6=""),0,SUMIF('DADOS BRUTOS'!$A$3:$A$500,$B6,'DADOS BRUTOS'!AU$3:AU$500)+IF($C6="",0,SUMIF('DADOS BRUTOS'!$A$3:$A$500,$C6,'DADOS BRUTOS'!AU$3:AU$500)))</f>
        <v>0</v>
      </c>
      <c r="DV6" s="133" t="n">
        <f aca="false">IF(OR(DV$4="",$B6=""),0,SUMIF('DADOS BRUTOS'!$A$3:$A$500,$B6,'DADOS BRUTOS'!AV$3:AV$500)+IF($C6="",0,SUMIF('DADOS BRUTOS'!$A$3:$A$500,$C6,'DADOS BRUTOS'!AV$3:AV$500)))</f>
        <v>0</v>
      </c>
      <c r="DW6" s="133" t="n">
        <f aca="false">IF(OR(DW$4="",$B6=""),0,SUMIF('DADOS BRUTOS'!$A$3:$A$500,$B6,'DADOS BRUTOS'!AW$3:AW$500)+IF($C6="",0,SUMIF('DADOS BRUTOS'!$A$3:$A$500,$C6,'DADOS BRUTOS'!AW$3:AW$500)))</f>
        <v>0</v>
      </c>
      <c r="DX6" s="133" t="n">
        <f aca="false">IF(OR(DX$4="",$B6=""),0,SUMIF('DADOS BRUTOS'!$A$3:$A$500,$B6,'DADOS BRUTOS'!AX$3:AX$500)+IF($C6="",0,SUMIF('DADOS BRUTOS'!$A$3:$A$500,$C6,'DADOS BRUTOS'!AX$3:AX$500)))</f>
        <v>0</v>
      </c>
      <c r="DY6" s="133" t="n">
        <f aca="false">IF(OR(DY$4="",$B6=""),0,SUMIF('DADOS BRUTOS'!$A$3:$A$500,$B6,'DADOS BRUTOS'!AY$3:AY$500)+IF($C6="",0,SUMIF('DADOS BRUTOS'!$A$3:$A$500,$C6,'DADOS BRUTOS'!AY$3:AY$500)))</f>
        <v>0</v>
      </c>
      <c r="DZ6" s="133" t="n">
        <f aca="false">IF(OR(DZ$4="",$B6=""),0,SUMIF('DADOS BRUTOS'!$A$3:$A$500,$B6,'DADOS BRUTOS'!AZ$3:AZ$500)+IF($C6="",0,SUMIF('DADOS BRUTOS'!$A$3:$A$500,$C6,'DADOS BRUTOS'!AZ$3:AZ$500)))</f>
        <v>0</v>
      </c>
      <c r="EA6" s="133" t="n">
        <f aca="false">IF(OR(EA$4="",$B6=""),0,SUMIF('DADOS BRUTOS'!$A$3:$A$500,$B6,'DADOS BRUTOS'!BA$3:BA$500)+IF($C6="",0,SUMIF('DADOS BRUTOS'!$A$3:$A$500,$C6,'DADOS BRUTOS'!BA$3:BA$500)))</f>
        <v>0</v>
      </c>
      <c r="EB6" s="133" t="n">
        <f aca="false">IF(OR(EB$4="",$B6=""),0,SUMIF('DADOS BRUTOS'!$A$3:$A$500,$B6,'DADOS BRUTOS'!BB$3:BB$500)+IF($C6="",0,SUMIF('DADOS BRUTOS'!$A$3:$A$500,$C6,'DADOS BRUTOS'!BB$3:BB$500)))</f>
        <v>0</v>
      </c>
      <c r="EC6" s="133" t="n">
        <f aca="false">IF(OR(EC$4="",$B6=""),0,SUMIF('DADOS BRUTOS'!$A$3:$A$500,$B6,'DADOS BRUTOS'!BC$3:BC$500)+IF($C6="",0,SUMIF('DADOS BRUTOS'!$A$3:$A$500,$C6,'DADOS BRUTOS'!BC$3:BC$500)))</f>
        <v>0</v>
      </c>
      <c r="ED6" s="133" t="n">
        <f aca="false">IF(OR(ED$4="",$B6=""),0,SUMIF('DADOS BRUTOS'!$A$3:$A$500,$B6,'DADOS BRUTOS'!BD$3:BD$500)+IF($C6="",0,SUMIF('DADOS BRUTOS'!$A$3:$A$500,$C6,'DADOS BRUTOS'!BD$3:BD$500)))</f>
        <v>0</v>
      </c>
      <c r="EE6" s="133" t="n">
        <f aca="false">IF(OR(EE$4="",$B6=""),0,SUMIF('DADOS BRUTOS'!$A$3:$A$500,$B6,'DADOS BRUTOS'!BE$3:BE$500)+IF($C6="",0,SUMIF('DADOS BRUTOS'!$A$3:$A$500,$C6,'DADOS BRUTOS'!BE$3:BE$500)))</f>
        <v>0</v>
      </c>
      <c r="EF6" s="133" t="n">
        <f aca="false">IF(OR(EF$4="",$B6=""),0,SUMIF('DADOS BRUTOS'!$A$3:$A$500,$B6,'DADOS BRUTOS'!BF$3:BF$500)+IF($C6="",0,SUMIF('DADOS BRUTOS'!$A$3:$A$500,$C6,'DADOS BRUTOS'!BF$3:BF$500)))</f>
        <v>0</v>
      </c>
      <c r="EG6" s="133" t="n">
        <f aca="false">IF(OR(EG$4="",$B6=""),0,SUMIF('DADOS BRUTOS'!$A$3:$A$500,$B6,'DADOS BRUTOS'!BG$3:BG$500)+IF($C6="",0,SUMIF('DADOS BRUTOS'!$A$3:$A$500,$C6,'DADOS BRUTOS'!BG$3:BG$500)))</f>
        <v>0</v>
      </c>
      <c r="EH6" s="133" t="n">
        <f aca="false">IF(OR(EH$4="",$B6=""),0,SUMIF('DADOS BRUTOS'!$A$3:$A$500,$B6,'DADOS BRUTOS'!BH$3:BH$500)+IF($C6="",0,SUMIF('DADOS BRUTOS'!$A$3:$A$500,$C6,'DADOS BRUTOS'!BH$3:BH$500)))</f>
        <v>0</v>
      </c>
      <c r="EI6" s="133" t="n">
        <f aca="false">IF(OR(EI$4="",$B6=""),0,SUMIF('DADOS BRUTOS'!$A$3:$A$500,$B6,'DADOS BRUTOS'!BI$3:BI$500)+IF($C6="",0,SUMIF('DADOS BRUTOS'!$A$3:$A$500,$C6,'DADOS BRUTOS'!BI$3:BI$500)))</f>
        <v>0</v>
      </c>
      <c r="EJ6" s="133" t="n">
        <f aca="false">IF(OR(EJ$4="",$B6=""),0,SUMIF('DADOS BRUTOS'!$A$3:$A$500,$B6,'DADOS BRUTOS'!BJ$3:BJ$500)+IF($C6="",0,SUMIF('DADOS BRUTOS'!$A$3:$A$500,$C6,'DADOS BRUTOS'!BJ$3:BJ$500)))</f>
        <v>0</v>
      </c>
      <c r="EK6" s="133" t="n">
        <f aca="false">IF(OR(EK$4="",$B6=""),0,SUMIF('DADOS BRUTOS'!$A$3:$A$500,$B6,'DADOS BRUTOS'!BK$3:BK$500)+IF($C6="",0,SUMIF('DADOS BRUTOS'!$A$3:$A$500,$C6,'DADOS BRUTOS'!BK$3:BK$500)))</f>
        <v>0</v>
      </c>
      <c r="EL6" s="133" t="n">
        <f aca="false">IF(OR(EL$4="",$B6=""),0,SUMIF('DADOS BRUTOS'!$A$3:$A$500,$B6,'DADOS BRUTOS'!BL$3:BL$500)+IF($C6="",0,SUMIF('DADOS BRUTOS'!$A$3:$A$500,$C6,'DADOS BRUTOS'!BL$3:BL$500)))</f>
        <v>0</v>
      </c>
      <c r="EM6" s="133" t="n">
        <f aca="false">IF(OR(EM$4="",$B6=""),0,SUMIF('DADOS BRUTOS'!$A$3:$A$500,$B6,'DADOS BRUTOS'!BM$3:BM$500)+IF($C6="",0,SUMIF('DADOS BRUTOS'!$A$3:$A$500,$C6,'DADOS BRUTOS'!BM$3:BM$500)))</f>
        <v>0</v>
      </c>
      <c r="EN6" s="133" t="n">
        <f aca="false">IF(OR(EN$4="",$B6=""),0,SUMIF('DADOS BRUTOS'!$A$3:$A$500,$B6,'DADOS BRUTOS'!BN$3:BN$500)+IF($C6="",0,SUMIF('DADOS BRUTOS'!$A$3:$A$500,$C6,'DADOS BRUTOS'!BN$3:BN$500)))</f>
        <v>0</v>
      </c>
      <c r="EO6" s="133" t="n">
        <f aca="false">IF(OR(EO$4="",$B6=""),0,SUMIF('DADOS BRUTOS'!$A$3:$A$500,$B6,'DADOS BRUTOS'!BO$3:BO$500)+IF($C6="",0,SUMIF('DADOS BRUTOS'!$A$3:$A$500,$C6,'DADOS BRUTOS'!BO$3:BO$500)))</f>
        <v>0</v>
      </c>
      <c r="EP6" s="133" t="n">
        <f aca="false">IF(OR(EP$4="",$B6=""),0,SUMIF('DADOS BRUTOS'!$A$3:$A$500,$B6,'DADOS BRUTOS'!BP$3:BP$500)+IF($C6="",0,SUMIF('DADOS BRUTOS'!$A$3:$A$500,$C6,'DADOS BRUTOS'!BP$3:BP$500)))</f>
        <v>0</v>
      </c>
      <c r="EQ6" s="133" t="n">
        <f aca="false">IF(OR(EQ$4="",$B6=""),0,SUMIF('DADOS BRUTOS'!$A$3:$A$500,$B6,'DADOS BRUTOS'!BQ$3:BQ$500)+IF($C6="",0,SUMIF('DADOS BRUTOS'!$A$3:$A$500,$C6,'DADOS BRUTOS'!BQ$3:BQ$500)))</f>
        <v>0</v>
      </c>
      <c r="ER6" s="133" t="n">
        <f aca="false">IF(OR(ER$4="",$B6=""),0,SUMIF('DADOS BRUTOS'!$A$3:$A$500,$B6,'DADOS BRUTOS'!BR$3:BR$500)+IF($C6="",0,SUMIF('DADOS BRUTOS'!$A$3:$A$500,$C6,'DADOS BRUTOS'!BR$3:BR$500)))</f>
        <v>0</v>
      </c>
      <c r="ES6" s="133" t="n">
        <f aca="false">IF(OR(ES$4="",$B6=""),0,SUMIF('DADOS BRUTOS'!$A$3:$A$500,$B6,'DADOS BRUTOS'!BS$3:BS$500)+IF($C6="",0,SUMIF('DADOS BRUTOS'!$A$3:$A$500,$C6,'DADOS BRUTOS'!BS$3:BS$500)))</f>
        <v>0</v>
      </c>
      <c r="ET6" s="133" t="n">
        <f aca="false">IF(OR(ET$4="",$B6=""),0,SUMIF('DADOS BRUTOS'!$A$3:$A$500,$B6,'DADOS BRUTOS'!BT$3:BT$500)+IF($C6="",0,SUMIF('DADOS BRUTOS'!$A$3:$A$500,$C6,'DADOS BRUTOS'!BT$3:BT$500)))</f>
        <v>0</v>
      </c>
      <c r="EU6" s="133" t="n">
        <f aca="false">IF(OR(EU$4="",$B6=""),0,SUMIF('DADOS BRUTOS'!$A$3:$A$500,$B6,'DADOS BRUTOS'!BU$3:BU$500)+IF($C6="",0,SUMIF('DADOS BRUTOS'!$A$3:$A$500,$C6,'DADOS BRUTOS'!BU$3:BU$500)))</f>
        <v>0</v>
      </c>
      <c r="EV6" s="133" t="n">
        <f aca="false">IF(OR(EV$4="",$B6=""),0,SUMIF('DADOS BRUTOS'!$A$3:$A$500,$B6,'DADOS BRUTOS'!BV$3:BV$500)+IF($C6="",0,SUMIF('DADOS BRUTOS'!$A$3:$A$500,$C6,'DADOS BRUTOS'!BV$3:BV$500)))</f>
        <v>0</v>
      </c>
      <c r="EW6" s="133" t="n">
        <f aca="false">IF(OR(EW$4="",$B6=""),0,SUMIF('DADOS BRUTOS'!$A$3:$A$500,$B6,'DADOS BRUTOS'!BW$3:BW$500)+IF($C6="",0,SUMIF('DADOS BRUTOS'!$A$3:$A$500,$C6,'DADOS BRUTOS'!BW$3:BW$500)))</f>
        <v>0</v>
      </c>
      <c r="EX6" s="133" t="n">
        <f aca="false">IF(OR(EX$4="",$B6=""),0,SUMIF('DADOS BRUTOS'!$A$3:$A$500,$B6,'DADOS BRUTOS'!BX$3:BX$500)+IF($C6="",0,SUMIF('DADOS BRUTOS'!$A$3:$A$500,$C6,'DADOS BRUTOS'!BX$3:BX$500)))</f>
        <v>0</v>
      </c>
      <c r="EY6" s="133" t="n">
        <f aca="false">IF(OR(EY$4="",$B6=""),0,SUMIF('DADOS BRUTOS'!$A$3:$A$500,$B6,'DADOS BRUTOS'!BY$3:BY$500)+IF($C6="",0,SUMIF('DADOS BRUTOS'!$A$3:$A$500,$C6,'DADOS BRUTOS'!BY$3:BY$500)))</f>
        <v>0</v>
      </c>
      <c r="EZ6" s="133" t="n">
        <f aca="false">IF(OR(EZ$4="",$B6=""),0,SUMIF('DADOS BRUTOS'!$A$3:$A$500,$B6,'DADOS BRUTOS'!BZ$3:BZ$500)+IF($C6="",0,SUMIF('DADOS BRUTOS'!$A$3:$A$500,$C6,'DADOS BRUTOS'!BZ$3:BZ$500)))</f>
        <v>0</v>
      </c>
      <c r="FA6" s="133" t="n">
        <f aca="false">IF(OR(FA$4="",$B6=""),0,SUMIF('DADOS BRUTOS'!$A$3:$A$500,$B6,'DADOS BRUTOS'!CA$3:CA$500)+IF($C6="",0,SUMIF('DADOS BRUTOS'!$A$3:$A$500,$C6,'DADOS BRUTOS'!CA$3:CA$500)))</f>
        <v>0</v>
      </c>
      <c r="FB6" s="133" t="n">
        <f aca="false">IF(OR(FB$4="",$B6=""),0,SUMIF('DADOS BRUTOS'!$A$3:$A$500,$B6,'DADOS BRUTOS'!CB$3:CB$500)+IF($C6="",0,SUMIF('DADOS BRUTOS'!$A$3:$A$500,$C6,'DADOS BRUTOS'!CB$3:CB$500)))</f>
        <v>0</v>
      </c>
      <c r="FC6" s="133" t="n">
        <f aca="false">IF(OR(FC$4="",$B6=""),0,SUMIF('DADOS BRUTOS'!$A$3:$A$500,$B6,'DADOS BRUTOS'!CC$3:CC$500)+IF($C6="",0,SUMIF('DADOS BRUTOS'!$A$3:$A$500,$C6,'DADOS BRUTOS'!CC$3:CC$500)))</f>
        <v>0</v>
      </c>
      <c r="FD6" s="133" t="n">
        <f aca="false">IF(OR(FD$4="",$B6=""),0,SUMIF('DADOS BRUTOS'!$A$3:$A$500,$B6,'DADOS BRUTOS'!CD$3:CD$500)+IF($C6="",0,SUMIF('DADOS BRUTOS'!$A$3:$A$500,$C6,'DADOS BRUTOS'!CD$3:CD$500)))</f>
        <v>0</v>
      </c>
      <c r="FE6" s="133" t="n">
        <f aca="false">IF(OR(FE$4="",$B6=""),0,SUMIF('DADOS BRUTOS'!$A$3:$A$500,$B6,'DADOS BRUTOS'!CE$3:CE$500)+IF($C6="",0,SUMIF('DADOS BRUTOS'!$A$3:$A$500,$C6,'DADOS BRUTOS'!CE$3:CE$500)))</f>
        <v>0</v>
      </c>
      <c r="FF6" s="133" t="n">
        <f aca="false">IF(OR(FF$4="",$B6=""),0,SUMIF('DADOS BRUTOS'!$A$3:$A$500,$B6,'DADOS BRUTOS'!CF$3:CF$500)+IF($C6="",0,SUMIF('DADOS BRUTOS'!$A$3:$A$500,$C6,'DADOS BRUTOS'!CF$3:CF$500)))</f>
        <v>0</v>
      </c>
      <c r="FG6" s="133" t="n">
        <f aca="false">IF(OR(FG$4="",$B6=""),0,SUMIF('DADOS BRUTOS'!$A$3:$A$500,$B6,'DADOS BRUTOS'!CG$3:CG$500)+IF($C6="",0,SUMIF('DADOS BRUTOS'!$A$3:$A$500,$C6,'DADOS BRUTOS'!CG$3:CG$500)))</f>
        <v>0</v>
      </c>
      <c r="FH6" s="133" t="n">
        <f aca="false">IF(OR(FH$4="",$B6=""),0,SUMIF('DADOS BRUTOS'!$A$3:$A$500,$B6,'DADOS BRUTOS'!CH$3:CH$500)+IF($C6="",0,SUMIF('DADOS BRUTOS'!$A$3:$A$500,$C6,'DADOS BRUTOS'!CH$3:CH$500)))</f>
        <v>0</v>
      </c>
      <c r="FI6" s="133" t="n">
        <f aca="false">IF(OR(FI$4="",$B6=""),0,SUMIF('DADOS BRUTOS'!$A$3:$A$500,$B6,'DADOS BRUTOS'!CI$3:CI$500)+IF($C6="",0,SUMIF('DADOS BRUTOS'!$A$3:$A$500,$C6,'DADOS BRUTOS'!CI$3:CI$500)))</f>
        <v>0</v>
      </c>
      <c r="FJ6" s="133" t="n">
        <f aca="false">IF(OR(FJ$4="",$B6=""),0,SUMIF('DADOS BRUTOS'!$A$3:$A$500,$B6,'DADOS BRUTOS'!CJ$3:CJ$500)+IF($C6="",0,SUMIF('DADOS BRUTOS'!$A$3:$A$500,$C6,'DADOS BRUTOS'!CJ$3:CJ$500)))</f>
        <v>0</v>
      </c>
      <c r="FK6" s="133" t="n">
        <f aca="false">IF(OR(FK$4="",$B6=""),0,SUMIF('DADOS BRUTOS'!$A$3:$A$500,$B6,'DADOS BRUTOS'!CK$3:CK$500)+IF($C6="",0,SUMIF('DADOS BRUTOS'!$A$3:$A$500,$C6,'DADOS BRUTOS'!CK$3:CK$500)))</f>
        <v>0</v>
      </c>
      <c r="FL6" s="133" t="n">
        <f aca="false">IF(OR(FL$4="",$B6=""),0,SUMIF('DADOS BRUTOS'!$A$3:$A$500,$B6,'DADOS BRUTOS'!CL$3:CL$500)+IF($C6="",0,SUMIF('DADOS BRUTOS'!$A$3:$A$500,$C6,'DADOS BRUTOS'!CL$3:CL$500)))</f>
        <v>0</v>
      </c>
      <c r="FM6" s="133" t="n">
        <f aca="false">IF(OR(FM$4="",$B6=""),0,SUMIF('DADOS BRUTOS'!$A$3:$A$500,$B6,'DADOS BRUTOS'!CM$3:CM$500)+IF($C6="",0,SUMIF('DADOS BRUTOS'!$A$3:$A$500,$C6,'DADOS BRUTOS'!CM$3:CM$500)))</f>
        <v>0</v>
      </c>
      <c r="FN6" s="133" t="n">
        <f aca="false">IF(OR(FN$4="",$B6=""),0,SUMIF('DADOS BRUTOS'!$A$3:$A$500,$B6,'DADOS BRUTOS'!CN$3:CN$500)+IF($C6="",0,SUMIF('DADOS BRUTOS'!$A$3:$A$500,$C6,'DADOS BRUTOS'!CN$3:CN$500)))</f>
        <v>0</v>
      </c>
      <c r="FO6" s="133" t="n">
        <f aca="false">IF(OR(FO$4="",$B6=""),0,SUMIF('DADOS BRUTOS'!$A$3:$A$500,$B6,'DADOS BRUTOS'!CO$3:CO$500)+IF($C6="",0,SUMIF('DADOS BRUTOS'!$A$3:$A$500,$C6,'DADOS BRUTOS'!CO$3:CO$500)))</f>
        <v>0</v>
      </c>
      <c r="FP6" s="133" t="n">
        <f aca="false">IF(OR(FP$4="",$B6=""),0,SUMIF('DADOS BRUTOS'!$A$3:$A$500,$B6,'DADOS BRUTOS'!CP$3:CP$500)+IF($C6="",0,SUMIF('DADOS BRUTOS'!$A$3:$A$500,$C6,'DADOS BRUTOS'!CP$3:CP$500)))</f>
        <v>0</v>
      </c>
      <c r="FQ6" s="133" t="n">
        <f aca="false">IF(OR(FQ$4="",$B6=""),0,SUMIF('DADOS BRUTOS'!$A$3:$A$500,$B6,'DADOS BRUTOS'!CQ$3:CQ$500)+IF($C6="",0,SUMIF('DADOS BRUTOS'!$A$3:$A$500,$C6,'DADOS BRUTOS'!CQ$3:CQ$500)))</f>
        <v>0</v>
      </c>
      <c r="FR6" s="133" t="n">
        <f aca="false">IF(OR(FR$4="",$B6=""),0,SUMIF('DADOS BRUTOS'!$A$3:$A$500,$B6,'DADOS BRUTOS'!CR$3:CR$500)+IF($C6="",0,SUMIF('DADOS BRUTOS'!$A$3:$A$500,$C6,'DADOS BRUTOS'!CR$3:CR$500)))</f>
        <v>0</v>
      </c>
      <c r="FS6" s="133" t="n">
        <f aca="false">IF(OR(FS$4="",$B6=""),0,SUMIF('DADOS BRUTOS'!$A$3:$A$500,$B6,'DADOS BRUTOS'!CS$3:CS$500)+IF($C6="",0,SUMIF('DADOS BRUTOS'!$A$3:$A$500,$C6,'DADOS BRUTOS'!CS$3:CS$500)))</f>
        <v>0</v>
      </c>
      <c r="FT6" s="133" t="n">
        <f aca="false">IF(OR(FT$4="",$B6=""),0,SUMIF('DADOS BRUTOS'!$A$3:$A$500,$B6,'DADOS BRUTOS'!CT$3:CT$500)+IF($C6="",0,SUMIF('DADOS BRUTOS'!$A$3:$A$500,$C6,'DADOS BRUTOS'!CT$3:CT$500)))</f>
        <v>0</v>
      </c>
      <c r="FU6" s="133" t="n">
        <f aca="false">IF(OR(FU$4="",$B6=""),0,SUMIF('DADOS BRUTOS'!$A$3:$A$500,$B6,'DADOS BRUTOS'!CU$3:CU$500)+IF($C6="",0,SUMIF('DADOS BRUTOS'!$A$3:$A$500,$C6,'DADOS BRUTOS'!CU$3:CU$500)))</f>
        <v>0</v>
      </c>
      <c r="FV6" s="133" t="n">
        <f aca="false">IF(OR(FV$4="",$B6=""),0,SUMIF('DADOS BRUTOS'!$A$3:$A$500,$B6,'DADOS BRUTOS'!CV$3:CV$500)+IF($C6="",0,SUMIF('DADOS BRUTOS'!$A$3:$A$500,$C6,'DADOS BRUTOS'!CV$3:CV$500)))</f>
        <v>0</v>
      </c>
      <c r="FW6" s="133" t="n">
        <f aca="false">IF(OR(FW$4="",$B6=""),0,SUMIF('DADOS BRUTOS'!$A$3:$A$500,$B6,'DADOS BRUTOS'!CW$3:CW$500)+IF($C6="",0,SUMIF('DADOS BRUTOS'!$A$3:$A$500,$C6,'DADOS BRUTOS'!CW$3:CW$500)))</f>
        <v>0</v>
      </c>
      <c r="FX6" s="133" t="n">
        <f aca="false">IF(OR(FX$4="",$B6=""),0,SUMIF('DADOS BRUTOS'!$A$3:$A$500,$B6,'DADOS BRUTOS'!CX$3:CX$500)+IF($C6="",0,SUMIF('DADOS BRUTOS'!$A$3:$A$500,$C6,'DADOS BRUTOS'!CX$3:CX$500)))</f>
        <v>0</v>
      </c>
      <c r="FY6" s="133" t="n">
        <f aca="false">IF(OR(FY$4="",$B6=""),0,SUMIF('DADOS BRUTOS'!$A$3:$A$500,$B6,'DADOS BRUTOS'!CY$3:CY$500)+IF($C6="",0,SUMIF('DADOS BRUTOS'!$A$3:$A$500,$C6,'DADOS BRUTOS'!CY$3:CY$500)))</f>
        <v>0</v>
      </c>
      <c r="FZ6" s="133" t="n">
        <f aca="false">IF(OR(FZ$4="",$B6=""),0,SUMIF('DADOS BRUTOS'!$A$3:$A$500,$B6,'DADOS BRUTOS'!CZ$3:CZ$500)+IF($C6="",0,SUMIF('DADOS BRUTOS'!$A$3:$A$500,$C6,'DADOS BRUTOS'!CZ$3:CZ$500)))</f>
        <v>0</v>
      </c>
      <c r="GA6" s="133" t="n">
        <f aca="false">IF(OR(GA$4="",$B6=""),0,SUMIF('DADOS BRUTOS'!$A$3:$A$500,$B6,'DADOS BRUTOS'!DA$3:DA$500)+IF($C6="",0,SUMIF('DADOS BRUTOS'!$A$3:$A$500,$C6,'DADOS BRUTOS'!DA$3:DA$500)))</f>
        <v>0</v>
      </c>
      <c r="GB6" s="133" t="n">
        <f aca="false">IF(OR(GB$4="",$B6=""),0,SUMIF('DADOS BRUTOS'!$A$3:$A$500,$B6,'DADOS BRUTOS'!DB$3:DB$500)+IF($C6="",0,SUMIF('DADOS BRUTOS'!$A$3:$A$500,$C6,'DADOS BRUTOS'!DB$3:DB$500)))</f>
        <v>0</v>
      </c>
      <c r="GC6" s="133" t="n">
        <f aca="false">IF(OR(GC$4="",$B6=""),0,SUMIF('DADOS BRUTOS'!$A$3:$A$500,$B6,'DADOS BRUTOS'!DC$3:DC$500)+IF($C6="",0,SUMIF('DADOS BRUTOS'!$A$3:$A$500,$C6,'DADOS BRUTOS'!DC$3:DC$500)))</f>
        <v>0</v>
      </c>
      <c r="GD6" s="133" t="n">
        <f aca="false">IF(OR(GD$4="",$B6=""),0,SUMIF('DADOS BRUTOS'!$A$3:$A$500,$B6,'DADOS BRUTOS'!DD$3:DD$500)+IF($C6="",0,SUMIF('DADOS BRUTOS'!$A$3:$A$500,$C6,'DADOS BRUTOS'!DD$3:DD$500)))</f>
        <v>0</v>
      </c>
      <c r="GE6" s="133" t="n">
        <f aca="false">IF(OR(GE$4="",$B6=""),0,SUMIF('DADOS BRUTOS'!$A$3:$A$500,$B6,'DADOS BRUTOS'!DE$3:DE$500)+IF($C6="",0,SUMIF('DADOS BRUTOS'!$A$3:$A$500,$C6,'DADOS BRUTOS'!DE$3:DE$500)))</f>
        <v>0</v>
      </c>
      <c r="GF6" s="133" t="n">
        <f aca="false">IF(OR(GF$4="",$B6=""),0,SUMIF('DADOS BRUTOS'!$A$3:$A$500,$B6,'DADOS BRUTOS'!DF$3:DF$500)+IF($C6="",0,SUMIF('DADOS BRUTOS'!$A$3:$A$500,$C6,'DADOS BRUTOS'!DF$3:DF$500)))</f>
        <v>0</v>
      </c>
      <c r="GG6" s="133" t="n">
        <f aca="false">IF(OR(GG$4="",$B6=""),0,SUMIF('DADOS BRUTOS'!$A$3:$A$500,$B6,'DADOS BRUTOS'!DG$3:DG$500)+IF($C6="",0,SUMIF('DADOS BRUTOS'!$A$3:$A$500,$C6,'DADOS BRUTOS'!DG$3:DG$500)))</f>
        <v>0</v>
      </c>
      <c r="GH6" s="133" t="n">
        <f aca="false">IF(OR(GH$4="",$B6=""),0,SUMIF('DADOS BRUTOS'!$A$3:$A$500,$B6,'DADOS BRUTOS'!DH$3:DH$500)+IF($C6="",0,SUMIF('DADOS BRUTOS'!$A$3:$A$500,$C6,'DADOS BRUTOS'!DH$3:DH$500)))</f>
        <v>0</v>
      </c>
      <c r="GI6" s="133" t="n">
        <f aca="false">IF(OR(GI$4="",$B6=""),0,SUMIF('DADOS BRUTOS'!$A$3:$A$500,$B6,'DADOS BRUTOS'!DI$3:DI$500)+IF($C6="",0,SUMIF('DADOS BRUTOS'!$A$3:$A$500,$C6,'DADOS BRUTOS'!DI$3:DI$500)))</f>
        <v>0</v>
      </c>
      <c r="GJ6" s="133" t="n">
        <f aca="false">IF(OR(GJ$4="",$B6=""),0,SUMIF('DADOS BRUTOS'!$A$3:$A$500,$B6,'DADOS BRUTOS'!DJ$3:DJ$500)+IF($C6="",0,SUMIF('DADOS BRUTOS'!$A$3:$A$500,$C6,'DADOS BRUTOS'!DJ$3:DJ$500)))</f>
        <v>0</v>
      </c>
      <c r="GK6" s="133" t="n">
        <f aca="false">IF(OR(GK$4="",$B6=""),0,SUMIF('DADOS BRUTOS'!$A$3:$A$500,$B6,'DADOS BRUTOS'!DK$3:DK$500)+IF($C6="",0,SUMIF('DADOS BRUTOS'!$A$3:$A$500,$C6,'DADOS BRUTOS'!DK$3:DK$500)))</f>
        <v>0</v>
      </c>
      <c r="GL6" s="133" t="n">
        <f aca="false">IF(OR(GL$4="",$B6=""),0,SUMIF('DADOS BRUTOS'!$A$3:$A$500,$B6,'DADOS BRUTOS'!DL$3:DL$500)+IF($C6="",0,SUMIF('DADOS BRUTOS'!$A$3:$A$500,$C6,'DADOS BRUTOS'!DL$3:DL$500)))</f>
        <v>0</v>
      </c>
      <c r="GM6" s="133" t="n">
        <f aca="false">IF(OR(GM$4="",$B6=""),0,SUMIF('DADOS BRUTOS'!$A$3:$A$500,$B6,'DADOS BRUTOS'!DM$3:DM$500)+IF($C6="",0,SUMIF('DADOS BRUTOS'!$A$3:$A$500,$C6,'DADOS BRUTOS'!DM$3:DM$500)))</f>
        <v>0</v>
      </c>
      <c r="GN6" s="133" t="n">
        <f aca="false">IF(OR(GN$4="",$B6=""),0,SUMIF('DADOS BRUTOS'!$A$3:$A$500,$B6,'DADOS BRUTOS'!DN$3:DN$500)+IF($C6="",0,SUMIF('DADOS BRUTOS'!$A$3:$A$500,$C6,'DADOS BRUTOS'!DN$3:DN$500)))</f>
        <v>0</v>
      </c>
      <c r="GO6" s="133" t="n">
        <f aca="false">IF(OR(GO$4="",$B6=""),0,SUMIF('DADOS BRUTOS'!$A$3:$A$500,$B6,'DADOS BRUTOS'!DO$3:DO$500)+IF($C6="",0,SUMIF('DADOS BRUTOS'!$A$3:$A$500,$C6,'DADOS BRUTOS'!DO$3:DO$500)))</f>
        <v>0</v>
      </c>
      <c r="GP6" s="133" t="n">
        <f aca="false">IF(OR(GP$4="",$B6=""),0,SUMIF('DADOS BRUTOS'!$A$3:$A$500,$B6,'DADOS BRUTOS'!DP$3:DP$500)+IF($C6="",0,SUMIF('DADOS BRUTOS'!$A$3:$A$500,$C6,'DADOS BRUTOS'!DP$3:DP$500)))</f>
        <v>0</v>
      </c>
      <c r="GQ6" s="133" t="n">
        <f aca="false">IF(OR(GQ$4="",$B6=""),0,SUMIF('DADOS BRUTOS'!$A$3:$A$500,$B6,'DADOS BRUTOS'!DQ$3:DQ$500)+IF($C6="",0,SUMIF('DADOS BRUTOS'!$A$3:$A$500,$C6,'DADOS BRUTOS'!DQ$3:DQ$500)))</f>
        <v>0</v>
      </c>
      <c r="GR6" s="133" t="n">
        <f aca="false">IF(OR(GR$4="",$B6=""),0,SUMIF('DADOS BRUTOS'!$A$3:$A$500,$B6,'DADOS BRUTOS'!DR$3:DR$500)+IF($C6="",0,SUMIF('DADOS BRUTOS'!$A$3:$A$500,$C6,'DADOS BRUTOS'!DR$3:DR$500)))</f>
        <v>0</v>
      </c>
      <c r="GS6" s="133" t="n">
        <f aca="false">IF(OR(GS$4="",$B6=""),0,SUMIF('DADOS BRUTOS'!$A$3:$A$500,$B6,'DADOS BRUTOS'!DS$3:DS$500)+IF($C6="",0,SUMIF('DADOS BRUTOS'!$A$3:$A$500,$C6,'DADOS BRUTOS'!DS$3:DS$500)))</f>
        <v>0</v>
      </c>
      <c r="GT6" s="133" t="n">
        <f aca="false">IF(OR(GT$4="",$B6=""),0,SUMIF('DADOS BRUTOS'!$A$3:$A$500,$B6,'DADOS BRUTOS'!DT$3:DT$500)+IF($C6="",0,SUMIF('DADOS BRUTOS'!$A$3:$A$500,$C6,'DADOS BRUTOS'!DT$3:DT$500)))</f>
        <v>0</v>
      </c>
      <c r="GU6" s="133" t="n">
        <f aca="false">IF(OR(GU$4="",$B6=""),0,SUMIF('DADOS BRUTOS'!$A$3:$A$500,$B6,'DADOS BRUTOS'!DU$3:DU$500)+IF($C6="",0,SUMIF('DADOS BRUTOS'!$A$3:$A$500,$C6,'DADOS BRUTOS'!DU$3:DU$500)))</f>
        <v>0</v>
      </c>
      <c r="GV6" s="133" t="n">
        <f aca="false">IF(OR(GV$4="",$B6=""),0,SUMIF('DADOS BRUTOS'!$A$3:$A$500,$B6,'DADOS BRUTOS'!DV$3:DV$500)+IF($C6="",0,SUMIF('DADOS BRUTOS'!$A$3:$A$500,$C6,'DADOS BRUTOS'!DV$3:DV$500)))</f>
        <v>0</v>
      </c>
      <c r="GW6" s="133" t="n">
        <f aca="false">IF(OR(GW$4="",$B6=""),0,SUMIF('DADOS BRUTOS'!$A$3:$A$500,$B6,'DADOS BRUTOS'!DW$3:DW$500)+IF($C6="",0,SUMIF('DADOS BRUTOS'!$A$3:$A$500,$C6,'DADOS BRUTOS'!DW$3:DW$500)))</f>
        <v>0</v>
      </c>
      <c r="GX6" s="133" t="n">
        <f aca="false">IF(OR(GX$4="",$B6=""),0,SUMIF('DADOS BRUTOS'!$A$3:$A$500,$B6,'DADOS BRUTOS'!DX$3:DX$500)+IF($C6="",0,SUMIF('DADOS BRUTOS'!$A$3:$A$500,$C6,'DADOS BRUTOS'!DX$3:DX$500)))</f>
        <v>0</v>
      </c>
      <c r="GY6" s="133" t="n">
        <f aca="false">IF(OR(GY$4="",$B6=""),0,SUMIF('DADOS BRUTOS'!$A$3:$A$500,$B6,'DADOS BRUTOS'!DY$3:DY$500)+IF($C6="",0,SUMIF('DADOS BRUTOS'!$A$3:$A$500,$C6,'DADOS BRUTOS'!DY$3:DY$500)))</f>
        <v>0</v>
      </c>
      <c r="GZ6" s="133" t="n">
        <f aca="false">IF(OR(GZ$4="",$B6=""),0,SUMIF('DADOS BRUTOS'!$A$3:$A$500,$B6,'DADOS BRUTOS'!DZ$3:DZ$500)+IF($C6="",0,SUMIF('DADOS BRUTOS'!$A$3:$A$500,$C6,'DADOS BRUTOS'!DZ$3:DZ$500)))</f>
        <v>0</v>
      </c>
      <c r="HA6" s="133" t="n">
        <f aca="false">IF(OR(HA$4="",$B6=""),0,SUMIF('DADOS BRUTOS'!$A$3:$A$500,$B6,'DADOS BRUTOS'!EA$3:EA$500)+IF($C6="",0,SUMIF('DADOS BRUTOS'!$A$3:$A$500,$C6,'DADOS BRUTOS'!EA$3:EA$500)))</f>
        <v>0</v>
      </c>
      <c r="HB6" s="133" t="n">
        <f aca="false">IF(OR(HB$4="",$B6=""),0,SUMIF('DADOS BRUTOS'!$A$3:$A$500,$B6,'DADOS BRUTOS'!EB$3:EB$500)+IF($C6="",0,SUMIF('DADOS BRUTOS'!$A$3:$A$500,$C6,'DADOS BRUTOS'!EB$3:EB$500)))</f>
        <v>0</v>
      </c>
      <c r="HC6" s="133" t="n">
        <f aca="false">IF(OR(HC$4="",$B6=""),0,SUMIF('DADOS BRUTOS'!$A$3:$A$500,$B6,'DADOS BRUTOS'!EC$3:EC$500)+IF($C6="",0,SUMIF('DADOS BRUTOS'!$A$3:$A$500,$C6,'DADOS BRUTOS'!EC$3:EC$500)))</f>
        <v>0</v>
      </c>
      <c r="HD6" s="133" t="n">
        <f aca="false">IF(OR(HD$4="",$B6=""),0,SUMIF('DADOS BRUTOS'!$A$3:$A$500,$B6,'DADOS BRUTOS'!ED$3:ED$500)+IF($C6="",0,SUMIF('DADOS BRUTOS'!$A$3:$A$500,$C6,'DADOS BRUTOS'!ED$3:ED$500)))</f>
        <v>0</v>
      </c>
      <c r="HE6" s="133" t="n">
        <f aca="false">IF(OR(HE$4="",$B6=""),0,SUMIF('DADOS BRUTOS'!$A$3:$A$500,$B6,'DADOS BRUTOS'!EE$3:EE$500)+IF($C6="",0,SUMIF('DADOS BRUTOS'!$A$3:$A$500,$C6,'DADOS BRUTOS'!EE$3:EE$500)))</f>
        <v>0</v>
      </c>
      <c r="HF6" s="133" t="n">
        <f aca="false">IF(OR(HF$4="",$B6=""),0,SUMIF('DADOS BRUTOS'!$A$3:$A$500,$B6,'DADOS BRUTOS'!EF$3:EF$500)+IF($C6="",0,SUMIF('DADOS BRUTOS'!$A$3:$A$500,$C6,'DADOS BRUTOS'!EF$3:EF$500)))</f>
        <v>0</v>
      </c>
      <c r="HG6" s="133" t="n">
        <f aca="false">IF(OR(HG$4="",$B6=""),0,SUMIF('DADOS BRUTOS'!$A$3:$A$500,$B6,'DADOS BRUTOS'!EG$3:EG$500)+IF($C6="",0,SUMIF('DADOS BRUTOS'!$A$3:$A$500,$C6,'DADOS BRUTOS'!EG$3:EG$500)))</f>
        <v>0</v>
      </c>
      <c r="HH6" s="133" t="n">
        <f aca="false">IF(OR(HH$4="",$B6=""),0,SUMIF('DADOS BRUTOS'!$A$3:$A$500,$B6,'DADOS BRUTOS'!EH$3:EH$500)+IF($C6="",0,SUMIF('DADOS BRUTOS'!$A$3:$A$500,$C6,'DADOS BRUTOS'!EH$3:EH$500)))</f>
        <v>0</v>
      </c>
      <c r="HI6" s="133" t="n">
        <f aca="false">IF(OR(HI$4="",$B6=""),0,SUMIF('DADOS BRUTOS'!$A$3:$A$500,$B6,'DADOS BRUTOS'!EI$3:EI$500)+IF($C6="",0,SUMIF('DADOS BRUTOS'!$A$3:$A$500,$C6,'DADOS BRUTOS'!EI$3:EI$500)))</f>
        <v>0</v>
      </c>
      <c r="HJ6" s="133" t="n">
        <f aca="false">IF(OR(HJ$4="",$B6=""),0,SUMIF('DADOS BRUTOS'!$A$3:$A$500,$B6,'DADOS BRUTOS'!EJ$3:EJ$500)+IF($C6="",0,SUMIF('DADOS BRUTOS'!$A$3:$A$500,$C6,'DADOS BRUTOS'!EJ$3:EJ$500)))</f>
        <v>0</v>
      </c>
      <c r="HK6" s="133" t="n">
        <f aca="false">IF(OR(HK$4="",$B6=""),0,SUMIF('DADOS BRUTOS'!$A$3:$A$500,$B6,'DADOS BRUTOS'!EK$3:EK$500)+IF($C6="",0,SUMIF('DADOS BRUTOS'!$A$3:$A$500,$C6,'DADOS BRUTOS'!EK$3:EK$500)))</f>
        <v>0</v>
      </c>
      <c r="HL6" s="133" t="n">
        <f aca="false">IF(OR(HL$4="",$B6=""),0,SUMIF('DADOS BRUTOS'!$A$3:$A$500,$B6,'DADOS BRUTOS'!EL$3:EL$500)+IF($C6="",0,SUMIF('DADOS BRUTOS'!$A$3:$A$500,$C6,'DADOS BRUTOS'!EL$3:EL$500)))</f>
        <v>0</v>
      </c>
      <c r="HM6" s="133" t="n">
        <f aca="false">IF(OR(HM$4="",$B6=""),0,SUMIF('DADOS BRUTOS'!$A$3:$A$500,$B6,'DADOS BRUTOS'!EM$3:EM$500)+IF($C6="",0,SUMIF('DADOS BRUTOS'!$A$3:$A$500,$C6,'DADOS BRUTOS'!EM$3:EM$500)))</f>
        <v>0</v>
      </c>
      <c r="HN6" s="133" t="n">
        <f aca="false">IF(OR(HN$4="",$B6=""),0,SUMIF('DADOS BRUTOS'!$A$3:$A$500,$B6,'DADOS BRUTOS'!EN$3:EN$500)+IF($C6="",0,SUMIF('DADOS BRUTOS'!$A$3:$A$500,$C6,'DADOS BRUTOS'!EN$3:EN$500)))</f>
        <v>0</v>
      </c>
      <c r="HO6" s="133" t="n">
        <f aca="false">IF(OR(HO$4="",$B6=""),0,SUMIF('DADOS BRUTOS'!$A$3:$A$500,$B6,'DADOS BRUTOS'!EO$3:EO$500)+IF($C6="",0,SUMIF('DADOS BRUTOS'!$A$3:$A$500,$C6,'DADOS BRUTOS'!EO$3:EO$500)))</f>
        <v>0</v>
      </c>
      <c r="HP6" s="133" t="n">
        <f aca="false">IF(OR(HP$4="",$B6=""),0,SUMIF('DADOS BRUTOS'!$A$3:$A$500,$B6,'DADOS BRUTOS'!EP$3:EP$500)+IF($C6="",0,SUMIF('DADOS BRUTOS'!$A$3:$A$500,$C6,'DADOS BRUTOS'!EP$3:EP$500)))</f>
        <v>0</v>
      </c>
      <c r="HQ6" s="133" t="n">
        <f aca="false">IF(OR(HQ$4="",$B6=""),0,SUMIF('DADOS BRUTOS'!$A$3:$A$500,$B6,'DADOS BRUTOS'!EQ$3:EQ$500)+IF($C6="",0,SUMIF('DADOS BRUTOS'!$A$3:$A$500,$C6,'DADOS BRUTOS'!EQ$3:EQ$500)))</f>
        <v>0</v>
      </c>
      <c r="HR6" s="133" t="n">
        <f aca="false">IF(OR(HR$4="",$B6=""),0,SUMIF('DADOS BRUTOS'!$A$3:$A$500,$B6,'DADOS BRUTOS'!ER$3:ER$500)+IF($C6="",0,SUMIF('DADOS BRUTOS'!$A$3:$A$500,$C6,'DADOS BRUTOS'!ER$3:ER$500)))</f>
        <v>0</v>
      </c>
      <c r="HS6" s="133" t="n">
        <f aca="false">IF(OR(HS$4="",$B6=""),0,SUMIF('DADOS BRUTOS'!$A$3:$A$500,$B6,'DADOS BRUTOS'!ES$3:ES$500)+IF($C6="",0,SUMIF('DADOS BRUTOS'!$A$3:$A$500,$C6,'DADOS BRUTOS'!ES$3:ES$500)))</f>
        <v>0</v>
      </c>
      <c r="HT6" s="133" t="n">
        <f aca="false">IF(OR(HT$4="",$B6=""),0,SUMIF('DADOS BRUTOS'!$A$3:$A$500,$B6,'DADOS BRUTOS'!ET$3:ET$500)+IF($C6="",0,SUMIF('DADOS BRUTOS'!$A$3:$A$500,$C6,'DADOS BRUTOS'!ET$3:ET$500)))</f>
        <v>0</v>
      </c>
      <c r="HU6" s="133" t="n">
        <f aca="false">IF(OR(HU$4="",$B6=""),0,SUMIF('DADOS BRUTOS'!$A$3:$A$500,$B6,'DADOS BRUTOS'!EU$3:EU$500)+IF($C6="",0,SUMIF('DADOS BRUTOS'!$A$3:$A$500,$C6,'DADOS BRUTOS'!EU$3:EU$500)))</f>
        <v>0</v>
      </c>
      <c r="HV6" s="133" t="n">
        <f aca="false">IF(OR(HV$4="",$B6=""),0,SUMIF('DADOS BRUTOS'!$A$3:$A$500,$B6,'DADOS BRUTOS'!EV$3:EV$500)+IF($C6="",0,SUMIF('DADOS BRUTOS'!$A$3:$A$500,$C6,'DADOS BRUTOS'!EV$3:EV$500)))</f>
        <v>0</v>
      </c>
      <c r="HW6" s="133" t="n">
        <f aca="false">IF(OR(HW$4="",$B6=""),0,SUMIF('DADOS BRUTOS'!$A$3:$A$500,$B6,'DADOS BRUTOS'!EW$3:EW$500)+IF($C6="",0,SUMIF('DADOS BRUTOS'!$A$3:$A$500,$C6,'DADOS BRUTOS'!EW$3:EW$500)))</f>
        <v>0</v>
      </c>
      <c r="HX6" s="133" t="n">
        <f aca="false">IF(OR(HX$4="",$B6=""),0,SUMIF('DADOS BRUTOS'!$A$3:$A$500,$B6,'DADOS BRUTOS'!EX$3:EX$500)+IF($C6="",0,SUMIF('DADOS BRUTOS'!$A$3:$A$500,$C6,'DADOS BRUTOS'!EX$3:EX$500)))</f>
        <v>0</v>
      </c>
      <c r="HY6" s="133" t="n">
        <f aca="false">IF(OR(HY$4="",$B6=""),0,SUMIF('DADOS BRUTOS'!$A$3:$A$500,$B6,'DADOS BRUTOS'!EY$3:EY$500)+IF($C6="",0,SUMIF('DADOS BRUTOS'!$A$3:$A$500,$C6,'DADOS BRUTOS'!EY$3:EY$500)))</f>
        <v>0</v>
      </c>
      <c r="HZ6" s="133" t="n">
        <f aca="false">IF(OR(HZ$4="",$B6=""),0,SUMIF('DADOS BRUTOS'!$A$3:$A$500,$B6,'DADOS BRUTOS'!EZ$3:EZ$500)+IF($C6="",0,SUMIF('DADOS BRUTOS'!$A$3:$A$500,$C6,'DADOS BRUTOS'!EZ$3:EZ$500)))</f>
        <v>0</v>
      </c>
      <c r="IA6" s="133" t="n">
        <f aca="false">IF(OR(IA$4="",$B6=""),0,SUMIF('DADOS BRUTOS'!$A$3:$A$500,$B6,'DADOS BRUTOS'!FA$3:FA$500)+IF($C6="",0,SUMIF('DADOS BRUTOS'!$A$3:$A$500,$C6,'DADOS BRUTOS'!FA$3:FA$500)))</f>
        <v>0</v>
      </c>
      <c r="IB6" s="133" t="n">
        <f aca="false">IF(OR(IB$4="",$B6=""),0,SUMIF('DADOS BRUTOS'!$A$3:$A$500,$B6,'DADOS BRUTOS'!FB$3:FB$500)+IF($C6="",0,SUMIF('DADOS BRUTOS'!$A$3:$A$500,$C6,'DADOS BRUTOS'!FB$3:FB$500)))</f>
        <v>0</v>
      </c>
      <c r="IC6" s="133" t="n">
        <f aca="false">IF(OR(IC$4="",$B6=""),0,SUMIF('DADOS BRUTOS'!$A$3:$A$500,$B6,'DADOS BRUTOS'!FC$3:FC$500)+IF($C6="",0,SUMIF('DADOS BRUTOS'!$A$3:$A$500,$C6,'DADOS BRUTOS'!FC$3:FC$500)))</f>
        <v>0</v>
      </c>
      <c r="ID6" s="133" t="n">
        <f aca="false">IF(OR(ID$4="",$B6=""),0,SUMIF('DADOS BRUTOS'!$A$3:$A$500,$B6,'DADOS BRUTOS'!FD$3:FD$500)+IF($C6="",0,SUMIF('DADOS BRUTOS'!$A$3:$A$500,$C6,'DADOS BRUTOS'!FD$3:FD$500)))</f>
        <v>0</v>
      </c>
      <c r="IE6" s="133" t="n">
        <f aca="false">IF(OR(IE$4="",$B6=""),0,SUMIF('DADOS BRUTOS'!$A$3:$A$500,$B6,'DADOS BRUTOS'!FE$3:FE$500)+IF($C6="",0,SUMIF('DADOS BRUTOS'!$A$3:$A$500,$C6,'DADOS BRUTOS'!FE$3:FE$500)))</f>
        <v>0</v>
      </c>
      <c r="IF6" s="133" t="n">
        <f aca="false">IF(OR(IF$4="",$B6=""),0,SUMIF('DADOS BRUTOS'!$A$3:$A$500,$B6,'DADOS BRUTOS'!FF$3:FF$500)+IF($C6="",0,SUMIF('DADOS BRUTOS'!$A$3:$A$500,$C6,'DADOS BRUTOS'!FF$3:FF$500)))</f>
        <v>0</v>
      </c>
      <c r="IG6" s="133" t="n">
        <f aca="false">IF(OR(IG$4="",$B6=""),0,SUMIF('DADOS BRUTOS'!$A$3:$A$500,$B6,'DADOS BRUTOS'!FG$3:FG$500)+IF($C6="",0,SUMIF('DADOS BRUTOS'!$A$3:$A$500,$C6,'DADOS BRUTOS'!FG$3:FG$500)))</f>
        <v>0</v>
      </c>
      <c r="IH6" s="133" t="n">
        <f aca="false">IF(OR(IH$4="",$B6=""),0,SUMIF('DADOS BRUTOS'!$A$3:$A$500,$B6,'DADOS BRUTOS'!FH$3:FH$500)+IF($C6="",0,SUMIF('DADOS BRUTOS'!$A$3:$A$500,$C6,'DADOS BRUTOS'!FH$3:FH$500)))</f>
        <v>0</v>
      </c>
      <c r="II6" s="133" t="n">
        <f aca="false">IF(OR(II$4="",$B6=""),0,SUMIF('DADOS BRUTOS'!$A$3:$A$500,$B6,'DADOS BRUTOS'!FI$3:FI$500)+IF($C6="",0,SUMIF('DADOS BRUTOS'!$A$3:$A$500,$C6,'DADOS BRUTOS'!FI$3:FI$500)))</f>
        <v>0</v>
      </c>
      <c r="IJ6" s="133" t="n">
        <f aca="false">IF(OR(IJ$4="",$B6=""),0,SUMIF('DADOS BRUTOS'!$A$3:$A$500,$B6,'DADOS BRUTOS'!FJ$3:FJ$500)+IF($C6="",0,SUMIF('DADOS BRUTOS'!$A$3:$A$500,$C6,'DADOS BRUTOS'!FJ$3:FJ$500)))</f>
        <v>0</v>
      </c>
      <c r="IK6" s="133" t="n">
        <f aca="false">IF(OR(IK$4="",$B6=""),0,SUMIF('DADOS BRUTOS'!$A$3:$A$500,$B6,'DADOS BRUTOS'!FK$3:FK$500)+IF($C6="",0,SUMIF('DADOS BRUTOS'!$A$3:$A$500,$C6,'DADOS BRUTOS'!FK$3:FK$500)))</f>
        <v>0</v>
      </c>
      <c r="IL6" s="133" t="n">
        <f aca="false">IF(OR(IL$4="",$B6=""),0,SUMIF('DADOS BRUTOS'!$A$3:$A$500,$B6,'DADOS BRUTOS'!FL$3:FL$500)+IF($C6="",0,SUMIF('DADOS BRUTOS'!$A$3:$A$500,$C6,'DADOS BRUTOS'!FL$3:FL$500)))</f>
        <v>0</v>
      </c>
      <c r="IM6" s="133" t="n">
        <f aca="false">IF(OR(IM$4="",$B6=""),0,SUMIF('DADOS BRUTOS'!$A$3:$A$500,$B6,'DADOS BRUTOS'!FM$3:FM$500)+IF($C6="",0,SUMIF('DADOS BRUTOS'!$A$3:$A$500,$C6,'DADOS BRUTOS'!FM$3:FM$500)))</f>
        <v>0</v>
      </c>
      <c r="IN6" s="133" t="n">
        <f aca="false">IF(OR(IN$4="",$B6=""),0,SUMIF('DADOS BRUTOS'!$A$3:$A$500,$B6,'DADOS BRUTOS'!FN$3:FN$500)+IF($C6="",0,SUMIF('DADOS BRUTOS'!$A$3:$A$500,$C6,'DADOS BRUTOS'!FN$3:FN$500)))</f>
        <v>0</v>
      </c>
      <c r="IO6" s="133" t="n">
        <f aca="false">IF(OR(IO$4="",$B6=""),0,SUMIF('DADOS BRUTOS'!$A$3:$A$500,$B6,'DADOS BRUTOS'!FO$3:FO$500)+IF($C6="",0,SUMIF('DADOS BRUTOS'!$A$3:$A$500,$C6,'DADOS BRUTOS'!FO$3:FO$500)))</f>
        <v>0</v>
      </c>
      <c r="IP6" s="133" t="n">
        <f aca="false">IF(OR(IP$4="",$B6=""),0,SUMIF('DADOS BRUTOS'!$A$3:$A$500,$B6,'DADOS BRUTOS'!FP$3:FP$500)+IF($C6="",0,SUMIF('DADOS BRUTOS'!$A$3:$A$500,$C6,'DADOS BRUTOS'!FP$3:FP$500)))</f>
        <v>0</v>
      </c>
      <c r="IQ6" s="133" t="n">
        <f aca="false">IF(OR(IQ$4="",$B6=""),0,SUMIF('DADOS BRUTOS'!$A$3:$A$500,$B6,'DADOS BRUTOS'!FQ$3:FQ$500)+IF($C6="",0,SUMIF('DADOS BRUTOS'!$A$3:$A$500,$C6,'DADOS BRUTOS'!FQ$3:FQ$500)))</f>
        <v>0</v>
      </c>
      <c r="IR6" s="133" t="n">
        <f aca="false">IF(OR(IR$4="",$B6=""),0,SUMIF('DADOS BRUTOS'!$A$3:$A$500,$B6,'DADOS BRUTOS'!FR$3:FR$500)+IF($C6="",0,SUMIF('DADOS BRUTOS'!$A$3:$A$500,$C6,'DADOS BRUTOS'!FR$3:FR$500)))</f>
        <v>0</v>
      </c>
      <c r="IS6" s="133" t="n">
        <f aca="false">IF(OR(IS$4="",$B6=""),0,SUMIF('DADOS BRUTOS'!$A$3:$A$500,$B6,'DADOS BRUTOS'!FS$3:FS$500)+IF($C6="",0,SUMIF('DADOS BRUTOS'!$A$3:$A$500,$C6,'DADOS BRUTOS'!FS$3:FS$500)))</f>
        <v>0</v>
      </c>
      <c r="IT6" s="133" t="n">
        <f aca="false">IF(OR(IT$4="",$B6=""),0,SUMIF('DADOS BRUTOS'!$A$3:$A$500,$B6,'DADOS BRUTOS'!FT$3:FT$500)+IF($C6="",0,SUMIF('DADOS BRUTOS'!$A$3:$A$500,$C6,'DADOS BRUTOS'!FT$3:FT$500)))</f>
        <v>0</v>
      </c>
      <c r="IU6" s="133" t="n">
        <f aca="false">IF(OR(IU$4="",$B6=""),0,SUMIF('DADOS BRUTOS'!$A$3:$A$500,$B6,'DADOS BRUTOS'!FU$3:FU$500)+IF($C6="",0,SUMIF('DADOS BRUTOS'!$A$3:$A$500,$C6,'DADOS BRUTOS'!FU$3:FU$500)))</f>
        <v>0</v>
      </c>
      <c r="IV6" s="133" t="n">
        <f aca="false">IF(OR(IV$4="",$B6=""),0,SUMIF('DADOS BRUTOS'!$A$3:$A$500,$B6,'DADOS BRUTOS'!FV$3:FV$500)+IF($C6="",0,SUMIF('DADOS BRUTOS'!$A$3:$A$500,$C6,'DADOS BRUTOS'!FV$3:FV$500)))</f>
        <v>0</v>
      </c>
      <c r="IW6" s="133" t="n">
        <f aca="false">IF(OR(IW$4="",$B6=""),0,SUMIF('DADOS BRUTOS'!$A$3:$A$500,$B6,'DADOS BRUTOS'!FW$3:FW$500)+IF($C6="",0,SUMIF('DADOS BRUTOS'!$A$3:$A$500,$C6,'DADOS BRUTOS'!FW$3:FW$500)))</f>
        <v>0</v>
      </c>
      <c r="IX6" s="133" t="n">
        <f aca="false">IF(OR(IX$4="",$B6=""),0,SUMIF('DADOS BRUTOS'!$A$3:$A$500,$B6,'DADOS BRUTOS'!FX$3:FX$500)+IF($C6="",0,SUMIF('DADOS BRUTOS'!$A$3:$A$500,$C6,'DADOS BRUTOS'!FX$3:FX$500)))</f>
        <v>0</v>
      </c>
      <c r="IY6" s="133" t="n">
        <f aca="false">IF(OR(IY$4="",$B6=""),0,SUMIF('DADOS BRUTOS'!$A$3:$A$500,$B6,'DADOS BRUTOS'!FY$3:FY$500)+IF($C6="",0,SUMIF('DADOS BRUTOS'!$A$3:$A$500,$C6,'DADOS BRUTOS'!FY$3:FY$500)))</f>
        <v>0</v>
      </c>
      <c r="IZ6" s="133" t="n">
        <f aca="false">IF(OR(IZ$4="",$B6=""),0,SUMIF('DADOS BRUTOS'!$A$3:$A$500,$B6,'DADOS BRUTOS'!FZ$3:FZ$500)+IF($C6="",0,SUMIF('DADOS BRUTOS'!$A$3:$A$500,$C6,'DADOS BRUTOS'!FZ$3:FZ$500)))</f>
        <v>0</v>
      </c>
      <c r="JA6" s="133" t="n">
        <f aca="false">IF(OR(JA$4="",$B6=""),0,SUMIF('DADOS BRUTOS'!$A$3:$A$500,$B6,'DADOS BRUTOS'!GA$3:GA$500)+IF($C6="",0,SUMIF('DADOS BRUTOS'!$A$3:$A$500,$C6,'DADOS BRUTOS'!GA$3:GA$500)))</f>
        <v>0</v>
      </c>
      <c r="JB6" s="133" t="n">
        <f aca="false">IF(OR(JB$4="",$B6=""),0,SUMIF('DADOS BRUTOS'!$A$3:$A$500,$B6,'DADOS BRUTOS'!GB$3:GB$500)+IF($C6="",0,SUMIF('DADOS BRUTOS'!$A$3:$A$500,$C6,'DADOS BRUTOS'!GB$3:GB$500)))</f>
        <v>0</v>
      </c>
      <c r="JC6" s="133" t="n">
        <f aca="false">IF(OR(JC$4="",$B6=""),0,SUMIF('DADOS BRUTOS'!$A$3:$A$500,$B6,'DADOS BRUTOS'!GC$3:GC$500)+IF($C6="",0,SUMIF('DADOS BRUTOS'!$A$3:$A$500,$C6,'DADOS BRUTOS'!GC$3:GC$500)))</f>
        <v>0</v>
      </c>
      <c r="JD6" s="133" t="n">
        <f aca="false">IF(OR(JD$4="",$B6=""),0,SUMIF('DADOS BRUTOS'!$A$3:$A$500,$B6,'DADOS BRUTOS'!GD$3:GD$500)+IF($C6="",0,SUMIF('DADOS BRUTOS'!$A$3:$A$500,$C6,'DADOS BRUTOS'!GD$3:GD$500)))</f>
        <v>0</v>
      </c>
      <c r="JE6" s="133" t="n">
        <f aca="false">IF(OR(JE$4="",$B6=""),0,SUMIF('DADOS BRUTOS'!$A$3:$A$500,$B6,'DADOS BRUTOS'!GE$3:GE$500)+IF($C6="",0,SUMIF('DADOS BRUTOS'!$A$3:$A$500,$C6,'DADOS BRUTOS'!GE$3:GE$500)))</f>
        <v>0</v>
      </c>
      <c r="JF6" s="133" t="n">
        <f aca="false">IF(OR(JF$4="",$B6=""),0,SUMIF('DADOS BRUTOS'!$A$3:$A$500,$B6,'DADOS BRUTOS'!GF$3:GF$500)+IF($C6="",0,SUMIF('DADOS BRUTOS'!$A$3:$A$500,$C6,'DADOS BRUTOS'!GF$3:GF$500)))</f>
        <v>0</v>
      </c>
      <c r="JG6" s="133" t="n">
        <f aca="false">IF(OR(JG$4="",$B6=""),0,SUMIF('DADOS BRUTOS'!$A$3:$A$500,$B6,'DADOS BRUTOS'!GG$3:GG$500)+IF($C6="",0,SUMIF('DADOS BRUTOS'!$A$3:$A$500,$C6,'DADOS BRUTOS'!GG$3:GG$500)))</f>
        <v>0</v>
      </c>
      <c r="JH6" s="133" t="n">
        <f aca="false">IF(OR(JH$4="",$B6=""),0,SUMIF('DADOS BRUTOS'!$A$3:$A$500,$B6,'DADOS BRUTOS'!GH$3:GH$500)+IF($C6="",0,SUMIF('DADOS BRUTOS'!$A$3:$A$500,$C6,'DADOS BRUTOS'!GH$3:GH$500)))</f>
        <v>0</v>
      </c>
      <c r="JI6" s="133" t="n">
        <f aca="false">IF(OR(JI$4="",$B6=""),0,SUMIF('DADOS BRUTOS'!$A$3:$A$500,$B6,'DADOS BRUTOS'!GI$3:GI$500)+IF($C6="",0,SUMIF('DADOS BRUTOS'!$A$3:$A$500,$C6,'DADOS BRUTOS'!GI$3:GI$500)))</f>
        <v>0</v>
      </c>
      <c r="JJ6" s="133" t="n">
        <f aca="false">IF(OR(JJ$4="",$B6=""),0,SUMIF('DADOS BRUTOS'!$A$3:$A$500,$B6,'DADOS BRUTOS'!GJ$3:GJ$500)+IF($C6="",0,SUMIF('DADOS BRUTOS'!$A$3:$A$500,$C6,'DADOS BRUTOS'!GJ$3:GJ$500)))</f>
        <v>0</v>
      </c>
      <c r="JK6" s="133" t="n">
        <f aca="false">IF(OR(JK$4="",$B6=""),0,SUMIF('DADOS BRUTOS'!$A$3:$A$500,$B6,'DADOS BRUTOS'!GK$3:GK$500)+IF($C6="",0,SUMIF('DADOS BRUTOS'!$A$3:$A$500,$C6,'DADOS BRUTOS'!GK$3:GK$500)))</f>
        <v>0</v>
      </c>
      <c r="JL6" s="133" t="n">
        <f aca="false">IF(OR(JL$4="",$B6=""),0,SUMIF('DADOS BRUTOS'!$A$3:$A$500,$B6,'DADOS BRUTOS'!GL$3:GL$500)+IF($C6="",0,SUMIF('DADOS BRUTOS'!$A$3:$A$500,$C6,'DADOS BRUTOS'!GL$3:GL$500)))</f>
        <v>0</v>
      </c>
      <c r="JM6" s="133" t="n">
        <f aca="false">IF(OR(JM$4="",$B6=""),0,SUMIF('DADOS BRUTOS'!$A$3:$A$500,$B6,'DADOS BRUTOS'!GM$3:GM$500)+IF($C6="",0,SUMIF('DADOS BRUTOS'!$A$3:$A$500,$C6,'DADOS BRUTOS'!GM$3:GM$500)))</f>
        <v>0</v>
      </c>
      <c r="JN6" s="133" t="n">
        <f aca="false">IF(OR(JN$4="",$B6=""),0,SUMIF('DADOS BRUTOS'!$A$3:$A$500,$B6,'DADOS BRUTOS'!GN$3:GN$500)+IF($C6="",0,SUMIF('DADOS BRUTOS'!$A$3:$A$500,$C6,'DADOS BRUTOS'!GN$3:GN$500)))</f>
        <v>0</v>
      </c>
      <c r="JO6" s="133" t="n">
        <f aca="false">IF(OR(JO$4="",$B6=""),0,SUMIF('DADOS BRUTOS'!$A$3:$A$500,$B6,'DADOS BRUTOS'!GO$3:GO$500)+IF($C6="",0,SUMIF('DADOS BRUTOS'!$A$3:$A$500,$C6,'DADOS BRUTOS'!GO$3:GO$500)))</f>
        <v>0</v>
      </c>
      <c r="JP6" s="133" t="n">
        <f aca="false">IF(OR(JP$4="",$B6=""),0,SUMIF('DADOS BRUTOS'!$A$3:$A$500,$B6,'DADOS BRUTOS'!GP$3:GP$500)+IF($C6="",0,SUMIF('DADOS BRUTOS'!$A$3:$A$500,$C6,'DADOS BRUTOS'!GP$3:GP$500)))</f>
        <v>0</v>
      </c>
      <c r="JQ6" s="133" t="n">
        <f aca="false">IF(OR(JQ$4="",$B6=""),0,SUMIF('DADOS BRUTOS'!$A$3:$A$500,$B6,'DADOS BRUTOS'!GQ$3:GQ$500)+IF($C6="",0,SUMIF('DADOS BRUTOS'!$A$3:$A$500,$C6,'DADOS BRUTOS'!GQ$3:GQ$500)))</f>
        <v>0</v>
      </c>
      <c r="JR6" s="133" t="n">
        <f aca="false">IF(OR(JR$4="",$B6=""),0,SUMIF('DADOS BRUTOS'!$A$3:$A$500,$B6,'DADOS BRUTOS'!GR$3:GR$500)+IF($C6="",0,SUMIF('DADOS BRUTOS'!$A$3:$A$500,$C6,'DADOS BRUTOS'!GR$3:GR$500)))</f>
        <v>0</v>
      </c>
      <c r="JS6" s="133" t="n">
        <f aca="false">IF(OR(JS$4="",$B6=""),0,SUMIF('DADOS BRUTOS'!$A$3:$A$500,$B6,'DADOS BRUTOS'!GS$3:GS$500)+IF($C6="",0,SUMIF('DADOS BRUTOS'!$A$3:$A$500,$C6,'DADOS BRUTOS'!GS$3:GS$500)))</f>
        <v>0</v>
      </c>
    </row>
    <row r="7" customFormat="false" ht="15" hidden="false" customHeight="false" outlineLevel="0" collapsed="false">
      <c r="A7" s="57" t="str">
        <f aca="false">'VALOR POR PL'!D13</f>
        <v>TAXAS DIVERSAS</v>
      </c>
      <c r="B7" s="55" t="s">
        <v>66</v>
      </c>
      <c r="C7" s="55"/>
      <c r="D7" s="50" t="n">
        <f aca="false">SUMIF($CB$4:$JS$4,"&lt;="&amp;D$4,$CB7:$JS7)</f>
        <v>154.1</v>
      </c>
      <c r="E7" s="50" t="n">
        <f aca="false">SUMIF($CB$4:$JS$4,E$4,$CB7:$JS7)</f>
        <v>40.62</v>
      </c>
      <c r="F7" s="50" t="n">
        <f aca="false">SUMIF($CB$4:$JS$4,F$4,$CB7:$JS7)</f>
        <v>0</v>
      </c>
      <c r="G7" s="50" t="n">
        <f aca="false">SUMIF($CB$4:$JS$4,G$4,$CB7:$JS7)</f>
        <v>0</v>
      </c>
      <c r="H7" s="50" t="n">
        <f aca="false">SUMIF($CB$4:$JS$4,H$4,$CB7:$JS7)</f>
        <v>0</v>
      </c>
      <c r="I7" s="50" t="n">
        <f aca="false">SUMIF($CB$4:$JS$4,I$4,$CB7:$JS7)</f>
        <v>0</v>
      </c>
      <c r="J7" s="50" t="n">
        <f aca="false">SUMIF($CB$4:$JS$4,J$4,$CB7:$JS7)</f>
        <v>64.24</v>
      </c>
      <c r="K7" s="50" t="n">
        <f aca="false">SUMIF($CB$4:$JS$4,K$4,$CB7:$JS7)</f>
        <v>0</v>
      </c>
      <c r="L7" s="50" t="n">
        <f aca="false">SUMIF($CB$4:$JS$4,L$4,$CB7:$JS7)</f>
        <v>0</v>
      </c>
      <c r="M7" s="50" t="n">
        <f aca="false">SUMIF($CB$4:$JS$4,M$4,$CB7:$JS7)</f>
        <v>0</v>
      </c>
      <c r="N7" s="50" t="n">
        <f aca="false">SUMIF($CB$4:$JS$4,N$4,$CB7:$JS7)</f>
        <v>0</v>
      </c>
      <c r="O7" s="50" t="n">
        <f aca="false">SUMIF($CB$4:$JS$4,O$4,$CB7:$JS7)</f>
        <v>103.03</v>
      </c>
      <c r="P7" s="50" t="n">
        <f aca="false">SUMIF($CB$4:$JS$4,P$4,$CB7:$JS7)</f>
        <v>0</v>
      </c>
      <c r="Q7" s="50" t="n">
        <f aca="false">SUMIF($CB$4:$JS$4,Q$4,$CB7:$JS7)</f>
        <v>0</v>
      </c>
      <c r="R7" s="50" t="n">
        <f aca="false">SUMIF($CB$4:$JS$4,R$4,$CB7:$JS7)</f>
        <v>0</v>
      </c>
      <c r="S7" s="50" t="n">
        <f aca="false">SUMIF($CB$4:$JS$4,S$4,$CB7:$JS7)</f>
        <v>0</v>
      </c>
      <c r="T7" s="50" t="n">
        <f aca="false">SUMIF($CB$4:$JS$4,T$4,$CB7:$JS7)</f>
        <v>0</v>
      </c>
      <c r="U7" s="50" t="n">
        <f aca="false">SUMIF($CB$4:$JS$4,U$4,$CB7:$JS7)</f>
        <v>0</v>
      </c>
      <c r="V7" s="50" t="n">
        <f aca="false">SUMIF($CB$4:$JS$4,V$4,$CB7:$JS7)</f>
        <v>0</v>
      </c>
      <c r="W7" s="50" t="n">
        <f aca="false">SUMIF($CB$4:$JS$4,W$4,$CB7:$JS7)</f>
        <v>0</v>
      </c>
      <c r="X7" s="50" t="n">
        <f aca="false">SUMIF($CB$4:$JS$4,X$4,$CB7:$JS7)</f>
        <v>5543.2</v>
      </c>
      <c r="Y7" s="50" t="n">
        <f aca="false">SUMIF($CB$4:$JS$4,Y$4,$CB7:$JS7)</f>
        <v>0</v>
      </c>
      <c r="Z7" s="50" t="n">
        <f aca="false">SUMIF($CB$4:$JS$4,Z$4,$CB7:$JS7)</f>
        <v>0</v>
      </c>
      <c r="AA7" s="50" t="n">
        <f aca="false">SUMIF($CB$4:$JS$4,AA$4,$CB7:$JS7)</f>
        <v>0</v>
      </c>
      <c r="AB7" s="50" t="n">
        <f aca="false">SUMIF($CB$4:$JS$4,AB$4,$CB7:$JS7)</f>
        <v>0</v>
      </c>
      <c r="AC7" s="50" t="n">
        <f aca="false">SUMIF($CB$4:$JS$4,AC$4,$CB7:$JS7)</f>
        <v>0</v>
      </c>
      <c r="AD7" s="50" t="n">
        <f aca="false">SUMIF($CB$4:$JS$4,AD$4,$CB7:$JS7)</f>
        <v>0</v>
      </c>
      <c r="AE7" s="50" t="n">
        <f aca="false">SUMIF($CB$4:$JS$4,AE$4,$CB7:$JS7)</f>
        <v>0</v>
      </c>
      <c r="AF7" s="50" t="n">
        <f aca="false">SUMIF($CB$4:$JS$4,AF$4,$CB7:$JS7)</f>
        <v>0</v>
      </c>
      <c r="AG7" s="50" t="n">
        <f aca="false">SUMIF($CB$4:$JS$4,AG$4,$CB7:$JS7)</f>
        <v>0</v>
      </c>
      <c r="AH7" s="50" t="n">
        <f aca="false">SUMIF($CB$4:$JS$4,AH$4,$CB7:$JS7)</f>
        <v>0</v>
      </c>
      <c r="AI7" s="50" t="n">
        <f aca="false">SUMIF($CB$4:$JS$4,AI$4,$CB7:$JS7)</f>
        <v>0</v>
      </c>
      <c r="AJ7" s="50" t="n">
        <f aca="false">SUMIF($CB$4:$JS$4,AJ$4,$CB7:$JS7)</f>
        <v>0</v>
      </c>
      <c r="AK7" s="50" t="n">
        <f aca="false">SUMIF($CB$4:$JS$4,AK$4,$CB7:$JS7)</f>
        <v>0</v>
      </c>
      <c r="AL7" s="50" t="n">
        <f aca="false">SUMIF($CB$4:$JS$4,AL$4,$CB7:$JS7)</f>
        <v>0</v>
      </c>
      <c r="AM7" s="50" t="n">
        <f aca="false">SUMIF($CB$4:$JS$4,AM$4,$CB7:$JS7)</f>
        <v>0</v>
      </c>
      <c r="AN7" s="50" t="n">
        <f aca="false">SUMIF($CB$4:$JS$4,AN$4,$CB7:$JS7)</f>
        <v>0</v>
      </c>
      <c r="AO7" s="50" t="n">
        <f aca="false">SUMIF($CB$4:$JS$4,AO$4,$CB7:$JS7)</f>
        <v>0</v>
      </c>
      <c r="AP7" s="50" t="n">
        <f aca="false">SUMIF($CB$4:$JS$4,AP$4,$CB7:$JS7)</f>
        <v>0</v>
      </c>
      <c r="AQ7" s="50" t="n">
        <f aca="false">SUMIF($CB$4:$JS$4,AQ$4,$CB7:$JS7)</f>
        <v>0</v>
      </c>
      <c r="AR7" s="50" t="n">
        <f aca="false">SUMIF($CB$4:$JS$4,AR$4,$CB7:$JS7)</f>
        <v>0</v>
      </c>
      <c r="AS7" s="50" t="n">
        <f aca="false">SUMIF($CB$4:$JS$4,AS$4,$CB7:$JS7)</f>
        <v>0</v>
      </c>
      <c r="AT7" s="50" t="n">
        <f aca="false">SUMIF($CB$4:$JS$4,AT$4,$CB7:$JS7)</f>
        <v>0</v>
      </c>
      <c r="AU7" s="50" t="n">
        <f aca="false">SUMIF($CB$4:$JS$4,AU$4,$CB7:$JS7)</f>
        <v>0</v>
      </c>
      <c r="AV7" s="50" t="n">
        <f aca="false">SUMIF($CB$4:$JS$4,AV$4,$CB7:$JS7)</f>
        <v>0</v>
      </c>
      <c r="AW7" s="50" t="n">
        <f aca="false">SUMIF($CB$4:$JS$4,AW$4,$CB7:$JS7)</f>
        <v>0</v>
      </c>
      <c r="AX7" s="50" t="n">
        <f aca="false">SUMIF($CB$4:$JS$4,AX$4,$CB7:$JS7)</f>
        <v>0</v>
      </c>
      <c r="AY7" s="50" t="n">
        <f aca="false">SUMIF($CB$4:$JS$4,AY$4,$CB7:$JS7)</f>
        <v>0</v>
      </c>
      <c r="AZ7" s="50" t="n">
        <f aca="false">SUMIF($CB$4:$JS$4,AZ$4,$CB7:$JS7)</f>
        <v>0</v>
      </c>
      <c r="BA7" s="50" t="n">
        <f aca="false">SUMIF($CB$4:$JS$4,BA$4,$CB7:$JS7)</f>
        <v>0</v>
      </c>
      <c r="BB7" s="50" t="n">
        <f aca="false">SUMIF($CB$4:$JS$4,BB$4,$CB7:$JS7)</f>
        <v>0</v>
      </c>
      <c r="BC7" s="50" t="n">
        <f aca="false">SUMIF($CB$4:$JS$4,BC$4,$CB7:$JS7)</f>
        <v>0</v>
      </c>
      <c r="BD7" s="50" t="n">
        <f aca="false">SUMIF($CB$4:$JS$4,BD$4,$CB7:$JS7)</f>
        <v>0</v>
      </c>
      <c r="BE7" s="50" t="n">
        <f aca="false">SUMIF($CB$4:$JS$4,BE$4,$CB7:$JS7)</f>
        <v>0</v>
      </c>
      <c r="BF7" s="50" t="n">
        <f aca="false">SUMIF($CB$4:$JS$4,BF$4,$CB7:$JS7)</f>
        <v>0</v>
      </c>
      <c r="BG7" s="50" t="n">
        <f aca="false">SUMIF($CB$4:$JS$4,BG$4,$CB7:$JS7)</f>
        <v>0</v>
      </c>
      <c r="BH7" s="50" t="n">
        <f aca="false">SUMIF($CB$4:$JS$4,BH$4,$CB7:$JS7)</f>
        <v>0</v>
      </c>
      <c r="BI7" s="50" t="n">
        <f aca="false">SUMIF($CB$4:$JS$4,BI$4,$CB7:$JS7)</f>
        <v>0</v>
      </c>
      <c r="BJ7" s="50" t="n">
        <f aca="false">SUMIF($CB$4:$JS$4,BJ$4,$CB7:$JS7)</f>
        <v>0</v>
      </c>
      <c r="BK7" s="50" t="n">
        <f aca="false">SUMIF($CB$4:$JS$4,BK$4,$CB7:$JS7)</f>
        <v>0</v>
      </c>
      <c r="BL7" s="50" t="n">
        <f aca="false">SUMIF($CB$4:$JS$4,BL$4,$CB7:$JS7)</f>
        <v>0</v>
      </c>
      <c r="BM7" s="50" t="n">
        <f aca="false">SUMIF($CB$4:$JS$4,BM$4,$CB7:$JS7)</f>
        <v>0</v>
      </c>
      <c r="BN7" s="50" t="n">
        <f aca="false">SUMIF($CB$4:$JS$4,BN$4,$CB7:$JS7)</f>
        <v>0</v>
      </c>
      <c r="BO7" s="50" t="n">
        <f aca="false">SUMIF($CB$4:$JS$4,BO$4,$CB7:$JS7)</f>
        <v>0</v>
      </c>
      <c r="BP7" s="50" t="n">
        <f aca="false">SUMIF($CB$4:$JS$4,BP$4,$CB7:$JS7)</f>
        <v>0</v>
      </c>
      <c r="BQ7" s="50" t="n">
        <f aca="false">SUMIF($CB$4:$JS$4,BQ$4,$CB7:$JS7)</f>
        <v>0</v>
      </c>
      <c r="BR7" s="50" t="n">
        <f aca="false">SUMIF($CB$4:$JS$4,BR$4,$CB7:$JS7)</f>
        <v>0</v>
      </c>
      <c r="BS7" s="50" t="n">
        <f aca="false">SUMIF($CB$4:$JS$4,BS$4,$CB7:$JS7)</f>
        <v>0</v>
      </c>
      <c r="BT7" s="50" t="n">
        <f aca="false">SUMIF($CB$4:$JS$4,BT$4,$CB7:$JS7)</f>
        <v>0</v>
      </c>
      <c r="BU7" s="50" t="n">
        <f aca="false">SUMIF($CB$4:$JS$4,BU$4,$CB7:$JS7)</f>
        <v>0</v>
      </c>
      <c r="BV7" s="50" t="n">
        <f aca="false">SUMIF($CB$4:$JS$4,BV$4,$CB7:$JS7)</f>
        <v>0</v>
      </c>
      <c r="BW7" s="50" t="n">
        <f aca="false">SUMIF($CB$4:$JS$4,BW$4,$CB7:$JS7)</f>
        <v>0</v>
      </c>
      <c r="BX7" s="50" t="n">
        <f aca="false">SUMIF($CB$4:$JS$4,"&gt;"&amp;'VALOR POR PL'!$P$8,$CB7:$JS7)</f>
        <v>0</v>
      </c>
      <c r="BY7" s="50" t="n">
        <f aca="false">SUM($CB7:$JS7)</f>
        <v>5905.19</v>
      </c>
      <c r="BZ7" s="45" t="n">
        <f aca="false">SUMPRODUCT(($CB$4:$JS$4&lt;&gt;"")*($CB$4:$JS$4&lt;=$D$4),$CB7:$JS7,$CB$1:$JS$1)</f>
        <v>0.135797845387852</v>
      </c>
      <c r="CB7" s="133" t="n">
        <f aca="false">IF(OR(CB$4="",$B7=""),0,SUMIF('DADOS BRUTOS'!$A$3:$A$500,$B7,'DADOS BRUTOS'!B$3:B$500)+IF($C7="",0,SUMIF('DADOS BRUTOS'!$A$3:$A$500,$C7,'DADOS BRUTOS'!B$3:B$500)))</f>
        <v>0</v>
      </c>
      <c r="CC7" s="133" t="n">
        <f aca="false">IF(OR(CC$4="",$B7=""),0,SUMIF('DADOS BRUTOS'!$A$3:$A$500,$B7,'DADOS BRUTOS'!C$3:C$500)+IF($C7="",0,SUMIF('DADOS BRUTOS'!$A$3:$A$500,$C7,'DADOS BRUTOS'!C$3:C$500)))</f>
        <v>0</v>
      </c>
      <c r="CD7" s="133" t="n">
        <f aca="false">IF(OR(CD$4="",$B7=""),0,SUMIF('DADOS BRUTOS'!$A$3:$A$500,$B7,'DADOS BRUTOS'!D$3:D$500)+IF($C7="",0,SUMIF('DADOS BRUTOS'!$A$3:$A$500,$C7,'DADOS BRUTOS'!D$3:D$500)))</f>
        <v>0</v>
      </c>
      <c r="CE7" s="133" t="n">
        <f aca="false">IF(OR(CE$4="",$B7=""),0,SUMIF('DADOS BRUTOS'!$A$3:$A$500,$B7,'DADOS BRUTOS'!E$3:E$500)+IF($C7="",0,SUMIF('DADOS BRUTOS'!$A$3:$A$500,$C7,'DADOS BRUTOS'!E$3:E$500)))</f>
        <v>0</v>
      </c>
      <c r="CF7" s="133" t="n">
        <f aca="false">IF(OR(CF$4="",$B7=""),0,SUMIF('DADOS BRUTOS'!$A$3:$A$500,$B7,'DADOS BRUTOS'!F$3:F$500)+IF($C7="",0,SUMIF('DADOS BRUTOS'!$A$3:$A$500,$C7,'DADOS BRUTOS'!F$3:F$500)))</f>
        <v>0</v>
      </c>
      <c r="CG7" s="133" t="n">
        <f aca="false">IF(OR(CG$4="",$B7=""),0,SUMIF('DADOS BRUTOS'!$A$3:$A$500,$B7,'DADOS BRUTOS'!G$3:G$500)+IF($C7="",0,SUMIF('DADOS BRUTOS'!$A$3:$A$500,$C7,'DADOS BRUTOS'!G$3:G$500)))</f>
        <v>0</v>
      </c>
      <c r="CH7" s="133" t="n">
        <f aca="false">IF(OR(CH$4="",$B7=""),0,SUMIF('DADOS BRUTOS'!$A$3:$A$500,$B7,'DADOS BRUTOS'!H$3:H$500)+IF($C7="",0,SUMIF('DADOS BRUTOS'!$A$3:$A$500,$C7,'DADOS BRUTOS'!H$3:H$500)))</f>
        <v>0</v>
      </c>
      <c r="CI7" s="133" t="n">
        <f aca="false">IF(OR(CI$4="",$B7=""),0,SUMIF('DADOS BRUTOS'!$A$3:$A$500,$B7,'DADOS BRUTOS'!I$3:I$500)+IF($C7="",0,SUMIF('DADOS BRUTOS'!$A$3:$A$500,$C7,'DADOS BRUTOS'!I$3:I$500)))</f>
        <v>0</v>
      </c>
      <c r="CJ7" s="133" t="n">
        <f aca="false">IF(OR(CJ$4="",$B7=""),0,SUMIF('DADOS BRUTOS'!$A$3:$A$500,$B7,'DADOS BRUTOS'!J$3:J$500)+IF($C7="",0,SUMIF('DADOS BRUTOS'!$A$3:$A$500,$C7,'DADOS BRUTOS'!J$3:J$500)))</f>
        <v>154.1</v>
      </c>
      <c r="CK7" s="133" t="n">
        <f aca="false">IF(OR(CK$4="",$B7=""),0,SUMIF('DADOS BRUTOS'!$A$3:$A$500,$B7,'DADOS BRUTOS'!K$3:K$500)+IF($C7="",0,SUMIF('DADOS BRUTOS'!$A$3:$A$500,$C7,'DADOS BRUTOS'!K$3:K$500)))</f>
        <v>0</v>
      </c>
      <c r="CL7" s="133" t="n">
        <f aca="false">IF(OR(CL$4="",$B7=""),0,SUMIF('DADOS BRUTOS'!$A$3:$A$500,$B7,'DADOS BRUTOS'!L$3:L$500)+IF($C7="",0,SUMIF('DADOS BRUTOS'!$A$3:$A$500,$C7,'DADOS BRUTOS'!L$3:L$500)))</f>
        <v>0</v>
      </c>
      <c r="CM7" s="133" t="n">
        <f aca="false">IF(OR(CM$4="",$B7=""),0,SUMIF('DADOS BRUTOS'!$A$3:$A$500,$B7,'DADOS BRUTOS'!M$3:M$500)+IF($C7="",0,SUMIF('DADOS BRUTOS'!$A$3:$A$500,$C7,'DADOS BRUTOS'!M$3:M$500)))</f>
        <v>0</v>
      </c>
      <c r="CN7" s="133" t="n">
        <f aca="false">IF(OR(CN$4="",$B7=""),0,SUMIF('DADOS BRUTOS'!$A$3:$A$500,$B7,'DADOS BRUTOS'!N$3:N$500)+IF($C7="",0,SUMIF('DADOS BRUTOS'!$A$3:$A$500,$C7,'DADOS BRUTOS'!N$3:N$500)))</f>
        <v>0</v>
      </c>
      <c r="CO7" s="133" t="n">
        <f aca="false">IF(OR(CO$4="",$B7=""),0,SUMIF('DADOS BRUTOS'!$A$3:$A$500,$B7,'DADOS BRUTOS'!O$3:O$500)+IF($C7="",0,SUMIF('DADOS BRUTOS'!$A$3:$A$500,$C7,'DADOS BRUTOS'!O$3:O$500)))</f>
        <v>40.62</v>
      </c>
      <c r="CP7" s="133" t="n">
        <f aca="false">IF(OR(CP$4="",$B7=""),0,SUMIF('DADOS BRUTOS'!$A$3:$A$500,$B7,'DADOS BRUTOS'!P$3:P$500)+IF($C7="",0,SUMIF('DADOS BRUTOS'!$A$3:$A$500,$C7,'DADOS BRUTOS'!P$3:P$500)))</f>
        <v>0</v>
      </c>
      <c r="CQ7" s="133" t="n">
        <f aca="false">IF(OR(CQ$4="",$B7=""),0,SUMIF('DADOS BRUTOS'!$A$3:$A$500,$B7,'DADOS BRUTOS'!Q$3:Q$500)+IF($C7="",0,SUMIF('DADOS BRUTOS'!$A$3:$A$500,$C7,'DADOS BRUTOS'!Q$3:Q$500)))</f>
        <v>0</v>
      </c>
      <c r="CR7" s="133" t="n">
        <f aca="false">IF(OR(CR$4="",$B7=""),0,SUMIF('DADOS BRUTOS'!$A$3:$A$500,$B7,'DADOS BRUTOS'!R$3:R$500)+IF($C7="",0,SUMIF('DADOS BRUTOS'!$A$3:$A$500,$C7,'DADOS BRUTOS'!R$3:R$500)))</f>
        <v>0</v>
      </c>
      <c r="CS7" s="133" t="n">
        <f aca="false">IF(OR(CS$4="",$B7=""),0,SUMIF('DADOS BRUTOS'!$A$3:$A$500,$B7,'DADOS BRUTOS'!S$3:S$500)+IF($C7="",0,SUMIF('DADOS BRUTOS'!$A$3:$A$500,$C7,'DADOS BRUTOS'!S$3:S$500)))</f>
        <v>0</v>
      </c>
      <c r="CT7" s="133" t="n">
        <f aca="false">IF(OR(CT$4="",$B7=""),0,SUMIF('DADOS BRUTOS'!$A$3:$A$500,$B7,'DADOS BRUTOS'!T$3:T$500)+IF($C7="",0,SUMIF('DADOS BRUTOS'!$A$3:$A$500,$C7,'DADOS BRUTOS'!T$3:T$500)))</f>
        <v>64.24</v>
      </c>
      <c r="CU7" s="133" t="n">
        <f aca="false">IF(OR(CU$4="",$B7=""),0,SUMIF('DADOS BRUTOS'!$A$3:$A$500,$B7,'DADOS BRUTOS'!U$3:U$500)+IF($C7="",0,SUMIF('DADOS BRUTOS'!$A$3:$A$500,$C7,'DADOS BRUTOS'!U$3:U$500)))</f>
        <v>0</v>
      </c>
      <c r="CV7" s="133" t="n">
        <f aca="false">IF(OR(CV$4="",$B7=""),0,SUMIF('DADOS BRUTOS'!$A$3:$A$500,$B7,'DADOS BRUTOS'!V$3:V$500)+IF($C7="",0,SUMIF('DADOS BRUTOS'!$A$3:$A$500,$C7,'DADOS BRUTOS'!V$3:V$500)))</f>
        <v>0</v>
      </c>
      <c r="CW7" s="133" t="n">
        <f aca="false">IF(OR(CW$4="",$B7=""),0,SUMIF('DADOS BRUTOS'!$A$3:$A$500,$B7,'DADOS BRUTOS'!W$3:W$500)+IF($C7="",0,SUMIF('DADOS BRUTOS'!$A$3:$A$500,$C7,'DADOS BRUTOS'!W$3:W$500)))</f>
        <v>0</v>
      </c>
      <c r="CX7" s="133" t="n">
        <f aca="false">IF(OR(CX$4="",$B7=""),0,SUMIF('DADOS BRUTOS'!$A$3:$A$500,$B7,'DADOS BRUTOS'!X$3:X$500)+IF($C7="",0,SUMIF('DADOS BRUTOS'!$A$3:$A$500,$C7,'DADOS BRUTOS'!X$3:X$500)))</f>
        <v>0</v>
      </c>
      <c r="CY7" s="133" t="n">
        <f aca="false">IF(OR(CY$4="",$B7=""),0,SUMIF('DADOS BRUTOS'!$A$3:$A$500,$B7,'DADOS BRUTOS'!Y$3:Y$500)+IF($C7="",0,SUMIF('DADOS BRUTOS'!$A$3:$A$500,$C7,'DADOS BRUTOS'!Y$3:Y$500)))</f>
        <v>103.03</v>
      </c>
      <c r="CZ7" s="133" t="n">
        <f aca="false">IF(OR(CZ$4="",$B7=""),0,SUMIF('DADOS BRUTOS'!$A$3:$A$500,$B7,'DADOS BRUTOS'!Z$3:Z$500)+IF($C7="",0,SUMIF('DADOS BRUTOS'!$A$3:$A$500,$C7,'DADOS BRUTOS'!Z$3:Z$500)))</f>
        <v>0</v>
      </c>
      <c r="DA7" s="133" t="n">
        <f aca="false">IF(OR(DA$4="",$B7=""),0,SUMIF('DADOS BRUTOS'!$A$3:$A$500,$B7,'DADOS BRUTOS'!AA$3:AA$500)+IF($C7="",0,SUMIF('DADOS BRUTOS'!$A$3:$A$500,$C7,'DADOS BRUTOS'!AA$3:AA$500)))</f>
        <v>0</v>
      </c>
      <c r="DB7" s="133" t="n">
        <f aca="false">IF(OR(DB$4="",$B7=""),0,SUMIF('DADOS BRUTOS'!$A$3:$A$500,$B7,'DADOS BRUTOS'!AB$3:AB$500)+IF($C7="",0,SUMIF('DADOS BRUTOS'!$A$3:$A$500,$C7,'DADOS BRUTOS'!AB$3:AB$500)))</f>
        <v>0</v>
      </c>
      <c r="DC7" s="133" t="n">
        <f aca="false">IF(OR(DC$4="",$B7=""),0,SUMIF('DADOS BRUTOS'!$A$3:$A$500,$B7,'DADOS BRUTOS'!AC$3:AC$500)+IF($C7="",0,SUMIF('DADOS BRUTOS'!$A$3:$A$500,$C7,'DADOS BRUTOS'!AC$3:AC$500)))</f>
        <v>0</v>
      </c>
      <c r="DD7" s="133" t="n">
        <f aca="false">IF(OR(DD$4="",$B7=""),0,SUMIF('DADOS BRUTOS'!$A$3:$A$500,$B7,'DADOS BRUTOS'!AD$3:AD$500)+IF($C7="",0,SUMIF('DADOS BRUTOS'!$A$3:$A$500,$C7,'DADOS BRUTOS'!AD$3:AD$500)))</f>
        <v>0</v>
      </c>
      <c r="DE7" s="133" t="n">
        <f aca="false">IF(OR(DE$4="",$B7=""),0,SUMIF('DADOS BRUTOS'!$A$3:$A$500,$B7,'DADOS BRUTOS'!AE$3:AE$500)+IF($C7="",0,SUMIF('DADOS BRUTOS'!$A$3:$A$500,$C7,'DADOS BRUTOS'!AE$3:AE$500)))</f>
        <v>0</v>
      </c>
      <c r="DF7" s="133" t="n">
        <f aca="false">IF(OR(DF$4="",$B7=""),0,SUMIF('DADOS BRUTOS'!$A$3:$A$500,$B7,'DADOS BRUTOS'!AF$3:AF$500)+IF($C7="",0,SUMIF('DADOS BRUTOS'!$A$3:$A$500,$C7,'DADOS BRUTOS'!AF$3:AF$500)))</f>
        <v>0</v>
      </c>
      <c r="DG7" s="133" t="n">
        <f aca="false">IF(OR(DG$4="",$B7=""),0,SUMIF('DADOS BRUTOS'!$A$3:$A$500,$B7,'DADOS BRUTOS'!AG$3:AG$500)+IF($C7="",0,SUMIF('DADOS BRUTOS'!$A$3:$A$500,$C7,'DADOS BRUTOS'!AG$3:AG$500)))</f>
        <v>0</v>
      </c>
      <c r="DH7" s="133" t="n">
        <f aca="false">IF(OR(DH$4="",$B7=""),0,SUMIF('DADOS BRUTOS'!$A$3:$A$500,$B7,'DADOS BRUTOS'!AH$3:AH$500)+IF($C7="",0,SUMIF('DADOS BRUTOS'!$A$3:$A$500,$C7,'DADOS BRUTOS'!AH$3:AH$500)))</f>
        <v>5543.2</v>
      </c>
      <c r="DI7" s="133" t="n">
        <f aca="false">IF(OR(DI$4="",$B7=""),0,SUMIF('DADOS BRUTOS'!$A$3:$A$500,$B7,'DADOS BRUTOS'!AI$3:AI$500)+IF($C7="",0,SUMIF('DADOS BRUTOS'!$A$3:$A$500,$C7,'DADOS BRUTOS'!AI$3:AI$500)))</f>
        <v>0</v>
      </c>
      <c r="DJ7" s="133" t="n">
        <f aca="false">IF(OR(DJ$4="",$B7=""),0,SUMIF('DADOS BRUTOS'!$A$3:$A$500,$B7,'DADOS BRUTOS'!AJ$3:AJ$500)+IF($C7="",0,SUMIF('DADOS BRUTOS'!$A$3:$A$500,$C7,'DADOS BRUTOS'!AJ$3:AJ$500)))</f>
        <v>0</v>
      </c>
      <c r="DK7" s="133" t="n">
        <f aca="false">IF(OR(DK$4="",$B7=""),0,SUMIF('DADOS BRUTOS'!$A$3:$A$500,$B7,'DADOS BRUTOS'!AK$3:AK$500)+IF($C7="",0,SUMIF('DADOS BRUTOS'!$A$3:$A$500,$C7,'DADOS BRUTOS'!AK$3:AK$500)))</f>
        <v>0</v>
      </c>
      <c r="DL7" s="133" t="n">
        <f aca="false">IF(OR(DL$4="",$B7=""),0,SUMIF('DADOS BRUTOS'!$A$3:$A$500,$B7,'DADOS BRUTOS'!AL$3:AL$500)+IF($C7="",0,SUMIF('DADOS BRUTOS'!$A$3:$A$500,$C7,'DADOS BRUTOS'!AL$3:AL$500)))</f>
        <v>0</v>
      </c>
      <c r="DM7" s="133" t="n">
        <f aca="false">IF(OR(DM$4="",$B7=""),0,SUMIF('DADOS BRUTOS'!$A$3:$A$500,$B7,'DADOS BRUTOS'!AM$3:AM$500)+IF($C7="",0,SUMIF('DADOS BRUTOS'!$A$3:$A$500,$C7,'DADOS BRUTOS'!AM$3:AM$500)))</f>
        <v>0</v>
      </c>
      <c r="DN7" s="133" t="n">
        <f aca="false">IF(OR(DN$4="",$B7=""),0,SUMIF('DADOS BRUTOS'!$A$3:$A$500,$B7,'DADOS BRUTOS'!AN$3:AN$500)+IF($C7="",0,SUMIF('DADOS BRUTOS'!$A$3:$A$500,$C7,'DADOS BRUTOS'!AN$3:AN$500)))</f>
        <v>0</v>
      </c>
      <c r="DO7" s="133" t="n">
        <f aca="false">IF(OR(DO$4="",$B7=""),0,SUMIF('DADOS BRUTOS'!$A$3:$A$500,$B7,'DADOS BRUTOS'!AO$3:AO$500)+IF($C7="",0,SUMIF('DADOS BRUTOS'!$A$3:$A$500,$C7,'DADOS BRUTOS'!AO$3:AO$500)))</f>
        <v>0</v>
      </c>
      <c r="DP7" s="133" t="n">
        <f aca="false">IF(OR(DP$4="",$B7=""),0,SUMIF('DADOS BRUTOS'!$A$3:$A$500,$B7,'DADOS BRUTOS'!AP$3:AP$500)+IF($C7="",0,SUMIF('DADOS BRUTOS'!$A$3:$A$500,$C7,'DADOS BRUTOS'!AP$3:AP$500)))</f>
        <v>0</v>
      </c>
      <c r="DQ7" s="133" t="n">
        <f aca="false">IF(OR(DQ$4="",$B7=""),0,SUMIF('DADOS BRUTOS'!$A$3:$A$500,$B7,'DADOS BRUTOS'!AQ$3:AQ$500)+IF($C7="",0,SUMIF('DADOS BRUTOS'!$A$3:$A$500,$C7,'DADOS BRUTOS'!AQ$3:AQ$500)))</f>
        <v>0</v>
      </c>
      <c r="DR7" s="133" t="n">
        <f aca="false">IF(OR(DR$4="",$B7=""),0,SUMIF('DADOS BRUTOS'!$A$3:$A$500,$B7,'DADOS BRUTOS'!AR$3:AR$500)+IF($C7="",0,SUMIF('DADOS BRUTOS'!$A$3:$A$500,$C7,'DADOS BRUTOS'!AR$3:AR$500)))</f>
        <v>0</v>
      </c>
      <c r="DS7" s="133" t="n">
        <f aca="false">IF(OR(DS$4="",$B7=""),0,SUMIF('DADOS BRUTOS'!$A$3:$A$500,$B7,'DADOS BRUTOS'!AS$3:AS$500)+IF($C7="",0,SUMIF('DADOS BRUTOS'!$A$3:$A$500,$C7,'DADOS BRUTOS'!AS$3:AS$500)))</f>
        <v>0</v>
      </c>
      <c r="DT7" s="133" t="n">
        <f aca="false">IF(OR(DT$4="",$B7=""),0,SUMIF('DADOS BRUTOS'!$A$3:$A$500,$B7,'DADOS BRUTOS'!AT$3:AT$500)+IF($C7="",0,SUMIF('DADOS BRUTOS'!$A$3:$A$500,$C7,'DADOS BRUTOS'!AT$3:AT$500)))</f>
        <v>0</v>
      </c>
      <c r="DU7" s="133" t="n">
        <f aca="false">IF(OR(DU$4="",$B7=""),0,SUMIF('DADOS BRUTOS'!$A$3:$A$500,$B7,'DADOS BRUTOS'!AU$3:AU$500)+IF($C7="",0,SUMIF('DADOS BRUTOS'!$A$3:$A$500,$C7,'DADOS BRUTOS'!AU$3:AU$500)))</f>
        <v>0</v>
      </c>
      <c r="DV7" s="133" t="n">
        <f aca="false">IF(OR(DV$4="",$B7=""),0,SUMIF('DADOS BRUTOS'!$A$3:$A$500,$B7,'DADOS BRUTOS'!AV$3:AV$500)+IF($C7="",0,SUMIF('DADOS BRUTOS'!$A$3:$A$500,$C7,'DADOS BRUTOS'!AV$3:AV$500)))</f>
        <v>0</v>
      </c>
      <c r="DW7" s="133" t="n">
        <f aca="false">IF(OR(DW$4="",$B7=""),0,SUMIF('DADOS BRUTOS'!$A$3:$A$500,$B7,'DADOS BRUTOS'!AW$3:AW$500)+IF($C7="",0,SUMIF('DADOS BRUTOS'!$A$3:$A$500,$C7,'DADOS BRUTOS'!AW$3:AW$500)))</f>
        <v>0</v>
      </c>
      <c r="DX7" s="133" t="n">
        <f aca="false">IF(OR(DX$4="",$B7=""),0,SUMIF('DADOS BRUTOS'!$A$3:$A$500,$B7,'DADOS BRUTOS'!AX$3:AX$500)+IF($C7="",0,SUMIF('DADOS BRUTOS'!$A$3:$A$500,$C7,'DADOS BRUTOS'!AX$3:AX$500)))</f>
        <v>0</v>
      </c>
      <c r="DY7" s="133" t="n">
        <f aca="false">IF(OR(DY$4="",$B7=""),0,SUMIF('DADOS BRUTOS'!$A$3:$A$500,$B7,'DADOS BRUTOS'!AY$3:AY$500)+IF($C7="",0,SUMIF('DADOS BRUTOS'!$A$3:$A$500,$C7,'DADOS BRUTOS'!AY$3:AY$500)))</f>
        <v>0</v>
      </c>
      <c r="DZ7" s="133" t="n">
        <f aca="false">IF(OR(DZ$4="",$B7=""),0,SUMIF('DADOS BRUTOS'!$A$3:$A$500,$B7,'DADOS BRUTOS'!AZ$3:AZ$500)+IF($C7="",0,SUMIF('DADOS BRUTOS'!$A$3:$A$500,$C7,'DADOS BRUTOS'!AZ$3:AZ$500)))</f>
        <v>0</v>
      </c>
      <c r="EA7" s="133" t="n">
        <f aca="false">IF(OR(EA$4="",$B7=""),0,SUMIF('DADOS BRUTOS'!$A$3:$A$500,$B7,'DADOS BRUTOS'!BA$3:BA$500)+IF($C7="",0,SUMIF('DADOS BRUTOS'!$A$3:$A$500,$C7,'DADOS BRUTOS'!BA$3:BA$500)))</f>
        <v>0</v>
      </c>
      <c r="EB7" s="133" t="n">
        <f aca="false">IF(OR(EB$4="",$B7=""),0,SUMIF('DADOS BRUTOS'!$A$3:$A$500,$B7,'DADOS BRUTOS'!BB$3:BB$500)+IF($C7="",0,SUMIF('DADOS BRUTOS'!$A$3:$A$500,$C7,'DADOS BRUTOS'!BB$3:BB$500)))</f>
        <v>0</v>
      </c>
      <c r="EC7" s="133" t="n">
        <f aca="false">IF(OR(EC$4="",$B7=""),0,SUMIF('DADOS BRUTOS'!$A$3:$A$500,$B7,'DADOS BRUTOS'!BC$3:BC$500)+IF($C7="",0,SUMIF('DADOS BRUTOS'!$A$3:$A$500,$C7,'DADOS BRUTOS'!BC$3:BC$500)))</f>
        <v>0</v>
      </c>
      <c r="ED7" s="133" t="n">
        <f aca="false">IF(OR(ED$4="",$B7=""),0,SUMIF('DADOS BRUTOS'!$A$3:$A$500,$B7,'DADOS BRUTOS'!BD$3:BD$500)+IF($C7="",0,SUMIF('DADOS BRUTOS'!$A$3:$A$500,$C7,'DADOS BRUTOS'!BD$3:BD$500)))</f>
        <v>0</v>
      </c>
      <c r="EE7" s="133" t="n">
        <f aca="false">IF(OR(EE$4="",$B7=""),0,SUMIF('DADOS BRUTOS'!$A$3:$A$500,$B7,'DADOS BRUTOS'!BE$3:BE$500)+IF($C7="",0,SUMIF('DADOS BRUTOS'!$A$3:$A$500,$C7,'DADOS BRUTOS'!BE$3:BE$500)))</f>
        <v>0</v>
      </c>
      <c r="EF7" s="133" t="n">
        <f aca="false">IF(OR(EF$4="",$B7=""),0,SUMIF('DADOS BRUTOS'!$A$3:$A$500,$B7,'DADOS BRUTOS'!BF$3:BF$500)+IF($C7="",0,SUMIF('DADOS BRUTOS'!$A$3:$A$500,$C7,'DADOS BRUTOS'!BF$3:BF$500)))</f>
        <v>0</v>
      </c>
      <c r="EG7" s="133" t="n">
        <f aca="false">IF(OR(EG$4="",$B7=""),0,SUMIF('DADOS BRUTOS'!$A$3:$A$500,$B7,'DADOS BRUTOS'!BG$3:BG$500)+IF($C7="",0,SUMIF('DADOS BRUTOS'!$A$3:$A$500,$C7,'DADOS BRUTOS'!BG$3:BG$500)))</f>
        <v>0</v>
      </c>
      <c r="EH7" s="133" t="n">
        <f aca="false">IF(OR(EH$4="",$B7=""),0,SUMIF('DADOS BRUTOS'!$A$3:$A$500,$B7,'DADOS BRUTOS'!BH$3:BH$500)+IF($C7="",0,SUMIF('DADOS BRUTOS'!$A$3:$A$500,$C7,'DADOS BRUTOS'!BH$3:BH$500)))</f>
        <v>0</v>
      </c>
      <c r="EI7" s="133" t="n">
        <f aca="false">IF(OR(EI$4="",$B7=""),0,SUMIF('DADOS BRUTOS'!$A$3:$A$500,$B7,'DADOS BRUTOS'!BI$3:BI$500)+IF($C7="",0,SUMIF('DADOS BRUTOS'!$A$3:$A$500,$C7,'DADOS BRUTOS'!BI$3:BI$500)))</f>
        <v>0</v>
      </c>
      <c r="EJ7" s="133" t="n">
        <f aca="false">IF(OR(EJ$4="",$B7=""),0,SUMIF('DADOS BRUTOS'!$A$3:$A$500,$B7,'DADOS BRUTOS'!BJ$3:BJ$500)+IF($C7="",0,SUMIF('DADOS BRUTOS'!$A$3:$A$500,$C7,'DADOS BRUTOS'!BJ$3:BJ$500)))</f>
        <v>0</v>
      </c>
      <c r="EK7" s="133" t="n">
        <f aca="false">IF(OR(EK$4="",$B7=""),0,SUMIF('DADOS BRUTOS'!$A$3:$A$500,$B7,'DADOS BRUTOS'!BK$3:BK$500)+IF($C7="",0,SUMIF('DADOS BRUTOS'!$A$3:$A$500,$C7,'DADOS BRUTOS'!BK$3:BK$500)))</f>
        <v>0</v>
      </c>
      <c r="EL7" s="133" t="n">
        <f aca="false">IF(OR(EL$4="",$B7=""),0,SUMIF('DADOS BRUTOS'!$A$3:$A$500,$B7,'DADOS BRUTOS'!BL$3:BL$500)+IF($C7="",0,SUMIF('DADOS BRUTOS'!$A$3:$A$500,$C7,'DADOS BRUTOS'!BL$3:BL$500)))</f>
        <v>0</v>
      </c>
      <c r="EM7" s="133" t="n">
        <f aca="false">IF(OR(EM$4="",$B7=""),0,SUMIF('DADOS BRUTOS'!$A$3:$A$500,$B7,'DADOS BRUTOS'!BM$3:BM$500)+IF($C7="",0,SUMIF('DADOS BRUTOS'!$A$3:$A$500,$C7,'DADOS BRUTOS'!BM$3:BM$500)))</f>
        <v>0</v>
      </c>
      <c r="EN7" s="133" t="n">
        <f aca="false">IF(OR(EN$4="",$B7=""),0,SUMIF('DADOS BRUTOS'!$A$3:$A$500,$B7,'DADOS BRUTOS'!BN$3:BN$500)+IF($C7="",0,SUMIF('DADOS BRUTOS'!$A$3:$A$500,$C7,'DADOS BRUTOS'!BN$3:BN$500)))</f>
        <v>0</v>
      </c>
      <c r="EO7" s="133" t="n">
        <f aca="false">IF(OR(EO$4="",$B7=""),0,SUMIF('DADOS BRUTOS'!$A$3:$A$500,$B7,'DADOS BRUTOS'!BO$3:BO$500)+IF($C7="",0,SUMIF('DADOS BRUTOS'!$A$3:$A$500,$C7,'DADOS BRUTOS'!BO$3:BO$500)))</f>
        <v>0</v>
      </c>
      <c r="EP7" s="133" t="n">
        <f aca="false">IF(OR(EP$4="",$B7=""),0,SUMIF('DADOS BRUTOS'!$A$3:$A$500,$B7,'DADOS BRUTOS'!BP$3:BP$500)+IF($C7="",0,SUMIF('DADOS BRUTOS'!$A$3:$A$500,$C7,'DADOS BRUTOS'!BP$3:BP$500)))</f>
        <v>0</v>
      </c>
      <c r="EQ7" s="133" t="n">
        <f aca="false">IF(OR(EQ$4="",$B7=""),0,SUMIF('DADOS BRUTOS'!$A$3:$A$500,$B7,'DADOS BRUTOS'!BQ$3:BQ$500)+IF($C7="",0,SUMIF('DADOS BRUTOS'!$A$3:$A$500,$C7,'DADOS BRUTOS'!BQ$3:BQ$500)))</f>
        <v>0</v>
      </c>
      <c r="ER7" s="133" t="n">
        <f aca="false">IF(OR(ER$4="",$B7=""),0,SUMIF('DADOS BRUTOS'!$A$3:$A$500,$B7,'DADOS BRUTOS'!BR$3:BR$500)+IF($C7="",0,SUMIF('DADOS BRUTOS'!$A$3:$A$500,$C7,'DADOS BRUTOS'!BR$3:BR$500)))</f>
        <v>0</v>
      </c>
      <c r="ES7" s="133" t="n">
        <f aca="false">IF(OR(ES$4="",$B7=""),0,SUMIF('DADOS BRUTOS'!$A$3:$A$500,$B7,'DADOS BRUTOS'!BS$3:BS$500)+IF($C7="",0,SUMIF('DADOS BRUTOS'!$A$3:$A$500,$C7,'DADOS BRUTOS'!BS$3:BS$500)))</f>
        <v>0</v>
      </c>
      <c r="ET7" s="133" t="n">
        <f aca="false">IF(OR(ET$4="",$B7=""),0,SUMIF('DADOS BRUTOS'!$A$3:$A$500,$B7,'DADOS BRUTOS'!BT$3:BT$500)+IF($C7="",0,SUMIF('DADOS BRUTOS'!$A$3:$A$500,$C7,'DADOS BRUTOS'!BT$3:BT$500)))</f>
        <v>0</v>
      </c>
      <c r="EU7" s="133" t="n">
        <f aca="false">IF(OR(EU$4="",$B7=""),0,SUMIF('DADOS BRUTOS'!$A$3:$A$500,$B7,'DADOS BRUTOS'!BU$3:BU$500)+IF($C7="",0,SUMIF('DADOS BRUTOS'!$A$3:$A$500,$C7,'DADOS BRUTOS'!BU$3:BU$500)))</f>
        <v>0</v>
      </c>
      <c r="EV7" s="133" t="n">
        <f aca="false">IF(OR(EV$4="",$B7=""),0,SUMIF('DADOS BRUTOS'!$A$3:$A$500,$B7,'DADOS BRUTOS'!BV$3:BV$500)+IF($C7="",0,SUMIF('DADOS BRUTOS'!$A$3:$A$500,$C7,'DADOS BRUTOS'!BV$3:BV$500)))</f>
        <v>0</v>
      </c>
      <c r="EW7" s="133" t="n">
        <f aca="false">IF(OR(EW$4="",$B7=""),0,SUMIF('DADOS BRUTOS'!$A$3:$A$500,$B7,'DADOS BRUTOS'!BW$3:BW$500)+IF($C7="",0,SUMIF('DADOS BRUTOS'!$A$3:$A$500,$C7,'DADOS BRUTOS'!BW$3:BW$500)))</f>
        <v>0</v>
      </c>
      <c r="EX7" s="133" t="n">
        <f aca="false">IF(OR(EX$4="",$B7=""),0,SUMIF('DADOS BRUTOS'!$A$3:$A$500,$B7,'DADOS BRUTOS'!BX$3:BX$500)+IF($C7="",0,SUMIF('DADOS BRUTOS'!$A$3:$A$500,$C7,'DADOS BRUTOS'!BX$3:BX$500)))</f>
        <v>0</v>
      </c>
      <c r="EY7" s="133" t="n">
        <f aca="false">IF(OR(EY$4="",$B7=""),0,SUMIF('DADOS BRUTOS'!$A$3:$A$500,$B7,'DADOS BRUTOS'!BY$3:BY$500)+IF($C7="",0,SUMIF('DADOS BRUTOS'!$A$3:$A$500,$C7,'DADOS BRUTOS'!BY$3:BY$500)))</f>
        <v>0</v>
      </c>
      <c r="EZ7" s="133" t="n">
        <f aca="false">IF(OR(EZ$4="",$B7=""),0,SUMIF('DADOS BRUTOS'!$A$3:$A$500,$B7,'DADOS BRUTOS'!BZ$3:BZ$500)+IF($C7="",0,SUMIF('DADOS BRUTOS'!$A$3:$A$500,$C7,'DADOS BRUTOS'!BZ$3:BZ$500)))</f>
        <v>0</v>
      </c>
      <c r="FA7" s="133" t="n">
        <f aca="false">IF(OR(FA$4="",$B7=""),0,SUMIF('DADOS BRUTOS'!$A$3:$A$500,$B7,'DADOS BRUTOS'!CA$3:CA$500)+IF($C7="",0,SUMIF('DADOS BRUTOS'!$A$3:$A$500,$C7,'DADOS BRUTOS'!CA$3:CA$500)))</f>
        <v>0</v>
      </c>
      <c r="FB7" s="133" t="n">
        <f aca="false">IF(OR(FB$4="",$B7=""),0,SUMIF('DADOS BRUTOS'!$A$3:$A$500,$B7,'DADOS BRUTOS'!CB$3:CB$500)+IF($C7="",0,SUMIF('DADOS BRUTOS'!$A$3:$A$500,$C7,'DADOS BRUTOS'!CB$3:CB$500)))</f>
        <v>0</v>
      </c>
      <c r="FC7" s="133" t="n">
        <f aca="false">IF(OR(FC$4="",$B7=""),0,SUMIF('DADOS BRUTOS'!$A$3:$A$500,$B7,'DADOS BRUTOS'!CC$3:CC$500)+IF($C7="",0,SUMIF('DADOS BRUTOS'!$A$3:$A$500,$C7,'DADOS BRUTOS'!CC$3:CC$500)))</f>
        <v>0</v>
      </c>
      <c r="FD7" s="133" t="n">
        <f aca="false">IF(OR(FD$4="",$B7=""),0,SUMIF('DADOS BRUTOS'!$A$3:$A$500,$B7,'DADOS BRUTOS'!CD$3:CD$500)+IF($C7="",0,SUMIF('DADOS BRUTOS'!$A$3:$A$500,$C7,'DADOS BRUTOS'!CD$3:CD$500)))</f>
        <v>0</v>
      </c>
      <c r="FE7" s="133" t="n">
        <f aca="false">IF(OR(FE$4="",$B7=""),0,SUMIF('DADOS BRUTOS'!$A$3:$A$500,$B7,'DADOS BRUTOS'!CE$3:CE$500)+IF($C7="",0,SUMIF('DADOS BRUTOS'!$A$3:$A$500,$C7,'DADOS BRUTOS'!CE$3:CE$500)))</f>
        <v>0</v>
      </c>
      <c r="FF7" s="133" t="n">
        <f aca="false">IF(OR(FF$4="",$B7=""),0,SUMIF('DADOS BRUTOS'!$A$3:$A$500,$B7,'DADOS BRUTOS'!CF$3:CF$500)+IF($C7="",0,SUMIF('DADOS BRUTOS'!$A$3:$A$500,$C7,'DADOS BRUTOS'!CF$3:CF$500)))</f>
        <v>0</v>
      </c>
      <c r="FG7" s="133" t="n">
        <f aca="false">IF(OR(FG$4="",$B7=""),0,SUMIF('DADOS BRUTOS'!$A$3:$A$500,$B7,'DADOS BRUTOS'!CG$3:CG$500)+IF($C7="",0,SUMIF('DADOS BRUTOS'!$A$3:$A$500,$C7,'DADOS BRUTOS'!CG$3:CG$500)))</f>
        <v>0</v>
      </c>
      <c r="FH7" s="133" t="n">
        <f aca="false">IF(OR(FH$4="",$B7=""),0,SUMIF('DADOS BRUTOS'!$A$3:$A$500,$B7,'DADOS BRUTOS'!CH$3:CH$500)+IF($C7="",0,SUMIF('DADOS BRUTOS'!$A$3:$A$500,$C7,'DADOS BRUTOS'!CH$3:CH$500)))</f>
        <v>0</v>
      </c>
      <c r="FI7" s="133" t="n">
        <f aca="false">IF(OR(FI$4="",$B7=""),0,SUMIF('DADOS BRUTOS'!$A$3:$A$500,$B7,'DADOS BRUTOS'!CI$3:CI$500)+IF($C7="",0,SUMIF('DADOS BRUTOS'!$A$3:$A$500,$C7,'DADOS BRUTOS'!CI$3:CI$500)))</f>
        <v>0</v>
      </c>
      <c r="FJ7" s="133" t="n">
        <f aca="false">IF(OR(FJ$4="",$B7=""),0,SUMIF('DADOS BRUTOS'!$A$3:$A$500,$B7,'DADOS BRUTOS'!CJ$3:CJ$500)+IF($C7="",0,SUMIF('DADOS BRUTOS'!$A$3:$A$500,$C7,'DADOS BRUTOS'!CJ$3:CJ$500)))</f>
        <v>0</v>
      </c>
      <c r="FK7" s="133" t="n">
        <f aca="false">IF(OR(FK$4="",$B7=""),0,SUMIF('DADOS BRUTOS'!$A$3:$A$500,$B7,'DADOS BRUTOS'!CK$3:CK$500)+IF($C7="",0,SUMIF('DADOS BRUTOS'!$A$3:$A$500,$C7,'DADOS BRUTOS'!CK$3:CK$500)))</f>
        <v>0</v>
      </c>
      <c r="FL7" s="133" t="n">
        <f aca="false">IF(OR(FL$4="",$B7=""),0,SUMIF('DADOS BRUTOS'!$A$3:$A$500,$B7,'DADOS BRUTOS'!CL$3:CL$500)+IF($C7="",0,SUMIF('DADOS BRUTOS'!$A$3:$A$500,$C7,'DADOS BRUTOS'!CL$3:CL$500)))</f>
        <v>0</v>
      </c>
      <c r="FM7" s="133" t="n">
        <f aca="false">IF(OR(FM$4="",$B7=""),0,SUMIF('DADOS BRUTOS'!$A$3:$A$500,$B7,'DADOS BRUTOS'!CM$3:CM$500)+IF($C7="",0,SUMIF('DADOS BRUTOS'!$A$3:$A$500,$C7,'DADOS BRUTOS'!CM$3:CM$500)))</f>
        <v>0</v>
      </c>
      <c r="FN7" s="133" t="n">
        <f aca="false">IF(OR(FN$4="",$B7=""),0,SUMIF('DADOS BRUTOS'!$A$3:$A$500,$B7,'DADOS BRUTOS'!CN$3:CN$500)+IF($C7="",0,SUMIF('DADOS BRUTOS'!$A$3:$A$500,$C7,'DADOS BRUTOS'!CN$3:CN$500)))</f>
        <v>0</v>
      </c>
      <c r="FO7" s="133" t="n">
        <f aca="false">IF(OR(FO$4="",$B7=""),0,SUMIF('DADOS BRUTOS'!$A$3:$A$500,$B7,'DADOS BRUTOS'!CO$3:CO$500)+IF($C7="",0,SUMIF('DADOS BRUTOS'!$A$3:$A$500,$C7,'DADOS BRUTOS'!CO$3:CO$500)))</f>
        <v>0</v>
      </c>
      <c r="FP7" s="133" t="n">
        <f aca="false">IF(OR(FP$4="",$B7=""),0,SUMIF('DADOS BRUTOS'!$A$3:$A$500,$B7,'DADOS BRUTOS'!CP$3:CP$500)+IF($C7="",0,SUMIF('DADOS BRUTOS'!$A$3:$A$500,$C7,'DADOS BRUTOS'!CP$3:CP$500)))</f>
        <v>0</v>
      </c>
      <c r="FQ7" s="133" t="n">
        <f aca="false">IF(OR(FQ$4="",$B7=""),0,SUMIF('DADOS BRUTOS'!$A$3:$A$500,$B7,'DADOS BRUTOS'!CQ$3:CQ$500)+IF($C7="",0,SUMIF('DADOS BRUTOS'!$A$3:$A$500,$C7,'DADOS BRUTOS'!CQ$3:CQ$500)))</f>
        <v>0</v>
      </c>
      <c r="FR7" s="133" t="n">
        <f aca="false">IF(OR(FR$4="",$B7=""),0,SUMIF('DADOS BRUTOS'!$A$3:$A$500,$B7,'DADOS BRUTOS'!CR$3:CR$500)+IF($C7="",0,SUMIF('DADOS BRUTOS'!$A$3:$A$500,$C7,'DADOS BRUTOS'!CR$3:CR$500)))</f>
        <v>0</v>
      </c>
      <c r="FS7" s="133" t="n">
        <f aca="false">IF(OR(FS$4="",$B7=""),0,SUMIF('DADOS BRUTOS'!$A$3:$A$500,$B7,'DADOS BRUTOS'!CS$3:CS$500)+IF($C7="",0,SUMIF('DADOS BRUTOS'!$A$3:$A$500,$C7,'DADOS BRUTOS'!CS$3:CS$500)))</f>
        <v>0</v>
      </c>
      <c r="FT7" s="133" t="n">
        <f aca="false">IF(OR(FT$4="",$B7=""),0,SUMIF('DADOS BRUTOS'!$A$3:$A$500,$B7,'DADOS BRUTOS'!CT$3:CT$500)+IF($C7="",0,SUMIF('DADOS BRUTOS'!$A$3:$A$500,$C7,'DADOS BRUTOS'!CT$3:CT$500)))</f>
        <v>0</v>
      </c>
      <c r="FU7" s="133" t="n">
        <f aca="false">IF(OR(FU$4="",$B7=""),0,SUMIF('DADOS BRUTOS'!$A$3:$A$500,$B7,'DADOS BRUTOS'!CU$3:CU$500)+IF($C7="",0,SUMIF('DADOS BRUTOS'!$A$3:$A$500,$C7,'DADOS BRUTOS'!CU$3:CU$500)))</f>
        <v>0</v>
      </c>
      <c r="FV7" s="133" t="n">
        <f aca="false">IF(OR(FV$4="",$B7=""),0,SUMIF('DADOS BRUTOS'!$A$3:$A$500,$B7,'DADOS BRUTOS'!CV$3:CV$500)+IF($C7="",0,SUMIF('DADOS BRUTOS'!$A$3:$A$500,$C7,'DADOS BRUTOS'!CV$3:CV$500)))</f>
        <v>0</v>
      </c>
      <c r="FW7" s="133" t="n">
        <f aca="false">IF(OR(FW$4="",$B7=""),0,SUMIF('DADOS BRUTOS'!$A$3:$A$500,$B7,'DADOS BRUTOS'!CW$3:CW$500)+IF($C7="",0,SUMIF('DADOS BRUTOS'!$A$3:$A$500,$C7,'DADOS BRUTOS'!CW$3:CW$500)))</f>
        <v>0</v>
      </c>
      <c r="FX7" s="133" t="n">
        <f aca="false">IF(OR(FX$4="",$B7=""),0,SUMIF('DADOS BRUTOS'!$A$3:$A$500,$B7,'DADOS BRUTOS'!CX$3:CX$500)+IF($C7="",0,SUMIF('DADOS BRUTOS'!$A$3:$A$500,$C7,'DADOS BRUTOS'!CX$3:CX$500)))</f>
        <v>0</v>
      </c>
      <c r="FY7" s="133" t="n">
        <f aca="false">IF(OR(FY$4="",$B7=""),0,SUMIF('DADOS BRUTOS'!$A$3:$A$500,$B7,'DADOS BRUTOS'!CY$3:CY$500)+IF($C7="",0,SUMIF('DADOS BRUTOS'!$A$3:$A$500,$C7,'DADOS BRUTOS'!CY$3:CY$500)))</f>
        <v>0</v>
      </c>
      <c r="FZ7" s="133" t="n">
        <f aca="false">IF(OR(FZ$4="",$B7=""),0,SUMIF('DADOS BRUTOS'!$A$3:$A$500,$B7,'DADOS BRUTOS'!CZ$3:CZ$500)+IF($C7="",0,SUMIF('DADOS BRUTOS'!$A$3:$A$500,$C7,'DADOS BRUTOS'!CZ$3:CZ$500)))</f>
        <v>0</v>
      </c>
      <c r="GA7" s="133" t="n">
        <f aca="false">IF(OR(GA$4="",$B7=""),0,SUMIF('DADOS BRUTOS'!$A$3:$A$500,$B7,'DADOS BRUTOS'!DA$3:DA$500)+IF($C7="",0,SUMIF('DADOS BRUTOS'!$A$3:$A$500,$C7,'DADOS BRUTOS'!DA$3:DA$500)))</f>
        <v>0</v>
      </c>
      <c r="GB7" s="133" t="n">
        <f aca="false">IF(OR(GB$4="",$B7=""),0,SUMIF('DADOS BRUTOS'!$A$3:$A$500,$B7,'DADOS BRUTOS'!DB$3:DB$500)+IF($C7="",0,SUMIF('DADOS BRUTOS'!$A$3:$A$500,$C7,'DADOS BRUTOS'!DB$3:DB$500)))</f>
        <v>0</v>
      </c>
      <c r="GC7" s="133" t="n">
        <f aca="false">IF(OR(GC$4="",$B7=""),0,SUMIF('DADOS BRUTOS'!$A$3:$A$500,$B7,'DADOS BRUTOS'!DC$3:DC$500)+IF($C7="",0,SUMIF('DADOS BRUTOS'!$A$3:$A$500,$C7,'DADOS BRUTOS'!DC$3:DC$500)))</f>
        <v>0</v>
      </c>
      <c r="GD7" s="133" t="n">
        <f aca="false">IF(OR(GD$4="",$B7=""),0,SUMIF('DADOS BRUTOS'!$A$3:$A$500,$B7,'DADOS BRUTOS'!DD$3:DD$500)+IF($C7="",0,SUMIF('DADOS BRUTOS'!$A$3:$A$500,$C7,'DADOS BRUTOS'!DD$3:DD$500)))</f>
        <v>0</v>
      </c>
      <c r="GE7" s="133" t="n">
        <f aca="false">IF(OR(GE$4="",$B7=""),0,SUMIF('DADOS BRUTOS'!$A$3:$A$500,$B7,'DADOS BRUTOS'!DE$3:DE$500)+IF($C7="",0,SUMIF('DADOS BRUTOS'!$A$3:$A$500,$C7,'DADOS BRUTOS'!DE$3:DE$500)))</f>
        <v>0</v>
      </c>
      <c r="GF7" s="133" t="n">
        <f aca="false">IF(OR(GF$4="",$B7=""),0,SUMIF('DADOS BRUTOS'!$A$3:$A$500,$B7,'DADOS BRUTOS'!DF$3:DF$500)+IF($C7="",0,SUMIF('DADOS BRUTOS'!$A$3:$A$500,$C7,'DADOS BRUTOS'!DF$3:DF$500)))</f>
        <v>0</v>
      </c>
      <c r="GG7" s="133" t="n">
        <f aca="false">IF(OR(GG$4="",$B7=""),0,SUMIF('DADOS BRUTOS'!$A$3:$A$500,$B7,'DADOS BRUTOS'!DG$3:DG$500)+IF($C7="",0,SUMIF('DADOS BRUTOS'!$A$3:$A$500,$C7,'DADOS BRUTOS'!DG$3:DG$500)))</f>
        <v>0</v>
      </c>
      <c r="GH7" s="133" t="n">
        <f aca="false">IF(OR(GH$4="",$B7=""),0,SUMIF('DADOS BRUTOS'!$A$3:$A$500,$B7,'DADOS BRUTOS'!DH$3:DH$500)+IF($C7="",0,SUMIF('DADOS BRUTOS'!$A$3:$A$500,$C7,'DADOS BRUTOS'!DH$3:DH$500)))</f>
        <v>0</v>
      </c>
      <c r="GI7" s="133" t="n">
        <f aca="false">IF(OR(GI$4="",$B7=""),0,SUMIF('DADOS BRUTOS'!$A$3:$A$500,$B7,'DADOS BRUTOS'!DI$3:DI$500)+IF($C7="",0,SUMIF('DADOS BRUTOS'!$A$3:$A$500,$C7,'DADOS BRUTOS'!DI$3:DI$500)))</f>
        <v>0</v>
      </c>
      <c r="GJ7" s="133" t="n">
        <f aca="false">IF(OR(GJ$4="",$B7=""),0,SUMIF('DADOS BRUTOS'!$A$3:$A$500,$B7,'DADOS BRUTOS'!DJ$3:DJ$500)+IF($C7="",0,SUMIF('DADOS BRUTOS'!$A$3:$A$500,$C7,'DADOS BRUTOS'!DJ$3:DJ$500)))</f>
        <v>0</v>
      </c>
      <c r="GK7" s="133" t="n">
        <f aca="false">IF(OR(GK$4="",$B7=""),0,SUMIF('DADOS BRUTOS'!$A$3:$A$500,$B7,'DADOS BRUTOS'!DK$3:DK$500)+IF($C7="",0,SUMIF('DADOS BRUTOS'!$A$3:$A$500,$C7,'DADOS BRUTOS'!DK$3:DK$500)))</f>
        <v>0</v>
      </c>
      <c r="GL7" s="133" t="n">
        <f aca="false">IF(OR(GL$4="",$B7=""),0,SUMIF('DADOS BRUTOS'!$A$3:$A$500,$B7,'DADOS BRUTOS'!DL$3:DL$500)+IF($C7="",0,SUMIF('DADOS BRUTOS'!$A$3:$A$500,$C7,'DADOS BRUTOS'!DL$3:DL$500)))</f>
        <v>0</v>
      </c>
      <c r="GM7" s="133" t="n">
        <f aca="false">IF(OR(GM$4="",$B7=""),0,SUMIF('DADOS BRUTOS'!$A$3:$A$500,$B7,'DADOS BRUTOS'!DM$3:DM$500)+IF($C7="",0,SUMIF('DADOS BRUTOS'!$A$3:$A$500,$C7,'DADOS BRUTOS'!DM$3:DM$500)))</f>
        <v>0</v>
      </c>
      <c r="GN7" s="133" t="n">
        <f aca="false">IF(OR(GN$4="",$B7=""),0,SUMIF('DADOS BRUTOS'!$A$3:$A$500,$B7,'DADOS BRUTOS'!DN$3:DN$500)+IF($C7="",0,SUMIF('DADOS BRUTOS'!$A$3:$A$500,$C7,'DADOS BRUTOS'!DN$3:DN$500)))</f>
        <v>0</v>
      </c>
      <c r="GO7" s="133" t="n">
        <f aca="false">IF(OR(GO$4="",$B7=""),0,SUMIF('DADOS BRUTOS'!$A$3:$A$500,$B7,'DADOS BRUTOS'!DO$3:DO$500)+IF($C7="",0,SUMIF('DADOS BRUTOS'!$A$3:$A$500,$C7,'DADOS BRUTOS'!DO$3:DO$500)))</f>
        <v>0</v>
      </c>
      <c r="GP7" s="133" t="n">
        <f aca="false">IF(OR(GP$4="",$B7=""),0,SUMIF('DADOS BRUTOS'!$A$3:$A$500,$B7,'DADOS BRUTOS'!DP$3:DP$500)+IF($C7="",0,SUMIF('DADOS BRUTOS'!$A$3:$A$500,$C7,'DADOS BRUTOS'!DP$3:DP$500)))</f>
        <v>0</v>
      </c>
      <c r="GQ7" s="133" t="n">
        <f aca="false">IF(OR(GQ$4="",$B7=""),0,SUMIF('DADOS BRUTOS'!$A$3:$A$500,$B7,'DADOS BRUTOS'!DQ$3:DQ$500)+IF($C7="",0,SUMIF('DADOS BRUTOS'!$A$3:$A$500,$C7,'DADOS BRUTOS'!DQ$3:DQ$500)))</f>
        <v>0</v>
      </c>
      <c r="GR7" s="133" t="n">
        <f aca="false">IF(OR(GR$4="",$B7=""),0,SUMIF('DADOS BRUTOS'!$A$3:$A$500,$B7,'DADOS BRUTOS'!DR$3:DR$500)+IF($C7="",0,SUMIF('DADOS BRUTOS'!$A$3:$A$500,$C7,'DADOS BRUTOS'!DR$3:DR$500)))</f>
        <v>0</v>
      </c>
      <c r="GS7" s="133" t="n">
        <f aca="false">IF(OR(GS$4="",$B7=""),0,SUMIF('DADOS BRUTOS'!$A$3:$A$500,$B7,'DADOS BRUTOS'!DS$3:DS$500)+IF($C7="",0,SUMIF('DADOS BRUTOS'!$A$3:$A$500,$C7,'DADOS BRUTOS'!DS$3:DS$500)))</f>
        <v>0</v>
      </c>
      <c r="GT7" s="133" t="n">
        <f aca="false">IF(OR(GT$4="",$B7=""),0,SUMIF('DADOS BRUTOS'!$A$3:$A$500,$B7,'DADOS BRUTOS'!DT$3:DT$500)+IF($C7="",0,SUMIF('DADOS BRUTOS'!$A$3:$A$500,$C7,'DADOS BRUTOS'!DT$3:DT$500)))</f>
        <v>0</v>
      </c>
      <c r="GU7" s="133" t="n">
        <f aca="false">IF(OR(GU$4="",$B7=""),0,SUMIF('DADOS BRUTOS'!$A$3:$A$500,$B7,'DADOS BRUTOS'!DU$3:DU$500)+IF($C7="",0,SUMIF('DADOS BRUTOS'!$A$3:$A$500,$C7,'DADOS BRUTOS'!DU$3:DU$500)))</f>
        <v>0</v>
      </c>
      <c r="GV7" s="133" t="n">
        <f aca="false">IF(OR(GV$4="",$B7=""),0,SUMIF('DADOS BRUTOS'!$A$3:$A$500,$B7,'DADOS BRUTOS'!DV$3:DV$500)+IF($C7="",0,SUMIF('DADOS BRUTOS'!$A$3:$A$500,$C7,'DADOS BRUTOS'!DV$3:DV$500)))</f>
        <v>0</v>
      </c>
      <c r="GW7" s="133" t="n">
        <f aca="false">IF(OR(GW$4="",$B7=""),0,SUMIF('DADOS BRUTOS'!$A$3:$A$500,$B7,'DADOS BRUTOS'!DW$3:DW$500)+IF($C7="",0,SUMIF('DADOS BRUTOS'!$A$3:$A$500,$C7,'DADOS BRUTOS'!DW$3:DW$500)))</f>
        <v>0</v>
      </c>
      <c r="GX7" s="133" t="n">
        <f aca="false">IF(OR(GX$4="",$B7=""),0,SUMIF('DADOS BRUTOS'!$A$3:$A$500,$B7,'DADOS BRUTOS'!DX$3:DX$500)+IF($C7="",0,SUMIF('DADOS BRUTOS'!$A$3:$A$500,$C7,'DADOS BRUTOS'!DX$3:DX$500)))</f>
        <v>0</v>
      </c>
      <c r="GY7" s="133" t="n">
        <f aca="false">IF(OR(GY$4="",$B7=""),0,SUMIF('DADOS BRUTOS'!$A$3:$A$500,$B7,'DADOS BRUTOS'!DY$3:DY$500)+IF($C7="",0,SUMIF('DADOS BRUTOS'!$A$3:$A$500,$C7,'DADOS BRUTOS'!DY$3:DY$500)))</f>
        <v>0</v>
      </c>
      <c r="GZ7" s="133" t="n">
        <f aca="false">IF(OR(GZ$4="",$B7=""),0,SUMIF('DADOS BRUTOS'!$A$3:$A$500,$B7,'DADOS BRUTOS'!DZ$3:DZ$500)+IF($C7="",0,SUMIF('DADOS BRUTOS'!$A$3:$A$500,$C7,'DADOS BRUTOS'!DZ$3:DZ$500)))</f>
        <v>0</v>
      </c>
      <c r="HA7" s="133" t="n">
        <f aca="false">IF(OR(HA$4="",$B7=""),0,SUMIF('DADOS BRUTOS'!$A$3:$A$500,$B7,'DADOS BRUTOS'!EA$3:EA$500)+IF($C7="",0,SUMIF('DADOS BRUTOS'!$A$3:$A$500,$C7,'DADOS BRUTOS'!EA$3:EA$500)))</f>
        <v>0</v>
      </c>
      <c r="HB7" s="133" t="n">
        <f aca="false">IF(OR(HB$4="",$B7=""),0,SUMIF('DADOS BRUTOS'!$A$3:$A$500,$B7,'DADOS BRUTOS'!EB$3:EB$500)+IF($C7="",0,SUMIF('DADOS BRUTOS'!$A$3:$A$500,$C7,'DADOS BRUTOS'!EB$3:EB$500)))</f>
        <v>0</v>
      </c>
      <c r="HC7" s="133" t="n">
        <f aca="false">IF(OR(HC$4="",$B7=""),0,SUMIF('DADOS BRUTOS'!$A$3:$A$500,$B7,'DADOS BRUTOS'!EC$3:EC$500)+IF($C7="",0,SUMIF('DADOS BRUTOS'!$A$3:$A$500,$C7,'DADOS BRUTOS'!EC$3:EC$500)))</f>
        <v>0</v>
      </c>
      <c r="HD7" s="133" t="n">
        <f aca="false">IF(OR(HD$4="",$B7=""),0,SUMIF('DADOS BRUTOS'!$A$3:$A$500,$B7,'DADOS BRUTOS'!ED$3:ED$500)+IF($C7="",0,SUMIF('DADOS BRUTOS'!$A$3:$A$500,$C7,'DADOS BRUTOS'!ED$3:ED$500)))</f>
        <v>0</v>
      </c>
      <c r="HE7" s="133" t="n">
        <f aca="false">IF(OR(HE$4="",$B7=""),0,SUMIF('DADOS BRUTOS'!$A$3:$A$500,$B7,'DADOS BRUTOS'!EE$3:EE$500)+IF($C7="",0,SUMIF('DADOS BRUTOS'!$A$3:$A$500,$C7,'DADOS BRUTOS'!EE$3:EE$500)))</f>
        <v>0</v>
      </c>
      <c r="HF7" s="133" t="n">
        <f aca="false">IF(OR(HF$4="",$B7=""),0,SUMIF('DADOS BRUTOS'!$A$3:$A$500,$B7,'DADOS BRUTOS'!EF$3:EF$500)+IF($C7="",0,SUMIF('DADOS BRUTOS'!$A$3:$A$500,$C7,'DADOS BRUTOS'!EF$3:EF$500)))</f>
        <v>0</v>
      </c>
      <c r="HG7" s="133" t="n">
        <f aca="false">IF(OR(HG$4="",$B7=""),0,SUMIF('DADOS BRUTOS'!$A$3:$A$500,$B7,'DADOS BRUTOS'!EG$3:EG$500)+IF($C7="",0,SUMIF('DADOS BRUTOS'!$A$3:$A$500,$C7,'DADOS BRUTOS'!EG$3:EG$500)))</f>
        <v>0</v>
      </c>
      <c r="HH7" s="133" t="n">
        <f aca="false">IF(OR(HH$4="",$B7=""),0,SUMIF('DADOS BRUTOS'!$A$3:$A$500,$B7,'DADOS BRUTOS'!EH$3:EH$500)+IF($C7="",0,SUMIF('DADOS BRUTOS'!$A$3:$A$500,$C7,'DADOS BRUTOS'!EH$3:EH$500)))</f>
        <v>0</v>
      </c>
      <c r="HI7" s="133" t="n">
        <f aca="false">IF(OR(HI$4="",$B7=""),0,SUMIF('DADOS BRUTOS'!$A$3:$A$500,$B7,'DADOS BRUTOS'!EI$3:EI$500)+IF($C7="",0,SUMIF('DADOS BRUTOS'!$A$3:$A$500,$C7,'DADOS BRUTOS'!EI$3:EI$500)))</f>
        <v>0</v>
      </c>
      <c r="HJ7" s="133" t="n">
        <f aca="false">IF(OR(HJ$4="",$B7=""),0,SUMIF('DADOS BRUTOS'!$A$3:$A$500,$B7,'DADOS BRUTOS'!EJ$3:EJ$500)+IF($C7="",0,SUMIF('DADOS BRUTOS'!$A$3:$A$500,$C7,'DADOS BRUTOS'!EJ$3:EJ$500)))</f>
        <v>0</v>
      </c>
      <c r="HK7" s="133" t="n">
        <f aca="false">IF(OR(HK$4="",$B7=""),0,SUMIF('DADOS BRUTOS'!$A$3:$A$500,$B7,'DADOS BRUTOS'!EK$3:EK$500)+IF($C7="",0,SUMIF('DADOS BRUTOS'!$A$3:$A$500,$C7,'DADOS BRUTOS'!EK$3:EK$500)))</f>
        <v>0</v>
      </c>
      <c r="HL7" s="133" t="n">
        <f aca="false">IF(OR(HL$4="",$B7=""),0,SUMIF('DADOS BRUTOS'!$A$3:$A$500,$B7,'DADOS BRUTOS'!EL$3:EL$500)+IF($C7="",0,SUMIF('DADOS BRUTOS'!$A$3:$A$500,$C7,'DADOS BRUTOS'!EL$3:EL$500)))</f>
        <v>0</v>
      </c>
      <c r="HM7" s="133" t="n">
        <f aca="false">IF(OR(HM$4="",$B7=""),0,SUMIF('DADOS BRUTOS'!$A$3:$A$500,$B7,'DADOS BRUTOS'!EM$3:EM$500)+IF($C7="",0,SUMIF('DADOS BRUTOS'!$A$3:$A$500,$C7,'DADOS BRUTOS'!EM$3:EM$500)))</f>
        <v>0</v>
      </c>
      <c r="HN7" s="133" t="n">
        <f aca="false">IF(OR(HN$4="",$B7=""),0,SUMIF('DADOS BRUTOS'!$A$3:$A$500,$B7,'DADOS BRUTOS'!EN$3:EN$500)+IF($C7="",0,SUMIF('DADOS BRUTOS'!$A$3:$A$500,$C7,'DADOS BRUTOS'!EN$3:EN$500)))</f>
        <v>0</v>
      </c>
      <c r="HO7" s="133" t="n">
        <f aca="false">IF(OR(HO$4="",$B7=""),0,SUMIF('DADOS BRUTOS'!$A$3:$A$500,$B7,'DADOS BRUTOS'!EO$3:EO$500)+IF($C7="",0,SUMIF('DADOS BRUTOS'!$A$3:$A$500,$C7,'DADOS BRUTOS'!EO$3:EO$500)))</f>
        <v>0</v>
      </c>
      <c r="HP7" s="133" t="n">
        <f aca="false">IF(OR(HP$4="",$B7=""),0,SUMIF('DADOS BRUTOS'!$A$3:$A$500,$B7,'DADOS BRUTOS'!EP$3:EP$500)+IF($C7="",0,SUMIF('DADOS BRUTOS'!$A$3:$A$500,$C7,'DADOS BRUTOS'!EP$3:EP$500)))</f>
        <v>0</v>
      </c>
      <c r="HQ7" s="133" t="n">
        <f aca="false">IF(OR(HQ$4="",$B7=""),0,SUMIF('DADOS BRUTOS'!$A$3:$A$500,$B7,'DADOS BRUTOS'!EQ$3:EQ$500)+IF($C7="",0,SUMIF('DADOS BRUTOS'!$A$3:$A$500,$C7,'DADOS BRUTOS'!EQ$3:EQ$500)))</f>
        <v>0</v>
      </c>
      <c r="HR7" s="133" t="n">
        <f aca="false">IF(OR(HR$4="",$B7=""),0,SUMIF('DADOS BRUTOS'!$A$3:$A$500,$B7,'DADOS BRUTOS'!ER$3:ER$500)+IF($C7="",0,SUMIF('DADOS BRUTOS'!$A$3:$A$500,$C7,'DADOS BRUTOS'!ER$3:ER$500)))</f>
        <v>0</v>
      </c>
      <c r="HS7" s="133" t="n">
        <f aca="false">IF(OR(HS$4="",$B7=""),0,SUMIF('DADOS BRUTOS'!$A$3:$A$500,$B7,'DADOS BRUTOS'!ES$3:ES$500)+IF($C7="",0,SUMIF('DADOS BRUTOS'!$A$3:$A$500,$C7,'DADOS BRUTOS'!ES$3:ES$500)))</f>
        <v>0</v>
      </c>
      <c r="HT7" s="133" t="n">
        <f aca="false">IF(OR(HT$4="",$B7=""),0,SUMIF('DADOS BRUTOS'!$A$3:$A$500,$B7,'DADOS BRUTOS'!ET$3:ET$500)+IF($C7="",0,SUMIF('DADOS BRUTOS'!$A$3:$A$500,$C7,'DADOS BRUTOS'!ET$3:ET$500)))</f>
        <v>0</v>
      </c>
      <c r="HU7" s="133" t="n">
        <f aca="false">IF(OR(HU$4="",$B7=""),0,SUMIF('DADOS BRUTOS'!$A$3:$A$500,$B7,'DADOS BRUTOS'!EU$3:EU$500)+IF($C7="",0,SUMIF('DADOS BRUTOS'!$A$3:$A$500,$C7,'DADOS BRUTOS'!EU$3:EU$500)))</f>
        <v>0</v>
      </c>
      <c r="HV7" s="133" t="n">
        <f aca="false">IF(OR(HV$4="",$B7=""),0,SUMIF('DADOS BRUTOS'!$A$3:$A$500,$B7,'DADOS BRUTOS'!EV$3:EV$500)+IF($C7="",0,SUMIF('DADOS BRUTOS'!$A$3:$A$500,$C7,'DADOS BRUTOS'!EV$3:EV$500)))</f>
        <v>0</v>
      </c>
      <c r="HW7" s="133" t="n">
        <f aca="false">IF(OR(HW$4="",$B7=""),0,SUMIF('DADOS BRUTOS'!$A$3:$A$500,$B7,'DADOS BRUTOS'!EW$3:EW$500)+IF($C7="",0,SUMIF('DADOS BRUTOS'!$A$3:$A$500,$C7,'DADOS BRUTOS'!EW$3:EW$500)))</f>
        <v>0</v>
      </c>
      <c r="HX7" s="133" t="n">
        <f aca="false">IF(OR(HX$4="",$B7=""),0,SUMIF('DADOS BRUTOS'!$A$3:$A$500,$B7,'DADOS BRUTOS'!EX$3:EX$500)+IF($C7="",0,SUMIF('DADOS BRUTOS'!$A$3:$A$500,$C7,'DADOS BRUTOS'!EX$3:EX$500)))</f>
        <v>0</v>
      </c>
      <c r="HY7" s="133" t="n">
        <f aca="false">IF(OR(HY$4="",$B7=""),0,SUMIF('DADOS BRUTOS'!$A$3:$A$500,$B7,'DADOS BRUTOS'!EY$3:EY$500)+IF($C7="",0,SUMIF('DADOS BRUTOS'!$A$3:$A$500,$C7,'DADOS BRUTOS'!EY$3:EY$500)))</f>
        <v>0</v>
      </c>
      <c r="HZ7" s="133" t="n">
        <f aca="false">IF(OR(HZ$4="",$B7=""),0,SUMIF('DADOS BRUTOS'!$A$3:$A$500,$B7,'DADOS BRUTOS'!EZ$3:EZ$500)+IF($C7="",0,SUMIF('DADOS BRUTOS'!$A$3:$A$500,$C7,'DADOS BRUTOS'!EZ$3:EZ$500)))</f>
        <v>0</v>
      </c>
      <c r="IA7" s="133" t="n">
        <f aca="false">IF(OR(IA$4="",$B7=""),0,SUMIF('DADOS BRUTOS'!$A$3:$A$500,$B7,'DADOS BRUTOS'!FA$3:FA$500)+IF($C7="",0,SUMIF('DADOS BRUTOS'!$A$3:$A$500,$C7,'DADOS BRUTOS'!FA$3:FA$500)))</f>
        <v>0</v>
      </c>
      <c r="IB7" s="133" t="n">
        <f aca="false">IF(OR(IB$4="",$B7=""),0,SUMIF('DADOS BRUTOS'!$A$3:$A$500,$B7,'DADOS BRUTOS'!FB$3:FB$500)+IF($C7="",0,SUMIF('DADOS BRUTOS'!$A$3:$A$500,$C7,'DADOS BRUTOS'!FB$3:FB$500)))</f>
        <v>0</v>
      </c>
      <c r="IC7" s="133" t="n">
        <f aca="false">IF(OR(IC$4="",$B7=""),0,SUMIF('DADOS BRUTOS'!$A$3:$A$500,$B7,'DADOS BRUTOS'!FC$3:FC$500)+IF($C7="",0,SUMIF('DADOS BRUTOS'!$A$3:$A$500,$C7,'DADOS BRUTOS'!FC$3:FC$500)))</f>
        <v>0</v>
      </c>
      <c r="ID7" s="133" t="n">
        <f aca="false">IF(OR(ID$4="",$B7=""),0,SUMIF('DADOS BRUTOS'!$A$3:$A$500,$B7,'DADOS BRUTOS'!FD$3:FD$500)+IF($C7="",0,SUMIF('DADOS BRUTOS'!$A$3:$A$500,$C7,'DADOS BRUTOS'!FD$3:FD$500)))</f>
        <v>0</v>
      </c>
      <c r="IE7" s="133" t="n">
        <f aca="false">IF(OR(IE$4="",$B7=""),0,SUMIF('DADOS BRUTOS'!$A$3:$A$500,$B7,'DADOS BRUTOS'!FE$3:FE$500)+IF($C7="",0,SUMIF('DADOS BRUTOS'!$A$3:$A$500,$C7,'DADOS BRUTOS'!FE$3:FE$500)))</f>
        <v>0</v>
      </c>
      <c r="IF7" s="133" t="n">
        <f aca="false">IF(OR(IF$4="",$B7=""),0,SUMIF('DADOS BRUTOS'!$A$3:$A$500,$B7,'DADOS BRUTOS'!FF$3:FF$500)+IF($C7="",0,SUMIF('DADOS BRUTOS'!$A$3:$A$500,$C7,'DADOS BRUTOS'!FF$3:FF$500)))</f>
        <v>0</v>
      </c>
      <c r="IG7" s="133" t="n">
        <f aca="false">IF(OR(IG$4="",$B7=""),0,SUMIF('DADOS BRUTOS'!$A$3:$A$500,$B7,'DADOS BRUTOS'!FG$3:FG$500)+IF($C7="",0,SUMIF('DADOS BRUTOS'!$A$3:$A$500,$C7,'DADOS BRUTOS'!FG$3:FG$500)))</f>
        <v>0</v>
      </c>
      <c r="IH7" s="133" t="n">
        <f aca="false">IF(OR(IH$4="",$B7=""),0,SUMIF('DADOS BRUTOS'!$A$3:$A$500,$B7,'DADOS BRUTOS'!FH$3:FH$500)+IF($C7="",0,SUMIF('DADOS BRUTOS'!$A$3:$A$500,$C7,'DADOS BRUTOS'!FH$3:FH$500)))</f>
        <v>0</v>
      </c>
      <c r="II7" s="133" t="n">
        <f aca="false">IF(OR(II$4="",$B7=""),0,SUMIF('DADOS BRUTOS'!$A$3:$A$500,$B7,'DADOS BRUTOS'!FI$3:FI$500)+IF($C7="",0,SUMIF('DADOS BRUTOS'!$A$3:$A$500,$C7,'DADOS BRUTOS'!FI$3:FI$500)))</f>
        <v>0</v>
      </c>
      <c r="IJ7" s="133" t="n">
        <f aca="false">IF(OR(IJ$4="",$B7=""),0,SUMIF('DADOS BRUTOS'!$A$3:$A$500,$B7,'DADOS BRUTOS'!FJ$3:FJ$500)+IF($C7="",0,SUMIF('DADOS BRUTOS'!$A$3:$A$500,$C7,'DADOS BRUTOS'!FJ$3:FJ$500)))</f>
        <v>0</v>
      </c>
      <c r="IK7" s="133" t="n">
        <f aca="false">IF(OR(IK$4="",$B7=""),0,SUMIF('DADOS BRUTOS'!$A$3:$A$500,$B7,'DADOS BRUTOS'!FK$3:FK$500)+IF($C7="",0,SUMIF('DADOS BRUTOS'!$A$3:$A$500,$C7,'DADOS BRUTOS'!FK$3:FK$500)))</f>
        <v>0</v>
      </c>
      <c r="IL7" s="133" t="n">
        <f aca="false">IF(OR(IL$4="",$B7=""),0,SUMIF('DADOS BRUTOS'!$A$3:$A$500,$B7,'DADOS BRUTOS'!FL$3:FL$500)+IF($C7="",0,SUMIF('DADOS BRUTOS'!$A$3:$A$500,$C7,'DADOS BRUTOS'!FL$3:FL$500)))</f>
        <v>0</v>
      </c>
      <c r="IM7" s="133" t="n">
        <f aca="false">IF(OR(IM$4="",$B7=""),0,SUMIF('DADOS BRUTOS'!$A$3:$A$500,$B7,'DADOS BRUTOS'!FM$3:FM$500)+IF($C7="",0,SUMIF('DADOS BRUTOS'!$A$3:$A$500,$C7,'DADOS BRUTOS'!FM$3:FM$500)))</f>
        <v>0</v>
      </c>
      <c r="IN7" s="133" t="n">
        <f aca="false">IF(OR(IN$4="",$B7=""),0,SUMIF('DADOS BRUTOS'!$A$3:$A$500,$B7,'DADOS BRUTOS'!FN$3:FN$500)+IF($C7="",0,SUMIF('DADOS BRUTOS'!$A$3:$A$500,$C7,'DADOS BRUTOS'!FN$3:FN$500)))</f>
        <v>0</v>
      </c>
      <c r="IO7" s="133" t="n">
        <f aca="false">IF(OR(IO$4="",$B7=""),0,SUMIF('DADOS BRUTOS'!$A$3:$A$500,$B7,'DADOS BRUTOS'!FO$3:FO$500)+IF($C7="",0,SUMIF('DADOS BRUTOS'!$A$3:$A$500,$C7,'DADOS BRUTOS'!FO$3:FO$500)))</f>
        <v>0</v>
      </c>
      <c r="IP7" s="133" t="n">
        <f aca="false">IF(OR(IP$4="",$B7=""),0,SUMIF('DADOS BRUTOS'!$A$3:$A$500,$B7,'DADOS BRUTOS'!FP$3:FP$500)+IF($C7="",0,SUMIF('DADOS BRUTOS'!$A$3:$A$500,$C7,'DADOS BRUTOS'!FP$3:FP$500)))</f>
        <v>0</v>
      </c>
      <c r="IQ7" s="133" t="n">
        <f aca="false">IF(OR(IQ$4="",$B7=""),0,SUMIF('DADOS BRUTOS'!$A$3:$A$500,$B7,'DADOS BRUTOS'!FQ$3:FQ$500)+IF($C7="",0,SUMIF('DADOS BRUTOS'!$A$3:$A$500,$C7,'DADOS BRUTOS'!FQ$3:FQ$500)))</f>
        <v>0</v>
      </c>
      <c r="IR7" s="133" t="n">
        <f aca="false">IF(OR(IR$4="",$B7=""),0,SUMIF('DADOS BRUTOS'!$A$3:$A$500,$B7,'DADOS BRUTOS'!FR$3:FR$500)+IF($C7="",0,SUMIF('DADOS BRUTOS'!$A$3:$A$500,$C7,'DADOS BRUTOS'!FR$3:FR$500)))</f>
        <v>0</v>
      </c>
      <c r="IS7" s="133" t="n">
        <f aca="false">IF(OR(IS$4="",$B7=""),0,SUMIF('DADOS BRUTOS'!$A$3:$A$500,$B7,'DADOS BRUTOS'!FS$3:FS$500)+IF($C7="",0,SUMIF('DADOS BRUTOS'!$A$3:$A$500,$C7,'DADOS BRUTOS'!FS$3:FS$500)))</f>
        <v>0</v>
      </c>
      <c r="IT7" s="133" t="n">
        <f aca="false">IF(OR(IT$4="",$B7=""),0,SUMIF('DADOS BRUTOS'!$A$3:$A$500,$B7,'DADOS BRUTOS'!FT$3:FT$500)+IF($C7="",0,SUMIF('DADOS BRUTOS'!$A$3:$A$500,$C7,'DADOS BRUTOS'!FT$3:FT$500)))</f>
        <v>0</v>
      </c>
      <c r="IU7" s="133" t="n">
        <f aca="false">IF(OR(IU$4="",$B7=""),0,SUMIF('DADOS BRUTOS'!$A$3:$A$500,$B7,'DADOS BRUTOS'!FU$3:FU$500)+IF($C7="",0,SUMIF('DADOS BRUTOS'!$A$3:$A$500,$C7,'DADOS BRUTOS'!FU$3:FU$500)))</f>
        <v>0</v>
      </c>
      <c r="IV7" s="133" t="n">
        <f aca="false">IF(OR(IV$4="",$B7=""),0,SUMIF('DADOS BRUTOS'!$A$3:$A$500,$B7,'DADOS BRUTOS'!FV$3:FV$500)+IF($C7="",0,SUMIF('DADOS BRUTOS'!$A$3:$A$500,$C7,'DADOS BRUTOS'!FV$3:FV$500)))</f>
        <v>0</v>
      </c>
      <c r="IW7" s="133" t="n">
        <f aca="false">IF(OR(IW$4="",$B7=""),0,SUMIF('DADOS BRUTOS'!$A$3:$A$500,$B7,'DADOS BRUTOS'!FW$3:FW$500)+IF($C7="",0,SUMIF('DADOS BRUTOS'!$A$3:$A$500,$C7,'DADOS BRUTOS'!FW$3:FW$500)))</f>
        <v>0</v>
      </c>
      <c r="IX7" s="133" t="n">
        <f aca="false">IF(OR(IX$4="",$B7=""),0,SUMIF('DADOS BRUTOS'!$A$3:$A$500,$B7,'DADOS BRUTOS'!FX$3:FX$500)+IF($C7="",0,SUMIF('DADOS BRUTOS'!$A$3:$A$500,$C7,'DADOS BRUTOS'!FX$3:FX$500)))</f>
        <v>0</v>
      </c>
      <c r="IY7" s="133" t="n">
        <f aca="false">IF(OR(IY$4="",$B7=""),0,SUMIF('DADOS BRUTOS'!$A$3:$A$500,$B7,'DADOS BRUTOS'!FY$3:FY$500)+IF($C7="",0,SUMIF('DADOS BRUTOS'!$A$3:$A$500,$C7,'DADOS BRUTOS'!FY$3:FY$500)))</f>
        <v>0</v>
      </c>
      <c r="IZ7" s="133" t="n">
        <f aca="false">IF(OR(IZ$4="",$B7=""),0,SUMIF('DADOS BRUTOS'!$A$3:$A$500,$B7,'DADOS BRUTOS'!FZ$3:FZ$500)+IF($C7="",0,SUMIF('DADOS BRUTOS'!$A$3:$A$500,$C7,'DADOS BRUTOS'!FZ$3:FZ$500)))</f>
        <v>0</v>
      </c>
      <c r="JA7" s="133" t="n">
        <f aca="false">IF(OR(JA$4="",$B7=""),0,SUMIF('DADOS BRUTOS'!$A$3:$A$500,$B7,'DADOS BRUTOS'!GA$3:GA$500)+IF($C7="",0,SUMIF('DADOS BRUTOS'!$A$3:$A$500,$C7,'DADOS BRUTOS'!GA$3:GA$500)))</f>
        <v>0</v>
      </c>
      <c r="JB7" s="133" t="n">
        <f aca="false">IF(OR(JB$4="",$B7=""),0,SUMIF('DADOS BRUTOS'!$A$3:$A$500,$B7,'DADOS BRUTOS'!GB$3:GB$500)+IF($C7="",0,SUMIF('DADOS BRUTOS'!$A$3:$A$500,$C7,'DADOS BRUTOS'!GB$3:GB$500)))</f>
        <v>0</v>
      </c>
      <c r="JC7" s="133" t="n">
        <f aca="false">IF(OR(JC$4="",$B7=""),0,SUMIF('DADOS BRUTOS'!$A$3:$A$500,$B7,'DADOS BRUTOS'!GC$3:GC$500)+IF($C7="",0,SUMIF('DADOS BRUTOS'!$A$3:$A$500,$C7,'DADOS BRUTOS'!GC$3:GC$500)))</f>
        <v>0</v>
      </c>
      <c r="JD7" s="133" t="n">
        <f aca="false">IF(OR(JD$4="",$B7=""),0,SUMIF('DADOS BRUTOS'!$A$3:$A$500,$B7,'DADOS BRUTOS'!GD$3:GD$500)+IF($C7="",0,SUMIF('DADOS BRUTOS'!$A$3:$A$500,$C7,'DADOS BRUTOS'!GD$3:GD$500)))</f>
        <v>0</v>
      </c>
      <c r="JE7" s="133" t="n">
        <f aca="false">IF(OR(JE$4="",$B7=""),0,SUMIF('DADOS BRUTOS'!$A$3:$A$500,$B7,'DADOS BRUTOS'!GE$3:GE$500)+IF($C7="",0,SUMIF('DADOS BRUTOS'!$A$3:$A$500,$C7,'DADOS BRUTOS'!GE$3:GE$500)))</f>
        <v>0</v>
      </c>
      <c r="JF7" s="133" t="n">
        <f aca="false">IF(OR(JF$4="",$B7=""),0,SUMIF('DADOS BRUTOS'!$A$3:$A$500,$B7,'DADOS BRUTOS'!GF$3:GF$500)+IF($C7="",0,SUMIF('DADOS BRUTOS'!$A$3:$A$500,$C7,'DADOS BRUTOS'!GF$3:GF$500)))</f>
        <v>0</v>
      </c>
      <c r="JG7" s="133" t="n">
        <f aca="false">IF(OR(JG$4="",$B7=""),0,SUMIF('DADOS BRUTOS'!$A$3:$A$500,$B7,'DADOS BRUTOS'!GG$3:GG$500)+IF($C7="",0,SUMIF('DADOS BRUTOS'!$A$3:$A$500,$C7,'DADOS BRUTOS'!GG$3:GG$500)))</f>
        <v>0</v>
      </c>
      <c r="JH7" s="133" t="n">
        <f aca="false">IF(OR(JH$4="",$B7=""),0,SUMIF('DADOS BRUTOS'!$A$3:$A$500,$B7,'DADOS BRUTOS'!GH$3:GH$500)+IF($C7="",0,SUMIF('DADOS BRUTOS'!$A$3:$A$500,$C7,'DADOS BRUTOS'!GH$3:GH$500)))</f>
        <v>0</v>
      </c>
      <c r="JI7" s="133" t="n">
        <f aca="false">IF(OR(JI$4="",$B7=""),0,SUMIF('DADOS BRUTOS'!$A$3:$A$500,$B7,'DADOS BRUTOS'!GI$3:GI$500)+IF($C7="",0,SUMIF('DADOS BRUTOS'!$A$3:$A$500,$C7,'DADOS BRUTOS'!GI$3:GI$500)))</f>
        <v>0</v>
      </c>
      <c r="JJ7" s="133" t="n">
        <f aca="false">IF(OR(JJ$4="",$B7=""),0,SUMIF('DADOS BRUTOS'!$A$3:$A$500,$B7,'DADOS BRUTOS'!GJ$3:GJ$500)+IF($C7="",0,SUMIF('DADOS BRUTOS'!$A$3:$A$500,$C7,'DADOS BRUTOS'!GJ$3:GJ$500)))</f>
        <v>0</v>
      </c>
      <c r="JK7" s="133" t="n">
        <f aca="false">IF(OR(JK$4="",$B7=""),0,SUMIF('DADOS BRUTOS'!$A$3:$A$500,$B7,'DADOS BRUTOS'!GK$3:GK$500)+IF($C7="",0,SUMIF('DADOS BRUTOS'!$A$3:$A$500,$C7,'DADOS BRUTOS'!GK$3:GK$500)))</f>
        <v>0</v>
      </c>
      <c r="JL7" s="133" t="n">
        <f aca="false">IF(OR(JL$4="",$B7=""),0,SUMIF('DADOS BRUTOS'!$A$3:$A$500,$B7,'DADOS BRUTOS'!GL$3:GL$500)+IF($C7="",0,SUMIF('DADOS BRUTOS'!$A$3:$A$500,$C7,'DADOS BRUTOS'!GL$3:GL$500)))</f>
        <v>0</v>
      </c>
      <c r="JM7" s="133" t="n">
        <f aca="false">IF(OR(JM$4="",$B7=""),0,SUMIF('DADOS BRUTOS'!$A$3:$A$500,$B7,'DADOS BRUTOS'!GM$3:GM$500)+IF($C7="",0,SUMIF('DADOS BRUTOS'!$A$3:$A$500,$C7,'DADOS BRUTOS'!GM$3:GM$500)))</f>
        <v>0</v>
      </c>
      <c r="JN7" s="133" t="n">
        <f aca="false">IF(OR(JN$4="",$B7=""),0,SUMIF('DADOS BRUTOS'!$A$3:$A$500,$B7,'DADOS BRUTOS'!GN$3:GN$500)+IF($C7="",0,SUMIF('DADOS BRUTOS'!$A$3:$A$500,$C7,'DADOS BRUTOS'!GN$3:GN$500)))</f>
        <v>0</v>
      </c>
      <c r="JO7" s="133" t="n">
        <f aca="false">IF(OR(JO$4="",$B7=""),0,SUMIF('DADOS BRUTOS'!$A$3:$A$500,$B7,'DADOS BRUTOS'!GO$3:GO$500)+IF($C7="",0,SUMIF('DADOS BRUTOS'!$A$3:$A$500,$C7,'DADOS BRUTOS'!GO$3:GO$500)))</f>
        <v>0</v>
      </c>
      <c r="JP7" s="133" t="n">
        <f aca="false">IF(OR(JP$4="",$B7=""),0,SUMIF('DADOS BRUTOS'!$A$3:$A$500,$B7,'DADOS BRUTOS'!GP$3:GP$500)+IF($C7="",0,SUMIF('DADOS BRUTOS'!$A$3:$A$500,$C7,'DADOS BRUTOS'!GP$3:GP$500)))</f>
        <v>0</v>
      </c>
      <c r="JQ7" s="133" t="n">
        <f aca="false">IF(OR(JQ$4="",$B7=""),0,SUMIF('DADOS BRUTOS'!$A$3:$A$500,$B7,'DADOS BRUTOS'!GQ$3:GQ$500)+IF($C7="",0,SUMIF('DADOS BRUTOS'!$A$3:$A$500,$C7,'DADOS BRUTOS'!GQ$3:GQ$500)))</f>
        <v>0</v>
      </c>
      <c r="JR7" s="133" t="n">
        <f aca="false">IF(OR(JR$4="",$B7=""),0,SUMIF('DADOS BRUTOS'!$A$3:$A$500,$B7,'DADOS BRUTOS'!GR$3:GR$500)+IF($C7="",0,SUMIF('DADOS BRUTOS'!$A$3:$A$500,$C7,'DADOS BRUTOS'!GR$3:GR$500)))</f>
        <v>0</v>
      </c>
      <c r="JS7" s="133" t="n">
        <f aca="false">IF(OR(JS$4="",$B7=""),0,SUMIF('DADOS BRUTOS'!$A$3:$A$500,$B7,'DADOS BRUTOS'!GS$3:GS$500)+IF($C7="",0,SUMIF('DADOS BRUTOS'!$A$3:$A$500,$C7,'DADOS BRUTOS'!GS$3:GS$500)))</f>
        <v>0</v>
      </c>
    </row>
    <row r="8" customFormat="false" ht="15" hidden="false" customHeight="false" outlineLevel="0" collapsed="false">
      <c r="A8" s="57" t="str">
        <f aca="false">'VALOR POR PL'!D14</f>
        <v>BARRACAO DE OBRA</v>
      </c>
      <c r="B8" s="55" t="s">
        <v>67</v>
      </c>
      <c r="C8" s="55"/>
      <c r="D8" s="50" t="n">
        <f aca="false">SUMIF($CB$4:$JS$4,"&lt;="&amp;D$4,$CB8:$JS8)</f>
        <v>61380.97</v>
      </c>
      <c r="E8" s="50" t="n">
        <f aca="false">SUMIF($CB$4:$JS$4,E$4,$CB8:$JS8)</f>
        <v>0</v>
      </c>
      <c r="F8" s="50" t="n">
        <f aca="false">SUMIF($CB$4:$JS$4,F$4,$CB8:$JS8)</f>
        <v>0</v>
      </c>
      <c r="G8" s="50" t="n">
        <f aca="false">SUMIF($CB$4:$JS$4,G$4,$CB8:$JS8)</f>
        <v>0</v>
      </c>
      <c r="H8" s="50" t="n">
        <f aca="false">SUMIF($CB$4:$JS$4,H$4,$CB8:$JS8)</f>
        <v>0</v>
      </c>
      <c r="I8" s="50" t="n">
        <f aca="false">SUMIF($CB$4:$JS$4,I$4,$CB8:$JS8)</f>
        <v>0</v>
      </c>
      <c r="J8" s="50" t="n">
        <f aca="false">SUMIF($CB$4:$JS$4,J$4,$CB8:$JS8)</f>
        <v>61557.78</v>
      </c>
      <c r="K8" s="50" t="n">
        <f aca="false">SUMIF($CB$4:$JS$4,K$4,$CB8:$JS8)</f>
        <v>70633.03</v>
      </c>
      <c r="L8" s="50" t="n">
        <f aca="false">SUMIF($CB$4:$JS$4,L$4,$CB8:$JS8)</f>
        <v>66792.52</v>
      </c>
      <c r="M8" s="50" t="n">
        <f aca="false">SUMIF($CB$4:$JS$4,M$4,$CB8:$JS8)</f>
        <v>71201.4</v>
      </c>
      <c r="N8" s="50" t="n">
        <f aca="false">SUMIF($CB$4:$JS$4,N$4,$CB8:$JS8)</f>
        <v>59244.3</v>
      </c>
      <c r="O8" s="50" t="n">
        <f aca="false">SUMIF($CB$4:$JS$4,O$4,$CB8:$JS8)</f>
        <v>40715.62</v>
      </c>
      <c r="P8" s="50" t="n">
        <f aca="false">SUMIF($CB$4:$JS$4,P$4,$CB8:$JS8)</f>
        <v>51460.01</v>
      </c>
      <c r="Q8" s="50" t="n">
        <f aca="false">SUMIF($CB$4:$JS$4,Q$4,$CB8:$JS8)</f>
        <v>22683.91</v>
      </c>
      <c r="R8" s="50" t="n">
        <f aca="false">SUMIF($CB$4:$JS$4,R$4,$CB8:$JS8)</f>
        <v>17563.67</v>
      </c>
      <c r="S8" s="50" t="n">
        <f aca="false">SUMIF($CB$4:$JS$4,S$4,$CB8:$JS8)</f>
        <v>14403.47</v>
      </c>
      <c r="T8" s="50" t="n">
        <f aca="false">SUMIF($CB$4:$JS$4,T$4,$CB8:$JS8)</f>
        <v>13639.33</v>
      </c>
      <c r="U8" s="50" t="n">
        <f aca="false">SUMIF($CB$4:$JS$4,U$4,$CB8:$JS8)</f>
        <v>19885.18</v>
      </c>
      <c r="V8" s="50" t="n">
        <f aca="false">SUMIF($CB$4:$JS$4,V$4,$CB8:$JS8)</f>
        <v>14872.41</v>
      </c>
      <c r="W8" s="50" t="n">
        <f aca="false">SUMIF($CB$4:$JS$4,W$4,$CB8:$JS8)</f>
        <v>28641.88</v>
      </c>
      <c r="X8" s="50" t="n">
        <f aca="false">SUMIF($CB$4:$JS$4,X$4,$CB8:$JS8)</f>
        <v>16434.13</v>
      </c>
      <c r="Y8" s="50" t="n">
        <f aca="false">SUMIF($CB$4:$JS$4,Y$4,$CB8:$JS8)</f>
        <v>19390.05</v>
      </c>
      <c r="Z8" s="50" t="n">
        <f aca="false">SUMIF($CB$4:$JS$4,Z$4,$CB8:$JS8)</f>
        <v>10528.99</v>
      </c>
      <c r="AA8" s="50" t="n">
        <f aca="false">SUMIF($CB$4:$JS$4,AA$4,$CB8:$JS8)</f>
        <v>3994.37</v>
      </c>
      <c r="AB8" s="50" t="n">
        <f aca="false">SUMIF($CB$4:$JS$4,AB$4,$CB8:$JS8)</f>
        <v>3526.47</v>
      </c>
      <c r="AC8" s="50" t="n">
        <f aca="false">SUMIF($CB$4:$JS$4,AC$4,$CB8:$JS8)</f>
        <v>0</v>
      </c>
      <c r="AD8" s="50" t="n">
        <f aca="false">SUMIF($CB$4:$JS$4,AD$4,$CB8:$JS8)</f>
        <v>0</v>
      </c>
      <c r="AE8" s="50" t="n">
        <f aca="false">SUMIF($CB$4:$JS$4,AE$4,$CB8:$JS8)</f>
        <v>665</v>
      </c>
      <c r="AF8" s="50" t="n">
        <f aca="false">SUMIF($CB$4:$JS$4,AF$4,$CB8:$JS8)</f>
        <v>0</v>
      </c>
      <c r="AG8" s="50" t="n">
        <f aca="false">SUMIF($CB$4:$JS$4,AG$4,$CB8:$JS8)</f>
        <v>0</v>
      </c>
      <c r="AH8" s="50" t="n">
        <f aca="false">SUMIF($CB$4:$JS$4,AH$4,$CB8:$JS8)</f>
        <v>0</v>
      </c>
      <c r="AI8" s="50" t="n">
        <f aca="false">SUMIF($CB$4:$JS$4,AI$4,$CB8:$JS8)</f>
        <v>0</v>
      </c>
      <c r="AJ8" s="50" t="n">
        <f aca="false">SUMIF($CB$4:$JS$4,AJ$4,$CB8:$JS8)</f>
        <v>0</v>
      </c>
      <c r="AK8" s="50" t="n">
        <f aca="false">SUMIF($CB$4:$JS$4,AK$4,$CB8:$JS8)</f>
        <v>3700</v>
      </c>
      <c r="AL8" s="50" t="n">
        <f aca="false">SUMIF($CB$4:$JS$4,AL$4,$CB8:$JS8)</f>
        <v>0</v>
      </c>
      <c r="AM8" s="50" t="n">
        <f aca="false">SUMIF($CB$4:$JS$4,AM$4,$CB8:$JS8)</f>
        <v>0</v>
      </c>
      <c r="AN8" s="50" t="n">
        <f aca="false">SUMIF($CB$4:$JS$4,AN$4,$CB8:$JS8)</f>
        <v>0</v>
      </c>
      <c r="AO8" s="50" t="n">
        <f aca="false">SUMIF($CB$4:$JS$4,AO$4,$CB8:$JS8)</f>
        <v>0</v>
      </c>
      <c r="AP8" s="50" t="n">
        <f aca="false">SUMIF($CB$4:$JS$4,AP$4,$CB8:$JS8)</f>
        <v>0</v>
      </c>
      <c r="AQ8" s="50" t="n">
        <f aca="false">SUMIF($CB$4:$JS$4,AQ$4,$CB8:$JS8)</f>
        <v>0</v>
      </c>
      <c r="AR8" s="50" t="n">
        <f aca="false">SUMIF($CB$4:$JS$4,AR$4,$CB8:$JS8)</f>
        <v>0</v>
      </c>
      <c r="AS8" s="50" t="n">
        <f aca="false">SUMIF($CB$4:$JS$4,AS$4,$CB8:$JS8)</f>
        <v>0</v>
      </c>
      <c r="AT8" s="50" t="n">
        <f aca="false">SUMIF($CB$4:$JS$4,AT$4,$CB8:$JS8)</f>
        <v>0</v>
      </c>
      <c r="AU8" s="50" t="n">
        <f aca="false">SUMIF($CB$4:$JS$4,AU$4,$CB8:$JS8)</f>
        <v>0</v>
      </c>
      <c r="AV8" s="50" t="n">
        <f aca="false">SUMIF($CB$4:$JS$4,AV$4,$CB8:$JS8)</f>
        <v>0</v>
      </c>
      <c r="AW8" s="50" t="n">
        <f aca="false">SUMIF($CB$4:$JS$4,AW$4,$CB8:$JS8)</f>
        <v>0</v>
      </c>
      <c r="AX8" s="50" t="n">
        <f aca="false">SUMIF($CB$4:$JS$4,AX$4,$CB8:$JS8)</f>
        <v>0</v>
      </c>
      <c r="AY8" s="50" t="n">
        <f aca="false">SUMIF($CB$4:$JS$4,AY$4,$CB8:$JS8)</f>
        <v>0</v>
      </c>
      <c r="AZ8" s="50" t="n">
        <f aca="false">SUMIF($CB$4:$JS$4,AZ$4,$CB8:$JS8)</f>
        <v>0</v>
      </c>
      <c r="BA8" s="50" t="n">
        <f aca="false">SUMIF($CB$4:$JS$4,BA$4,$CB8:$JS8)</f>
        <v>0</v>
      </c>
      <c r="BB8" s="50" t="n">
        <f aca="false">SUMIF($CB$4:$JS$4,BB$4,$CB8:$JS8)</f>
        <v>0</v>
      </c>
      <c r="BC8" s="50" t="n">
        <f aca="false">SUMIF($CB$4:$JS$4,BC$4,$CB8:$JS8)</f>
        <v>0</v>
      </c>
      <c r="BD8" s="50" t="n">
        <f aca="false">SUMIF($CB$4:$JS$4,BD$4,$CB8:$JS8)</f>
        <v>0</v>
      </c>
      <c r="BE8" s="50" t="n">
        <f aca="false">SUMIF($CB$4:$JS$4,BE$4,$CB8:$JS8)</f>
        <v>0</v>
      </c>
      <c r="BF8" s="50" t="n">
        <f aca="false">SUMIF($CB$4:$JS$4,BF$4,$CB8:$JS8)</f>
        <v>0</v>
      </c>
      <c r="BG8" s="50" t="n">
        <f aca="false">SUMIF($CB$4:$JS$4,BG$4,$CB8:$JS8)</f>
        <v>0</v>
      </c>
      <c r="BH8" s="50" t="n">
        <f aca="false">SUMIF($CB$4:$JS$4,BH$4,$CB8:$JS8)</f>
        <v>0</v>
      </c>
      <c r="BI8" s="50" t="n">
        <f aca="false">SUMIF($CB$4:$JS$4,BI$4,$CB8:$JS8)</f>
        <v>0</v>
      </c>
      <c r="BJ8" s="50" t="n">
        <f aca="false">SUMIF($CB$4:$JS$4,BJ$4,$CB8:$JS8)</f>
        <v>0</v>
      </c>
      <c r="BK8" s="50" t="n">
        <f aca="false">SUMIF($CB$4:$JS$4,BK$4,$CB8:$JS8)</f>
        <v>0</v>
      </c>
      <c r="BL8" s="50" t="n">
        <f aca="false">SUMIF($CB$4:$JS$4,BL$4,$CB8:$JS8)</f>
        <v>0</v>
      </c>
      <c r="BM8" s="50" t="n">
        <f aca="false">SUMIF($CB$4:$JS$4,BM$4,$CB8:$JS8)</f>
        <v>0</v>
      </c>
      <c r="BN8" s="50" t="n">
        <f aca="false">SUMIF($CB$4:$JS$4,BN$4,$CB8:$JS8)</f>
        <v>0</v>
      </c>
      <c r="BO8" s="50" t="n">
        <f aca="false">SUMIF($CB$4:$JS$4,BO$4,$CB8:$JS8)</f>
        <v>0</v>
      </c>
      <c r="BP8" s="50" t="n">
        <f aca="false">SUMIF($CB$4:$JS$4,BP$4,$CB8:$JS8)</f>
        <v>0</v>
      </c>
      <c r="BQ8" s="50" t="n">
        <f aca="false">SUMIF($CB$4:$JS$4,BQ$4,$CB8:$JS8)</f>
        <v>0</v>
      </c>
      <c r="BR8" s="50" t="n">
        <f aca="false">SUMIF($CB$4:$JS$4,BR$4,$CB8:$JS8)</f>
        <v>0</v>
      </c>
      <c r="BS8" s="50" t="n">
        <f aca="false">SUMIF($CB$4:$JS$4,BS$4,$CB8:$JS8)</f>
        <v>0</v>
      </c>
      <c r="BT8" s="50" t="n">
        <f aca="false">SUMIF($CB$4:$JS$4,BT$4,$CB8:$JS8)</f>
        <v>0</v>
      </c>
      <c r="BU8" s="50" t="n">
        <f aca="false">SUMIF($CB$4:$JS$4,BU$4,$CB8:$JS8)</f>
        <v>0</v>
      </c>
      <c r="BV8" s="50" t="n">
        <f aca="false">SUMIF($CB$4:$JS$4,BV$4,$CB8:$JS8)</f>
        <v>0</v>
      </c>
      <c r="BW8" s="50" t="n">
        <f aca="false">SUMIF($CB$4:$JS$4,BW$4,$CB8:$JS8)</f>
        <v>0</v>
      </c>
      <c r="BX8" s="50" t="n">
        <f aca="false">SUMIF($CB$4:$JS$4,"&gt;"&amp;'VALOR POR PL'!$P$8,$CB8:$JS8)</f>
        <v>0</v>
      </c>
      <c r="BY8" s="50" t="n">
        <f aca="false">SUM($CB8:$JS8)</f>
        <v>672914.49</v>
      </c>
      <c r="BZ8" s="45" t="n">
        <f aca="false">SUMPRODUCT(($CB$4:$JS$4&lt;&gt;"")*($CB$4:$JS$4&lt;=$D$4),$CB8:$JS8,$CB$1:$JS$1)</f>
        <v>53.8981367600457</v>
      </c>
      <c r="CB8" s="133" t="n">
        <f aca="false">IF(OR(CB$4="",$B8=""),0,SUMIF('DADOS BRUTOS'!$A$3:$A$500,$B8,'DADOS BRUTOS'!B$3:B$500)+IF($C8="",0,SUMIF('DADOS BRUTOS'!$A$3:$A$500,$C8,'DADOS BRUTOS'!B$3:B$500)))</f>
        <v>0</v>
      </c>
      <c r="CC8" s="133" t="n">
        <f aca="false">IF(OR(CC$4="",$B8=""),0,SUMIF('DADOS BRUTOS'!$A$3:$A$500,$B8,'DADOS BRUTOS'!C$3:C$500)+IF($C8="",0,SUMIF('DADOS BRUTOS'!$A$3:$A$500,$C8,'DADOS BRUTOS'!C$3:C$500)))</f>
        <v>0</v>
      </c>
      <c r="CD8" s="133" t="n">
        <f aca="false">IF(OR(CD$4="",$B8=""),0,SUMIF('DADOS BRUTOS'!$A$3:$A$500,$B8,'DADOS BRUTOS'!D$3:D$500)+IF($C8="",0,SUMIF('DADOS BRUTOS'!$A$3:$A$500,$C8,'DADOS BRUTOS'!D$3:D$500)))</f>
        <v>0</v>
      </c>
      <c r="CE8" s="133" t="n">
        <f aca="false">IF(OR(CE$4="",$B8=""),0,SUMIF('DADOS BRUTOS'!$A$3:$A$500,$B8,'DADOS BRUTOS'!E$3:E$500)+IF($C8="",0,SUMIF('DADOS BRUTOS'!$A$3:$A$500,$C8,'DADOS BRUTOS'!E$3:E$500)))</f>
        <v>0</v>
      </c>
      <c r="CF8" s="133" t="n">
        <f aca="false">IF(OR(CF$4="",$B8=""),0,SUMIF('DADOS BRUTOS'!$A$3:$A$500,$B8,'DADOS BRUTOS'!F$3:F$500)+IF($C8="",0,SUMIF('DADOS BRUTOS'!$A$3:$A$500,$C8,'DADOS BRUTOS'!F$3:F$500)))</f>
        <v>0</v>
      </c>
      <c r="CG8" s="133" t="n">
        <f aca="false">IF(OR(CG$4="",$B8=""),0,SUMIF('DADOS BRUTOS'!$A$3:$A$500,$B8,'DADOS BRUTOS'!G$3:G$500)+IF($C8="",0,SUMIF('DADOS BRUTOS'!$A$3:$A$500,$C8,'DADOS BRUTOS'!G$3:G$500)))</f>
        <v>0</v>
      </c>
      <c r="CH8" s="133" t="n">
        <f aca="false">IF(OR(CH$4="",$B8=""),0,SUMIF('DADOS BRUTOS'!$A$3:$A$500,$B8,'DADOS BRUTOS'!H$3:H$500)+IF($C8="",0,SUMIF('DADOS BRUTOS'!$A$3:$A$500,$C8,'DADOS BRUTOS'!H$3:H$500)))</f>
        <v>0</v>
      </c>
      <c r="CI8" s="133" t="n">
        <f aca="false">IF(OR(CI$4="",$B8=""),0,SUMIF('DADOS BRUTOS'!$A$3:$A$500,$B8,'DADOS BRUTOS'!I$3:I$500)+IF($C8="",0,SUMIF('DADOS BRUTOS'!$A$3:$A$500,$C8,'DADOS BRUTOS'!I$3:I$500)))</f>
        <v>1566.87</v>
      </c>
      <c r="CJ8" s="133" t="n">
        <f aca="false">IF(OR(CJ$4="",$B8=""),0,SUMIF('DADOS BRUTOS'!$A$3:$A$500,$B8,'DADOS BRUTOS'!J$3:J$500)+IF($C8="",0,SUMIF('DADOS BRUTOS'!$A$3:$A$500,$C8,'DADOS BRUTOS'!J$3:J$500)))</f>
        <v>22290.15</v>
      </c>
      <c r="CK8" s="133" t="n">
        <f aca="false">IF(OR(CK$4="",$B8=""),0,SUMIF('DADOS BRUTOS'!$A$3:$A$500,$B8,'DADOS BRUTOS'!K$3:K$500)+IF($C8="",0,SUMIF('DADOS BRUTOS'!$A$3:$A$500,$C8,'DADOS BRUTOS'!K$3:K$500)))</f>
        <v>36188.25</v>
      </c>
      <c r="CL8" s="133" t="n">
        <f aca="false">IF(OR(CL$4="",$B8=""),0,SUMIF('DADOS BRUTOS'!$A$3:$A$500,$B8,'DADOS BRUTOS'!L$3:L$500)+IF($C8="",0,SUMIF('DADOS BRUTOS'!$A$3:$A$500,$C8,'DADOS BRUTOS'!L$3:L$500)))</f>
        <v>585.7</v>
      </c>
      <c r="CM8" s="133" t="n">
        <f aca="false">IF(OR(CM$4="",$B8=""),0,SUMIF('DADOS BRUTOS'!$A$3:$A$500,$B8,'DADOS BRUTOS'!M$3:M$500)+IF($C8="",0,SUMIF('DADOS BRUTOS'!$A$3:$A$500,$C8,'DADOS BRUTOS'!M$3:M$500)))</f>
        <v>750</v>
      </c>
      <c r="CN8" s="133" t="n">
        <f aca="false">IF(OR(CN$4="",$B8=""),0,SUMIF('DADOS BRUTOS'!$A$3:$A$500,$B8,'DADOS BRUTOS'!N$3:N$500)+IF($C8="",0,SUMIF('DADOS BRUTOS'!$A$3:$A$500,$C8,'DADOS BRUTOS'!N$3:N$500)))</f>
        <v>0</v>
      </c>
      <c r="CO8" s="133" t="n">
        <f aca="false">IF(OR(CO$4="",$B8=""),0,SUMIF('DADOS BRUTOS'!$A$3:$A$500,$B8,'DADOS BRUTOS'!O$3:O$500)+IF($C8="",0,SUMIF('DADOS BRUTOS'!$A$3:$A$500,$C8,'DADOS BRUTOS'!O$3:O$500)))</f>
        <v>0</v>
      </c>
      <c r="CP8" s="133" t="n">
        <f aca="false">IF(OR(CP$4="",$B8=""),0,SUMIF('DADOS BRUTOS'!$A$3:$A$500,$B8,'DADOS BRUTOS'!P$3:P$500)+IF($C8="",0,SUMIF('DADOS BRUTOS'!$A$3:$A$500,$C8,'DADOS BRUTOS'!P$3:P$500)))</f>
        <v>0</v>
      </c>
      <c r="CQ8" s="133" t="n">
        <f aca="false">IF(OR(CQ$4="",$B8=""),0,SUMIF('DADOS BRUTOS'!$A$3:$A$500,$B8,'DADOS BRUTOS'!Q$3:Q$500)+IF($C8="",0,SUMIF('DADOS BRUTOS'!$A$3:$A$500,$C8,'DADOS BRUTOS'!Q$3:Q$500)))</f>
        <v>0</v>
      </c>
      <c r="CR8" s="133" t="n">
        <f aca="false">IF(OR(CR$4="",$B8=""),0,SUMIF('DADOS BRUTOS'!$A$3:$A$500,$B8,'DADOS BRUTOS'!R$3:R$500)+IF($C8="",0,SUMIF('DADOS BRUTOS'!$A$3:$A$500,$C8,'DADOS BRUTOS'!R$3:R$500)))</f>
        <v>0</v>
      </c>
      <c r="CS8" s="133" t="n">
        <f aca="false">IF(OR(CS$4="",$B8=""),0,SUMIF('DADOS BRUTOS'!$A$3:$A$500,$B8,'DADOS BRUTOS'!S$3:S$500)+IF($C8="",0,SUMIF('DADOS BRUTOS'!$A$3:$A$500,$C8,'DADOS BRUTOS'!S$3:S$500)))</f>
        <v>0</v>
      </c>
      <c r="CT8" s="133" t="n">
        <f aca="false">IF(OR(CT$4="",$B8=""),0,SUMIF('DADOS BRUTOS'!$A$3:$A$500,$B8,'DADOS BRUTOS'!T$3:T$500)+IF($C8="",0,SUMIF('DADOS BRUTOS'!$A$3:$A$500,$C8,'DADOS BRUTOS'!T$3:T$500)))</f>
        <v>61557.78</v>
      </c>
      <c r="CU8" s="133" t="n">
        <f aca="false">IF(OR(CU$4="",$B8=""),0,SUMIF('DADOS BRUTOS'!$A$3:$A$500,$B8,'DADOS BRUTOS'!U$3:U$500)+IF($C8="",0,SUMIF('DADOS BRUTOS'!$A$3:$A$500,$C8,'DADOS BRUTOS'!U$3:U$500)))</f>
        <v>70633.03</v>
      </c>
      <c r="CV8" s="133" t="n">
        <f aca="false">IF(OR(CV$4="",$B8=""),0,SUMIF('DADOS BRUTOS'!$A$3:$A$500,$B8,'DADOS BRUTOS'!V$3:V$500)+IF($C8="",0,SUMIF('DADOS BRUTOS'!$A$3:$A$500,$C8,'DADOS BRUTOS'!V$3:V$500)))</f>
        <v>66792.52</v>
      </c>
      <c r="CW8" s="133" t="n">
        <f aca="false">IF(OR(CW$4="",$B8=""),0,SUMIF('DADOS BRUTOS'!$A$3:$A$500,$B8,'DADOS BRUTOS'!W$3:W$500)+IF($C8="",0,SUMIF('DADOS BRUTOS'!$A$3:$A$500,$C8,'DADOS BRUTOS'!W$3:W$500)))</f>
        <v>71201.4</v>
      </c>
      <c r="CX8" s="133" t="n">
        <f aca="false">IF(OR(CX$4="",$B8=""),0,SUMIF('DADOS BRUTOS'!$A$3:$A$500,$B8,'DADOS BRUTOS'!X$3:X$500)+IF($C8="",0,SUMIF('DADOS BRUTOS'!$A$3:$A$500,$C8,'DADOS BRUTOS'!X$3:X$500)))</f>
        <v>59244.3</v>
      </c>
      <c r="CY8" s="133" t="n">
        <f aca="false">IF(OR(CY$4="",$B8=""),0,SUMIF('DADOS BRUTOS'!$A$3:$A$500,$B8,'DADOS BRUTOS'!Y$3:Y$500)+IF($C8="",0,SUMIF('DADOS BRUTOS'!$A$3:$A$500,$C8,'DADOS BRUTOS'!Y$3:Y$500)))</f>
        <v>40715.62</v>
      </c>
      <c r="CZ8" s="133" t="n">
        <f aca="false">IF(OR(CZ$4="",$B8=""),0,SUMIF('DADOS BRUTOS'!$A$3:$A$500,$B8,'DADOS BRUTOS'!Z$3:Z$500)+IF($C8="",0,SUMIF('DADOS BRUTOS'!$A$3:$A$500,$C8,'DADOS BRUTOS'!Z$3:Z$500)))</f>
        <v>51460.01</v>
      </c>
      <c r="DA8" s="133" t="n">
        <f aca="false">IF(OR(DA$4="",$B8=""),0,SUMIF('DADOS BRUTOS'!$A$3:$A$500,$B8,'DADOS BRUTOS'!AA$3:AA$500)+IF($C8="",0,SUMIF('DADOS BRUTOS'!$A$3:$A$500,$C8,'DADOS BRUTOS'!AA$3:AA$500)))</f>
        <v>22683.91</v>
      </c>
      <c r="DB8" s="133" t="n">
        <f aca="false">IF(OR(DB$4="",$B8=""),0,SUMIF('DADOS BRUTOS'!$A$3:$A$500,$B8,'DADOS BRUTOS'!AB$3:AB$500)+IF($C8="",0,SUMIF('DADOS BRUTOS'!$A$3:$A$500,$C8,'DADOS BRUTOS'!AB$3:AB$500)))</f>
        <v>17563.67</v>
      </c>
      <c r="DC8" s="133" t="n">
        <f aca="false">IF(OR(DC$4="",$B8=""),0,SUMIF('DADOS BRUTOS'!$A$3:$A$500,$B8,'DADOS BRUTOS'!AC$3:AC$500)+IF($C8="",0,SUMIF('DADOS BRUTOS'!$A$3:$A$500,$C8,'DADOS BRUTOS'!AC$3:AC$500)))</f>
        <v>14403.47</v>
      </c>
      <c r="DD8" s="133" t="n">
        <f aca="false">IF(OR(DD$4="",$B8=""),0,SUMIF('DADOS BRUTOS'!$A$3:$A$500,$B8,'DADOS BRUTOS'!AD$3:AD$500)+IF($C8="",0,SUMIF('DADOS BRUTOS'!$A$3:$A$500,$C8,'DADOS BRUTOS'!AD$3:AD$500)))</f>
        <v>13639.33</v>
      </c>
      <c r="DE8" s="133" t="n">
        <f aca="false">IF(OR(DE$4="",$B8=""),0,SUMIF('DADOS BRUTOS'!$A$3:$A$500,$B8,'DADOS BRUTOS'!AE$3:AE$500)+IF($C8="",0,SUMIF('DADOS BRUTOS'!$A$3:$A$500,$C8,'DADOS BRUTOS'!AE$3:AE$500)))</f>
        <v>19885.18</v>
      </c>
      <c r="DF8" s="133" t="n">
        <f aca="false">IF(OR(DF$4="",$B8=""),0,SUMIF('DADOS BRUTOS'!$A$3:$A$500,$B8,'DADOS BRUTOS'!AF$3:AF$500)+IF($C8="",0,SUMIF('DADOS BRUTOS'!$A$3:$A$500,$C8,'DADOS BRUTOS'!AF$3:AF$500)))</f>
        <v>14872.41</v>
      </c>
      <c r="DG8" s="133" t="n">
        <f aca="false">IF(OR(DG$4="",$B8=""),0,SUMIF('DADOS BRUTOS'!$A$3:$A$500,$B8,'DADOS BRUTOS'!AG$3:AG$500)+IF($C8="",0,SUMIF('DADOS BRUTOS'!$A$3:$A$500,$C8,'DADOS BRUTOS'!AG$3:AG$500)))</f>
        <v>28641.88</v>
      </c>
      <c r="DH8" s="133" t="n">
        <f aca="false">IF(OR(DH$4="",$B8=""),0,SUMIF('DADOS BRUTOS'!$A$3:$A$500,$B8,'DADOS BRUTOS'!AH$3:AH$500)+IF($C8="",0,SUMIF('DADOS BRUTOS'!$A$3:$A$500,$C8,'DADOS BRUTOS'!AH$3:AH$500)))</f>
        <v>16434.13</v>
      </c>
      <c r="DI8" s="133" t="n">
        <f aca="false">IF(OR(DI$4="",$B8=""),0,SUMIF('DADOS BRUTOS'!$A$3:$A$500,$B8,'DADOS BRUTOS'!AI$3:AI$500)+IF($C8="",0,SUMIF('DADOS BRUTOS'!$A$3:$A$500,$C8,'DADOS BRUTOS'!AI$3:AI$500)))</f>
        <v>19390.05</v>
      </c>
      <c r="DJ8" s="133" t="n">
        <f aca="false">IF(OR(DJ$4="",$B8=""),0,SUMIF('DADOS BRUTOS'!$A$3:$A$500,$B8,'DADOS BRUTOS'!AJ$3:AJ$500)+IF($C8="",0,SUMIF('DADOS BRUTOS'!$A$3:$A$500,$C8,'DADOS BRUTOS'!AJ$3:AJ$500)))</f>
        <v>10528.99</v>
      </c>
      <c r="DK8" s="133" t="n">
        <f aca="false">IF(OR(DK$4="",$B8=""),0,SUMIF('DADOS BRUTOS'!$A$3:$A$500,$B8,'DADOS BRUTOS'!AK$3:AK$500)+IF($C8="",0,SUMIF('DADOS BRUTOS'!$A$3:$A$500,$C8,'DADOS BRUTOS'!AK$3:AK$500)))</f>
        <v>3994.37</v>
      </c>
      <c r="DL8" s="133" t="n">
        <f aca="false">IF(OR(DL$4="",$B8=""),0,SUMIF('DADOS BRUTOS'!$A$3:$A$500,$B8,'DADOS BRUTOS'!AL$3:AL$500)+IF($C8="",0,SUMIF('DADOS BRUTOS'!$A$3:$A$500,$C8,'DADOS BRUTOS'!AL$3:AL$500)))</f>
        <v>3526.47</v>
      </c>
      <c r="DM8" s="133" t="n">
        <f aca="false">IF(OR(DM$4="",$B8=""),0,SUMIF('DADOS BRUTOS'!$A$3:$A$500,$B8,'DADOS BRUTOS'!AM$3:AM$500)+IF($C8="",0,SUMIF('DADOS BRUTOS'!$A$3:$A$500,$C8,'DADOS BRUTOS'!AM$3:AM$500)))</f>
        <v>0</v>
      </c>
      <c r="DN8" s="133" t="n">
        <f aca="false">IF(OR(DN$4="",$B8=""),0,SUMIF('DADOS BRUTOS'!$A$3:$A$500,$B8,'DADOS BRUTOS'!AN$3:AN$500)+IF($C8="",0,SUMIF('DADOS BRUTOS'!$A$3:$A$500,$C8,'DADOS BRUTOS'!AN$3:AN$500)))</f>
        <v>0</v>
      </c>
      <c r="DO8" s="133" t="n">
        <f aca="false">IF(OR(DO$4="",$B8=""),0,SUMIF('DADOS BRUTOS'!$A$3:$A$500,$B8,'DADOS BRUTOS'!AO$3:AO$500)+IF($C8="",0,SUMIF('DADOS BRUTOS'!$A$3:$A$500,$C8,'DADOS BRUTOS'!AO$3:AO$500)))</f>
        <v>665</v>
      </c>
      <c r="DP8" s="133" t="n">
        <f aca="false">IF(OR(DP$4="",$B8=""),0,SUMIF('DADOS BRUTOS'!$A$3:$A$500,$B8,'DADOS BRUTOS'!AP$3:AP$500)+IF($C8="",0,SUMIF('DADOS BRUTOS'!$A$3:$A$500,$C8,'DADOS BRUTOS'!AP$3:AP$500)))</f>
        <v>0</v>
      </c>
      <c r="DQ8" s="133" t="n">
        <f aca="false">IF(OR(DQ$4="",$B8=""),0,SUMIF('DADOS BRUTOS'!$A$3:$A$500,$B8,'DADOS BRUTOS'!AQ$3:AQ$500)+IF($C8="",0,SUMIF('DADOS BRUTOS'!$A$3:$A$500,$C8,'DADOS BRUTOS'!AQ$3:AQ$500)))</f>
        <v>0</v>
      </c>
      <c r="DR8" s="133" t="n">
        <f aca="false">IF(OR(DR$4="",$B8=""),0,SUMIF('DADOS BRUTOS'!$A$3:$A$500,$B8,'DADOS BRUTOS'!AR$3:AR$500)+IF($C8="",0,SUMIF('DADOS BRUTOS'!$A$3:$A$500,$C8,'DADOS BRUTOS'!AR$3:AR$500)))</f>
        <v>0</v>
      </c>
      <c r="DS8" s="133" t="n">
        <f aca="false">IF(OR(DS$4="",$B8=""),0,SUMIF('DADOS BRUTOS'!$A$3:$A$500,$B8,'DADOS BRUTOS'!AS$3:AS$500)+IF($C8="",0,SUMIF('DADOS BRUTOS'!$A$3:$A$500,$C8,'DADOS BRUTOS'!AS$3:AS$500)))</f>
        <v>0</v>
      </c>
      <c r="DT8" s="133" t="n">
        <f aca="false">IF(OR(DT$4="",$B8=""),0,SUMIF('DADOS BRUTOS'!$A$3:$A$500,$B8,'DADOS BRUTOS'!AT$3:AT$500)+IF($C8="",0,SUMIF('DADOS BRUTOS'!$A$3:$A$500,$C8,'DADOS BRUTOS'!AT$3:AT$500)))</f>
        <v>0</v>
      </c>
      <c r="DU8" s="133" t="n">
        <f aca="false">IF(OR(DU$4="",$B8=""),0,SUMIF('DADOS BRUTOS'!$A$3:$A$500,$B8,'DADOS BRUTOS'!AU$3:AU$500)+IF($C8="",0,SUMIF('DADOS BRUTOS'!$A$3:$A$500,$C8,'DADOS BRUTOS'!AU$3:AU$500)))</f>
        <v>3700</v>
      </c>
      <c r="DV8" s="133" t="n">
        <f aca="false">IF(OR(DV$4="",$B8=""),0,SUMIF('DADOS BRUTOS'!$A$3:$A$500,$B8,'DADOS BRUTOS'!AV$3:AV$500)+IF($C8="",0,SUMIF('DADOS BRUTOS'!$A$3:$A$500,$C8,'DADOS BRUTOS'!AV$3:AV$500)))</f>
        <v>0</v>
      </c>
      <c r="DW8" s="133" t="n">
        <f aca="false">IF(OR(DW$4="",$B8=""),0,SUMIF('DADOS BRUTOS'!$A$3:$A$500,$B8,'DADOS BRUTOS'!AW$3:AW$500)+IF($C8="",0,SUMIF('DADOS BRUTOS'!$A$3:$A$500,$C8,'DADOS BRUTOS'!AW$3:AW$500)))</f>
        <v>0</v>
      </c>
      <c r="DX8" s="133" t="n">
        <f aca="false">IF(OR(DX$4="",$B8=""),0,SUMIF('DADOS BRUTOS'!$A$3:$A$500,$B8,'DADOS BRUTOS'!AX$3:AX$500)+IF($C8="",0,SUMIF('DADOS BRUTOS'!$A$3:$A$500,$C8,'DADOS BRUTOS'!AX$3:AX$500)))</f>
        <v>0</v>
      </c>
      <c r="DY8" s="133" t="n">
        <f aca="false">IF(OR(DY$4="",$B8=""),0,SUMIF('DADOS BRUTOS'!$A$3:$A$500,$B8,'DADOS BRUTOS'!AY$3:AY$500)+IF($C8="",0,SUMIF('DADOS BRUTOS'!$A$3:$A$500,$C8,'DADOS BRUTOS'!AY$3:AY$500)))</f>
        <v>0</v>
      </c>
      <c r="DZ8" s="133" t="n">
        <f aca="false">IF(OR(DZ$4="",$B8=""),0,SUMIF('DADOS BRUTOS'!$A$3:$A$500,$B8,'DADOS BRUTOS'!AZ$3:AZ$500)+IF($C8="",0,SUMIF('DADOS BRUTOS'!$A$3:$A$500,$C8,'DADOS BRUTOS'!AZ$3:AZ$500)))</f>
        <v>0</v>
      </c>
      <c r="EA8" s="133" t="n">
        <f aca="false">IF(OR(EA$4="",$B8=""),0,SUMIF('DADOS BRUTOS'!$A$3:$A$500,$B8,'DADOS BRUTOS'!BA$3:BA$500)+IF($C8="",0,SUMIF('DADOS BRUTOS'!$A$3:$A$500,$C8,'DADOS BRUTOS'!BA$3:BA$500)))</f>
        <v>0</v>
      </c>
      <c r="EB8" s="133" t="n">
        <f aca="false">IF(OR(EB$4="",$B8=""),0,SUMIF('DADOS BRUTOS'!$A$3:$A$500,$B8,'DADOS BRUTOS'!BB$3:BB$500)+IF($C8="",0,SUMIF('DADOS BRUTOS'!$A$3:$A$500,$C8,'DADOS BRUTOS'!BB$3:BB$500)))</f>
        <v>0</v>
      </c>
      <c r="EC8" s="133" t="n">
        <f aca="false">IF(OR(EC$4="",$B8=""),0,SUMIF('DADOS BRUTOS'!$A$3:$A$500,$B8,'DADOS BRUTOS'!BC$3:BC$500)+IF($C8="",0,SUMIF('DADOS BRUTOS'!$A$3:$A$500,$C8,'DADOS BRUTOS'!BC$3:BC$500)))</f>
        <v>0</v>
      </c>
      <c r="ED8" s="133" t="n">
        <f aca="false">IF(OR(ED$4="",$B8=""),0,SUMIF('DADOS BRUTOS'!$A$3:$A$500,$B8,'DADOS BRUTOS'!BD$3:BD$500)+IF($C8="",0,SUMIF('DADOS BRUTOS'!$A$3:$A$500,$C8,'DADOS BRUTOS'!BD$3:BD$500)))</f>
        <v>0</v>
      </c>
      <c r="EE8" s="133" t="n">
        <f aca="false">IF(OR(EE$4="",$B8=""),0,SUMIF('DADOS BRUTOS'!$A$3:$A$500,$B8,'DADOS BRUTOS'!BE$3:BE$500)+IF($C8="",0,SUMIF('DADOS BRUTOS'!$A$3:$A$500,$C8,'DADOS BRUTOS'!BE$3:BE$500)))</f>
        <v>0</v>
      </c>
      <c r="EF8" s="133" t="n">
        <f aca="false">IF(OR(EF$4="",$B8=""),0,SUMIF('DADOS BRUTOS'!$A$3:$A$500,$B8,'DADOS BRUTOS'!BF$3:BF$500)+IF($C8="",0,SUMIF('DADOS BRUTOS'!$A$3:$A$500,$C8,'DADOS BRUTOS'!BF$3:BF$500)))</f>
        <v>0</v>
      </c>
      <c r="EG8" s="133" t="n">
        <f aca="false">IF(OR(EG$4="",$B8=""),0,SUMIF('DADOS BRUTOS'!$A$3:$A$500,$B8,'DADOS BRUTOS'!BG$3:BG$500)+IF($C8="",0,SUMIF('DADOS BRUTOS'!$A$3:$A$500,$C8,'DADOS BRUTOS'!BG$3:BG$500)))</f>
        <v>0</v>
      </c>
      <c r="EH8" s="133" t="n">
        <f aca="false">IF(OR(EH$4="",$B8=""),0,SUMIF('DADOS BRUTOS'!$A$3:$A$500,$B8,'DADOS BRUTOS'!BH$3:BH$500)+IF($C8="",0,SUMIF('DADOS BRUTOS'!$A$3:$A$500,$C8,'DADOS BRUTOS'!BH$3:BH$500)))</f>
        <v>0</v>
      </c>
      <c r="EI8" s="133" t="n">
        <f aca="false">IF(OR(EI$4="",$B8=""),0,SUMIF('DADOS BRUTOS'!$A$3:$A$500,$B8,'DADOS BRUTOS'!BI$3:BI$500)+IF($C8="",0,SUMIF('DADOS BRUTOS'!$A$3:$A$500,$C8,'DADOS BRUTOS'!BI$3:BI$500)))</f>
        <v>0</v>
      </c>
      <c r="EJ8" s="133" t="n">
        <f aca="false">IF(OR(EJ$4="",$B8=""),0,SUMIF('DADOS BRUTOS'!$A$3:$A$500,$B8,'DADOS BRUTOS'!BJ$3:BJ$500)+IF($C8="",0,SUMIF('DADOS BRUTOS'!$A$3:$A$500,$C8,'DADOS BRUTOS'!BJ$3:BJ$500)))</f>
        <v>0</v>
      </c>
      <c r="EK8" s="133" t="n">
        <f aca="false">IF(OR(EK$4="",$B8=""),0,SUMIF('DADOS BRUTOS'!$A$3:$A$500,$B8,'DADOS BRUTOS'!BK$3:BK$500)+IF($C8="",0,SUMIF('DADOS BRUTOS'!$A$3:$A$500,$C8,'DADOS BRUTOS'!BK$3:BK$500)))</f>
        <v>0</v>
      </c>
      <c r="EL8" s="133" t="n">
        <f aca="false">IF(OR(EL$4="",$B8=""),0,SUMIF('DADOS BRUTOS'!$A$3:$A$500,$B8,'DADOS BRUTOS'!BL$3:BL$500)+IF($C8="",0,SUMIF('DADOS BRUTOS'!$A$3:$A$500,$C8,'DADOS BRUTOS'!BL$3:BL$500)))</f>
        <v>0</v>
      </c>
      <c r="EM8" s="133" t="n">
        <f aca="false">IF(OR(EM$4="",$B8=""),0,SUMIF('DADOS BRUTOS'!$A$3:$A$500,$B8,'DADOS BRUTOS'!BM$3:BM$500)+IF($C8="",0,SUMIF('DADOS BRUTOS'!$A$3:$A$500,$C8,'DADOS BRUTOS'!BM$3:BM$500)))</f>
        <v>0</v>
      </c>
      <c r="EN8" s="133" t="n">
        <f aca="false">IF(OR(EN$4="",$B8=""),0,SUMIF('DADOS BRUTOS'!$A$3:$A$500,$B8,'DADOS BRUTOS'!BN$3:BN$500)+IF($C8="",0,SUMIF('DADOS BRUTOS'!$A$3:$A$500,$C8,'DADOS BRUTOS'!BN$3:BN$500)))</f>
        <v>0</v>
      </c>
      <c r="EO8" s="133" t="n">
        <f aca="false">IF(OR(EO$4="",$B8=""),0,SUMIF('DADOS BRUTOS'!$A$3:$A$500,$B8,'DADOS BRUTOS'!BO$3:BO$500)+IF($C8="",0,SUMIF('DADOS BRUTOS'!$A$3:$A$500,$C8,'DADOS BRUTOS'!BO$3:BO$500)))</f>
        <v>0</v>
      </c>
      <c r="EP8" s="133" t="n">
        <f aca="false">IF(OR(EP$4="",$B8=""),0,SUMIF('DADOS BRUTOS'!$A$3:$A$500,$B8,'DADOS BRUTOS'!BP$3:BP$500)+IF($C8="",0,SUMIF('DADOS BRUTOS'!$A$3:$A$500,$C8,'DADOS BRUTOS'!BP$3:BP$500)))</f>
        <v>0</v>
      </c>
      <c r="EQ8" s="133" t="n">
        <f aca="false">IF(OR(EQ$4="",$B8=""),0,SUMIF('DADOS BRUTOS'!$A$3:$A$500,$B8,'DADOS BRUTOS'!BQ$3:BQ$500)+IF($C8="",0,SUMIF('DADOS BRUTOS'!$A$3:$A$500,$C8,'DADOS BRUTOS'!BQ$3:BQ$500)))</f>
        <v>0</v>
      </c>
      <c r="ER8" s="133" t="n">
        <f aca="false">IF(OR(ER$4="",$B8=""),0,SUMIF('DADOS BRUTOS'!$A$3:$A$500,$B8,'DADOS BRUTOS'!BR$3:BR$500)+IF($C8="",0,SUMIF('DADOS BRUTOS'!$A$3:$A$500,$C8,'DADOS BRUTOS'!BR$3:BR$500)))</f>
        <v>0</v>
      </c>
      <c r="ES8" s="133" t="n">
        <f aca="false">IF(OR(ES$4="",$B8=""),0,SUMIF('DADOS BRUTOS'!$A$3:$A$500,$B8,'DADOS BRUTOS'!BS$3:BS$500)+IF($C8="",0,SUMIF('DADOS BRUTOS'!$A$3:$A$500,$C8,'DADOS BRUTOS'!BS$3:BS$500)))</f>
        <v>0</v>
      </c>
      <c r="ET8" s="133" t="n">
        <f aca="false">IF(OR(ET$4="",$B8=""),0,SUMIF('DADOS BRUTOS'!$A$3:$A$500,$B8,'DADOS BRUTOS'!BT$3:BT$500)+IF($C8="",0,SUMIF('DADOS BRUTOS'!$A$3:$A$500,$C8,'DADOS BRUTOS'!BT$3:BT$500)))</f>
        <v>0</v>
      </c>
      <c r="EU8" s="133" t="n">
        <f aca="false">IF(OR(EU$4="",$B8=""),0,SUMIF('DADOS BRUTOS'!$A$3:$A$500,$B8,'DADOS BRUTOS'!BU$3:BU$500)+IF($C8="",0,SUMIF('DADOS BRUTOS'!$A$3:$A$500,$C8,'DADOS BRUTOS'!BU$3:BU$500)))</f>
        <v>0</v>
      </c>
      <c r="EV8" s="133" t="n">
        <f aca="false">IF(OR(EV$4="",$B8=""),0,SUMIF('DADOS BRUTOS'!$A$3:$A$500,$B8,'DADOS BRUTOS'!BV$3:BV$500)+IF($C8="",0,SUMIF('DADOS BRUTOS'!$A$3:$A$500,$C8,'DADOS BRUTOS'!BV$3:BV$500)))</f>
        <v>0</v>
      </c>
      <c r="EW8" s="133" t="n">
        <f aca="false">IF(OR(EW$4="",$B8=""),0,SUMIF('DADOS BRUTOS'!$A$3:$A$500,$B8,'DADOS BRUTOS'!BW$3:BW$500)+IF($C8="",0,SUMIF('DADOS BRUTOS'!$A$3:$A$500,$C8,'DADOS BRUTOS'!BW$3:BW$500)))</f>
        <v>0</v>
      </c>
      <c r="EX8" s="133" t="n">
        <f aca="false">IF(OR(EX$4="",$B8=""),0,SUMIF('DADOS BRUTOS'!$A$3:$A$500,$B8,'DADOS BRUTOS'!BX$3:BX$500)+IF($C8="",0,SUMIF('DADOS BRUTOS'!$A$3:$A$500,$C8,'DADOS BRUTOS'!BX$3:BX$500)))</f>
        <v>0</v>
      </c>
      <c r="EY8" s="133" t="n">
        <f aca="false">IF(OR(EY$4="",$B8=""),0,SUMIF('DADOS BRUTOS'!$A$3:$A$500,$B8,'DADOS BRUTOS'!BY$3:BY$500)+IF($C8="",0,SUMIF('DADOS BRUTOS'!$A$3:$A$500,$C8,'DADOS BRUTOS'!BY$3:BY$500)))</f>
        <v>0</v>
      </c>
      <c r="EZ8" s="133" t="n">
        <f aca="false">IF(OR(EZ$4="",$B8=""),0,SUMIF('DADOS BRUTOS'!$A$3:$A$500,$B8,'DADOS BRUTOS'!BZ$3:BZ$500)+IF($C8="",0,SUMIF('DADOS BRUTOS'!$A$3:$A$500,$C8,'DADOS BRUTOS'!BZ$3:BZ$500)))</f>
        <v>0</v>
      </c>
      <c r="FA8" s="133" t="n">
        <f aca="false">IF(OR(FA$4="",$B8=""),0,SUMIF('DADOS BRUTOS'!$A$3:$A$500,$B8,'DADOS BRUTOS'!CA$3:CA$500)+IF($C8="",0,SUMIF('DADOS BRUTOS'!$A$3:$A$500,$C8,'DADOS BRUTOS'!CA$3:CA$500)))</f>
        <v>0</v>
      </c>
      <c r="FB8" s="133" t="n">
        <f aca="false">IF(OR(FB$4="",$B8=""),0,SUMIF('DADOS BRUTOS'!$A$3:$A$500,$B8,'DADOS BRUTOS'!CB$3:CB$500)+IF($C8="",0,SUMIF('DADOS BRUTOS'!$A$3:$A$500,$C8,'DADOS BRUTOS'!CB$3:CB$500)))</f>
        <v>0</v>
      </c>
      <c r="FC8" s="133" t="n">
        <f aca="false">IF(OR(FC$4="",$B8=""),0,SUMIF('DADOS BRUTOS'!$A$3:$A$500,$B8,'DADOS BRUTOS'!CC$3:CC$500)+IF($C8="",0,SUMIF('DADOS BRUTOS'!$A$3:$A$500,$C8,'DADOS BRUTOS'!CC$3:CC$500)))</f>
        <v>0</v>
      </c>
      <c r="FD8" s="133" t="n">
        <f aca="false">IF(OR(FD$4="",$B8=""),0,SUMIF('DADOS BRUTOS'!$A$3:$A$500,$B8,'DADOS BRUTOS'!CD$3:CD$500)+IF($C8="",0,SUMIF('DADOS BRUTOS'!$A$3:$A$500,$C8,'DADOS BRUTOS'!CD$3:CD$500)))</f>
        <v>0</v>
      </c>
      <c r="FE8" s="133" t="n">
        <f aca="false">IF(OR(FE$4="",$B8=""),0,SUMIF('DADOS BRUTOS'!$A$3:$A$500,$B8,'DADOS BRUTOS'!CE$3:CE$500)+IF($C8="",0,SUMIF('DADOS BRUTOS'!$A$3:$A$500,$C8,'DADOS BRUTOS'!CE$3:CE$500)))</f>
        <v>0</v>
      </c>
      <c r="FF8" s="133" t="n">
        <f aca="false">IF(OR(FF$4="",$B8=""),0,SUMIF('DADOS BRUTOS'!$A$3:$A$500,$B8,'DADOS BRUTOS'!CF$3:CF$500)+IF($C8="",0,SUMIF('DADOS BRUTOS'!$A$3:$A$500,$C8,'DADOS BRUTOS'!CF$3:CF$500)))</f>
        <v>0</v>
      </c>
      <c r="FG8" s="133" t="n">
        <f aca="false">IF(OR(FG$4="",$B8=""),0,SUMIF('DADOS BRUTOS'!$A$3:$A$500,$B8,'DADOS BRUTOS'!CG$3:CG$500)+IF($C8="",0,SUMIF('DADOS BRUTOS'!$A$3:$A$500,$C8,'DADOS BRUTOS'!CG$3:CG$500)))</f>
        <v>0</v>
      </c>
      <c r="FH8" s="133" t="n">
        <f aca="false">IF(OR(FH$4="",$B8=""),0,SUMIF('DADOS BRUTOS'!$A$3:$A$500,$B8,'DADOS BRUTOS'!CH$3:CH$500)+IF($C8="",0,SUMIF('DADOS BRUTOS'!$A$3:$A$500,$C8,'DADOS BRUTOS'!CH$3:CH$500)))</f>
        <v>0</v>
      </c>
      <c r="FI8" s="133" t="n">
        <f aca="false">IF(OR(FI$4="",$B8=""),0,SUMIF('DADOS BRUTOS'!$A$3:$A$500,$B8,'DADOS BRUTOS'!CI$3:CI$500)+IF($C8="",0,SUMIF('DADOS BRUTOS'!$A$3:$A$500,$C8,'DADOS BRUTOS'!CI$3:CI$500)))</f>
        <v>0</v>
      </c>
      <c r="FJ8" s="133" t="n">
        <f aca="false">IF(OR(FJ$4="",$B8=""),0,SUMIF('DADOS BRUTOS'!$A$3:$A$500,$B8,'DADOS BRUTOS'!CJ$3:CJ$500)+IF($C8="",0,SUMIF('DADOS BRUTOS'!$A$3:$A$500,$C8,'DADOS BRUTOS'!CJ$3:CJ$500)))</f>
        <v>0</v>
      </c>
      <c r="FK8" s="133" t="n">
        <f aca="false">IF(OR(FK$4="",$B8=""),0,SUMIF('DADOS BRUTOS'!$A$3:$A$500,$B8,'DADOS BRUTOS'!CK$3:CK$500)+IF($C8="",0,SUMIF('DADOS BRUTOS'!$A$3:$A$500,$C8,'DADOS BRUTOS'!CK$3:CK$500)))</f>
        <v>0</v>
      </c>
      <c r="FL8" s="133" t="n">
        <f aca="false">IF(OR(FL$4="",$B8=""),0,SUMIF('DADOS BRUTOS'!$A$3:$A$500,$B8,'DADOS BRUTOS'!CL$3:CL$500)+IF($C8="",0,SUMIF('DADOS BRUTOS'!$A$3:$A$500,$C8,'DADOS BRUTOS'!CL$3:CL$500)))</f>
        <v>0</v>
      </c>
      <c r="FM8" s="133" t="n">
        <f aca="false">IF(OR(FM$4="",$B8=""),0,SUMIF('DADOS BRUTOS'!$A$3:$A$500,$B8,'DADOS BRUTOS'!CM$3:CM$500)+IF($C8="",0,SUMIF('DADOS BRUTOS'!$A$3:$A$500,$C8,'DADOS BRUTOS'!CM$3:CM$500)))</f>
        <v>0</v>
      </c>
      <c r="FN8" s="133" t="n">
        <f aca="false">IF(OR(FN$4="",$B8=""),0,SUMIF('DADOS BRUTOS'!$A$3:$A$500,$B8,'DADOS BRUTOS'!CN$3:CN$500)+IF($C8="",0,SUMIF('DADOS BRUTOS'!$A$3:$A$500,$C8,'DADOS BRUTOS'!CN$3:CN$500)))</f>
        <v>0</v>
      </c>
      <c r="FO8" s="133" t="n">
        <f aca="false">IF(OR(FO$4="",$B8=""),0,SUMIF('DADOS BRUTOS'!$A$3:$A$500,$B8,'DADOS BRUTOS'!CO$3:CO$500)+IF($C8="",0,SUMIF('DADOS BRUTOS'!$A$3:$A$500,$C8,'DADOS BRUTOS'!CO$3:CO$500)))</f>
        <v>0</v>
      </c>
      <c r="FP8" s="133" t="n">
        <f aca="false">IF(OR(FP$4="",$B8=""),0,SUMIF('DADOS BRUTOS'!$A$3:$A$500,$B8,'DADOS BRUTOS'!CP$3:CP$500)+IF($C8="",0,SUMIF('DADOS BRUTOS'!$A$3:$A$500,$C8,'DADOS BRUTOS'!CP$3:CP$500)))</f>
        <v>0</v>
      </c>
      <c r="FQ8" s="133" t="n">
        <f aca="false">IF(OR(FQ$4="",$B8=""),0,SUMIF('DADOS BRUTOS'!$A$3:$A$500,$B8,'DADOS BRUTOS'!CQ$3:CQ$500)+IF($C8="",0,SUMIF('DADOS BRUTOS'!$A$3:$A$500,$C8,'DADOS BRUTOS'!CQ$3:CQ$500)))</f>
        <v>0</v>
      </c>
      <c r="FR8" s="133" t="n">
        <f aca="false">IF(OR(FR$4="",$B8=""),0,SUMIF('DADOS BRUTOS'!$A$3:$A$500,$B8,'DADOS BRUTOS'!CR$3:CR$500)+IF($C8="",0,SUMIF('DADOS BRUTOS'!$A$3:$A$500,$C8,'DADOS BRUTOS'!CR$3:CR$500)))</f>
        <v>0</v>
      </c>
      <c r="FS8" s="133" t="n">
        <f aca="false">IF(OR(FS$4="",$B8=""),0,SUMIF('DADOS BRUTOS'!$A$3:$A$500,$B8,'DADOS BRUTOS'!CS$3:CS$500)+IF($C8="",0,SUMIF('DADOS BRUTOS'!$A$3:$A$500,$C8,'DADOS BRUTOS'!CS$3:CS$500)))</f>
        <v>0</v>
      </c>
      <c r="FT8" s="133" t="n">
        <f aca="false">IF(OR(FT$4="",$B8=""),0,SUMIF('DADOS BRUTOS'!$A$3:$A$500,$B8,'DADOS BRUTOS'!CT$3:CT$500)+IF($C8="",0,SUMIF('DADOS BRUTOS'!$A$3:$A$500,$C8,'DADOS BRUTOS'!CT$3:CT$500)))</f>
        <v>0</v>
      </c>
      <c r="FU8" s="133" t="n">
        <f aca="false">IF(OR(FU$4="",$B8=""),0,SUMIF('DADOS BRUTOS'!$A$3:$A$500,$B8,'DADOS BRUTOS'!CU$3:CU$500)+IF($C8="",0,SUMIF('DADOS BRUTOS'!$A$3:$A$500,$C8,'DADOS BRUTOS'!CU$3:CU$500)))</f>
        <v>0</v>
      </c>
      <c r="FV8" s="133" t="n">
        <f aca="false">IF(OR(FV$4="",$B8=""),0,SUMIF('DADOS BRUTOS'!$A$3:$A$500,$B8,'DADOS BRUTOS'!CV$3:CV$500)+IF($C8="",0,SUMIF('DADOS BRUTOS'!$A$3:$A$500,$C8,'DADOS BRUTOS'!CV$3:CV$500)))</f>
        <v>0</v>
      </c>
      <c r="FW8" s="133" t="n">
        <f aca="false">IF(OR(FW$4="",$B8=""),0,SUMIF('DADOS BRUTOS'!$A$3:$A$500,$B8,'DADOS BRUTOS'!CW$3:CW$500)+IF($C8="",0,SUMIF('DADOS BRUTOS'!$A$3:$A$500,$C8,'DADOS BRUTOS'!CW$3:CW$500)))</f>
        <v>0</v>
      </c>
      <c r="FX8" s="133" t="n">
        <f aca="false">IF(OR(FX$4="",$B8=""),0,SUMIF('DADOS BRUTOS'!$A$3:$A$500,$B8,'DADOS BRUTOS'!CX$3:CX$500)+IF($C8="",0,SUMIF('DADOS BRUTOS'!$A$3:$A$500,$C8,'DADOS BRUTOS'!CX$3:CX$500)))</f>
        <v>0</v>
      </c>
      <c r="FY8" s="133" t="n">
        <f aca="false">IF(OR(FY$4="",$B8=""),0,SUMIF('DADOS BRUTOS'!$A$3:$A$500,$B8,'DADOS BRUTOS'!CY$3:CY$500)+IF($C8="",0,SUMIF('DADOS BRUTOS'!$A$3:$A$500,$C8,'DADOS BRUTOS'!CY$3:CY$500)))</f>
        <v>0</v>
      </c>
      <c r="FZ8" s="133" t="n">
        <f aca="false">IF(OR(FZ$4="",$B8=""),0,SUMIF('DADOS BRUTOS'!$A$3:$A$500,$B8,'DADOS BRUTOS'!CZ$3:CZ$500)+IF($C8="",0,SUMIF('DADOS BRUTOS'!$A$3:$A$500,$C8,'DADOS BRUTOS'!CZ$3:CZ$500)))</f>
        <v>0</v>
      </c>
      <c r="GA8" s="133" t="n">
        <f aca="false">IF(OR(GA$4="",$B8=""),0,SUMIF('DADOS BRUTOS'!$A$3:$A$500,$B8,'DADOS BRUTOS'!DA$3:DA$500)+IF($C8="",0,SUMIF('DADOS BRUTOS'!$A$3:$A$500,$C8,'DADOS BRUTOS'!DA$3:DA$500)))</f>
        <v>0</v>
      </c>
      <c r="GB8" s="133" t="n">
        <f aca="false">IF(OR(GB$4="",$B8=""),0,SUMIF('DADOS BRUTOS'!$A$3:$A$500,$B8,'DADOS BRUTOS'!DB$3:DB$500)+IF($C8="",0,SUMIF('DADOS BRUTOS'!$A$3:$A$500,$C8,'DADOS BRUTOS'!DB$3:DB$500)))</f>
        <v>0</v>
      </c>
      <c r="GC8" s="133" t="n">
        <f aca="false">IF(OR(GC$4="",$B8=""),0,SUMIF('DADOS BRUTOS'!$A$3:$A$500,$B8,'DADOS BRUTOS'!DC$3:DC$500)+IF($C8="",0,SUMIF('DADOS BRUTOS'!$A$3:$A$500,$C8,'DADOS BRUTOS'!DC$3:DC$500)))</f>
        <v>0</v>
      </c>
      <c r="GD8" s="133" t="n">
        <f aca="false">IF(OR(GD$4="",$B8=""),0,SUMIF('DADOS BRUTOS'!$A$3:$A$500,$B8,'DADOS BRUTOS'!DD$3:DD$500)+IF($C8="",0,SUMIF('DADOS BRUTOS'!$A$3:$A$500,$C8,'DADOS BRUTOS'!DD$3:DD$500)))</f>
        <v>0</v>
      </c>
      <c r="GE8" s="133" t="n">
        <f aca="false">IF(OR(GE$4="",$B8=""),0,SUMIF('DADOS BRUTOS'!$A$3:$A$500,$B8,'DADOS BRUTOS'!DE$3:DE$500)+IF($C8="",0,SUMIF('DADOS BRUTOS'!$A$3:$A$500,$C8,'DADOS BRUTOS'!DE$3:DE$500)))</f>
        <v>0</v>
      </c>
      <c r="GF8" s="133" t="n">
        <f aca="false">IF(OR(GF$4="",$B8=""),0,SUMIF('DADOS BRUTOS'!$A$3:$A$500,$B8,'DADOS BRUTOS'!DF$3:DF$500)+IF($C8="",0,SUMIF('DADOS BRUTOS'!$A$3:$A$500,$C8,'DADOS BRUTOS'!DF$3:DF$500)))</f>
        <v>0</v>
      </c>
      <c r="GG8" s="133" t="n">
        <f aca="false">IF(OR(GG$4="",$B8=""),0,SUMIF('DADOS BRUTOS'!$A$3:$A$500,$B8,'DADOS BRUTOS'!DG$3:DG$500)+IF($C8="",0,SUMIF('DADOS BRUTOS'!$A$3:$A$500,$C8,'DADOS BRUTOS'!DG$3:DG$500)))</f>
        <v>0</v>
      </c>
      <c r="GH8" s="133" t="n">
        <f aca="false">IF(OR(GH$4="",$B8=""),0,SUMIF('DADOS BRUTOS'!$A$3:$A$500,$B8,'DADOS BRUTOS'!DH$3:DH$500)+IF($C8="",0,SUMIF('DADOS BRUTOS'!$A$3:$A$500,$C8,'DADOS BRUTOS'!DH$3:DH$500)))</f>
        <v>0</v>
      </c>
      <c r="GI8" s="133" t="n">
        <f aca="false">IF(OR(GI$4="",$B8=""),0,SUMIF('DADOS BRUTOS'!$A$3:$A$500,$B8,'DADOS BRUTOS'!DI$3:DI$500)+IF($C8="",0,SUMIF('DADOS BRUTOS'!$A$3:$A$500,$C8,'DADOS BRUTOS'!DI$3:DI$500)))</f>
        <v>0</v>
      </c>
      <c r="GJ8" s="133" t="n">
        <f aca="false">IF(OR(GJ$4="",$B8=""),0,SUMIF('DADOS BRUTOS'!$A$3:$A$500,$B8,'DADOS BRUTOS'!DJ$3:DJ$500)+IF($C8="",0,SUMIF('DADOS BRUTOS'!$A$3:$A$500,$C8,'DADOS BRUTOS'!DJ$3:DJ$500)))</f>
        <v>0</v>
      </c>
      <c r="GK8" s="133" t="n">
        <f aca="false">IF(OR(GK$4="",$B8=""),0,SUMIF('DADOS BRUTOS'!$A$3:$A$500,$B8,'DADOS BRUTOS'!DK$3:DK$500)+IF($C8="",0,SUMIF('DADOS BRUTOS'!$A$3:$A$500,$C8,'DADOS BRUTOS'!DK$3:DK$500)))</f>
        <v>0</v>
      </c>
      <c r="GL8" s="133" t="n">
        <f aca="false">IF(OR(GL$4="",$B8=""),0,SUMIF('DADOS BRUTOS'!$A$3:$A$500,$B8,'DADOS BRUTOS'!DL$3:DL$500)+IF($C8="",0,SUMIF('DADOS BRUTOS'!$A$3:$A$500,$C8,'DADOS BRUTOS'!DL$3:DL$500)))</f>
        <v>0</v>
      </c>
      <c r="GM8" s="133" t="n">
        <f aca="false">IF(OR(GM$4="",$B8=""),0,SUMIF('DADOS BRUTOS'!$A$3:$A$500,$B8,'DADOS BRUTOS'!DM$3:DM$500)+IF($C8="",0,SUMIF('DADOS BRUTOS'!$A$3:$A$500,$C8,'DADOS BRUTOS'!DM$3:DM$500)))</f>
        <v>0</v>
      </c>
      <c r="GN8" s="133" t="n">
        <f aca="false">IF(OR(GN$4="",$B8=""),0,SUMIF('DADOS BRUTOS'!$A$3:$A$500,$B8,'DADOS BRUTOS'!DN$3:DN$500)+IF($C8="",0,SUMIF('DADOS BRUTOS'!$A$3:$A$500,$C8,'DADOS BRUTOS'!DN$3:DN$500)))</f>
        <v>0</v>
      </c>
      <c r="GO8" s="133" t="n">
        <f aca="false">IF(OR(GO$4="",$B8=""),0,SUMIF('DADOS BRUTOS'!$A$3:$A$500,$B8,'DADOS BRUTOS'!DO$3:DO$500)+IF($C8="",0,SUMIF('DADOS BRUTOS'!$A$3:$A$500,$C8,'DADOS BRUTOS'!DO$3:DO$500)))</f>
        <v>0</v>
      </c>
      <c r="GP8" s="133" t="n">
        <f aca="false">IF(OR(GP$4="",$B8=""),0,SUMIF('DADOS BRUTOS'!$A$3:$A$500,$B8,'DADOS BRUTOS'!DP$3:DP$500)+IF($C8="",0,SUMIF('DADOS BRUTOS'!$A$3:$A$500,$C8,'DADOS BRUTOS'!DP$3:DP$500)))</f>
        <v>0</v>
      </c>
      <c r="GQ8" s="133" t="n">
        <f aca="false">IF(OR(GQ$4="",$B8=""),0,SUMIF('DADOS BRUTOS'!$A$3:$A$500,$B8,'DADOS BRUTOS'!DQ$3:DQ$500)+IF($C8="",0,SUMIF('DADOS BRUTOS'!$A$3:$A$500,$C8,'DADOS BRUTOS'!DQ$3:DQ$500)))</f>
        <v>0</v>
      </c>
      <c r="GR8" s="133" t="n">
        <f aca="false">IF(OR(GR$4="",$B8=""),0,SUMIF('DADOS BRUTOS'!$A$3:$A$500,$B8,'DADOS BRUTOS'!DR$3:DR$500)+IF($C8="",0,SUMIF('DADOS BRUTOS'!$A$3:$A$500,$C8,'DADOS BRUTOS'!DR$3:DR$500)))</f>
        <v>0</v>
      </c>
      <c r="GS8" s="133" t="n">
        <f aca="false">IF(OR(GS$4="",$B8=""),0,SUMIF('DADOS BRUTOS'!$A$3:$A$500,$B8,'DADOS BRUTOS'!DS$3:DS$500)+IF($C8="",0,SUMIF('DADOS BRUTOS'!$A$3:$A$500,$C8,'DADOS BRUTOS'!DS$3:DS$500)))</f>
        <v>0</v>
      </c>
      <c r="GT8" s="133" t="n">
        <f aca="false">IF(OR(GT$4="",$B8=""),0,SUMIF('DADOS BRUTOS'!$A$3:$A$500,$B8,'DADOS BRUTOS'!DT$3:DT$500)+IF($C8="",0,SUMIF('DADOS BRUTOS'!$A$3:$A$500,$C8,'DADOS BRUTOS'!DT$3:DT$500)))</f>
        <v>0</v>
      </c>
      <c r="GU8" s="133" t="n">
        <f aca="false">IF(OR(GU$4="",$B8=""),0,SUMIF('DADOS BRUTOS'!$A$3:$A$500,$B8,'DADOS BRUTOS'!DU$3:DU$500)+IF($C8="",0,SUMIF('DADOS BRUTOS'!$A$3:$A$500,$C8,'DADOS BRUTOS'!DU$3:DU$500)))</f>
        <v>0</v>
      </c>
      <c r="GV8" s="133" t="n">
        <f aca="false">IF(OR(GV$4="",$B8=""),0,SUMIF('DADOS BRUTOS'!$A$3:$A$500,$B8,'DADOS BRUTOS'!DV$3:DV$500)+IF($C8="",0,SUMIF('DADOS BRUTOS'!$A$3:$A$500,$C8,'DADOS BRUTOS'!DV$3:DV$500)))</f>
        <v>0</v>
      </c>
      <c r="GW8" s="133" t="n">
        <f aca="false">IF(OR(GW$4="",$B8=""),0,SUMIF('DADOS BRUTOS'!$A$3:$A$500,$B8,'DADOS BRUTOS'!DW$3:DW$500)+IF($C8="",0,SUMIF('DADOS BRUTOS'!$A$3:$A$500,$C8,'DADOS BRUTOS'!DW$3:DW$500)))</f>
        <v>0</v>
      </c>
      <c r="GX8" s="133" t="n">
        <f aca="false">IF(OR(GX$4="",$B8=""),0,SUMIF('DADOS BRUTOS'!$A$3:$A$500,$B8,'DADOS BRUTOS'!DX$3:DX$500)+IF($C8="",0,SUMIF('DADOS BRUTOS'!$A$3:$A$500,$C8,'DADOS BRUTOS'!DX$3:DX$500)))</f>
        <v>0</v>
      </c>
      <c r="GY8" s="133" t="n">
        <f aca="false">IF(OR(GY$4="",$B8=""),0,SUMIF('DADOS BRUTOS'!$A$3:$A$500,$B8,'DADOS BRUTOS'!DY$3:DY$500)+IF($C8="",0,SUMIF('DADOS BRUTOS'!$A$3:$A$500,$C8,'DADOS BRUTOS'!DY$3:DY$500)))</f>
        <v>0</v>
      </c>
      <c r="GZ8" s="133" t="n">
        <f aca="false">IF(OR(GZ$4="",$B8=""),0,SUMIF('DADOS BRUTOS'!$A$3:$A$500,$B8,'DADOS BRUTOS'!DZ$3:DZ$500)+IF($C8="",0,SUMIF('DADOS BRUTOS'!$A$3:$A$500,$C8,'DADOS BRUTOS'!DZ$3:DZ$500)))</f>
        <v>0</v>
      </c>
      <c r="HA8" s="133" t="n">
        <f aca="false">IF(OR(HA$4="",$B8=""),0,SUMIF('DADOS BRUTOS'!$A$3:$A$500,$B8,'DADOS BRUTOS'!EA$3:EA$500)+IF($C8="",0,SUMIF('DADOS BRUTOS'!$A$3:$A$500,$C8,'DADOS BRUTOS'!EA$3:EA$500)))</f>
        <v>0</v>
      </c>
      <c r="HB8" s="133" t="n">
        <f aca="false">IF(OR(HB$4="",$B8=""),0,SUMIF('DADOS BRUTOS'!$A$3:$A$500,$B8,'DADOS BRUTOS'!EB$3:EB$500)+IF($C8="",0,SUMIF('DADOS BRUTOS'!$A$3:$A$500,$C8,'DADOS BRUTOS'!EB$3:EB$500)))</f>
        <v>0</v>
      </c>
      <c r="HC8" s="133" t="n">
        <f aca="false">IF(OR(HC$4="",$B8=""),0,SUMIF('DADOS BRUTOS'!$A$3:$A$500,$B8,'DADOS BRUTOS'!EC$3:EC$500)+IF($C8="",0,SUMIF('DADOS BRUTOS'!$A$3:$A$500,$C8,'DADOS BRUTOS'!EC$3:EC$500)))</f>
        <v>0</v>
      </c>
      <c r="HD8" s="133" t="n">
        <f aca="false">IF(OR(HD$4="",$B8=""),0,SUMIF('DADOS BRUTOS'!$A$3:$A$500,$B8,'DADOS BRUTOS'!ED$3:ED$500)+IF($C8="",0,SUMIF('DADOS BRUTOS'!$A$3:$A$500,$C8,'DADOS BRUTOS'!ED$3:ED$500)))</f>
        <v>0</v>
      </c>
      <c r="HE8" s="133" t="n">
        <f aca="false">IF(OR(HE$4="",$B8=""),0,SUMIF('DADOS BRUTOS'!$A$3:$A$500,$B8,'DADOS BRUTOS'!EE$3:EE$500)+IF($C8="",0,SUMIF('DADOS BRUTOS'!$A$3:$A$500,$C8,'DADOS BRUTOS'!EE$3:EE$500)))</f>
        <v>0</v>
      </c>
      <c r="HF8" s="133" t="n">
        <f aca="false">IF(OR(HF$4="",$B8=""),0,SUMIF('DADOS BRUTOS'!$A$3:$A$500,$B8,'DADOS BRUTOS'!EF$3:EF$500)+IF($C8="",0,SUMIF('DADOS BRUTOS'!$A$3:$A$500,$C8,'DADOS BRUTOS'!EF$3:EF$500)))</f>
        <v>0</v>
      </c>
      <c r="HG8" s="133" t="n">
        <f aca="false">IF(OR(HG$4="",$B8=""),0,SUMIF('DADOS BRUTOS'!$A$3:$A$500,$B8,'DADOS BRUTOS'!EG$3:EG$500)+IF($C8="",0,SUMIF('DADOS BRUTOS'!$A$3:$A$500,$C8,'DADOS BRUTOS'!EG$3:EG$500)))</f>
        <v>0</v>
      </c>
      <c r="HH8" s="133" t="n">
        <f aca="false">IF(OR(HH$4="",$B8=""),0,SUMIF('DADOS BRUTOS'!$A$3:$A$500,$B8,'DADOS BRUTOS'!EH$3:EH$500)+IF($C8="",0,SUMIF('DADOS BRUTOS'!$A$3:$A$500,$C8,'DADOS BRUTOS'!EH$3:EH$500)))</f>
        <v>0</v>
      </c>
      <c r="HI8" s="133" t="n">
        <f aca="false">IF(OR(HI$4="",$B8=""),0,SUMIF('DADOS BRUTOS'!$A$3:$A$500,$B8,'DADOS BRUTOS'!EI$3:EI$500)+IF($C8="",0,SUMIF('DADOS BRUTOS'!$A$3:$A$500,$C8,'DADOS BRUTOS'!EI$3:EI$500)))</f>
        <v>0</v>
      </c>
      <c r="HJ8" s="133" t="n">
        <f aca="false">IF(OR(HJ$4="",$B8=""),0,SUMIF('DADOS BRUTOS'!$A$3:$A$500,$B8,'DADOS BRUTOS'!EJ$3:EJ$500)+IF($C8="",0,SUMIF('DADOS BRUTOS'!$A$3:$A$500,$C8,'DADOS BRUTOS'!EJ$3:EJ$500)))</f>
        <v>0</v>
      </c>
      <c r="HK8" s="133" t="n">
        <f aca="false">IF(OR(HK$4="",$B8=""),0,SUMIF('DADOS BRUTOS'!$A$3:$A$500,$B8,'DADOS BRUTOS'!EK$3:EK$500)+IF($C8="",0,SUMIF('DADOS BRUTOS'!$A$3:$A$500,$C8,'DADOS BRUTOS'!EK$3:EK$500)))</f>
        <v>0</v>
      </c>
      <c r="HL8" s="133" t="n">
        <f aca="false">IF(OR(HL$4="",$B8=""),0,SUMIF('DADOS BRUTOS'!$A$3:$A$500,$B8,'DADOS BRUTOS'!EL$3:EL$500)+IF($C8="",0,SUMIF('DADOS BRUTOS'!$A$3:$A$500,$C8,'DADOS BRUTOS'!EL$3:EL$500)))</f>
        <v>0</v>
      </c>
      <c r="HM8" s="133" t="n">
        <f aca="false">IF(OR(HM$4="",$B8=""),0,SUMIF('DADOS BRUTOS'!$A$3:$A$500,$B8,'DADOS BRUTOS'!EM$3:EM$500)+IF($C8="",0,SUMIF('DADOS BRUTOS'!$A$3:$A$500,$C8,'DADOS BRUTOS'!EM$3:EM$500)))</f>
        <v>0</v>
      </c>
      <c r="HN8" s="133" t="n">
        <f aca="false">IF(OR(HN$4="",$B8=""),0,SUMIF('DADOS BRUTOS'!$A$3:$A$500,$B8,'DADOS BRUTOS'!EN$3:EN$500)+IF($C8="",0,SUMIF('DADOS BRUTOS'!$A$3:$A$500,$C8,'DADOS BRUTOS'!EN$3:EN$500)))</f>
        <v>0</v>
      </c>
      <c r="HO8" s="133" t="n">
        <f aca="false">IF(OR(HO$4="",$B8=""),0,SUMIF('DADOS BRUTOS'!$A$3:$A$500,$B8,'DADOS BRUTOS'!EO$3:EO$500)+IF($C8="",0,SUMIF('DADOS BRUTOS'!$A$3:$A$500,$C8,'DADOS BRUTOS'!EO$3:EO$500)))</f>
        <v>0</v>
      </c>
      <c r="HP8" s="133" t="n">
        <f aca="false">IF(OR(HP$4="",$B8=""),0,SUMIF('DADOS BRUTOS'!$A$3:$A$500,$B8,'DADOS BRUTOS'!EP$3:EP$500)+IF($C8="",0,SUMIF('DADOS BRUTOS'!$A$3:$A$500,$C8,'DADOS BRUTOS'!EP$3:EP$500)))</f>
        <v>0</v>
      </c>
      <c r="HQ8" s="133" t="n">
        <f aca="false">IF(OR(HQ$4="",$B8=""),0,SUMIF('DADOS BRUTOS'!$A$3:$A$500,$B8,'DADOS BRUTOS'!EQ$3:EQ$500)+IF($C8="",0,SUMIF('DADOS BRUTOS'!$A$3:$A$500,$C8,'DADOS BRUTOS'!EQ$3:EQ$500)))</f>
        <v>0</v>
      </c>
      <c r="HR8" s="133" t="n">
        <f aca="false">IF(OR(HR$4="",$B8=""),0,SUMIF('DADOS BRUTOS'!$A$3:$A$500,$B8,'DADOS BRUTOS'!ER$3:ER$500)+IF($C8="",0,SUMIF('DADOS BRUTOS'!$A$3:$A$500,$C8,'DADOS BRUTOS'!ER$3:ER$500)))</f>
        <v>0</v>
      </c>
      <c r="HS8" s="133" t="n">
        <f aca="false">IF(OR(HS$4="",$B8=""),0,SUMIF('DADOS BRUTOS'!$A$3:$A$500,$B8,'DADOS BRUTOS'!ES$3:ES$500)+IF($C8="",0,SUMIF('DADOS BRUTOS'!$A$3:$A$500,$C8,'DADOS BRUTOS'!ES$3:ES$500)))</f>
        <v>0</v>
      </c>
      <c r="HT8" s="133" t="n">
        <f aca="false">IF(OR(HT$4="",$B8=""),0,SUMIF('DADOS BRUTOS'!$A$3:$A$500,$B8,'DADOS BRUTOS'!ET$3:ET$500)+IF($C8="",0,SUMIF('DADOS BRUTOS'!$A$3:$A$500,$C8,'DADOS BRUTOS'!ET$3:ET$500)))</f>
        <v>0</v>
      </c>
      <c r="HU8" s="133" t="n">
        <f aca="false">IF(OR(HU$4="",$B8=""),0,SUMIF('DADOS BRUTOS'!$A$3:$A$500,$B8,'DADOS BRUTOS'!EU$3:EU$500)+IF($C8="",0,SUMIF('DADOS BRUTOS'!$A$3:$A$500,$C8,'DADOS BRUTOS'!EU$3:EU$500)))</f>
        <v>0</v>
      </c>
      <c r="HV8" s="133" t="n">
        <f aca="false">IF(OR(HV$4="",$B8=""),0,SUMIF('DADOS BRUTOS'!$A$3:$A$500,$B8,'DADOS BRUTOS'!EV$3:EV$500)+IF($C8="",0,SUMIF('DADOS BRUTOS'!$A$3:$A$500,$C8,'DADOS BRUTOS'!EV$3:EV$500)))</f>
        <v>0</v>
      </c>
      <c r="HW8" s="133" t="n">
        <f aca="false">IF(OR(HW$4="",$B8=""),0,SUMIF('DADOS BRUTOS'!$A$3:$A$500,$B8,'DADOS BRUTOS'!EW$3:EW$500)+IF($C8="",0,SUMIF('DADOS BRUTOS'!$A$3:$A$500,$C8,'DADOS BRUTOS'!EW$3:EW$500)))</f>
        <v>0</v>
      </c>
      <c r="HX8" s="133" t="n">
        <f aca="false">IF(OR(HX$4="",$B8=""),0,SUMIF('DADOS BRUTOS'!$A$3:$A$500,$B8,'DADOS BRUTOS'!EX$3:EX$500)+IF($C8="",0,SUMIF('DADOS BRUTOS'!$A$3:$A$500,$C8,'DADOS BRUTOS'!EX$3:EX$500)))</f>
        <v>0</v>
      </c>
      <c r="HY8" s="133" t="n">
        <f aca="false">IF(OR(HY$4="",$B8=""),0,SUMIF('DADOS BRUTOS'!$A$3:$A$500,$B8,'DADOS BRUTOS'!EY$3:EY$500)+IF($C8="",0,SUMIF('DADOS BRUTOS'!$A$3:$A$500,$C8,'DADOS BRUTOS'!EY$3:EY$500)))</f>
        <v>0</v>
      </c>
      <c r="HZ8" s="133" t="n">
        <f aca="false">IF(OR(HZ$4="",$B8=""),0,SUMIF('DADOS BRUTOS'!$A$3:$A$500,$B8,'DADOS BRUTOS'!EZ$3:EZ$500)+IF($C8="",0,SUMIF('DADOS BRUTOS'!$A$3:$A$500,$C8,'DADOS BRUTOS'!EZ$3:EZ$500)))</f>
        <v>0</v>
      </c>
      <c r="IA8" s="133" t="n">
        <f aca="false">IF(OR(IA$4="",$B8=""),0,SUMIF('DADOS BRUTOS'!$A$3:$A$500,$B8,'DADOS BRUTOS'!FA$3:FA$500)+IF($C8="",0,SUMIF('DADOS BRUTOS'!$A$3:$A$500,$C8,'DADOS BRUTOS'!FA$3:FA$500)))</f>
        <v>0</v>
      </c>
      <c r="IB8" s="133" t="n">
        <f aca="false">IF(OR(IB$4="",$B8=""),0,SUMIF('DADOS BRUTOS'!$A$3:$A$500,$B8,'DADOS BRUTOS'!FB$3:FB$500)+IF($C8="",0,SUMIF('DADOS BRUTOS'!$A$3:$A$500,$C8,'DADOS BRUTOS'!FB$3:FB$500)))</f>
        <v>0</v>
      </c>
      <c r="IC8" s="133" t="n">
        <f aca="false">IF(OR(IC$4="",$B8=""),0,SUMIF('DADOS BRUTOS'!$A$3:$A$500,$B8,'DADOS BRUTOS'!FC$3:FC$500)+IF($C8="",0,SUMIF('DADOS BRUTOS'!$A$3:$A$500,$C8,'DADOS BRUTOS'!FC$3:FC$500)))</f>
        <v>0</v>
      </c>
      <c r="ID8" s="133" t="n">
        <f aca="false">IF(OR(ID$4="",$B8=""),0,SUMIF('DADOS BRUTOS'!$A$3:$A$500,$B8,'DADOS BRUTOS'!FD$3:FD$500)+IF($C8="",0,SUMIF('DADOS BRUTOS'!$A$3:$A$500,$C8,'DADOS BRUTOS'!FD$3:FD$500)))</f>
        <v>0</v>
      </c>
      <c r="IE8" s="133" t="n">
        <f aca="false">IF(OR(IE$4="",$B8=""),0,SUMIF('DADOS BRUTOS'!$A$3:$A$500,$B8,'DADOS BRUTOS'!FE$3:FE$500)+IF($C8="",0,SUMIF('DADOS BRUTOS'!$A$3:$A$500,$C8,'DADOS BRUTOS'!FE$3:FE$500)))</f>
        <v>0</v>
      </c>
      <c r="IF8" s="133" t="n">
        <f aca="false">IF(OR(IF$4="",$B8=""),0,SUMIF('DADOS BRUTOS'!$A$3:$A$500,$B8,'DADOS BRUTOS'!FF$3:FF$500)+IF($C8="",0,SUMIF('DADOS BRUTOS'!$A$3:$A$500,$C8,'DADOS BRUTOS'!FF$3:FF$500)))</f>
        <v>0</v>
      </c>
      <c r="IG8" s="133" t="n">
        <f aca="false">IF(OR(IG$4="",$B8=""),0,SUMIF('DADOS BRUTOS'!$A$3:$A$500,$B8,'DADOS BRUTOS'!FG$3:FG$500)+IF($C8="",0,SUMIF('DADOS BRUTOS'!$A$3:$A$500,$C8,'DADOS BRUTOS'!FG$3:FG$500)))</f>
        <v>0</v>
      </c>
      <c r="IH8" s="133" t="n">
        <f aca="false">IF(OR(IH$4="",$B8=""),0,SUMIF('DADOS BRUTOS'!$A$3:$A$500,$B8,'DADOS BRUTOS'!FH$3:FH$500)+IF($C8="",0,SUMIF('DADOS BRUTOS'!$A$3:$A$500,$C8,'DADOS BRUTOS'!FH$3:FH$500)))</f>
        <v>0</v>
      </c>
      <c r="II8" s="133" t="n">
        <f aca="false">IF(OR(II$4="",$B8=""),0,SUMIF('DADOS BRUTOS'!$A$3:$A$500,$B8,'DADOS BRUTOS'!FI$3:FI$500)+IF($C8="",0,SUMIF('DADOS BRUTOS'!$A$3:$A$500,$C8,'DADOS BRUTOS'!FI$3:FI$500)))</f>
        <v>0</v>
      </c>
      <c r="IJ8" s="133" t="n">
        <f aca="false">IF(OR(IJ$4="",$B8=""),0,SUMIF('DADOS BRUTOS'!$A$3:$A$500,$B8,'DADOS BRUTOS'!FJ$3:FJ$500)+IF($C8="",0,SUMIF('DADOS BRUTOS'!$A$3:$A$500,$C8,'DADOS BRUTOS'!FJ$3:FJ$500)))</f>
        <v>0</v>
      </c>
      <c r="IK8" s="133" t="n">
        <f aca="false">IF(OR(IK$4="",$B8=""),0,SUMIF('DADOS BRUTOS'!$A$3:$A$500,$B8,'DADOS BRUTOS'!FK$3:FK$500)+IF($C8="",0,SUMIF('DADOS BRUTOS'!$A$3:$A$500,$C8,'DADOS BRUTOS'!FK$3:FK$500)))</f>
        <v>0</v>
      </c>
      <c r="IL8" s="133" t="n">
        <f aca="false">IF(OR(IL$4="",$B8=""),0,SUMIF('DADOS BRUTOS'!$A$3:$A$500,$B8,'DADOS BRUTOS'!FL$3:FL$500)+IF($C8="",0,SUMIF('DADOS BRUTOS'!$A$3:$A$500,$C8,'DADOS BRUTOS'!FL$3:FL$500)))</f>
        <v>0</v>
      </c>
      <c r="IM8" s="133" t="n">
        <f aca="false">IF(OR(IM$4="",$B8=""),0,SUMIF('DADOS BRUTOS'!$A$3:$A$500,$B8,'DADOS BRUTOS'!FM$3:FM$500)+IF($C8="",0,SUMIF('DADOS BRUTOS'!$A$3:$A$500,$C8,'DADOS BRUTOS'!FM$3:FM$500)))</f>
        <v>0</v>
      </c>
      <c r="IN8" s="133" t="n">
        <f aca="false">IF(OR(IN$4="",$B8=""),0,SUMIF('DADOS BRUTOS'!$A$3:$A$500,$B8,'DADOS BRUTOS'!FN$3:FN$500)+IF($C8="",0,SUMIF('DADOS BRUTOS'!$A$3:$A$500,$C8,'DADOS BRUTOS'!FN$3:FN$500)))</f>
        <v>0</v>
      </c>
      <c r="IO8" s="133" t="n">
        <f aca="false">IF(OR(IO$4="",$B8=""),0,SUMIF('DADOS BRUTOS'!$A$3:$A$500,$B8,'DADOS BRUTOS'!FO$3:FO$500)+IF($C8="",0,SUMIF('DADOS BRUTOS'!$A$3:$A$500,$C8,'DADOS BRUTOS'!FO$3:FO$500)))</f>
        <v>0</v>
      </c>
      <c r="IP8" s="133" t="n">
        <f aca="false">IF(OR(IP$4="",$B8=""),0,SUMIF('DADOS BRUTOS'!$A$3:$A$500,$B8,'DADOS BRUTOS'!FP$3:FP$500)+IF($C8="",0,SUMIF('DADOS BRUTOS'!$A$3:$A$500,$C8,'DADOS BRUTOS'!FP$3:FP$500)))</f>
        <v>0</v>
      </c>
      <c r="IQ8" s="133" t="n">
        <f aca="false">IF(OR(IQ$4="",$B8=""),0,SUMIF('DADOS BRUTOS'!$A$3:$A$500,$B8,'DADOS BRUTOS'!FQ$3:FQ$500)+IF($C8="",0,SUMIF('DADOS BRUTOS'!$A$3:$A$500,$C8,'DADOS BRUTOS'!FQ$3:FQ$500)))</f>
        <v>0</v>
      </c>
      <c r="IR8" s="133" t="n">
        <f aca="false">IF(OR(IR$4="",$B8=""),0,SUMIF('DADOS BRUTOS'!$A$3:$A$500,$B8,'DADOS BRUTOS'!FR$3:FR$500)+IF($C8="",0,SUMIF('DADOS BRUTOS'!$A$3:$A$500,$C8,'DADOS BRUTOS'!FR$3:FR$500)))</f>
        <v>0</v>
      </c>
      <c r="IS8" s="133" t="n">
        <f aca="false">IF(OR(IS$4="",$B8=""),0,SUMIF('DADOS BRUTOS'!$A$3:$A$500,$B8,'DADOS BRUTOS'!FS$3:FS$500)+IF($C8="",0,SUMIF('DADOS BRUTOS'!$A$3:$A$500,$C8,'DADOS BRUTOS'!FS$3:FS$500)))</f>
        <v>0</v>
      </c>
      <c r="IT8" s="133" t="n">
        <f aca="false">IF(OR(IT$4="",$B8=""),0,SUMIF('DADOS BRUTOS'!$A$3:$A$500,$B8,'DADOS BRUTOS'!FT$3:FT$500)+IF($C8="",0,SUMIF('DADOS BRUTOS'!$A$3:$A$500,$C8,'DADOS BRUTOS'!FT$3:FT$500)))</f>
        <v>0</v>
      </c>
      <c r="IU8" s="133" t="n">
        <f aca="false">IF(OR(IU$4="",$B8=""),0,SUMIF('DADOS BRUTOS'!$A$3:$A$500,$B8,'DADOS BRUTOS'!FU$3:FU$500)+IF($C8="",0,SUMIF('DADOS BRUTOS'!$A$3:$A$500,$C8,'DADOS BRUTOS'!FU$3:FU$500)))</f>
        <v>0</v>
      </c>
      <c r="IV8" s="133" t="n">
        <f aca="false">IF(OR(IV$4="",$B8=""),0,SUMIF('DADOS BRUTOS'!$A$3:$A$500,$B8,'DADOS BRUTOS'!FV$3:FV$500)+IF($C8="",0,SUMIF('DADOS BRUTOS'!$A$3:$A$500,$C8,'DADOS BRUTOS'!FV$3:FV$500)))</f>
        <v>0</v>
      </c>
      <c r="IW8" s="133" t="n">
        <f aca="false">IF(OR(IW$4="",$B8=""),0,SUMIF('DADOS BRUTOS'!$A$3:$A$500,$B8,'DADOS BRUTOS'!FW$3:FW$500)+IF($C8="",0,SUMIF('DADOS BRUTOS'!$A$3:$A$500,$C8,'DADOS BRUTOS'!FW$3:FW$500)))</f>
        <v>0</v>
      </c>
      <c r="IX8" s="133" t="n">
        <f aca="false">IF(OR(IX$4="",$B8=""),0,SUMIF('DADOS BRUTOS'!$A$3:$A$500,$B8,'DADOS BRUTOS'!FX$3:FX$500)+IF($C8="",0,SUMIF('DADOS BRUTOS'!$A$3:$A$500,$C8,'DADOS BRUTOS'!FX$3:FX$500)))</f>
        <v>0</v>
      </c>
      <c r="IY8" s="133" t="n">
        <f aca="false">IF(OR(IY$4="",$B8=""),0,SUMIF('DADOS BRUTOS'!$A$3:$A$500,$B8,'DADOS BRUTOS'!FY$3:FY$500)+IF($C8="",0,SUMIF('DADOS BRUTOS'!$A$3:$A$500,$C8,'DADOS BRUTOS'!FY$3:FY$500)))</f>
        <v>0</v>
      </c>
      <c r="IZ8" s="133" t="n">
        <f aca="false">IF(OR(IZ$4="",$B8=""),0,SUMIF('DADOS BRUTOS'!$A$3:$A$500,$B8,'DADOS BRUTOS'!FZ$3:FZ$500)+IF($C8="",0,SUMIF('DADOS BRUTOS'!$A$3:$A$500,$C8,'DADOS BRUTOS'!FZ$3:FZ$500)))</f>
        <v>0</v>
      </c>
      <c r="JA8" s="133" t="n">
        <f aca="false">IF(OR(JA$4="",$B8=""),0,SUMIF('DADOS BRUTOS'!$A$3:$A$500,$B8,'DADOS BRUTOS'!GA$3:GA$500)+IF($C8="",0,SUMIF('DADOS BRUTOS'!$A$3:$A$500,$C8,'DADOS BRUTOS'!GA$3:GA$500)))</f>
        <v>0</v>
      </c>
      <c r="JB8" s="133" t="n">
        <f aca="false">IF(OR(JB$4="",$B8=""),0,SUMIF('DADOS BRUTOS'!$A$3:$A$500,$B8,'DADOS BRUTOS'!GB$3:GB$500)+IF($C8="",0,SUMIF('DADOS BRUTOS'!$A$3:$A$500,$C8,'DADOS BRUTOS'!GB$3:GB$500)))</f>
        <v>0</v>
      </c>
      <c r="JC8" s="133" t="n">
        <f aca="false">IF(OR(JC$4="",$B8=""),0,SUMIF('DADOS BRUTOS'!$A$3:$A$500,$B8,'DADOS BRUTOS'!GC$3:GC$500)+IF($C8="",0,SUMIF('DADOS BRUTOS'!$A$3:$A$500,$C8,'DADOS BRUTOS'!GC$3:GC$500)))</f>
        <v>0</v>
      </c>
      <c r="JD8" s="133" t="n">
        <f aca="false">IF(OR(JD$4="",$B8=""),0,SUMIF('DADOS BRUTOS'!$A$3:$A$500,$B8,'DADOS BRUTOS'!GD$3:GD$500)+IF($C8="",0,SUMIF('DADOS BRUTOS'!$A$3:$A$500,$C8,'DADOS BRUTOS'!GD$3:GD$500)))</f>
        <v>0</v>
      </c>
      <c r="JE8" s="133" t="n">
        <f aca="false">IF(OR(JE$4="",$B8=""),0,SUMIF('DADOS BRUTOS'!$A$3:$A$500,$B8,'DADOS BRUTOS'!GE$3:GE$500)+IF($C8="",0,SUMIF('DADOS BRUTOS'!$A$3:$A$500,$C8,'DADOS BRUTOS'!GE$3:GE$500)))</f>
        <v>0</v>
      </c>
      <c r="JF8" s="133" t="n">
        <f aca="false">IF(OR(JF$4="",$B8=""),0,SUMIF('DADOS BRUTOS'!$A$3:$A$500,$B8,'DADOS BRUTOS'!GF$3:GF$500)+IF($C8="",0,SUMIF('DADOS BRUTOS'!$A$3:$A$500,$C8,'DADOS BRUTOS'!GF$3:GF$500)))</f>
        <v>0</v>
      </c>
      <c r="JG8" s="133" t="n">
        <f aca="false">IF(OR(JG$4="",$B8=""),0,SUMIF('DADOS BRUTOS'!$A$3:$A$500,$B8,'DADOS BRUTOS'!GG$3:GG$500)+IF($C8="",0,SUMIF('DADOS BRUTOS'!$A$3:$A$500,$C8,'DADOS BRUTOS'!GG$3:GG$500)))</f>
        <v>0</v>
      </c>
      <c r="JH8" s="133" t="n">
        <f aca="false">IF(OR(JH$4="",$B8=""),0,SUMIF('DADOS BRUTOS'!$A$3:$A$500,$B8,'DADOS BRUTOS'!GH$3:GH$500)+IF($C8="",0,SUMIF('DADOS BRUTOS'!$A$3:$A$500,$C8,'DADOS BRUTOS'!GH$3:GH$500)))</f>
        <v>0</v>
      </c>
      <c r="JI8" s="133" t="n">
        <f aca="false">IF(OR(JI$4="",$B8=""),0,SUMIF('DADOS BRUTOS'!$A$3:$A$500,$B8,'DADOS BRUTOS'!GI$3:GI$500)+IF($C8="",0,SUMIF('DADOS BRUTOS'!$A$3:$A$500,$C8,'DADOS BRUTOS'!GI$3:GI$500)))</f>
        <v>0</v>
      </c>
      <c r="JJ8" s="133" t="n">
        <f aca="false">IF(OR(JJ$4="",$B8=""),0,SUMIF('DADOS BRUTOS'!$A$3:$A$500,$B8,'DADOS BRUTOS'!GJ$3:GJ$500)+IF($C8="",0,SUMIF('DADOS BRUTOS'!$A$3:$A$500,$C8,'DADOS BRUTOS'!GJ$3:GJ$500)))</f>
        <v>0</v>
      </c>
      <c r="JK8" s="133" t="n">
        <f aca="false">IF(OR(JK$4="",$B8=""),0,SUMIF('DADOS BRUTOS'!$A$3:$A$500,$B8,'DADOS BRUTOS'!GK$3:GK$500)+IF($C8="",0,SUMIF('DADOS BRUTOS'!$A$3:$A$500,$C8,'DADOS BRUTOS'!GK$3:GK$500)))</f>
        <v>0</v>
      </c>
      <c r="JL8" s="133" t="n">
        <f aca="false">IF(OR(JL$4="",$B8=""),0,SUMIF('DADOS BRUTOS'!$A$3:$A$500,$B8,'DADOS BRUTOS'!GL$3:GL$500)+IF($C8="",0,SUMIF('DADOS BRUTOS'!$A$3:$A$500,$C8,'DADOS BRUTOS'!GL$3:GL$500)))</f>
        <v>0</v>
      </c>
      <c r="JM8" s="133" t="n">
        <f aca="false">IF(OR(JM$4="",$B8=""),0,SUMIF('DADOS BRUTOS'!$A$3:$A$500,$B8,'DADOS BRUTOS'!GM$3:GM$500)+IF($C8="",0,SUMIF('DADOS BRUTOS'!$A$3:$A$500,$C8,'DADOS BRUTOS'!GM$3:GM$500)))</f>
        <v>0</v>
      </c>
      <c r="JN8" s="133" t="n">
        <f aca="false">IF(OR(JN$4="",$B8=""),0,SUMIF('DADOS BRUTOS'!$A$3:$A$500,$B8,'DADOS BRUTOS'!GN$3:GN$500)+IF($C8="",0,SUMIF('DADOS BRUTOS'!$A$3:$A$500,$C8,'DADOS BRUTOS'!GN$3:GN$500)))</f>
        <v>0</v>
      </c>
      <c r="JO8" s="133" t="n">
        <f aca="false">IF(OR(JO$4="",$B8=""),0,SUMIF('DADOS BRUTOS'!$A$3:$A$500,$B8,'DADOS BRUTOS'!GO$3:GO$500)+IF($C8="",0,SUMIF('DADOS BRUTOS'!$A$3:$A$500,$C8,'DADOS BRUTOS'!GO$3:GO$500)))</f>
        <v>0</v>
      </c>
      <c r="JP8" s="133" t="n">
        <f aca="false">IF(OR(JP$4="",$B8=""),0,SUMIF('DADOS BRUTOS'!$A$3:$A$500,$B8,'DADOS BRUTOS'!GP$3:GP$500)+IF($C8="",0,SUMIF('DADOS BRUTOS'!$A$3:$A$500,$C8,'DADOS BRUTOS'!GP$3:GP$500)))</f>
        <v>0</v>
      </c>
      <c r="JQ8" s="133" t="n">
        <f aca="false">IF(OR(JQ$4="",$B8=""),0,SUMIF('DADOS BRUTOS'!$A$3:$A$500,$B8,'DADOS BRUTOS'!GQ$3:GQ$500)+IF($C8="",0,SUMIF('DADOS BRUTOS'!$A$3:$A$500,$C8,'DADOS BRUTOS'!GQ$3:GQ$500)))</f>
        <v>0</v>
      </c>
      <c r="JR8" s="133" t="n">
        <f aca="false">IF(OR(JR$4="",$B8=""),0,SUMIF('DADOS BRUTOS'!$A$3:$A$500,$B8,'DADOS BRUTOS'!GR$3:GR$500)+IF($C8="",0,SUMIF('DADOS BRUTOS'!$A$3:$A$500,$C8,'DADOS BRUTOS'!GR$3:GR$500)))</f>
        <v>0</v>
      </c>
      <c r="JS8" s="133" t="n">
        <f aca="false">IF(OR(JS$4="",$B8=""),0,SUMIF('DADOS BRUTOS'!$A$3:$A$500,$B8,'DADOS BRUTOS'!GS$3:GS$500)+IF($C8="",0,SUMIF('DADOS BRUTOS'!$A$3:$A$500,$C8,'DADOS BRUTOS'!GS$3:GS$500)))</f>
        <v>0</v>
      </c>
    </row>
    <row r="9" customFormat="false" ht="15" hidden="false" customHeight="false" outlineLevel="0" collapsed="false">
      <c r="A9" s="57" t="str">
        <f aca="false">'VALOR POR PL'!D15</f>
        <v>LIGAÇÕES PROVISÓRIAS AGUA, ENERGIA,TELEFONIA, ESGOTO</v>
      </c>
      <c r="B9" s="55" t="s">
        <v>136</v>
      </c>
      <c r="C9" s="55"/>
      <c r="D9" s="50" t="n">
        <f aca="false">SUMIF($CB$4:$JS$4,"&lt;="&amp;D$4,$CB9:$JS9)</f>
        <v>0</v>
      </c>
      <c r="E9" s="50" t="n">
        <f aca="false">SUMIF($CB$4:$JS$4,E$4,$CB9:$JS9)</f>
        <v>0</v>
      </c>
      <c r="F9" s="50" t="n">
        <f aca="false">SUMIF($CB$4:$JS$4,F$4,$CB9:$JS9)</f>
        <v>0</v>
      </c>
      <c r="G9" s="50" t="n">
        <f aca="false">SUMIF($CB$4:$JS$4,G$4,$CB9:$JS9)</f>
        <v>0</v>
      </c>
      <c r="H9" s="50" t="n">
        <f aca="false">SUMIF($CB$4:$JS$4,H$4,$CB9:$JS9)</f>
        <v>0</v>
      </c>
      <c r="I9" s="50" t="n">
        <f aca="false">SUMIF($CB$4:$JS$4,I$4,$CB9:$JS9)</f>
        <v>0</v>
      </c>
      <c r="J9" s="50" t="n">
        <f aca="false">SUMIF($CB$4:$JS$4,J$4,$CB9:$JS9)</f>
        <v>0</v>
      </c>
      <c r="K9" s="50" t="n">
        <f aca="false">SUMIF($CB$4:$JS$4,K$4,$CB9:$JS9)</f>
        <v>625.36</v>
      </c>
      <c r="L9" s="50" t="n">
        <f aca="false">SUMIF($CB$4:$JS$4,L$4,$CB9:$JS9)</f>
        <v>357.65</v>
      </c>
      <c r="M9" s="50" t="n">
        <f aca="false">SUMIF($CB$4:$JS$4,M$4,$CB9:$JS9)</f>
        <v>1634.25</v>
      </c>
      <c r="N9" s="50" t="n">
        <f aca="false">SUMIF($CB$4:$JS$4,N$4,$CB9:$JS9)</f>
        <v>14678.51</v>
      </c>
      <c r="O9" s="50" t="n">
        <f aca="false">SUMIF($CB$4:$JS$4,O$4,$CB9:$JS9)</f>
        <v>8642.57</v>
      </c>
      <c r="P9" s="50" t="n">
        <f aca="false">SUMIF($CB$4:$JS$4,P$4,$CB9:$JS9)</f>
        <v>1681.62</v>
      </c>
      <c r="Q9" s="50" t="n">
        <f aca="false">SUMIF($CB$4:$JS$4,Q$4,$CB9:$JS9)</f>
        <v>525.75</v>
      </c>
      <c r="R9" s="50" t="n">
        <f aca="false">SUMIF($CB$4:$JS$4,R$4,$CB9:$JS9)</f>
        <v>5117.4</v>
      </c>
      <c r="S9" s="50" t="n">
        <f aca="false">SUMIF($CB$4:$JS$4,S$4,$CB9:$JS9)</f>
        <v>0</v>
      </c>
      <c r="T9" s="50" t="n">
        <f aca="false">SUMIF($CB$4:$JS$4,T$4,$CB9:$JS9)</f>
        <v>6926.87</v>
      </c>
      <c r="U9" s="50" t="n">
        <f aca="false">SUMIF($CB$4:$JS$4,U$4,$CB9:$JS9)</f>
        <v>18523.32</v>
      </c>
      <c r="V9" s="50" t="n">
        <f aca="false">SUMIF($CB$4:$JS$4,V$4,$CB9:$JS9)</f>
        <v>20.75</v>
      </c>
      <c r="W9" s="50" t="n">
        <f aca="false">SUMIF($CB$4:$JS$4,W$4,$CB9:$JS9)</f>
        <v>0</v>
      </c>
      <c r="X9" s="50" t="n">
        <f aca="false">SUMIF($CB$4:$JS$4,X$4,$CB9:$JS9)</f>
        <v>0</v>
      </c>
      <c r="Y9" s="50" t="n">
        <f aca="false">SUMIF($CB$4:$JS$4,Y$4,$CB9:$JS9)</f>
        <v>0</v>
      </c>
      <c r="Z9" s="50" t="n">
        <f aca="false">SUMIF($CB$4:$JS$4,Z$4,$CB9:$JS9)</f>
        <v>620.4</v>
      </c>
      <c r="AA9" s="50" t="n">
        <f aca="false">SUMIF($CB$4:$JS$4,AA$4,$CB9:$JS9)</f>
        <v>167.05</v>
      </c>
      <c r="AB9" s="50" t="n">
        <f aca="false">SUMIF($CB$4:$JS$4,AB$4,$CB9:$JS9)</f>
        <v>0</v>
      </c>
      <c r="AC9" s="50" t="n">
        <f aca="false">SUMIF($CB$4:$JS$4,AC$4,$CB9:$JS9)</f>
        <v>0</v>
      </c>
      <c r="AD9" s="50" t="n">
        <f aca="false">SUMIF($CB$4:$JS$4,AD$4,$CB9:$JS9)</f>
        <v>0</v>
      </c>
      <c r="AE9" s="50" t="n">
        <f aca="false">SUMIF($CB$4:$JS$4,AE$4,$CB9:$JS9)</f>
        <v>0</v>
      </c>
      <c r="AF9" s="50" t="n">
        <f aca="false">SUMIF($CB$4:$JS$4,AF$4,$CB9:$JS9)</f>
        <v>0</v>
      </c>
      <c r="AG9" s="50" t="n">
        <f aca="false">SUMIF($CB$4:$JS$4,AG$4,$CB9:$JS9)</f>
        <v>0</v>
      </c>
      <c r="AH9" s="50" t="n">
        <f aca="false">SUMIF($CB$4:$JS$4,AH$4,$CB9:$JS9)</f>
        <v>0</v>
      </c>
      <c r="AI9" s="50" t="n">
        <f aca="false">SUMIF($CB$4:$JS$4,AI$4,$CB9:$JS9)</f>
        <v>0</v>
      </c>
      <c r="AJ9" s="50" t="n">
        <f aca="false">SUMIF($CB$4:$JS$4,AJ$4,$CB9:$JS9)</f>
        <v>0</v>
      </c>
      <c r="AK9" s="50" t="n">
        <f aca="false">SUMIF($CB$4:$JS$4,AK$4,$CB9:$JS9)</f>
        <v>0</v>
      </c>
      <c r="AL9" s="50" t="n">
        <f aca="false">SUMIF($CB$4:$JS$4,AL$4,$CB9:$JS9)</f>
        <v>0</v>
      </c>
      <c r="AM9" s="50" t="n">
        <f aca="false">SUMIF($CB$4:$JS$4,AM$4,$CB9:$JS9)</f>
        <v>0</v>
      </c>
      <c r="AN9" s="50" t="n">
        <f aca="false">SUMIF($CB$4:$JS$4,AN$4,$CB9:$JS9)</f>
        <v>0</v>
      </c>
      <c r="AO9" s="50" t="n">
        <f aca="false">SUMIF($CB$4:$JS$4,AO$4,$CB9:$JS9)</f>
        <v>0</v>
      </c>
      <c r="AP9" s="50" t="n">
        <f aca="false">SUMIF($CB$4:$JS$4,AP$4,$CB9:$JS9)</f>
        <v>0</v>
      </c>
      <c r="AQ9" s="50" t="n">
        <f aca="false">SUMIF($CB$4:$JS$4,AQ$4,$CB9:$JS9)</f>
        <v>0</v>
      </c>
      <c r="AR9" s="50" t="n">
        <f aca="false">SUMIF($CB$4:$JS$4,AR$4,$CB9:$JS9)</f>
        <v>0</v>
      </c>
      <c r="AS9" s="50" t="n">
        <f aca="false">SUMIF($CB$4:$JS$4,AS$4,$CB9:$JS9)</f>
        <v>0</v>
      </c>
      <c r="AT9" s="50" t="n">
        <f aca="false">SUMIF($CB$4:$JS$4,AT$4,$CB9:$JS9)</f>
        <v>0</v>
      </c>
      <c r="AU9" s="50" t="n">
        <f aca="false">SUMIF($CB$4:$JS$4,AU$4,$CB9:$JS9)</f>
        <v>0</v>
      </c>
      <c r="AV9" s="50" t="n">
        <f aca="false">SUMIF($CB$4:$JS$4,AV$4,$CB9:$JS9)</f>
        <v>0</v>
      </c>
      <c r="AW9" s="50" t="n">
        <f aca="false">SUMIF($CB$4:$JS$4,AW$4,$CB9:$JS9)</f>
        <v>0</v>
      </c>
      <c r="AX9" s="50" t="n">
        <f aca="false">SUMIF($CB$4:$JS$4,AX$4,$CB9:$JS9)</f>
        <v>0</v>
      </c>
      <c r="AY9" s="50" t="n">
        <f aca="false">SUMIF($CB$4:$JS$4,AY$4,$CB9:$JS9)</f>
        <v>0</v>
      </c>
      <c r="AZ9" s="50" t="n">
        <f aca="false">SUMIF($CB$4:$JS$4,AZ$4,$CB9:$JS9)</f>
        <v>0</v>
      </c>
      <c r="BA9" s="50" t="n">
        <f aca="false">SUMIF($CB$4:$JS$4,BA$4,$CB9:$JS9)</f>
        <v>0</v>
      </c>
      <c r="BB9" s="50" t="n">
        <f aca="false">SUMIF($CB$4:$JS$4,BB$4,$CB9:$JS9)</f>
        <v>0</v>
      </c>
      <c r="BC9" s="50" t="n">
        <f aca="false">SUMIF($CB$4:$JS$4,BC$4,$CB9:$JS9)</f>
        <v>0</v>
      </c>
      <c r="BD9" s="50" t="n">
        <f aca="false">SUMIF($CB$4:$JS$4,BD$4,$CB9:$JS9)</f>
        <v>0</v>
      </c>
      <c r="BE9" s="50" t="n">
        <f aca="false">SUMIF($CB$4:$JS$4,BE$4,$CB9:$JS9)</f>
        <v>0</v>
      </c>
      <c r="BF9" s="50" t="n">
        <f aca="false">SUMIF($CB$4:$JS$4,BF$4,$CB9:$JS9)</f>
        <v>0</v>
      </c>
      <c r="BG9" s="50" t="n">
        <f aca="false">SUMIF($CB$4:$JS$4,BG$4,$CB9:$JS9)</f>
        <v>0</v>
      </c>
      <c r="BH9" s="50" t="n">
        <f aca="false">SUMIF($CB$4:$JS$4,BH$4,$CB9:$JS9)</f>
        <v>0</v>
      </c>
      <c r="BI9" s="50" t="n">
        <f aca="false">SUMIF($CB$4:$JS$4,BI$4,$CB9:$JS9)</f>
        <v>0</v>
      </c>
      <c r="BJ9" s="50" t="n">
        <f aca="false">SUMIF($CB$4:$JS$4,BJ$4,$CB9:$JS9)</f>
        <v>0</v>
      </c>
      <c r="BK9" s="50" t="n">
        <f aca="false">SUMIF($CB$4:$JS$4,BK$4,$CB9:$JS9)</f>
        <v>0</v>
      </c>
      <c r="BL9" s="50" t="n">
        <f aca="false">SUMIF($CB$4:$JS$4,BL$4,$CB9:$JS9)</f>
        <v>0</v>
      </c>
      <c r="BM9" s="50" t="n">
        <f aca="false">SUMIF($CB$4:$JS$4,BM$4,$CB9:$JS9)</f>
        <v>0</v>
      </c>
      <c r="BN9" s="50" t="n">
        <f aca="false">SUMIF($CB$4:$JS$4,BN$4,$CB9:$JS9)</f>
        <v>0</v>
      </c>
      <c r="BO9" s="50" t="n">
        <f aca="false">SUMIF($CB$4:$JS$4,BO$4,$CB9:$JS9)</f>
        <v>0</v>
      </c>
      <c r="BP9" s="50" t="n">
        <f aca="false">SUMIF($CB$4:$JS$4,BP$4,$CB9:$JS9)</f>
        <v>0</v>
      </c>
      <c r="BQ9" s="50" t="n">
        <f aca="false">SUMIF($CB$4:$JS$4,BQ$4,$CB9:$JS9)</f>
        <v>0</v>
      </c>
      <c r="BR9" s="50" t="n">
        <f aca="false">SUMIF($CB$4:$JS$4,BR$4,$CB9:$JS9)</f>
        <v>0</v>
      </c>
      <c r="BS9" s="50" t="n">
        <f aca="false">SUMIF($CB$4:$JS$4,BS$4,$CB9:$JS9)</f>
        <v>0</v>
      </c>
      <c r="BT9" s="50" t="n">
        <f aca="false">SUMIF($CB$4:$JS$4,BT$4,$CB9:$JS9)</f>
        <v>0</v>
      </c>
      <c r="BU9" s="50" t="n">
        <f aca="false">SUMIF($CB$4:$JS$4,BU$4,$CB9:$JS9)</f>
        <v>0</v>
      </c>
      <c r="BV9" s="50" t="n">
        <f aca="false">SUMIF($CB$4:$JS$4,BV$4,$CB9:$JS9)</f>
        <v>0</v>
      </c>
      <c r="BW9" s="50" t="n">
        <f aca="false">SUMIF($CB$4:$JS$4,BW$4,$CB9:$JS9)</f>
        <v>0</v>
      </c>
      <c r="BX9" s="50" t="n">
        <f aca="false">SUMIF($CB$4:$JS$4,"&gt;"&amp;'VALOR POR PL'!$P$8,$CB9:$JS9)</f>
        <v>0</v>
      </c>
      <c r="BY9" s="50" t="n">
        <f aca="false">SUM($CB9:$JS9)</f>
        <v>59521.5</v>
      </c>
      <c r="BZ9" s="45" t="n">
        <f aca="false">SUMPRODUCT(($CB$4:$JS$4&lt;&gt;"")*($CB$4:$JS$4&lt;=$D$4),$CB9:$JS9,$CB$1:$JS$1)</f>
        <v>0</v>
      </c>
      <c r="CB9" s="133" t="n">
        <f aca="false">IF(OR(CB$4="",$B9=""),0,SUMIF('DADOS BRUTOS'!$A$3:$A$500,$B9,'DADOS BRUTOS'!B$3:B$500)+IF($C9="",0,SUMIF('DADOS BRUTOS'!$A$3:$A$500,$C9,'DADOS BRUTOS'!B$3:B$500)))</f>
        <v>0</v>
      </c>
      <c r="CC9" s="133" t="n">
        <f aca="false">IF(OR(CC$4="",$B9=""),0,SUMIF('DADOS BRUTOS'!$A$3:$A$500,$B9,'DADOS BRUTOS'!C$3:C$500)+IF($C9="",0,SUMIF('DADOS BRUTOS'!$A$3:$A$500,$C9,'DADOS BRUTOS'!C$3:C$500)))</f>
        <v>0</v>
      </c>
      <c r="CD9" s="133" t="n">
        <f aca="false">IF(OR(CD$4="",$B9=""),0,SUMIF('DADOS BRUTOS'!$A$3:$A$500,$B9,'DADOS BRUTOS'!D$3:D$500)+IF($C9="",0,SUMIF('DADOS BRUTOS'!$A$3:$A$500,$C9,'DADOS BRUTOS'!D$3:D$500)))</f>
        <v>0</v>
      </c>
      <c r="CE9" s="133" t="n">
        <f aca="false">IF(OR(CE$4="",$B9=""),0,SUMIF('DADOS BRUTOS'!$A$3:$A$500,$B9,'DADOS BRUTOS'!E$3:E$500)+IF($C9="",0,SUMIF('DADOS BRUTOS'!$A$3:$A$500,$C9,'DADOS BRUTOS'!E$3:E$500)))</f>
        <v>0</v>
      </c>
      <c r="CF9" s="133" t="n">
        <f aca="false">IF(OR(CF$4="",$B9=""),0,SUMIF('DADOS BRUTOS'!$A$3:$A$500,$B9,'DADOS BRUTOS'!F$3:F$500)+IF($C9="",0,SUMIF('DADOS BRUTOS'!$A$3:$A$500,$C9,'DADOS BRUTOS'!F$3:F$500)))</f>
        <v>0</v>
      </c>
      <c r="CG9" s="133" t="n">
        <f aca="false">IF(OR(CG$4="",$B9=""),0,SUMIF('DADOS BRUTOS'!$A$3:$A$500,$B9,'DADOS BRUTOS'!G$3:G$500)+IF($C9="",0,SUMIF('DADOS BRUTOS'!$A$3:$A$500,$C9,'DADOS BRUTOS'!G$3:G$500)))</f>
        <v>0</v>
      </c>
      <c r="CH9" s="133" t="n">
        <f aca="false">IF(OR(CH$4="",$B9=""),0,SUMIF('DADOS BRUTOS'!$A$3:$A$500,$B9,'DADOS BRUTOS'!H$3:H$500)+IF($C9="",0,SUMIF('DADOS BRUTOS'!$A$3:$A$500,$C9,'DADOS BRUTOS'!H$3:H$500)))</f>
        <v>0</v>
      </c>
      <c r="CI9" s="133" t="n">
        <f aca="false">IF(OR(CI$4="",$B9=""),0,SUMIF('DADOS BRUTOS'!$A$3:$A$500,$B9,'DADOS BRUTOS'!I$3:I$500)+IF($C9="",0,SUMIF('DADOS BRUTOS'!$A$3:$A$500,$C9,'DADOS BRUTOS'!I$3:I$500)))</f>
        <v>0</v>
      </c>
      <c r="CJ9" s="133" t="n">
        <f aca="false">IF(OR(CJ$4="",$B9=""),0,SUMIF('DADOS BRUTOS'!$A$3:$A$500,$B9,'DADOS BRUTOS'!J$3:J$500)+IF($C9="",0,SUMIF('DADOS BRUTOS'!$A$3:$A$500,$C9,'DADOS BRUTOS'!J$3:J$500)))</f>
        <v>0</v>
      </c>
      <c r="CK9" s="133" t="n">
        <f aca="false">IF(OR(CK$4="",$B9=""),0,SUMIF('DADOS BRUTOS'!$A$3:$A$500,$B9,'DADOS BRUTOS'!K$3:K$500)+IF($C9="",0,SUMIF('DADOS BRUTOS'!$A$3:$A$500,$C9,'DADOS BRUTOS'!K$3:K$500)))</f>
        <v>0</v>
      </c>
      <c r="CL9" s="133" t="n">
        <f aca="false">IF(OR(CL$4="",$B9=""),0,SUMIF('DADOS BRUTOS'!$A$3:$A$500,$B9,'DADOS BRUTOS'!L$3:L$500)+IF($C9="",0,SUMIF('DADOS BRUTOS'!$A$3:$A$500,$C9,'DADOS BRUTOS'!L$3:L$500)))</f>
        <v>0</v>
      </c>
      <c r="CM9" s="133" t="n">
        <f aca="false">IF(OR(CM$4="",$B9=""),0,SUMIF('DADOS BRUTOS'!$A$3:$A$500,$B9,'DADOS BRUTOS'!M$3:M$500)+IF($C9="",0,SUMIF('DADOS BRUTOS'!$A$3:$A$500,$C9,'DADOS BRUTOS'!M$3:M$500)))</f>
        <v>0</v>
      </c>
      <c r="CN9" s="133" t="n">
        <f aca="false">IF(OR(CN$4="",$B9=""),0,SUMIF('DADOS BRUTOS'!$A$3:$A$500,$B9,'DADOS BRUTOS'!N$3:N$500)+IF($C9="",0,SUMIF('DADOS BRUTOS'!$A$3:$A$500,$C9,'DADOS BRUTOS'!N$3:N$500)))</f>
        <v>0</v>
      </c>
      <c r="CO9" s="133" t="n">
        <f aca="false">IF(OR(CO$4="",$B9=""),0,SUMIF('DADOS BRUTOS'!$A$3:$A$500,$B9,'DADOS BRUTOS'!O$3:O$500)+IF($C9="",0,SUMIF('DADOS BRUTOS'!$A$3:$A$500,$C9,'DADOS BRUTOS'!O$3:O$500)))</f>
        <v>0</v>
      </c>
      <c r="CP9" s="133" t="n">
        <f aca="false">IF(OR(CP$4="",$B9=""),0,SUMIF('DADOS BRUTOS'!$A$3:$A$500,$B9,'DADOS BRUTOS'!P$3:P$500)+IF($C9="",0,SUMIF('DADOS BRUTOS'!$A$3:$A$500,$C9,'DADOS BRUTOS'!P$3:P$500)))</f>
        <v>0</v>
      </c>
      <c r="CQ9" s="133" t="n">
        <f aca="false">IF(OR(CQ$4="",$B9=""),0,SUMIF('DADOS BRUTOS'!$A$3:$A$500,$B9,'DADOS BRUTOS'!Q$3:Q$500)+IF($C9="",0,SUMIF('DADOS BRUTOS'!$A$3:$A$500,$C9,'DADOS BRUTOS'!Q$3:Q$500)))</f>
        <v>0</v>
      </c>
      <c r="CR9" s="133" t="n">
        <f aca="false">IF(OR(CR$4="",$B9=""),0,SUMIF('DADOS BRUTOS'!$A$3:$A$500,$B9,'DADOS BRUTOS'!R$3:R$500)+IF($C9="",0,SUMIF('DADOS BRUTOS'!$A$3:$A$500,$C9,'DADOS BRUTOS'!R$3:R$500)))</f>
        <v>0</v>
      </c>
      <c r="CS9" s="133" t="n">
        <f aca="false">IF(OR(CS$4="",$B9=""),0,SUMIF('DADOS BRUTOS'!$A$3:$A$500,$B9,'DADOS BRUTOS'!S$3:S$500)+IF($C9="",0,SUMIF('DADOS BRUTOS'!$A$3:$A$500,$C9,'DADOS BRUTOS'!S$3:S$500)))</f>
        <v>0</v>
      </c>
      <c r="CT9" s="133" t="n">
        <f aca="false">IF(OR(CT$4="",$B9=""),0,SUMIF('DADOS BRUTOS'!$A$3:$A$500,$B9,'DADOS BRUTOS'!T$3:T$500)+IF($C9="",0,SUMIF('DADOS BRUTOS'!$A$3:$A$500,$C9,'DADOS BRUTOS'!T$3:T$500)))</f>
        <v>0</v>
      </c>
      <c r="CU9" s="133" t="n">
        <f aca="false">IF(OR(CU$4="",$B9=""),0,SUMIF('DADOS BRUTOS'!$A$3:$A$500,$B9,'DADOS BRUTOS'!U$3:U$500)+IF($C9="",0,SUMIF('DADOS BRUTOS'!$A$3:$A$500,$C9,'DADOS BRUTOS'!U$3:U$500)))</f>
        <v>625.36</v>
      </c>
      <c r="CV9" s="133" t="n">
        <f aca="false">IF(OR(CV$4="",$B9=""),0,SUMIF('DADOS BRUTOS'!$A$3:$A$500,$B9,'DADOS BRUTOS'!V$3:V$500)+IF($C9="",0,SUMIF('DADOS BRUTOS'!$A$3:$A$500,$C9,'DADOS BRUTOS'!V$3:V$500)))</f>
        <v>357.65</v>
      </c>
      <c r="CW9" s="133" t="n">
        <f aca="false">IF(OR(CW$4="",$B9=""),0,SUMIF('DADOS BRUTOS'!$A$3:$A$500,$B9,'DADOS BRUTOS'!W$3:W$500)+IF($C9="",0,SUMIF('DADOS BRUTOS'!$A$3:$A$500,$C9,'DADOS BRUTOS'!W$3:W$500)))</f>
        <v>1634.25</v>
      </c>
      <c r="CX9" s="133" t="n">
        <f aca="false">IF(OR(CX$4="",$B9=""),0,SUMIF('DADOS BRUTOS'!$A$3:$A$500,$B9,'DADOS BRUTOS'!X$3:X$500)+IF($C9="",0,SUMIF('DADOS BRUTOS'!$A$3:$A$500,$C9,'DADOS BRUTOS'!X$3:X$500)))</f>
        <v>14678.51</v>
      </c>
      <c r="CY9" s="133" t="n">
        <f aca="false">IF(OR(CY$4="",$B9=""),0,SUMIF('DADOS BRUTOS'!$A$3:$A$500,$B9,'DADOS BRUTOS'!Y$3:Y$500)+IF($C9="",0,SUMIF('DADOS BRUTOS'!$A$3:$A$500,$C9,'DADOS BRUTOS'!Y$3:Y$500)))</f>
        <v>8642.57</v>
      </c>
      <c r="CZ9" s="133" t="n">
        <f aca="false">IF(OR(CZ$4="",$B9=""),0,SUMIF('DADOS BRUTOS'!$A$3:$A$500,$B9,'DADOS BRUTOS'!Z$3:Z$500)+IF($C9="",0,SUMIF('DADOS BRUTOS'!$A$3:$A$500,$C9,'DADOS BRUTOS'!Z$3:Z$500)))</f>
        <v>1681.62</v>
      </c>
      <c r="DA9" s="133" t="n">
        <f aca="false">IF(OR(DA$4="",$B9=""),0,SUMIF('DADOS BRUTOS'!$A$3:$A$500,$B9,'DADOS BRUTOS'!AA$3:AA$500)+IF($C9="",0,SUMIF('DADOS BRUTOS'!$A$3:$A$500,$C9,'DADOS BRUTOS'!AA$3:AA$500)))</f>
        <v>525.75</v>
      </c>
      <c r="DB9" s="133" t="n">
        <f aca="false">IF(OR(DB$4="",$B9=""),0,SUMIF('DADOS BRUTOS'!$A$3:$A$500,$B9,'DADOS BRUTOS'!AB$3:AB$500)+IF($C9="",0,SUMIF('DADOS BRUTOS'!$A$3:$A$500,$C9,'DADOS BRUTOS'!AB$3:AB$500)))</f>
        <v>5117.4</v>
      </c>
      <c r="DC9" s="133" t="n">
        <f aca="false">IF(OR(DC$4="",$B9=""),0,SUMIF('DADOS BRUTOS'!$A$3:$A$500,$B9,'DADOS BRUTOS'!AC$3:AC$500)+IF($C9="",0,SUMIF('DADOS BRUTOS'!$A$3:$A$500,$C9,'DADOS BRUTOS'!AC$3:AC$500)))</f>
        <v>0</v>
      </c>
      <c r="DD9" s="133" t="n">
        <f aca="false">IF(OR(DD$4="",$B9=""),0,SUMIF('DADOS BRUTOS'!$A$3:$A$500,$B9,'DADOS BRUTOS'!AD$3:AD$500)+IF($C9="",0,SUMIF('DADOS BRUTOS'!$A$3:$A$500,$C9,'DADOS BRUTOS'!AD$3:AD$500)))</f>
        <v>6926.87</v>
      </c>
      <c r="DE9" s="133" t="n">
        <f aca="false">IF(OR(DE$4="",$B9=""),0,SUMIF('DADOS BRUTOS'!$A$3:$A$500,$B9,'DADOS BRUTOS'!AE$3:AE$500)+IF($C9="",0,SUMIF('DADOS BRUTOS'!$A$3:$A$500,$C9,'DADOS BRUTOS'!AE$3:AE$500)))</f>
        <v>18523.32</v>
      </c>
      <c r="DF9" s="133" t="n">
        <f aca="false">IF(OR(DF$4="",$B9=""),0,SUMIF('DADOS BRUTOS'!$A$3:$A$500,$B9,'DADOS BRUTOS'!AF$3:AF$500)+IF($C9="",0,SUMIF('DADOS BRUTOS'!$A$3:$A$500,$C9,'DADOS BRUTOS'!AF$3:AF$500)))</f>
        <v>20.75</v>
      </c>
      <c r="DG9" s="133" t="n">
        <f aca="false">IF(OR(DG$4="",$B9=""),0,SUMIF('DADOS BRUTOS'!$A$3:$A$500,$B9,'DADOS BRUTOS'!AG$3:AG$500)+IF($C9="",0,SUMIF('DADOS BRUTOS'!$A$3:$A$500,$C9,'DADOS BRUTOS'!AG$3:AG$500)))</f>
        <v>0</v>
      </c>
      <c r="DH9" s="133" t="n">
        <f aca="false">IF(OR(DH$4="",$B9=""),0,SUMIF('DADOS BRUTOS'!$A$3:$A$500,$B9,'DADOS BRUTOS'!AH$3:AH$500)+IF($C9="",0,SUMIF('DADOS BRUTOS'!$A$3:$A$500,$C9,'DADOS BRUTOS'!AH$3:AH$500)))</f>
        <v>0</v>
      </c>
      <c r="DI9" s="133" t="n">
        <f aca="false">IF(OR(DI$4="",$B9=""),0,SUMIF('DADOS BRUTOS'!$A$3:$A$500,$B9,'DADOS BRUTOS'!AI$3:AI$500)+IF($C9="",0,SUMIF('DADOS BRUTOS'!$A$3:$A$500,$C9,'DADOS BRUTOS'!AI$3:AI$500)))</f>
        <v>0</v>
      </c>
      <c r="DJ9" s="133" t="n">
        <f aca="false">IF(OR(DJ$4="",$B9=""),0,SUMIF('DADOS BRUTOS'!$A$3:$A$500,$B9,'DADOS BRUTOS'!AJ$3:AJ$500)+IF($C9="",0,SUMIF('DADOS BRUTOS'!$A$3:$A$500,$C9,'DADOS BRUTOS'!AJ$3:AJ$500)))</f>
        <v>620.4</v>
      </c>
      <c r="DK9" s="133" t="n">
        <f aca="false">IF(OR(DK$4="",$B9=""),0,SUMIF('DADOS BRUTOS'!$A$3:$A$500,$B9,'DADOS BRUTOS'!AK$3:AK$500)+IF($C9="",0,SUMIF('DADOS BRUTOS'!$A$3:$A$500,$C9,'DADOS BRUTOS'!AK$3:AK$500)))</f>
        <v>167.05</v>
      </c>
      <c r="DL9" s="133" t="n">
        <f aca="false">IF(OR(DL$4="",$B9=""),0,SUMIF('DADOS BRUTOS'!$A$3:$A$500,$B9,'DADOS BRUTOS'!AL$3:AL$500)+IF($C9="",0,SUMIF('DADOS BRUTOS'!$A$3:$A$500,$C9,'DADOS BRUTOS'!AL$3:AL$500)))</f>
        <v>0</v>
      </c>
      <c r="DM9" s="133" t="n">
        <f aca="false">IF(OR(DM$4="",$B9=""),0,SUMIF('DADOS BRUTOS'!$A$3:$A$500,$B9,'DADOS BRUTOS'!AM$3:AM$500)+IF($C9="",0,SUMIF('DADOS BRUTOS'!$A$3:$A$500,$C9,'DADOS BRUTOS'!AM$3:AM$500)))</f>
        <v>0</v>
      </c>
      <c r="DN9" s="133" t="n">
        <f aca="false">IF(OR(DN$4="",$B9=""),0,SUMIF('DADOS BRUTOS'!$A$3:$A$500,$B9,'DADOS BRUTOS'!AN$3:AN$500)+IF($C9="",0,SUMIF('DADOS BRUTOS'!$A$3:$A$500,$C9,'DADOS BRUTOS'!AN$3:AN$500)))</f>
        <v>0</v>
      </c>
      <c r="DO9" s="133" t="n">
        <f aca="false">IF(OR(DO$4="",$B9=""),0,SUMIF('DADOS BRUTOS'!$A$3:$A$500,$B9,'DADOS BRUTOS'!AO$3:AO$500)+IF($C9="",0,SUMIF('DADOS BRUTOS'!$A$3:$A$500,$C9,'DADOS BRUTOS'!AO$3:AO$500)))</f>
        <v>0</v>
      </c>
      <c r="DP9" s="133" t="n">
        <f aca="false">IF(OR(DP$4="",$B9=""),0,SUMIF('DADOS BRUTOS'!$A$3:$A$500,$B9,'DADOS BRUTOS'!AP$3:AP$500)+IF($C9="",0,SUMIF('DADOS BRUTOS'!$A$3:$A$500,$C9,'DADOS BRUTOS'!AP$3:AP$500)))</f>
        <v>0</v>
      </c>
      <c r="DQ9" s="133" t="n">
        <f aca="false">IF(OR(DQ$4="",$B9=""),0,SUMIF('DADOS BRUTOS'!$A$3:$A$500,$B9,'DADOS BRUTOS'!AQ$3:AQ$500)+IF($C9="",0,SUMIF('DADOS BRUTOS'!$A$3:$A$500,$C9,'DADOS BRUTOS'!AQ$3:AQ$500)))</f>
        <v>0</v>
      </c>
      <c r="DR9" s="133" t="n">
        <f aca="false">IF(OR(DR$4="",$B9=""),0,SUMIF('DADOS BRUTOS'!$A$3:$A$500,$B9,'DADOS BRUTOS'!AR$3:AR$500)+IF($C9="",0,SUMIF('DADOS BRUTOS'!$A$3:$A$500,$C9,'DADOS BRUTOS'!AR$3:AR$500)))</f>
        <v>0</v>
      </c>
      <c r="DS9" s="133" t="n">
        <f aca="false">IF(OR(DS$4="",$B9=""),0,SUMIF('DADOS BRUTOS'!$A$3:$A$500,$B9,'DADOS BRUTOS'!AS$3:AS$500)+IF($C9="",0,SUMIF('DADOS BRUTOS'!$A$3:$A$500,$C9,'DADOS BRUTOS'!AS$3:AS$500)))</f>
        <v>0</v>
      </c>
      <c r="DT9" s="133" t="n">
        <f aca="false">IF(OR(DT$4="",$B9=""),0,SUMIF('DADOS BRUTOS'!$A$3:$A$500,$B9,'DADOS BRUTOS'!AT$3:AT$500)+IF($C9="",0,SUMIF('DADOS BRUTOS'!$A$3:$A$500,$C9,'DADOS BRUTOS'!AT$3:AT$500)))</f>
        <v>0</v>
      </c>
      <c r="DU9" s="133" t="n">
        <f aca="false">IF(OR(DU$4="",$B9=""),0,SUMIF('DADOS BRUTOS'!$A$3:$A$500,$B9,'DADOS BRUTOS'!AU$3:AU$500)+IF($C9="",0,SUMIF('DADOS BRUTOS'!$A$3:$A$500,$C9,'DADOS BRUTOS'!AU$3:AU$500)))</f>
        <v>0</v>
      </c>
      <c r="DV9" s="133" t="n">
        <f aca="false">IF(OR(DV$4="",$B9=""),0,SUMIF('DADOS BRUTOS'!$A$3:$A$500,$B9,'DADOS BRUTOS'!AV$3:AV$500)+IF($C9="",0,SUMIF('DADOS BRUTOS'!$A$3:$A$500,$C9,'DADOS BRUTOS'!AV$3:AV$500)))</f>
        <v>0</v>
      </c>
      <c r="DW9" s="133" t="n">
        <f aca="false">IF(OR(DW$4="",$B9=""),0,SUMIF('DADOS BRUTOS'!$A$3:$A$500,$B9,'DADOS BRUTOS'!AW$3:AW$500)+IF($C9="",0,SUMIF('DADOS BRUTOS'!$A$3:$A$500,$C9,'DADOS BRUTOS'!AW$3:AW$500)))</f>
        <v>0</v>
      </c>
      <c r="DX9" s="133" t="n">
        <f aca="false">IF(OR(DX$4="",$B9=""),0,SUMIF('DADOS BRUTOS'!$A$3:$A$500,$B9,'DADOS BRUTOS'!AX$3:AX$500)+IF($C9="",0,SUMIF('DADOS BRUTOS'!$A$3:$A$500,$C9,'DADOS BRUTOS'!AX$3:AX$500)))</f>
        <v>0</v>
      </c>
      <c r="DY9" s="133" t="n">
        <f aca="false">IF(OR(DY$4="",$B9=""),0,SUMIF('DADOS BRUTOS'!$A$3:$A$500,$B9,'DADOS BRUTOS'!AY$3:AY$500)+IF($C9="",0,SUMIF('DADOS BRUTOS'!$A$3:$A$500,$C9,'DADOS BRUTOS'!AY$3:AY$500)))</f>
        <v>0</v>
      </c>
      <c r="DZ9" s="133" t="n">
        <f aca="false">IF(OR(DZ$4="",$B9=""),0,SUMIF('DADOS BRUTOS'!$A$3:$A$500,$B9,'DADOS BRUTOS'!AZ$3:AZ$500)+IF($C9="",0,SUMIF('DADOS BRUTOS'!$A$3:$A$500,$C9,'DADOS BRUTOS'!AZ$3:AZ$500)))</f>
        <v>0</v>
      </c>
      <c r="EA9" s="133" t="n">
        <f aca="false">IF(OR(EA$4="",$B9=""),0,SUMIF('DADOS BRUTOS'!$A$3:$A$500,$B9,'DADOS BRUTOS'!BA$3:BA$500)+IF($C9="",0,SUMIF('DADOS BRUTOS'!$A$3:$A$500,$C9,'DADOS BRUTOS'!BA$3:BA$500)))</f>
        <v>0</v>
      </c>
      <c r="EB9" s="133" t="n">
        <f aca="false">IF(OR(EB$4="",$B9=""),0,SUMIF('DADOS BRUTOS'!$A$3:$A$500,$B9,'DADOS BRUTOS'!BB$3:BB$500)+IF($C9="",0,SUMIF('DADOS BRUTOS'!$A$3:$A$500,$C9,'DADOS BRUTOS'!BB$3:BB$500)))</f>
        <v>0</v>
      </c>
      <c r="EC9" s="133" t="n">
        <f aca="false">IF(OR(EC$4="",$B9=""),0,SUMIF('DADOS BRUTOS'!$A$3:$A$500,$B9,'DADOS BRUTOS'!BC$3:BC$500)+IF($C9="",0,SUMIF('DADOS BRUTOS'!$A$3:$A$500,$C9,'DADOS BRUTOS'!BC$3:BC$500)))</f>
        <v>0</v>
      </c>
      <c r="ED9" s="133" t="n">
        <f aca="false">IF(OR(ED$4="",$B9=""),0,SUMIF('DADOS BRUTOS'!$A$3:$A$500,$B9,'DADOS BRUTOS'!BD$3:BD$500)+IF($C9="",0,SUMIF('DADOS BRUTOS'!$A$3:$A$500,$C9,'DADOS BRUTOS'!BD$3:BD$500)))</f>
        <v>0</v>
      </c>
      <c r="EE9" s="133" t="n">
        <f aca="false">IF(OR(EE$4="",$B9=""),0,SUMIF('DADOS BRUTOS'!$A$3:$A$500,$B9,'DADOS BRUTOS'!BE$3:BE$500)+IF($C9="",0,SUMIF('DADOS BRUTOS'!$A$3:$A$500,$C9,'DADOS BRUTOS'!BE$3:BE$500)))</f>
        <v>0</v>
      </c>
      <c r="EF9" s="133" t="n">
        <f aca="false">IF(OR(EF$4="",$B9=""),0,SUMIF('DADOS BRUTOS'!$A$3:$A$500,$B9,'DADOS BRUTOS'!BF$3:BF$500)+IF($C9="",0,SUMIF('DADOS BRUTOS'!$A$3:$A$500,$C9,'DADOS BRUTOS'!BF$3:BF$500)))</f>
        <v>0</v>
      </c>
      <c r="EG9" s="133" t="n">
        <f aca="false">IF(OR(EG$4="",$B9=""),0,SUMIF('DADOS BRUTOS'!$A$3:$A$500,$B9,'DADOS BRUTOS'!BG$3:BG$500)+IF($C9="",0,SUMIF('DADOS BRUTOS'!$A$3:$A$500,$C9,'DADOS BRUTOS'!BG$3:BG$500)))</f>
        <v>0</v>
      </c>
      <c r="EH9" s="133" t="n">
        <f aca="false">IF(OR(EH$4="",$B9=""),0,SUMIF('DADOS BRUTOS'!$A$3:$A$500,$B9,'DADOS BRUTOS'!BH$3:BH$500)+IF($C9="",0,SUMIF('DADOS BRUTOS'!$A$3:$A$500,$C9,'DADOS BRUTOS'!BH$3:BH$500)))</f>
        <v>0</v>
      </c>
      <c r="EI9" s="133" t="n">
        <f aca="false">IF(OR(EI$4="",$B9=""),0,SUMIF('DADOS BRUTOS'!$A$3:$A$500,$B9,'DADOS BRUTOS'!BI$3:BI$500)+IF($C9="",0,SUMIF('DADOS BRUTOS'!$A$3:$A$500,$C9,'DADOS BRUTOS'!BI$3:BI$500)))</f>
        <v>0</v>
      </c>
      <c r="EJ9" s="133" t="n">
        <f aca="false">IF(OR(EJ$4="",$B9=""),0,SUMIF('DADOS BRUTOS'!$A$3:$A$500,$B9,'DADOS BRUTOS'!BJ$3:BJ$500)+IF($C9="",0,SUMIF('DADOS BRUTOS'!$A$3:$A$500,$C9,'DADOS BRUTOS'!BJ$3:BJ$500)))</f>
        <v>0</v>
      </c>
      <c r="EK9" s="133" t="n">
        <f aca="false">IF(OR(EK$4="",$B9=""),0,SUMIF('DADOS BRUTOS'!$A$3:$A$500,$B9,'DADOS BRUTOS'!BK$3:BK$500)+IF($C9="",0,SUMIF('DADOS BRUTOS'!$A$3:$A$500,$C9,'DADOS BRUTOS'!BK$3:BK$500)))</f>
        <v>0</v>
      </c>
      <c r="EL9" s="133" t="n">
        <f aca="false">IF(OR(EL$4="",$B9=""),0,SUMIF('DADOS BRUTOS'!$A$3:$A$500,$B9,'DADOS BRUTOS'!BL$3:BL$500)+IF($C9="",0,SUMIF('DADOS BRUTOS'!$A$3:$A$500,$C9,'DADOS BRUTOS'!BL$3:BL$500)))</f>
        <v>0</v>
      </c>
      <c r="EM9" s="133" t="n">
        <f aca="false">IF(OR(EM$4="",$B9=""),0,SUMIF('DADOS BRUTOS'!$A$3:$A$500,$B9,'DADOS BRUTOS'!BM$3:BM$500)+IF($C9="",0,SUMIF('DADOS BRUTOS'!$A$3:$A$500,$C9,'DADOS BRUTOS'!BM$3:BM$500)))</f>
        <v>0</v>
      </c>
      <c r="EN9" s="133" t="n">
        <f aca="false">IF(OR(EN$4="",$B9=""),0,SUMIF('DADOS BRUTOS'!$A$3:$A$500,$B9,'DADOS BRUTOS'!BN$3:BN$500)+IF($C9="",0,SUMIF('DADOS BRUTOS'!$A$3:$A$500,$C9,'DADOS BRUTOS'!BN$3:BN$500)))</f>
        <v>0</v>
      </c>
      <c r="EO9" s="133" t="n">
        <f aca="false">IF(OR(EO$4="",$B9=""),0,SUMIF('DADOS BRUTOS'!$A$3:$A$500,$B9,'DADOS BRUTOS'!BO$3:BO$500)+IF($C9="",0,SUMIF('DADOS BRUTOS'!$A$3:$A$500,$C9,'DADOS BRUTOS'!BO$3:BO$500)))</f>
        <v>0</v>
      </c>
      <c r="EP9" s="133" t="n">
        <f aca="false">IF(OR(EP$4="",$B9=""),0,SUMIF('DADOS BRUTOS'!$A$3:$A$500,$B9,'DADOS BRUTOS'!BP$3:BP$500)+IF($C9="",0,SUMIF('DADOS BRUTOS'!$A$3:$A$500,$C9,'DADOS BRUTOS'!BP$3:BP$500)))</f>
        <v>0</v>
      </c>
      <c r="EQ9" s="133" t="n">
        <f aca="false">IF(OR(EQ$4="",$B9=""),0,SUMIF('DADOS BRUTOS'!$A$3:$A$500,$B9,'DADOS BRUTOS'!BQ$3:BQ$500)+IF($C9="",0,SUMIF('DADOS BRUTOS'!$A$3:$A$500,$C9,'DADOS BRUTOS'!BQ$3:BQ$500)))</f>
        <v>0</v>
      </c>
      <c r="ER9" s="133" t="n">
        <f aca="false">IF(OR(ER$4="",$B9=""),0,SUMIF('DADOS BRUTOS'!$A$3:$A$500,$B9,'DADOS BRUTOS'!BR$3:BR$500)+IF($C9="",0,SUMIF('DADOS BRUTOS'!$A$3:$A$500,$C9,'DADOS BRUTOS'!BR$3:BR$500)))</f>
        <v>0</v>
      </c>
      <c r="ES9" s="133" t="n">
        <f aca="false">IF(OR(ES$4="",$B9=""),0,SUMIF('DADOS BRUTOS'!$A$3:$A$500,$B9,'DADOS BRUTOS'!BS$3:BS$500)+IF($C9="",0,SUMIF('DADOS BRUTOS'!$A$3:$A$500,$C9,'DADOS BRUTOS'!BS$3:BS$500)))</f>
        <v>0</v>
      </c>
      <c r="ET9" s="133" t="n">
        <f aca="false">IF(OR(ET$4="",$B9=""),0,SUMIF('DADOS BRUTOS'!$A$3:$A$500,$B9,'DADOS BRUTOS'!BT$3:BT$500)+IF($C9="",0,SUMIF('DADOS BRUTOS'!$A$3:$A$500,$C9,'DADOS BRUTOS'!BT$3:BT$500)))</f>
        <v>0</v>
      </c>
      <c r="EU9" s="133" t="n">
        <f aca="false">IF(OR(EU$4="",$B9=""),0,SUMIF('DADOS BRUTOS'!$A$3:$A$500,$B9,'DADOS BRUTOS'!BU$3:BU$500)+IF($C9="",0,SUMIF('DADOS BRUTOS'!$A$3:$A$500,$C9,'DADOS BRUTOS'!BU$3:BU$500)))</f>
        <v>0</v>
      </c>
      <c r="EV9" s="133" t="n">
        <f aca="false">IF(OR(EV$4="",$B9=""),0,SUMIF('DADOS BRUTOS'!$A$3:$A$500,$B9,'DADOS BRUTOS'!BV$3:BV$500)+IF($C9="",0,SUMIF('DADOS BRUTOS'!$A$3:$A$500,$C9,'DADOS BRUTOS'!BV$3:BV$500)))</f>
        <v>0</v>
      </c>
      <c r="EW9" s="133" t="n">
        <f aca="false">IF(OR(EW$4="",$B9=""),0,SUMIF('DADOS BRUTOS'!$A$3:$A$500,$B9,'DADOS BRUTOS'!BW$3:BW$500)+IF($C9="",0,SUMIF('DADOS BRUTOS'!$A$3:$A$500,$C9,'DADOS BRUTOS'!BW$3:BW$500)))</f>
        <v>0</v>
      </c>
      <c r="EX9" s="133" t="n">
        <f aca="false">IF(OR(EX$4="",$B9=""),0,SUMIF('DADOS BRUTOS'!$A$3:$A$500,$B9,'DADOS BRUTOS'!BX$3:BX$500)+IF($C9="",0,SUMIF('DADOS BRUTOS'!$A$3:$A$500,$C9,'DADOS BRUTOS'!BX$3:BX$500)))</f>
        <v>0</v>
      </c>
      <c r="EY9" s="133" t="n">
        <f aca="false">IF(OR(EY$4="",$B9=""),0,SUMIF('DADOS BRUTOS'!$A$3:$A$500,$B9,'DADOS BRUTOS'!BY$3:BY$500)+IF($C9="",0,SUMIF('DADOS BRUTOS'!$A$3:$A$500,$C9,'DADOS BRUTOS'!BY$3:BY$500)))</f>
        <v>0</v>
      </c>
      <c r="EZ9" s="133" t="n">
        <f aca="false">IF(OR(EZ$4="",$B9=""),0,SUMIF('DADOS BRUTOS'!$A$3:$A$500,$B9,'DADOS BRUTOS'!BZ$3:BZ$500)+IF($C9="",0,SUMIF('DADOS BRUTOS'!$A$3:$A$500,$C9,'DADOS BRUTOS'!BZ$3:BZ$500)))</f>
        <v>0</v>
      </c>
      <c r="FA9" s="133" t="n">
        <f aca="false">IF(OR(FA$4="",$B9=""),0,SUMIF('DADOS BRUTOS'!$A$3:$A$500,$B9,'DADOS BRUTOS'!CA$3:CA$500)+IF($C9="",0,SUMIF('DADOS BRUTOS'!$A$3:$A$500,$C9,'DADOS BRUTOS'!CA$3:CA$500)))</f>
        <v>0</v>
      </c>
      <c r="FB9" s="133" t="n">
        <f aca="false">IF(OR(FB$4="",$B9=""),0,SUMIF('DADOS BRUTOS'!$A$3:$A$500,$B9,'DADOS BRUTOS'!CB$3:CB$500)+IF($C9="",0,SUMIF('DADOS BRUTOS'!$A$3:$A$500,$C9,'DADOS BRUTOS'!CB$3:CB$500)))</f>
        <v>0</v>
      </c>
      <c r="FC9" s="133" t="n">
        <f aca="false">IF(OR(FC$4="",$B9=""),0,SUMIF('DADOS BRUTOS'!$A$3:$A$500,$B9,'DADOS BRUTOS'!CC$3:CC$500)+IF($C9="",0,SUMIF('DADOS BRUTOS'!$A$3:$A$500,$C9,'DADOS BRUTOS'!CC$3:CC$500)))</f>
        <v>0</v>
      </c>
      <c r="FD9" s="133" t="n">
        <f aca="false">IF(OR(FD$4="",$B9=""),0,SUMIF('DADOS BRUTOS'!$A$3:$A$500,$B9,'DADOS BRUTOS'!CD$3:CD$500)+IF($C9="",0,SUMIF('DADOS BRUTOS'!$A$3:$A$500,$C9,'DADOS BRUTOS'!CD$3:CD$500)))</f>
        <v>0</v>
      </c>
      <c r="FE9" s="133" t="n">
        <f aca="false">IF(OR(FE$4="",$B9=""),0,SUMIF('DADOS BRUTOS'!$A$3:$A$500,$B9,'DADOS BRUTOS'!CE$3:CE$500)+IF($C9="",0,SUMIF('DADOS BRUTOS'!$A$3:$A$500,$C9,'DADOS BRUTOS'!CE$3:CE$500)))</f>
        <v>0</v>
      </c>
      <c r="FF9" s="133" t="n">
        <f aca="false">IF(OR(FF$4="",$B9=""),0,SUMIF('DADOS BRUTOS'!$A$3:$A$500,$B9,'DADOS BRUTOS'!CF$3:CF$500)+IF($C9="",0,SUMIF('DADOS BRUTOS'!$A$3:$A$500,$C9,'DADOS BRUTOS'!CF$3:CF$500)))</f>
        <v>0</v>
      </c>
      <c r="FG9" s="133" t="n">
        <f aca="false">IF(OR(FG$4="",$B9=""),0,SUMIF('DADOS BRUTOS'!$A$3:$A$500,$B9,'DADOS BRUTOS'!CG$3:CG$500)+IF($C9="",0,SUMIF('DADOS BRUTOS'!$A$3:$A$500,$C9,'DADOS BRUTOS'!CG$3:CG$500)))</f>
        <v>0</v>
      </c>
      <c r="FH9" s="133" t="n">
        <f aca="false">IF(OR(FH$4="",$B9=""),0,SUMIF('DADOS BRUTOS'!$A$3:$A$500,$B9,'DADOS BRUTOS'!CH$3:CH$500)+IF($C9="",0,SUMIF('DADOS BRUTOS'!$A$3:$A$500,$C9,'DADOS BRUTOS'!CH$3:CH$500)))</f>
        <v>0</v>
      </c>
      <c r="FI9" s="133" t="n">
        <f aca="false">IF(OR(FI$4="",$B9=""),0,SUMIF('DADOS BRUTOS'!$A$3:$A$500,$B9,'DADOS BRUTOS'!CI$3:CI$500)+IF($C9="",0,SUMIF('DADOS BRUTOS'!$A$3:$A$500,$C9,'DADOS BRUTOS'!CI$3:CI$500)))</f>
        <v>0</v>
      </c>
      <c r="FJ9" s="133" t="n">
        <f aca="false">IF(OR(FJ$4="",$B9=""),0,SUMIF('DADOS BRUTOS'!$A$3:$A$500,$B9,'DADOS BRUTOS'!CJ$3:CJ$500)+IF($C9="",0,SUMIF('DADOS BRUTOS'!$A$3:$A$500,$C9,'DADOS BRUTOS'!CJ$3:CJ$500)))</f>
        <v>0</v>
      </c>
      <c r="FK9" s="133" t="n">
        <f aca="false">IF(OR(FK$4="",$B9=""),0,SUMIF('DADOS BRUTOS'!$A$3:$A$500,$B9,'DADOS BRUTOS'!CK$3:CK$500)+IF($C9="",0,SUMIF('DADOS BRUTOS'!$A$3:$A$500,$C9,'DADOS BRUTOS'!CK$3:CK$500)))</f>
        <v>0</v>
      </c>
      <c r="FL9" s="133" t="n">
        <f aca="false">IF(OR(FL$4="",$B9=""),0,SUMIF('DADOS BRUTOS'!$A$3:$A$500,$B9,'DADOS BRUTOS'!CL$3:CL$500)+IF($C9="",0,SUMIF('DADOS BRUTOS'!$A$3:$A$500,$C9,'DADOS BRUTOS'!CL$3:CL$500)))</f>
        <v>0</v>
      </c>
      <c r="FM9" s="133" t="n">
        <f aca="false">IF(OR(FM$4="",$B9=""),0,SUMIF('DADOS BRUTOS'!$A$3:$A$500,$B9,'DADOS BRUTOS'!CM$3:CM$500)+IF($C9="",0,SUMIF('DADOS BRUTOS'!$A$3:$A$500,$C9,'DADOS BRUTOS'!CM$3:CM$500)))</f>
        <v>0</v>
      </c>
      <c r="FN9" s="133" t="n">
        <f aca="false">IF(OR(FN$4="",$B9=""),0,SUMIF('DADOS BRUTOS'!$A$3:$A$500,$B9,'DADOS BRUTOS'!CN$3:CN$500)+IF($C9="",0,SUMIF('DADOS BRUTOS'!$A$3:$A$500,$C9,'DADOS BRUTOS'!CN$3:CN$500)))</f>
        <v>0</v>
      </c>
      <c r="FO9" s="133" t="n">
        <f aca="false">IF(OR(FO$4="",$B9=""),0,SUMIF('DADOS BRUTOS'!$A$3:$A$500,$B9,'DADOS BRUTOS'!CO$3:CO$500)+IF($C9="",0,SUMIF('DADOS BRUTOS'!$A$3:$A$500,$C9,'DADOS BRUTOS'!CO$3:CO$500)))</f>
        <v>0</v>
      </c>
      <c r="FP9" s="133" t="n">
        <f aca="false">IF(OR(FP$4="",$B9=""),0,SUMIF('DADOS BRUTOS'!$A$3:$A$500,$B9,'DADOS BRUTOS'!CP$3:CP$500)+IF($C9="",0,SUMIF('DADOS BRUTOS'!$A$3:$A$500,$C9,'DADOS BRUTOS'!CP$3:CP$500)))</f>
        <v>0</v>
      </c>
      <c r="FQ9" s="133" t="n">
        <f aca="false">IF(OR(FQ$4="",$B9=""),0,SUMIF('DADOS BRUTOS'!$A$3:$A$500,$B9,'DADOS BRUTOS'!CQ$3:CQ$500)+IF($C9="",0,SUMIF('DADOS BRUTOS'!$A$3:$A$500,$C9,'DADOS BRUTOS'!CQ$3:CQ$500)))</f>
        <v>0</v>
      </c>
      <c r="FR9" s="133" t="n">
        <f aca="false">IF(OR(FR$4="",$B9=""),0,SUMIF('DADOS BRUTOS'!$A$3:$A$500,$B9,'DADOS BRUTOS'!CR$3:CR$500)+IF($C9="",0,SUMIF('DADOS BRUTOS'!$A$3:$A$500,$C9,'DADOS BRUTOS'!CR$3:CR$500)))</f>
        <v>0</v>
      </c>
      <c r="FS9" s="133" t="n">
        <f aca="false">IF(OR(FS$4="",$B9=""),0,SUMIF('DADOS BRUTOS'!$A$3:$A$500,$B9,'DADOS BRUTOS'!CS$3:CS$500)+IF($C9="",0,SUMIF('DADOS BRUTOS'!$A$3:$A$500,$C9,'DADOS BRUTOS'!CS$3:CS$500)))</f>
        <v>0</v>
      </c>
      <c r="FT9" s="133" t="n">
        <f aca="false">IF(OR(FT$4="",$B9=""),0,SUMIF('DADOS BRUTOS'!$A$3:$A$500,$B9,'DADOS BRUTOS'!CT$3:CT$500)+IF($C9="",0,SUMIF('DADOS BRUTOS'!$A$3:$A$500,$C9,'DADOS BRUTOS'!CT$3:CT$500)))</f>
        <v>0</v>
      </c>
      <c r="FU9" s="133" t="n">
        <f aca="false">IF(OR(FU$4="",$B9=""),0,SUMIF('DADOS BRUTOS'!$A$3:$A$500,$B9,'DADOS BRUTOS'!CU$3:CU$500)+IF($C9="",0,SUMIF('DADOS BRUTOS'!$A$3:$A$500,$C9,'DADOS BRUTOS'!CU$3:CU$500)))</f>
        <v>0</v>
      </c>
      <c r="FV9" s="133" t="n">
        <f aca="false">IF(OR(FV$4="",$B9=""),0,SUMIF('DADOS BRUTOS'!$A$3:$A$500,$B9,'DADOS BRUTOS'!CV$3:CV$500)+IF($C9="",0,SUMIF('DADOS BRUTOS'!$A$3:$A$500,$C9,'DADOS BRUTOS'!CV$3:CV$500)))</f>
        <v>0</v>
      </c>
      <c r="FW9" s="133" t="n">
        <f aca="false">IF(OR(FW$4="",$B9=""),0,SUMIF('DADOS BRUTOS'!$A$3:$A$500,$B9,'DADOS BRUTOS'!CW$3:CW$500)+IF($C9="",0,SUMIF('DADOS BRUTOS'!$A$3:$A$500,$C9,'DADOS BRUTOS'!CW$3:CW$500)))</f>
        <v>0</v>
      </c>
      <c r="FX9" s="133" t="n">
        <f aca="false">IF(OR(FX$4="",$B9=""),0,SUMIF('DADOS BRUTOS'!$A$3:$A$500,$B9,'DADOS BRUTOS'!CX$3:CX$500)+IF($C9="",0,SUMIF('DADOS BRUTOS'!$A$3:$A$500,$C9,'DADOS BRUTOS'!CX$3:CX$500)))</f>
        <v>0</v>
      </c>
      <c r="FY9" s="133" t="n">
        <f aca="false">IF(OR(FY$4="",$B9=""),0,SUMIF('DADOS BRUTOS'!$A$3:$A$500,$B9,'DADOS BRUTOS'!CY$3:CY$500)+IF($C9="",0,SUMIF('DADOS BRUTOS'!$A$3:$A$500,$C9,'DADOS BRUTOS'!CY$3:CY$500)))</f>
        <v>0</v>
      </c>
      <c r="FZ9" s="133" t="n">
        <f aca="false">IF(OR(FZ$4="",$B9=""),0,SUMIF('DADOS BRUTOS'!$A$3:$A$500,$B9,'DADOS BRUTOS'!CZ$3:CZ$500)+IF($C9="",0,SUMIF('DADOS BRUTOS'!$A$3:$A$500,$C9,'DADOS BRUTOS'!CZ$3:CZ$500)))</f>
        <v>0</v>
      </c>
      <c r="GA9" s="133" t="n">
        <f aca="false">IF(OR(GA$4="",$B9=""),0,SUMIF('DADOS BRUTOS'!$A$3:$A$500,$B9,'DADOS BRUTOS'!DA$3:DA$500)+IF($C9="",0,SUMIF('DADOS BRUTOS'!$A$3:$A$500,$C9,'DADOS BRUTOS'!DA$3:DA$500)))</f>
        <v>0</v>
      </c>
      <c r="GB9" s="133" t="n">
        <f aca="false">IF(OR(GB$4="",$B9=""),0,SUMIF('DADOS BRUTOS'!$A$3:$A$500,$B9,'DADOS BRUTOS'!DB$3:DB$500)+IF($C9="",0,SUMIF('DADOS BRUTOS'!$A$3:$A$500,$C9,'DADOS BRUTOS'!DB$3:DB$500)))</f>
        <v>0</v>
      </c>
      <c r="GC9" s="133" t="n">
        <f aca="false">IF(OR(GC$4="",$B9=""),0,SUMIF('DADOS BRUTOS'!$A$3:$A$500,$B9,'DADOS BRUTOS'!DC$3:DC$500)+IF($C9="",0,SUMIF('DADOS BRUTOS'!$A$3:$A$500,$C9,'DADOS BRUTOS'!DC$3:DC$500)))</f>
        <v>0</v>
      </c>
      <c r="GD9" s="133" t="n">
        <f aca="false">IF(OR(GD$4="",$B9=""),0,SUMIF('DADOS BRUTOS'!$A$3:$A$500,$B9,'DADOS BRUTOS'!DD$3:DD$500)+IF($C9="",0,SUMIF('DADOS BRUTOS'!$A$3:$A$500,$C9,'DADOS BRUTOS'!DD$3:DD$500)))</f>
        <v>0</v>
      </c>
      <c r="GE9" s="133" t="n">
        <f aca="false">IF(OR(GE$4="",$B9=""),0,SUMIF('DADOS BRUTOS'!$A$3:$A$500,$B9,'DADOS BRUTOS'!DE$3:DE$500)+IF($C9="",0,SUMIF('DADOS BRUTOS'!$A$3:$A$500,$C9,'DADOS BRUTOS'!DE$3:DE$500)))</f>
        <v>0</v>
      </c>
      <c r="GF9" s="133" t="n">
        <f aca="false">IF(OR(GF$4="",$B9=""),0,SUMIF('DADOS BRUTOS'!$A$3:$A$500,$B9,'DADOS BRUTOS'!DF$3:DF$500)+IF($C9="",0,SUMIF('DADOS BRUTOS'!$A$3:$A$500,$C9,'DADOS BRUTOS'!DF$3:DF$500)))</f>
        <v>0</v>
      </c>
      <c r="GG9" s="133" t="n">
        <f aca="false">IF(OR(GG$4="",$B9=""),0,SUMIF('DADOS BRUTOS'!$A$3:$A$500,$B9,'DADOS BRUTOS'!DG$3:DG$500)+IF($C9="",0,SUMIF('DADOS BRUTOS'!$A$3:$A$500,$C9,'DADOS BRUTOS'!DG$3:DG$500)))</f>
        <v>0</v>
      </c>
      <c r="GH9" s="133" t="n">
        <f aca="false">IF(OR(GH$4="",$B9=""),0,SUMIF('DADOS BRUTOS'!$A$3:$A$500,$B9,'DADOS BRUTOS'!DH$3:DH$500)+IF($C9="",0,SUMIF('DADOS BRUTOS'!$A$3:$A$500,$C9,'DADOS BRUTOS'!DH$3:DH$500)))</f>
        <v>0</v>
      </c>
      <c r="GI9" s="133" t="n">
        <f aca="false">IF(OR(GI$4="",$B9=""),0,SUMIF('DADOS BRUTOS'!$A$3:$A$500,$B9,'DADOS BRUTOS'!DI$3:DI$500)+IF($C9="",0,SUMIF('DADOS BRUTOS'!$A$3:$A$500,$C9,'DADOS BRUTOS'!DI$3:DI$500)))</f>
        <v>0</v>
      </c>
      <c r="GJ9" s="133" t="n">
        <f aca="false">IF(OR(GJ$4="",$B9=""),0,SUMIF('DADOS BRUTOS'!$A$3:$A$500,$B9,'DADOS BRUTOS'!DJ$3:DJ$500)+IF($C9="",0,SUMIF('DADOS BRUTOS'!$A$3:$A$500,$C9,'DADOS BRUTOS'!DJ$3:DJ$500)))</f>
        <v>0</v>
      </c>
      <c r="GK9" s="133" t="n">
        <f aca="false">IF(OR(GK$4="",$B9=""),0,SUMIF('DADOS BRUTOS'!$A$3:$A$500,$B9,'DADOS BRUTOS'!DK$3:DK$500)+IF($C9="",0,SUMIF('DADOS BRUTOS'!$A$3:$A$500,$C9,'DADOS BRUTOS'!DK$3:DK$500)))</f>
        <v>0</v>
      </c>
      <c r="GL9" s="133" t="n">
        <f aca="false">IF(OR(GL$4="",$B9=""),0,SUMIF('DADOS BRUTOS'!$A$3:$A$500,$B9,'DADOS BRUTOS'!DL$3:DL$500)+IF($C9="",0,SUMIF('DADOS BRUTOS'!$A$3:$A$500,$C9,'DADOS BRUTOS'!DL$3:DL$500)))</f>
        <v>0</v>
      </c>
      <c r="GM9" s="133" t="n">
        <f aca="false">IF(OR(GM$4="",$B9=""),0,SUMIF('DADOS BRUTOS'!$A$3:$A$500,$B9,'DADOS BRUTOS'!DM$3:DM$500)+IF($C9="",0,SUMIF('DADOS BRUTOS'!$A$3:$A$500,$C9,'DADOS BRUTOS'!DM$3:DM$500)))</f>
        <v>0</v>
      </c>
      <c r="GN9" s="133" t="n">
        <f aca="false">IF(OR(GN$4="",$B9=""),0,SUMIF('DADOS BRUTOS'!$A$3:$A$500,$B9,'DADOS BRUTOS'!DN$3:DN$500)+IF($C9="",0,SUMIF('DADOS BRUTOS'!$A$3:$A$500,$C9,'DADOS BRUTOS'!DN$3:DN$500)))</f>
        <v>0</v>
      </c>
      <c r="GO9" s="133" t="n">
        <f aca="false">IF(OR(GO$4="",$B9=""),0,SUMIF('DADOS BRUTOS'!$A$3:$A$500,$B9,'DADOS BRUTOS'!DO$3:DO$500)+IF($C9="",0,SUMIF('DADOS BRUTOS'!$A$3:$A$500,$C9,'DADOS BRUTOS'!DO$3:DO$500)))</f>
        <v>0</v>
      </c>
      <c r="GP9" s="133" t="n">
        <f aca="false">IF(OR(GP$4="",$B9=""),0,SUMIF('DADOS BRUTOS'!$A$3:$A$500,$B9,'DADOS BRUTOS'!DP$3:DP$500)+IF($C9="",0,SUMIF('DADOS BRUTOS'!$A$3:$A$500,$C9,'DADOS BRUTOS'!DP$3:DP$500)))</f>
        <v>0</v>
      </c>
      <c r="GQ9" s="133" t="n">
        <f aca="false">IF(OR(GQ$4="",$B9=""),0,SUMIF('DADOS BRUTOS'!$A$3:$A$500,$B9,'DADOS BRUTOS'!DQ$3:DQ$500)+IF($C9="",0,SUMIF('DADOS BRUTOS'!$A$3:$A$500,$C9,'DADOS BRUTOS'!DQ$3:DQ$500)))</f>
        <v>0</v>
      </c>
      <c r="GR9" s="133" t="n">
        <f aca="false">IF(OR(GR$4="",$B9=""),0,SUMIF('DADOS BRUTOS'!$A$3:$A$500,$B9,'DADOS BRUTOS'!DR$3:DR$500)+IF($C9="",0,SUMIF('DADOS BRUTOS'!$A$3:$A$500,$C9,'DADOS BRUTOS'!DR$3:DR$500)))</f>
        <v>0</v>
      </c>
      <c r="GS9" s="133" t="n">
        <f aca="false">IF(OR(GS$4="",$B9=""),0,SUMIF('DADOS BRUTOS'!$A$3:$A$500,$B9,'DADOS BRUTOS'!DS$3:DS$500)+IF($C9="",0,SUMIF('DADOS BRUTOS'!$A$3:$A$500,$C9,'DADOS BRUTOS'!DS$3:DS$500)))</f>
        <v>0</v>
      </c>
      <c r="GT9" s="133" t="n">
        <f aca="false">IF(OR(GT$4="",$B9=""),0,SUMIF('DADOS BRUTOS'!$A$3:$A$500,$B9,'DADOS BRUTOS'!DT$3:DT$500)+IF($C9="",0,SUMIF('DADOS BRUTOS'!$A$3:$A$500,$C9,'DADOS BRUTOS'!DT$3:DT$500)))</f>
        <v>0</v>
      </c>
      <c r="GU9" s="133" t="n">
        <f aca="false">IF(OR(GU$4="",$B9=""),0,SUMIF('DADOS BRUTOS'!$A$3:$A$500,$B9,'DADOS BRUTOS'!DU$3:DU$500)+IF($C9="",0,SUMIF('DADOS BRUTOS'!$A$3:$A$500,$C9,'DADOS BRUTOS'!DU$3:DU$500)))</f>
        <v>0</v>
      </c>
      <c r="GV9" s="133" t="n">
        <f aca="false">IF(OR(GV$4="",$B9=""),0,SUMIF('DADOS BRUTOS'!$A$3:$A$500,$B9,'DADOS BRUTOS'!DV$3:DV$500)+IF($C9="",0,SUMIF('DADOS BRUTOS'!$A$3:$A$500,$C9,'DADOS BRUTOS'!DV$3:DV$500)))</f>
        <v>0</v>
      </c>
      <c r="GW9" s="133" t="n">
        <f aca="false">IF(OR(GW$4="",$B9=""),0,SUMIF('DADOS BRUTOS'!$A$3:$A$500,$B9,'DADOS BRUTOS'!DW$3:DW$500)+IF($C9="",0,SUMIF('DADOS BRUTOS'!$A$3:$A$500,$C9,'DADOS BRUTOS'!DW$3:DW$500)))</f>
        <v>0</v>
      </c>
      <c r="GX9" s="133" t="n">
        <f aca="false">IF(OR(GX$4="",$B9=""),0,SUMIF('DADOS BRUTOS'!$A$3:$A$500,$B9,'DADOS BRUTOS'!DX$3:DX$500)+IF($C9="",0,SUMIF('DADOS BRUTOS'!$A$3:$A$500,$C9,'DADOS BRUTOS'!DX$3:DX$500)))</f>
        <v>0</v>
      </c>
      <c r="GY9" s="133" t="n">
        <f aca="false">IF(OR(GY$4="",$B9=""),0,SUMIF('DADOS BRUTOS'!$A$3:$A$500,$B9,'DADOS BRUTOS'!DY$3:DY$500)+IF($C9="",0,SUMIF('DADOS BRUTOS'!$A$3:$A$500,$C9,'DADOS BRUTOS'!DY$3:DY$500)))</f>
        <v>0</v>
      </c>
      <c r="GZ9" s="133" t="n">
        <f aca="false">IF(OR(GZ$4="",$B9=""),0,SUMIF('DADOS BRUTOS'!$A$3:$A$500,$B9,'DADOS BRUTOS'!DZ$3:DZ$500)+IF($C9="",0,SUMIF('DADOS BRUTOS'!$A$3:$A$500,$C9,'DADOS BRUTOS'!DZ$3:DZ$500)))</f>
        <v>0</v>
      </c>
      <c r="HA9" s="133" t="n">
        <f aca="false">IF(OR(HA$4="",$B9=""),0,SUMIF('DADOS BRUTOS'!$A$3:$A$500,$B9,'DADOS BRUTOS'!EA$3:EA$500)+IF($C9="",0,SUMIF('DADOS BRUTOS'!$A$3:$A$500,$C9,'DADOS BRUTOS'!EA$3:EA$500)))</f>
        <v>0</v>
      </c>
      <c r="HB9" s="133" t="n">
        <f aca="false">IF(OR(HB$4="",$B9=""),0,SUMIF('DADOS BRUTOS'!$A$3:$A$500,$B9,'DADOS BRUTOS'!EB$3:EB$500)+IF($C9="",0,SUMIF('DADOS BRUTOS'!$A$3:$A$500,$C9,'DADOS BRUTOS'!EB$3:EB$500)))</f>
        <v>0</v>
      </c>
      <c r="HC9" s="133" t="n">
        <f aca="false">IF(OR(HC$4="",$B9=""),0,SUMIF('DADOS BRUTOS'!$A$3:$A$500,$B9,'DADOS BRUTOS'!EC$3:EC$500)+IF($C9="",0,SUMIF('DADOS BRUTOS'!$A$3:$A$500,$C9,'DADOS BRUTOS'!EC$3:EC$500)))</f>
        <v>0</v>
      </c>
      <c r="HD9" s="133" t="n">
        <f aca="false">IF(OR(HD$4="",$B9=""),0,SUMIF('DADOS BRUTOS'!$A$3:$A$500,$B9,'DADOS BRUTOS'!ED$3:ED$500)+IF($C9="",0,SUMIF('DADOS BRUTOS'!$A$3:$A$500,$C9,'DADOS BRUTOS'!ED$3:ED$500)))</f>
        <v>0</v>
      </c>
      <c r="HE9" s="133" t="n">
        <f aca="false">IF(OR(HE$4="",$B9=""),0,SUMIF('DADOS BRUTOS'!$A$3:$A$500,$B9,'DADOS BRUTOS'!EE$3:EE$500)+IF($C9="",0,SUMIF('DADOS BRUTOS'!$A$3:$A$500,$C9,'DADOS BRUTOS'!EE$3:EE$500)))</f>
        <v>0</v>
      </c>
      <c r="HF9" s="133" t="n">
        <f aca="false">IF(OR(HF$4="",$B9=""),0,SUMIF('DADOS BRUTOS'!$A$3:$A$500,$B9,'DADOS BRUTOS'!EF$3:EF$500)+IF($C9="",0,SUMIF('DADOS BRUTOS'!$A$3:$A$500,$C9,'DADOS BRUTOS'!EF$3:EF$500)))</f>
        <v>0</v>
      </c>
      <c r="HG9" s="133" t="n">
        <f aca="false">IF(OR(HG$4="",$B9=""),0,SUMIF('DADOS BRUTOS'!$A$3:$A$500,$B9,'DADOS BRUTOS'!EG$3:EG$500)+IF($C9="",0,SUMIF('DADOS BRUTOS'!$A$3:$A$500,$C9,'DADOS BRUTOS'!EG$3:EG$500)))</f>
        <v>0</v>
      </c>
      <c r="HH9" s="133" t="n">
        <f aca="false">IF(OR(HH$4="",$B9=""),0,SUMIF('DADOS BRUTOS'!$A$3:$A$500,$B9,'DADOS BRUTOS'!EH$3:EH$500)+IF($C9="",0,SUMIF('DADOS BRUTOS'!$A$3:$A$500,$C9,'DADOS BRUTOS'!EH$3:EH$500)))</f>
        <v>0</v>
      </c>
      <c r="HI9" s="133" t="n">
        <f aca="false">IF(OR(HI$4="",$B9=""),0,SUMIF('DADOS BRUTOS'!$A$3:$A$500,$B9,'DADOS BRUTOS'!EI$3:EI$500)+IF($C9="",0,SUMIF('DADOS BRUTOS'!$A$3:$A$500,$C9,'DADOS BRUTOS'!EI$3:EI$500)))</f>
        <v>0</v>
      </c>
      <c r="HJ9" s="133" t="n">
        <f aca="false">IF(OR(HJ$4="",$B9=""),0,SUMIF('DADOS BRUTOS'!$A$3:$A$500,$B9,'DADOS BRUTOS'!EJ$3:EJ$500)+IF($C9="",0,SUMIF('DADOS BRUTOS'!$A$3:$A$500,$C9,'DADOS BRUTOS'!EJ$3:EJ$500)))</f>
        <v>0</v>
      </c>
      <c r="HK9" s="133" t="n">
        <f aca="false">IF(OR(HK$4="",$B9=""),0,SUMIF('DADOS BRUTOS'!$A$3:$A$500,$B9,'DADOS BRUTOS'!EK$3:EK$500)+IF($C9="",0,SUMIF('DADOS BRUTOS'!$A$3:$A$500,$C9,'DADOS BRUTOS'!EK$3:EK$500)))</f>
        <v>0</v>
      </c>
      <c r="HL9" s="133" t="n">
        <f aca="false">IF(OR(HL$4="",$B9=""),0,SUMIF('DADOS BRUTOS'!$A$3:$A$500,$B9,'DADOS BRUTOS'!EL$3:EL$500)+IF($C9="",0,SUMIF('DADOS BRUTOS'!$A$3:$A$500,$C9,'DADOS BRUTOS'!EL$3:EL$500)))</f>
        <v>0</v>
      </c>
      <c r="HM9" s="133" t="n">
        <f aca="false">IF(OR(HM$4="",$B9=""),0,SUMIF('DADOS BRUTOS'!$A$3:$A$500,$B9,'DADOS BRUTOS'!EM$3:EM$500)+IF($C9="",0,SUMIF('DADOS BRUTOS'!$A$3:$A$500,$C9,'DADOS BRUTOS'!EM$3:EM$500)))</f>
        <v>0</v>
      </c>
      <c r="HN9" s="133" t="n">
        <f aca="false">IF(OR(HN$4="",$B9=""),0,SUMIF('DADOS BRUTOS'!$A$3:$A$500,$B9,'DADOS BRUTOS'!EN$3:EN$500)+IF($C9="",0,SUMIF('DADOS BRUTOS'!$A$3:$A$500,$C9,'DADOS BRUTOS'!EN$3:EN$500)))</f>
        <v>0</v>
      </c>
      <c r="HO9" s="133" t="n">
        <f aca="false">IF(OR(HO$4="",$B9=""),0,SUMIF('DADOS BRUTOS'!$A$3:$A$500,$B9,'DADOS BRUTOS'!EO$3:EO$500)+IF($C9="",0,SUMIF('DADOS BRUTOS'!$A$3:$A$500,$C9,'DADOS BRUTOS'!EO$3:EO$500)))</f>
        <v>0</v>
      </c>
      <c r="HP9" s="133" t="n">
        <f aca="false">IF(OR(HP$4="",$B9=""),0,SUMIF('DADOS BRUTOS'!$A$3:$A$500,$B9,'DADOS BRUTOS'!EP$3:EP$500)+IF($C9="",0,SUMIF('DADOS BRUTOS'!$A$3:$A$500,$C9,'DADOS BRUTOS'!EP$3:EP$500)))</f>
        <v>0</v>
      </c>
      <c r="HQ9" s="133" t="n">
        <f aca="false">IF(OR(HQ$4="",$B9=""),0,SUMIF('DADOS BRUTOS'!$A$3:$A$500,$B9,'DADOS BRUTOS'!EQ$3:EQ$500)+IF($C9="",0,SUMIF('DADOS BRUTOS'!$A$3:$A$500,$C9,'DADOS BRUTOS'!EQ$3:EQ$500)))</f>
        <v>0</v>
      </c>
      <c r="HR9" s="133" t="n">
        <f aca="false">IF(OR(HR$4="",$B9=""),0,SUMIF('DADOS BRUTOS'!$A$3:$A$500,$B9,'DADOS BRUTOS'!ER$3:ER$500)+IF($C9="",0,SUMIF('DADOS BRUTOS'!$A$3:$A$500,$C9,'DADOS BRUTOS'!ER$3:ER$500)))</f>
        <v>0</v>
      </c>
      <c r="HS9" s="133" t="n">
        <f aca="false">IF(OR(HS$4="",$B9=""),0,SUMIF('DADOS BRUTOS'!$A$3:$A$500,$B9,'DADOS BRUTOS'!ES$3:ES$500)+IF($C9="",0,SUMIF('DADOS BRUTOS'!$A$3:$A$500,$C9,'DADOS BRUTOS'!ES$3:ES$500)))</f>
        <v>0</v>
      </c>
      <c r="HT9" s="133" t="n">
        <f aca="false">IF(OR(HT$4="",$B9=""),0,SUMIF('DADOS BRUTOS'!$A$3:$A$500,$B9,'DADOS BRUTOS'!ET$3:ET$500)+IF($C9="",0,SUMIF('DADOS BRUTOS'!$A$3:$A$500,$C9,'DADOS BRUTOS'!ET$3:ET$500)))</f>
        <v>0</v>
      </c>
      <c r="HU9" s="133" t="n">
        <f aca="false">IF(OR(HU$4="",$B9=""),0,SUMIF('DADOS BRUTOS'!$A$3:$A$500,$B9,'DADOS BRUTOS'!EU$3:EU$500)+IF($C9="",0,SUMIF('DADOS BRUTOS'!$A$3:$A$500,$C9,'DADOS BRUTOS'!EU$3:EU$500)))</f>
        <v>0</v>
      </c>
      <c r="HV9" s="133" t="n">
        <f aca="false">IF(OR(HV$4="",$B9=""),0,SUMIF('DADOS BRUTOS'!$A$3:$A$500,$B9,'DADOS BRUTOS'!EV$3:EV$500)+IF($C9="",0,SUMIF('DADOS BRUTOS'!$A$3:$A$500,$C9,'DADOS BRUTOS'!EV$3:EV$500)))</f>
        <v>0</v>
      </c>
      <c r="HW9" s="133" t="n">
        <f aca="false">IF(OR(HW$4="",$B9=""),0,SUMIF('DADOS BRUTOS'!$A$3:$A$500,$B9,'DADOS BRUTOS'!EW$3:EW$500)+IF($C9="",0,SUMIF('DADOS BRUTOS'!$A$3:$A$500,$C9,'DADOS BRUTOS'!EW$3:EW$500)))</f>
        <v>0</v>
      </c>
      <c r="HX9" s="133" t="n">
        <f aca="false">IF(OR(HX$4="",$B9=""),0,SUMIF('DADOS BRUTOS'!$A$3:$A$500,$B9,'DADOS BRUTOS'!EX$3:EX$500)+IF($C9="",0,SUMIF('DADOS BRUTOS'!$A$3:$A$500,$C9,'DADOS BRUTOS'!EX$3:EX$500)))</f>
        <v>0</v>
      </c>
      <c r="HY9" s="133" t="n">
        <f aca="false">IF(OR(HY$4="",$B9=""),0,SUMIF('DADOS BRUTOS'!$A$3:$A$500,$B9,'DADOS BRUTOS'!EY$3:EY$500)+IF($C9="",0,SUMIF('DADOS BRUTOS'!$A$3:$A$500,$C9,'DADOS BRUTOS'!EY$3:EY$500)))</f>
        <v>0</v>
      </c>
      <c r="HZ9" s="133" t="n">
        <f aca="false">IF(OR(HZ$4="",$B9=""),0,SUMIF('DADOS BRUTOS'!$A$3:$A$500,$B9,'DADOS BRUTOS'!EZ$3:EZ$500)+IF($C9="",0,SUMIF('DADOS BRUTOS'!$A$3:$A$500,$C9,'DADOS BRUTOS'!EZ$3:EZ$500)))</f>
        <v>0</v>
      </c>
      <c r="IA9" s="133" t="n">
        <f aca="false">IF(OR(IA$4="",$B9=""),0,SUMIF('DADOS BRUTOS'!$A$3:$A$500,$B9,'DADOS BRUTOS'!FA$3:FA$500)+IF($C9="",0,SUMIF('DADOS BRUTOS'!$A$3:$A$500,$C9,'DADOS BRUTOS'!FA$3:FA$500)))</f>
        <v>0</v>
      </c>
      <c r="IB9" s="133" t="n">
        <f aca="false">IF(OR(IB$4="",$B9=""),0,SUMIF('DADOS BRUTOS'!$A$3:$A$500,$B9,'DADOS BRUTOS'!FB$3:FB$500)+IF($C9="",0,SUMIF('DADOS BRUTOS'!$A$3:$A$500,$C9,'DADOS BRUTOS'!FB$3:FB$500)))</f>
        <v>0</v>
      </c>
      <c r="IC9" s="133" t="n">
        <f aca="false">IF(OR(IC$4="",$B9=""),0,SUMIF('DADOS BRUTOS'!$A$3:$A$500,$B9,'DADOS BRUTOS'!FC$3:FC$500)+IF($C9="",0,SUMIF('DADOS BRUTOS'!$A$3:$A$500,$C9,'DADOS BRUTOS'!FC$3:FC$500)))</f>
        <v>0</v>
      </c>
      <c r="ID9" s="133" t="n">
        <f aca="false">IF(OR(ID$4="",$B9=""),0,SUMIF('DADOS BRUTOS'!$A$3:$A$500,$B9,'DADOS BRUTOS'!FD$3:FD$500)+IF($C9="",0,SUMIF('DADOS BRUTOS'!$A$3:$A$500,$C9,'DADOS BRUTOS'!FD$3:FD$500)))</f>
        <v>0</v>
      </c>
      <c r="IE9" s="133" t="n">
        <f aca="false">IF(OR(IE$4="",$B9=""),0,SUMIF('DADOS BRUTOS'!$A$3:$A$500,$B9,'DADOS BRUTOS'!FE$3:FE$500)+IF($C9="",0,SUMIF('DADOS BRUTOS'!$A$3:$A$500,$C9,'DADOS BRUTOS'!FE$3:FE$500)))</f>
        <v>0</v>
      </c>
      <c r="IF9" s="133" t="n">
        <f aca="false">IF(OR(IF$4="",$B9=""),0,SUMIF('DADOS BRUTOS'!$A$3:$A$500,$B9,'DADOS BRUTOS'!FF$3:FF$500)+IF($C9="",0,SUMIF('DADOS BRUTOS'!$A$3:$A$500,$C9,'DADOS BRUTOS'!FF$3:FF$500)))</f>
        <v>0</v>
      </c>
      <c r="IG9" s="133" t="n">
        <f aca="false">IF(OR(IG$4="",$B9=""),0,SUMIF('DADOS BRUTOS'!$A$3:$A$500,$B9,'DADOS BRUTOS'!FG$3:FG$500)+IF($C9="",0,SUMIF('DADOS BRUTOS'!$A$3:$A$500,$C9,'DADOS BRUTOS'!FG$3:FG$500)))</f>
        <v>0</v>
      </c>
      <c r="IH9" s="133" t="n">
        <f aca="false">IF(OR(IH$4="",$B9=""),0,SUMIF('DADOS BRUTOS'!$A$3:$A$500,$B9,'DADOS BRUTOS'!FH$3:FH$500)+IF($C9="",0,SUMIF('DADOS BRUTOS'!$A$3:$A$500,$C9,'DADOS BRUTOS'!FH$3:FH$500)))</f>
        <v>0</v>
      </c>
      <c r="II9" s="133" t="n">
        <f aca="false">IF(OR(II$4="",$B9=""),0,SUMIF('DADOS BRUTOS'!$A$3:$A$500,$B9,'DADOS BRUTOS'!FI$3:FI$500)+IF($C9="",0,SUMIF('DADOS BRUTOS'!$A$3:$A$500,$C9,'DADOS BRUTOS'!FI$3:FI$500)))</f>
        <v>0</v>
      </c>
      <c r="IJ9" s="133" t="n">
        <f aca="false">IF(OR(IJ$4="",$B9=""),0,SUMIF('DADOS BRUTOS'!$A$3:$A$500,$B9,'DADOS BRUTOS'!FJ$3:FJ$500)+IF($C9="",0,SUMIF('DADOS BRUTOS'!$A$3:$A$500,$C9,'DADOS BRUTOS'!FJ$3:FJ$500)))</f>
        <v>0</v>
      </c>
      <c r="IK9" s="133" t="n">
        <f aca="false">IF(OR(IK$4="",$B9=""),0,SUMIF('DADOS BRUTOS'!$A$3:$A$500,$B9,'DADOS BRUTOS'!FK$3:FK$500)+IF($C9="",0,SUMIF('DADOS BRUTOS'!$A$3:$A$500,$C9,'DADOS BRUTOS'!FK$3:FK$500)))</f>
        <v>0</v>
      </c>
      <c r="IL9" s="133" t="n">
        <f aca="false">IF(OR(IL$4="",$B9=""),0,SUMIF('DADOS BRUTOS'!$A$3:$A$500,$B9,'DADOS BRUTOS'!FL$3:FL$500)+IF($C9="",0,SUMIF('DADOS BRUTOS'!$A$3:$A$500,$C9,'DADOS BRUTOS'!FL$3:FL$500)))</f>
        <v>0</v>
      </c>
      <c r="IM9" s="133" t="n">
        <f aca="false">IF(OR(IM$4="",$B9=""),0,SUMIF('DADOS BRUTOS'!$A$3:$A$500,$B9,'DADOS BRUTOS'!FM$3:FM$500)+IF($C9="",0,SUMIF('DADOS BRUTOS'!$A$3:$A$500,$C9,'DADOS BRUTOS'!FM$3:FM$500)))</f>
        <v>0</v>
      </c>
      <c r="IN9" s="133" t="n">
        <f aca="false">IF(OR(IN$4="",$B9=""),0,SUMIF('DADOS BRUTOS'!$A$3:$A$500,$B9,'DADOS BRUTOS'!FN$3:FN$500)+IF($C9="",0,SUMIF('DADOS BRUTOS'!$A$3:$A$500,$C9,'DADOS BRUTOS'!FN$3:FN$500)))</f>
        <v>0</v>
      </c>
      <c r="IO9" s="133" t="n">
        <f aca="false">IF(OR(IO$4="",$B9=""),0,SUMIF('DADOS BRUTOS'!$A$3:$A$500,$B9,'DADOS BRUTOS'!FO$3:FO$500)+IF($C9="",0,SUMIF('DADOS BRUTOS'!$A$3:$A$500,$C9,'DADOS BRUTOS'!FO$3:FO$500)))</f>
        <v>0</v>
      </c>
      <c r="IP9" s="133" t="n">
        <f aca="false">IF(OR(IP$4="",$B9=""),0,SUMIF('DADOS BRUTOS'!$A$3:$A$500,$B9,'DADOS BRUTOS'!FP$3:FP$500)+IF($C9="",0,SUMIF('DADOS BRUTOS'!$A$3:$A$500,$C9,'DADOS BRUTOS'!FP$3:FP$500)))</f>
        <v>0</v>
      </c>
      <c r="IQ9" s="133" t="n">
        <f aca="false">IF(OR(IQ$4="",$B9=""),0,SUMIF('DADOS BRUTOS'!$A$3:$A$500,$B9,'DADOS BRUTOS'!FQ$3:FQ$500)+IF($C9="",0,SUMIF('DADOS BRUTOS'!$A$3:$A$500,$C9,'DADOS BRUTOS'!FQ$3:FQ$500)))</f>
        <v>0</v>
      </c>
      <c r="IR9" s="133" t="n">
        <f aca="false">IF(OR(IR$4="",$B9=""),0,SUMIF('DADOS BRUTOS'!$A$3:$A$500,$B9,'DADOS BRUTOS'!FR$3:FR$500)+IF($C9="",0,SUMIF('DADOS BRUTOS'!$A$3:$A$500,$C9,'DADOS BRUTOS'!FR$3:FR$500)))</f>
        <v>0</v>
      </c>
      <c r="IS9" s="133" t="n">
        <f aca="false">IF(OR(IS$4="",$B9=""),0,SUMIF('DADOS BRUTOS'!$A$3:$A$500,$B9,'DADOS BRUTOS'!FS$3:FS$500)+IF($C9="",0,SUMIF('DADOS BRUTOS'!$A$3:$A$500,$C9,'DADOS BRUTOS'!FS$3:FS$500)))</f>
        <v>0</v>
      </c>
      <c r="IT9" s="133" t="n">
        <f aca="false">IF(OR(IT$4="",$B9=""),0,SUMIF('DADOS BRUTOS'!$A$3:$A$500,$B9,'DADOS BRUTOS'!FT$3:FT$500)+IF($C9="",0,SUMIF('DADOS BRUTOS'!$A$3:$A$500,$C9,'DADOS BRUTOS'!FT$3:FT$500)))</f>
        <v>0</v>
      </c>
      <c r="IU9" s="133" t="n">
        <f aca="false">IF(OR(IU$4="",$B9=""),0,SUMIF('DADOS BRUTOS'!$A$3:$A$500,$B9,'DADOS BRUTOS'!FU$3:FU$500)+IF($C9="",0,SUMIF('DADOS BRUTOS'!$A$3:$A$500,$C9,'DADOS BRUTOS'!FU$3:FU$500)))</f>
        <v>0</v>
      </c>
      <c r="IV9" s="133" t="n">
        <f aca="false">IF(OR(IV$4="",$B9=""),0,SUMIF('DADOS BRUTOS'!$A$3:$A$500,$B9,'DADOS BRUTOS'!FV$3:FV$500)+IF($C9="",0,SUMIF('DADOS BRUTOS'!$A$3:$A$500,$C9,'DADOS BRUTOS'!FV$3:FV$500)))</f>
        <v>0</v>
      </c>
      <c r="IW9" s="133" t="n">
        <f aca="false">IF(OR(IW$4="",$B9=""),0,SUMIF('DADOS BRUTOS'!$A$3:$A$500,$B9,'DADOS BRUTOS'!FW$3:FW$500)+IF($C9="",0,SUMIF('DADOS BRUTOS'!$A$3:$A$500,$C9,'DADOS BRUTOS'!FW$3:FW$500)))</f>
        <v>0</v>
      </c>
      <c r="IX9" s="133" t="n">
        <f aca="false">IF(OR(IX$4="",$B9=""),0,SUMIF('DADOS BRUTOS'!$A$3:$A$500,$B9,'DADOS BRUTOS'!FX$3:FX$500)+IF($C9="",0,SUMIF('DADOS BRUTOS'!$A$3:$A$500,$C9,'DADOS BRUTOS'!FX$3:FX$500)))</f>
        <v>0</v>
      </c>
      <c r="IY9" s="133" t="n">
        <f aca="false">IF(OR(IY$4="",$B9=""),0,SUMIF('DADOS BRUTOS'!$A$3:$A$500,$B9,'DADOS BRUTOS'!FY$3:FY$500)+IF($C9="",0,SUMIF('DADOS BRUTOS'!$A$3:$A$500,$C9,'DADOS BRUTOS'!FY$3:FY$500)))</f>
        <v>0</v>
      </c>
      <c r="IZ9" s="133" t="n">
        <f aca="false">IF(OR(IZ$4="",$B9=""),0,SUMIF('DADOS BRUTOS'!$A$3:$A$500,$B9,'DADOS BRUTOS'!FZ$3:FZ$500)+IF($C9="",0,SUMIF('DADOS BRUTOS'!$A$3:$A$500,$C9,'DADOS BRUTOS'!FZ$3:FZ$500)))</f>
        <v>0</v>
      </c>
      <c r="JA9" s="133" t="n">
        <f aca="false">IF(OR(JA$4="",$B9=""),0,SUMIF('DADOS BRUTOS'!$A$3:$A$500,$B9,'DADOS BRUTOS'!GA$3:GA$500)+IF($C9="",0,SUMIF('DADOS BRUTOS'!$A$3:$A$500,$C9,'DADOS BRUTOS'!GA$3:GA$500)))</f>
        <v>0</v>
      </c>
      <c r="JB9" s="133" t="n">
        <f aca="false">IF(OR(JB$4="",$B9=""),0,SUMIF('DADOS BRUTOS'!$A$3:$A$500,$B9,'DADOS BRUTOS'!GB$3:GB$500)+IF($C9="",0,SUMIF('DADOS BRUTOS'!$A$3:$A$500,$C9,'DADOS BRUTOS'!GB$3:GB$500)))</f>
        <v>0</v>
      </c>
      <c r="JC9" s="133" t="n">
        <f aca="false">IF(OR(JC$4="",$B9=""),0,SUMIF('DADOS BRUTOS'!$A$3:$A$500,$B9,'DADOS BRUTOS'!GC$3:GC$500)+IF($C9="",0,SUMIF('DADOS BRUTOS'!$A$3:$A$500,$C9,'DADOS BRUTOS'!GC$3:GC$500)))</f>
        <v>0</v>
      </c>
      <c r="JD9" s="133" t="n">
        <f aca="false">IF(OR(JD$4="",$B9=""),0,SUMIF('DADOS BRUTOS'!$A$3:$A$500,$B9,'DADOS BRUTOS'!GD$3:GD$500)+IF($C9="",0,SUMIF('DADOS BRUTOS'!$A$3:$A$500,$C9,'DADOS BRUTOS'!GD$3:GD$500)))</f>
        <v>0</v>
      </c>
      <c r="JE9" s="133" t="n">
        <f aca="false">IF(OR(JE$4="",$B9=""),0,SUMIF('DADOS BRUTOS'!$A$3:$A$500,$B9,'DADOS BRUTOS'!GE$3:GE$500)+IF($C9="",0,SUMIF('DADOS BRUTOS'!$A$3:$A$500,$C9,'DADOS BRUTOS'!GE$3:GE$500)))</f>
        <v>0</v>
      </c>
      <c r="JF9" s="133" t="n">
        <f aca="false">IF(OR(JF$4="",$B9=""),0,SUMIF('DADOS BRUTOS'!$A$3:$A$500,$B9,'DADOS BRUTOS'!GF$3:GF$500)+IF($C9="",0,SUMIF('DADOS BRUTOS'!$A$3:$A$500,$C9,'DADOS BRUTOS'!GF$3:GF$500)))</f>
        <v>0</v>
      </c>
      <c r="JG9" s="133" t="n">
        <f aca="false">IF(OR(JG$4="",$B9=""),0,SUMIF('DADOS BRUTOS'!$A$3:$A$500,$B9,'DADOS BRUTOS'!GG$3:GG$500)+IF($C9="",0,SUMIF('DADOS BRUTOS'!$A$3:$A$500,$C9,'DADOS BRUTOS'!GG$3:GG$500)))</f>
        <v>0</v>
      </c>
      <c r="JH9" s="133" t="n">
        <f aca="false">IF(OR(JH$4="",$B9=""),0,SUMIF('DADOS BRUTOS'!$A$3:$A$500,$B9,'DADOS BRUTOS'!GH$3:GH$500)+IF($C9="",0,SUMIF('DADOS BRUTOS'!$A$3:$A$500,$C9,'DADOS BRUTOS'!GH$3:GH$500)))</f>
        <v>0</v>
      </c>
      <c r="JI9" s="133" t="n">
        <f aca="false">IF(OR(JI$4="",$B9=""),0,SUMIF('DADOS BRUTOS'!$A$3:$A$500,$B9,'DADOS BRUTOS'!GI$3:GI$500)+IF($C9="",0,SUMIF('DADOS BRUTOS'!$A$3:$A$500,$C9,'DADOS BRUTOS'!GI$3:GI$500)))</f>
        <v>0</v>
      </c>
      <c r="JJ9" s="133" t="n">
        <f aca="false">IF(OR(JJ$4="",$B9=""),0,SUMIF('DADOS BRUTOS'!$A$3:$A$500,$B9,'DADOS BRUTOS'!GJ$3:GJ$500)+IF($C9="",0,SUMIF('DADOS BRUTOS'!$A$3:$A$500,$C9,'DADOS BRUTOS'!GJ$3:GJ$500)))</f>
        <v>0</v>
      </c>
      <c r="JK9" s="133" t="n">
        <f aca="false">IF(OR(JK$4="",$B9=""),0,SUMIF('DADOS BRUTOS'!$A$3:$A$500,$B9,'DADOS BRUTOS'!GK$3:GK$500)+IF($C9="",0,SUMIF('DADOS BRUTOS'!$A$3:$A$500,$C9,'DADOS BRUTOS'!GK$3:GK$500)))</f>
        <v>0</v>
      </c>
      <c r="JL9" s="133" t="n">
        <f aca="false">IF(OR(JL$4="",$B9=""),0,SUMIF('DADOS BRUTOS'!$A$3:$A$500,$B9,'DADOS BRUTOS'!GL$3:GL$500)+IF($C9="",0,SUMIF('DADOS BRUTOS'!$A$3:$A$500,$C9,'DADOS BRUTOS'!GL$3:GL$500)))</f>
        <v>0</v>
      </c>
      <c r="JM9" s="133" t="n">
        <f aca="false">IF(OR(JM$4="",$B9=""),0,SUMIF('DADOS BRUTOS'!$A$3:$A$500,$B9,'DADOS BRUTOS'!GM$3:GM$500)+IF($C9="",0,SUMIF('DADOS BRUTOS'!$A$3:$A$500,$C9,'DADOS BRUTOS'!GM$3:GM$500)))</f>
        <v>0</v>
      </c>
      <c r="JN9" s="133" t="n">
        <f aca="false">IF(OR(JN$4="",$B9=""),0,SUMIF('DADOS BRUTOS'!$A$3:$A$500,$B9,'DADOS BRUTOS'!GN$3:GN$500)+IF($C9="",0,SUMIF('DADOS BRUTOS'!$A$3:$A$500,$C9,'DADOS BRUTOS'!GN$3:GN$500)))</f>
        <v>0</v>
      </c>
      <c r="JO9" s="133" t="n">
        <f aca="false">IF(OR(JO$4="",$B9=""),0,SUMIF('DADOS BRUTOS'!$A$3:$A$500,$B9,'DADOS BRUTOS'!GO$3:GO$500)+IF($C9="",0,SUMIF('DADOS BRUTOS'!$A$3:$A$500,$C9,'DADOS BRUTOS'!GO$3:GO$500)))</f>
        <v>0</v>
      </c>
      <c r="JP9" s="133" t="n">
        <f aca="false">IF(OR(JP$4="",$B9=""),0,SUMIF('DADOS BRUTOS'!$A$3:$A$500,$B9,'DADOS BRUTOS'!GP$3:GP$500)+IF($C9="",0,SUMIF('DADOS BRUTOS'!$A$3:$A$500,$C9,'DADOS BRUTOS'!GP$3:GP$500)))</f>
        <v>0</v>
      </c>
      <c r="JQ9" s="133" t="n">
        <f aca="false">IF(OR(JQ$4="",$B9=""),0,SUMIF('DADOS BRUTOS'!$A$3:$A$500,$B9,'DADOS BRUTOS'!GQ$3:GQ$500)+IF($C9="",0,SUMIF('DADOS BRUTOS'!$A$3:$A$500,$C9,'DADOS BRUTOS'!GQ$3:GQ$500)))</f>
        <v>0</v>
      </c>
      <c r="JR9" s="133" t="n">
        <f aca="false">IF(OR(JR$4="",$B9=""),0,SUMIF('DADOS BRUTOS'!$A$3:$A$500,$B9,'DADOS BRUTOS'!GR$3:GR$500)+IF($C9="",0,SUMIF('DADOS BRUTOS'!$A$3:$A$500,$C9,'DADOS BRUTOS'!GR$3:GR$500)))</f>
        <v>0</v>
      </c>
      <c r="JS9" s="133" t="n">
        <f aca="false">IF(OR(JS$4="",$B9=""),0,SUMIF('DADOS BRUTOS'!$A$3:$A$500,$B9,'DADOS BRUTOS'!GS$3:GS$500)+IF($C9="",0,SUMIF('DADOS BRUTOS'!$A$3:$A$500,$C9,'DADOS BRUTOS'!GS$3:GS$500)))</f>
        <v>0</v>
      </c>
    </row>
    <row r="10" customFormat="false" ht="15" hidden="false" customHeight="false" outlineLevel="0" collapsed="false">
      <c r="A10" s="57" t="str">
        <f aca="false">'VALOR POR PL'!D16</f>
        <v>CONSUMO DE ÁGUA, ENERGIA, ETC.</v>
      </c>
      <c r="B10" s="55" t="s">
        <v>70</v>
      </c>
      <c r="C10" s="55"/>
      <c r="D10" s="50" t="n">
        <f aca="false">SUMIF($CB$4:$JS$4,"&lt;="&amp;D$4,$CB10:$JS10)</f>
        <v>0</v>
      </c>
      <c r="E10" s="50" t="n">
        <f aca="false">SUMIF($CB$4:$JS$4,E$4,$CB10:$JS10)</f>
        <v>0</v>
      </c>
      <c r="F10" s="50" t="n">
        <f aca="false">SUMIF($CB$4:$JS$4,F$4,$CB10:$JS10)</f>
        <v>0</v>
      </c>
      <c r="G10" s="50" t="n">
        <f aca="false">SUMIF($CB$4:$JS$4,G$4,$CB10:$JS10)</f>
        <v>0</v>
      </c>
      <c r="H10" s="50" t="n">
        <f aca="false">SUMIF($CB$4:$JS$4,H$4,$CB10:$JS10)</f>
        <v>0</v>
      </c>
      <c r="I10" s="50" t="n">
        <f aca="false">SUMIF($CB$4:$JS$4,I$4,$CB10:$JS10)</f>
        <v>0</v>
      </c>
      <c r="J10" s="50" t="n">
        <f aca="false">SUMIF($CB$4:$JS$4,J$4,$CB10:$JS10)</f>
        <v>0</v>
      </c>
      <c r="K10" s="50" t="n">
        <f aca="false">SUMIF($CB$4:$JS$4,K$4,$CB10:$JS10)</f>
        <v>0</v>
      </c>
      <c r="L10" s="50" t="n">
        <f aca="false">SUMIF($CB$4:$JS$4,L$4,$CB10:$JS10)</f>
        <v>0</v>
      </c>
      <c r="M10" s="50" t="n">
        <f aca="false">SUMIF($CB$4:$JS$4,M$4,$CB10:$JS10)</f>
        <v>0</v>
      </c>
      <c r="N10" s="50" t="n">
        <f aca="false">SUMIF($CB$4:$JS$4,N$4,$CB10:$JS10)</f>
        <v>451.95</v>
      </c>
      <c r="O10" s="50" t="n">
        <f aca="false">SUMIF($CB$4:$JS$4,O$4,$CB10:$JS10)</f>
        <v>2796.26</v>
      </c>
      <c r="P10" s="50" t="n">
        <f aca="false">SUMIF($CB$4:$JS$4,P$4,$CB10:$JS10)</f>
        <v>159.9</v>
      </c>
      <c r="Q10" s="50" t="n">
        <f aca="false">SUMIF($CB$4:$JS$4,Q$4,$CB10:$JS10)</f>
        <v>2417.06</v>
      </c>
      <c r="R10" s="50" t="n">
        <f aca="false">SUMIF($CB$4:$JS$4,R$4,$CB10:$JS10)</f>
        <v>1957.61</v>
      </c>
      <c r="S10" s="50" t="n">
        <f aca="false">SUMIF($CB$4:$JS$4,S$4,$CB10:$JS10)</f>
        <v>2936.03</v>
      </c>
      <c r="T10" s="50" t="n">
        <f aca="false">SUMIF($CB$4:$JS$4,T$4,$CB10:$JS10)</f>
        <v>1594.43</v>
      </c>
      <c r="U10" s="50" t="n">
        <f aca="false">SUMIF($CB$4:$JS$4,U$4,$CB10:$JS10)</f>
        <v>6339.97</v>
      </c>
      <c r="V10" s="50" t="n">
        <f aca="false">SUMIF($CB$4:$JS$4,V$4,$CB10:$JS10)</f>
        <v>2360.61</v>
      </c>
      <c r="W10" s="50" t="n">
        <f aca="false">SUMIF($CB$4:$JS$4,W$4,$CB10:$JS10)</f>
        <v>4502.73</v>
      </c>
      <c r="X10" s="50" t="n">
        <f aca="false">SUMIF($CB$4:$JS$4,X$4,$CB10:$JS10)</f>
        <v>10541.48</v>
      </c>
      <c r="Y10" s="50" t="n">
        <f aca="false">SUMIF($CB$4:$JS$4,Y$4,$CB10:$JS10)</f>
        <v>3836.72</v>
      </c>
      <c r="Z10" s="50" t="n">
        <f aca="false">SUMIF($CB$4:$JS$4,Z$4,$CB10:$JS10)</f>
        <v>2339.05</v>
      </c>
      <c r="AA10" s="50" t="n">
        <f aca="false">SUMIF($CB$4:$JS$4,AA$4,$CB10:$JS10)</f>
        <v>159.9</v>
      </c>
      <c r="AB10" s="50" t="n">
        <f aca="false">SUMIF($CB$4:$JS$4,AB$4,$CB10:$JS10)</f>
        <v>159.9</v>
      </c>
      <c r="AC10" s="50" t="n">
        <f aca="false">SUMIF($CB$4:$JS$4,AC$4,$CB10:$JS10)</f>
        <v>159.9</v>
      </c>
      <c r="AD10" s="50" t="n">
        <f aca="false">SUMIF($CB$4:$JS$4,AD$4,$CB10:$JS10)</f>
        <v>159.9</v>
      </c>
      <c r="AE10" s="50" t="n">
        <f aca="false">SUMIF($CB$4:$JS$4,AE$4,$CB10:$JS10)</f>
        <v>159.9</v>
      </c>
      <c r="AF10" s="50" t="n">
        <f aca="false">SUMIF($CB$4:$JS$4,AF$4,$CB10:$JS10)</f>
        <v>159.9</v>
      </c>
      <c r="AG10" s="50" t="n">
        <f aca="false">SUMIF($CB$4:$JS$4,AG$4,$CB10:$JS10)</f>
        <v>159.9</v>
      </c>
      <c r="AH10" s="50" t="n">
        <f aca="false">SUMIF($CB$4:$JS$4,AH$4,$CB10:$JS10)</f>
        <v>159.9</v>
      </c>
      <c r="AI10" s="50" t="n">
        <f aca="false">SUMIF($CB$4:$JS$4,AI$4,$CB10:$JS10)</f>
        <v>159.9</v>
      </c>
      <c r="AJ10" s="50" t="n">
        <f aca="false">SUMIF($CB$4:$JS$4,AJ$4,$CB10:$JS10)</f>
        <v>159.9</v>
      </c>
      <c r="AK10" s="50" t="n">
        <f aca="false">SUMIF($CB$4:$JS$4,AK$4,$CB10:$JS10)</f>
        <v>159.9</v>
      </c>
      <c r="AL10" s="50" t="n">
        <f aca="false">SUMIF($CB$4:$JS$4,AL$4,$CB10:$JS10)</f>
        <v>159.9</v>
      </c>
      <c r="AM10" s="50" t="n">
        <f aca="false">SUMIF($CB$4:$JS$4,AM$4,$CB10:$JS10)</f>
        <v>159.9</v>
      </c>
      <c r="AN10" s="50" t="n">
        <f aca="false">SUMIF($CB$4:$JS$4,AN$4,$CB10:$JS10)</f>
        <v>159.9</v>
      </c>
      <c r="AO10" s="50" t="n">
        <f aca="false">SUMIF($CB$4:$JS$4,AO$4,$CB10:$JS10)</f>
        <v>159.9</v>
      </c>
      <c r="AP10" s="50" t="n">
        <f aca="false">SUMIF($CB$4:$JS$4,AP$4,$CB10:$JS10)</f>
        <v>159.9</v>
      </c>
      <c r="AQ10" s="50" t="n">
        <f aca="false">SUMIF($CB$4:$JS$4,AQ$4,$CB10:$JS10)</f>
        <v>159.9</v>
      </c>
      <c r="AR10" s="50" t="n">
        <f aca="false">SUMIF($CB$4:$JS$4,AR$4,$CB10:$JS10)</f>
        <v>159.9</v>
      </c>
      <c r="AS10" s="50" t="n">
        <f aca="false">SUMIF($CB$4:$JS$4,AS$4,$CB10:$JS10)</f>
        <v>159.9</v>
      </c>
      <c r="AT10" s="50" t="n">
        <f aca="false">SUMIF($CB$4:$JS$4,AT$4,$CB10:$JS10)</f>
        <v>159.9</v>
      </c>
      <c r="AU10" s="50" t="n">
        <f aca="false">SUMIF($CB$4:$JS$4,AU$4,$CB10:$JS10)</f>
        <v>159.9</v>
      </c>
      <c r="AV10" s="50" t="n">
        <f aca="false">SUMIF($CB$4:$JS$4,AV$4,$CB10:$JS10)</f>
        <v>159.9</v>
      </c>
      <c r="AW10" s="50" t="n">
        <f aca="false">SUMIF($CB$4:$JS$4,AW$4,$CB10:$JS10)</f>
        <v>159.9</v>
      </c>
      <c r="AX10" s="50" t="n">
        <f aca="false">SUMIF($CB$4:$JS$4,AX$4,$CB10:$JS10)</f>
        <v>159.9</v>
      </c>
      <c r="AY10" s="50" t="n">
        <f aca="false">SUMIF($CB$4:$JS$4,AY$4,$CB10:$JS10)</f>
        <v>159.9</v>
      </c>
      <c r="AZ10" s="50" t="n">
        <f aca="false">SUMIF($CB$4:$JS$4,AZ$4,$CB10:$JS10)</f>
        <v>159.9</v>
      </c>
      <c r="BA10" s="50" t="n">
        <f aca="false">SUMIF($CB$4:$JS$4,BA$4,$CB10:$JS10)</f>
        <v>159.9</v>
      </c>
      <c r="BB10" s="50" t="n">
        <f aca="false">SUMIF($CB$4:$JS$4,BB$4,$CB10:$JS10)</f>
        <v>159.9</v>
      </c>
      <c r="BC10" s="50" t="n">
        <f aca="false">SUMIF($CB$4:$JS$4,BC$4,$CB10:$JS10)</f>
        <v>159.9</v>
      </c>
      <c r="BD10" s="50" t="n">
        <f aca="false">SUMIF($CB$4:$JS$4,BD$4,$CB10:$JS10)</f>
        <v>159.9</v>
      </c>
      <c r="BE10" s="50" t="n">
        <f aca="false">SUMIF($CB$4:$JS$4,BE$4,$CB10:$JS10)</f>
        <v>159.9</v>
      </c>
      <c r="BF10" s="50" t="n">
        <f aca="false">SUMIF($CB$4:$JS$4,BF$4,$CB10:$JS10)</f>
        <v>159.9</v>
      </c>
      <c r="BG10" s="50" t="n">
        <f aca="false">SUMIF($CB$4:$JS$4,BG$4,$CB10:$JS10)</f>
        <v>0</v>
      </c>
      <c r="BH10" s="50" t="n">
        <f aca="false">SUMIF($CB$4:$JS$4,BH$4,$CB10:$JS10)</f>
        <v>0</v>
      </c>
      <c r="BI10" s="50" t="n">
        <f aca="false">SUMIF($CB$4:$JS$4,BI$4,$CB10:$JS10)</f>
        <v>0</v>
      </c>
      <c r="BJ10" s="50" t="n">
        <f aca="false">SUMIF($CB$4:$JS$4,BJ$4,$CB10:$JS10)</f>
        <v>0</v>
      </c>
      <c r="BK10" s="50" t="n">
        <f aca="false">SUMIF($CB$4:$JS$4,BK$4,$CB10:$JS10)</f>
        <v>0</v>
      </c>
      <c r="BL10" s="50" t="n">
        <f aca="false">SUMIF($CB$4:$JS$4,BL$4,$CB10:$JS10)</f>
        <v>0</v>
      </c>
      <c r="BM10" s="50" t="n">
        <f aca="false">SUMIF($CB$4:$JS$4,BM$4,$CB10:$JS10)</f>
        <v>0</v>
      </c>
      <c r="BN10" s="50" t="n">
        <f aca="false">SUMIF($CB$4:$JS$4,BN$4,$CB10:$JS10)</f>
        <v>0</v>
      </c>
      <c r="BO10" s="50" t="n">
        <f aca="false">SUMIF($CB$4:$JS$4,BO$4,$CB10:$JS10)</f>
        <v>0</v>
      </c>
      <c r="BP10" s="50" t="n">
        <f aca="false">SUMIF($CB$4:$JS$4,BP$4,$CB10:$JS10)</f>
        <v>0</v>
      </c>
      <c r="BQ10" s="50" t="n">
        <f aca="false">SUMIF($CB$4:$JS$4,BQ$4,$CB10:$JS10)</f>
        <v>0</v>
      </c>
      <c r="BR10" s="50" t="n">
        <f aca="false">SUMIF($CB$4:$JS$4,BR$4,$CB10:$JS10)</f>
        <v>0</v>
      </c>
      <c r="BS10" s="50" t="n">
        <f aca="false">SUMIF($CB$4:$JS$4,BS$4,$CB10:$JS10)</f>
        <v>0</v>
      </c>
      <c r="BT10" s="50" t="n">
        <f aca="false">SUMIF($CB$4:$JS$4,BT$4,$CB10:$JS10)</f>
        <v>0</v>
      </c>
      <c r="BU10" s="50" t="n">
        <f aca="false">SUMIF($CB$4:$JS$4,BU$4,$CB10:$JS10)</f>
        <v>0</v>
      </c>
      <c r="BV10" s="50" t="n">
        <f aca="false">SUMIF($CB$4:$JS$4,BV$4,$CB10:$JS10)</f>
        <v>0</v>
      </c>
      <c r="BW10" s="50" t="n">
        <f aca="false">SUMIF($CB$4:$JS$4,BW$4,$CB10:$JS10)</f>
        <v>0</v>
      </c>
      <c r="BX10" s="50" t="n">
        <f aca="false">SUMIF($CB$4:$JS$4,"&gt;"&amp;'VALOR POR PL'!$P$8,$CB10:$JS10)</f>
        <v>0</v>
      </c>
      <c r="BY10" s="50" t="n">
        <f aca="false">SUM($CB10:$JS10)</f>
        <v>47350.6</v>
      </c>
      <c r="BZ10" s="45" t="n">
        <f aca="false">SUMPRODUCT(($CB$4:$JS$4&lt;&gt;"")*($CB$4:$JS$4&lt;=$D$4),$CB10:$JS10,$CB$1:$JS$1)</f>
        <v>0</v>
      </c>
      <c r="CB10" s="133" t="n">
        <f aca="false">IF(OR(CB$4="",$B10=""),0,SUMIF('DADOS BRUTOS'!$A$3:$A$500,$B10,'DADOS BRUTOS'!B$3:B$500)+IF($C10="",0,SUMIF('DADOS BRUTOS'!$A$3:$A$500,$C10,'DADOS BRUTOS'!B$3:B$500)))</f>
        <v>0</v>
      </c>
      <c r="CC10" s="133" t="n">
        <f aca="false">IF(OR(CC$4="",$B10=""),0,SUMIF('DADOS BRUTOS'!$A$3:$A$500,$B10,'DADOS BRUTOS'!C$3:C$500)+IF($C10="",0,SUMIF('DADOS BRUTOS'!$A$3:$A$500,$C10,'DADOS BRUTOS'!C$3:C$500)))</f>
        <v>0</v>
      </c>
      <c r="CD10" s="133" t="n">
        <f aca="false">IF(OR(CD$4="",$B10=""),0,SUMIF('DADOS BRUTOS'!$A$3:$A$500,$B10,'DADOS BRUTOS'!D$3:D$500)+IF($C10="",0,SUMIF('DADOS BRUTOS'!$A$3:$A$500,$C10,'DADOS BRUTOS'!D$3:D$500)))</f>
        <v>0</v>
      </c>
      <c r="CE10" s="133" t="n">
        <f aca="false">IF(OR(CE$4="",$B10=""),0,SUMIF('DADOS BRUTOS'!$A$3:$A$500,$B10,'DADOS BRUTOS'!E$3:E$500)+IF($C10="",0,SUMIF('DADOS BRUTOS'!$A$3:$A$500,$C10,'DADOS BRUTOS'!E$3:E$500)))</f>
        <v>0</v>
      </c>
      <c r="CF10" s="133" t="n">
        <f aca="false">IF(OR(CF$4="",$B10=""),0,SUMIF('DADOS BRUTOS'!$A$3:$A$500,$B10,'DADOS BRUTOS'!F$3:F$500)+IF($C10="",0,SUMIF('DADOS BRUTOS'!$A$3:$A$500,$C10,'DADOS BRUTOS'!F$3:F$500)))</f>
        <v>0</v>
      </c>
      <c r="CG10" s="133" t="n">
        <f aca="false">IF(OR(CG$4="",$B10=""),0,SUMIF('DADOS BRUTOS'!$A$3:$A$500,$B10,'DADOS BRUTOS'!G$3:G$500)+IF($C10="",0,SUMIF('DADOS BRUTOS'!$A$3:$A$500,$C10,'DADOS BRUTOS'!G$3:G$500)))</f>
        <v>0</v>
      </c>
      <c r="CH10" s="133" t="n">
        <f aca="false">IF(OR(CH$4="",$B10=""),0,SUMIF('DADOS BRUTOS'!$A$3:$A$500,$B10,'DADOS BRUTOS'!H$3:H$500)+IF($C10="",0,SUMIF('DADOS BRUTOS'!$A$3:$A$500,$C10,'DADOS BRUTOS'!H$3:H$500)))</f>
        <v>0</v>
      </c>
      <c r="CI10" s="133" t="n">
        <f aca="false">IF(OR(CI$4="",$B10=""),0,SUMIF('DADOS BRUTOS'!$A$3:$A$500,$B10,'DADOS BRUTOS'!I$3:I$500)+IF($C10="",0,SUMIF('DADOS BRUTOS'!$A$3:$A$500,$C10,'DADOS BRUTOS'!I$3:I$500)))</f>
        <v>0</v>
      </c>
      <c r="CJ10" s="133" t="n">
        <f aca="false">IF(OR(CJ$4="",$B10=""),0,SUMIF('DADOS BRUTOS'!$A$3:$A$500,$B10,'DADOS BRUTOS'!J$3:J$500)+IF($C10="",0,SUMIF('DADOS BRUTOS'!$A$3:$A$500,$C10,'DADOS BRUTOS'!J$3:J$500)))</f>
        <v>0</v>
      </c>
      <c r="CK10" s="133" t="n">
        <f aca="false">IF(OR(CK$4="",$B10=""),0,SUMIF('DADOS BRUTOS'!$A$3:$A$500,$B10,'DADOS BRUTOS'!K$3:K$500)+IF($C10="",0,SUMIF('DADOS BRUTOS'!$A$3:$A$500,$C10,'DADOS BRUTOS'!K$3:K$500)))</f>
        <v>0</v>
      </c>
      <c r="CL10" s="133" t="n">
        <f aca="false">IF(OR(CL$4="",$B10=""),0,SUMIF('DADOS BRUTOS'!$A$3:$A$500,$B10,'DADOS BRUTOS'!L$3:L$500)+IF($C10="",0,SUMIF('DADOS BRUTOS'!$A$3:$A$500,$C10,'DADOS BRUTOS'!L$3:L$500)))</f>
        <v>0</v>
      </c>
      <c r="CM10" s="133" t="n">
        <f aca="false">IF(OR(CM$4="",$B10=""),0,SUMIF('DADOS BRUTOS'!$A$3:$A$500,$B10,'DADOS BRUTOS'!M$3:M$500)+IF($C10="",0,SUMIF('DADOS BRUTOS'!$A$3:$A$500,$C10,'DADOS BRUTOS'!M$3:M$500)))</f>
        <v>0</v>
      </c>
      <c r="CN10" s="133" t="n">
        <f aca="false">IF(OR(CN$4="",$B10=""),0,SUMIF('DADOS BRUTOS'!$A$3:$A$500,$B10,'DADOS BRUTOS'!N$3:N$500)+IF($C10="",0,SUMIF('DADOS BRUTOS'!$A$3:$A$500,$C10,'DADOS BRUTOS'!N$3:N$500)))</f>
        <v>0</v>
      </c>
      <c r="CO10" s="133" t="n">
        <f aca="false">IF(OR(CO$4="",$B10=""),0,SUMIF('DADOS BRUTOS'!$A$3:$A$500,$B10,'DADOS BRUTOS'!O$3:O$500)+IF($C10="",0,SUMIF('DADOS BRUTOS'!$A$3:$A$500,$C10,'DADOS BRUTOS'!O$3:O$500)))</f>
        <v>0</v>
      </c>
      <c r="CP10" s="133" t="n">
        <f aca="false">IF(OR(CP$4="",$B10=""),0,SUMIF('DADOS BRUTOS'!$A$3:$A$500,$B10,'DADOS BRUTOS'!P$3:P$500)+IF($C10="",0,SUMIF('DADOS BRUTOS'!$A$3:$A$500,$C10,'DADOS BRUTOS'!P$3:P$500)))</f>
        <v>0</v>
      </c>
      <c r="CQ10" s="133" t="n">
        <f aca="false">IF(OR(CQ$4="",$B10=""),0,SUMIF('DADOS BRUTOS'!$A$3:$A$500,$B10,'DADOS BRUTOS'!Q$3:Q$500)+IF($C10="",0,SUMIF('DADOS BRUTOS'!$A$3:$A$500,$C10,'DADOS BRUTOS'!Q$3:Q$500)))</f>
        <v>0</v>
      </c>
      <c r="CR10" s="133" t="n">
        <f aca="false">IF(OR(CR$4="",$B10=""),0,SUMIF('DADOS BRUTOS'!$A$3:$A$500,$B10,'DADOS BRUTOS'!R$3:R$500)+IF($C10="",0,SUMIF('DADOS BRUTOS'!$A$3:$A$500,$C10,'DADOS BRUTOS'!R$3:R$500)))</f>
        <v>0</v>
      </c>
      <c r="CS10" s="133" t="n">
        <f aca="false">IF(OR(CS$4="",$B10=""),0,SUMIF('DADOS BRUTOS'!$A$3:$A$500,$B10,'DADOS BRUTOS'!S$3:S$500)+IF($C10="",0,SUMIF('DADOS BRUTOS'!$A$3:$A$500,$C10,'DADOS BRUTOS'!S$3:S$500)))</f>
        <v>0</v>
      </c>
      <c r="CT10" s="133" t="n">
        <f aca="false">IF(OR(CT$4="",$B10=""),0,SUMIF('DADOS BRUTOS'!$A$3:$A$500,$B10,'DADOS BRUTOS'!T$3:T$500)+IF($C10="",0,SUMIF('DADOS BRUTOS'!$A$3:$A$500,$C10,'DADOS BRUTOS'!T$3:T$500)))</f>
        <v>0</v>
      </c>
      <c r="CU10" s="133" t="n">
        <f aca="false">IF(OR(CU$4="",$B10=""),0,SUMIF('DADOS BRUTOS'!$A$3:$A$500,$B10,'DADOS BRUTOS'!U$3:U$500)+IF($C10="",0,SUMIF('DADOS BRUTOS'!$A$3:$A$500,$C10,'DADOS BRUTOS'!U$3:U$500)))</f>
        <v>0</v>
      </c>
      <c r="CV10" s="133" t="n">
        <f aca="false">IF(OR(CV$4="",$B10=""),0,SUMIF('DADOS BRUTOS'!$A$3:$A$500,$B10,'DADOS BRUTOS'!V$3:V$500)+IF($C10="",0,SUMIF('DADOS BRUTOS'!$A$3:$A$500,$C10,'DADOS BRUTOS'!V$3:V$500)))</f>
        <v>0</v>
      </c>
      <c r="CW10" s="133" t="n">
        <f aca="false">IF(OR(CW$4="",$B10=""),0,SUMIF('DADOS BRUTOS'!$A$3:$A$500,$B10,'DADOS BRUTOS'!W$3:W$500)+IF($C10="",0,SUMIF('DADOS BRUTOS'!$A$3:$A$500,$C10,'DADOS BRUTOS'!W$3:W$500)))</f>
        <v>0</v>
      </c>
      <c r="CX10" s="133" t="n">
        <f aca="false">IF(OR(CX$4="",$B10=""),0,SUMIF('DADOS BRUTOS'!$A$3:$A$500,$B10,'DADOS BRUTOS'!X$3:X$500)+IF($C10="",0,SUMIF('DADOS BRUTOS'!$A$3:$A$500,$C10,'DADOS BRUTOS'!X$3:X$500)))</f>
        <v>451.95</v>
      </c>
      <c r="CY10" s="133" t="n">
        <f aca="false">IF(OR(CY$4="",$B10=""),0,SUMIF('DADOS BRUTOS'!$A$3:$A$500,$B10,'DADOS BRUTOS'!Y$3:Y$500)+IF($C10="",0,SUMIF('DADOS BRUTOS'!$A$3:$A$500,$C10,'DADOS BRUTOS'!Y$3:Y$500)))</f>
        <v>2796.26</v>
      </c>
      <c r="CZ10" s="133" t="n">
        <f aca="false">IF(OR(CZ$4="",$B10=""),0,SUMIF('DADOS BRUTOS'!$A$3:$A$500,$B10,'DADOS BRUTOS'!Z$3:Z$500)+IF($C10="",0,SUMIF('DADOS BRUTOS'!$A$3:$A$500,$C10,'DADOS BRUTOS'!Z$3:Z$500)))</f>
        <v>159.9</v>
      </c>
      <c r="DA10" s="133" t="n">
        <f aca="false">IF(OR(DA$4="",$B10=""),0,SUMIF('DADOS BRUTOS'!$A$3:$A$500,$B10,'DADOS BRUTOS'!AA$3:AA$500)+IF($C10="",0,SUMIF('DADOS BRUTOS'!$A$3:$A$500,$C10,'DADOS BRUTOS'!AA$3:AA$500)))</f>
        <v>2417.06</v>
      </c>
      <c r="DB10" s="133" t="n">
        <f aca="false">IF(OR(DB$4="",$B10=""),0,SUMIF('DADOS BRUTOS'!$A$3:$A$500,$B10,'DADOS BRUTOS'!AB$3:AB$500)+IF($C10="",0,SUMIF('DADOS BRUTOS'!$A$3:$A$500,$C10,'DADOS BRUTOS'!AB$3:AB$500)))</f>
        <v>1957.61</v>
      </c>
      <c r="DC10" s="133" t="n">
        <f aca="false">IF(OR(DC$4="",$B10=""),0,SUMIF('DADOS BRUTOS'!$A$3:$A$500,$B10,'DADOS BRUTOS'!AC$3:AC$500)+IF($C10="",0,SUMIF('DADOS BRUTOS'!$A$3:$A$500,$C10,'DADOS BRUTOS'!AC$3:AC$500)))</f>
        <v>2936.03</v>
      </c>
      <c r="DD10" s="133" t="n">
        <f aca="false">IF(OR(DD$4="",$B10=""),0,SUMIF('DADOS BRUTOS'!$A$3:$A$500,$B10,'DADOS BRUTOS'!AD$3:AD$500)+IF($C10="",0,SUMIF('DADOS BRUTOS'!$A$3:$A$500,$C10,'DADOS BRUTOS'!AD$3:AD$500)))</f>
        <v>1594.43</v>
      </c>
      <c r="DE10" s="133" t="n">
        <f aca="false">IF(OR(DE$4="",$B10=""),0,SUMIF('DADOS BRUTOS'!$A$3:$A$500,$B10,'DADOS BRUTOS'!AE$3:AE$500)+IF($C10="",0,SUMIF('DADOS BRUTOS'!$A$3:$A$500,$C10,'DADOS BRUTOS'!AE$3:AE$500)))</f>
        <v>6339.97</v>
      </c>
      <c r="DF10" s="133" t="n">
        <f aca="false">IF(OR(DF$4="",$B10=""),0,SUMIF('DADOS BRUTOS'!$A$3:$A$500,$B10,'DADOS BRUTOS'!AF$3:AF$500)+IF($C10="",0,SUMIF('DADOS BRUTOS'!$A$3:$A$500,$C10,'DADOS BRUTOS'!AF$3:AF$500)))</f>
        <v>2360.61</v>
      </c>
      <c r="DG10" s="133" t="n">
        <f aca="false">IF(OR(DG$4="",$B10=""),0,SUMIF('DADOS BRUTOS'!$A$3:$A$500,$B10,'DADOS BRUTOS'!AG$3:AG$500)+IF($C10="",0,SUMIF('DADOS BRUTOS'!$A$3:$A$500,$C10,'DADOS BRUTOS'!AG$3:AG$500)))</f>
        <v>4502.73</v>
      </c>
      <c r="DH10" s="133" t="n">
        <f aca="false">IF(OR(DH$4="",$B10=""),0,SUMIF('DADOS BRUTOS'!$A$3:$A$500,$B10,'DADOS BRUTOS'!AH$3:AH$500)+IF($C10="",0,SUMIF('DADOS BRUTOS'!$A$3:$A$500,$C10,'DADOS BRUTOS'!AH$3:AH$500)))</f>
        <v>10541.48</v>
      </c>
      <c r="DI10" s="133" t="n">
        <f aca="false">IF(OR(DI$4="",$B10=""),0,SUMIF('DADOS BRUTOS'!$A$3:$A$500,$B10,'DADOS BRUTOS'!AI$3:AI$500)+IF($C10="",0,SUMIF('DADOS BRUTOS'!$A$3:$A$500,$C10,'DADOS BRUTOS'!AI$3:AI$500)))</f>
        <v>3836.72</v>
      </c>
      <c r="DJ10" s="133" t="n">
        <f aca="false">IF(OR(DJ$4="",$B10=""),0,SUMIF('DADOS BRUTOS'!$A$3:$A$500,$B10,'DADOS BRUTOS'!AJ$3:AJ$500)+IF($C10="",0,SUMIF('DADOS BRUTOS'!$A$3:$A$500,$C10,'DADOS BRUTOS'!AJ$3:AJ$500)))</f>
        <v>2339.05</v>
      </c>
      <c r="DK10" s="133" t="n">
        <f aca="false">IF(OR(DK$4="",$B10=""),0,SUMIF('DADOS BRUTOS'!$A$3:$A$500,$B10,'DADOS BRUTOS'!AK$3:AK$500)+IF($C10="",0,SUMIF('DADOS BRUTOS'!$A$3:$A$500,$C10,'DADOS BRUTOS'!AK$3:AK$500)))</f>
        <v>159.9</v>
      </c>
      <c r="DL10" s="133" t="n">
        <f aca="false">IF(OR(DL$4="",$B10=""),0,SUMIF('DADOS BRUTOS'!$A$3:$A$500,$B10,'DADOS BRUTOS'!AL$3:AL$500)+IF($C10="",0,SUMIF('DADOS BRUTOS'!$A$3:$A$500,$C10,'DADOS BRUTOS'!AL$3:AL$500)))</f>
        <v>159.9</v>
      </c>
      <c r="DM10" s="133" t="n">
        <f aca="false">IF(OR(DM$4="",$B10=""),0,SUMIF('DADOS BRUTOS'!$A$3:$A$500,$B10,'DADOS BRUTOS'!AM$3:AM$500)+IF($C10="",0,SUMIF('DADOS BRUTOS'!$A$3:$A$500,$C10,'DADOS BRUTOS'!AM$3:AM$500)))</f>
        <v>159.9</v>
      </c>
      <c r="DN10" s="133" t="n">
        <f aca="false">IF(OR(DN$4="",$B10=""),0,SUMIF('DADOS BRUTOS'!$A$3:$A$500,$B10,'DADOS BRUTOS'!AN$3:AN$500)+IF($C10="",0,SUMIF('DADOS BRUTOS'!$A$3:$A$500,$C10,'DADOS BRUTOS'!AN$3:AN$500)))</f>
        <v>159.9</v>
      </c>
      <c r="DO10" s="133" t="n">
        <f aca="false">IF(OR(DO$4="",$B10=""),0,SUMIF('DADOS BRUTOS'!$A$3:$A$500,$B10,'DADOS BRUTOS'!AO$3:AO$500)+IF($C10="",0,SUMIF('DADOS BRUTOS'!$A$3:$A$500,$C10,'DADOS BRUTOS'!AO$3:AO$500)))</f>
        <v>159.9</v>
      </c>
      <c r="DP10" s="133" t="n">
        <f aca="false">IF(OR(DP$4="",$B10=""),0,SUMIF('DADOS BRUTOS'!$A$3:$A$500,$B10,'DADOS BRUTOS'!AP$3:AP$500)+IF($C10="",0,SUMIF('DADOS BRUTOS'!$A$3:$A$500,$C10,'DADOS BRUTOS'!AP$3:AP$500)))</f>
        <v>159.9</v>
      </c>
      <c r="DQ10" s="133" t="n">
        <f aca="false">IF(OR(DQ$4="",$B10=""),0,SUMIF('DADOS BRUTOS'!$A$3:$A$500,$B10,'DADOS BRUTOS'!AQ$3:AQ$500)+IF($C10="",0,SUMIF('DADOS BRUTOS'!$A$3:$A$500,$C10,'DADOS BRUTOS'!AQ$3:AQ$500)))</f>
        <v>159.9</v>
      </c>
      <c r="DR10" s="133" t="n">
        <f aca="false">IF(OR(DR$4="",$B10=""),0,SUMIF('DADOS BRUTOS'!$A$3:$A$500,$B10,'DADOS BRUTOS'!AR$3:AR$500)+IF($C10="",0,SUMIF('DADOS BRUTOS'!$A$3:$A$500,$C10,'DADOS BRUTOS'!AR$3:AR$500)))</f>
        <v>159.9</v>
      </c>
      <c r="DS10" s="133" t="n">
        <f aca="false">IF(OR(DS$4="",$B10=""),0,SUMIF('DADOS BRUTOS'!$A$3:$A$500,$B10,'DADOS BRUTOS'!AS$3:AS$500)+IF($C10="",0,SUMIF('DADOS BRUTOS'!$A$3:$A$500,$C10,'DADOS BRUTOS'!AS$3:AS$500)))</f>
        <v>159.9</v>
      </c>
      <c r="DT10" s="133" t="n">
        <f aca="false">IF(OR(DT$4="",$B10=""),0,SUMIF('DADOS BRUTOS'!$A$3:$A$500,$B10,'DADOS BRUTOS'!AT$3:AT$500)+IF($C10="",0,SUMIF('DADOS BRUTOS'!$A$3:$A$500,$C10,'DADOS BRUTOS'!AT$3:AT$500)))</f>
        <v>159.9</v>
      </c>
      <c r="DU10" s="133" t="n">
        <f aca="false">IF(OR(DU$4="",$B10=""),0,SUMIF('DADOS BRUTOS'!$A$3:$A$500,$B10,'DADOS BRUTOS'!AU$3:AU$500)+IF($C10="",0,SUMIF('DADOS BRUTOS'!$A$3:$A$500,$C10,'DADOS BRUTOS'!AU$3:AU$500)))</f>
        <v>159.9</v>
      </c>
      <c r="DV10" s="133" t="n">
        <f aca="false">IF(OR(DV$4="",$B10=""),0,SUMIF('DADOS BRUTOS'!$A$3:$A$500,$B10,'DADOS BRUTOS'!AV$3:AV$500)+IF($C10="",0,SUMIF('DADOS BRUTOS'!$A$3:$A$500,$C10,'DADOS BRUTOS'!AV$3:AV$500)))</f>
        <v>159.9</v>
      </c>
      <c r="DW10" s="133" t="n">
        <f aca="false">IF(OR(DW$4="",$B10=""),0,SUMIF('DADOS BRUTOS'!$A$3:$A$500,$B10,'DADOS BRUTOS'!AW$3:AW$500)+IF($C10="",0,SUMIF('DADOS BRUTOS'!$A$3:$A$500,$C10,'DADOS BRUTOS'!AW$3:AW$500)))</f>
        <v>159.9</v>
      </c>
      <c r="DX10" s="133" t="n">
        <f aca="false">IF(OR(DX$4="",$B10=""),0,SUMIF('DADOS BRUTOS'!$A$3:$A$500,$B10,'DADOS BRUTOS'!AX$3:AX$500)+IF($C10="",0,SUMIF('DADOS BRUTOS'!$A$3:$A$500,$C10,'DADOS BRUTOS'!AX$3:AX$500)))</f>
        <v>159.9</v>
      </c>
      <c r="DY10" s="133" t="n">
        <f aca="false">IF(OR(DY$4="",$B10=""),0,SUMIF('DADOS BRUTOS'!$A$3:$A$500,$B10,'DADOS BRUTOS'!AY$3:AY$500)+IF($C10="",0,SUMIF('DADOS BRUTOS'!$A$3:$A$500,$C10,'DADOS BRUTOS'!AY$3:AY$500)))</f>
        <v>159.9</v>
      </c>
      <c r="DZ10" s="133" t="n">
        <f aca="false">IF(OR(DZ$4="",$B10=""),0,SUMIF('DADOS BRUTOS'!$A$3:$A$500,$B10,'DADOS BRUTOS'!AZ$3:AZ$500)+IF($C10="",0,SUMIF('DADOS BRUTOS'!$A$3:$A$500,$C10,'DADOS BRUTOS'!AZ$3:AZ$500)))</f>
        <v>159.9</v>
      </c>
      <c r="EA10" s="133" t="n">
        <f aca="false">IF(OR(EA$4="",$B10=""),0,SUMIF('DADOS BRUTOS'!$A$3:$A$500,$B10,'DADOS BRUTOS'!BA$3:BA$500)+IF($C10="",0,SUMIF('DADOS BRUTOS'!$A$3:$A$500,$C10,'DADOS BRUTOS'!BA$3:BA$500)))</f>
        <v>159.9</v>
      </c>
      <c r="EB10" s="133" t="n">
        <f aca="false">IF(OR(EB$4="",$B10=""),0,SUMIF('DADOS BRUTOS'!$A$3:$A$500,$B10,'DADOS BRUTOS'!BB$3:BB$500)+IF($C10="",0,SUMIF('DADOS BRUTOS'!$A$3:$A$500,$C10,'DADOS BRUTOS'!BB$3:BB$500)))</f>
        <v>159.9</v>
      </c>
      <c r="EC10" s="133" t="n">
        <f aca="false">IF(OR(EC$4="",$B10=""),0,SUMIF('DADOS BRUTOS'!$A$3:$A$500,$B10,'DADOS BRUTOS'!BC$3:BC$500)+IF($C10="",0,SUMIF('DADOS BRUTOS'!$A$3:$A$500,$C10,'DADOS BRUTOS'!BC$3:BC$500)))</f>
        <v>159.9</v>
      </c>
      <c r="ED10" s="133" t="n">
        <f aca="false">IF(OR(ED$4="",$B10=""),0,SUMIF('DADOS BRUTOS'!$A$3:$A$500,$B10,'DADOS BRUTOS'!BD$3:BD$500)+IF($C10="",0,SUMIF('DADOS BRUTOS'!$A$3:$A$500,$C10,'DADOS BRUTOS'!BD$3:BD$500)))</f>
        <v>159.9</v>
      </c>
      <c r="EE10" s="133" t="n">
        <f aca="false">IF(OR(EE$4="",$B10=""),0,SUMIF('DADOS BRUTOS'!$A$3:$A$500,$B10,'DADOS BRUTOS'!BE$3:BE$500)+IF($C10="",0,SUMIF('DADOS BRUTOS'!$A$3:$A$500,$C10,'DADOS BRUTOS'!BE$3:BE$500)))</f>
        <v>159.9</v>
      </c>
      <c r="EF10" s="133" t="n">
        <f aca="false">IF(OR(EF$4="",$B10=""),0,SUMIF('DADOS BRUTOS'!$A$3:$A$500,$B10,'DADOS BRUTOS'!BF$3:BF$500)+IF($C10="",0,SUMIF('DADOS BRUTOS'!$A$3:$A$500,$C10,'DADOS BRUTOS'!BF$3:BF$500)))</f>
        <v>159.9</v>
      </c>
      <c r="EG10" s="133" t="n">
        <f aca="false">IF(OR(EG$4="",$B10=""),0,SUMIF('DADOS BRUTOS'!$A$3:$A$500,$B10,'DADOS BRUTOS'!BG$3:BG$500)+IF($C10="",0,SUMIF('DADOS BRUTOS'!$A$3:$A$500,$C10,'DADOS BRUTOS'!BG$3:BG$500)))</f>
        <v>159.9</v>
      </c>
      <c r="EH10" s="133" t="n">
        <f aca="false">IF(OR(EH$4="",$B10=""),0,SUMIF('DADOS BRUTOS'!$A$3:$A$500,$B10,'DADOS BRUTOS'!BH$3:BH$500)+IF($C10="",0,SUMIF('DADOS BRUTOS'!$A$3:$A$500,$C10,'DADOS BRUTOS'!BH$3:BH$500)))</f>
        <v>159.9</v>
      </c>
      <c r="EI10" s="133" t="n">
        <f aca="false">IF(OR(EI$4="",$B10=""),0,SUMIF('DADOS BRUTOS'!$A$3:$A$500,$B10,'DADOS BRUTOS'!BI$3:BI$500)+IF($C10="",0,SUMIF('DADOS BRUTOS'!$A$3:$A$500,$C10,'DADOS BRUTOS'!BI$3:BI$500)))</f>
        <v>159.9</v>
      </c>
      <c r="EJ10" s="133" t="n">
        <f aca="false">IF(OR(EJ$4="",$B10=""),0,SUMIF('DADOS BRUTOS'!$A$3:$A$500,$B10,'DADOS BRUTOS'!BJ$3:BJ$500)+IF($C10="",0,SUMIF('DADOS BRUTOS'!$A$3:$A$500,$C10,'DADOS BRUTOS'!BJ$3:BJ$500)))</f>
        <v>159.9</v>
      </c>
      <c r="EK10" s="133" t="n">
        <f aca="false">IF(OR(EK$4="",$B10=""),0,SUMIF('DADOS BRUTOS'!$A$3:$A$500,$B10,'DADOS BRUTOS'!BK$3:BK$500)+IF($C10="",0,SUMIF('DADOS BRUTOS'!$A$3:$A$500,$C10,'DADOS BRUTOS'!BK$3:BK$500)))</f>
        <v>159.9</v>
      </c>
      <c r="EL10" s="133" t="n">
        <f aca="false">IF(OR(EL$4="",$B10=""),0,SUMIF('DADOS BRUTOS'!$A$3:$A$500,$B10,'DADOS BRUTOS'!BL$3:BL$500)+IF($C10="",0,SUMIF('DADOS BRUTOS'!$A$3:$A$500,$C10,'DADOS BRUTOS'!BL$3:BL$500)))</f>
        <v>159.9</v>
      </c>
      <c r="EM10" s="133" t="n">
        <f aca="false">IF(OR(EM$4="",$B10=""),0,SUMIF('DADOS BRUTOS'!$A$3:$A$500,$B10,'DADOS BRUTOS'!BM$3:BM$500)+IF($C10="",0,SUMIF('DADOS BRUTOS'!$A$3:$A$500,$C10,'DADOS BRUTOS'!BM$3:BM$500)))</f>
        <v>159.9</v>
      </c>
      <c r="EN10" s="133" t="n">
        <f aca="false">IF(OR(EN$4="",$B10=""),0,SUMIF('DADOS BRUTOS'!$A$3:$A$500,$B10,'DADOS BRUTOS'!BN$3:BN$500)+IF($C10="",0,SUMIF('DADOS BRUTOS'!$A$3:$A$500,$C10,'DADOS BRUTOS'!BN$3:BN$500)))</f>
        <v>159.9</v>
      </c>
      <c r="EO10" s="133" t="n">
        <f aca="false">IF(OR(EO$4="",$B10=""),0,SUMIF('DADOS BRUTOS'!$A$3:$A$500,$B10,'DADOS BRUTOS'!BO$3:BO$500)+IF($C10="",0,SUMIF('DADOS BRUTOS'!$A$3:$A$500,$C10,'DADOS BRUTOS'!BO$3:BO$500)))</f>
        <v>159.9</v>
      </c>
      <c r="EP10" s="133" t="n">
        <f aca="false">IF(OR(EP$4="",$B10=""),0,SUMIF('DADOS BRUTOS'!$A$3:$A$500,$B10,'DADOS BRUTOS'!BP$3:BP$500)+IF($C10="",0,SUMIF('DADOS BRUTOS'!$A$3:$A$500,$C10,'DADOS BRUTOS'!BP$3:BP$500)))</f>
        <v>159.9</v>
      </c>
      <c r="EQ10" s="133" t="n">
        <f aca="false">IF(OR(EQ$4="",$B10=""),0,SUMIF('DADOS BRUTOS'!$A$3:$A$500,$B10,'DADOS BRUTOS'!BQ$3:BQ$500)+IF($C10="",0,SUMIF('DADOS BRUTOS'!$A$3:$A$500,$C10,'DADOS BRUTOS'!BQ$3:BQ$500)))</f>
        <v>0</v>
      </c>
      <c r="ER10" s="133" t="n">
        <f aca="false">IF(OR(ER$4="",$B10=""),0,SUMIF('DADOS BRUTOS'!$A$3:$A$500,$B10,'DADOS BRUTOS'!BR$3:BR$500)+IF($C10="",0,SUMIF('DADOS BRUTOS'!$A$3:$A$500,$C10,'DADOS BRUTOS'!BR$3:BR$500)))</f>
        <v>0</v>
      </c>
      <c r="ES10" s="133" t="n">
        <f aca="false">IF(OR(ES$4="",$B10=""),0,SUMIF('DADOS BRUTOS'!$A$3:$A$500,$B10,'DADOS BRUTOS'!BS$3:BS$500)+IF($C10="",0,SUMIF('DADOS BRUTOS'!$A$3:$A$500,$C10,'DADOS BRUTOS'!BS$3:BS$500)))</f>
        <v>0</v>
      </c>
      <c r="ET10" s="133" t="n">
        <f aca="false">IF(OR(ET$4="",$B10=""),0,SUMIF('DADOS BRUTOS'!$A$3:$A$500,$B10,'DADOS BRUTOS'!BT$3:BT$500)+IF($C10="",0,SUMIF('DADOS BRUTOS'!$A$3:$A$500,$C10,'DADOS BRUTOS'!BT$3:BT$500)))</f>
        <v>0</v>
      </c>
      <c r="EU10" s="133" t="n">
        <f aca="false">IF(OR(EU$4="",$B10=""),0,SUMIF('DADOS BRUTOS'!$A$3:$A$500,$B10,'DADOS BRUTOS'!BU$3:BU$500)+IF($C10="",0,SUMIF('DADOS BRUTOS'!$A$3:$A$500,$C10,'DADOS BRUTOS'!BU$3:BU$500)))</f>
        <v>0</v>
      </c>
      <c r="EV10" s="133" t="n">
        <f aca="false">IF(OR(EV$4="",$B10=""),0,SUMIF('DADOS BRUTOS'!$A$3:$A$500,$B10,'DADOS BRUTOS'!BV$3:BV$500)+IF($C10="",0,SUMIF('DADOS BRUTOS'!$A$3:$A$500,$C10,'DADOS BRUTOS'!BV$3:BV$500)))</f>
        <v>0</v>
      </c>
      <c r="EW10" s="133" t="n">
        <f aca="false">IF(OR(EW$4="",$B10=""),0,SUMIF('DADOS BRUTOS'!$A$3:$A$500,$B10,'DADOS BRUTOS'!BW$3:BW$500)+IF($C10="",0,SUMIF('DADOS BRUTOS'!$A$3:$A$500,$C10,'DADOS BRUTOS'!BW$3:BW$500)))</f>
        <v>0</v>
      </c>
      <c r="EX10" s="133" t="n">
        <f aca="false">IF(OR(EX$4="",$B10=""),0,SUMIF('DADOS BRUTOS'!$A$3:$A$500,$B10,'DADOS BRUTOS'!BX$3:BX$500)+IF($C10="",0,SUMIF('DADOS BRUTOS'!$A$3:$A$500,$C10,'DADOS BRUTOS'!BX$3:BX$500)))</f>
        <v>0</v>
      </c>
      <c r="EY10" s="133" t="n">
        <f aca="false">IF(OR(EY$4="",$B10=""),0,SUMIF('DADOS BRUTOS'!$A$3:$A$500,$B10,'DADOS BRUTOS'!BY$3:BY$500)+IF($C10="",0,SUMIF('DADOS BRUTOS'!$A$3:$A$500,$C10,'DADOS BRUTOS'!BY$3:BY$500)))</f>
        <v>0</v>
      </c>
      <c r="EZ10" s="133" t="n">
        <f aca="false">IF(OR(EZ$4="",$B10=""),0,SUMIF('DADOS BRUTOS'!$A$3:$A$500,$B10,'DADOS BRUTOS'!BZ$3:BZ$500)+IF($C10="",0,SUMIF('DADOS BRUTOS'!$A$3:$A$500,$C10,'DADOS BRUTOS'!BZ$3:BZ$500)))</f>
        <v>0</v>
      </c>
      <c r="FA10" s="133" t="n">
        <f aca="false">IF(OR(FA$4="",$B10=""),0,SUMIF('DADOS BRUTOS'!$A$3:$A$500,$B10,'DADOS BRUTOS'!CA$3:CA$500)+IF($C10="",0,SUMIF('DADOS BRUTOS'!$A$3:$A$500,$C10,'DADOS BRUTOS'!CA$3:CA$500)))</f>
        <v>0</v>
      </c>
      <c r="FB10" s="133" t="n">
        <f aca="false">IF(OR(FB$4="",$B10=""),0,SUMIF('DADOS BRUTOS'!$A$3:$A$500,$B10,'DADOS BRUTOS'!CB$3:CB$500)+IF($C10="",0,SUMIF('DADOS BRUTOS'!$A$3:$A$500,$C10,'DADOS BRUTOS'!CB$3:CB$500)))</f>
        <v>0</v>
      </c>
      <c r="FC10" s="133" t="n">
        <f aca="false">IF(OR(FC$4="",$B10=""),0,SUMIF('DADOS BRUTOS'!$A$3:$A$500,$B10,'DADOS BRUTOS'!CC$3:CC$500)+IF($C10="",0,SUMIF('DADOS BRUTOS'!$A$3:$A$500,$C10,'DADOS BRUTOS'!CC$3:CC$500)))</f>
        <v>0</v>
      </c>
      <c r="FD10" s="133" t="n">
        <f aca="false">IF(OR(FD$4="",$B10=""),0,SUMIF('DADOS BRUTOS'!$A$3:$A$500,$B10,'DADOS BRUTOS'!CD$3:CD$500)+IF($C10="",0,SUMIF('DADOS BRUTOS'!$A$3:$A$500,$C10,'DADOS BRUTOS'!CD$3:CD$500)))</f>
        <v>0</v>
      </c>
      <c r="FE10" s="133" t="n">
        <f aca="false">IF(OR(FE$4="",$B10=""),0,SUMIF('DADOS BRUTOS'!$A$3:$A$500,$B10,'DADOS BRUTOS'!CE$3:CE$500)+IF($C10="",0,SUMIF('DADOS BRUTOS'!$A$3:$A$500,$C10,'DADOS BRUTOS'!CE$3:CE$500)))</f>
        <v>0</v>
      </c>
      <c r="FF10" s="133" t="n">
        <f aca="false">IF(OR(FF$4="",$B10=""),0,SUMIF('DADOS BRUTOS'!$A$3:$A$500,$B10,'DADOS BRUTOS'!CF$3:CF$500)+IF($C10="",0,SUMIF('DADOS BRUTOS'!$A$3:$A$500,$C10,'DADOS BRUTOS'!CF$3:CF$500)))</f>
        <v>0</v>
      </c>
      <c r="FG10" s="133" t="n">
        <f aca="false">IF(OR(FG$4="",$B10=""),0,SUMIF('DADOS BRUTOS'!$A$3:$A$500,$B10,'DADOS BRUTOS'!CG$3:CG$500)+IF($C10="",0,SUMIF('DADOS BRUTOS'!$A$3:$A$500,$C10,'DADOS BRUTOS'!CG$3:CG$500)))</f>
        <v>0</v>
      </c>
      <c r="FH10" s="133" t="n">
        <f aca="false">IF(OR(FH$4="",$B10=""),0,SUMIF('DADOS BRUTOS'!$A$3:$A$500,$B10,'DADOS BRUTOS'!CH$3:CH$500)+IF($C10="",0,SUMIF('DADOS BRUTOS'!$A$3:$A$500,$C10,'DADOS BRUTOS'!CH$3:CH$500)))</f>
        <v>0</v>
      </c>
      <c r="FI10" s="133" t="n">
        <f aca="false">IF(OR(FI$4="",$B10=""),0,SUMIF('DADOS BRUTOS'!$A$3:$A$500,$B10,'DADOS BRUTOS'!CI$3:CI$500)+IF($C10="",0,SUMIF('DADOS BRUTOS'!$A$3:$A$500,$C10,'DADOS BRUTOS'!CI$3:CI$500)))</f>
        <v>0</v>
      </c>
      <c r="FJ10" s="133" t="n">
        <f aca="false">IF(OR(FJ$4="",$B10=""),0,SUMIF('DADOS BRUTOS'!$A$3:$A$500,$B10,'DADOS BRUTOS'!CJ$3:CJ$500)+IF($C10="",0,SUMIF('DADOS BRUTOS'!$A$3:$A$500,$C10,'DADOS BRUTOS'!CJ$3:CJ$500)))</f>
        <v>0</v>
      </c>
      <c r="FK10" s="133" t="n">
        <f aca="false">IF(OR(FK$4="",$B10=""),0,SUMIF('DADOS BRUTOS'!$A$3:$A$500,$B10,'DADOS BRUTOS'!CK$3:CK$500)+IF($C10="",0,SUMIF('DADOS BRUTOS'!$A$3:$A$500,$C10,'DADOS BRUTOS'!CK$3:CK$500)))</f>
        <v>0</v>
      </c>
      <c r="FL10" s="133" t="n">
        <f aca="false">IF(OR(FL$4="",$B10=""),0,SUMIF('DADOS BRUTOS'!$A$3:$A$500,$B10,'DADOS BRUTOS'!CL$3:CL$500)+IF($C10="",0,SUMIF('DADOS BRUTOS'!$A$3:$A$500,$C10,'DADOS BRUTOS'!CL$3:CL$500)))</f>
        <v>0</v>
      </c>
      <c r="FM10" s="133" t="n">
        <f aca="false">IF(OR(FM$4="",$B10=""),0,SUMIF('DADOS BRUTOS'!$A$3:$A$500,$B10,'DADOS BRUTOS'!CM$3:CM$500)+IF($C10="",0,SUMIF('DADOS BRUTOS'!$A$3:$A$500,$C10,'DADOS BRUTOS'!CM$3:CM$500)))</f>
        <v>0</v>
      </c>
      <c r="FN10" s="133" t="n">
        <f aca="false">IF(OR(FN$4="",$B10=""),0,SUMIF('DADOS BRUTOS'!$A$3:$A$500,$B10,'DADOS BRUTOS'!CN$3:CN$500)+IF($C10="",0,SUMIF('DADOS BRUTOS'!$A$3:$A$500,$C10,'DADOS BRUTOS'!CN$3:CN$500)))</f>
        <v>0</v>
      </c>
      <c r="FO10" s="133" t="n">
        <f aca="false">IF(OR(FO$4="",$B10=""),0,SUMIF('DADOS BRUTOS'!$A$3:$A$500,$B10,'DADOS BRUTOS'!CO$3:CO$500)+IF($C10="",0,SUMIF('DADOS BRUTOS'!$A$3:$A$500,$C10,'DADOS BRUTOS'!CO$3:CO$500)))</f>
        <v>0</v>
      </c>
      <c r="FP10" s="133" t="n">
        <f aca="false">IF(OR(FP$4="",$B10=""),0,SUMIF('DADOS BRUTOS'!$A$3:$A$500,$B10,'DADOS BRUTOS'!CP$3:CP$500)+IF($C10="",0,SUMIF('DADOS BRUTOS'!$A$3:$A$500,$C10,'DADOS BRUTOS'!CP$3:CP$500)))</f>
        <v>0</v>
      </c>
      <c r="FQ10" s="133" t="n">
        <f aca="false">IF(OR(FQ$4="",$B10=""),0,SUMIF('DADOS BRUTOS'!$A$3:$A$500,$B10,'DADOS BRUTOS'!CQ$3:CQ$500)+IF($C10="",0,SUMIF('DADOS BRUTOS'!$A$3:$A$500,$C10,'DADOS BRUTOS'!CQ$3:CQ$500)))</f>
        <v>0</v>
      </c>
      <c r="FR10" s="133" t="n">
        <f aca="false">IF(OR(FR$4="",$B10=""),0,SUMIF('DADOS BRUTOS'!$A$3:$A$500,$B10,'DADOS BRUTOS'!CR$3:CR$500)+IF($C10="",0,SUMIF('DADOS BRUTOS'!$A$3:$A$500,$C10,'DADOS BRUTOS'!CR$3:CR$500)))</f>
        <v>0</v>
      </c>
      <c r="FS10" s="133" t="n">
        <f aca="false">IF(OR(FS$4="",$B10=""),0,SUMIF('DADOS BRUTOS'!$A$3:$A$500,$B10,'DADOS BRUTOS'!CS$3:CS$500)+IF($C10="",0,SUMIF('DADOS BRUTOS'!$A$3:$A$500,$C10,'DADOS BRUTOS'!CS$3:CS$500)))</f>
        <v>0</v>
      </c>
      <c r="FT10" s="133" t="n">
        <f aca="false">IF(OR(FT$4="",$B10=""),0,SUMIF('DADOS BRUTOS'!$A$3:$A$500,$B10,'DADOS BRUTOS'!CT$3:CT$500)+IF($C10="",0,SUMIF('DADOS BRUTOS'!$A$3:$A$500,$C10,'DADOS BRUTOS'!CT$3:CT$500)))</f>
        <v>0</v>
      </c>
      <c r="FU10" s="133" t="n">
        <f aca="false">IF(OR(FU$4="",$B10=""),0,SUMIF('DADOS BRUTOS'!$A$3:$A$500,$B10,'DADOS BRUTOS'!CU$3:CU$500)+IF($C10="",0,SUMIF('DADOS BRUTOS'!$A$3:$A$500,$C10,'DADOS BRUTOS'!CU$3:CU$500)))</f>
        <v>0</v>
      </c>
      <c r="FV10" s="133" t="n">
        <f aca="false">IF(OR(FV$4="",$B10=""),0,SUMIF('DADOS BRUTOS'!$A$3:$A$500,$B10,'DADOS BRUTOS'!CV$3:CV$500)+IF($C10="",0,SUMIF('DADOS BRUTOS'!$A$3:$A$500,$C10,'DADOS BRUTOS'!CV$3:CV$500)))</f>
        <v>0</v>
      </c>
      <c r="FW10" s="133" t="n">
        <f aca="false">IF(OR(FW$4="",$B10=""),0,SUMIF('DADOS BRUTOS'!$A$3:$A$500,$B10,'DADOS BRUTOS'!CW$3:CW$500)+IF($C10="",0,SUMIF('DADOS BRUTOS'!$A$3:$A$500,$C10,'DADOS BRUTOS'!CW$3:CW$500)))</f>
        <v>0</v>
      </c>
      <c r="FX10" s="133" t="n">
        <f aca="false">IF(OR(FX$4="",$B10=""),0,SUMIF('DADOS BRUTOS'!$A$3:$A$500,$B10,'DADOS BRUTOS'!CX$3:CX$500)+IF($C10="",0,SUMIF('DADOS BRUTOS'!$A$3:$A$500,$C10,'DADOS BRUTOS'!CX$3:CX$500)))</f>
        <v>0</v>
      </c>
      <c r="FY10" s="133" t="n">
        <f aca="false">IF(OR(FY$4="",$B10=""),0,SUMIF('DADOS BRUTOS'!$A$3:$A$500,$B10,'DADOS BRUTOS'!CY$3:CY$500)+IF($C10="",0,SUMIF('DADOS BRUTOS'!$A$3:$A$500,$C10,'DADOS BRUTOS'!CY$3:CY$500)))</f>
        <v>0</v>
      </c>
      <c r="FZ10" s="133" t="n">
        <f aca="false">IF(OR(FZ$4="",$B10=""),0,SUMIF('DADOS BRUTOS'!$A$3:$A$500,$B10,'DADOS BRUTOS'!CZ$3:CZ$500)+IF($C10="",0,SUMIF('DADOS BRUTOS'!$A$3:$A$500,$C10,'DADOS BRUTOS'!CZ$3:CZ$500)))</f>
        <v>0</v>
      </c>
      <c r="GA10" s="133" t="n">
        <f aca="false">IF(OR(GA$4="",$B10=""),0,SUMIF('DADOS BRUTOS'!$A$3:$A$500,$B10,'DADOS BRUTOS'!DA$3:DA$500)+IF($C10="",0,SUMIF('DADOS BRUTOS'!$A$3:$A$500,$C10,'DADOS BRUTOS'!DA$3:DA$500)))</f>
        <v>0</v>
      </c>
      <c r="GB10" s="133" t="n">
        <f aca="false">IF(OR(GB$4="",$B10=""),0,SUMIF('DADOS BRUTOS'!$A$3:$A$500,$B10,'DADOS BRUTOS'!DB$3:DB$500)+IF($C10="",0,SUMIF('DADOS BRUTOS'!$A$3:$A$500,$C10,'DADOS BRUTOS'!DB$3:DB$500)))</f>
        <v>0</v>
      </c>
      <c r="GC10" s="133" t="n">
        <f aca="false">IF(OR(GC$4="",$B10=""),0,SUMIF('DADOS BRUTOS'!$A$3:$A$500,$B10,'DADOS BRUTOS'!DC$3:DC$500)+IF($C10="",0,SUMIF('DADOS BRUTOS'!$A$3:$A$500,$C10,'DADOS BRUTOS'!DC$3:DC$500)))</f>
        <v>0</v>
      </c>
      <c r="GD10" s="133" t="n">
        <f aca="false">IF(OR(GD$4="",$B10=""),0,SUMIF('DADOS BRUTOS'!$A$3:$A$500,$B10,'DADOS BRUTOS'!DD$3:DD$500)+IF($C10="",0,SUMIF('DADOS BRUTOS'!$A$3:$A$500,$C10,'DADOS BRUTOS'!DD$3:DD$500)))</f>
        <v>0</v>
      </c>
      <c r="GE10" s="133" t="n">
        <f aca="false">IF(OR(GE$4="",$B10=""),0,SUMIF('DADOS BRUTOS'!$A$3:$A$500,$B10,'DADOS BRUTOS'!DE$3:DE$500)+IF($C10="",0,SUMIF('DADOS BRUTOS'!$A$3:$A$500,$C10,'DADOS BRUTOS'!DE$3:DE$500)))</f>
        <v>0</v>
      </c>
      <c r="GF10" s="133" t="n">
        <f aca="false">IF(OR(GF$4="",$B10=""),0,SUMIF('DADOS BRUTOS'!$A$3:$A$500,$B10,'DADOS BRUTOS'!DF$3:DF$500)+IF($C10="",0,SUMIF('DADOS BRUTOS'!$A$3:$A$500,$C10,'DADOS BRUTOS'!DF$3:DF$500)))</f>
        <v>0</v>
      </c>
      <c r="GG10" s="133" t="n">
        <f aca="false">IF(OR(GG$4="",$B10=""),0,SUMIF('DADOS BRUTOS'!$A$3:$A$500,$B10,'DADOS BRUTOS'!DG$3:DG$500)+IF($C10="",0,SUMIF('DADOS BRUTOS'!$A$3:$A$500,$C10,'DADOS BRUTOS'!DG$3:DG$500)))</f>
        <v>0</v>
      </c>
      <c r="GH10" s="133" t="n">
        <f aca="false">IF(OR(GH$4="",$B10=""),0,SUMIF('DADOS BRUTOS'!$A$3:$A$500,$B10,'DADOS BRUTOS'!DH$3:DH$500)+IF($C10="",0,SUMIF('DADOS BRUTOS'!$A$3:$A$500,$C10,'DADOS BRUTOS'!DH$3:DH$500)))</f>
        <v>0</v>
      </c>
      <c r="GI10" s="133" t="n">
        <f aca="false">IF(OR(GI$4="",$B10=""),0,SUMIF('DADOS BRUTOS'!$A$3:$A$500,$B10,'DADOS BRUTOS'!DI$3:DI$500)+IF($C10="",0,SUMIF('DADOS BRUTOS'!$A$3:$A$500,$C10,'DADOS BRUTOS'!DI$3:DI$500)))</f>
        <v>0</v>
      </c>
      <c r="GJ10" s="133" t="n">
        <f aca="false">IF(OR(GJ$4="",$B10=""),0,SUMIF('DADOS BRUTOS'!$A$3:$A$500,$B10,'DADOS BRUTOS'!DJ$3:DJ$500)+IF($C10="",0,SUMIF('DADOS BRUTOS'!$A$3:$A$500,$C10,'DADOS BRUTOS'!DJ$3:DJ$500)))</f>
        <v>0</v>
      </c>
      <c r="GK10" s="133" t="n">
        <f aca="false">IF(OR(GK$4="",$B10=""),0,SUMIF('DADOS BRUTOS'!$A$3:$A$500,$B10,'DADOS BRUTOS'!DK$3:DK$500)+IF($C10="",0,SUMIF('DADOS BRUTOS'!$A$3:$A$500,$C10,'DADOS BRUTOS'!DK$3:DK$500)))</f>
        <v>0</v>
      </c>
      <c r="GL10" s="133" t="n">
        <f aca="false">IF(OR(GL$4="",$B10=""),0,SUMIF('DADOS BRUTOS'!$A$3:$A$500,$B10,'DADOS BRUTOS'!DL$3:DL$500)+IF($C10="",0,SUMIF('DADOS BRUTOS'!$A$3:$A$500,$C10,'DADOS BRUTOS'!DL$3:DL$500)))</f>
        <v>0</v>
      </c>
      <c r="GM10" s="133" t="n">
        <f aca="false">IF(OR(GM$4="",$B10=""),0,SUMIF('DADOS BRUTOS'!$A$3:$A$500,$B10,'DADOS BRUTOS'!DM$3:DM$500)+IF($C10="",0,SUMIF('DADOS BRUTOS'!$A$3:$A$500,$C10,'DADOS BRUTOS'!DM$3:DM$500)))</f>
        <v>0</v>
      </c>
      <c r="GN10" s="133" t="n">
        <f aca="false">IF(OR(GN$4="",$B10=""),0,SUMIF('DADOS BRUTOS'!$A$3:$A$500,$B10,'DADOS BRUTOS'!DN$3:DN$500)+IF($C10="",0,SUMIF('DADOS BRUTOS'!$A$3:$A$500,$C10,'DADOS BRUTOS'!DN$3:DN$500)))</f>
        <v>0</v>
      </c>
      <c r="GO10" s="133" t="n">
        <f aca="false">IF(OR(GO$4="",$B10=""),0,SUMIF('DADOS BRUTOS'!$A$3:$A$500,$B10,'DADOS BRUTOS'!DO$3:DO$500)+IF($C10="",0,SUMIF('DADOS BRUTOS'!$A$3:$A$500,$C10,'DADOS BRUTOS'!DO$3:DO$500)))</f>
        <v>0</v>
      </c>
      <c r="GP10" s="133" t="n">
        <f aca="false">IF(OR(GP$4="",$B10=""),0,SUMIF('DADOS BRUTOS'!$A$3:$A$500,$B10,'DADOS BRUTOS'!DP$3:DP$500)+IF($C10="",0,SUMIF('DADOS BRUTOS'!$A$3:$A$500,$C10,'DADOS BRUTOS'!DP$3:DP$500)))</f>
        <v>0</v>
      </c>
      <c r="GQ10" s="133" t="n">
        <f aca="false">IF(OR(GQ$4="",$B10=""),0,SUMIF('DADOS BRUTOS'!$A$3:$A$500,$B10,'DADOS BRUTOS'!DQ$3:DQ$500)+IF($C10="",0,SUMIF('DADOS BRUTOS'!$A$3:$A$500,$C10,'DADOS BRUTOS'!DQ$3:DQ$500)))</f>
        <v>0</v>
      </c>
      <c r="GR10" s="133" t="n">
        <f aca="false">IF(OR(GR$4="",$B10=""),0,SUMIF('DADOS BRUTOS'!$A$3:$A$500,$B10,'DADOS BRUTOS'!DR$3:DR$500)+IF($C10="",0,SUMIF('DADOS BRUTOS'!$A$3:$A$500,$C10,'DADOS BRUTOS'!DR$3:DR$500)))</f>
        <v>0</v>
      </c>
      <c r="GS10" s="133" t="n">
        <f aca="false">IF(OR(GS$4="",$B10=""),0,SUMIF('DADOS BRUTOS'!$A$3:$A$500,$B10,'DADOS BRUTOS'!DS$3:DS$500)+IF($C10="",0,SUMIF('DADOS BRUTOS'!$A$3:$A$500,$C10,'DADOS BRUTOS'!DS$3:DS$500)))</f>
        <v>0</v>
      </c>
      <c r="GT10" s="133" t="n">
        <f aca="false">IF(OR(GT$4="",$B10=""),0,SUMIF('DADOS BRUTOS'!$A$3:$A$500,$B10,'DADOS BRUTOS'!DT$3:DT$500)+IF($C10="",0,SUMIF('DADOS BRUTOS'!$A$3:$A$500,$C10,'DADOS BRUTOS'!DT$3:DT$500)))</f>
        <v>0</v>
      </c>
      <c r="GU10" s="133" t="n">
        <f aca="false">IF(OR(GU$4="",$B10=""),0,SUMIF('DADOS BRUTOS'!$A$3:$A$500,$B10,'DADOS BRUTOS'!DU$3:DU$500)+IF($C10="",0,SUMIF('DADOS BRUTOS'!$A$3:$A$500,$C10,'DADOS BRUTOS'!DU$3:DU$500)))</f>
        <v>0</v>
      </c>
      <c r="GV10" s="133" t="n">
        <f aca="false">IF(OR(GV$4="",$B10=""),0,SUMIF('DADOS BRUTOS'!$A$3:$A$500,$B10,'DADOS BRUTOS'!DV$3:DV$500)+IF($C10="",0,SUMIF('DADOS BRUTOS'!$A$3:$A$500,$C10,'DADOS BRUTOS'!DV$3:DV$500)))</f>
        <v>0</v>
      </c>
      <c r="GW10" s="133" t="n">
        <f aca="false">IF(OR(GW$4="",$B10=""),0,SUMIF('DADOS BRUTOS'!$A$3:$A$500,$B10,'DADOS BRUTOS'!DW$3:DW$500)+IF($C10="",0,SUMIF('DADOS BRUTOS'!$A$3:$A$500,$C10,'DADOS BRUTOS'!DW$3:DW$500)))</f>
        <v>0</v>
      </c>
      <c r="GX10" s="133" t="n">
        <f aca="false">IF(OR(GX$4="",$B10=""),0,SUMIF('DADOS BRUTOS'!$A$3:$A$500,$B10,'DADOS BRUTOS'!DX$3:DX$500)+IF($C10="",0,SUMIF('DADOS BRUTOS'!$A$3:$A$500,$C10,'DADOS BRUTOS'!DX$3:DX$500)))</f>
        <v>0</v>
      </c>
      <c r="GY10" s="133" t="n">
        <f aca="false">IF(OR(GY$4="",$B10=""),0,SUMIF('DADOS BRUTOS'!$A$3:$A$500,$B10,'DADOS BRUTOS'!DY$3:DY$500)+IF($C10="",0,SUMIF('DADOS BRUTOS'!$A$3:$A$500,$C10,'DADOS BRUTOS'!DY$3:DY$500)))</f>
        <v>0</v>
      </c>
      <c r="GZ10" s="133" t="n">
        <f aca="false">IF(OR(GZ$4="",$B10=""),0,SUMIF('DADOS BRUTOS'!$A$3:$A$500,$B10,'DADOS BRUTOS'!DZ$3:DZ$500)+IF($C10="",0,SUMIF('DADOS BRUTOS'!$A$3:$A$500,$C10,'DADOS BRUTOS'!DZ$3:DZ$500)))</f>
        <v>0</v>
      </c>
      <c r="HA10" s="133" t="n">
        <f aca="false">IF(OR(HA$4="",$B10=""),0,SUMIF('DADOS BRUTOS'!$A$3:$A$500,$B10,'DADOS BRUTOS'!EA$3:EA$500)+IF($C10="",0,SUMIF('DADOS BRUTOS'!$A$3:$A$500,$C10,'DADOS BRUTOS'!EA$3:EA$500)))</f>
        <v>0</v>
      </c>
      <c r="HB10" s="133" t="n">
        <f aca="false">IF(OR(HB$4="",$B10=""),0,SUMIF('DADOS BRUTOS'!$A$3:$A$500,$B10,'DADOS BRUTOS'!EB$3:EB$500)+IF($C10="",0,SUMIF('DADOS BRUTOS'!$A$3:$A$500,$C10,'DADOS BRUTOS'!EB$3:EB$500)))</f>
        <v>0</v>
      </c>
      <c r="HC10" s="133" t="n">
        <f aca="false">IF(OR(HC$4="",$B10=""),0,SUMIF('DADOS BRUTOS'!$A$3:$A$500,$B10,'DADOS BRUTOS'!EC$3:EC$500)+IF($C10="",0,SUMIF('DADOS BRUTOS'!$A$3:$A$500,$C10,'DADOS BRUTOS'!EC$3:EC$500)))</f>
        <v>0</v>
      </c>
      <c r="HD10" s="133" t="n">
        <f aca="false">IF(OR(HD$4="",$B10=""),0,SUMIF('DADOS BRUTOS'!$A$3:$A$500,$B10,'DADOS BRUTOS'!ED$3:ED$500)+IF($C10="",0,SUMIF('DADOS BRUTOS'!$A$3:$A$500,$C10,'DADOS BRUTOS'!ED$3:ED$500)))</f>
        <v>0</v>
      </c>
      <c r="HE10" s="133" t="n">
        <f aca="false">IF(OR(HE$4="",$B10=""),0,SUMIF('DADOS BRUTOS'!$A$3:$A$500,$B10,'DADOS BRUTOS'!EE$3:EE$500)+IF($C10="",0,SUMIF('DADOS BRUTOS'!$A$3:$A$500,$C10,'DADOS BRUTOS'!EE$3:EE$500)))</f>
        <v>0</v>
      </c>
      <c r="HF10" s="133" t="n">
        <f aca="false">IF(OR(HF$4="",$B10=""),0,SUMIF('DADOS BRUTOS'!$A$3:$A$500,$B10,'DADOS BRUTOS'!EF$3:EF$500)+IF($C10="",0,SUMIF('DADOS BRUTOS'!$A$3:$A$500,$C10,'DADOS BRUTOS'!EF$3:EF$500)))</f>
        <v>0</v>
      </c>
      <c r="HG10" s="133" t="n">
        <f aca="false">IF(OR(HG$4="",$B10=""),0,SUMIF('DADOS BRUTOS'!$A$3:$A$500,$B10,'DADOS BRUTOS'!EG$3:EG$500)+IF($C10="",0,SUMIF('DADOS BRUTOS'!$A$3:$A$500,$C10,'DADOS BRUTOS'!EG$3:EG$500)))</f>
        <v>0</v>
      </c>
      <c r="HH10" s="133" t="n">
        <f aca="false">IF(OR(HH$4="",$B10=""),0,SUMIF('DADOS BRUTOS'!$A$3:$A$500,$B10,'DADOS BRUTOS'!EH$3:EH$500)+IF($C10="",0,SUMIF('DADOS BRUTOS'!$A$3:$A$500,$C10,'DADOS BRUTOS'!EH$3:EH$500)))</f>
        <v>0</v>
      </c>
      <c r="HI10" s="133" t="n">
        <f aca="false">IF(OR(HI$4="",$B10=""),0,SUMIF('DADOS BRUTOS'!$A$3:$A$500,$B10,'DADOS BRUTOS'!EI$3:EI$500)+IF($C10="",0,SUMIF('DADOS BRUTOS'!$A$3:$A$500,$C10,'DADOS BRUTOS'!EI$3:EI$500)))</f>
        <v>0</v>
      </c>
      <c r="HJ10" s="133" t="n">
        <f aca="false">IF(OR(HJ$4="",$B10=""),0,SUMIF('DADOS BRUTOS'!$A$3:$A$500,$B10,'DADOS BRUTOS'!EJ$3:EJ$500)+IF($C10="",0,SUMIF('DADOS BRUTOS'!$A$3:$A$500,$C10,'DADOS BRUTOS'!EJ$3:EJ$500)))</f>
        <v>0</v>
      </c>
      <c r="HK10" s="133" t="n">
        <f aca="false">IF(OR(HK$4="",$B10=""),0,SUMIF('DADOS BRUTOS'!$A$3:$A$500,$B10,'DADOS BRUTOS'!EK$3:EK$500)+IF($C10="",0,SUMIF('DADOS BRUTOS'!$A$3:$A$500,$C10,'DADOS BRUTOS'!EK$3:EK$500)))</f>
        <v>0</v>
      </c>
      <c r="HL10" s="133" t="n">
        <f aca="false">IF(OR(HL$4="",$B10=""),0,SUMIF('DADOS BRUTOS'!$A$3:$A$500,$B10,'DADOS BRUTOS'!EL$3:EL$500)+IF($C10="",0,SUMIF('DADOS BRUTOS'!$A$3:$A$500,$C10,'DADOS BRUTOS'!EL$3:EL$500)))</f>
        <v>0</v>
      </c>
      <c r="HM10" s="133" t="n">
        <f aca="false">IF(OR(HM$4="",$B10=""),0,SUMIF('DADOS BRUTOS'!$A$3:$A$500,$B10,'DADOS BRUTOS'!EM$3:EM$500)+IF($C10="",0,SUMIF('DADOS BRUTOS'!$A$3:$A$500,$C10,'DADOS BRUTOS'!EM$3:EM$500)))</f>
        <v>0</v>
      </c>
      <c r="HN10" s="133" t="n">
        <f aca="false">IF(OR(HN$4="",$B10=""),0,SUMIF('DADOS BRUTOS'!$A$3:$A$500,$B10,'DADOS BRUTOS'!EN$3:EN$500)+IF($C10="",0,SUMIF('DADOS BRUTOS'!$A$3:$A$500,$C10,'DADOS BRUTOS'!EN$3:EN$500)))</f>
        <v>0</v>
      </c>
      <c r="HO10" s="133" t="n">
        <f aca="false">IF(OR(HO$4="",$B10=""),0,SUMIF('DADOS BRUTOS'!$A$3:$A$500,$B10,'DADOS BRUTOS'!EO$3:EO$500)+IF($C10="",0,SUMIF('DADOS BRUTOS'!$A$3:$A$500,$C10,'DADOS BRUTOS'!EO$3:EO$500)))</f>
        <v>0</v>
      </c>
      <c r="HP10" s="133" t="n">
        <f aca="false">IF(OR(HP$4="",$B10=""),0,SUMIF('DADOS BRUTOS'!$A$3:$A$500,$B10,'DADOS BRUTOS'!EP$3:EP$500)+IF($C10="",0,SUMIF('DADOS BRUTOS'!$A$3:$A$500,$C10,'DADOS BRUTOS'!EP$3:EP$500)))</f>
        <v>0</v>
      </c>
      <c r="HQ10" s="133" t="n">
        <f aca="false">IF(OR(HQ$4="",$B10=""),0,SUMIF('DADOS BRUTOS'!$A$3:$A$500,$B10,'DADOS BRUTOS'!EQ$3:EQ$500)+IF($C10="",0,SUMIF('DADOS BRUTOS'!$A$3:$A$500,$C10,'DADOS BRUTOS'!EQ$3:EQ$500)))</f>
        <v>0</v>
      </c>
      <c r="HR10" s="133" t="n">
        <f aca="false">IF(OR(HR$4="",$B10=""),0,SUMIF('DADOS BRUTOS'!$A$3:$A$500,$B10,'DADOS BRUTOS'!ER$3:ER$500)+IF($C10="",0,SUMIF('DADOS BRUTOS'!$A$3:$A$500,$C10,'DADOS BRUTOS'!ER$3:ER$500)))</f>
        <v>0</v>
      </c>
      <c r="HS10" s="133" t="n">
        <f aca="false">IF(OR(HS$4="",$B10=""),0,SUMIF('DADOS BRUTOS'!$A$3:$A$500,$B10,'DADOS BRUTOS'!ES$3:ES$500)+IF($C10="",0,SUMIF('DADOS BRUTOS'!$A$3:$A$500,$C10,'DADOS BRUTOS'!ES$3:ES$500)))</f>
        <v>0</v>
      </c>
      <c r="HT10" s="133" t="n">
        <f aca="false">IF(OR(HT$4="",$B10=""),0,SUMIF('DADOS BRUTOS'!$A$3:$A$500,$B10,'DADOS BRUTOS'!ET$3:ET$500)+IF($C10="",0,SUMIF('DADOS BRUTOS'!$A$3:$A$500,$C10,'DADOS BRUTOS'!ET$3:ET$500)))</f>
        <v>0</v>
      </c>
      <c r="HU10" s="133" t="n">
        <f aca="false">IF(OR(HU$4="",$B10=""),0,SUMIF('DADOS BRUTOS'!$A$3:$A$500,$B10,'DADOS BRUTOS'!EU$3:EU$500)+IF($C10="",0,SUMIF('DADOS BRUTOS'!$A$3:$A$500,$C10,'DADOS BRUTOS'!EU$3:EU$500)))</f>
        <v>0</v>
      </c>
      <c r="HV10" s="133" t="n">
        <f aca="false">IF(OR(HV$4="",$B10=""),0,SUMIF('DADOS BRUTOS'!$A$3:$A$500,$B10,'DADOS BRUTOS'!EV$3:EV$500)+IF($C10="",0,SUMIF('DADOS BRUTOS'!$A$3:$A$500,$C10,'DADOS BRUTOS'!EV$3:EV$500)))</f>
        <v>0</v>
      </c>
      <c r="HW10" s="133" t="n">
        <f aca="false">IF(OR(HW$4="",$B10=""),0,SUMIF('DADOS BRUTOS'!$A$3:$A$500,$B10,'DADOS BRUTOS'!EW$3:EW$500)+IF($C10="",0,SUMIF('DADOS BRUTOS'!$A$3:$A$500,$C10,'DADOS BRUTOS'!EW$3:EW$500)))</f>
        <v>0</v>
      </c>
      <c r="HX10" s="133" t="n">
        <f aca="false">IF(OR(HX$4="",$B10=""),0,SUMIF('DADOS BRUTOS'!$A$3:$A$500,$B10,'DADOS BRUTOS'!EX$3:EX$500)+IF($C10="",0,SUMIF('DADOS BRUTOS'!$A$3:$A$500,$C10,'DADOS BRUTOS'!EX$3:EX$500)))</f>
        <v>0</v>
      </c>
      <c r="HY10" s="133" t="n">
        <f aca="false">IF(OR(HY$4="",$B10=""),0,SUMIF('DADOS BRUTOS'!$A$3:$A$500,$B10,'DADOS BRUTOS'!EY$3:EY$500)+IF($C10="",0,SUMIF('DADOS BRUTOS'!$A$3:$A$500,$C10,'DADOS BRUTOS'!EY$3:EY$500)))</f>
        <v>0</v>
      </c>
      <c r="HZ10" s="133" t="n">
        <f aca="false">IF(OR(HZ$4="",$B10=""),0,SUMIF('DADOS BRUTOS'!$A$3:$A$500,$B10,'DADOS BRUTOS'!EZ$3:EZ$500)+IF($C10="",0,SUMIF('DADOS BRUTOS'!$A$3:$A$500,$C10,'DADOS BRUTOS'!EZ$3:EZ$500)))</f>
        <v>0</v>
      </c>
      <c r="IA10" s="133" t="n">
        <f aca="false">IF(OR(IA$4="",$B10=""),0,SUMIF('DADOS BRUTOS'!$A$3:$A$500,$B10,'DADOS BRUTOS'!FA$3:FA$500)+IF($C10="",0,SUMIF('DADOS BRUTOS'!$A$3:$A$500,$C10,'DADOS BRUTOS'!FA$3:FA$500)))</f>
        <v>0</v>
      </c>
      <c r="IB10" s="133" t="n">
        <f aca="false">IF(OR(IB$4="",$B10=""),0,SUMIF('DADOS BRUTOS'!$A$3:$A$500,$B10,'DADOS BRUTOS'!FB$3:FB$500)+IF($C10="",0,SUMIF('DADOS BRUTOS'!$A$3:$A$500,$C10,'DADOS BRUTOS'!FB$3:FB$500)))</f>
        <v>0</v>
      </c>
      <c r="IC10" s="133" t="n">
        <f aca="false">IF(OR(IC$4="",$B10=""),0,SUMIF('DADOS BRUTOS'!$A$3:$A$500,$B10,'DADOS BRUTOS'!FC$3:FC$500)+IF($C10="",0,SUMIF('DADOS BRUTOS'!$A$3:$A$500,$C10,'DADOS BRUTOS'!FC$3:FC$500)))</f>
        <v>0</v>
      </c>
      <c r="ID10" s="133" t="n">
        <f aca="false">IF(OR(ID$4="",$B10=""),0,SUMIF('DADOS BRUTOS'!$A$3:$A$500,$B10,'DADOS BRUTOS'!FD$3:FD$500)+IF($C10="",0,SUMIF('DADOS BRUTOS'!$A$3:$A$500,$C10,'DADOS BRUTOS'!FD$3:FD$500)))</f>
        <v>0</v>
      </c>
      <c r="IE10" s="133" t="n">
        <f aca="false">IF(OR(IE$4="",$B10=""),0,SUMIF('DADOS BRUTOS'!$A$3:$A$500,$B10,'DADOS BRUTOS'!FE$3:FE$500)+IF($C10="",0,SUMIF('DADOS BRUTOS'!$A$3:$A$500,$C10,'DADOS BRUTOS'!FE$3:FE$500)))</f>
        <v>0</v>
      </c>
      <c r="IF10" s="133" t="n">
        <f aca="false">IF(OR(IF$4="",$B10=""),0,SUMIF('DADOS BRUTOS'!$A$3:$A$500,$B10,'DADOS BRUTOS'!FF$3:FF$500)+IF($C10="",0,SUMIF('DADOS BRUTOS'!$A$3:$A$500,$C10,'DADOS BRUTOS'!FF$3:FF$500)))</f>
        <v>0</v>
      </c>
      <c r="IG10" s="133" t="n">
        <f aca="false">IF(OR(IG$4="",$B10=""),0,SUMIF('DADOS BRUTOS'!$A$3:$A$500,$B10,'DADOS BRUTOS'!FG$3:FG$500)+IF($C10="",0,SUMIF('DADOS BRUTOS'!$A$3:$A$500,$C10,'DADOS BRUTOS'!FG$3:FG$500)))</f>
        <v>0</v>
      </c>
      <c r="IH10" s="133" t="n">
        <f aca="false">IF(OR(IH$4="",$B10=""),0,SUMIF('DADOS BRUTOS'!$A$3:$A$500,$B10,'DADOS BRUTOS'!FH$3:FH$500)+IF($C10="",0,SUMIF('DADOS BRUTOS'!$A$3:$A$500,$C10,'DADOS BRUTOS'!FH$3:FH$500)))</f>
        <v>0</v>
      </c>
      <c r="II10" s="133" t="n">
        <f aca="false">IF(OR(II$4="",$B10=""),0,SUMIF('DADOS BRUTOS'!$A$3:$A$500,$B10,'DADOS BRUTOS'!FI$3:FI$500)+IF($C10="",0,SUMIF('DADOS BRUTOS'!$A$3:$A$500,$C10,'DADOS BRUTOS'!FI$3:FI$500)))</f>
        <v>0</v>
      </c>
      <c r="IJ10" s="133" t="n">
        <f aca="false">IF(OR(IJ$4="",$B10=""),0,SUMIF('DADOS BRUTOS'!$A$3:$A$500,$B10,'DADOS BRUTOS'!FJ$3:FJ$500)+IF($C10="",0,SUMIF('DADOS BRUTOS'!$A$3:$A$500,$C10,'DADOS BRUTOS'!FJ$3:FJ$500)))</f>
        <v>0</v>
      </c>
      <c r="IK10" s="133" t="n">
        <f aca="false">IF(OR(IK$4="",$B10=""),0,SUMIF('DADOS BRUTOS'!$A$3:$A$500,$B10,'DADOS BRUTOS'!FK$3:FK$500)+IF($C10="",0,SUMIF('DADOS BRUTOS'!$A$3:$A$500,$C10,'DADOS BRUTOS'!FK$3:FK$500)))</f>
        <v>0</v>
      </c>
      <c r="IL10" s="133" t="n">
        <f aca="false">IF(OR(IL$4="",$B10=""),0,SUMIF('DADOS BRUTOS'!$A$3:$A$500,$B10,'DADOS BRUTOS'!FL$3:FL$500)+IF($C10="",0,SUMIF('DADOS BRUTOS'!$A$3:$A$500,$C10,'DADOS BRUTOS'!FL$3:FL$500)))</f>
        <v>0</v>
      </c>
      <c r="IM10" s="133" t="n">
        <f aca="false">IF(OR(IM$4="",$B10=""),0,SUMIF('DADOS BRUTOS'!$A$3:$A$500,$B10,'DADOS BRUTOS'!FM$3:FM$500)+IF($C10="",0,SUMIF('DADOS BRUTOS'!$A$3:$A$500,$C10,'DADOS BRUTOS'!FM$3:FM$500)))</f>
        <v>0</v>
      </c>
      <c r="IN10" s="133" t="n">
        <f aca="false">IF(OR(IN$4="",$B10=""),0,SUMIF('DADOS BRUTOS'!$A$3:$A$500,$B10,'DADOS BRUTOS'!FN$3:FN$500)+IF($C10="",0,SUMIF('DADOS BRUTOS'!$A$3:$A$500,$C10,'DADOS BRUTOS'!FN$3:FN$500)))</f>
        <v>0</v>
      </c>
      <c r="IO10" s="133" t="n">
        <f aca="false">IF(OR(IO$4="",$B10=""),0,SUMIF('DADOS BRUTOS'!$A$3:$A$500,$B10,'DADOS BRUTOS'!FO$3:FO$500)+IF($C10="",0,SUMIF('DADOS BRUTOS'!$A$3:$A$500,$C10,'DADOS BRUTOS'!FO$3:FO$500)))</f>
        <v>0</v>
      </c>
      <c r="IP10" s="133" t="n">
        <f aca="false">IF(OR(IP$4="",$B10=""),0,SUMIF('DADOS BRUTOS'!$A$3:$A$500,$B10,'DADOS BRUTOS'!FP$3:FP$500)+IF($C10="",0,SUMIF('DADOS BRUTOS'!$A$3:$A$500,$C10,'DADOS BRUTOS'!FP$3:FP$500)))</f>
        <v>0</v>
      </c>
      <c r="IQ10" s="133" t="n">
        <f aca="false">IF(OR(IQ$4="",$B10=""),0,SUMIF('DADOS BRUTOS'!$A$3:$A$500,$B10,'DADOS BRUTOS'!FQ$3:FQ$500)+IF($C10="",0,SUMIF('DADOS BRUTOS'!$A$3:$A$500,$C10,'DADOS BRUTOS'!FQ$3:FQ$500)))</f>
        <v>0</v>
      </c>
      <c r="IR10" s="133" t="n">
        <f aca="false">IF(OR(IR$4="",$B10=""),0,SUMIF('DADOS BRUTOS'!$A$3:$A$500,$B10,'DADOS BRUTOS'!FR$3:FR$500)+IF($C10="",0,SUMIF('DADOS BRUTOS'!$A$3:$A$500,$C10,'DADOS BRUTOS'!FR$3:FR$500)))</f>
        <v>0</v>
      </c>
      <c r="IS10" s="133" t="n">
        <f aca="false">IF(OR(IS$4="",$B10=""),0,SUMIF('DADOS BRUTOS'!$A$3:$A$500,$B10,'DADOS BRUTOS'!FS$3:FS$500)+IF($C10="",0,SUMIF('DADOS BRUTOS'!$A$3:$A$500,$C10,'DADOS BRUTOS'!FS$3:FS$500)))</f>
        <v>0</v>
      </c>
      <c r="IT10" s="133" t="n">
        <f aca="false">IF(OR(IT$4="",$B10=""),0,SUMIF('DADOS BRUTOS'!$A$3:$A$500,$B10,'DADOS BRUTOS'!FT$3:FT$500)+IF($C10="",0,SUMIF('DADOS BRUTOS'!$A$3:$A$500,$C10,'DADOS BRUTOS'!FT$3:FT$500)))</f>
        <v>0</v>
      </c>
      <c r="IU10" s="133" t="n">
        <f aca="false">IF(OR(IU$4="",$B10=""),0,SUMIF('DADOS BRUTOS'!$A$3:$A$500,$B10,'DADOS BRUTOS'!FU$3:FU$500)+IF($C10="",0,SUMIF('DADOS BRUTOS'!$A$3:$A$500,$C10,'DADOS BRUTOS'!FU$3:FU$500)))</f>
        <v>0</v>
      </c>
      <c r="IV10" s="133" t="n">
        <f aca="false">IF(OR(IV$4="",$B10=""),0,SUMIF('DADOS BRUTOS'!$A$3:$A$500,$B10,'DADOS BRUTOS'!FV$3:FV$500)+IF($C10="",0,SUMIF('DADOS BRUTOS'!$A$3:$A$500,$C10,'DADOS BRUTOS'!FV$3:FV$500)))</f>
        <v>0</v>
      </c>
      <c r="IW10" s="133" t="n">
        <f aca="false">IF(OR(IW$4="",$B10=""),0,SUMIF('DADOS BRUTOS'!$A$3:$A$500,$B10,'DADOS BRUTOS'!FW$3:FW$500)+IF($C10="",0,SUMIF('DADOS BRUTOS'!$A$3:$A$500,$C10,'DADOS BRUTOS'!FW$3:FW$500)))</f>
        <v>0</v>
      </c>
      <c r="IX10" s="133" t="n">
        <f aca="false">IF(OR(IX$4="",$B10=""),0,SUMIF('DADOS BRUTOS'!$A$3:$A$500,$B10,'DADOS BRUTOS'!FX$3:FX$500)+IF($C10="",0,SUMIF('DADOS BRUTOS'!$A$3:$A$500,$C10,'DADOS BRUTOS'!FX$3:FX$500)))</f>
        <v>0</v>
      </c>
      <c r="IY10" s="133" t="n">
        <f aca="false">IF(OR(IY$4="",$B10=""),0,SUMIF('DADOS BRUTOS'!$A$3:$A$500,$B10,'DADOS BRUTOS'!FY$3:FY$500)+IF($C10="",0,SUMIF('DADOS BRUTOS'!$A$3:$A$500,$C10,'DADOS BRUTOS'!FY$3:FY$500)))</f>
        <v>0</v>
      </c>
      <c r="IZ10" s="133" t="n">
        <f aca="false">IF(OR(IZ$4="",$B10=""),0,SUMIF('DADOS BRUTOS'!$A$3:$A$500,$B10,'DADOS BRUTOS'!FZ$3:FZ$500)+IF($C10="",0,SUMIF('DADOS BRUTOS'!$A$3:$A$500,$C10,'DADOS BRUTOS'!FZ$3:FZ$500)))</f>
        <v>0</v>
      </c>
      <c r="JA10" s="133" t="n">
        <f aca="false">IF(OR(JA$4="",$B10=""),0,SUMIF('DADOS BRUTOS'!$A$3:$A$500,$B10,'DADOS BRUTOS'!GA$3:GA$500)+IF($C10="",0,SUMIF('DADOS BRUTOS'!$A$3:$A$500,$C10,'DADOS BRUTOS'!GA$3:GA$500)))</f>
        <v>0</v>
      </c>
      <c r="JB10" s="133" t="n">
        <f aca="false">IF(OR(JB$4="",$B10=""),0,SUMIF('DADOS BRUTOS'!$A$3:$A$500,$B10,'DADOS BRUTOS'!GB$3:GB$500)+IF($C10="",0,SUMIF('DADOS BRUTOS'!$A$3:$A$500,$C10,'DADOS BRUTOS'!GB$3:GB$500)))</f>
        <v>0</v>
      </c>
      <c r="JC10" s="133" t="n">
        <f aca="false">IF(OR(JC$4="",$B10=""),0,SUMIF('DADOS BRUTOS'!$A$3:$A$500,$B10,'DADOS BRUTOS'!GC$3:GC$500)+IF($C10="",0,SUMIF('DADOS BRUTOS'!$A$3:$A$500,$C10,'DADOS BRUTOS'!GC$3:GC$500)))</f>
        <v>0</v>
      </c>
      <c r="JD10" s="133" t="n">
        <f aca="false">IF(OR(JD$4="",$B10=""),0,SUMIF('DADOS BRUTOS'!$A$3:$A$500,$B10,'DADOS BRUTOS'!GD$3:GD$500)+IF($C10="",0,SUMIF('DADOS BRUTOS'!$A$3:$A$500,$C10,'DADOS BRUTOS'!GD$3:GD$500)))</f>
        <v>0</v>
      </c>
      <c r="JE10" s="133" t="n">
        <f aca="false">IF(OR(JE$4="",$B10=""),0,SUMIF('DADOS BRUTOS'!$A$3:$A$500,$B10,'DADOS BRUTOS'!GE$3:GE$500)+IF($C10="",0,SUMIF('DADOS BRUTOS'!$A$3:$A$500,$C10,'DADOS BRUTOS'!GE$3:GE$500)))</f>
        <v>0</v>
      </c>
      <c r="JF10" s="133" t="n">
        <f aca="false">IF(OR(JF$4="",$B10=""),0,SUMIF('DADOS BRUTOS'!$A$3:$A$500,$B10,'DADOS BRUTOS'!GF$3:GF$500)+IF($C10="",0,SUMIF('DADOS BRUTOS'!$A$3:$A$500,$C10,'DADOS BRUTOS'!GF$3:GF$500)))</f>
        <v>0</v>
      </c>
      <c r="JG10" s="133" t="n">
        <f aca="false">IF(OR(JG$4="",$B10=""),0,SUMIF('DADOS BRUTOS'!$A$3:$A$500,$B10,'DADOS BRUTOS'!GG$3:GG$500)+IF($C10="",0,SUMIF('DADOS BRUTOS'!$A$3:$A$500,$C10,'DADOS BRUTOS'!GG$3:GG$500)))</f>
        <v>0</v>
      </c>
      <c r="JH10" s="133" t="n">
        <f aca="false">IF(OR(JH$4="",$B10=""),0,SUMIF('DADOS BRUTOS'!$A$3:$A$500,$B10,'DADOS BRUTOS'!GH$3:GH$500)+IF($C10="",0,SUMIF('DADOS BRUTOS'!$A$3:$A$500,$C10,'DADOS BRUTOS'!GH$3:GH$500)))</f>
        <v>0</v>
      </c>
      <c r="JI10" s="133" t="n">
        <f aca="false">IF(OR(JI$4="",$B10=""),0,SUMIF('DADOS BRUTOS'!$A$3:$A$500,$B10,'DADOS BRUTOS'!GI$3:GI$500)+IF($C10="",0,SUMIF('DADOS BRUTOS'!$A$3:$A$500,$C10,'DADOS BRUTOS'!GI$3:GI$500)))</f>
        <v>0</v>
      </c>
      <c r="JJ10" s="133" t="n">
        <f aca="false">IF(OR(JJ$4="",$B10=""),0,SUMIF('DADOS BRUTOS'!$A$3:$A$500,$B10,'DADOS BRUTOS'!GJ$3:GJ$500)+IF($C10="",0,SUMIF('DADOS BRUTOS'!$A$3:$A$500,$C10,'DADOS BRUTOS'!GJ$3:GJ$500)))</f>
        <v>0</v>
      </c>
      <c r="JK10" s="133" t="n">
        <f aca="false">IF(OR(JK$4="",$B10=""),0,SUMIF('DADOS BRUTOS'!$A$3:$A$500,$B10,'DADOS BRUTOS'!GK$3:GK$500)+IF($C10="",0,SUMIF('DADOS BRUTOS'!$A$3:$A$500,$C10,'DADOS BRUTOS'!GK$3:GK$500)))</f>
        <v>0</v>
      </c>
      <c r="JL10" s="133" t="n">
        <f aca="false">IF(OR(JL$4="",$B10=""),0,SUMIF('DADOS BRUTOS'!$A$3:$A$500,$B10,'DADOS BRUTOS'!GL$3:GL$500)+IF($C10="",0,SUMIF('DADOS BRUTOS'!$A$3:$A$500,$C10,'DADOS BRUTOS'!GL$3:GL$500)))</f>
        <v>0</v>
      </c>
      <c r="JM10" s="133" t="n">
        <f aca="false">IF(OR(JM$4="",$B10=""),0,SUMIF('DADOS BRUTOS'!$A$3:$A$500,$B10,'DADOS BRUTOS'!GM$3:GM$500)+IF($C10="",0,SUMIF('DADOS BRUTOS'!$A$3:$A$500,$C10,'DADOS BRUTOS'!GM$3:GM$500)))</f>
        <v>0</v>
      </c>
      <c r="JN10" s="133" t="n">
        <f aca="false">IF(OR(JN$4="",$B10=""),0,SUMIF('DADOS BRUTOS'!$A$3:$A$500,$B10,'DADOS BRUTOS'!GN$3:GN$500)+IF($C10="",0,SUMIF('DADOS BRUTOS'!$A$3:$A$500,$C10,'DADOS BRUTOS'!GN$3:GN$500)))</f>
        <v>0</v>
      </c>
      <c r="JO10" s="133" t="n">
        <f aca="false">IF(OR(JO$4="",$B10=""),0,SUMIF('DADOS BRUTOS'!$A$3:$A$500,$B10,'DADOS BRUTOS'!GO$3:GO$500)+IF($C10="",0,SUMIF('DADOS BRUTOS'!$A$3:$A$500,$C10,'DADOS BRUTOS'!GO$3:GO$500)))</f>
        <v>0</v>
      </c>
      <c r="JP10" s="133" t="n">
        <f aca="false">IF(OR(JP$4="",$B10=""),0,SUMIF('DADOS BRUTOS'!$A$3:$A$500,$B10,'DADOS BRUTOS'!GP$3:GP$500)+IF($C10="",0,SUMIF('DADOS BRUTOS'!$A$3:$A$500,$C10,'DADOS BRUTOS'!GP$3:GP$500)))</f>
        <v>0</v>
      </c>
      <c r="JQ10" s="133" t="n">
        <f aca="false">IF(OR(JQ$4="",$B10=""),0,SUMIF('DADOS BRUTOS'!$A$3:$A$500,$B10,'DADOS BRUTOS'!GQ$3:GQ$500)+IF($C10="",0,SUMIF('DADOS BRUTOS'!$A$3:$A$500,$C10,'DADOS BRUTOS'!GQ$3:GQ$500)))</f>
        <v>0</v>
      </c>
      <c r="JR10" s="133" t="n">
        <f aca="false">IF(OR(JR$4="",$B10=""),0,SUMIF('DADOS BRUTOS'!$A$3:$A$500,$B10,'DADOS BRUTOS'!GR$3:GR$500)+IF($C10="",0,SUMIF('DADOS BRUTOS'!$A$3:$A$500,$C10,'DADOS BRUTOS'!GR$3:GR$500)))</f>
        <v>0</v>
      </c>
      <c r="JS10" s="133" t="n">
        <f aca="false">IF(OR(JS$4="",$B10=""),0,SUMIF('DADOS BRUTOS'!$A$3:$A$500,$B10,'DADOS BRUTOS'!GS$3:GS$500)+IF($C10="",0,SUMIF('DADOS BRUTOS'!$A$3:$A$500,$C10,'DADOS BRUTOS'!GS$3:GS$500)))</f>
        <v>0</v>
      </c>
    </row>
    <row r="11" customFormat="false" ht="15" hidden="false" customHeight="false" outlineLevel="0" collapsed="false">
      <c r="A11" s="57" t="str">
        <f aca="false">'VALOR POR PL'!D17</f>
        <v>DIVERSOS</v>
      </c>
      <c r="B11" s="55" t="s">
        <v>83</v>
      </c>
      <c r="C11" s="55" t="s">
        <v>2874</v>
      </c>
      <c r="D11" s="50" t="n">
        <f aca="false">SUMIF($CB$4:$JS$4,"&lt;="&amp;D$4,$CB11:$JS11)</f>
        <v>7617.91</v>
      </c>
      <c r="E11" s="50" t="n">
        <f aca="false">SUMIF($CB$4:$JS$4,E$4,$CB11:$JS11)</f>
        <v>1467.74</v>
      </c>
      <c r="F11" s="50" t="n">
        <f aca="false">SUMIF($CB$4:$JS$4,F$4,$CB11:$JS11)</f>
        <v>0</v>
      </c>
      <c r="G11" s="50" t="n">
        <f aca="false">SUMIF($CB$4:$JS$4,G$4,$CB11:$JS11)</f>
        <v>0</v>
      </c>
      <c r="H11" s="50" t="n">
        <f aca="false">SUMIF($CB$4:$JS$4,H$4,$CB11:$JS11)</f>
        <v>66.6</v>
      </c>
      <c r="I11" s="50" t="n">
        <f aca="false">SUMIF($CB$4:$JS$4,I$4,$CB11:$JS11)</f>
        <v>0</v>
      </c>
      <c r="J11" s="50" t="n">
        <f aca="false">SUMIF($CB$4:$JS$4,J$4,$CB11:$JS11)</f>
        <v>0</v>
      </c>
      <c r="K11" s="50" t="n">
        <f aca="false">SUMIF($CB$4:$JS$4,K$4,$CB11:$JS11)</f>
        <v>0</v>
      </c>
      <c r="L11" s="50" t="n">
        <f aca="false">SUMIF($CB$4:$JS$4,L$4,$CB11:$JS11)</f>
        <v>0</v>
      </c>
      <c r="M11" s="50" t="n">
        <f aca="false">SUMIF($CB$4:$JS$4,M$4,$CB11:$JS11)</f>
        <v>850.17</v>
      </c>
      <c r="N11" s="50" t="n">
        <f aca="false">SUMIF($CB$4:$JS$4,N$4,$CB11:$JS11)</f>
        <v>4204.06</v>
      </c>
      <c r="O11" s="50" t="n">
        <f aca="false">SUMIF($CB$4:$JS$4,O$4,$CB11:$JS11)</f>
        <v>713.41</v>
      </c>
      <c r="P11" s="50" t="n">
        <f aca="false">SUMIF($CB$4:$JS$4,P$4,$CB11:$JS11)</f>
        <v>1784.1</v>
      </c>
      <c r="Q11" s="50" t="n">
        <f aca="false">SUMIF($CB$4:$JS$4,Q$4,$CB11:$JS11)</f>
        <v>1122.95</v>
      </c>
      <c r="R11" s="50" t="n">
        <f aca="false">SUMIF($CB$4:$JS$4,R$4,$CB11:$JS11)</f>
        <v>1160.97</v>
      </c>
      <c r="S11" s="50" t="n">
        <f aca="false">SUMIF($CB$4:$JS$4,S$4,$CB11:$JS11)</f>
        <v>2280.62</v>
      </c>
      <c r="T11" s="50" t="n">
        <f aca="false">SUMIF($CB$4:$JS$4,T$4,$CB11:$JS11)</f>
        <v>1594.82</v>
      </c>
      <c r="U11" s="50" t="n">
        <f aca="false">SUMIF($CB$4:$JS$4,U$4,$CB11:$JS11)</f>
        <v>1922.39</v>
      </c>
      <c r="V11" s="50" t="n">
        <f aca="false">SUMIF($CB$4:$JS$4,V$4,$CB11:$JS11)</f>
        <v>1559.18</v>
      </c>
      <c r="W11" s="50" t="n">
        <f aca="false">SUMIF($CB$4:$JS$4,W$4,$CB11:$JS11)</f>
        <v>2538.36</v>
      </c>
      <c r="X11" s="50" t="n">
        <f aca="false">SUMIF($CB$4:$JS$4,X$4,$CB11:$JS11)</f>
        <v>5139.73</v>
      </c>
      <c r="Y11" s="50" t="n">
        <f aca="false">SUMIF($CB$4:$JS$4,Y$4,$CB11:$JS11)</f>
        <v>6268.27</v>
      </c>
      <c r="Z11" s="50" t="n">
        <f aca="false">SUMIF($CB$4:$JS$4,Z$4,$CB11:$JS11)</f>
        <v>1218.69</v>
      </c>
      <c r="AA11" s="50" t="n">
        <f aca="false">SUMIF($CB$4:$JS$4,AA$4,$CB11:$JS11)</f>
        <v>4669.99</v>
      </c>
      <c r="AB11" s="50" t="n">
        <f aca="false">SUMIF($CB$4:$JS$4,AB$4,$CB11:$JS11)</f>
        <v>0</v>
      </c>
      <c r="AC11" s="50" t="n">
        <f aca="false">SUMIF($CB$4:$JS$4,AC$4,$CB11:$JS11)</f>
        <v>0</v>
      </c>
      <c r="AD11" s="50" t="n">
        <f aca="false">SUMIF($CB$4:$JS$4,AD$4,$CB11:$JS11)</f>
        <v>0</v>
      </c>
      <c r="AE11" s="50" t="n">
        <f aca="false">SUMIF($CB$4:$JS$4,AE$4,$CB11:$JS11)</f>
        <v>0</v>
      </c>
      <c r="AF11" s="50" t="n">
        <f aca="false">SUMIF($CB$4:$JS$4,AF$4,$CB11:$JS11)</f>
        <v>0</v>
      </c>
      <c r="AG11" s="50" t="n">
        <f aca="false">SUMIF($CB$4:$JS$4,AG$4,$CB11:$JS11)</f>
        <v>0</v>
      </c>
      <c r="AH11" s="50" t="n">
        <f aca="false">SUMIF($CB$4:$JS$4,AH$4,$CB11:$JS11)</f>
        <v>0</v>
      </c>
      <c r="AI11" s="50" t="n">
        <f aca="false">SUMIF($CB$4:$JS$4,AI$4,$CB11:$JS11)</f>
        <v>0</v>
      </c>
      <c r="AJ11" s="50" t="n">
        <f aca="false">SUMIF($CB$4:$JS$4,AJ$4,$CB11:$JS11)</f>
        <v>0</v>
      </c>
      <c r="AK11" s="50" t="n">
        <f aca="false">SUMIF($CB$4:$JS$4,AK$4,$CB11:$JS11)</f>
        <v>0</v>
      </c>
      <c r="AL11" s="50" t="n">
        <f aca="false">SUMIF($CB$4:$JS$4,AL$4,$CB11:$JS11)</f>
        <v>0</v>
      </c>
      <c r="AM11" s="50" t="n">
        <f aca="false">SUMIF($CB$4:$JS$4,AM$4,$CB11:$JS11)</f>
        <v>0</v>
      </c>
      <c r="AN11" s="50" t="n">
        <f aca="false">SUMIF($CB$4:$JS$4,AN$4,$CB11:$JS11)</f>
        <v>0</v>
      </c>
      <c r="AO11" s="50" t="n">
        <f aca="false">SUMIF($CB$4:$JS$4,AO$4,$CB11:$JS11)</f>
        <v>0</v>
      </c>
      <c r="AP11" s="50" t="n">
        <f aca="false">SUMIF($CB$4:$JS$4,AP$4,$CB11:$JS11)</f>
        <v>0</v>
      </c>
      <c r="AQ11" s="50" t="n">
        <f aca="false">SUMIF($CB$4:$JS$4,AQ$4,$CB11:$JS11)</f>
        <v>0</v>
      </c>
      <c r="AR11" s="50" t="n">
        <f aca="false">SUMIF($CB$4:$JS$4,AR$4,$CB11:$JS11)</f>
        <v>0</v>
      </c>
      <c r="AS11" s="50" t="n">
        <f aca="false">SUMIF($CB$4:$JS$4,AS$4,$CB11:$JS11)</f>
        <v>0</v>
      </c>
      <c r="AT11" s="50" t="n">
        <f aca="false">SUMIF($CB$4:$JS$4,AT$4,$CB11:$JS11)</f>
        <v>0</v>
      </c>
      <c r="AU11" s="50" t="n">
        <f aca="false">SUMIF($CB$4:$JS$4,AU$4,$CB11:$JS11)</f>
        <v>0</v>
      </c>
      <c r="AV11" s="50" t="n">
        <f aca="false">SUMIF($CB$4:$JS$4,AV$4,$CB11:$JS11)</f>
        <v>0</v>
      </c>
      <c r="AW11" s="50" t="n">
        <f aca="false">SUMIF($CB$4:$JS$4,AW$4,$CB11:$JS11)</f>
        <v>0</v>
      </c>
      <c r="AX11" s="50" t="n">
        <f aca="false">SUMIF($CB$4:$JS$4,AX$4,$CB11:$JS11)</f>
        <v>0</v>
      </c>
      <c r="AY11" s="50" t="n">
        <f aca="false">SUMIF($CB$4:$JS$4,AY$4,$CB11:$JS11)</f>
        <v>0</v>
      </c>
      <c r="AZ11" s="50" t="n">
        <f aca="false">SUMIF($CB$4:$JS$4,AZ$4,$CB11:$JS11)</f>
        <v>0</v>
      </c>
      <c r="BA11" s="50" t="n">
        <f aca="false">SUMIF($CB$4:$JS$4,BA$4,$CB11:$JS11)</f>
        <v>0</v>
      </c>
      <c r="BB11" s="50" t="n">
        <f aca="false">SUMIF($CB$4:$JS$4,BB$4,$CB11:$JS11)</f>
        <v>0</v>
      </c>
      <c r="BC11" s="50" t="n">
        <f aca="false">SUMIF($CB$4:$JS$4,BC$4,$CB11:$JS11)</f>
        <v>0</v>
      </c>
      <c r="BD11" s="50" t="n">
        <f aca="false">SUMIF($CB$4:$JS$4,BD$4,$CB11:$JS11)</f>
        <v>0</v>
      </c>
      <c r="BE11" s="50" t="n">
        <f aca="false">SUMIF($CB$4:$JS$4,BE$4,$CB11:$JS11)</f>
        <v>0</v>
      </c>
      <c r="BF11" s="50" t="n">
        <f aca="false">SUMIF($CB$4:$JS$4,BF$4,$CB11:$JS11)</f>
        <v>0</v>
      </c>
      <c r="BG11" s="50" t="n">
        <f aca="false">SUMIF($CB$4:$JS$4,BG$4,$CB11:$JS11)</f>
        <v>0</v>
      </c>
      <c r="BH11" s="50" t="n">
        <f aca="false">SUMIF($CB$4:$JS$4,BH$4,$CB11:$JS11)</f>
        <v>0</v>
      </c>
      <c r="BI11" s="50" t="n">
        <f aca="false">SUMIF($CB$4:$JS$4,BI$4,$CB11:$JS11)</f>
        <v>0</v>
      </c>
      <c r="BJ11" s="50" t="n">
        <f aca="false">SUMIF($CB$4:$JS$4,BJ$4,$CB11:$JS11)</f>
        <v>0</v>
      </c>
      <c r="BK11" s="50" t="n">
        <f aca="false">SUMIF($CB$4:$JS$4,BK$4,$CB11:$JS11)</f>
        <v>0</v>
      </c>
      <c r="BL11" s="50" t="n">
        <f aca="false">SUMIF($CB$4:$JS$4,BL$4,$CB11:$JS11)</f>
        <v>0</v>
      </c>
      <c r="BM11" s="50" t="n">
        <f aca="false">SUMIF($CB$4:$JS$4,BM$4,$CB11:$JS11)</f>
        <v>0</v>
      </c>
      <c r="BN11" s="50" t="n">
        <f aca="false">SUMIF($CB$4:$JS$4,BN$4,$CB11:$JS11)</f>
        <v>0</v>
      </c>
      <c r="BO11" s="50" t="n">
        <f aca="false">SUMIF($CB$4:$JS$4,BO$4,$CB11:$JS11)</f>
        <v>0</v>
      </c>
      <c r="BP11" s="50" t="n">
        <f aca="false">SUMIF($CB$4:$JS$4,BP$4,$CB11:$JS11)</f>
        <v>0</v>
      </c>
      <c r="BQ11" s="50" t="n">
        <f aca="false">SUMIF($CB$4:$JS$4,BQ$4,$CB11:$JS11)</f>
        <v>0</v>
      </c>
      <c r="BR11" s="50" t="n">
        <f aca="false">SUMIF($CB$4:$JS$4,BR$4,$CB11:$JS11)</f>
        <v>0</v>
      </c>
      <c r="BS11" s="50" t="n">
        <f aca="false">SUMIF($CB$4:$JS$4,BS$4,$CB11:$JS11)</f>
        <v>0</v>
      </c>
      <c r="BT11" s="50" t="n">
        <f aca="false">SUMIF($CB$4:$JS$4,BT$4,$CB11:$JS11)</f>
        <v>0</v>
      </c>
      <c r="BU11" s="50" t="n">
        <f aca="false">SUMIF($CB$4:$JS$4,BU$4,$CB11:$JS11)</f>
        <v>0</v>
      </c>
      <c r="BV11" s="50" t="n">
        <f aca="false">SUMIF($CB$4:$JS$4,BV$4,$CB11:$JS11)</f>
        <v>0</v>
      </c>
      <c r="BW11" s="50" t="n">
        <f aca="false">SUMIF($CB$4:$JS$4,BW$4,$CB11:$JS11)</f>
        <v>0</v>
      </c>
      <c r="BX11" s="50" t="n">
        <f aca="false">SUMIF($CB$4:$JS$4,"&gt;"&amp;'VALOR POR PL'!$P$8,$CB11:$JS11)</f>
        <v>0</v>
      </c>
      <c r="BY11" s="50" t="n">
        <f aca="false">SUM($CB11:$JS11)</f>
        <v>46179.96</v>
      </c>
      <c r="BZ11" s="45" t="n">
        <f aca="false">SUMPRODUCT(($CB$4:$JS$4&lt;&gt;"")*($CB$4:$JS$4&lt;=$D$4),$CB11:$JS11,$CB$1:$JS$1)</f>
        <v>6.60690171273853</v>
      </c>
      <c r="CB11" s="133" t="n">
        <f aca="false">IF(OR(CB$4="",$B11=""),0,SUMIF('DADOS BRUTOS'!$A$3:$A$500,$B11,'DADOS BRUTOS'!B$3:B$500)+IF($C11="",0,SUMIF('DADOS BRUTOS'!$A$3:$A$500,$C11,'DADOS BRUTOS'!B$3:B$500)))</f>
        <v>0</v>
      </c>
      <c r="CC11" s="133" t="n">
        <f aca="false">IF(OR(CC$4="",$B11=""),0,SUMIF('DADOS BRUTOS'!$A$3:$A$500,$B11,'DADOS BRUTOS'!C$3:C$500)+IF($C11="",0,SUMIF('DADOS BRUTOS'!$A$3:$A$500,$C11,'DADOS BRUTOS'!C$3:C$500)))</f>
        <v>0</v>
      </c>
      <c r="CD11" s="133" t="n">
        <f aca="false">IF(OR(CD$4="",$B11=""),0,SUMIF('DADOS BRUTOS'!$A$3:$A$500,$B11,'DADOS BRUTOS'!D$3:D$500)+IF($C11="",0,SUMIF('DADOS BRUTOS'!$A$3:$A$500,$C11,'DADOS BRUTOS'!D$3:D$500)))</f>
        <v>0</v>
      </c>
      <c r="CE11" s="133" t="n">
        <f aca="false">IF(OR(CE$4="",$B11=""),0,SUMIF('DADOS BRUTOS'!$A$3:$A$500,$B11,'DADOS BRUTOS'!E$3:E$500)+IF($C11="",0,SUMIF('DADOS BRUTOS'!$A$3:$A$500,$C11,'DADOS BRUTOS'!E$3:E$500)))</f>
        <v>0</v>
      </c>
      <c r="CF11" s="133" t="n">
        <f aca="false">IF(OR(CF$4="",$B11=""),0,SUMIF('DADOS BRUTOS'!$A$3:$A$500,$B11,'DADOS BRUTOS'!F$3:F$500)+IF($C11="",0,SUMIF('DADOS BRUTOS'!$A$3:$A$500,$C11,'DADOS BRUTOS'!F$3:F$500)))</f>
        <v>0</v>
      </c>
      <c r="CG11" s="133" t="n">
        <f aca="false">IF(OR(CG$4="",$B11=""),0,SUMIF('DADOS BRUTOS'!$A$3:$A$500,$B11,'DADOS BRUTOS'!G$3:G$500)+IF($C11="",0,SUMIF('DADOS BRUTOS'!$A$3:$A$500,$C11,'DADOS BRUTOS'!G$3:G$500)))</f>
        <v>10.59</v>
      </c>
      <c r="CH11" s="133" t="n">
        <f aca="false">IF(OR(CH$4="",$B11=""),0,SUMIF('DADOS BRUTOS'!$A$3:$A$500,$B11,'DADOS BRUTOS'!H$3:H$500)+IF($C11="",0,SUMIF('DADOS BRUTOS'!$A$3:$A$500,$C11,'DADOS BRUTOS'!H$3:H$500)))</f>
        <v>0</v>
      </c>
      <c r="CI11" s="133" t="n">
        <f aca="false">IF(OR(CI$4="",$B11=""),0,SUMIF('DADOS BRUTOS'!$A$3:$A$500,$B11,'DADOS BRUTOS'!I$3:I$500)+IF($C11="",0,SUMIF('DADOS BRUTOS'!$A$3:$A$500,$C11,'DADOS BRUTOS'!I$3:I$500)))</f>
        <v>823.84</v>
      </c>
      <c r="CJ11" s="133" t="n">
        <f aca="false">IF(OR(CJ$4="",$B11=""),0,SUMIF('DADOS BRUTOS'!$A$3:$A$500,$B11,'DADOS BRUTOS'!J$3:J$500)+IF($C11="",0,SUMIF('DADOS BRUTOS'!$A$3:$A$500,$C11,'DADOS BRUTOS'!J$3:J$500)))</f>
        <v>649.99</v>
      </c>
      <c r="CK11" s="133" t="n">
        <f aca="false">IF(OR(CK$4="",$B11=""),0,SUMIF('DADOS BRUTOS'!$A$3:$A$500,$B11,'DADOS BRUTOS'!K$3:K$500)+IF($C11="",0,SUMIF('DADOS BRUTOS'!$A$3:$A$500,$C11,'DADOS BRUTOS'!K$3:K$500)))</f>
        <v>284.74</v>
      </c>
      <c r="CL11" s="133" t="n">
        <f aca="false">IF(OR(CL$4="",$B11=""),0,SUMIF('DADOS BRUTOS'!$A$3:$A$500,$B11,'DADOS BRUTOS'!L$3:L$500)+IF($C11="",0,SUMIF('DADOS BRUTOS'!$A$3:$A$500,$C11,'DADOS BRUTOS'!L$3:L$500)))</f>
        <v>1.31</v>
      </c>
      <c r="CM11" s="133" t="n">
        <f aca="false">IF(OR(CM$4="",$B11=""),0,SUMIF('DADOS BRUTOS'!$A$3:$A$500,$B11,'DADOS BRUTOS'!M$3:M$500)+IF($C11="",0,SUMIF('DADOS BRUTOS'!$A$3:$A$500,$C11,'DADOS BRUTOS'!M$3:M$500)))</f>
        <v>0</v>
      </c>
      <c r="CN11" s="133" t="n">
        <f aca="false">IF(OR(CN$4="",$B11=""),0,SUMIF('DADOS BRUTOS'!$A$3:$A$500,$B11,'DADOS BRUTOS'!N$3:N$500)+IF($C11="",0,SUMIF('DADOS BRUTOS'!$A$3:$A$500,$C11,'DADOS BRUTOS'!N$3:N$500)))</f>
        <v>5847.44</v>
      </c>
      <c r="CO11" s="133" t="n">
        <f aca="false">IF(OR(CO$4="",$B11=""),0,SUMIF('DADOS BRUTOS'!$A$3:$A$500,$B11,'DADOS BRUTOS'!O$3:O$500)+IF($C11="",0,SUMIF('DADOS BRUTOS'!$A$3:$A$500,$C11,'DADOS BRUTOS'!O$3:O$500)))</f>
        <v>1467.74</v>
      </c>
      <c r="CP11" s="133" t="n">
        <f aca="false">IF(OR(CP$4="",$B11=""),0,SUMIF('DADOS BRUTOS'!$A$3:$A$500,$B11,'DADOS BRUTOS'!P$3:P$500)+IF($C11="",0,SUMIF('DADOS BRUTOS'!$A$3:$A$500,$C11,'DADOS BRUTOS'!P$3:P$500)))</f>
        <v>0</v>
      </c>
      <c r="CQ11" s="133" t="n">
        <f aca="false">IF(OR(CQ$4="",$B11=""),0,SUMIF('DADOS BRUTOS'!$A$3:$A$500,$B11,'DADOS BRUTOS'!Q$3:Q$500)+IF($C11="",0,SUMIF('DADOS BRUTOS'!$A$3:$A$500,$C11,'DADOS BRUTOS'!Q$3:Q$500)))</f>
        <v>0</v>
      </c>
      <c r="CR11" s="133" t="n">
        <f aca="false">IF(OR(CR$4="",$B11=""),0,SUMIF('DADOS BRUTOS'!$A$3:$A$500,$B11,'DADOS BRUTOS'!R$3:R$500)+IF($C11="",0,SUMIF('DADOS BRUTOS'!$A$3:$A$500,$C11,'DADOS BRUTOS'!R$3:R$500)))</f>
        <v>66.6</v>
      </c>
      <c r="CS11" s="133" t="n">
        <f aca="false">IF(OR(CS$4="",$B11=""),0,SUMIF('DADOS BRUTOS'!$A$3:$A$500,$B11,'DADOS BRUTOS'!S$3:S$500)+IF($C11="",0,SUMIF('DADOS BRUTOS'!$A$3:$A$500,$C11,'DADOS BRUTOS'!S$3:S$500)))</f>
        <v>0</v>
      </c>
      <c r="CT11" s="133" t="n">
        <f aca="false">IF(OR(CT$4="",$B11=""),0,SUMIF('DADOS BRUTOS'!$A$3:$A$500,$B11,'DADOS BRUTOS'!T$3:T$500)+IF($C11="",0,SUMIF('DADOS BRUTOS'!$A$3:$A$500,$C11,'DADOS BRUTOS'!T$3:T$500)))</f>
        <v>0</v>
      </c>
      <c r="CU11" s="133" t="n">
        <f aca="false">IF(OR(CU$4="",$B11=""),0,SUMIF('DADOS BRUTOS'!$A$3:$A$500,$B11,'DADOS BRUTOS'!U$3:U$500)+IF($C11="",0,SUMIF('DADOS BRUTOS'!$A$3:$A$500,$C11,'DADOS BRUTOS'!U$3:U$500)))</f>
        <v>0</v>
      </c>
      <c r="CV11" s="133" t="n">
        <f aca="false">IF(OR(CV$4="",$B11=""),0,SUMIF('DADOS BRUTOS'!$A$3:$A$500,$B11,'DADOS BRUTOS'!V$3:V$500)+IF($C11="",0,SUMIF('DADOS BRUTOS'!$A$3:$A$500,$C11,'DADOS BRUTOS'!V$3:V$500)))</f>
        <v>0</v>
      </c>
      <c r="CW11" s="133" t="n">
        <f aca="false">IF(OR(CW$4="",$B11=""),0,SUMIF('DADOS BRUTOS'!$A$3:$A$500,$B11,'DADOS BRUTOS'!W$3:W$500)+IF($C11="",0,SUMIF('DADOS BRUTOS'!$A$3:$A$500,$C11,'DADOS BRUTOS'!W$3:W$500)))</f>
        <v>850.17</v>
      </c>
      <c r="CX11" s="133" t="n">
        <f aca="false">IF(OR(CX$4="",$B11=""),0,SUMIF('DADOS BRUTOS'!$A$3:$A$500,$B11,'DADOS BRUTOS'!X$3:X$500)+IF($C11="",0,SUMIF('DADOS BRUTOS'!$A$3:$A$500,$C11,'DADOS BRUTOS'!X$3:X$500)))</f>
        <v>4204.06</v>
      </c>
      <c r="CY11" s="133" t="n">
        <f aca="false">IF(OR(CY$4="",$B11=""),0,SUMIF('DADOS BRUTOS'!$A$3:$A$500,$B11,'DADOS BRUTOS'!Y$3:Y$500)+IF($C11="",0,SUMIF('DADOS BRUTOS'!$A$3:$A$500,$C11,'DADOS BRUTOS'!Y$3:Y$500)))</f>
        <v>713.41</v>
      </c>
      <c r="CZ11" s="133" t="n">
        <f aca="false">IF(OR(CZ$4="",$B11=""),0,SUMIF('DADOS BRUTOS'!$A$3:$A$500,$B11,'DADOS BRUTOS'!Z$3:Z$500)+IF($C11="",0,SUMIF('DADOS BRUTOS'!$A$3:$A$500,$C11,'DADOS BRUTOS'!Z$3:Z$500)))</f>
        <v>1784.1</v>
      </c>
      <c r="DA11" s="133" t="n">
        <f aca="false">IF(OR(DA$4="",$B11=""),0,SUMIF('DADOS BRUTOS'!$A$3:$A$500,$B11,'DADOS BRUTOS'!AA$3:AA$500)+IF($C11="",0,SUMIF('DADOS BRUTOS'!$A$3:$A$500,$C11,'DADOS BRUTOS'!AA$3:AA$500)))</f>
        <v>1122.95</v>
      </c>
      <c r="DB11" s="133" t="n">
        <f aca="false">IF(OR(DB$4="",$B11=""),0,SUMIF('DADOS BRUTOS'!$A$3:$A$500,$B11,'DADOS BRUTOS'!AB$3:AB$500)+IF($C11="",0,SUMIF('DADOS BRUTOS'!$A$3:$A$500,$C11,'DADOS BRUTOS'!AB$3:AB$500)))</f>
        <v>1160.97</v>
      </c>
      <c r="DC11" s="133" t="n">
        <f aca="false">IF(OR(DC$4="",$B11=""),0,SUMIF('DADOS BRUTOS'!$A$3:$A$500,$B11,'DADOS BRUTOS'!AC$3:AC$500)+IF($C11="",0,SUMIF('DADOS BRUTOS'!$A$3:$A$500,$C11,'DADOS BRUTOS'!AC$3:AC$500)))</f>
        <v>2280.62</v>
      </c>
      <c r="DD11" s="133" t="n">
        <f aca="false">IF(OR(DD$4="",$B11=""),0,SUMIF('DADOS BRUTOS'!$A$3:$A$500,$B11,'DADOS BRUTOS'!AD$3:AD$500)+IF($C11="",0,SUMIF('DADOS BRUTOS'!$A$3:$A$500,$C11,'DADOS BRUTOS'!AD$3:AD$500)))</f>
        <v>1594.82</v>
      </c>
      <c r="DE11" s="133" t="n">
        <f aca="false">IF(OR(DE$4="",$B11=""),0,SUMIF('DADOS BRUTOS'!$A$3:$A$500,$B11,'DADOS BRUTOS'!AE$3:AE$500)+IF($C11="",0,SUMIF('DADOS BRUTOS'!$A$3:$A$500,$C11,'DADOS BRUTOS'!AE$3:AE$500)))</f>
        <v>1922.39</v>
      </c>
      <c r="DF11" s="133" t="n">
        <f aca="false">IF(OR(DF$4="",$B11=""),0,SUMIF('DADOS BRUTOS'!$A$3:$A$500,$B11,'DADOS BRUTOS'!AF$3:AF$500)+IF($C11="",0,SUMIF('DADOS BRUTOS'!$A$3:$A$500,$C11,'DADOS BRUTOS'!AF$3:AF$500)))</f>
        <v>1559.18</v>
      </c>
      <c r="DG11" s="133" t="n">
        <f aca="false">IF(OR(DG$4="",$B11=""),0,SUMIF('DADOS BRUTOS'!$A$3:$A$500,$B11,'DADOS BRUTOS'!AG$3:AG$500)+IF($C11="",0,SUMIF('DADOS BRUTOS'!$A$3:$A$500,$C11,'DADOS BRUTOS'!AG$3:AG$500)))</f>
        <v>2538.36</v>
      </c>
      <c r="DH11" s="133" t="n">
        <f aca="false">IF(OR(DH$4="",$B11=""),0,SUMIF('DADOS BRUTOS'!$A$3:$A$500,$B11,'DADOS BRUTOS'!AH$3:AH$500)+IF($C11="",0,SUMIF('DADOS BRUTOS'!$A$3:$A$500,$C11,'DADOS BRUTOS'!AH$3:AH$500)))</f>
        <v>5139.73</v>
      </c>
      <c r="DI11" s="133" t="n">
        <f aca="false">IF(OR(DI$4="",$B11=""),0,SUMIF('DADOS BRUTOS'!$A$3:$A$500,$B11,'DADOS BRUTOS'!AI$3:AI$500)+IF($C11="",0,SUMIF('DADOS BRUTOS'!$A$3:$A$500,$C11,'DADOS BRUTOS'!AI$3:AI$500)))</f>
        <v>6268.27</v>
      </c>
      <c r="DJ11" s="133" t="n">
        <f aca="false">IF(OR(DJ$4="",$B11=""),0,SUMIF('DADOS BRUTOS'!$A$3:$A$500,$B11,'DADOS BRUTOS'!AJ$3:AJ$500)+IF($C11="",0,SUMIF('DADOS BRUTOS'!$A$3:$A$500,$C11,'DADOS BRUTOS'!AJ$3:AJ$500)))</f>
        <v>1218.69</v>
      </c>
      <c r="DK11" s="133" t="n">
        <f aca="false">IF(OR(DK$4="",$B11=""),0,SUMIF('DADOS BRUTOS'!$A$3:$A$500,$B11,'DADOS BRUTOS'!AK$3:AK$500)+IF($C11="",0,SUMIF('DADOS BRUTOS'!$A$3:$A$500,$C11,'DADOS BRUTOS'!AK$3:AK$500)))</f>
        <v>4669.99</v>
      </c>
      <c r="DL11" s="133" t="n">
        <f aca="false">IF(OR(DL$4="",$B11=""),0,SUMIF('DADOS BRUTOS'!$A$3:$A$500,$B11,'DADOS BRUTOS'!AL$3:AL$500)+IF($C11="",0,SUMIF('DADOS BRUTOS'!$A$3:$A$500,$C11,'DADOS BRUTOS'!AL$3:AL$500)))</f>
        <v>0</v>
      </c>
      <c r="DM11" s="133" t="n">
        <f aca="false">IF(OR(DM$4="",$B11=""),0,SUMIF('DADOS BRUTOS'!$A$3:$A$500,$B11,'DADOS BRUTOS'!AM$3:AM$500)+IF($C11="",0,SUMIF('DADOS BRUTOS'!$A$3:$A$500,$C11,'DADOS BRUTOS'!AM$3:AM$500)))</f>
        <v>0</v>
      </c>
      <c r="DN11" s="133" t="n">
        <f aca="false">IF(OR(DN$4="",$B11=""),0,SUMIF('DADOS BRUTOS'!$A$3:$A$500,$B11,'DADOS BRUTOS'!AN$3:AN$500)+IF($C11="",0,SUMIF('DADOS BRUTOS'!$A$3:$A$500,$C11,'DADOS BRUTOS'!AN$3:AN$500)))</f>
        <v>0</v>
      </c>
      <c r="DO11" s="133" t="n">
        <f aca="false">IF(OR(DO$4="",$B11=""),0,SUMIF('DADOS BRUTOS'!$A$3:$A$500,$B11,'DADOS BRUTOS'!AO$3:AO$500)+IF($C11="",0,SUMIF('DADOS BRUTOS'!$A$3:$A$500,$C11,'DADOS BRUTOS'!AO$3:AO$500)))</f>
        <v>0</v>
      </c>
      <c r="DP11" s="133" t="n">
        <f aca="false">IF(OR(DP$4="",$B11=""),0,SUMIF('DADOS BRUTOS'!$A$3:$A$500,$B11,'DADOS BRUTOS'!AP$3:AP$500)+IF($C11="",0,SUMIF('DADOS BRUTOS'!$A$3:$A$500,$C11,'DADOS BRUTOS'!AP$3:AP$500)))</f>
        <v>0</v>
      </c>
      <c r="DQ11" s="133" t="n">
        <f aca="false">IF(OR(DQ$4="",$B11=""),0,SUMIF('DADOS BRUTOS'!$A$3:$A$500,$B11,'DADOS BRUTOS'!AQ$3:AQ$500)+IF($C11="",0,SUMIF('DADOS BRUTOS'!$A$3:$A$500,$C11,'DADOS BRUTOS'!AQ$3:AQ$500)))</f>
        <v>0</v>
      </c>
      <c r="DR11" s="133" t="n">
        <f aca="false">IF(OR(DR$4="",$B11=""),0,SUMIF('DADOS BRUTOS'!$A$3:$A$500,$B11,'DADOS BRUTOS'!AR$3:AR$500)+IF($C11="",0,SUMIF('DADOS BRUTOS'!$A$3:$A$500,$C11,'DADOS BRUTOS'!AR$3:AR$500)))</f>
        <v>0</v>
      </c>
      <c r="DS11" s="133" t="n">
        <f aca="false">IF(OR(DS$4="",$B11=""),0,SUMIF('DADOS BRUTOS'!$A$3:$A$500,$B11,'DADOS BRUTOS'!AS$3:AS$500)+IF($C11="",0,SUMIF('DADOS BRUTOS'!$A$3:$A$500,$C11,'DADOS BRUTOS'!AS$3:AS$500)))</f>
        <v>0</v>
      </c>
      <c r="DT11" s="133" t="n">
        <f aca="false">IF(OR(DT$4="",$B11=""),0,SUMIF('DADOS BRUTOS'!$A$3:$A$500,$B11,'DADOS BRUTOS'!AT$3:AT$500)+IF($C11="",0,SUMIF('DADOS BRUTOS'!$A$3:$A$500,$C11,'DADOS BRUTOS'!AT$3:AT$500)))</f>
        <v>0</v>
      </c>
      <c r="DU11" s="133" t="n">
        <f aca="false">IF(OR(DU$4="",$B11=""),0,SUMIF('DADOS BRUTOS'!$A$3:$A$500,$B11,'DADOS BRUTOS'!AU$3:AU$500)+IF($C11="",0,SUMIF('DADOS BRUTOS'!$A$3:$A$500,$C11,'DADOS BRUTOS'!AU$3:AU$500)))</f>
        <v>0</v>
      </c>
      <c r="DV11" s="133" t="n">
        <f aca="false">IF(OR(DV$4="",$B11=""),0,SUMIF('DADOS BRUTOS'!$A$3:$A$500,$B11,'DADOS BRUTOS'!AV$3:AV$500)+IF($C11="",0,SUMIF('DADOS BRUTOS'!$A$3:$A$500,$C11,'DADOS BRUTOS'!AV$3:AV$500)))</f>
        <v>0</v>
      </c>
      <c r="DW11" s="133" t="n">
        <f aca="false">IF(OR(DW$4="",$B11=""),0,SUMIF('DADOS BRUTOS'!$A$3:$A$500,$B11,'DADOS BRUTOS'!AW$3:AW$500)+IF($C11="",0,SUMIF('DADOS BRUTOS'!$A$3:$A$500,$C11,'DADOS BRUTOS'!AW$3:AW$500)))</f>
        <v>0</v>
      </c>
      <c r="DX11" s="133" t="n">
        <f aca="false">IF(OR(DX$4="",$B11=""),0,SUMIF('DADOS BRUTOS'!$A$3:$A$500,$B11,'DADOS BRUTOS'!AX$3:AX$500)+IF($C11="",0,SUMIF('DADOS BRUTOS'!$A$3:$A$500,$C11,'DADOS BRUTOS'!AX$3:AX$500)))</f>
        <v>0</v>
      </c>
      <c r="DY11" s="133" t="n">
        <f aca="false">IF(OR(DY$4="",$B11=""),0,SUMIF('DADOS BRUTOS'!$A$3:$A$500,$B11,'DADOS BRUTOS'!AY$3:AY$500)+IF($C11="",0,SUMIF('DADOS BRUTOS'!$A$3:$A$500,$C11,'DADOS BRUTOS'!AY$3:AY$500)))</f>
        <v>0</v>
      </c>
      <c r="DZ11" s="133" t="n">
        <f aca="false">IF(OR(DZ$4="",$B11=""),0,SUMIF('DADOS BRUTOS'!$A$3:$A$500,$B11,'DADOS BRUTOS'!AZ$3:AZ$500)+IF($C11="",0,SUMIF('DADOS BRUTOS'!$A$3:$A$500,$C11,'DADOS BRUTOS'!AZ$3:AZ$500)))</f>
        <v>0</v>
      </c>
      <c r="EA11" s="133" t="n">
        <f aca="false">IF(OR(EA$4="",$B11=""),0,SUMIF('DADOS BRUTOS'!$A$3:$A$500,$B11,'DADOS BRUTOS'!BA$3:BA$500)+IF($C11="",0,SUMIF('DADOS BRUTOS'!$A$3:$A$500,$C11,'DADOS BRUTOS'!BA$3:BA$500)))</f>
        <v>0</v>
      </c>
      <c r="EB11" s="133" t="n">
        <f aca="false">IF(OR(EB$4="",$B11=""),0,SUMIF('DADOS BRUTOS'!$A$3:$A$500,$B11,'DADOS BRUTOS'!BB$3:BB$500)+IF($C11="",0,SUMIF('DADOS BRUTOS'!$A$3:$A$500,$C11,'DADOS BRUTOS'!BB$3:BB$500)))</f>
        <v>0</v>
      </c>
      <c r="EC11" s="133" t="n">
        <f aca="false">IF(OR(EC$4="",$B11=""),0,SUMIF('DADOS BRUTOS'!$A$3:$A$500,$B11,'DADOS BRUTOS'!BC$3:BC$500)+IF($C11="",0,SUMIF('DADOS BRUTOS'!$A$3:$A$500,$C11,'DADOS BRUTOS'!BC$3:BC$500)))</f>
        <v>0</v>
      </c>
      <c r="ED11" s="133" t="n">
        <f aca="false">IF(OR(ED$4="",$B11=""),0,SUMIF('DADOS BRUTOS'!$A$3:$A$500,$B11,'DADOS BRUTOS'!BD$3:BD$500)+IF($C11="",0,SUMIF('DADOS BRUTOS'!$A$3:$A$500,$C11,'DADOS BRUTOS'!BD$3:BD$500)))</f>
        <v>0</v>
      </c>
      <c r="EE11" s="133" t="n">
        <f aca="false">IF(OR(EE$4="",$B11=""),0,SUMIF('DADOS BRUTOS'!$A$3:$A$500,$B11,'DADOS BRUTOS'!BE$3:BE$500)+IF($C11="",0,SUMIF('DADOS BRUTOS'!$A$3:$A$500,$C11,'DADOS BRUTOS'!BE$3:BE$500)))</f>
        <v>0</v>
      </c>
      <c r="EF11" s="133" t="n">
        <f aca="false">IF(OR(EF$4="",$B11=""),0,SUMIF('DADOS BRUTOS'!$A$3:$A$500,$B11,'DADOS BRUTOS'!BF$3:BF$500)+IF($C11="",0,SUMIF('DADOS BRUTOS'!$A$3:$A$500,$C11,'DADOS BRUTOS'!BF$3:BF$500)))</f>
        <v>0</v>
      </c>
      <c r="EG11" s="133" t="n">
        <f aca="false">IF(OR(EG$4="",$B11=""),0,SUMIF('DADOS BRUTOS'!$A$3:$A$500,$B11,'DADOS BRUTOS'!BG$3:BG$500)+IF($C11="",0,SUMIF('DADOS BRUTOS'!$A$3:$A$500,$C11,'DADOS BRUTOS'!BG$3:BG$500)))</f>
        <v>0</v>
      </c>
      <c r="EH11" s="133" t="n">
        <f aca="false">IF(OR(EH$4="",$B11=""),0,SUMIF('DADOS BRUTOS'!$A$3:$A$500,$B11,'DADOS BRUTOS'!BH$3:BH$500)+IF($C11="",0,SUMIF('DADOS BRUTOS'!$A$3:$A$500,$C11,'DADOS BRUTOS'!BH$3:BH$500)))</f>
        <v>0</v>
      </c>
      <c r="EI11" s="133" t="n">
        <f aca="false">IF(OR(EI$4="",$B11=""),0,SUMIF('DADOS BRUTOS'!$A$3:$A$500,$B11,'DADOS BRUTOS'!BI$3:BI$500)+IF($C11="",0,SUMIF('DADOS BRUTOS'!$A$3:$A$500,$C11,'DADOS BRUTOS'!BI$3:BI$500)))</f>
        <v>0</v>
      </c>
      <c r="EJ11" s="133" t="n">
        <f aca="false">IF(OR(EJ$4="",$B11=""),0,SUMIF('DADOS BRUTOS'!$A$3:$A$500,$B11,'DADOS BRUTOS'!BJ$3:BJ$500)+IF($C11="",0,SUMIF('DADOS BRUTOS'!$A$3:$A$500,$C11,'DADOS BRUTOS'!BJ$3:BJ$500)))</f>
        <v>0</v>
      </c>
      <c r="EK11" s="133" t="n">
        <f aca="false">IF(OR(EK$4="",$B11=""),0,SUMIF('DADOS BRUTOS'!$A$3:$A$500,$B11,'DADOS BRUTOS'!BK$3:BK$500)+IF($C11="",0,SUMIF('DADOS BRUTOS'!$A$3:$A$500,$C11,'DADOS BRUTOS'!BK$3:BK$500)))</f>
        <v>0</v>
      </c>
      <c r="EL11" s="133" t="n">
        <f aca="false">IF(OR(EL$4="",$B11=""),0,SUMIF('DADOS BRUTOS'!$A$3:$A$500,$B11,'DADOS BRUTOS'!BL$3:BL$500)+IF($C11="",0,SUMIF('DADOS BRUTOS'!$A$3:$A$500,$C11,'DADOS BRUTOS'!BL$3:BL$500)))</f>
        <v>0</v>
      </c>
      <c r="EM11" s="133" t="n">
        <f aca="false">IF(OR(EM$4="",$B11=""),0,SUMIF('DADOS BRUTOS'!$A$3:$A$500,$B11,'DADOS BRUTOS'!BM$3:BM$500)+IF($C11="",0,SUMIF('DADOS BRUTOS'!$A$3:$A$500,$C11,'DADOS BRUTOS'!BM$3:BM$500)))</f>
        <v>0</v>
      </c>
      <c r="EN11" s="133" t="n">
        <f aca="false">IF(OR(EN$4="",$B11=""),0,SUMIF('DADOS BRUTOS'!$A$3:$A$500,$B11,'DADOS BRUTOS'!BN$3:BN$500)+IF($C11="",0,SUMIF('DADOS BRUTOS'!$A$3:$A$500,$C11,'DADOS BRUTOS'!BN$3:BN$500)))</f>
        <v>0</v>
      </c>
      <c r="EO11" s="133" t="n">
        <f aca="false">IF(OR(EO$4="",$B11=""),0,SUMIF('DADOS BRUTOS'!$A$3:$A$500,$B11,'DADOS BRUTOS'!BO$3:BO$500)+IF($C11="",0,SUMIF('DADOS BRUTOS'!$A$3:$A$500,$C11,'DADOS BRUTOS'!BO$3:BO$500)))</f>
        <v>0</v>
      </c>
      <c r="EP11" s="133" t="n">
        <f aca="false">IF(OR(EP$4="",$B11=""),0,SUMIF('DADOS BRUTOS'!$A$3:$A$500,$B11,'DADOS BRUTOS'!BP$3:BP$500)+IF($C11="",0,SUMIF('DADOS BRUTOS'!$A$3:$A$500,$C11,'DADOS BRUTOS'!BP$3:BP$500)))</f>
        <v>0</v>
      </c>
      <c r="EQ11" s="133" t="n">
        <f aca="false">IF(OR(EQ$4="",$B11=""),0,SUMIF('DADOS BRUTOS'!$A$3:$A$500,$B11,'DADOS BRUTOS'!BQ$3:BQ$500)+IF($C11="",0,SUMIF('DADOS BRUTOS'!$A$3:$A$500,$C11,'DADOS BRUTOS'!BQ$3:BQ$500)))</f>
        <v>0</v>
      </c>
      <c r="ER11" s="133" t="n">
        <f aca="false">IF(OR(ER$4="",$B11=""),0,SUMIF('DADOS BRUTOS'!$A$3:$A$500,$B11,'DADOS BRUTOS'!BR$3:BR$500)+IF($C11="",0,SUMIF('DADOS BRUTOS'!$A$3:$A$500,$C11,'DADOS BRUTOS'!BR$3:BR$500)))</f>
        <v>0</v>
      </c>
      <c r="ES11" s="133" t="n">
        <f aca="false">IF(OR(ES$4="",$B11=""),0,SUMIF('DADOS BRUTOS'!$A$3:$A$500,$B11,'DADOS BRUTOS'!BS$3:BS$500)+IF($C11="",0,SUMIF('DADOS BRUTOS'!$A$3:$A$500,$C11,'DADOS BRUTOS'!BS$3:BS$500)))</f>
        <v>0</v>
      </c>
      <c r="ET11" s="133" t="n">
        <f aca="false">IF(OR(ET$4="",$B11=""),0,SUMIF('DADOS BRUTOS'!$A$3:$A$500,$B11,'DADOS BRUTOS'!BT$3:BT$500)+IF($C11="",0,SUMIF('DADOS BRUTOS'!$A$3:$A$500,$C11,'DADOS BRUTOS'!BT$3:BT$500)))</f>
        <v>0</v>
      </c>
      <c r="EU11" s="133" t="n">
        <f aca="false">IF(OR(EU$4="",$B11=""),0,SUMIF('DADOS BRUTOS'!$A$3:$A$500,$B11,'DADOS BRUTOS'!BU$3:BU$500)+IF($C11="",0,SUMIF('DADOS BRUTOS'!$A$3:$A$500,$C11,'DADOS BRUTOS'!BU$3:BU$500)))</f>
        <v>0</v>
      </c>
      <c r="EV11" s="133" t="n">
        <f aca="false">IF(OR(EV$4="",$B11=""),0,SUMIF('DADOS BRUTOS'!$A$3:$A$500,$B11,'DADOS BRUTOS'!BV$3:BV$500)+IF($C11="",0,SUMIF('DADOS BRUTOS'!$A$3:$A$500,$C11,'DADOS BRUTOS'!BV$3:BV$500)))</f>
        <v>0</v>
      </c>
      <c r="EW11" s="133" t="n">
        <f aca="false">IF(OR(EW$4="",$B11=""),0,SUMIF('DADOS BRUTOS'!$A$3:$A$500,$B11,'DADOS BRUTOS'!BW$3:BW$500)+IF($C11="",0,SUMIF('DADOS BRUTOS'!$A$3:$A$500,$C11,'DADOS BRUTOS'!BW$3:BW$500)))</f>
        <v>0</v>
      </c>
      <c r="EX11" s="133" t="n">
        <f aca="false">IF(OR(EX$4="",$B11=""),0,SUMIF('DADOS BRUTOS'!$A$3:$A$500,$B11,'DADOS BRUTOS'!BX$3:BX$500)+IF($C11="",0,SUMIF('DADOS BRUTOS'!$A$3:$A$500,$C11,'DADOS BRUTOS'!BX$3:BX$500)))</f>
        <v>0</v>
      </c>
      <c r="EY11" s="133" t="n">
        <f aca="false">IF(OR(EY$4="",$B11=""),0,SUMIF('DADOS BRUTOS'!$A$3:$A$500,$B11,'DADOS BRUTOS'!BY$3:BY$500)+IF($C11="",0,SUMIF('DADOS BRUTOS'!$A$3:$A$500,$C11,'DADOS BRUTOS'!BY$3:BY$500)))</f>
        <v>0</v>
      </c>
      <c r="EZ11" s="133" t="n">
        <f aca="false">IF(OR(EZ$4="",$B11=""),0,SUMIF('DADOS BRUTOS'!$A$3:$A$500,$B11,'DADOS BRUTOS'!BZ$3:BZ$500)+IF($C11="",0,SUMIF('DADOS BRUTOS'!$A$3:$A$500,$C11,'DADOS BRUTOS'!BZ$3:BZ$500)))</f>
        <v>0</v>
      </c>
      <c r="FA11" s="133" t="n">
        <f aca="false">IF(OR(FA$4="",$B11=""),0,SUMIF('DADOS BRUTOS'!$A$3:$A$500,$B11,'DADOS BRUTOS'!CA$3:CA$500)+IF($C11="",0,SUMIF('DADOS BRUTOS'!$A$3:$A$500,$C11,'DADOS BRUTOS'!CA$3:CA$500)))</f>
        <v>0</v>
      </c>
      <c r="FB11" s="133" t="n">
        <f aca="false">IF(OR(FB$4="",$B11=""),0,SUMIF('DADOS BRUTOS'!$A$3:$A$500,$B11,'DADOS BRUTOS'!CB$3:CB$500)+IF($C11="",0,SUMIF('DADOS BRUTOS'!$A$3:$A$500,$C11,'DADOS BRUTOS'!CB$3:CB$500)))</f>
        <v>0</v>
      </c>
      <c r="FC11" s="133" t="n">
        <f aca="false">IF(OR(FC$4="",$B11=""),0,SUMIF('DADOS BRUTOS'!$A$3:$A$500,$B11,'DADOS BRUTOS'!CC$3:CC$500)+IF($C11="",0,SUMIF('DADOS BRUTOS'!$A$3:$A$500,$C11,'DADOS BRUTOS'!CC$3:CC$500)))</f>
        <v>0</v>
      </c>
      <c r="FD11" s="133" t="n">
        <f aca="false">IF(OR(FD$4="",$B11=""),0,SUMIF('DADOS BRUTOS'!$A$3:$A$500,$B11,'DADOS BRUTOS'!CD$3:CD$500)+IF($C11="",0,SUMIF('DADOS BRUTOS'!$A$3:$A$500,$C11,'DADOS BRUTOS'!CD$3:CD$500)))</f>
        <v>0</v>
      </c>
      <c r="FE11" s="133" t="n">
        <f aca="false">IF(OR(FE$4="",$B11=""),0,SUMIF('DADOS BRUTOS'!$A$3:$A$500,$B11,'DADOS BRUTOS'!CE$3:CE$500)+IF($C11="",0,SUMIF('DADOS BRUTOS'!$A$3:$A$500,$C11,'DADOS BRUTOS'!CE$3:CE$500)))</f>
        <v>0</v>
      </c>
      <c r="FF11" s="133" t="n">
        <f aca="false">IF(OR(FF$4="",$B11=""),0,SUMIF('DADOS BRUTOS'!$A$3:$A$500,$B11,'DADOS BRUTOS'!CF$3:CF$500)+IF($C11="",0,SUMIF('DADOS BRUTOS'!$A$3:$A$500,$C11,'DADOS BRUTOS'!CF$3:CF$500)))</f>
        <v>0</v>
      </c>
      <c r="FG11" s="133" t="n">
        <f aca="false">IF(OR(FG$4="",$B11=""),0,SUMIF('DADOS BRUTOS'!$A$3:$A$500,$B11,'DADOS BRUTOS'!CG$3:CG$500)+IF($C11="",0,SUMIF('DADOS BRUTOS'!$A$3:$A$500,$C11,'DADOS BRUTOS'!CG$3:CG$500)))</f>
        <v>0</v>
      </c>
      <c r="FH11" s="133" t="n">
        <f aca="false">IF(OR(FH$4="",$B11=""),0,SUMIF('DADOS BRUTOS'!$A$3:$A$500,$B11,'DADOS BRUTOS'!CH$3:CH$500)+IF($C11="",0,SUMIF('DADOS BRUTOS'!$A$3:$A$500,$C11,'DADOS BRUTOS'!CH$3:CH$500)))</f>
        <v>0</v>
      </c>
      <c r="FI11" s="133" t="n">
        <f aca="false">IF(OR(FI$4="",$B11=""),0,SUMIF('DADOS BRUTOS'!$A$3:$A$500,$B11,'DADOS BRUTOS'!CI$3:CI$500)+IF($C11="",0,SUMIF('DADOS BRUTOS'!$A$3:$A$500,$C11,'DADOS BRUTOS'!CI$3:CI$500)))</f>
        <v>0</v>
      </c>
      <c r="FJ11" s="133" t="n">
        <f aca="false">IF(OR(FJ$4="",$B11=""),0,SUMIF('DADOS BRUTOS'!$A$3:$A$500,$B11,'DADOS BRUTOS'!CJ$3:CJ$500)+IF($C11="",0,SUMIF('DADOS BRUTOS'!$A$3:$A$500,$C11,'DADOS BRUTOS'!CJ$3:CJ$500)))</f>
        <v>0</v>
      </c>
      <c r="FK11" s="133" t="n">
        <f aca="false">IF(OR(FK$4="",$B11=""),0,SUMIF('DADOS BRUTOS'!$A$3:$A$500,$B11,'DADOS BRUTOS'!CK$3:CK$500)+IF($C11="",0,SUMIF('DADOS BRUTOS'!$A$3:$A$500,$C11,'DADOS BRUTOS'!CK$3:CK$500)))</f>
        <v>0</v>
      </c>
      <c r="FL11" s="133" t="n">
        <f aca="false">IF(OR(FL$4="",$B11=""),0,SUMIF('DADOS BRUTOS'!$A$3:$A$500,$B11,'DADOS BRUTOS'!CL$3:CL$500)+IF($C11="",0,SUMIF('DADOS BRUTOS'!$A$3:$A$500,$C11,'DADOS BRUTOS'!CL$3:CL$500)))</f>
        <v>0</v>
      </c>
      <c r="FM11" s="133" t="n">
        <f aca="false">IF(OR(FM$4="",$B11=""),0,SUMIF('DADOS BRUTOS'!$A$3:$A$500,$B11,'DADOS BRUTOS'!CM$3:CM$500)+IF($C11="",0,SUMIF('DADOS BRUTOS'!$A$3:$A$500,$C11,'DADOS BRUTOS'!CM$3:CM$500)))</f>
        <v>0</v>
      </c>
      <c r="FN11" s="133" t="n">
        <f aca="false">IF(OR(FN$4="",$B11=""),0,SUMIF('DADOS BRUTOS'!$A$3:$A$500,$B11,'DADOS BRUTOS'!CN$3:CN$500)+IF($C11="",0,SUMIF('DADOS BRUTOS'!$A$3:$A$500,$C11,'DADOS BRUTOS'!CN$3:CN$500)))</f>
        <v>0</v>
      </c>
      <c r="FO11" s="133" t="n">
        <f aca="false">IF(OR(FO$4="",$B11=""),0,SUMIF('DADOS BRUTOS'!$A$3:$A$500,$B11,'DADOS BRUTOS'!CO$3:CO$500)+IF($C11="",0,SUMIF('DADOS BRUTOS'!$A$3:$A$500,$C11,'DADOS BRUTOS'!CO$3:CO$500)))</f>
        <v>0</v>
      </c>
      <c r="FP11" s="133" t="n">
        <f aca="false">IF(OR(FP$4="",$B11=""),0,SUMIF('DADOS BRUTOS'!$A$3:$A$500,$B11,'DADOS BRUTOS'!CP$3:CP$500)+IF($C11="",0,SUMIF('DADOS BRUTOS'!$A$3:$A$500,$C11,'DADOS BRUTOS'!CP$3:CP$500)))</f>
        <v>0</v>
      </c>
      <c r="FQ11" s="133" t="n">
        <f aca="false">IF(OR(FQ$4="",$B11=""),0,SUMIF('DADOS BRUTOS'!$A$3:$A$500,$B11,'DADOS BRUTOS'!CQ$3:CQ$500)+IF($C11="",0,SUMIF('DADOS BRUTOS'!$A$3:$A$500,$C11,'DADOS BRUTOS'!CQ$3:CQ$500)))</f>
        <v>0</v>
      </c>
      <c r="FR11" s="133" t="n">
        <f aca="false">IF(OR(FR$4="",$B11=""),0,SUMIF('DADOS BRUTOS'!$A$3:$A$500,$B11,'DADOS BRUTOS'!CR$3:CR$500)+IF($C11="",0,SUMIF('DADOS BRUTOS'!$A$3:$A$500,$C11,'DADOS BRUTOS'!CR$3:CR$500)))</f>
        <v>0</v>
      </c>
      <c r="FS11" s="133" t="n">
        <f aca="false">IF(OR(FS$4="",$B11=""),0,SUMIF('DADOS BRUTOS'!$A$3:$A$500,$B11,'DADOS BRUTOS'!CS$3:CS$500)+IF($C11="",0,SUMIF('DADOS BRUTOS'!$A$3:$A$500,$C11,'DADOS BRUTOS'!CS$3:CS$500)))</f>
        <v>0</v>
      </c>
      <c r="FT11" s="133" t="n">
        <f aca="false">IF(OR(FT$4="",$B11=""),0,SUMIF('DADOS BRUTOS'!$A$3:$A$500,$B11,'DADOS BRUTOS'!CT$3:CT$500)+IF($C11="",0,SUMIF('DADOS BRUTOS'!$A$3:$A$500,$C11,'DADOS BRUTOS'!CT$3:CT$500)))</f>
        <v>0</v>
      </c>
      <c r="FU11" s="133" t="n">
        <f aca="false">IF(OR(FU$4="",$B11=""),0,SUMIF('DADOS BRUTOS'!$A$3:$A$500,$B11,'DADOS BRUTOS'!CU$3:CU$500)+IF($C11="",0,SUMIF('DADOS BRUTOS'!$A$3:$A$500,$C11,'DADOS BRUTOS'!CU$3:CU$500)))</f>
        <v>0</v>
      </c>
      <c r="FV11" s="133" t="n">
        <f aca="false">IF(OR(FV$4="",$B11=""),0,SUMIF('DADOS BRUTOS'!$A$3:$A$500,$B11,'DADOS BRUTOS'!CV$3:CV$500)+IF($C11="",0,SUMIF('DADOS BRUTOS'!$A$3:$A$500,$C11,'DADOS BRUTOS'!CV$3:CV$500)))</f>
        <v>0</v>
      </c>
      <c r="FW11" s="133" t="n">
        <f aca="false">IF(OR(FW$4="",$B11=""),0,SUMIF('DADOS BRUTOS'!$A$3:$A$500,$B11,'DADOS BRUTOS'!CW$3:CW$500)+IF($C11="",0,SUMIF('DADOS BRUTOS'!$A$3:$A$500,$C11,'DADOS BRUTOS'!CW$3:CW$500)))</f>
        <v>0</v>
      </c>
      <c r="FX11" s="133" t="n">
        <f aca="false">IF(OR(FX$4="",$B11=""),0,SUMIF('DADOS BRUTOS'!$A$3:$A$500,$B11,'DADOS BRUTOS'!CX$3:CX$500)+IF($C11="",0,SUMIF('DADOS BRUTOS'!$A$3:$A$500,$C11,'DADOS BRUTOS'!CX$3:CX$500)))</f>
        <v>0</v>
      </c>
      <c r="FY11" s="133" t="n">
        <f aca="false">IF(OR(FY$4="",$B11=""),0,SUMIF('DADOS BRUTOS'!$A$3:$A$500,$B11,'DADOS BRUTOS'!CY$3:CY$500)+IF($C11="",0,SUMIF('DADOS BRUTOS'!$A$3:$A$500,$C11,'DADOS BRUTOS'!CY$3:CY$500)))</f>
        <v>0</v>
      </c>
      <c r="FZ11" s="133" t="n">
        <f aca="false">IF(OR(FZ$4="",$B11=""),0,SUMIF('DADOS BRUTOS'!$A$3:$A$500,$B11,'DADOS BRUTOS'!CZ$3:CZ$500)+IF($C11="",0,SUMIF('DADOS BRUTOS'!$A$3:$A$500,$C11,'DADOS BRUTOS'!CZ$3:CZ$500)))</f>
        <v>0</v>
      </c>
      <c r="GA11" s="133" t="n">
        <f aca="false">IF(OR(GA$4="",$B11=""),0,SUMIF('DADOS BRUTOS'!$A$3:$A$500,$B11,'DADOS BRUTOS'!DA$3:DA$500)+IF($C11="",0,SUMIF('DADOS BRUTOS'!$A$3:$A$500,$C11,'DADOS BRUTOS'!DA$3:DA$500)))</f>
        <v>0</v>
      </c>
      <c r="GB11" s="133" t="n">
        <f aca="false">IF(OR(GB$4="",$B11=""),0,SUMIF('DADOS BRUTOS'!$A$3:$A$500,$B11,'DADOS BRUTOS'!DB$3:DB$500)+IF($C11="",0,SUMIF('DADOS BRUTOS'!$A$3:$A$500,$C11,'DADOS BRUTOS'!DB$3:DB$500)))</f>
        <v>0</v>
      </c>
      <c r="GC11" s="133" t="n">
        <f aca="false">IF(OR(GC$4="",$B11=""),0,SUMIF('DADOS BRUTOS'!$A$3:$A$500,$B11,'DADOS BRUTOS'!DC$3:DC$500)+IF($C11="",0,SUMIF('DADOS BRUTOS'!$A$3:$A$500,$C11,'DADOS BRUTOS'!DC$3:DC$500)))</f>
        <v>0</v>
      </c>
      <c r="GD11" s="133" t="n">
        <f aca="false">IF(OR(GD$4="",$B11=""),0,SUMIF('DADOS BRUTOS'!$A$3:$A$500,$B11,'DADOS BRUTOS'!DD$3:DD$500)+IF($C11="",0,SUMIF('DADOS BRUTOS'!$A$3:$A$500,$C11,'DADOS BRUTOS'!DD$3:DD$500)))</f>
        <v>0</v>
      </c>
      <c r="GE11" s="133" t="n">
        <f aca="false">IF(OR(GE$4="",$B11=""),0,SUMIF('DADOS BRUTOS'!$A$3:$A$500,$B11,'DADOS BRUTOS'!DE$3:DE$500)+IF($C11="",0,SUMIF('DADOS BRUTOS'!$A$3:$A$500,$C11,'DADOS BRUTOS'!DE$3:DE$500)))</f>
        <v>0</v>
      </c>
      <c r="GF11" s="133" t="n">
        <f aca="false">IF(OR(GF$4="",$B11=""),0,SUMIF('DADOS BRUTOS'!$A$3:$A$500,$B11,'DADOS BRUTOS'!DF$3:DF$500)+IF($C11="",0,SUMIF('DADOS BRUTOS'!$A$3:$A$500,$C11,'DADOS BRUTOS'!DF$3:DF$500)))</f>
        <v>0</v>
      </c>
      <c r="GG11" s="133" t="n">
        <f aca="false">IF(OR(GG$4="",$B11=""),0,SUMIF('DADOS BRUTOS'!$A$3:$A$500,$B11,'DADOS BRUTOS'!DG$3:DG$500)+IF($C11="",0,SUMIF('DADOS BRUTOS'!$A$3:$A$500,$C11,'DADOS BRUTOS'!DG$3:DG$500)))</f>
        <v>0</v>
      </c>
      <c r="GH11" s="133" t="n">
        <f aca="false">IF(OR(GH$4="",$B11=""),0,SUMIF('DADOS BRUTOS'!$A$3:$A$500,$B11,'DADOS BRUTOS'!DH$3:DH$500)+IF($C11="",0,SUMIF('DADOS BRUTOS'!$A$3:$A$500,$C11,'DADOS BRUTOS'!DH$3:DH$500)))</f>
        <v>0</v>
      </c>
      <c r="GI11" s="133" t="n">
        <f aca="false">IF(OR(GI$4="",$B11=""),0,SUMIF('DADOS BRUTOS'!$A$3:$A$500,$B11,'DADOS BRUTOS'!DI$3:DI$500)+IF($C11="",0,SUMIF('DADOS BRUTOS'!$A$3:$A$500,$C11,'DADOS BRUTOS'!DI$3:DI$500)))</f>
        <v>0</v>
      </c>
      <c r="GJ11" s="133" t="n">
        <f aca="false">IF(OR(GJ$4="",$B11=""),0,SUMIF('DADOS BRUTOS'!$A$3:$A$500,$B11,'DADOS BRUTOS'!DJ$3:DJ$500)+IF($C11="",0,SUMIF('DADOS BRUTOS'!$A$3:$A$500,$C11,'DADOS BRUTOS'!DJ$3:DJ$500)))</f>
        <v>0</v>
      </c>
      <c r="GK11" s="133" t="n">
        <f aca="false">IF(OR(GK$4="",$B11=""),0,SUMIF('DADOS BRUTOS'!$A$3:$A$500,$B11,'DADOS BRUTOS'!DK$3:DK$500)+IF($C11="",0,SUMIF('DADOS BRUTOS'!$A$3:$A$500,$C11,'DADOS BRUTOS'!DK$3:DK$500)))</f>
        <v>0</v>
      </c>
      <c r="GL11" s="133" t="n">
        <f aca="false">IF(OR(GL$4="",$B11=""),0,SUMIF('DADOS BRUTOS'!$A$3:$A$500,$B11,'DADOS BRUTOS'!DL$3:DL$500)+IF($C11="",0,SUMIF('DADOS BRUTOS'!$A$3:$A$500,$C11,'DADOS BRUTOS'!DL$3:DL$500)))</f>
        <v>0</v>
      </c>
      <c r="GM11" s="133" t="n">
        <f aca="false">IF(OR(GM$4="",$B11=""),0,SUMIF('DADOS BRUTOS'!$A$3:$A$500,$B11,'DADOS BRUTOS'!DM$3:DM$500)+IF($C11="",0,SUMIF('DADOS BRUTOS'!$A$3:$A$500,$C11,'DADOS BRUTOS'!DM$3:DM$500)))</f>
        <v>0</v>
      </c>
      <c r="GN11" s="133" t="n">
        <f aca="false">IF(OR(GN$4="",$B11=""),0,SUMIF('DADOS BRUTOS'!$A$3:$A$500,$B11,'DADOS BRUTOS'!DN$3:DN$500)+IF($C11="",0,SUMIF('DADOS BRUTOS'!$A$3:$A$500,$C11,'DADOS BRUTOS'!DN$3:DN$500)))</f>
        <v>0</v>
      </c>
      <c r="GO11" s="133" t="n">
        <f aca="false">IF(OR(GO$4="",$B11=""),0,SUMIF('DADOS BRUTOS'!$A$3:$A$500,$B11,'DADOS BRUTOS'!DO$3:DO$500)+IF($C11="",0,SUMIF('DADOS BRUTOS'!$A$3:$A$500,$C11,'DADOS BRUTOS'!DO$3:DO$500)))</f>
        <v>0</v>
      </c>
      <c r="GP11" s="133" t="n">
        <f aca="false">IF(OR(GP$4="",$B11=""),0,SUMIF('DADOS BRUTOS'!$A$3:$A$500,$B11,'DADOS BRUTOS'!DP$3:DP$500)+IF($C11="",0,SUMIF('DADOS BRUTOS'!$A$3:$A$500,$C11,'DADOS BRUTOS'!DP$3:DP$500)))</f>
        <v>0</v>
      </c>
      <c r="GQ11" s="133" t="n">
        <f aca="false">IF(OR(GQ$4="",$B11=""),0,SUMIF('DADOS BRUTOS'!$A$3:$A$500,$B11,'DADOS BRUTOS'!DQ$3:DQ$500)+IF($C11="",0,SUMIF('DADOS BRUTOS'!$A$3:$A$500,$C11,'DADOS BRUTOS'!DQ$3:DQ$500)))</f>
        <v>0</v>
      </c>
      <c r="GR11" s="133" t="n">
        <f aca="false">IF(OR(GR$4="",$B11=""),0,SUMIF('DADOS BRUTOS'!$A$3:$A$500,$B11,'DADOS BRUTOS'!DR$3:DR$500)+IF($C11="",0,SUMIF('DADOS BRUTOS'!$A$3:$A$500,$C11,'DADOS BRUTOS'!DR$3:DR$500)))</f>
        <v>0</v>
      </c>
      <c r="GS11" s="133" t="n">
        <f aca="false">IF(OR(GS$4="",$B11=""),0,SUMIF('DADOS BRUTOS'!$A$3:$A$500,$B11,'DADOS BRUTOS'!DS$3:DS$500)+IF($C11="",0,SUMIF('DADOS BRUTOS'!$A$3:$A$500,$C11,'DADOS BRUTOS'!DS$3:DS$500)))</f>
        <v>0</v>
      </c>
      <c r="GT11" s="133" t="n">
        <f aca="false">IF(OR(GT$4="",$B11=""),0,SUMIF('DADOS BRUTOS'!$A$3:$A$500,$B11,'DADOS BRUTOS'!DT$3:DT$500)+IF($C11="",0,SUMIF('DADOS BRUTOS'!$A$3:$A$500,$C11,'DADOS BRUTOS'!DT$3:DT$500)))</f>
        <v>0</v>
      </c>
      <c r="GU11" s="133" t="n">
        <f aca="false">IF(OR(GU$4="",$B11=""),0,SUMIF('DADOS BRUTOS'!$A$3:$A$500,$B11,'DADOS BRUTOS'!DU$3:DU$500)+IF($C11="",0,SUMIF('DADOS BRUTOS'!$A$3:$A$500,$C11,'DADOS BRUTOS'!DU$3:DU$500)))</f>
        <v>0</v>
      </c>
      <c r="GV11" s="133" t="n">
        <f aca="false">IF(OR(GV$4="",$B11=""),0,SUMIF('DADOS BRUTOS'!$A$3:$A$500,$B11,'DADOS BRUTOS'!DV$3:DV$500)+IF($C11="",0,SUMIF('DADOS BRUTOS'!$A$3:$A$500,$C11,'DADOS BRUTOS'!DV$3:DV$500)))</f>
        <v>0</v>
      </c>
      <c r="GW11" s="133" t="n">
        <f aca="false">IF(OR(GW$4="",$B11=""),0,SUMIF('DADOS BRUTOS'!$A$3:$A$500,$B11,'DADOS BRUTOS'!DW$3:DW$500)+IF($C11="",0,SUMIF('DADOS BRUTOS'!$A$3:$A$500,$C11,'DADOS BRUTOS'!DW$3:DW$500)))</f>
        <v>0</v>
      </c>
      <c r="GX11" s="133" t="n">
        <f aca="false">IF(OR(GX$4="",$B11=""),0,SUMIF('DADOS BRUTOS'!$A$3:$A$500,$B11,'DADOS BRUTOS'!DX$3:DX$500)+IF($C11="",0,SUMIF('DADOS BRUTOS'!$A$3:$A$500,$C11,'DADOS BRUTOS'!DX$3:DX$500)))</f>
        <v>0</v>
      </c>
      <c r="GY11" s="133" t="n">
        <f aca="false">IF(OR(GY$4="",$B11=""),0,SUMIF('DADOS BRUTOS'!$A$3:$A$500,$B11,'DADOS BRUTOS'!DY$3:DY$500)+IF($C11="",0,SUMIF('DADOS BRUTOS'!$A$3:$A$500,$C11,'DADOS BRUTOS'!DY$3:DY$500)))</f>
        <v>0</v>
      </c>
      <c r="GZ11" s="133" t="n">
        <f aca="false">IF(OR(GZ$4="",$B11=""),0,SUMIF('DADOS BRUTOS'!$A$3:$A$500,$B11,'DADOS BRUTOS'!DZ$3:DZ$500)+IF($C11="",0,SUMIF('DADOS BRUTOS'!$A$3:$A$500,$C11,'DADOS BRUTOS'!DZ$3:DZ$500)))</f>
        <v>0</v>
      </c>
      <c r="HA11" s="133" t="n">
        <f aca="false">IF(OR(HA$4="",$B11=""),0,SUMIF('DADOS BRUTOS'!$A$3:$A$500,$B11,'DADOS BRUTOS'!EA$3:EA$500)+IF($C11="",0,SUMIF('DADOS BRUTOS'!$A$3:$A$500,$C11,'DADOS BRUTOS'!EA$3:EA$500)))</f>
        <v>0</v>
      </c>
      <c r="HB11" s="133" t="n">
        <f aca="false">IF(OR(HB$4="",$B11=""),0,SUMIF('DADOS BRUTOS'!$A$3:$A$500,$B11,'DADOS BRUTOS'!EB$3:EB$500)+IF($C11="",0,SUMIF('DADOS BRUTOS'!$A$3:$A$500,$C11,'DADOS BRUTOS'!EB$3:EB$500)))</f>
        <v>0</v>
      </c>
      <c r="HC11" s="133" t="n">
        <f aca="false">IF(OR(HC$4="",$B11=""),0,SUMIF('DADOS BRUTOS'!$A$3:$A$500,$B11,'DADOS BRUTOS'!EC$3:EC$500)+IF($C11="",0,SUMIF('DADOS BRUTOS'!$A$3:$A$500,$C11,'DADOS BRUTOS'!EC$3:EC$500)))</f>
        <v>0</v>
      </c>
      <c r="HD11" s="133" t="n">
        <f aca="false">IF(OR(HD$4="",$B11=""),0,SUMIF('DADOS BRUTOS'!$A$3:$A$500,$B11,'DADOS BRUTOS'!ED$3:ED$500)+IF($C11="",0,SUMIF('DADOS BRUTOS'!$A$3:$A$500,$C11,'DADOS BRUTOS'!ED$3:ED$500)))</f>
        <v>0</v>
      </c>
      <c r="HE11" s="133" t="n">
        <f aca="false">IF(OR(HE$4="",$B11=""),0,SUMIF('DADOS BRUTOS'!$A$3:$A$500,$B11,'DADOS BRUTOS'!EE$3:EE$500)+IF($C11="",0,SUMIF('DADOS BRUTOS'!$A$3:$A$500,$C11,'DADOS BRUTOS'!EE$3:EE$500)))</f>
        <v>0</v>
      </c>
      <c r="HF11" s="133" t="n">
        <f aca="false">IF(OR(HF$4="",$B11=""),0,SUMIF('DADOS BRUTOS'!$A$3:$A$500,$B11,'DADOS BRUTOS'!EF$3:EF$500)+IF($C11="",0,SUMIF('DADOS BRUTOS'!$A$3:$A$500,$C11,'DADOS BRUTOS'!EF$3:EF$500)))</f>
        <v>0</v>
      </c>
      <c r="HG11" s="133" t="n">
        <f aca="false">IF(OR(HG$4="",$B11=""),0,SUMIF('DADOS BRUTOS'!$A$3:$A$500,$B11,'DADOS BRUTOS'!EG$3:EG$500)+IF($C11="",0,SUMIF('DADOS BRUTOS'!$A$3:$A$500,$C11,'DADOS BRUTOS'!EG$3:EG$500)))</f>
        <v>0</v>
      </c>
      <c r="HH11" s="133" t="n">
        <f aca="false">IF(OR(HH$4="",$B11=""),0,SUMIF('DADOS BRUTOS'!$A$3:$A$500,$B11,'DADOS BRUTOS'!EH$3:EH$500)+IF($C11="",0,SUMIF('DADOS BRUTOS'!$A$3:$A$500,$C11,'DADOS BRUTOS'!EH$3:EH$500)))</f>
        <v>0</v>
      </c>
      <c r="HI11" s="133" t="n">
        <f aca="false">IF(OR(HI$4="",$B11=""),0,SUMIF('DADOS BRUTOS'!$A$3:$A$500,$B11,'DADOS BRUTOS'!EI$3:EI$500)+IF($C11="",0,SUMIF('DADOS BRUTOS'!$A$3:$A$500,$C11,'DADOS BRUTOS'!EI$3:EI$500)))</f>
        <v>0</v>
      </c>
      <c r="HJ11" s="133" t="n">
        <f aca="false">IF(OR(HJ$4="",$B11=""),0,SUMIF('DADOS BRUTOS'!$A$3:$A$500,$B11,'DADOS BRUTOS'!EJ$3:EJ$500)+IF($C11="",0,SUMIF('DADOS BRUTOS'!$A$3:$A$500,$C11,'DADOS BRUTOS'!EJ$3:EJ$500)))</f>
        <v>0</v>
      </c>
      <c r="HK11" s="133" t="n">
        <f aca="false">IF(OR(HK$4="",$B11=""),0,SUMIF('DADOS BRUTOS'!$A$3:$A$500,$B11,'DADOS BRUTOS'!EK$3:EK$500)+IF($C11="",0,SUMIF('DADOS BRUTOS'!$A$3:$A$500,$C11,'DADOS BRUTOS'!EK$3:EK$500)))</f>
        <v>0</v>
      </c>
      <c r="HL11" s="133" t="n">
        <f aca="false">IF(OR(HL$4="",$B11=""),0,SUMIF('DADOS BRUTOS'!$A$3:$A$500,$B11,'DADOS BRUTOS'!EL$3:EL$500)+IF($C11="",0,SUMIF('DADOS BRUTOS'!$A$3:$A$500,$C11,'DADOS BRUTOS'!EL$3:EL$500)))</f>
        <v>0</v>
      </c>
      <c r="HM11" s="133" t="n">
        <f aca="false">IF(OR(HM$4="",$B11=""),0,SUMIF('DADOS BRUTOS'!$A$3:$A$500,$B11,'DADOS BRUTOS'!EM$3:EM$500)+IF($C11="",0,SUMIF('DADOS BRUTOS'!$A$3:$A$500,$C11,'DADOS BRUTOS'!EM$3:EM$500)))</f>
        <v>0</v>
      </c>
      <c r="HN11" s="133" t="n">
        <f aca="false">IF(OR(HN$4="",$B11=""),0,SUMIF('DADOS BRUTOS'!$A$3:$A$500,$B11,'DADOS BRUTOS'!EN$3:EN$500)+IF($C11="",0,SUMIF('DADOS BRUTOS'!$A$3:$A$500,$C11,'DADOS BRUTOS'!EN$3:EN$500)))</f>
        <v>0</v>
      </c>
      <c r="HO11" s="133" t="n">
        <f aca="false">IF(OR(HO$4="",$B11=""),0,SUMIF('DADOS BRUTOS'!$A$3:$A$500,$B11,'DADOS BRUTOS'!EO$3:EO$500)+IF($C11="",0,SUMIF('DADOS BRUTOS'!$A$3:$A$500,$C11,'DADOS BRUTOS'!EO$3:EO$500)))</f>
        <v>0</v>
      </c>
      <c r="HP11" s="133" t="n">
        <f aca="false">IF(OR(HP$4="",$B11=""),0,SUMIF('DADOS BRUTOS'!$A$3:$A$500,$B11,'DADOS BRUTOS'!EP$3:EP$500)+IF($C11="",0,SUMIF('DADOS BRUTOS'!$A$3:$A$500,$C11,'DADOS BRUTOS'!EP$3:EP$500)))</f>
        <v>0</v>
      </c>
      <c r="HQ11" s="133" t="n">
        <f aca="false">IF(OR(HQ$4="",$B11=""),0,SUMIF('DADOS BRUTOS'!$A$3:$A$500,$B11,'DADOS BRUTOS'!EQ$3:EQ$500)+IF($C11="",0,SUMIF('DADOS BRUTOS'!$A$3:$A$500,$C11,'DADOS BRUTOS'!EQ$3:EQ$500)))</f>
        <v>0</v>
      </c>
      <c r="HR11" s="133" t="n">
        <f aca="false">IF(OR(HR$4="",$B11=""),0,SUMIF('DADOS BRUTOS'!$A$3:$A$500,$B11,'DADOS BRUTOS'!ER$3:ER$500)+IF($C11="",0,SUMIF('DADOS BRUTOS'!$A$3:$A$500,$C11,'DADOS BRUTOS'!ER$3:ER$500)))</f>
        <v>0</v>
      </c>
      <c r="HS11" s="133" t="n">
        <f aca="false">IF(OR(HS$4="",$B11=""),0,SUMIF('DADOS BRUTOS'!$A$3:$A$500,$B11,'DADOS BRUTOS'!ES$3:ES$500)+IF($C11="",0,SUMIF('DADOS BRUTOS'!$A$3:$A$500,$C11,'DADOS BRUTOS'!ES$3:ES$500)))</f>
        <v>0</v>
      </c>
      <c r="HT11" s="133" t="n">
        <f aca="false">IF(OR(HT$4="",$B11=""),0,SUMIF('DADOS BRUTOS'!$A$3:$A$500,$B11,'DADOS BRUTOS'!ET$3:ET$500)+IF($C11="",0,SUMIF('DADOS BRUTOS'!$A$3:$A$500,$C11,'DADOS BRUTOS'!ET$3:ET$500)))</f>
        <v>0</v>
      </c>
      <c r="HU11" s="133" t="n">
        <f aca="false">IF(OR(HU$4="",$B11=""),0,SUMIF('DADOS BRUTOS'!$A$3:$A$500,$B11,'DADOS BRUTOS'!EU$3:EU$500)+IF($C11="",0,SUMIF('DADOS BRUTOS'!$A$3:$A$500,$C11,'DADOS BRUTOS'!EU$3:EU$500)))</f>
        <v>0</v>
      </c>
      <c r="HV11" s="133" t="n">
        <f aca="false">IF(OR(HV$4="",$B11=""),0,SUMIF('DADOS BRUTOS'!$A$3:$A$500,$B11,'DADOS BRUTOS'!EV$3:EV$500)+IF($C11="",0,SUMIF('DADOS BRUTOS'!$A$3:$A$500,$C11,'DADOS BRUTOS'!EV$3:EV$500)))</f>
        <v>0</v>
      </c>
      <c r="HW11" s="133" t="n">
        <f aca="false">IF(OR(HW$4="",$B11=""),0,SUMIF('DADOS BRUTOS'!$A$3:$A$500,$B11,'DADOS BRUTOS'!EW$3:EW$500)+IF($C11="",0,SUMIF('DADOS BRUTOS'!$A$3:$A$500,$C11,'DADOS BRUTOS'!EW$3:EW$500)))</f>
        <v>0</v>
      </c>
      <c r="HX11" s="133" t="n">
        <f aca="false">IF(OR(HX$4="",$B11=""),0,SUMIF('DADOS BRUTOS'!$A$3:$A$500,$B11,'DADOS BRUTOS'!EX$3:EX$500)+IF($C11="",0,SUMIF('DADOS BRUTOS'!$A$3:$A$500,$C11,'DADOS BRUTOS'!EX$3:EX$500)))</f>
        <v>0</v>
      </c>
      <c r="HY11" s="133" t="n">
        <f aca="false">IF(OR(HY$4="",$B11=""),0,SUMIF('DADOS BRUTOS'!$A$3:$A$500,$B11,'DADOS BRUTOS'!EY$3:EY$500)+IF($C11="",0,SUMIF('DADOS BRUTOS'!$A$3:$A$500,$C11,'DADOS BRUTOS'!EY$3:EY$500)))</f>
        <v>0</v>
      </c>
      <c r="HZ11" s="133" t="n">
        <f aca="false">IF(OR(HZ$4="",$B11=""),0,SUMIF('DADOS BRUTOS'!$A$3:$A$500,$B11,'DADOS BRUTOS'!EZ$3:EZ$500)+IF($C11="",0,SUMIF('DADOS BRUTOS'!$A$3:$A$500,$C11,'DADOS BRUTOS'!EZ$3:EZ$500)))</f>
        <v>0</v>
      </c>
      <c r="IA11" s="133" t="n">
        <f aca="false">IF(OR(IA$4="",$B11=""),0,SUMIF('DADOS BRUTOS'!$A$3:$A$500,$B11,'DADOS BRUTOS'!FA$3:FA$500)+IF($C11="",0,SUMIF('DADOS BRUTOS'!$A$3:$A$500,$C11,'DADOS BRUTOS'!FA$3:FA$500)))</f>
        <v>0</v>
      </c>
      <c r="IB11" s="133" t="n">
        <f aca="false">IF(OR(IB$4="",$B11=""),0,SUMIF('DADOS BRUTOS'!$A$3:$A$500,$B11,'DADOS BRUTOS'!FB$3:FB$500)+IF($C11="",0,SUMIF('DADOS BRUTOS'!$A$3:$A$500,$C11,'DADOS BRUTOS'!FB$3:FB$500)))</f>
        <v>0</v>
      </c>
      <c r="IC11" s="133" t="n">
        <f aca="false">IF(OR(IC$4="",$B11=""),0,SUMIF('DADOS BRUTOS'!$A$3:$A$500,$B11,'DADOS BRUTOS'!FC$3:FC$500)+IF($C11="",0,SUMIF('DADOS BRUTOS'!$A$3:$A$500,$C11,'DADOS BRUTOS'!FC$3:FC$500)))</f>
        <v>0</v>
      </c>
      <c r="ID11" s="133" t="n">
        <f aca="false">IF(OR(ID$4="",$B11=""),0,SUMIF('DADOS BRUTOS'!$A$3:$A$500,$B11,'DADOS BRUTOS'!FD$3:FD$500)+IF($C11="",0,SUMIF('DADOS BRUTOS'!$A$3:$A$500,$C11,'DADOS BRUTOS'!FD$3:FD$500)))</f>
        <v>0</v>
      </c>
      <c r="IE11" s="133" t="n">
        <f aca="false">IF(OR(IE$4="",$B11=""),0,SUMIF('DADOS BRUTOS'!$A$3:$A$500,$B11,'DADOS BRUTOS'!FE$3:FE$500)+IF($C11="",0,SUMIF('DADOS BRUTOS'!$A$3:$A$500,$C11,'DADOS BRUTOS'!FE$3:FE$500)))</f>
        <v>0</v>
      </c>
      <c r="IF11" s="133" t="n">
        <f aca="false">IF(OR(IF$4="",$B11=""),0,SUMIF('DADOS BRUTOS'!$A$3:$A$500,$B11,'DADOS BRUTOS'!FF$3:FF$500)+IF($C11="",0,SUMIF('DADOS BRUTOS'!$A$3:$A$500,$C11,'DADOS BRUTOS'!FF$3:FF$500)))</f>
        <v>0</v>
      </c>
      <c r="IG11" s="133" t="n">
        <f aca="false">IF(OR(IG$4="",$B11=""),0,SUMIF('DADOS BRUTOS'!$A$3:$A$500,$B11,'DADOS BRUTOS'!FG$3:FG$500)+IF($C11="",0,SUMIF('DADOS BRUTOS'!$A$3:$A$500,$C11,'DADOS BRUTOS'!FG$3:FG$500)))</f>
        <v>0</v>
      </c>
      <c r="IH11" s="133" t="n">
        <f aca="false">IF(OR(IH$4="",$B11=""),0,SUMIF('DADOS BRUTOS'!$A$3:$A$500,$B11,'DADOS BRUTOS'!FH$3:FH$500)+IF($C11="",0,SUMIF('DADOS BRUTOS'!$A$3:$A$500,$C11,'DADOS BRUTOS'!FH$3:FH$500)))</f>
        <v>0</v>
      </c>
      <c r="II11" s="133" t="n">
        <f aca="false">IF(OR(II$4="",$B11=""),0,SUMIF('DADOS BRUTOS'!$A$3:$A$500,$B11,'DADOS BRUTOS'!FI$3:FI$500)+IF($C11="",0,SUMIF('DADOS BRUTOS'!$A$3:$A$500,$C11,'DADOS BRUTOS'!FI$3:FI$500)))</f>
        <v>0</v>
      </c>
      <c r="IJ11" s="133" t="n">
        <f aca="false">IF(OR(IJ$4="",$B11=""),0,SUMIF('DADOS BRUTOS'!$A$3:$A$500,$B11,'DADOS BRUTOS'!FJ$3:FJ$500)+IF($C11="",0,SUMIF('DADOS BRUTOS'!$A$3:$A$500,$C11,'DADOS BRUTOS'!FJ$3:FJ$500)))</f>
        <v>0</v>
      </c>
      <c r="IK11" s="133" t="n">
        <f aca="false">IF(OR(IK$4="",$B11=""),0,SUMIF('DADOS BRUTOS'!$A$3:$A$500,$B11,'DADOS BRUTOS'!FK$3:FK$500)+IF($C11="",0,SUMIF('DADOS BRUTOS'!$A$3:$A$500,$C11,'DADOS BRUTOS'!FK$3:FK$500)))</f>
        <v>0</v>
      </c>
      <c r="IL11" s="133" t="n">
        <f aca="false">IF(OR(IL$4="",$B11=""),0,SUMIF('DADOS BRUTOS'!$A$3:$A$500,$B11,'DADOS BRUTOS'!FL$3:FL$500)+IF($C11="",0,SUMIF('DADOS BRUTOS'!$A$3:$A$500,$C11,'DADOS BRUTOS'!FL$3:FL$500)))</f>
        <v>0</v>
      </c>
      <c r="IM11" s="133" t="n">
        <f aca="false">IF(OR(IM$4="",$B11=""),0,SUMIF('DADOS BRUTOS'!$A$3:$A$500,$B11,'DADOS BRUTOS'!FM$3:FM$500)+IF($C11="",0,SUMIF('DADOS BRUTOS'!$A$3:$A$500,$C11,'DADOS BRUTOS'!FM$3:FM$500)))</f>
        <v>0</v>
      </c>
      <c r="IN11" s="133" t="n">
        <f aca="false">IF(OR(IN$4="",$B11=""),0,SUMIF('DADOS BRUTOS'!$A$3:$A$500,$B11,'DADOS BRUTOS'!FN$3:FN$500)+IF($C11="",0,SUMIF('DADOS BRUTOS'!$A$3:$A$500,$C11,'DADOS BRUTOS'!FN$3:FN$500)))</f>
        <v>0</v>
      </c>
      <c r="IO11" s="133" t="n">
        <f aca="false">IF(OR(IO$4="",$B11=""),0,SUMIF('DADOS BRUTOS'!$A$3:$A$500,$B11,'DADOS BRUTOS'!FO$3:FO$500)+IF($C11="",0,SUMIF('DADOS BRUTOS'!$A$3:$A$500,$C11,'DADOS BRUTOS'!FO$3:FO$500)))</f>
        <v>0</v>
      </c>
      <c r="IP11" s="133" t="n">
        <f aca="false">IF(OR(IP$4="",$B11=""),0,SUMIF('DADOS BRUTOS'!$A$3:$A$500,$B11,'DADOS BRUTOS'!FP$3:FP$500)+IF($C11="",0,SUMIF('DADOS BRUTOS'!$A$3:$A$500,$C11,'DADOS BRUTOS'!FP$3:FP$500)))</f>
        <v>0</v>
      </c>
      <c r="IQ11" s="133" t="n">
        <f aca="false">IF(OR(IQ$4="",$B11=""),0,SUMIF('DADOS BRUTOS'!$A$3:$A$500,$B11,'DADOS BRUTOS'!FQ$3:FQ$500)+IF($C11="",0,SUMIF('DADOS BRUTOS'!$A$3:$A$500,$C11,'DADOS BRUTOS'!FQ$3:FQ$500)))</f>
        <v>0</v>
      </c>
      <c r="IR11" s="133" t="n">
        <f aca="false">IF(OR(IR$4="",$B11=""),0,SUMIF('DADOS BRUTOS'!$A$3:$A$500,$B11,'DADOS BRUTOS'!FR$3:FR$500)+IF($C11="",0,SUMIF('DADOS BRUTOS'!$A$3:$A$500,$C11,'DADOS BRUTOS'!FR$3:FR$500)))</f>
        <v>0</v>
      </c>
      <c r="IS11" s="133" t="n">
        <f aca="false">IF(OR(IS$4="",$B11=""),0,SUMIF('DADOS BRUTOS'!$A$3:$A$500,$B11,'DADOS BRUTOS'!FS$3:FS$500)+IF($C11="",0,SUMIF('DADOS BRUTOS'!$A$3:$A$500,$C11,'DADOS BRUTOS'!FS$3:FS$500)))</f>
        <v>0</v>
      </c>
      <c r="IT11" s="133" t="n">
        <f aca="false">IF(OR(IT$4="",$B11=""),0,SUMIF('DADOS BRUTOS'!$A$3:$A$500,$B11,'DADOS BRUTOS'!FT$3:FT$500)+IF($C11="",0,SUMIF('DADOS BRUTOS'!$A$3:$A$500,$C11,'DADOS BRUTOS'!FT$3:FT$500)))</f>
        <v>0</v>
      </c>
      <c r="IU11" s="133" t="n">
        <f aca="false">IF(OR(IU$4="",$B11=""),0,SUMIF('DADOS BRUTOS'!$A$3:$A$500,$B11,'DADOS BRUTOS'!FU$3:FU$500)+IF($C11="",0,SUMIF('DADOS BRUTOS'!$A$3:$A$500,$C11,'DADOS BRUTOS'!FU$3:FU$500)))</f>
        <v>0</v>
      </c>
      <c r="IV11" s="133" t="n">
        <f aca="false">IF(OR(IV$4="",$B11=""),0,SUMIF('DADOS BRUTOS'!$A$3:$A$500,$B11,'DADOS BRUTOS'!FV$3:FV$500)+IF($C11="",0,SUMIF('DADOS BRUTOS'!$A$3:$A$500,$C11,'DADOS BRUTOS'!FV$3:FV$500)))</f>
        <v>0</v>
      </c>
      <c r="IW11" s="133" t="n">
        <f aca="false">IF(OR(IW$4="",$B11=""),0,SUMIF('DADOS BRUTOS'!$A$3:$A$500,$B11,'DADOS BRUTOS'!FW$3:FW$500)+IF($C11="",0,SUMIF('DADOS BRUTOS'!$A$3:$A$500,$C11,'DADOS BRUTOS'!FW$3:FW$500)))</f>
        <v>0</v>
      </c>
      <c r="IX11" s="133" t="n">
        <f aca="false">IF(OR(IX$4="",$B11=""),0,SUMIF('DADOS BRUTOS'!$A$3:$A$500,$B11,'DADOS BRUTOS'!FX$3:FX$500)+IF($C11="",0,SUMIF('DADOS BRUTOS'!$A$3:$A$500,$C11,'DADOS BRUTOS'!FX$3:FX$500)))</f>
        <v>0</v>
      </c>
      <c r="IY11" s="133" t="n">
        <f aca="false">IF(OR(IY$4="",$B11=""),0,SUMIF('DADOS BRUTOS'!$A$3:$A$500,$B11,'DADOS BRUTOS'!FY$3:FY$500)+IF($C11="",0,SUMIF('DADOS BRUTOS'!$A$3:$A$500,$C11,'DADOS BRUTOS'!FY$3:FY$500)))</f>
        <v>0</v>
      </c>
      <c r="IZ11" s="133" t="n">
        <f aca="false">IF(OR(IZ$4="",$B11=""),0,SUMIF('DADOS BRUTOS'!$A$3:$A$500,$B11,'DADOS BRUTOS'!FZ$3:FZ$500)+IF($C11="",0,SUMIF('DADOS BRUTOS'!$A$3:$A$500,$C11,'DADOS BRUTOS'!FZ$3:FZ$500)))</f>
        <v>0</v>
      </c>
      <c r="JA11" s="133" t="n">
        <f aca="false">IF(OR(JA$4="",$B11=""),0,SUMIF('DADOS BRUTOS'!$A$3:$A$500,$B11,'DADOS BRUTOS'!GA$3:GA$500)+IF($C11="",0,SUMIF('DADOS BRUTOS'!$A$3:$A$500,$C11,'DADOS BRUTOS'!GA$3:GA$500)))</f>
        <v>0</v>
      </c>
      <c r="JB11" s="133" t="n">
        <f aca="false">IF(OR(JB$4="",$B11=""),0,SUMIF('DADOS BRUTOS'!$A$3:$A$500,$B11,'DADOS BRUTOS'!GB$3:GB$500)+IF($C11="",0,SUMIF('DADOS BRUTOS'!$A$3:$A$500,$C11,'DADOS BRUTOS'!GB$3:GB$500)))</f>
        <v>0</v>
      </c>
      <c r="JC11" s="133" t="n">
        <f aca="false">IF(OR(JC$4="",$B11=""),0,SUMIF('DADOS BRUTOS'!$A$3:$A$500,$B11,'DADOS BRUTOS'!GC$3:GC$500)+IF($C11="",0,SUMIF('DADOS BRUTOS'!$A$3:$A$500,$C11,'DADOS BRUTOS'!GC$3:GC$500)))</f>
        <v>0</v>
      </c>
      <c r="JD11" s="133" t="n">
        <f aca="false">IF(OR(JD$4="",$B11=""),0,SUMIF('DADOS BRUTOS'!$A$3:$A$500,$B11,'DADOS BRUTOS'!GD$3:GD$500)+IF($C11="",0,SUMIF('DADOS BRUTOS'!$A$3:$A$500,$C11,'DADOS BRUTOS'!GD$3:GD$500)))</f>
        <v>0</v>
      </c>
      <c r="JE11" s="133" t="n">
        <f aca="false">IF(OR(JE$4="",$B11=""),0,SUMIF('DADOS BRUTOS'!$A$3:$A$500,$B11,'DADOS BRUTOS'!GE$3:GE$500)+IF($C11="",0,SUMIF('DADOS BRUTOS'!$A$3:$A$500,$C11,'DADOS BRUTOS'!GE$3:GE$500)))</f>
        <v>0</v>
      </c>
      <c r="JF11" s="133" t="n">
        <f aca="false">IF(OR(JF$4="",$B11=""),0,SUMIF('DADOS BRUTOS'!$A$3:$A$500,$B11,'DADOS BRUTOS'!GF$3:GF$500)+IF($C11="",0,SUMIF('DADOS BRUTOS'!$A$3:$A$500,$C11,'DADOS BRUTOS'!GF$3:GF$500)))</f>
        <v>0</v>
      </c>
      <c r="JG11" s="133" t="n">
        <f aca="false">IF(OR(JG$4="",$B11=""),0,SUMIF('DADOS BRUTOS'!$A$3:$A$500,$B11,'DADOS BRUTOS'!GG$3:GG$500)+IF($C11="",0,SUMIF('DADOS BRUTOS'!$A$3:$A$500,$C11,'DADOS BRUTOS'!GG$3:GG$500)))</f>
        <v>0</v>
      </c>
      <c r="JH11" s="133" t="n">
        <f aca="false">IF(OR(JH$4="",$B11=""),0,SUMIF('DADOS BRUTOS'!$A$3:$A$500,$B11,'DADOS BRUTOS'!GH$3:GH$500)+IF($C11="",0,SUMIF('DADOS BRUTOS'!$A$3:$A$500,$C11,'DADOS BRUTOS'!GH$3:GH$500)))</f>
        <v>0</v>
      </c>
      <c r="JI11" s="133" t="n">
        <f aca="false">IF(OR(JI$4="",$B11=""),0,SUMIF('DADOS BRUTOS'!$A$3:$A$500,$B11,'DADOS BRUTOS'!GI$3:GI$500)+IF($C11="",0,SUMIF('DADOS BRUTOS'!$A$3:$A$500,$C11,'DADOS BRUTOS'!GI$3:GI$500)))</f>
        <v>0</v>
      </c>
      <c r="JJ11" s="133" t="n">
        <f aca="false">IF(OR(JJ$4="",$B11=""),0,SUMIF('DADOS BRUTOS'!$A$3:$A$500,$B11,'DADOS BRUTOS'!GJ$3:GJ$500)+IF($C11="",0,SUMIF('DADOS BRUTOS'!$A$3:$A$500,$C11,'DADOS BRUTOS'!GJ$3:GJ$500)))</f>
        <v>0</v>
      </c>
      <c r="JK11" s="133" t="n">
        <f aca="false">IF(OR(JK$4="",$B11=""),0,SUMIF('DADOS BRUTOS'!$A$3:$A$500,$B11,'DADOS BRUTOS'!GK$3:GK$500)+IF($C11="",0,SUMIF('DADOS BRUTOS'!$A$3:$A$500,$C11,'DADOS BRUTOS'!GK$3:GK$500)))</f>
        <v>0</v>
      </c>
      <c r="JL11" s="133" t="n">
        <f aca="false">IF(OR(JL$4="",$B11=""),0,SUMIF('DADOS BRUTOS'!$A$3:$A$500,$B11,'DADOS BRUTOS'!GL$3:GL$500)+IF($C11="",0,SUMIF('DADOS BRUTOS'!$A$3:$A$500,$C11,'DADOS BRUTOS'!GL$3:GL$500)))</f>
        <v>0</v>
      </c>
      <c r="JM11" s="133" t="n">
        <f aca="false">IF(OR(JM$4="",$B11=""),0,SUMIF('DADOS BRUTOS'!$A$3:$A$500,$B11,'DADOS BRUTOS'!GM$3:GM$500)+IF($C11="",0,SUMIF('DADOS BRUTOS'!$A$3:$A$500,$C11,'DADOS BRUTOS'!GM$3:GM$500)))</f>
        <v>0</v>
      </c>
      <c r="JN11" s="133" t="n">
        <f aca="false">IF(OR(JN$4="",$B11=""),0,SUMIF('DADOS BRUTOS'!$A$3:$A$500,$B11,'DADOS BRUTOS'!GN$3:GN$500)+IF($C11="",0,SUMIF('DADOS BRUTOS'!$A$3:$A$500,$C11,'DADOS BRUTOS'!GN$3:GN$500)))</f>
        <v>0</v>
      </c>
      <c r="JO11" s="133" t="n">
        <f aca="false">IF(OR(JO$4="",$B11=""),0,SUMIF('DADOS BRUTOS'!$A$3:$A$500,$B11,'DADOS BRUTOS'!GO$3:GO$500)+IF($C11="",0,SUMIF('DADOS BRUTOS'!$A$3:$A$500,$C11,'DADOS BRUTOS'!GO$3:GO$500)))</f>
        <v>0</v>
      </c>
      <c r="JP11" s="133" t="n">
        <f aca="false">IF(OR(JP$4="",$B11=""),0,SUMIF('DADOS BRUTOS'!$A$3:$A$500,$B11,'DADOS BRUTOS'!GP$3:GP$500)+IF($C11="",0,SUMIF('DADOS BRUTOS'!$A$3:$A$500,$C11,'DADOS BRUTOS'!GP$3:GP$500)))</f>
        <v>0</v>
      </c>
      <c r="JQ11" s="133" t="n">
        <f aca="false">IF(OR(JQ$4="",$B11=""),0,SUMIF('DADOS BRUTOS'!$A$3:$A$500,$B11,'DADOS BRUTOS'!GQ$3:GQ$500)+IF($C11="",0,SUMIF('DADOS BRUTOS'!$A$3:$A$500,$C11,'DADOS BRUTOS'!GQ$3:GQ$500)))</f>
        <v>0</v>
      </c>
      <c r="JR11" s="133" t="n">
        <f aca="false">IF(OR(JR$4="",$B11=""),0,SUMIF('DADOS BRUTOS'!$A$3:$A$500,$B11,'DADOS BRUTOS'!GR$3:GR$500)+IF($C11="",0,SUMIF('DADOS BRUTOS'!$A$3:$A$500,$C11,'DADOS BRUTOS'!GR$3:GR$500)))</f>
        <v>0</v>
      </c>
      <c r="JS11" s="133" t="n">
        <f aca="false">IF(OR(JS$4="",$B11=""),0,SUMIF('DADOS BRUTOS'!$A$3:$A$500,$B11,'DADOS BRUTOS'!GS$3:GS$500)+IF($C11="",0,SUMIF('DADOS BRUTOS'!$A$3:$A$500,$C11,'DADOS BRUTOS'!GS$3:GS$500)))</f>
        <v>0</v>
      </c>
    </row>
    <row r="12" customFormat="false" ht="15" hidden="false" customHeight="false" outlineLevel="0" collapsed="false">
      <c r="A12" s="57" t="str">
        <f aca="false">'VALOR POR PL'!D18</f>
        <v>TRANSPORTES</v>
      </c>
      <c r="B12" s="55" t="s">
        <v>79</v>
      </c>
      <c r="C12" s="55"/>
      <c r="D12" s="50" t="n">
        <f aca="false">SUMIF($CB$4:$JS$4,"&lt;="&amp;D$4,$CB12:$JS12)</f>
        <v>230</v>
      </c>
      <c r="E12" s="50" t="n">
        <f aca="false">SUMIF($CB$4:$JS$4,E$4,$CB12:$JS12)</f>
        <v>0</v>
      </c>
      <c r="F12" s="50" t="n">
        <f aca="false">SUMIF($CB$4:$JS$4,F$4,$CB12:$JS12)</f>
        <v>101.63</v>
      </c>
      <c r="G12" s="50" t="n">
        <f aca="false">SUMIF($CB$4:$JS$4,G$4,$CB12:$JS12)</f>
        <v>3.37</v>
      </c>
      <c r="H12" s="50" t="n">
        <f aca="false">SUMIF($CB$4:$JS$4,H$4,$CB12:$JS12)</f>
        <v>0</v>
      </c>
      <c r="I12" s="50" t="n">
        <f aca="false">SUMIF($CB$4:$JS$4,I$4,$CB12:$JS12)</f>
        <v>53.21</v>
      </c>
      <c r="J12" s="50" t="n">
        <f aca="false">SUMIF($CB$4:$JS$4,J$4,$CB12:$JS12)</f>
        <v>50.16</v>
      </c>
      <c r="K12" s="50" t="n">
        <f aca="false">SUMIF($CB$4:$JS$4,K$4,$CB12:$JS12)</f>
        <v>1010.05</v>
      </c>
      <c r="L12" s="50" t="n">
        <f aca="false">SUMIF($CB$4:$JS$4,L$4,$CB12:$JS12)</f>
        <v>1873.32</v>
      </c>
      <c r="M12" s="50" t="n">
        <f aca="false">SUMIF($CB$4:$JS$4,M$4,$CB12:$JS12)</f>
        <v>15662.6</v>
      </c>
      <c r="N12" s="50" t="n">
        <f aca="false">SUMIF($CB$4:$JS$4,N$4,$CB12:$JS12)</f>
        <v>8416.58</v>
      </c>
      <c r="O12" s="50" t="n">
        <f aca="false">SUMIF($CB$4:$JS$4,O$4,$CB12:$JS12)</f>
        <v>4003.5</v>
      </c>
      <c r="P12" s="50" t="n">
        <f aca="false">SUMIF($CB$4:$JS$4,P$4,$CB12:$JS12)</f>
        <v>7558.47</v>
      </c>
      <c r="Q12" s="50" t="n">
        <f aca="false">SUMIF($CB$4:$JS$4,Q$4,$CB12:$JS12)</f>
        <v>4295.23</v>
      </c>
      <c r="R12" s="50" t="n">
        <f aca="false">SUMIF($CB$4:$JS$4,R$4,$CB12:$JS12)</f>
        <v>3978</v>
      </c>
      <c r="S12" s="50" t="n">
        <f aca="false">SUMIF($CB$4:$JS$4,S$4,$CB12:$JS12)</f>
        <v>8413.92</v>
      </c>
      <c r="T12" s="50" t="n">
        <f aca="false">SUMIF($CB$4:$JS$4,T$4,$CB12:$JS12)</f>
        <v>2007.6</v>
      </c>
      <c r="U12" s="50" t="n">
        <f aca="false">SUMIF($CB$4:$JS$4,U$4,$CB12:$JS12)</f>
        <v>2550.05</v>
      </c>
      <c r="V12" s="50" t="n">
        <f aca="false">SUMIF($CB$4:$JS$4,V$4,$CB12:$JS12)</f>
        <v>3240.62</v>
      </c>
      <c r="W12" s="50" t="n">
        <f aca="false">SUMIF($CB$4:$JS$4,W$4,$CB12:$JS12)</f>
        <v>1114.34</v>
      </c>
      <c r="X12" s="50" t="n">
        <f aca="false">SUMIF($CB$4:$JS$4,X$4,$CB12:$JS12)</f>
        <v>5722.12</v>
      </c>
      <c r="Y12" s="50" t="n">
        <f aca="false">SUMIF($CB$4:$JS$4,Y$4,$CB12:$JS12)</f>
        <v>14050.89</v>
      </c>
      <c r="Z12" s="50" t="n">
        <f aca="false">SUMIF($CB$4:$JS$4,Z$4,$CB12:$JS12)</f>
        <v>2180.92</v>
      </c>
      <c r="AA12" s="50" t="n">
        <f aca="false">SUMIF($CB$4:$JS$4,AA$4,$CB12:$JS12)</f>
        <v>0</v>
      </c>
      <c r="AB12" s="50" t="n">
        <f aca="false">SUMIF($CB$4:$JS$4,AB$4,$CB12:$JS12)</f>
        <v>0</v>
      </c>
      <c r="AC12" s="50" t="n">
        <f aca="false">SUMIF($CB$4:$JS$4,AC$4,$CB12:$JS12)</f>
        <v>0</v>
      </c>
      <c r="AD12" s="50" t="n">
        <f aca="false">SUMIF($CB$4:$JS$4,AD$4,$CB12:$JS12)</f>
        <v>0</v>
      </c>
      <c r="AE12" s="50" t="n">
        <f aca="false">SUMIF($CB$4:$JS$4,AE$4,$CB12:$JS12)</f>
        <v>0</v>
      </c>
      <c r="AF12" s="50" t="n">
        <f aca="false">SUMIF($CB$4:$JS$4,AF$4,$CB12:$JS12)</f>
        <v>0</v>
      </c>
      <c r="AG12" s="50" t="n">
        <f aca="false">SUMIF($CB$4:$JS$4,AG$4,$CB12:$JS12)</f>
        <v>0</v>
      </c>
      <c r="AH12" s="50" t="n">
        <f aca="false">SUMIF($CB$4:$JS$4,AH$4,$CB12:$JS12)</f>
        <v>0</v>
      </c>
      <c r="AI12" s="50" t="n">
        <f aca="false">SUMIF($CB$4:$JS$4,AI$4,$CB12:$JS12)</f>
        <v>0</v>
      </c>
      <c r="AJ12" s="50" t="n">
        <f aca="false">SUMIF($CB$4:$JS$4,AJ$4,$CB12:$JS12)</f>
        <v>0</v>
      </c>
      <c r="AK12" s="50" t="n">
        <f aca="false">SUMIF($CB$4:$JS$4,AK$4,$CB12:$JS12)</f>
        <v>0</v>
      </c>
      <c r="AL12" s="50" t="n">
        <f aca="false">SUMIF($CB$4:$JS$4,AL$4,$CB12:$JS12)</f>
        <v>0</v>
      </c>
      <c r="AM12" s="50" t="n">
        <f aca="false">SUMIF($CB$4:$JS$4,AM$4,$CB12:$JS12)</f>
        <v>0</v>
      </c>
      <c r="AN12" s="50" t="n">
        <f aca="false">SUMIF($CB$4:$JS$4,AN$4,$CB12:$JS12)</f>
        <v>0</v>
      </c>
      <c r="AO12" s="50" t="n">
        <f aca="false">SUMIF($CB$4:$JS$4,AO$4,$CB12:$JS12)</f>
        <v>0</v>
      </c>
      <c r="AP12" s="50" t="n">
        <f aca="false">SUMIF($CB$4:$JS$4,AP$4,$CB12:$JS12)</f>
        <v>0</v>
      </c>
      <c r="AQ12" s="50" t="n">
        <f aca="false">SUMIF($CB$4:$JS$4,AQ$4,$CB12:$JS12)</f>
        <v>0</v>
      </c>
      <c r="AR12" s="50" t="n">
        <f aca="false">SUMIF($CB$4:$JS$4,AR$4,$CB12:$JS12)</f>
        <v>0</v>
      </c>
      <c r="AS12" s="50" t="n">
        <f aca="false">SUMIF($CB$4:$JS$4,AS$4,$CB12:$JS12)</f>
        <v>0</v>
      </c>
      <c r="AT12" s="50" t="n">
        <f aca="false">SUMIF($CB$4:$JS$4,AT$4,$CB12:$JS12)</f>
        <v>0</v>
      </c>
      <c r="AU12" s="50" t="n">
        <f aca="false">SUMIF($CB$4:$JS$4,AU$4,$CB12:$JS12)</f>
        <v>0</v>
      </c>
      <c r="AV12" s="50" t="n">
        <f aca="false">SUMIF($CB$4:$JS$4,AV$4,$CB12:$JS12)</f>
        <v>0</v>
      </c>
      <c r="AW12" s="50" t="n">
        <f aca="false">SUMIF($CB$4:$JS$4,AW$4,$CB12:$JS12)</f>
        <v>0</v>
      </c>
      <c r="AX12" s="50" t="n">
        <f aca="false">SUMIF($CB$4:$JS$4,AX$4,$CB12:$JS12)</f>
        <v>0</v>
      </c>
      <c r="AY12" s="50" t="n">
        <f aca="false">SUMIF($CB$4:$JS$4,AY$4,$CB12:$JS12)</f>
        <v>0</v>
      </c>
      <c r="AZ12" s="50" t="n">
        <f aca="false">SUMIF($CB$4:$JS$4,AZ$4,$CB12:$JS12)</f>
        <v>0</v>
      </c>
      <c r="BA12" s="50" t="n">
        <f aca="false">SUMIF($CB$4:$JS$4,BA$4,$CB12:$JS12)</f>
        <v>0</v>
      </c>
      <c r="BB12" s="50" t="n">
        <f aca="false">SUMIF($CB$4:$JS$4,BB$4,$CB12:$JS12)</f>
        <v>0</v>
      </c>
      <c r="BC12" s="50" t="n">
        <f aca="false">SUMIF($CB$4:$JS$4,BC$4,$CB12:$JS12)</f>
        <v>0</v>
      </c>
      <c r="BD12" s="50" t="n">
        <f aca="false">SUMIF($CB$4:$JS$4,BD$4,$CB12:$JS12)</f>
        <v>0</v>
      </c>
      <c r="BE12" s="50" t="n">
        <f aca="false">SUMIF($CB$4:$JS$4,BE$4,$CB12:$JS12)</f>
        <v>0</v>
      </c>
      <c r="BF12" s="50" t="n">
        <f aca="false">SUMIF($CB$4:$JS$4,BF$4,$CB12:$JS12)</f>
        <v>0</v>
      </c>
      <c r="BG12" s="50" t="n">
        <f aca="false">SUMIF($CB$4:$JS$4,BG$4,$CB12:$JS12)</f>
        <v>0</v>
      </c>
      <c r="BH12" s="50" t="n">
        <f aca="false">SUMIF($CB$4:$JS$4,BH$4,$CB12:$JS12)</f>
        <v>0</v>
      </c>
      <c r="BI12" s="50" t="n">
        <f aca="false">SUMIF($CB$4:$JS$4,BI$4,$CB12:$JS12)</f>
        <v>0</v>
      </c>
      <c r="BJ12" s="50" t="n">
        <f aca="false">SUMIF($CB$4:$JS$4,BJ$4,$CB12:$JS12)</f>
        <v>0</v>
      </c>
      <c r="BK12" s="50" t="n">
        <f aca="false">SUMIF($CB$4:$JS$4,BK$4,$CB12:$JS12)</f>
        <v>0</v>
      </c>
      <c r="BL12" s="50" t="n">
        <f aca="false">SUMIF($CB$4:$JS$4,BL$4,$CB12:$JS12)</f>
        <v>0</v>
      </c>
      <c r="BM12" s="50" t="n">
        <f aca="false">SUMIF($CB$4:$JS$4,BM$4,$CB12:$JS12)</f>
        <v>0</v>
      </c>
      <c r="BN12" s="50" t="n">
        <f aca="false">SUMIF($CB$4:$JS$4,BN$4,$CB12:$JS12)</f>
        <v>0</v>
      </c>
      <c r="BO12" s="50" t="n">
        <f aca="false">SUMIF($CB$4:$JS$4,BO$4,$CB12:$JS12)</f>
        <v>0</v>
      </c>
      <c r="BP12" s="50" t="n">
        <f aca="false">SUMIF($CB$4:$JS$4,BP$4,$CB12:$JS12)</f>
        <v>0</v>
      </c>
      <c r="BQ12" s="50" t="n">
        <f aca="false">SUMIF($CB$4:$JS$4,BQ$4,$CB12:$JS12)</f>
        <v>0</v>
      </c>
      <c r="BR12" s="50" t="n">
        <f aca="false">SUMIF($CB$4:$JS$4,BR$4,$CB12:$JS12)</f>
        <v>0</v>
      </c>
      <c r="BS12" s="50" t="n">
        <f aca="false">SUMIF($CB$4:$JS$4,BS$4,$CB12:$JS12)</f>
        <v>0</v>
      </c>
      <c r="BT12" s="50" t="n">
        <f aca="false">SUMIF($CB$4:$JS$4,BT$4,$CB12:$JS12)</f>
        <v>0</v>
      </c>
      <c r="BU12" s="50" t="n">
        <f aca="false">SUMIF($CB$4:$JS$4,BU$4,$CB12:$JS12)</f>
        <v>0</v>
      </c>
      <c r="BV12" s="50" t="n">
        <f aca="false">SUMIF($CB$4:$JS$4,BV$4,$CB12:$JS12)</f>
        <v>0</v>
      </c>
      <c r="BW12" s="50" t="n">
        <f aca="false">SUMIF($CB$4:$JS$4,BW$4,$CB12:$JS12)</f>
        <v>0</v>
      </c>
      <c r="BX12" s="50" t="n">
        <f aca="false">SUMIF($CB$4:$JS$4,"&gt;"&amp;'VALOR POR PL'!$P$8,$CB12:$JS12)</f>
        <v>0</v>
      </c>
      <c r="BY12" s="50" t="n">
        <f aca="false">SUM($CB12:$JS12)</f>
        <v>86516.58</v>
      </c>
      <c r="BZ12" s="45" t="n">
        <f aca="false">SUMPRODUCT(($CB$4:$JS$4&lt;&gt;"")*($CB$4:$JS$4&lt;=$D$4),$CB12:$JS12,$CB$1:$JS$1)</f>
        <v>0.209155518310871</v>
      </c>
      <c r="CB12" s="133" t="n">
        <f aca="false">IF(OR(CB$4="",$B12=""),0,SUMIF('DADOS BRUTOS'!$A$3:$A$500,$B12,'DADOS BRUTOS'!B$3:B$500)+IF($C12="",0,SUMIF('DADOS BRUTOS'!$A$3:$A$500,$C12,'DADOS BRUTOS'!B$3:B$500)))</f>
        <v>0</v>
      </c>
      <c r="CC12" s="133" t="n">
        <f aca="false">IF(OR(CC$4="",$B12=""),0,SUMIF('DADOS BRUTOS'!$A$3:$A$500,$B12,'DADOS BRUTOS'!C$3:C$500)+IF($C12="",0,SUMIF('DADOS BRUTOS'!$A$3:$A$500,$C12,'DADOS BRUTOS'!C$3:C$500)))</f>
        <v>0</v>
      </c>
      <c r="CD12" s="133" t="n">
        <f aca="false">IF(OR(CD$4="",$B12=""),0,SUMIF('DADOS BRUTOS'!$A$3:$A$500,$B12,'DADOS BRUTOS'!D$3:D$500)+IF($C12="",0,SUMIF('DADOS BRUTOS'!$A$3:$A$500,$C12,'DADOS BRUTOS'!D$3:D$500)))</f>
        <v>0</v>
      </c>
      <c r="CE12" s="133" t="n">
        <f aca="false">IF(OR(CE$4="",$B12=""),0,SUMIF('DADOS BRUTOS'!$A$3:$A$500,$B12,'DADOS BRUTOS'!E$3:E$500)+IF($C12="",0,SUMIF('DADOS BRUTOS'!$A$3:$A$500,$C12,'DADOS BRUTOS'!E$3:E$500)))</f>
        <v>116.58</v>
      </c>
      <c r="CF12" s="133" t="n">
        <f aca="false">IF(OR(CF$4="",$B12=""),0,SUMIF('DADOS BRUTOS'!$A$3:$A$500,$B12,'DADOS BRUTOS'!F$3:F$500)+IF($C12="",0,SUMIF('DADOS BRUTOS'!$A$3:$A$500,$C12,'DADOS BRUTOS'!F$3:F$500)))</f>
        <v>86</v>
      </c>
      <c r="CG12" s="133" t="n">
        <f aca="false">IF(OR(CG$4="",$B12=""),0,SUMIF('DADOS BRUTOS'!$A$3:$A$500,$B12,'DADOS BRUTOS'!G$3:G$500)+IF($C12="",0,SUMIF('DADOS BRUTOS'!$A$3:$A$500,$C12,'DADOS BRUTOS'!G$3:G$500)))</f>
        <v>26.68</v>
      </c>
      <c r="CH12" s="133" t="n">
        <f aca="false">IF(OR(CH$4="",$B12=""),0,SUMIF('DADOS BRUTOS'!$A$3:$A$500,$B12,'DADOS BRUTOS'!H$3:H$500)+IF($C12="",0,SUMIF('DADOS BRUTOS'!$A$3:$A$500,$C12,'DADOS BRUTOS'!H$3:H$500)))</f>
        <v>0.74</v>
      </c>
      <c r="CI12" s="133" t="n">
        <f aca="false">IF(OR(CI$4="",$B12=""),0,SUMIF('DADOS BRUTOS'!$A$3:$A$500,$B12,'DADOS BRUTOS'!I$3:I$500)+IF($C12="",0,SUMIF('DADOS BRUTOS'!$A$3:$A$500,$C12,'DADOS BRUTOS'!I$3:I$500)))</f>
        <v>0</v>
      </c>
      <c r="CJ12" s="133" t="n">
        <f aca="false">IF(OR(CJ$4="",$B12=""),0,SUMIF('DADOS BRUTOS'!$A$3:$A$500,$B12,'DADOS BRUTOS'!J$3:J$500)+IF($C12="",0,SUMIF('DADOS BRUTOS'!$A$3:$A$500,$C12,'DADOS BRUTOS'!J$3:J$500)))</f>
        <v>0</v>
      </c>
      <c r="CK12" s="133" t="n">
        <f aca="false">IF(OR(CK$4="",$B12=""),0,SUMIF('DADOS BRUTOS'!$A$3:$A$500,$B12,'DADOS BRUTOS'!K$3:K$500)+IF($C12="",0,SUMIF('DADOS BRUTOS'!$A$3:$A$500,$C12,'DADOS BRUTOS'!K$3:K$500)))</f>
        <v>0</v>
      </c>
      <c r="CL12" s="133" t="n">
        <f aca="false">IF(OR(CL$4="",$B12=""),0,SUMIF('DADOS BRUTOS'!$A$3:$A$500,$B12,'DADOS BRUTOS'!L$3:L$500)+IF($C12="",0,SUMIF('DADOS BRUTOS'!$A$3:$A$500,$C12,'DADOS BRUTOS'!L$3:L$500)))</f>
        <v>0</v>
      </c>
      <c r="CM12" s="133" t="n">
        <f aca="false">IF(OR(CM$4="",$B12=""),0,SUMIF('DADOS BRUTOS'!$A$3:$A$500,$B12,'DADOS BRUTOS'!M$3:M$500)+IF($C12="",0,SUMIF('DADOS BRUTOS'!$A$3:$A$500,$C12,'DADOS BRUTOS'!M$3:M$500)))</f>
        <v>0</v>
      </c>
      <c r="CN12" s="133" t="n">
        <f aca="false">IF(OR(CN$4="",$B12=""),0,SUMIF('DADOS BRUTOS'!$A$3:$A$500,$B12,'DADOS BRUTOS'!N$3:N$500)+IF($C12="",0,SUMIF('DADOS BRUTOS'!$A$3:$A$500,$C12,'DADOS BRUTOS'!N$3:N$500)))</f>
        <v>0</v>
      </c>
      <c r="CO12" s="133" t="n">
        <f aca="false">IF(OR(CO$4="",$B12=""),0,SUMIF('DADOS BRUTOS'!$A$3:$A$500,$B12,'DADOS BRUTOS'!O$3:O$500)+IF($C12="",0,SUMIF('DADOS BRUTOS'!$A$3:$A$500,$C12,'DADOS BRUTOS'!O$3:O$500)))</f>
        <v>0</v>
      </c>
      <c r="CP12" s="133" t="n">
        <f aca="false">IF(OR(CP$4="",$B12=""),0,SUMIF('DADOS BRUTOS'!$A$3:$A$500,$B12,'DADOS BRUTOS'!P$3:P$500)+IF($C12="",0,SUMIF('DADOS BRUTOS'!$A$3:$A$500,$C12,'DADOS BRUTOS'!P$3:P$500)))</f>
        <v>101.63</v>
      </c>
      <c r="CQ12" s="133" t="n">
        <f aca="false">IF(OR(CQ$4="",$B12=""),0,SUMIF('DADOS BRUTOS'!$A$3:$A$500,$B12,'DADOS BRUTOS'!Q$3:Q$500)+IF($C12="",0,SUMIF('DADOS BRUTOS'!$A$3:$A$500,$C12,'DADOS BRUTOS'!Q$3:Q$500)))</f>
        <v>3.37</v>
      </c>
      <c r="CR12" s="133" t="n">
        <f aca="false">IF(OR(CR$4="",$B12=""),0,SUMIF('DADOS BRUTOS'!$A$3:$A$500,$B12,'DADOS BRUTOS'!R$3:R$500)+IF($C12="",0,SUMIF('DADOS BRUTOS'!$A$3:$A$500,$C12,'DADOS BRUTOS'!R$3:R$500)))</f>
        <v>0</v>
      </c>
      <c r="CS12" s="133" t="n">
        <f aca="false">IF(OR(CS$4="",$B12=""),0,SUMIF('DADOS BRUTOS'!$A$3:$A$500,$B12,'DADOS BRUTOS'!S$3:S$500)+IF($C12="",0,SUMIF('DADOS BRUTOS'!$A$3:$A$500,$C12,'DADOS BRUTOS'!S$3:S$500)))</f>
        <v>53.21</v>
      </c>
      <c r="CT12" s="133" t="n">
        <f aca="false">IF(OR(CT$4="",$B12=""),0,SUMIF('DADOS BRUTOS'!$A$3:$A$500,$B12,'DADOS BRUTOS'!T$3:T$500)+IF($C12="",0,SUMIF('DADOS BRUTOS'!$A$3:$A$500,$C12,'DADOS BRUTOS'!T$3:T$500)))</f>
        <v>50.16</v>
      </c>
      <c r="CU12" s="133" t="n">
        <f aca="false">IF(OR(CU$4="",$B12=""),0,SUMIF('DADOS BRUTOS'!$A$3:$A$500,$B12,'DADOS BRUTOS'!U$3:U$500)+IF($C12="",0,SUMIF('DADOS BRUTOS'!$A$3:$A$500,$C12,'DADOS BRUTOS'!U$3:U$500)))</f>
        <v>1010.05</v>
      </c>
      <c r="CV12" s="133" t="n">
        <f aca="false">IF(OR(CV$4="",$B12=""),0,SUMIF('DADOS BRUTOS'!$A$3:$A$500,$B12,'DADOS BRUTOS'!V$3:V$500)+IF($C12="",0,SUMIF('DADOS BRUTOS'!$A$3:$A$500,$C12,'DADOS BRUTOS'!V$3:V$500)))</f>
        <v>1873.32</v>
      </c>
      <c r="CW12" s="133" t="n">
        <f aca="false">IF(OR(CW$4="",$B12=""),0,SUMIF('DADOS BRUTOS'!$A$3:$A$500,$B12,'DADOS BRUTOS'!W$3:W$500)+IF($C12="",0,SUMIF('DADOS BRUTOS'!$A$3:$A$500,$C12,'DADOS BRUTOS'!W$3:W$500)))</f>
        <v>15662.6</v>
      </c>
      <c r="CX12" s="133" t="n">
        <f aca="false">IF(OR(CX$4="",$B12=""),0,SUMIF('DADOS BRUTOS'!$A$3:$A$500,$B12,'DADOS BRUTOS'!X$3:X$500)+IF($C12="",0,SUMIF('DADOS BRUTOS'!$A$3:$A$500,$C12,'DADOS BRUTOS'!X$3:X$500)))</f>
        <v>8416.58</v>
      </c>
      <c r="CY12" s="133" t="n">
        <f aca="false">IF(OR(CY$4="",$B12=""),0,SUMIF('DADOS BRUTOS'!$A$3:$A$500,$B12,'DADOS BRUTOS'!Y$3:Y$500)+IF($C12="",0,SUMIF('DADOS BRUTOS'!$A$3:$A$500,$C12,'DADOS BRUTOS'!Y$3:Y$500)))</f>
        <v>4003.5</v>
      </c>
      <c r="CZ12" s="133" t="n">
        <f aca="false">IF(OR(CZ$4="",$B12=""),0,SUMIF('DADOS BRUTOS'!$A$3:$A$500,$B12,'DADOS BRUTOS'!Z$3:Z$500)+IF($C12="",0,SUMIF('DADOS BRUTOS'!$A$3:$A$500,$C12,'DADOS BRUTOS'!Z$3:Z$500)))</f>
        <v>7558.47</v>
      </c>
      <c r="DA12" s="133" t="n">
        <f aca="false">IF(OR(DA$4="",$B12=""),0,SUMIF('DADOS BRUTOS'!$A$3:$A$500,$B12,'DADOS BRUTOS'!AA$3:AA$500)+IF($C12="",0,SUMIF('DADOS BRUTOS'!$A$3:$A$500,$C12,'DADOS BRUTOS'!AA$3:AA$500)))</f>
        <v>4295.23</v>
      </c>
      <c r="DB12" s="133" t="n">
        <f aca="false">IF(OR(DB$4="",$B12=""),0,SUMIF('DADOS BRUTOS'!$A$3:$A$500,$B12,'DADOS BRUTOS'!AB$3:AB$500)+IF($C12="",0,SUMIF('DADOS BRUTOS'!$A$3:$A$500,$C12,'DADOS BRUTOS'!AB$3:AB$500)))</f>
        <v>3978</v>
      </c>
      <c r="DC12" s="133" t="n">
        <f aca="false">IF(OR(DC$4="",$B12=""),0,SUMIF('DADOS BRUTOS'!$A$3:$A$500,$B12,'DADOS BRUTOS'!AC$3:AC$500)+IF($C12="",0,SUMIF('DADOS BRUTOS'!$A$3:$A$500,$C12,'DADOS BRUTOS'!AC$3:AC$500)))</f>
        <v>8413.92</v>
      </c>
      <c r="DD12" s="133" t="n">
        <f aca="false">IF(OR(DD$4="",$B12=""),0,SUMIF('DADOS BRUTOS'!$A$3:$A$500,$B12,'DADOS BRUTOS'!AD$3:AD$500)+IF($C12="",0,SUMIF('DADOS BRUTOS'!$A$3:$A$500,$C12,'DADOS BRUTOS'!AD$3:AD$500)))</f>
        <v>2007.6</v>
      </c>
      <c r="DE12" s="133" t="n">
        <f aca="false">IF(OR(DE$4="",$B12=""),0,SUMIF('DADOS BRUTOS'!$A$3:$A$500,$B12,'DADOS BRUTOS'!AE$3:AE$500)+IF($C12="",0,SUMIF('DADOS BRUTOS'!$A$3:$A$500,$C12,'DADOS BRUTOS'!AE$3:AE$500)))</f>
        <v>2550.05</v>
      </c>
      <c r="DF12" s="133" t="n">
        <f aca="false">IF(OR(DF$4="",$B12=""),0,SUMIF('DADOS BRUTOS'!$A$3:$A$500,$B12,'DADOS BRUTOS'!AF$3:AF$500)+IF($C12="",0,SUMIF('DADOS BRUTOS'!$A$3:$A$500,$C12,'DADOS BRUTOS'!AF$3:AF$500)))</f>
        <v>3240.62</v>
      </c>
      <c r="DG12" s="133" t="n">
        <f aca="false">IF(OR(DG$4="",$B12=""),0,SUMIF('DADOS BRUTOS'!$A$3:$A$500,$B12,'DADOS BRUTOS'!AG$3:AG$500)+IF($C12="",0,SUMIF('DADOS BRUTOS'!$A$3:$A$500,$C12,'DADOS BRUTOS'!AG$3:AG$500)))</f>
        <v>1114.34</v>
      </c>
      <c r="DH12" s="133" t="n">
        <f aca="false">IF(OR(DH$4="",$B12=""),0,SUMIF('DADOS BRUTOS'!$A$3:$A$500,$B12,'DADOS BRUTOS'!AH$3:AH$500)+IF($C12="",0,SUMIF('DADOS BRUTOS'!$A$3:$A$500,$C12,'DADOS BRUTOS'!AH$3:AH$500)))</f>
        <v>5722.12</v>
      </c>
      <c r="DI12" s="133" t="n">
        <f aca="false">IF(OR(DI$4="",$B12=""),0,SUMIF('DADOS BRUTOS'!$A$3:$A$500,$B12,'DADOS BRUTOS'!AI$3:AI$500)+IF($C12="",0,SUMIF('DADOS BRUTOS'!$A$3:$A$500,$C12,'DADOS BRUTOS'!AI$3:AI$500)))</f>
        <v>14050.89</v>
      </c>
      <c r="DJ12" s="133" t="n">
        <f aca="false">IF(OR(DJ$4="",$B12=""),0,SUMIF('DADOS BRUTOS'!$A$3:$A$500,$B12,'DADOS BRUTOS'!AJ$3:AJ$500)+IF($C12="",0,SUMIF('DADOS BRUTOS'!$A$3:$A$500,$C12,'DADOS BRUTOS'!AJ$3:AJ$500)))</f>
        <v>2180.92</v>
      </c>
      <c r="DK12" s="133" t="n">
        <f aca="false">IF(OR(DK$4="",$B12=""),0,SUMIF('DADOS BRUTOS'!$A$3:$A$500,$B12,'DADOS BRUTOS'!AK$3:AK$500)+IF($C12="",0,SUMIF('DADOS BRUTOS'!$A$3:$A$500,$C12,'DADOS BRUTOS'!AK$3:AK$500)))</f>
        <v>0</v>
      </c>
      <c r="DL12" s="133" t="n">
        <f aca="false">IF(OR(DL$4="",$B12=""),0,SUMIF('DADOS BRUTOS'!$A$3:$A$500,$B12,'DADOS BRUTOS'!AL$3:AL$500)+IF($C12="",0,SUMIF('DADOS BRUTOS'!$A$3:$A$500,$C12,'DADOS BRUTOS'!AL$3:AL$500)))</f>
        <v>0</v>
      </c>
      <c r="DM12" s="133" t="n">
        <f aca="false">IF(OR(DM$4="",$B12=""),0,SUMIF('DADOS BRUTOS'!$A$3:$A$500,$B12,'DADOS BRUTOS'!AM$3:AM$500)+IF($C12="",0,SUMIF('DADOS BRUTOS'!$A$3:$A$500,$C12,'DADOS BRUTOS'!AM$3:AM$500)))</f>
        <v>0</v>
      </c>
      <c r="DN12" s="133" t="n">
        <f aca="false">IF(OR(DN$4="",$B12=""),0,SUMIF('DADOS BRUTOS'!$A$3:$A$500,$B12,'DADOS BRUTOS'!AN$3:AN$500)+IF($C12="",0,SUMIF('DADOS BRUTOS'!$A$3:$A$500,$C12,'DADOS BRUTOS'!AN$3:AN$500)))</f>
        <v>0</v>
      </c>
      <c r="DO12" s="133" t="n">
        <f aca="false">IF(OR(DO$4="",$B12=""),0,SUMIF('DADOS BRUTOS'!$A$3:$A$500,$B12,'DADOS BRUTOS'!AO$3:AO$500)+IF($C12="",0,SUMIF('DADOS BRUTOS'!$A$3:$A$500,$C12,'DADOS BRUTOS'!AO$3:AO$500)))</f>
        <v>0</v>
      </c>
      <c r="DP12" s="133" t="n">
        <f aca="false">IF(OR(DP$4="",$B12=""),0,SUMIF('DADOS BRUTOS'!$A$3:$A$500,$B12,'DADOS BRUTOS'!AP$3:AP$500)+IF($C12="",0,SUMIF('DADOS BRUTOS'!$A$3:$A$500,$C12,'DADOS BRUTOS'!AP$3:AP$500)))</f>
        <v>0</v>
      </c>
      <c r="DQ12" s="133" t="n">
        <f aca="false">IF(OR(DQ$4="",$B12=""),0,SUMIF('DADOS BRUTOS'!$A$3:$A$500,$B12,'DADOS BRUTOS'!AQ$3:AQ$500)+IF($C12="",0,SUMIF('DADOS BRUTOS'!$A$3:$A$500,$C12,'DADOS BRUTOS'!AQ$3:AQ$500)))</f>
        <v>0</v>
      </c>
      <c r="DR12" s="133" t="n">
        <f aca="false">IF(OR(DR$4="",$B12=""),0,SUMIF('DADOS BRUTOS'!$A$3:$A$500,$B12,'DADOS BRUTOS'!AR$3:AR$500)+IF($C12="",0,SUMIF('DADOS BRUTOS'!$A$3:$A$500,$C12,'DADOS BRUTOS'!AR$3:AR$500)))</f>
        <v>0</v>
      </c>
      <c r="DS12" s="133" t="n">
        <f aca="false">IF(OR(DS$4="",$B12=""),0,SUMIF('DADOS BRUTOS'!$A$3:$A$500,$B12,'DADOS BRUTOS'!AS$3:AS$500)+IF($C12="",0,SUMIF('DADOS BRUTOS'!$A$3:$A$500,$C12,'DADOS BRUTOS'!AS$3:AS$500)))</f>
        <v>0</v>
      </c>
      <c r="DT12" s="133" t="n">
        <f aca="false">IF(OR(DT$4="",$B12=""),0,SUMIF('DADOS BRUTOS'!$A$3:$A$500,$B12,'DADOS BRUTOS'!AT$3:AT$500)+IF($C12="",0,SUMIF('DADOS BRUTOS'!$A$3:$A$500,$C12,'DADOS BRUTOS'!AT$3:AT$500)))</f>
        <v>0</v>
      </c>
      <c r="DU12" s="133" t="n">
        <f aca="false">IF(OR(DU$4="",$B12=""),0,SUMIF('DADOS BRUTOS'!$A$3:$A$500,$B12,'DADOS BRUTOS'!AU$3:AU$500)+IF($C12="",0,SUMIF('DADOS BRUTOS'!$A$3:$A$500,$C12,'DADOS BRUTOS'!AU$3:AU$500)))</f>
        <v>0</v>
      </c>
      <c r="DV12" s="133" t="n">
        <f aca="false">IF(OR(DV$4="",$B12=""),0,SUMIF('DADOS BRUTOS'!$A$3:$A$500,$B12,'DADOS BRUTOS'!AV$3:AV$500)+IF($C12="",0,SUMIF('DADOS BRUTOS'!$A$3:$A$500,$C12,'DADOS BRUTOS'!AV$3:AV$500)))</f>
        <v>0</v>
      </c>
      <c r="DW12" s="133" t="n">
        <f aca="false">IF(OR(DW$4="",$B12=""),0,SUMIF('DADOS BRUTOS'!$A$3:$A$500,$B12,'DADOS BRUTOS'!AW$3:AW$500)+IF($C12="",0,SUMIF('DADOS BRUTOS'!$A$3:$A$500,$C12,'DADOS BRUTOS'!AW$3:AW$500)))</f>
        <v>0</v>
      </c>
      <c r="DX12" s="133" t="n">
        <f aca="false">IF(OR(DX$4="",$B12=""),0,SUMIF('DADOS BRUTOS'!$A$3:$A$500,$B12,'DADOS BRUTOS'!AX$3:AX$500)+IF($C12="",0,SUMIF('DADOS BRUTOS'!$A$3:$A$500,$C12,'DADOS BRUTOS'!AX$3:AX$500)))</f>
        <v>0</v>
      </c>
      <c r="DY12" s="133" t="n">
        <f aca="false">IF(OR(DY$4="",$B12=""),0,SUMIF('DADOS BRUTOS'!$A$3:$A$500,$B12,'DADOS BRUTOS'!AY$3:AY$500)+IF($C12="",0,SUMIF('DADOS BRUTOS'!$A$3:$A$500,$C12,'DADOS BRUTOS'!AY$3:AY$500)))</f>
        <v>0</v>
      </c>
      <c r="DZ12" s="133" t="n">
        <f aca="false">IF(OR(DZ$4="",$B12=""),0,SUMIF('DADOS BRUTOS'!$A$3:$A$500,$B12,'DADOS BRUTOS'!AZ$3:AZ$500)+IF($C12="",0,SUMIF('DADOS BRUTOS'!$A$3:$A$500,$C12,'DADOS BRUTOS'!AZ$3:AZ$500)))</f>
        <v>0</v>
      </c>
      <c r="EA12" s="133" t="n">
        <f aca="false">IF(OR(EA$4="",$B12=""),0,SUMIF('DADOS BRUTOS'!$A$3:$A$500,$B12,'DADOS BRUTOS'!BA$3:BA$500)+IF($C12="",0,SUMIF('DADOS BRUTOS'!$A$3:$A$500,$C12,'DADOS BRUTOS'!BA$3:BA$500)))</f>
        <v>0</v>
      </c>
      <c r="EB12" s="133" t="n">
        <f aca="false">IF(OR(EB$4="",$B12=""),0,SUMIF('DADOS BRUTOS'!$A$3:$A$500,$B12,'DADOS BRUTOS'!BB$3:BB$500)+IF($C12="",0,SUMIF('DADOS BRUTOS'!$A$3:$A$500,$C12,'DADOS BRUTOS'!BB$3:BB$500)))</f>
        <v>0</v>
      </c>
      <c r="EC12" s="133" t="n">
        <f aca="false">IF(OR(EC$4="",$B12=""),0,SUMIF('DADOS BRUTOS'!$A$3:$A$500,$B12,'DADOS BRUTOS'!BC$3:BC$500)+IF($C12="",0,SUMIF('DADOS BRUTOS'!$A$3:$A$500,$C12,'DADOS BRUTOS'!BC$3:BC$500)))</f>
        <v>0</v>
      </c>
      <c r="ED12" s="133" t="n">
        <f aca="false">IF(OR(ED$4="",$B12=""),0,SUMIF('DADOS BRUTOS'!$A$3:$A$500,$B12,'DADOS BRUTOS'!BD$3:BD$500)+IF($C12="",0,SUMIF('DADOS BRUTOS'!$A$3:$A$500,$C12,'DADOS BRUTOS'!BD$3:BD$500)))</f>
        <v>0</v>
      </c>
      <c r="EE12" s="133" t="n">
        <f aca="false">IF(OR(EE$4="",$B12=""),0,SUMIF('DADOS BRUTOS'!$A$3:$A$500,$B12,'DADOS BRUTOS'!BE$3:BE$500)+IF($C12="",0,SUMIF('DADOS BRUTOS'!$A$3:$A$500,$C12,'DADOS BRUTOS'!BE$3:BE$500)))</f>
        <v>0</v>
      </c>
      <c r="EF12" s="133" t="n">
        <f aca="false">IF(OR(EF$4="",$B12=""),0,SUMIF('DADOS BRUTOS'!$A$3:$A$500,$B12,'DADOS BRUTOS'!BF$3:BF$500)+IF($C12="",0,SUMIF('DADOS BRUTOS'!$A$3:$A$500,$C12,'DADOS BRUTOS'!BF$3:BF$500)))</f>
        <v>0</v>
      </c>
      <c r="EG12" s="133" t="n">
        <f aca="false">IF(OR(EG$4="",$B12=""),0,SUMIF('DADOS BRUTOS'!$A$3:$A$500,$B12,'DADOS BRUTOS'!BG$3:BG$500)+IF($C12="",0,SUMIF('DADOS BRUTOS'!$A$3:$A$500,$C12,'DADOS BRUTOS'!BG$3:BG$500)))</f>
        <v>0</v>
      </c>
      <c r="EH12" s="133" t="n">
        <f aca="false">IF(OR(EH$4="",$B12=""),0,SUMIF('DADOS BRUTOS'!$A$3:$A$500,$B12,'DADOS BRUTOS'!BH$3:BH$500)+IF($C12="",0,SUMIF('DADOS BRUTOS'!$A$3:$A$500,$C12,'DADOS BRUTOS'!BH$3:BH$500)))</f>
        <v>0</v>
      </c>
      <c r="EI12" s="133" t="n">
        <f aca="false">IF(OR(EI$4="",$B12=""),0,SUMIF('DADOS BRUTOS'!$A$3:$A$500,$B12,'DADOS BRUTOS'!BI$3:BI$500)+IF($C12="",0,SUMIF('DADOS BRUTOS'!$A$3:$A$500,$C12,'DADOS BRUTOS'!BI$3:BI$500)))</f>
        <v>0</v>
      </c>
      <c r="EJ12" s="133" t="n">
        <f aca="false">IF(OR(EJ$4="",$B12=""),0,SUMIF('DADOS BRUTOS'!$A$3:$A$500,$B12,'DADOS BRUTOS'!BJ$3:BJ$500)+IF($C12="",0,SUMIF('DADOS BRUTOS'!$A$3:$A$500,$C12,'DADOS BRUTOS'!BJ$3:BJ$500)))</f>
        <v>0</v>
      </c>
      <c r="EK12" s="133" t="n">
        <f aca="false">IF(OR(EK$4="",$B12=""),0,SUMIF('DADOS BRUTOS'!$A$3:$A$500,$B12,'DADOS BRUTOS'!BK$3:BK$500)+IF($C12="",0,SUMIF('DADOS BRUTOS'!$A$3:$A$500,$C12,'DADOS BRUTOS'!BK$3:BK$500)))</f>
        <v>0</v>
      </c>
      <c r="EL12" s="133" t="n">
        <f aca="false">IF(OR(EL$4="",$B12=""),0,SUMIF('DADOS BRUTOS'!$A$3:$A$500,$B12,'DADOS BRUTOS'!BL$3:BL$500)+IF($C12="",0,SUMIF('DADOS BRUTOS'!$A$3:$A$500,$C12,'DADOS BRUTOS'!BL$3:BL$500)))</f>
        <v>0</v>
      </c>
      <c r="EM12" s="133" t="n">
        <f aca="false">IF(OR(EM$4="",$B12=""),0,SUMIF('DADOS BRUTOS'!$A$3:$A$500,$B12,'DADOS BRUTOS'!BM$3:BM$500)+IF($C12="",0,SUMIF('DADOS BRUTOS'!$A$3:$A$500,$C12,'DADOS BRUTOS'!BM$3:BM$500)))</f>
        <v>0</v>
      </c>
      <c r="EN12" s="133" t="n">
        <f aca="false">IF(OR(EN$4="",$B12=""),0,SUMIF('DADOS BRUTOS'!$A$3:$A$500,$B12,'DADOS BRUTOS'!BN$3:BN$500)+IF($C12="",0,SUMIF('DADOS BRUTOS'!$A$3:$A$500,$C12,'DADOS BRUTOS'!BN$3:BN$500)))</f>
        <v>0</v>
      </c>
      <c r="EO12" s="133" t="n">
        <f aca="false">IF(OR(EO$4="",$B12=""),0,SUMIF('DADOS BRUTOS'!$A$3:$A$500,$B12,'DADOS BRUTOS'!BO$3:BO$500)+IF($C12="",0,SUMIF('DADOS BRUTOS'!$A$3:$A$500,$C12,'DADOS BRUTOS'!BO$3:BO$500)))</f>
        <v>0</v>
      </c>
      <c r="EP12" s="133" t="n">
        <f aca="false">IF(OR(EP$4="",$B12=""),0,SUMIF('DADOS BRUTOS'!$A$3:$A$500,$B12,'DADOS BRUTOS'!BP$3:BP$500)+IF($C12="",0,SUMIF('DADOS BRUTOS'!$A$3:$A$500,$C12,'DADOS BRUTOS'!BP$3:BP$500)))</f>
        <v>0</v>
      </c>
      <c r="EQ12" s="133" t="n">
        <f aca="false">IF(OR(EQ$4="",$B12=""),0,SUMIF('DADOS BRUTOS'!$A$3:$A$500,$B12,'DADOS BRUTOS'!BQ$3:BQ$500)+IF($C12="",0,SUMIF('DADOS BRUTOS'!$A$3:$A$500,$C12,'DADOS BRUTOS'!BQ$3:BQ$500)))</f>
        <v>0</v>
      </c>
      <c r="ER12" s="133" t="n">
        <f aca="false">IF(OR(ER$4="",$B12=""),0,SUMIF('DADOS BRUTOS'!$A$3:$A$500,$B12,'DADOS BRUTOS'!BR$3:BR$500)+IF($C12="",0,SUMIF('DADOS BRUTOS'!$A$3:$A$500,$C12,'DADOS BRUTOS'!BR$3:BR$500)))</f>
        <v>0</v>
      </c>
      <c r="ES12" s="133" t="n">
        <f aca="false">IF(OR(ES$4="",$B12=""),0,SUMIF('DADOS BRUTOS'!$A$3:$A$500,$B12,'DADOS BRUTOS'!BS$3:BS$500)+IF($C12="",0,SUMIF('DADOS BRUTOS'!$A$3:$A$500,$C12,'DADOS BRUTOS'!BS$3:BS$500)))</f>
        <v>0</v>
      </c>
      <c r="ET12" s="133" t="n">
        <f aca="false">IF(OR(ET$4="",$B12=""),0,SUMIF('DADOS BRUTOS'!$A$3:$A$500,$B12,'DADOS BRUTOS'!BT$3:BT$500)+IF($C12="",0,SUMIF('DADOS BRUTOS'!$A$3:$A$500,$C12,'DADOS BRUTOS'!BT$3:BT$500)))</f>
        <v>0</v>
      </c>
      <c r="EU12" s="133" t="n">
        <f aca="false">IF(OR(EU$4="",$B12=""),0,SUMIF('DADOS BRUTOS'!$A$3:$A$500,$B12,'DADOS BRUTOS'!BU$3:BU$500)+IF($C12="",0,SUMIF('DADOS BRUTOS'!$A$3:$A$500,$C12,'DADOS BRUTOS'!BU$3:BU$500)))</f>
        <v>0</v>
      </c>
      <c r="EV12" s="133" t="n">
        <f aca="false">IF(OR(EV$4="",$B12=""),0,SUMIF('DADOS BRUTOS'!$A$3:$A$500,$B12,'DADOS BRUTOS'!BV$3:BV$500)+IF($C12="",0,SUMIF('DADOS BRUTOS'!$A$3:$A$500,$C12,'DADOS BRUTOS'!BV$3:BV$500)))</f>
        <v>0</v>
      </c>
      <c r="EW12" s="133" t="n">
        <f aca="false">IF(OR(EW$4="",$B12=""),0,SUMIF('DADOS BRUTOS'!$A$3:$A$500,$B12,'DADOS BRUTOS'!BW$3:BW$500)+IF($C12="",0,SUMIF('DADOS BRUTOS'!$A$3:$A$500,$C12,'DADOS BRUTOS'!BW$3:BW$500)))</f>
        <v>0</v>
      </c>
      <c r="EX12" s="133" t="n">
        <f aca="false">IF(OR(EX$4="",$B12=""),0,SUMIF('DADOS BRUTOS'!$A$3:$A$500,$B12,'DADOS BRUTOS'!BX$3:BX$500)+IF($C12="",0,SUMIF('DADOS BRUTOS'!$A$3:$A$500,$C12,'DADOS BRUTOS'!BX$3:BX$500)))</f>
        <v>0</v>
      </c>
      <c r="EY12" s="133" t="n">
        <f aca="false">IF(OR(EY$4="",$B12=""),0,SUMIF('DADOS BRUTOS'!$A$3:$A$500,$B12,'DADOS BRUTOS'!BY$3:BY$500)+IF($C12="",0,SUMIF('DADOS BRUTOS'!$A$3:$A$500,$C12,'DADOS BRUTOS'!BY$3:BY$500)))</f>
        <v>0</v>
      </c>
      <c r="EZ12" s="133" t="n">
        <f aca="false">IF(OR(EZ$4="",$B12=""),0,SUMIF('DADOS BRUTOS'!$A$3:$A$500,$B12,'DADOS BRUTOS'!BZ$3:BZ$500)+IF($C12="",0,SUMIF('DADOS BRUTOS'!$A$3:$A$500,$C12,'DADOS BRUTOS'!BZ$3:BZ$500)))</f>
        <v>0</v>
      </c>
      <c r="FA12" s="133" t="n">
        <f aca="false">IF(OR(FA$4="",$B12=""),0,SUMIF('DADOS BRUTOS'!$A$3:$A$500,$B12,'DADOS BRUTOS'!CA$3:CA$500)+IF($C12="",0,SUMIF('DADOS BRUTOS'!$A$3:$A$500,$C12,'DADOS BRUTOS'!CA$3:CA$500)))</f>
        <v>0</v>
      </c>
      <c r="FB12" s="133" t="n">
        <f aca="false">IF(OR(FB$4="",$B12=""),0,SUMIF('DADOS BRUTOS'!$A$3:$A$500,$B12,'DADOS BRUTOS'!CB$3:CB$500)+IF($C12="",0,SUMIF('DADOS BRUTOS'!$A$3:$A$500,$C12,'DADOS BRUTOS'!CB$3:CB$500)))</f>
        <v>0</v>
      </c>
      <c r="FC12" s="133" t="n">
        <f aca="false">IF(OR(FC$4="",$B12=""),0,SUMIF('DADOS BRUTOS'!$A$3:$A$500,$B12,'DADOS BRUTOS'!CC$3:CC$500)+IF($C12="",0,SUMIF('DADOS BRUTOS'!$A$3:$A$500,$C12,'DADOS BRUTOS'!CC$3:CC$500)))</f>
        <v>0</v>
      </c>
      <c r="FD12" s="133" t="n">
        <f aca="false">IF(OR(FD$4="",$B12=""),0,SUMIF('DADOS BRUTOS'!$A$3:$A$500,$B12,'DADOS BRUTOS'!CD$3:CD$500)+IF($C12="",0,SUMIF('DADOS BRUTOS'!$A$3:$A$500,$C12,'DADOS BRUTOS'!CD$3:CD$500)))</f>
        <v>0</v>
      </c>
      <c r="FE12" s="133" t="n">
        <f aca="false">IF(OR(FE$4="",$B12=""),0,SUMIF('DADOS BRUTOS'!$A$3:$A$500,$B12,'DADOS BRUTOS'!CE$3:CE$500)+IF($C12="",0,SUMIF('DADOS BRUTOS'!$A$3:$A$500,$C12,'DADOS BRUTOS'!CE$3:CE$500)))</f>
        <v>0</v>
      </c>
      <c r="FF12" s="133" t="n">
        <f aca="false">IF(OR(FF$4="",$B12=""),0,SUMIF('DADOS BRUTOS'!$A$3:$A$500,$B12,'DADOS BRUTOS'!CF$3:CF$500)+IF($C12="",0,SUMIF('DADOS BRUTOS'!$A$3:$A$500,$C12,'DADOS BRUTOS'!CF$3:CF$500)))</f>
        <v>0</v>
      </c>
      <c r="FG12" s="133" t="n">
        <f aca="false">IF(OR(FG$4="",$B12=""),0,SUMIF('DADOS BRUTOS'!$A$3:$A$500,$B12,'DADOS BRUTOS'!CG$3:CG$500)+IF($C12="",0,SUMIF('DADOS BRUTOS'!$A$3:$A$500,$C12,'DADOS BRUTOS'!CG$3:CG$500)))</f>
        <v>0</v>
      </c>
      <c r="FH12" s="133" t="n">
        <f aca="false">IF(OR(FH$4="",$B12=""),0,SUMIF('DADOS BRUTOS'!$A$3:$A$500,$B12,'DADOS BRUTOS'!CH$3:CH$500)+IF($C12="",0,SUMIF('DADOS BRUTOS'!$A$3:$A$500,$C12,'DADOS BRUTOS'!CH$3:CH$500)))</f>
        <v>0</v>
      </c>
      <c r="FI12" s="133" t="n">
        <f aca="false">IF(OR(FI$4="",$B12=""),0,SUMIF('DADOS BRUTOS'!$A$3:$A$500,$B12,'DADOS BRUTOS'!CI$3:CI$500)+IF($C12="",0,SUMIF('DADOS BRUTOS'!$A$3:$A$500,$C12,'DADOS BRUTOS'!CI$3:CI$500)))</f>
        <v>0</v>
      </c>
      <c r="FJ12" s="133" t="n">
        <f aca="false">IF(OR(FJ$4="",$B12=""),0,SUMIF('DADOS BRUTOS'!$A$3:$A$500,$B12,'DADOS BRUTOS'!CJ$3:CJ$500)+IF($C12="",0,SUMIF('DADOS BRUTOS'!$A$3:$A$500,$C12,'DADOS BRUTOS'!CJ$3:CJ$500)))</f>
        <v>0</v>
      </c>
      <c r="FK12" s="133" t="n">
        <f aca="false">IF(OR(FK$4="",$B12=""),0,SUMIF('DADOS BRUTOS'!$A$3:$A$500,$B12,'DADOS BRUTOS'!CK$3:CK$500)+IF($C12="",0,SUMIF('DADOS BRUTOS'!$A$3:$A$500,$C12,'DADOS BRUTOS'!CK$3:CK$500)))</f>
        <v>0</v>
      </c>
      <c r="FL12" s="133" t="n">
        <f aca="false">IF(OR(FL$4="",$B12=""),0,SUMIF('DADOS BRUTOS'!$A$3:$A$500,$B12,'DADOS BRUTOS'!CL$3:CL$500)+IF($C12="",0,SUMIF('DADOS BRUTOS'!$A$3:$A$500,$C12,'DADOS BRUTOS'!CL$3:CL$500)))</f>
        <v>0</v>
      </c>
      <c r="FM12" s="133" t="n">
        <f aca="false">IF(OR(FM$4="",$B12=""),0,SUMIF('DADOS BRUTOS'!$A$3:$A$500,$B12,'DADOS BRUTOS'!CM$3:CM$500)+IF($C12="",0,SUMIF('DADOS BRUTOS'!$A$3:$A$500,$C12,'DADOS BRUTOS'!CM$3:CM$500)))</f>
        <v>0</v>
      </c>
      <c r="FN12" s="133" t="n">
        <f aca="false">IF(OR(FN$4="",$B12=""),0,SUMIF('DADOS BRUTOS'!$A$3:$A$500,$B12,'DADOS BRUTOS'!CN$3:CN$500)+IF($C12="",0,SUMIF('DADOS BRUTOS'!$A$3:$A$500,$C12,'DADOS BRUTOS'!CN$3:CN$500)))</f>
        <v>0</v>
      </c>
      <c r="FO12" s="133" t="n">
        <f aca="false">IF(OR(FO$4="",$B12=""),0,SUMIF('DADOS BRUTOS'!$A$3:$A$500,$B12,'DADOS BRUTOS'!CO$3:CO$500)+IF($C12="",0,SUMIF('DADOS BRUTOS'!$A$3:$A$500,$C12,'DADOS BRUTOS'!CO$3:CO$500)))</f>
        <v>0</v>
      </c>
      <c r="FP12" s="133" t="n">
        <f aca="false">IF(OR(FP$4="",$B12=""),0,SUMIF('DADOS BRUTOS'!$A$3:$A$500,$B12,'DADOS BRUTOS'!CP$3:CP$500)+IF($C12="",0,SUMIF('DADOS BRUTOS'!$A$3:$A$500,$C12,'DADOS BRUTOS'!CP$3:CP$500)))</f>
        <v>0</v>
      </c>
      <c r="FQ12" s="133" t="n">
        <f aca="false">IF(OR(FQ$4="",$B12=""),0,SUMIF('DADOS BRUTOS'!$A$3:$A$500,$B12,'DADOS BRUTOS'!CQ$3:CQ$500)+IF($C12="",0,SUMIF('DADOS BRUTOS'!$A$3:$A$500,$C12,'DADOS BRUTOS'!CQ$3:CQ$500)))</f>
        <v>0</v>
      </c>
      <c r="FR12" s="133" t="n">
        <f aca="false">IF(OR(FR$4="",$B12=""),0,SUMIF('DADOS BRUTOS'!$A$3:$A$500,$B12,'DADOS BRUTOS'!CR$3:CR$500)+IF($C12="",0,SUMIF('DADOS BRUTOS'!$A$3:$A$500,$C12,'DADOS BRUTOS'!CR$3:CR$500)))</f>
        <v>0</v>
      </c>
      <c r="FS12" s="133" t="n">
        <f aca="false">IF(OR(FS$4="",$B12=""),0,SUMIF('DADOS BRUTOS'!$A$3:$A$500,$B12,'DADOS BRUTOS'!CS$3:CS$500)+IF($C12="",0,SUMIF('DADOS BRUTOS'!$A$3:$A$500,$C12,'DADOS BRUTOS'!CS$3:CS$500)))</f>
        <v>0</v>
      </c>
      <c r="FT12" s="133" t="n">
        <f aca="false">IF(OR(FT$4="",$B12=""),0,SUMIF('DADOS BRUTOS'!$A$3:$A$500,$B12,'DADOS BRUTOS'!CT$3:CT$500)+IF($C12="",0,SUMIF('DADOS BRUTOS'!$A$3:$A$500,$C12,'DADOS BRUTOS'!CT$3:CT$500)))</f>
        <v>0</v>
      </c>
      <c r="FU12" s="133" t="n">
        <f aca="false">IF(OR(FU$4="",$B12=""),0,SUMIF('DADOS BRUTOS'!$A$3:$A$500,$B12,'DADOS BRUTOS'!CU$3:CU$500)+IF($C12="",0,SUMIF('DADOS BRUTOS'!$A$3:$A$500,$C12,'DADOS BRUTOS'!CU$3:CU$500)))</f>
        <v>0</v>
      </c>
      <c r="FV12" s="133" t="n">
        <f aca="false">IF(OR(FV$4="",$B12=""),0,SUMIF('DADOS BRUTOS'!$A$3:$A$500,$B12,'DADOS BRUTOS'!CV$3:CV$500)+IF($C12="",0,SUMIF('DADOS BRUTOS'!$A$3:$A$500,$C12,'DADOS BRUTOS'!CV$3:CV$500)))</f>
        <v>0</v>
      </c>
      <c r="FW12" s="133" t="n">
        <f aca="false">IF(OR(FW$4="",$B12=""),0,SUMIF('DADOS BRUTOS'!$A$3:$A$500,$B12,'DADOS BRUTOS'!CW$3:CW$500)+IF($C12="",0,SUMIF('DADOS BRUTOS'!$A$3:$A$500,$C12,'DADOS BRUTOS'!CW$3:CW$500)))</f>
        <v>0</v>
      </c>
      <c r="FX12" s="133" t="n">
        <f aca="false">IF(OR(FX$4="",$B12=""),0,SUMIF('DADOS BRUTOS'!$A$3:$A$500,$B12,'DADOS BRUTOS'!CX$3:CX$500)+IF($C12="",0,SUMIF('DADOS BRUTOS'!$A$3:$A$500,$C12,'DADOS BRUTOS'!CX$3:CX$500)))</f>
        <v>0</v>
      </c>
      <c r="FY12" s="133" t="n">
        <f aca="false">IF(OR(FY$4="",$B12=""),0,SUMIF('DADOS BRUTOS'!$A$3:$A$500,$B12,'DADOS BRUTOS'!CY$3:CY$500)+IF($C12="",0,SUMIF('DADOS BRUTOS'!$A$3:$A$500,$C12,'DADOS BRUTOS'!CY$3:CY$500)))</f>
        <v>0</v>
      </c>
      <c r="FZ12" s="133" t="n">
        <f aca="false">IF(OR(FZ$4="",$B12=""),0,SUMIF('DADOS BRUTOS'!$A$3:$A$500,$B12,'DADOS BRUTOS'!CZ$3:CZ$500)+IF($C12="",0,SUMIF('DADOS BRUTOS'!$A$3:$A$500,$C12,'DADOS BRUTOS'!CZ$3:CZ$500)))</f>
        <v>0</v>
      </c>
      <c r="GA12" s="133" t="n">
        <f aca="false">IF(OR(GA$4="",$B12=""),0,SUMIF('DADOS BRUTOS'!$A$3:$A$500,$B12,'DADOS BRUTOS'!DA$3:DA$500)+IF($C12="",0,SUMIF('DADOS BRUTOS'!$A$3:$A$500,$C12,'DADOS BRUTOS'!DA$3:DA$500)))</f>
        <v>0</v>
      </c>
      <c r="GB12" s="133" t="n">
        <f aca="false">IF(OR(GB$4="",$B12=""),0,SUMIF('DADOS BRUTOS'!$A$3:$A$500,$B12,'DADOS BRUTOS'!DB$3:DB$500)+IF($C12="",0,SUMIF('DADOS BRUTOS'!$A$3:$A$500,$C12,'DADOS BRUTOS'!DB$3:DB$500)))</f>
        <v>0</v>
      </c>
      <c r="GC12" s="133" t="n">
        <f aca="false">IF(OR(GC$4="",$B12=""),0,SUMIF('DADOS BRUTOS'!$A$3:$A$500,$B12,'DADOS BRUTOS'!DC$3:DC$500)+IF($C12="",0,SUMIF('DADOS BRUTOS'!$A$3:$A$500,$C12,'DADOS BRUTOS'!DC$3:DC$500)))</f>
        <v>0</v>
      </c>
      <c r="GD12" s="133" t="n">
        <f aca="false">IF(OR(GD$4="",$B12=""),0,SUMIF('DADOS BRUTOS'!$A$3:$A$500,$B12,'DADOS BRUTOS'!DD$3:DD$500)+IF($C12="",0,SUMIF('DADOS BRUTOS'!$A$3:$A$500,$C12,'DADOS BRUTOS'!DD$3:DD$500)))</f>
        <v>0</v>
      </c>
      <c r="GE12" s="133" t="n">
        <f aca="false">IF(OR(GE$4="",$B12=""),0,SUMIF('DADOS BRUTOS'!$A$3:$A$500,$B12,'DADOS BRUTOS'!DE$3:DE$500)+IF($C12="",0,SUMIF('DADOS BRUTOS'!$A$3:$A$500,$C12,'DADOS BRUTOS'!DE$3:DE$500)))</f>
        <v>0</v>
      </c>
      <c r="GF12" s="133" t="n">
        <f aca="false">IF(OR(GF$4="",$B12=""),0,SUMIF('DADOS BRUTOS'!$A$3:$A$500,$B12,'DADOS BRUTOS'!DF$3:DF$500)+IF($C12="",0,SUMIF('DADOS BRUTOS'!$A$3:$A$500,$C12,'DADOS BRUTOS'!DF$3:DF$500)))</f>
        <v>0</v>
      </c>
      <c r="GG12" s="133" t="n">
        <f aca="false">IF(OR(GG$4="",$B12=""),0,SUMIF('DADOS BRUTOS'!$A$3:$A$500,$B12,'DADOS BRUTOS'!DG$3:DG$500)+IF($C12="",0,SUMIF('DADOS BRUTOS'!$A$3:$A$500,$C12,'DADOS BRUTOS'!DG$3:DG$500)))</f>
        <v>0</v>
      </c>
      <c r="GH12" s="133" t="n">
        <f aca="false">IF(OR(GH$4="",$B12=""),0,SUMIF('DADOS BRUTOS'!$A$3:$A$500,$B12,'DADOS BRUTOS'!DH$3:DH$500)+IF($C12="",0,SUMIF('DADOS BRUTOS'!$A$3:$A$500,$C12,'DADOS BRUTOS'!DH$3:DH$500)))</f>
        <v>0</v>
      </c>
      <c r="GI12" s="133" t="n">
        <f aca="false">IF(OR(GI$4="",$B12=""),0,SUMIF('DADOS BRUTOS'!$A$3:$A$500,$B12,'DADOS BRUTOS'!DI$3:DI$500)+IF($C12="",0,SUMIF('DADOS BRUTOS'!$A$3:$A$500,$C12,'DADOS BRUTOS'!DI$3:DI$500)))</f>
        <v>0</v>
      </c>
      <c r="GJ12" s="133" t="n">
        <f aca="false">IF(OR(GJ$4="",$B12=""),0,SUMIF('DADOS BRUTOS'!$A$3:$A$500,$B12,'DADOS BRUTOS'!DJ$3:DJ$500)+IF($C12="",0,SUMIF('DADOS BRUTOS'!$A$3:$A$500,$C12,'DADOS BRUTOS'!DJ$3:DJ$500)))</f>
        <v>0</v>
      </c>
      <c r="GK12" s="133" t="n">
        <f aca="false">IF(OR(GK$4="",$B12=""),0,SUMIF('DADOS BRUTOS'!$A$3:$A$500,$B12,'DADOS BRUTOS'!DK$3:DK$500)+IF($C12="",0,SUMIF('DADOS BRUTOS'!$A$3:$A$500,$C12,'DADOS BRUTOS'!DK$3:DK$500)))</f>
        <v>0</v>
      </c>
      <c r="GL12" s="133" t="n">
        <f aca="false">IF(OR(GL$4="",$B12=""),0,SUMIF('DADOS BRUTOS'!$A$3:$A$500,$B12,'DADOS BRUTOS'!DL$3:DL$500)+IF($C12="",0,SUMIF('DADOS BRUTOS'!$A$3:$A$500,$C12,'DADOS BRUTOS'!DL$3:DL$500)))</f>
        <v>0</v>
      </c>
      <c r="GM12" s="133" t="n">
        <f aca="false">IF(OR(GM$4="",$B12=""),0,SUMIF('DADOS BRUTOS'!$A$3:$A$500,$B12,'DADOS BRUTOS'!DM$3:DM$500)+IF($C12="",0,SUMIF('DADOS BRUTOS'!$A$3:$A$500,$C12,'DADOS BRUTOS'!DM$3:DM$500)))</f>
        <v>0</v>
      </c>
      <c r="GN12" s="133" t="n">
        <f aca="false">IF(OR(GN$4="",$B12=""),0,SUMIF('DADOS BRUTOS'!$A$3:$A$500,$B12,'DADOS BRUTOS'!DN$3:DN$500)+IF($C12="",0,SUMIF('DADOS BRUTOS'!$A$3:$A$500,$C12,'DADOS BRUTOS'!DN$3:DN$500)))</f>
        <v>0</v>
      </c>
      <c r="GO12" s="133" t="n">
        <f aca="false">IF(OR(GO$4="",$B12=""),0,SUMIF('DADOS BRUTOS'!$A$3:$A$500,$B12,'DADOS BRUTOS'!DO$3:DO$500)+IF($C12="",0,SUMIF('DADOS BRUTOS'!$A$3:$A$500,$C12,'DADOS BRUTOS'!DO$3:DO$500)))</f>
        <v>0</v>
      </c>
      <c r="GP12" s="133" t="n">
        <f aca="false">IF(OR(GP$4="",$B12=""),0,SUMIF('DADOS BRUTOS'!$A$3:$A$500,$B12,'DADOS BRUTOS'!DP$3:DP$500)+IF($C12="",0,SUMIF('DADOS BRUTOS'!$A$3:$A$500,$C12,'DADOS BRUTOS'!DP$3:DP$500)))</f>
        <v>0</v>
      </c>
      <c r="GQ12" s="133" t="n">
        <f aca="false">IF(OR(GQ$4="",$B12=""),0,SUMIF('DADOS BRUTOS'!$A$3:$A$500,$B12,'DADOS BRUTOS'!DQ$3:DQ$500)+IF($C12="",0,SUMIF('DADOS BRUTOS'!$A$3:$A$500,$C12,'DADOS BRUTOS'!DQ$3:DQ$500)))</f>
        <v>0</v>
      </c>
      <c r="GR12" s="133" t="n">
        <f aca="false">IF(OR(GR$4="",$B12=""),0,SUMIF('DADOS BRUTOS'!$A$3:$A$500,$B12,'DADOS BRUTOS'!DR$3:DR$500)+IF($C12="",0,SUMIF('DADOS BRUTOS'!$A$3:$A$500,$C12,'DADOS BRUTOS'!DR$3:DR$500)))</f>
        <v>0</v>
      </c>
      <c r="GS12" s="133" t="n">
        <f aca="false">IF(OR(GS$4="",$B12=""),0,SUMIF('DADOS BRUTOS'!$A$3:$A$500,$B12,'DADOS BRUTOS'!DS$3:DS$500)+IF($C12="",0,SUMIF('DADOS BRUTOS'!$A$3:$A$500,$C12,'DADOS BRUTOS'!DS$3:DS$500)))</f>
        <v>0</v>
      </c>
      <c r="GT12" s="133" t="n">
        <f aca="false">IF(OR(GT$4="",$B12=""),0,SUMIF('DADOS BRUTOS'!$A$3:$A$500,$B12,'DADOS BRUTOS'!DT$3:DT$500)+IF($C12="",0,SUMIF('DADOS BRUTOS'!$A$3:$A$500,$C12,'DADOS BRUTOS'!DT$3:DT$500)))</f>
        <v>0</v>
      </c>
      <c r="GU12" s="133" t="n">
        <f aca="false">IF(OR(GU$4="",$B12=""),0,SUMIF('DADOS BRUTOS'!$A$3:$A$500,$B12,'DADOS BRUTOS'!DU$3:DU$500)+IF($C12="",0,SUMIF('DADOS BRUTOS'!$A$3:$A$500,$C12,'DADOS BRUTOS'!DU$3:DU$500)))</f>
        <v>0</v>
      </c>
      <c r="GV12" s="133" t="n">
        <f aca="false">IF(OR(GV$4="",$B12=""),0,SUMIF('DADOS BRUTOS'!$A$3:$A$500,$B12,'DADOS BRUTOS'!DV$3:DV$500)+IF($C12="",0,SUMIF('DADOS BRUTOS'!$A$3:$A$500,$C12,'DADOS BRUTOS'!DV$3:DV$500)))</f>
        <v>0</v>
      </c>
      <c r="GW12" s="133" t="n">
        <f aca="false">IF(OR(GW$4="",$B12=""),0,SUMIF('DADOS BRUTOS'!$A$3:$A$500,$B12,'DADOS BRUTOS'!DW$3:DW$500)+IF($C12="",0,SUMIF('DADOS BRUTOS'!$A$3:$A$500,$C12,'DADOS BRUTOS'!DW$3:DW$500)))</f>
        <v>0</v>
      </c>
      <c r="GX12" s="133" t="n">
        <f aca="false">IF(OR(GX$4="",$B12=""),0,SUMIF('DADOS BRUTOS'!$A$3:$A$500,$B12,'DADOS BRUTOS'!DX$3:DX$500)+IF($C12="",0,SUMIF('DADOS BRUTOS'!$A$3:$A$500,$C12,'DADOS BRUTOS'!DX$3:DX$500)))</f>
        <v>0</v>
      </c>
      <c r="GY12" s="133" t="n">
        <f aca="false">IF(OR(GY$4="",$B12=""),0,SUMIF('DADOS BRUTOS'!$A$3:$A$500,$B12,'DADOS BRUTOS'!DY$3:DY$500)+IF($C12="",0,SUMIF('DADOS BRUTOS'!$A$3:$A$500,$C12,'DADOS BRUTOS'!DY$3:DY$500)))</f>
        <v>0</v>
      </c>
      <c r="GZ12" s="133" t="n">
        <f aca="false">IF(OR(GZ$4="",$B12=""),0,SUMIF('DADOS BRUTOS'!$A$3:$A$500,$B12,'DADOS BRUTOS'!DZ$3:DZ$500)+IF($C12="",0,SUMIF('DADOS BRUTOS'!$A$3:$A$500,$C12,'DADOS BRUTOS'!DZ$3:DZ$500)))</f>
        <v>0</v>
      </c>
      <c r="HA12" s="133" t="n">
        <f aca="false">IF(OR(HA$4="",$B12=""),0,SUMIF('DADOS BRUTOS'!$A$3:$A$500,$B12,'DADOS BRUTOS'!EA$3:EA$500)+IF($C12="",0,SUMIF('DADOS BRUTOS'!$A$3:$A$500,$C12,'DADOS BRUTOS'!EA$3:EA$500)))</f>
        <v>0</v>
      </c>
      <c r="HB12" s="133" t="n">
        <f aca="false">IF(OR(HB$4="",$B12=""),0,SUMIF('DADOS BRUTOS'!$A$3:$A$500,$B12,'DADOS BRUTOS'!EB$3:EB$500)+IF($C12="",0,SUMIF('DADOS BRUTOS'!$A$3:$A$500,$C12,'DADOS BRUTOS'!EB$3:EB$500)))</f>
        <v>0</v>
      </c>
      <c r="HC12" s="133" t="n">
        <f aca="false">IF(OR(HC$4="",$B12=""),0,SUMIF('DADOS BRUTOS'!$A$3:$A$500,$B12,'DADOS BRUTOS'!EC$3:EC$500)+IF($C12="",0,SUMIF('DADOS BRUTOS'!$A$3:$A$500,$C12,'DADOS BRUTOS'!EC$3:EC$500)))</f>
        <v>0</v>
      </c>
      <c r="HD12" s="133" t="n">
        <f aca="false">IF(OR(HD$4="",$B12=""),0,SUMIF('DADOS BRUTOS'!$A$3:$A$500,$B12,'DADOS BRUTOS'!ED$3:ED$500)+IF($C12="",0,SUMIF('DADOS BRUTOS'!$A$3:$A$500,$C12,'DADOS BRUTOS'!ED$3:ED$500)))</f>
        <v>0</v>
      </c>
      <c r="HE12" s="133" t="n">
        <f aca="false">IF(OR(HE$4="",$B12=""),0,SUMIF('DADOS BRUTOS'!$A$3:$A$500,$B12,'DADOS BRUTOS'!EE$3:EE$500)+IF($C12="",0,SUMIF('DADOS BRUTOS'!$A$3:$A$500,$C12,'DADOS BRUTOS'!EE$3:EE$500)))</f>
        <v>0</v>
      </c>
      <c r="HF12" s="133" t="n">
        <f aca="false">IF(OR(HF$4="",$B12=""),0,SUMIF('DADOS BRUTOS'!$A$3:$A$500,$B12,'DADOS BRUTOS'!EF$3:EF$500)+IF($C12="",0,SUMIF('DADOS BRUTOS'!$A$3:$A$500,$C12,'DADOS BRUTOS'!EF$3:EF$500)))</f>
        <v>0</v>
      </c>
      <c r="HG12" s="133" t="n">
        <f aca="false">IF(OR(HG$4="",$B12=""),0,SUMIF('DADOS BRUTOS'!$A$3:$A$500,$B12,'DADOS BRUTOS'!EG$3:EG$500)+IF($C12="",0,SUMIF('DADOS BRUTOS'!$A$3:$A$500,$C12,'DADOS BRUTOS'!EG$3:EG$500)))</f>
        <v>0</v>
      </c>
      <c r="HH12" s="133" t="n">
        <f aca="false">IF(OR(HH$4="",$B12=""),0,SUMIF('DADOS BRUTOS'!$A$3:$A$500,$B12,'DADOS BRUTOS'!EH$3:EH$500)+IF($C12="",0,SUMIF('DADOS BRUTOS'!$A$3:$A$500,$C12,'DADOS BRUTOS'!EH$3:EH$500)))</f>
        <v>0</v>
      </c>
      <c r="HI12" s="133" t="n">
        <f aca="false">IF(OR(HI$4="",$B12=""),0,SUMIF('DADOS BRUTOS'!$A$3:$A$500,$B12,'DADOS BRUTOS'!EI$3:EI$500)+IF($C12="",0,SUMIF('DADOS BRUTOS'!$A$3:$A$500,$C12,'DADOS BRUTOS'!EI$3:EI$500)))</f>
        <v>0</v>
      </c>
      <c r="HJ12" s="133" t="n">
        <f aca="false">IF(OR(HJ$4="",$B12=""),0,SUMIF('DADOS BRUTOS'!$A$3:$A$500,$B12,'DADOS BRUTOS'!EJ$3:EJ$500)+IF($C12="",0,SUMIF('DADOS BRUTOS'!$A$3:$A$500,$C12,'DADOS BRUTOS'!EJ$3:EJ$500)))</f>
        <v>0</v>
      </c>
      <c r="HK12" s="133" t="n">
        <f aca="false">IF(OR(HK$4="",$B12=""),0,SUMIF('DADOS BRUTOS'!$A$3:$A$500,$B12,'DADOS BRUTOS'!EK$3:EK$500)+IF($C12="",0,SUMIF('DADOS BRUTOS'!$A$3:$A$500,$C12,'DADOS BRUTOS'!EK$3:EK$500)))</f>
        <v>0</v>
      </c>
      <c r="HL12" s="133" t="n">
        <f aca="false">IF(OR(HL$4="",$B12=""),0,SUMIF('DADOS BRUTOS'!$A$3:$A$500,$B12,'DADOS BRUTOS'!EL$3:EL$500)+IF($C12="",0,SUMIF('DADOS BRUTOS'!$A$3:$A$500,$C12,'DADOS BRUTOS'!EL$3:EL$500)))</f>
        <v>0</v>
      </c>
      <c r="HM12" s="133" t="n">
        <f aca="false">IF(OR(HM$4="",$B12=""),0,SUMIF('DADOS BRUTOS'!$A$3:$A$500,$B12,'DADOS BRUTOS'!EM$3:EM$500)+IF($C12="",0,SUMIF('DADOS BRUTOS'!$A$3:$A$500,$C12,'DADOS BRUTOS'!EM$3:EM$500)))</f>
        <v>0</v>
      </c>
      <c r="HN12" s="133" t="n">
        <f aca="false">IF(OR(HN$4="",$B12=""),0,SUMIF('DADOS BRUTOS'!$A$3:$A$500,$B12,'DADOS BRUTOS'!EN$3:EN$500)+IF($C12="",0,SUMIF('DADOS BRUTOS'!$A$3:$A$500,$C12,'DADOS BRUTOS'!EN$3:EN$500)))</f>
        <v>0</v>
      </c>
      <c r="HO12" s="133" t="n">
        <f aca="false">IF(OR(HO$4="",$B12=""),0,SUMIF('DADOS BRUTOS'!$A$3:$A$500,$B12,'DADOS BRUTOS'!EO$3:EO$500)+IF($C12="",0,SUMIF('DADOS BRUTOS'!$A$3:$A$500,$C12,'DADOS BRUTOS'!EO$3:EO$500)))</f>
        <v>0</v>
      </c>
      <c r="HP12" s="133" t="n">
        <f aca="false">IF(OR(HP$4="",$B12=""),0,SUMIF('DADOS BRUTOS'!$A$3:$A$500,$B12,'DADOS BRUTOS'!EP$3:EP$500)+IF($C12="",0,SUMIF('DADOS BRUTOS'!$A$3:$A$500,$C12,'DADOS BRUTOS'!EP$3:EP$500)))</f>
        <v>0</v>
      </c>
      <c r="HQ12" s="133" t="n">
        <f aca="false">IF(OR(HQ$4="",$B12=""),0,SUMIF('DADOS BRUTOS'!$A$3:$A$500,$B12,'DADOS BRUTOS'!EQ$3:EQ$500)+IF($C12="",0,SUMIF('DADOS BRUTOS'!$A$3:$A$500,$C12,'DADOS BRUTOS'!EQ$3:EQ$500)))</f>
        <v>0</v>
      </c>
      <c r="HR12" s="133" t="n">
        <f aca="false">IF(OR(HR$4="",$B12=""),0,SUMIF('DADOS BRUTOS'!$A$3:$A$500,$B12,'DADOS BRUTOS'!ER$3:ER$500)+IF($C12="",0,SUMIF('DADOS BRUTOS'!$A$3:$A$500,$C12,'DADOS BRUTOS'!ER$3:ER$500)))</f>
        <v>0</v>
      </c>
      <c r="HS12" s="133" t="n">
        <f aca="false">IF(OR(HS$4="",$B12=""),0,SUMIF('DADOS BRUTOS'!$A$3:$A$500,$B12,'DADOS BRUTOS'!ES$3:ES$500)+IF($C12="",0,SUMIF('DADOS BRUTOS'!$A$3:$A$500,$C12,'DADOS BRUTOS'!ES$3:ES$500)))</f>
        <v>0</v>
      </c>
      <c r="HT12" s="133" t="n">
        <f aca="false">IF(OR(HT$4="",$B12=""),0,SUMIF('DADOS BRUTOS'!$A$3:$A$500,$B12,'DADOS BRUTOS'!ET$3:ET$500)+IF($C12="",0,SUMIF('DADOS BRUTOS'!$A$3:$A$500,$C12,'DADOS BRUTOS'!ET$3:ET$500)))</f>
        <v>0</v>
      </c>
      <c r="HU12" s="133" t="n">
        <f aca="false">IF(OR(HU$4="",$B12=""),0,SUMIF('DADOS BRUTOS'!$A$3:$A$500,$B12,'DADOS BRUTOS'!EU$3:EU$500)+IF($C12="",0,SUMIF('DADOS BRUTOS'!$A$3:$A$500,$C12,'DADOS BRUTOS'!EU$3:EU$500)))</f>
        <v>0</v>
      </c>
      <c r="HV12" s="133" t="n">
        <f aca="false">IF(OR(HV$4="",$B12=""),0,SUMIF('DADOS BRUTOS'!$A$3:$A$500,$B12,'DADOS BRUTOS'!EV$3:EV$500)+IF($C12="",0,SUMIF('DADOS BRUTOS'!$A$3:$A$500,$C12,'DADOS BRUTOS'!EV$3:EV$500)))</f>
        <v>0</v>
      </c>
      <c r="HW12" s="133" t="n">
        <f aca="false">IF(OR(HW$4="",$B12=""),0,SUMIF('DADOS BRUTOS'!$A$3:$A$500,$B12,'DADOS BRUTOS'!EW$3:EW$500)+IF($C12="",0,SUMIF('DADOS BRUTOS'!$A$3:$A$500,$C12,'DADOS BRUTOS'!EW$3:EW$500)))</f>
        <v>0</v>
      </c>
      <c r="HX12" s="133" t="n">
        <f aca="false">IF(OR(HX$4="",$B12=""),0,SUMIF('DADOS BRUTOS'!$A$3:$A$500,$B12,'DADOS BRUTOS'!EX$3:EX$500)+IF($C12="",0,SUMIF('DADOS BRUTOS'!$A$3:$A$500,$C12,'DADOS BRUTOS'!EX$3:EX$500)))</f>
        <v>0</v>
      </c>
      <c r="HY12" s="133" t="n">
        <f aca="false">IF(OR(HY$4="",$B12=""),0,SUMIF('DADOS BRUTOS'!$A$3:$A$500,$B12,'DADOS BRUTOS'!EY$3:EY$500)+IF($C12="",0,SUMIF('DADOS BRUTOS'!$A$3:$A$500,$C12,'DADOS BRUTOS'!EY$3:EY$500)))</f>
        <v>0</v>
      </c>
      <c r="HZ12" s="133" t="n">
        <f aca="false">IF(OR(HZ$4="",$B12=""),0,SUMIF('DADOS BRUTOS'!$A$3:$A$500,$B12,'DADOS BRUTOS'!EZ$3:EZ$500)+IF($C12="",0,SUMIF('DADOS BRUTOS'!$A$3:$A$500,$C12,'DADOS BRUTOS'!EZ$3:EZ$500)))</f>
        <v>0</v>
      </c>
      <c r="IA12" s="133" t="n">
        <f aca="false">IF(OR(IA$4="",$B12=""),0,SUMIF('DADOS BRUTOS'!$A$3:$A$500,$B12,'DADOS BRUTOS'!FA$3:FA$500)+IF($C12="",0,SUMIF('DADOS BRUTOS'!$A$3:$A$500,$C12,'DADOS BRUTOS'!FA$3:FA$500)))</f>
        <v>0</v>
      </c>
      <c r="IB12" s="133" t="n">
        <f aca="false">IF(OR(IB$4="",$B12=""),0,SUMIF('DADOS BRUTOS'!$A$3:$A$500,$B12,'DADOS BRUTOS'!FB$3:FB$500)+IF($C12="",0,SUMIF('DADOS BRUTOS'!$A$3:$A$500,$C12,'DADOS BRUTOS'!FB$3:FB$500)))</f>
        <v>0</v>
      </c>
      <c r="IC12" s="133" t="n">
        <f aca="false">IF(OR(IC$4="",$B12=""),0,SUMIF('DADOS BRUTOS'!$A$3:$A$500,$B12,'DADOS BRUTOS'!FC$3:FC$500)+IF($C12="",0,SUMIF('DADOS BRUTOS'!$A$3:$A$500,$C12,'DADOS BRUTOS'!FC$3:FC$500)))</f>
        <v>0</v>
      </c>
      <c r="ID12" s="133" t="n">
        <f aca="false">IF(OR(ID$4="",$B12=""),0,SUMIF('DADOS BRUTOS'!$A$3:$A$500,$B12,'DADOS BRUTOS'!FD$3:FD$500)+IF($C12="",0,SUMIF('DADOS BRUTOS'!$A$3:$A$500,$C12,'DADOS BRUTOS'!FD$3:FD$500)))</f>
        <v>0</v>
      </c>
      <c r="IE12" s="133" t="n">
        <f aca="false">IF(OR(IE$4="",$B12=""),0,SUMIF('DADOS BRUTOS'!$A$3:$A$500,$B12,'DADOS BRUTOS'!FE$3:FE$500)+IF($C12="",0,SUMIF('DADOS BRUTOS'!$A$3:$A$500,$C12,'DADOS BRUTOS'!FE$3:FE$500)))</f>
        <v>0</v>
      </c>
      <c r="IF12" s="133" t="n">
        <f aca="false">IF(OR(IF$4="",$B12=""),0,SUMIF('DADOS BRUTOS'!$A$3:$A$500,$B12,'DADOS BRUTOS'!FF$3:FF$500)+IF($C12="",0,SUMIF('DADOS BRUTOS'!$A$3:$A$500,$C12,'DADOS BRUTOS'!FF$3:FF$500)))</f>
        <v>0</v>
      </c>
      <c r="IG12" s="133" t="n">
        <f aca="false">IF(OR(IG$4="",$B12=""),0,SUMIF('DADOS BRUTOS'!$A$3:$A$500,$B12,'DADOS BRUTOS'!FG$3:FG$500)+IF($C12="",0,SUMIF('DADOS BRUTOS'!$A$3:$A$500,$C12,'DADOS BRUTOS'!FG$3:FG$500)))</f>
        <v>0</v>
      </c>
      <c r="IH12" s="133" t="n">
        <f aca="false">IF(OR(IH$4="",$B12=""),0,SUMIF('DADOS BRUTOS'!$A$3:$A$500,$B12,'DADOS BRUTOS'!FH$3:FH$500)+IF($C12="",0,SUMIF('DADOS BRUTOS'!$A$3:$A$500,$C12,'DADOS BRUTOS'!FH$3:FH$500)))</f>
        <v>0</v>
      </c>
      <c r="II12" s="133" t="n">
        <f aca="false">IF(OR(II$4="",$B12=""),0,SUMIF('DADOS BRUTOS'!$A$3:$A$500,$B12,'DADOS BRUTOS'!FI$3:FI$500)+IF($C12="",0,SUMIF('DADOS BRUTOS'!$A$3:$A$500,$C12,'DADOS BRUTOS'!FI$3:FI$500)))</f>
        <v>0</v>
      </c>
      <c r="IJ12" s="133" t="n">
        <f aca="false">IF(OR(IJ$4="",$B12=""),0,SUMIF('DADOS BRUTOS'!$A$3:$A$500,$B12,'DADOS BRUTOS'!FJ$3:FJ$500)+IF($C12="",0,SUMIF('DADOS BRUTOS'!$A$3:$A$500,$C12,'DADOS BRUTOS'!FJ$3:FJ$500)))</f>
        <v>0</v>
      </c>
      <c r="IK12" s="133" t="n">
        <f aca="false">IF(OR(IK$4="",$B12=""),0,SUMIF('DADOS BRUTOS'!$A$3:$A$500,$B12,'DADOS BRUTOS'!FK$3:FK$500)+IF($C12="",0,SUMIF('DADOS BRUTOS'!$A$3:$A$500,$C12,'DADOS BRUTOS'!FK$3:FK$500)))</f>
        <v>0</v>
      </c>
      <c r="IL12" s="133" t="n">
        <f aca="false">IF(OR(IL$4="",$B12=""),0,SUMIF('DADOS BRUTOS'!$A$3:$A$500,$B12,'DADOS BRUTOS'!FL$3:FL$500)+IF($C12="",0,SUMIF('DADOS BRUTOS'!$A$3:$A$500,$C12,'DADOS BRUTOS'!FL$3:FL$500)))</f>
        <v>0</v>
      </c>
      <c r="IM12" s="133" t="n">
        <f aca="false">IF(OR(IM$4="",$B12=""),0,SUMIF('DADOS BRUTOS'!$A$3:$A$500,$B12,'DADOS BRUTOS'!FM$3:FM$500)+IF($C12="",0,SUMIF('DADOS BRUTOS'!$A$3:$A$500,$C12,'DADOS BRUTOS'!FM$3:FM$500)))</f>
        <v>0</v>
      </c>
      <c r="IN12" s="133" t="n">
        <f aca="false">IF(OR(IN$4="",$B12=""),0,SUMIF('DADOS BRUTOS'!$A$3:$A$500,$B12,'DADOS BRUTOS'!FN$3:FN$500)+IF($C12="",0,SUMIF('DADOS BRUTOS'!$A$3:$A$500,$C12,'DADOS BRUTOS'!FN$3:FN$500)))</f>
        <v>0</v>
      </c>
      <c r="IO12" s="133" t="n">
        <f aca="false">IF(OR(IO$4="",$B12=""),0,SUMIF('DADOS BRUTOS'!$A$3:$A$500,$B12,'DADOS BRUTOS'!FO$3:FO$500)+IF($C12="",0,SUMIF('DADOS BRUTOS'!$A$3:$A$500,$C12,'DADOS BRUTOS'!FO$3:FO$500)))</f>
        <v>0</v>
      </c>
      <c r="IP12" s="133" t="n">
        <f aca="false">IF(OR(IP$4="",$B12=""),0,SUMIF('DADOS BRUTOS'!$A$3:$A$500,$B12,'DADOS BRUTOS'!FP$3:FP$500)+IF($C12="",0,SUMIF('DADOS BRUTOS'!$A$3:$A$500,$C12,'DADOS BRUTOS'!FP$3:FP$500)))</f>
        <v>0</v>
      </c>
      <c r="IQ12" s="133" t="n">
        <f aca="false">IF(OR(IQ$4="",$B12=""),0,SUMIF('DADOS BRUTOS'!$A$3:$A$500,$B12,'DADOS BRUTOS'!FQ$3:FQ$500)+IF($C12="",0,SUMIF('DADOS BRUTOS'!$A$3:$A$500,$C12,'DADOS BRUTOS'!FQ$3:FQ$500)))</f>
        <v>0</v>
      </c>
      <c r="IR12" s="133" t="n">
        <f aca="false">IF(OR(IR$4="",$B12=""),0,SUMIF('DADOS BRUTOS'!$A$3:$A$500,$B12,'DADOS BRUTOS'!FR$3:FR$500)+IF($C12="",0,SUMIF('DADOS BRUTOS'!$A$3:$A$500,$C12,'DADOS BRUTOS'!FR$3:FR$500)))</f>
        <v>0</v>
      </c>
      <c r="IS12" s="133" t="n">
        <f aca="false">IF(OR(IS$4="",$B12=""),0,SUMIF('DADOS BRUTOS'!$A$3:$A$500,$B12,'DADOS BRUTOS'!FS$3:FS$500)+IF($C12="",0,SUMIF('DADOS BRUTOS'!$A$3:$A$500,$C12,'DADOS BRUTOS'!FS$3:FS$500)))</f>
        <v>0</v>
      </c>
      <c r="IT12" s="133" t="n">
        <f aca="false">IF(OR(IT$4="",$B12=""),0,SUMIF('DADOS BRUTOS'!$A$3:$A$500,$B12,'DADOS BRUTOS'!FT$3:FT$500)+IF($C12="",0,SUMIF('DADOS BRUTOS'!$A$3:$A$500,$C12,'DADOS BRUTOS'!FT$3:FT$500)))</f>
        <v>0</v>
      </c>
      <c r="IU12" s="133" t="n">
        <f aca="false">IF(OR(IU$4="",$B12=""),0,SUMIF('DADOS BRUTOS'!$A$3:$A$500,$B12,'DADOS BRUTOS'!FU$3:FU$500)+IF($C12="",0,SUMIF('DADOS BRUTOS'!$A$3:$A$500,$C12,'DADOS BRUTOS'!FU$3:FU$500)))</f>
        <v>0</v>
      </c>
      <c r="IV12" s="133" t="n">
        <f aca="false">IF(OR(IV$4="",$B12=""),0,SUMIF('DADOS BRUTOS'!$A$3:$A$500,$B12,'DADOS BRUTOS'!FV$3:FV$500)+IF($C12="",0,SUMIF('DADOS BRUTOS'!$A$3:$A$500,$C12,'DADOS BRUTOS'!FV$3:FV$500)))</f>
        <v>0</v>
      </c>
      <c r="IW12" s="133" t="n">
        <f aca="false">IF(OR(IW$4="",$B12=""),0,SUMIF('DADOS BRUTOS'!$A$3:$A$500,$B12,'DADOS BRUTOS'!FW$3:FW$500)+IF($C12="",0,SUMIF('DADOS BRUTOS'!$A$3:$A$500,$C12,'DADOS BRUTOS'!FW$3:FW$500)))</f>
        <v>0</v>
      </c>
      <c r="IX12" s="133" t="n">
        <f aca="false">IF(OR(IX$4="",$B12=""),0,SUMIF('DADOS BRUTOS'!$A$3:$A$500,$B12,'DADOS BRUTOS'!FX$3:FX$500)+IF($C12="",0,SUMIF('DADOS BRUTOS'!$A$3:$A$500,$C12,'DADOS BRUTOS'!FX$3:FX$500)))</f>
        <v>0</v>
      </c>
      <c r="IY12" s="133" t="n">
        <f aca="false">IF(OR(IY$4="",$B12=""),0,SUMIF('DADOS BRUTOS'!$A$3:$A$500,$B12,'DADOS BRUTOS'!FY$3:FY$500)+IF($C12="",0,SUMIF('DADOS BRUTOS'!$A$3:$A$500,$C12,'DADOS BRUTOS'!FY$3:FY$500)))</f>
        <v>0</v>
      </c>
      <c r="IZ12" s="133" t="n">
        <f aca="false">IF(OR(IZ$4="",$B12=""),0,SUMIF('DADOS BRUTOS'!$A$3:$A$500,$B12,'DADOS BRUTOS'!FZ$3:FZ$500)+IF($C12="",0,SUMIF('DADOS BRUTOS'!$A$3:$A$500,$C12,'DADOS BRUTOS'!FZ$3:FZ$500)))</f>
        <v>0</v>
      </c>
      <c r="JA12" s="133" t="n">
        <f aca="false">IF(OR(JA$4="",$B12=""),0,SUMIF('DADOS BRUTOS'!$A$3:$A$500,$B12,'DADOS BRUTOS'!GA$3:GA$500)+IF($C12="",0,SUMIF('DADOS BRUTOS'!$A$3:$A$500,$C12,'DADOS BRUTOS'!GA$3:GA$500)))</f>
        <v>0</v>
      </c>
      <c r="JB12" s="133" t="n">
        <f aca="false">IF(OR(JB$4="",$B12=""),0,SUMIF('DADOS BRUTOS'!$A$3:$A$500,$B12,'DADOS BRUTOS'!GB$3:GB$500)+IF($C12="",0,SUMIF('DADOS BRUTOS'!$A$3:$A$500,$C12,'DADOS BRUTOS'!GB$3:GB$500)))</f>
        <v>0</v>
      </c>
      <c r="JC12" s="133" t="n">
        <f aca="false">IF(OR(JC$4="",$B12=""),0,SUMIF('DADOS BRUTOS'!$A$3:$A$500,$B12,'DADOS BRUTOS'!GC$3:GC$500)+IF($C12="",0,SUMIF('DADOS BRUTOS'!$A$3:$A$500,$C12,'DADOS BRUTOS'!GC$3:GC$500)))</f>
        <v>0</v>
      </c>
      <c r="JD12" s="133" t="n">
        <f aca="false">IF(OR(JD$4="",$B12=""),0,SUMIF('DADOS BRUTOS'!$A$3:$A$500,$B12,'DADOS BRUTOS'!GD$3:GD$500)+IF($C12="",0,SUMIF('DADOS BRUTOS'!$A$3:$A$500,$C12,'DADOS BRUTOS'!GD$3:GD$500)))</f>
        <v>0</v>
      </c>
      <c r="JE12" s="133" t="n">
        <f aca="false">IF(OR(JE$4="",$B12=""),0,SUMIF('DADOS BRUTOS'!$A$3:$A$500,$B12,'DADOS BRUTOS'!GE$3:GE$500)+IF($C12="",0,SUMIF('DADOS BRUTOS'!$A$3:$A$500,$C12,'DADOS BRUTOS'!GE$3:GE$500)))</f>
        <v>0</v>
      </c>
      <c r="JF12" s="133" t="n">
        <f aca="false">IF(OR(JF$4="",$B12=""),0,SUMIF('DADOS BRUTOS'!$A$3:$A$500,$B12,'DADOS BRUTOS'!GF$3:GF$500)+IF($C12="",0,SUMIF('DADOS BRUTOS'!$A$3:$A$500,$C12,'DADOS BRUTOS'!GF$3:GF$500)))</f>
        <v>0</v>
      </c>
      <c r="JG12" s="133" t="n">
        <f aca="false">IF(OR(JG$4="",$B12=""),0,SUMIF('DADOS BRUTOS'!$A$3:$A$500,$B12,'DADOS BRUTOS'!GG$3:GG$500)+IF($C12="",0,SUMIF('DADOS BRUTOS'!$A$3:$A$500,$C12,'DADOS BRUTOS'!GG$3:GG$500)))</f>
        <v>0</v>
      </c>
      <c r="JH12" s="133" t="n">
        <f aca="false">IF(OR(JH$4="",$B12=""),0,SUMIF('DADOS BRUTOS'!$A$3:$A$500,$B12,'DADOS BRUTOS'!GH$3:GH$500)+IF($C12="",0,SUMIF('DADOS BRUTOS'!$A$3:$A$500,$C12,'DADOS BRUTOS'!GH$3:GH$500)))</f>
        <v>0</v>
      </c>
      <c r="JI12" s="133" t="n">
        <f aca="false">IF(OR(JI$4="",$B12=""),0,SUMIF('DADOS BRUTOS'!$A$3:$A$500,$B12,'DADOS BRUTOS'!GI$3:GI$500)+IF($C12="",0,SUMIF('DADOS BRUTOS'!$A$3:$A$500,$C12,'DADOS BRUTOS'!GI$3:GI$500)))</f>
        <v>0</v>
      </c>
      <c r="JJ12" s="133" t="n">
        <f aca="false">IF(OR(JJ$4="",$B12=""),0,SUMIF('DADOS BRUTOS'!$A$3:$A$500,$B12,'DADOS BRUTOS'!GJ$3:GJ$500)+IF($C12="",0,SUMIF('DADOS BRUTOS'!$A$3:$A$500,$C12,'DADOS BRUTOS'!GJ$3:GJ$500)))</f>
        <v>0</v>
      </c>
      <c r="JK12" s="133" t="n">
        <f aca="false">IF(OR(JK$4="",$B12=""),0,SUMIF('DADOS BRUTOS'!$A$3:$A$500,$B12,'DADOS BRUTOS'!GK$3:GK$500)+IF($C12="",0,SUMIF('DADOS BRUTOS'!$A$3:$A$500,$C12,'DADOS BRUTOS'!GK$3:GK$500)))</f>
        <v>0</v>
      </c>
      <c r="JL12" s="133" t="n">
        <f aca="false">IF(OR(JL$4="",$B12=""),0,SUMIF('DADOS BRUTOS'!$A$3:$A$500,$B12,'DADOS BRUTOS'!GL$3:GL$500)+IF($C12="",0,SUMIF('DADOS BRUTOS'!$A$3:$A$500,$C12,'DADOS BRUTOS'!GL$3:GL$500)))</f>
        <v>0</v>
      </c>
      <c r="JM12" s="133" t="n">
        <f aca="false">IF(OR(JM$4="",$B12=""),0,SUMIF('DADOS BRUTOS'!$A$3:$A$500,$B12,'DADOS BRUTOS'!GM$3:GM$500)+IF($C12="",0,SUMIF('DADOS BRUTOS'!$A$3:$A$500,$C12,'DADOS BRUTOS'!GM$3:GM$500)))</f>
        <v>0</v>
      </c>
      <c r="JN12" s="133" t="n">
        <f aca="false">IF(OR(JN$4="",$B12=""),0,SUMIF('DADOS BRUTOS'!$A$3:$A$500,$B12,'DADOS BRUTOS'!GN$3:GN$500)+IF($C12="",0,SUMIF('DADOS BRUTOS'!$A$3:$A$500,$C12,'DADOS BRUTOS'!GN$3:GN$500)))</f>
        <v>0</v>
      </c>
      <c r="JO12" s="133" t="n">
        <f aca="false">IF(OR(JO$4="",$B12=""),0,SUMIF('DADOS BRUTOS'!$A$3:$A$500,$B12,'DADOS BRUTOS'!GO$3:GO$500)+IF($C12="",0,SUMIF('DADOS BRUTOS'!$A$3:$A$500,$C12,'DADOS BRUTOS'!GO$3:GO$500)))</f>
        <v>0</v>
      </c>
      <c r="JP12" s="133" t="n">
        <f aca="false">IF(OR(JP$4="",$B12=""),0,SUMIF('DADOS BRUTOS'!$A$3:$A$500,$B12,'DADOS BRUTOS'!GP$3:GP$500)+IF($C12="",0,SUMIF('DADOS BRUTOS'!$A$3:$A$500,$C12,'DADOS BRUTOS'!GP$3:GP$500)))</f>
        <v>0</v>
      </c>
      <c r="JQ12" s="133" t="n">
        <f aca="false">IF(OR(JQ$4="",$B12=""),0,SUMIF('DADOS BRUTOS'!$A$3:$A$500,$B12,'DADOS BRUTOS'!GQ$3:GQ$500)+IF($C12="",0,SUMIF('DADOS BRUTOS'!$A$3:$A$500,$C12,'DADOS BRUTOS'!GQ$3:GQ$500)))</f>
        <v>0</v>
      </c>
      <c r="JR12" s="133" t="n">
        <f aca="false">IF(OR(JR$4="",$B12=""),0,SUMIF('DADOS BRUTOS'!$A$3:$A$500,$B12,'DADOS BRUTOS'!GR$3:GR$500)+IF($C12="",0,SUMIF('DADOS BRUTOS'!$A$3:$A$500,$C12,'DADOS BRUTOS'!GR$3:GR$500)))</f>
        <v>0</v>
      </c>
      <c r="JS12" s="133" t="n">
        <f aca="false">IF(OR(JS$4="",$B12=""),0,SUMIF('DADOS BRUTOS'!$A$3:$A$500,$B12,'DADOS BRUTOS'!GS$3:GS$500)+IF($C12="",0,SUMIF('DADOS BRUTOS'!$A$3:$A$500,$C12,'DADOS BRUTOS'!GS$3:GS$500)))</f>
        <v>0</v>
      </c>
    </row>
    <row r="13" customFormat="false" ht="15" hidden="false" customHeight="false" outlineLevel="0" collapsed="false">
      <c r="A13" s="57" t="str">
        <f aca="false">'VALOR POR PL'!D19</f>
        <v>CONSULTORIAS (OBRAS)</v>
      </c>
      <c r="B13" s="55" t="s">
        <v>69</v>
      </c>
      <c r="C13" s="55"/>
      <c r="D13" s="50" t="n">
        <f aca="false">SUMIF($CB$4:$JS$4,"&lt;="&amp;D$4,$CB13:$JS13)</f>
        <v>43088.09</v>
      </c>
      <c r="E13" s="50" t="n">
        <f aca="false">SUMIF($CB$4:$JS$4,E$4,$CB13:$JS13)</f>
        <v>0</v>
      </c>
      <c r="F13" s="50" t="n">
        <f aca="false">SUMIF($CB$4:$JS$4,F$4,$CB13:$JS13)</f>
        <v>14421.7</v>
      </c>
      <c r="G13" s="50" t="n">
        <f aca="false">SUMIF($CB$4:$JS$4,G$4,$CB13:$JS13)</f>
        <v>608.73</v>
      </c>
      <c r="H13" s="50" t="n">
        <f aca="false">SUMIF($CB$4:$JS$4,H$4,$CB13:$JS13)</f>
        <v>0</v>
      </c>
      <c r="I13" s="50" t="n">
        <f aca="false">SUMIF($CB$4:$JS$4,I$4,$CB13:$JS13)</f>
        <v>0</v>
      </c>
      <c r="J13" s="50" t="n">
        <f aca="false">SUMIF($CB$4:$JS$4,J$4,$CB13:$JS13)</f>
        <v>0</v>
      </c>
      <c r="K13" s="50" t="n">
        <f aca="false">SUMIF($CB$4:$JS$4,K$4,$CB13:$JS13)</f>
        <v>20181.97</v>
      </c>
      <c r="L13" s="50" t="n">
        <f aca="false">SUMIF($CB$4:$JS$4,L$4,$CB13:$JS13)</f>
        <v>6015.91</v>
      </c>
      <c r="M13" s="50" t="n">
        <f aca="false">SUMIF($CB$4:$JS$4,M$4,$CB13:$JS13)</f>
        <v>9715.37</v>
      </c>
      <c r="N13" s="50" t="n">
        <f aca="false">SUMIF($CB$4:$JS$4,N$4,$CB13:$JS13)</f>
        <v>28769</v>
      </c>
      <c r="O13" s="50" t="n">
        <f aca="false">SUMIF($CB$4:$JS$4,O$4,$CB13:$JS13)</f>
        <v>255492.31</v>
      </c>
      <c r="P13" s="50" t="n">
        <f aca="false">SUMIF($CB$4:$JS$4,P$4,$CB13:$JS13)</f>
        <v>61293.83</v>
      </c>
      <c r="Q13" s="50" t="n">
        <f aca="false">SUMIF($CB$4:$JS$4,Q$4,$CB13:$JS13)</f>
        <v>26405.03</v>
      </c>
      <c r="R13" s="50" t="n">
        <f aca="false">SUMIF($CB$4:$JS$4,R$4,$CB13:$JS13)</f>
        <v>27423.86</v>
      </c>
      <c r="S13" s="50" t="n">
        <f aca="false">SUMIF($CB$4:$JS$4,S$4,$CB13:$JS13)</f>
        <v>42679.98</v>
      </c>
      <c r="T13" s="50" t="n">
        <f aca="false">SUMIF($CB$4:$JS$4,T$4,$CB13:$JS13)</f>
        <v>22203.86</v>
      </c>
      <c r="U13" s="50" t="n">
        <f aca="false">SUMIF($CB$4:$JS$4,U$4,$CB13:$JS13)</f>
        <v>22652.84</v>
      </c>
      <c r="V13" s="50" t="n">
        <f aca="false">SUMIF($CB$4:$JS$4,V$4,$CB13:$JS13)</f>
        <v>18615.9</v>
      </c>
      <c r="W13" s="50" t="n">
        <f aca="false">SUMIF($CB$4:$JS$4,W$4,$CB13:$JS13)</f>
        <v>42382.64</v>
      </c>
      <c r="X13" s="50" t="n">
        <f aca="false">SUMIF($CB$4:$JS$4,X$4,$CB13:$JS13)</f>
        <v>32608.81</v>
      </c>
      <c r="Y13" s="50" t="n">
        <f aca="false">SUMIF($CB$4:$JS$4,Y$4,$CB13:$JS13)</f>
        <v>28595.43</v>
      </c>
      <c r="Z13" s="50" t="n">
        <f aca="false">SUMIF($CB$4:$JS$4,Z$4,$CB13:$JS13)</f>
        <v>9922.49</v>
      </c>
      <c r="AA13" s="50" t="n">
        <f aca="false">SUMIF($CB$4:$JS$4,AA$4,$CB13:$JS13)</f>
        <v>0</v>
      </c>
      <c r="AB13" s="50" t="n">
        <f aca="false">SUMIF($CB$4:$JS$4,AB$4,$CB13:$JS13)</f>
        <v>0</v>
      </c>
      <c r="AC13" s="50" t="n">
        <f aca="false">SUMIF($CB$4:$JS$4,AC$4,$CB13:$JS13)</f>
        <v>0</v>
      </c>
      <c r="AD13" s="50" t="n">
        <f aca="false">SUMIF($CB$4:$JS$4,AD$4,$CB13:$JS13)</f>
        <v>0</v>
      </c>
      <c r="AE13" s="50" t="n">
        <f aca="false">SUMIF($CB$4:$JS$4,AE$4,$CB13:$JS13)</f>
        <v>0</v>
      </c>
      <c r="AF13" s="50" t="n">
        <f aca="false">SUMIF($CB$4:$JS$4,AF$4,$CB13:$JS13)</f>
        <v>0</v>
      </c>
      <c r="AG13" s="50" t="n">
        <f aca="false">SUMIF($CB$4:$JS$4,AG$4,$CB13:$JS13)</f>
        <v>0</v>
      </c>
      <c r="AH13" s="50" t="n">
        <f aca="false">SUMIF($CB$4:$JS$4,AH$4,$CB13:$JS13)</f>
        <v>0</v>
      </c>
      <c r="AI13" s="50" t="n">
        <f aca="false">SUMIF($CB$4:$JS$4,AI$4,$CB13:$JS13)</f>
        <v>0</v>
      </c>
      <c r="AJ13" s="50" t="n">
        <f aca="false">SUMIF($CB$4:$JS$4,AJ$4,$CB13:$JS13)</f>
        <v>0</v>
      </c>
      <c r="AK13" s="50" t="n">
        <f aca="false">SUMIF($CB$4:$JS$4,AK$4,$CB13:$JS13)</f>
        <v>0</v>
      </c>
      <c r="AL13" s="50" t="n">
        <f aca="false">SUMIF($CB$4:$JS$4,AL$4,$CB13:$JS13)</f>
        <v>0</v>
      </c>
      <c r="AM13" s="50" t="n">
        <f aca="false">SUMIF($CB$4:$JS$4,AM$4,$CB13:$JS13)</f>
        <v>0</v>
      </c>
      <c r="AN13" s="50" t="n">
        <f aca="false">SUMIF($CB$4:$JS$4,AN$4,$CB13:$JS13)</f>
        <v>0</v>
      </c>
      <c r="AO13" s="50" t="n">
        <f aca="false">SUMIF($CB$4:$JS$4,AO$4,$CB13:$JS13)</f>
        <v>0</v>
      </c>
      <c r="AP13" s="50" t="n">
        <f aca="false">SUMIF($CB$4:$JS$4,AP$4,$CB13:$JS13)</f>
        <v>0</v>
      </c>
      <c r="AQ13" s="50" t="n">
        <f aca="false">SUMIF($CB$4:$JS$4,AQ$4,$CB13:$JS13)</f>
        <v>0</v>
      </c>
      <c r="AR13" s="50" t="n">
        <f aca="false">SUMIF($CB$4:$JS$4,AR$4,$CB13:$JS13)</f>
        <v>0</v>
      </c>
      <c r="AS13" s="50" t="n">
        <f aca="false">SUMIF($CB$4:$JS$4,AS$4,$CB13:$JS13)</f>
        <v>0</v>
      </c>
      <c r="AT13" s="50" t="n">
        <f aca="false">SUMIF($CB$4:$JS$4,AT$4,$CB13:$JS13)</f>
        <v>0</v>
      </c>
      <c r="AU13" s="50" t="n">
        <f aca="false">SUMIF($CB$4:$JS$4,AU$4,$CB13:$JS13)</f>
        <v>0</v>
      </c>
      <c r="AV13" s="50" t="n">
        <f aca="false">SUMIF($CB$4:$JS$4,AV$4,$CB13:$JS13)</f>
        <v>0</v>
      </c>
      <c r="AW13" s="50" t="n">
        <f aca="false">SUMIF($CB$4:$JS$4,AW$4,$CB13:$JS13)</f>
        <v>0</v>
      </c>
      <c r="AX13" s="50" t="n">
        <f aca="false">SUMIF($CB$4:$JS$4,AX$4,$CB13:$JS13)</f>
        <v>0</v>
      </c>
      <c r="AY13" s="50" t="n">
        <f aca="false">SUMIF($CB$4:$JS$4,AY$4,$CB13:$JS13)</f>
        <v>0</v>
      </c>
      <c r="AZ13" s="50" t="n">
        <f aca="false">SUMIF($CB$4:$JS$4,AZ$4,$CB13:$JS13)</f>
        <v>0</v>
      </c>
      <c r="BA13" s="50" t="n">
        <f aca="false">SUMIF($CB$4:$JS$4,BA$4,$CB13:$JS13)</f>
        <v>0</v>
      </c>
      <c r="BB13" s="50" t="n">
        <f aca="false">SUMIF($CB$4:$JS$4,BB$4,$CB13:$JS13)</f>
        <v>0</v>
      </c>
      <c r="BC13" s="50" t="n">
        <f aca="false">SUMIF($CB$4:$JS$4,BC$4,$CB13:$JS13)</f>
        <v>0</v>
      </c>
      <c r="BD13" s="50" t="n">
        <f aca="false">SUMIF($CB$4:$JS$4,BD$4,$CB13:$JS13)</f>
        <v>0</v>
      </c>
      <c r="BE13" s="50" t="n">
        <f aca="false">SUMIF($CB$4:$JS$4,BE$4,$CB13:$JS13)</f>
        <v>0</v>
      </c>
      <c r="BF13" s="50" t="n">
        <f aca="false">SUMIF($CB$4:$JS$4,BF$4,$CB13:$JS13)</f>
        <v>0</v>
      </c>
      <c r="BG13" s="50" t="n">
        <f aca="false">SUMIF($CB$4:$JS$4,BG$4,$CB13:$JS13)</f>
        <v>0</v>
      </c>
      <c r="BH13" s="50" t="n">
        <f aca="false">SUMIF($CB$4:$JS$4,BH$4,$CB13:$JS13)</f>
        <v>0</v>
      </c>
      <c r="BI13" s="50" t="n">
        <f aca="false">SUMIF($CB$4:$JS$4,BI$4,$CB13:$JS13)</f>
        <v>0</v>
      </c>
      <c r="BJ13" s="50" t="n">
        <f aca="false">SUMIF($CB$4:$JS$4,BJ$4,$CB13:$JS13)</f>
        <v>0</v>
      </c>
      <c r="BK13" s="50" t="n">
        <f aca="false">SUMIF($CB$4:$JS$4,BK$4,$CB13:$JS13)</f>
        <v>0</v>
      </c>
      <c r="BL13" s="50" t="n">
        <f aca="false">SUMIF($CB$4:$JS$4,BL$4,$CB13:$JS13)</f>
        <v>0</v>
      </c>
      <c r="BM13" s="50" t="n">
        <f aca="false">SUMIF($CB$4:$JS$4,BM$4,$CB13:$JS13)</f>
        <v>0</v>
      </c>
      <c r="BN13" s="50" t="n">
        <f aca="false">SUMIF($CB$4:$JS$4,BN$4,$CB13:$JS13)</f>
        <v>0</v>
      </c>
      <c r="BO13" s="50" t="n">
        <f aca="false">SUMIF($CB$4:$JS$4,BO$4,$CB13:$JS13)</f>
        <v>0</v>
      </c>
      <c r="BP13" s="50" t="n">
        <f aca="false">SUMIF($CB$4:$JS$4,BP$4,$CB13:$JS13)</f>
        <v>0</v>
      </c>
      <c r="BQ13" s="50" t="n">
        <f aca="false">SUMIF($CB$4:$JS$4,BQ$4,$CB13:$JS13)</f>
        <v>0</v>
      </c>
      <c r="BR13" s="50" t="n">
        <f aca="false">SUMIF($CB$4:$JS$4,BR$4,$CB13:$JS13)</f>
        <v>0</v>
      </c>
      <c r="BS13" s="50" t="n">
        <f aca="false">SUMIF($CB$4:$JS$4,BS$4,$CB13:$JS13)</f>
        <v>0</v>
      </c>
      <c r="BT13" s="50" t="n">
        <f aca="false">SUMIF($CB$4:$JS$4,BT$4,$CB13:$JS13)</f>
        <v>0</v>
      </c>
      <c r="BU13" s="50" t="n">
        <f aca="false">SUMIF($CB$4:$JS$4,BU$4,$CB13:$JS13)</f>
        <v>0</v>
      </c>
      <c r="BV13" s="50" t="n">
        <f aca="false">SUMIF($CB$4:$JS$4,BV$4,$CB13:$JS13)</f>
        <v>0</v>
      </c>
      <c r="BW13" s="50" t="n">
        <f aca="false">SUMIF($CB$4:$JS$4,BW$4,$CB13:$JS13)</f>
        <v>0</v>
      </c>
      <c r="BX13" s="50" t="n">
        <f aca="false">SUMIF($CB$4:$JS$4,"&gt;"&amp;'VALOR POR PL'!$P$8,$CB13:$JS13)</f>
        <v>0</v>
      </c>
      <c r="BY13" s="50" t="n">
        <f aca="false">SUM($CB13:$JS13)</f>
        <v>713077.75</v>
      </c>
      <c r="BZ13" s="45" t="n">
        <f aca="false">SUMPRODUCT(($CB$4:$JS$4&lt;&gt;"")*($CB$4:$JS$4&lt;=$D$4),$CB13:$JS13,$CB$1:$JS$1)</f>
        <v>37.8286998660252</v>
      </c>
      <c r="CB13" s="133" t="n">
        <f aca="false">IF(OR(CB$4="",$B13=""),0,SUMIF('DADOS BRUTOS'!$A$3:$A$500,$B13,'DADOS BRUTOS'!B$3:B$500)+IF($C13="",0,SUMIF('DADOS BRUTOS'!$A$3:$A$500,$C13,'DADOS BRUTOS'!B$3:B$500)))</f>
        <v>0</v>
      </c>
      <c r="CC13" s="133" t="n">
        <f aca="false">IF(OR(CC$4="",$B13=""),0,SUMIF('DADOS BRUTOS'!$A$3:$A$500,$B13,'DADOS BRUTOS'!C$3:C$500)+IF($C13="",0,SUMIF('DADOS BRUTOS'!$A$3:$A$500,$C13,'DADOS BRUTOS'!C$3:C$500)))</f>
        <v>0</v>
      </c>
      <c r="CD13" s="133" t="n">
        <f aca="false">IF(OR(CD$4="",$B13=""),0,SUMIF('DADOS BRUTOS'!$A$3:$A$500,$B13,'DADOS BRUTOS'!D$3:D$500)+IF($C13="",0,SUMIF('DADOS BRUTOS'!$A$3:$A$500,$C13,'DADOS BRUTOS'!D$3:D$500)))</f>
        <v>0</v>
      </c>
      <c r="CE13" s="133" t="n">
        <f aca="false">IF(OR(CE$4="",$B13=""),0,SUMIF('DADOS BRUTOS'!$A$3:$A$500,$B13,'DADOS BRUTOS'!E$3:E$500)+IF($C13="",0,SUMIF('DADOS BRUTOS'!$A$3:$A$500,$C13,'DADOS BRUTOS'!E$3:E$500)))</f>
        <v>0</v>
      </c>
      <c r="CF13" s="133" t="n">
        <f aca="false">IF(OR(CF$4="",$B13=""),0,SUMIF('DADOS BRUTOS'!$A$3:$A$500,$B13,'DADOS BRUTOS'!F$3:F$500)+IF($C13="",0,SUMIF('DADOS BRUTOS'!$A$3:$A$500,$C13,'DADOS BRUTOS'!F$3:F$500)))</f>
        <v>0</v>
      </c>
      <c r="CG13" s="133" t="n">
        <f aca="false">IF(OR(CG$4="",$B13=""),0,SUMIF('DADOS BRUTOS'!$A$3:$A$500,$B13,'DADOS BRUTOS'!G$3:G$500)+IF($C13="",0,SUMIF('DADOS BRUTOS'!$A$3:$A$500,$C13,'DADOS BRUTOS'!G$3:G$500)))</f>
        <v>6616.43</v>
      </c>
      <c r="CH13" s="133" t="n">
        <f aca="false">IF(OR(CH$4="",$B13=""),0,SUMIF('DADOS BRUTOS'!$A$3:$A$500,$B13,'DADOS BRUTOS'!H$3:H$500)+IF($C13="",0,SUMIF('DADOS BRUTOS'!$A$3:$A$500,$C13,'DADOS BRUTOS'!H$3:H$500)))</f>
        <v>433.57</v>
      </c>
      <c r="CI13" s="133" t="n">
        <f aca="false">IF(OR(CI$4="",$B13=""),0,SUMIF('DADOS BRUTOS'!$A$3:$A$500,$B13,'DADOS BRUTOS'!I$3:I$500)+IF($C13="",0,SUMIF('DADOS BRUTOS'!$A$3:$A$500,$C13,'DADOS BRUTOS'!I$3:I$500)))</f>
        <v>0</v>
      </c>
      <c r="CJ13" s="133" t="n">
        <f aca="false">IF(OR(CJ$4="",$B13=""),0,SUMIF('DADOS BRUTOS'!$A$3:$A$500,$B13,'DADOS BRUTOS'!J$3:J$500)+IF($C13="",0,SUMIF('DADOS BRUTOS'!$A$3:$A$500,$C13,'DADOS BRUTOS'!J$3:J$500)))</f>
        <v>0</v>
      </c>
      <c r="CK13" s="133" t="n">
        <f aca="false">IF(OR(CK$4="",$B13=""),0,SUMIF('DADOS BRUTOS'!$A$3:$A$500,$B13,'DADOS BRUTOS'!K$3:K$500)+IF($C13="",0,SUMIF('DADOS BRUTOS'!$A$3:$A$500,$C13,'DADOS BRUTOS'!K$3:K$500)))</f>
        <v>21110.48</v>
      </c>
      <c r="CL13" s="133" t="n">
        <f aca="false">IF(OR(CL$4="",$B13=""),0,SUMIF('DADOS BRUTOS'!$A$3:$A$500,$B13,'DADOS BRUTOS'!L$3:L$500)+IF($C13="",0,SUMIF('DADOS BRUTOS'!$A$3:$A$500,$C13,'DADOS BRUTOS'!L$3:L$500)))</f>
        <v>14927.61</v>
      </c>
      <c r="CM13" s="133" t="n">
        <f aca="false">IF(OR(CM$4="",$B13=""),0,SUMIF('DADOS BRUTOS'!$A$3:$A$500,$B13,'DADOS BRUTOS'!M$3:M$500)+IF($C13="",0,SUMIF('DADOS BRUTOS'!$A$3:$A$500,$C13,'DADOS BRUTOS'!M$3:M$500)))</f>
        <v>0</v>
      </c>
      <c r="CN13" s="133" t="n">
        <f aca="false">IF(OR(CN$4="",$B13=""),0,SUMIF('DADOS BRUTOS'!$A$3:$A$500,$B13,'DADOS BRUTOS'!N$3:N$500)+IF($C13="",0,SUMIF('DADOS BRUTOS'!$A$3:$A$500,$C13,'DADOS BRUTOS'!N$3:N$500)))</f>
        <v>0</v>
      </c>
      <c r="CO13" s="133" t="n">
        <f aca="false">IF(OR(CO$4="",$B13=""),0,SUMIF('DADOS BRUTOS'!$A$3:$A$500,$B13,'DADOS BRUTOS'!O$3:O$500)+IF($C13="",0,SUMIF('DADOS BRUTOS'!$A$3:$A$500,$C13,'DADOS BRUTOS'!O$3:O$500)))</f>
        <v>0</v>
      </c>
      <c r="CP13" s="133" t="n">
        <f aca="false">IF(OR(CP$4="",$B13=""),0,SUMIF('DADOS BRUTOS'!$A$3:$A$500,$B13,'DADOS BRUTOS'!P$3:P$500)+IF($C13="",0,SUMIF('DADOS BRUTOS'!$A$3:$A$500,$C13,'DADOS BRUTOS'!P$3:P$500)))</f>
        <v>14421.7</v>
      </c>
      <c r="CQ13" s="133" t="n">
        <f aca="false">IF(OR(CQ$4="",$B13=""),0,SUMIF('DADOS BRUTOS'!$A$3:$A$500,$B13,'DADOS BRUTOS'!Q$3:Q$500)+IF($C13="",0,SUMIF('DADOS BRUTOS'!$A$3:$A$500,$C13,'DADOS BRUTOS'!Q$3:Q$500)))</f>
        <v>608.73</v>
      </c>
      <c r="CR13" s="133" t="n">
        <f aca="false">IF(OR(CR$4="",$B13=""),0,SUMIF('DADOS BRUTOS'!$A$3:$A$500,$B13,'DADOS BRUTOS'!R$3:R$500)+IF($C13="",0,SUMIF('DADOS BRUTOS'!$A$3:$A$500,$C13,'DADOS BRUTOS'!R$3:R$500)))</f>
        <v>0</v>
      </c>
      <c r="CS13" s="133" t="n">
        <f aca="false">IF(OR(CS$4="",$B13=""),0,SUMIF('DADOS BRUTOS'!$A$3:$A$500,$B13,'DADOS BRUTOS'!S$3:S$500)+IF($C13="",0,SUMIF('DADOS BRUTOS'!$A$3:$A$500,$C13,'DADOS BRUTOS'!S$3:S$500)))</f>
        <v>0</v>
      </c>
      <c r="CT13" s="133" t="n">
        <f aca="false">IF(OR(CT$4="",$B13=""),0,SUMIF('DADOS BRUTOS'!$A$3:$A$500,$B13,'DADOS BRUTOS'!T$3:T$500)+IF($C13="",0,SUMIF('DADOS BRUTOS'!$A$3:$A$500,$C13,'DADOS BRUTOS'!T$3:T$500)))</f>
        <v>0</v>
      </c>
      <c r="CU13" s="133" t="n">
        <f aca="false">IF(OR(CU$4="",$B13=""),0,SUMIF('DADOS BRUTOS'!$A$3:$A$500,$B13,'DADOS BRUTOS'!U$3:U$500)+IF($C13="",0,SUMIF('DADOS BRUTOS'!$A$3:$A$500,$C13,'DADOS BRUTOS'!U$3:U$500)))</f>
        <v>20181.97</v>
      </c>
      <c r="CV13" s="133" t="n">
        <f aca="false">IF(OR(CV$4="",$B13=""),0,SUMIF('DADOS BRUTOS'!$A$3:$A$500,$B13,'DADOS BRUTOS'!V$3:V$500)+IF($C13="",0,SUMIF('DADOS BRUTOS'!$A$3:$A$500,$C13,'DADOS BRUTOS'!V$3:V$500)))</f>
        <v>6015.91</v>
      </c>
      <c r="CW13" s="133" t="n">
        <f aca="false">IF(OR(CW$4="",$B13=""),0,SUMIF('DADOS BRUTOS'!$A$3:$A$500,$B13,'DADOS BRUTOS'!W$3:W$500)+IF($C13="",0,SUMIF('DADOS BRUTOS'!$A$3:$A$500,$C13,'DADOS BRUTOS'!W$3:W$500)))</f>
        <v>9715.37</v>
      </c>
      <c r="CX13" s="133" t="n">
        <f aca="false">IF(OR(CX$4="",$B13=""),0,SUMIF('DADOS BRUTOS'!$A$3:$A$500,$B13,'DADOS BRUTOS'!X$3:X$500)+IF($C13="",0,SUMIF('DADOS BRUTOS'!$A$3:$A$500,$C13,'DADOS BRUTOS'!X$3:X$500)))</f>
        <v>28769</v>
      </c>
      <c r="CY13" s="133" t="n">
        <f aca="false">IF(OR(CY$4="",$B13=""),0,SUMIF('DADOS BRUTOS'!$A$3:$A$500,$B13,'DADOS BRUTOS'!Y$3:Y$500)+IF($C13="",0,SUMIF('DADOS BRUTOS'!$A$3:$A$500,$C13,'DADOS BRUTOS'!Y$3:Y$500)))</f>
        <v>255492.31</v>
      </c>
      <c r="CZ13" s="133" t="n">
        <f aca="false">IF(OR(CZ$4="",$B13=""),0,SUMIF('DADOS BRUTOS'!$A$3:$A$500,$B13,'DADOS BRUTOS'!Z$3:Z$500)+IF($C13="",0,SUMIF('DADOS BRUTOS'!$A$3:$A$500,$C13,'DADOS BRUTOS'!Z$3:Z$500)))</f>
        <v>61293.83</v>
      </c>
      <c r="DA13" s="133" t="n">
        <f aca="false">IF(OR(DA$4="",$B13=""),0,SUMIF('DADOS BRUTOS'!$A$3:$A$500,$B13,'DADOS BRUTOS'!AA$3:AA$500)+IF($C13="",0,SUMIF('DADOS BRUTOS'!$A$3:$A$500,$C13,'DADOS BRUTOS'!AA$3:AA$500)))</f>
        <v>26405.03</v>
      </c>
      <c r="DB13" s="133" t="n">
        <f aca="false">IF(OR(DB$4="",$B13=""),0,SUMIF('DADOS BRUTOS'!$A$3:$A$500,$B13,'DADOS BRUTOS'!AB$3:AB$500)+IF($C13="",0,SUMIF('DADOS BRUTOS'!$A$3:$A$500,$C13,'DADOS BRUTOS'!AB$3:AB$500)))</f>
        <v>27423.86</v>
      </c>
      <c r="DC13" s="133" t="n">
        <f aca="false">IF(OR(DC$4="",$B13=""),0,SUMIF('DADOS BRUTOS'!$A$3:$A$500,$B13,'DADOS BRUTOS'!AC$3:AC$500)+IF($C13="",0,SUMIF('DADOS BRUTOS'!$A$3:$A$500,$C13,'DADOS BRUTOS'!AC$3:AC$500)))</f>
        <v>42679.98</v>
      </c>
      <c r="DD13" s="133" t="n">
        <f aca="false">IF(OR(DD$4="",$B13=""),0,SUMIF('DADOS BRUTOS'!$A$3:$A$500,$B13,'DADOS BRUTOS'!AD$3:AD$500)+IF($C13="",0,SUMIF('DADOS BRUTOS'!$A$3:$A$500,$C13,'DADOS BRUTOS'!AD$3:AD$500)))</f>
        <v>22203.86</v>
      </c>
      <c r="DE13" s="133" t="n">
        <f aca="false">IF(OR(DE$4="",$B13=""),0,SUMIF('DADOS BRUTOS'!$A$3:$A$500,$B13,'DADOS BRUTOS'!AE$3:AE$500)+IF($C13="",0,SUMIF('DADOS BRUTOS'!$A$3:$A$500,$C13,'DADOS BRUTOS'!AE$3:AE$500)))</f>
        <v>22652.84</v>
      </c>
      <c r="DF13" s="133" t="n">
        <f aca="false">IF(OR(DF$4="",$B13=""),0,SUMIF('DADOS BRUTOS'!$A$3:$A$500,$B13,'DADOS BRUTOS'!AF$3:AF$500)+IF($C13="",0,SUMIF('DADOS BRUTOS'!$A$3:$A$500,$C13,'DADOS BRUTOS'!AF$3:AF$500)))</f>
        <v>18615.9</v>
      </c>
      <c r="DG13" s="133" t="n">
        <f aca="false">IF(OR(DG$4="",$B13=""),0,SUMIF('DADOS BRUTOS'!$A$3:$A$500,$B13,'DADOS BRUTOS'!AG$3:AG$500)+IF($C13="",0,SUMIF('DADOS BRUTOS'!$A$3:$A$500,$C13,'DADOS BRUTOS'!AG$3:AG$500)))</f>
        <v>42382.64</v>
      </c>
      <c r="DH13" s="133" t="n">
        <f aca="false">IF(OR(DH$4="",$B13=""),0,SUMIF('DADOS BRUTOS'!$A$3:$A$500,$B13,'DADOS BRUTOS'!AH$3:AH$500)+IF($C13="",0,SUMIF('DADOS BRUTOS'!$A$3:$A$500,$C13,'DADOS BRUTOS'!AH$3:AH$500)))</f>
        <v>32608.81</v>
      </c>
      <c r="DI13" s="133" t="n">
        <f aca="false">IF(OR(DI$4="",$B13=""),0,SUMIF('DADOS BRUTOS'!$A$3:$A$500,$B13,'DADOS BRUTOS'!AI$3:AI$500)+IF($C13="",0,SUMIF('DADOS BRUTOS'!$A$3:$A$500,$C13,'DADOS BRUTOS'!AI$3:AI$500)))</f>
        <v>28595.43</v>
      </c>
      <c r="DJ13" s="133" t="n">
        <f aca="false">IF(OR(DJ$4="",$B13=""),0,SUMIF('DADOS BRUTOS'!$A$3:$A$500,$B13,'DADOS BRUTOS'!AJ$3:AJ$500)+IF($C13="",0,SUMIF('DADOS BRUTOS'!$A$3:$A$500,$C13,'DADOS BRUTOS'!AJ$3:AJ$500)))</f>
        <v>9922.49</v>
      </c>
      <c r="DK13" s="133" t="n">
        <f aca="false">IF(OR(DK$4="",$B13=""),0,SUMIF('DADOS BRUTOS'!$A$3:$A$500,$B13,'DADOS BRUTOS'!AK$3:AK$500)+IF($C13="",0,SUMIF('DADOS BRUTOS'!$A$3:$A$500,$C13,'DADOS BRUTOS'!AK$3:AK$500)))</f>
        <v>0</v>
      </c>
      <c r="DL13" s="133" t="n">
        <f aca="false">IF(OR(DL$4="",$B13=""),0,SUMIF('DADOS BRUTOS'!$A$3:$A$500,$B13,'DADOS BRUTOS'!AL$3:AL$500)+IF($C13="",0,SUMIF('DADOS BRUTOS'!$A$3:$A$500,$C13,'DADOS BRUTOS'!AL$3:AL$500)))</f>
        <v>0</v>
      </c>
      <c r="DM13" s="133" t="n">
        <f aca="false">IF(OR(DM$4="",$B13=""),0,SUMIF('DADOS BRUTOS'!$A$3:$A$500,$B13,'DADOS BRUTOS'!AM$3:AM$500)+IF($C13="",0,SUMIF('DADOS BRUTOS'!$A$3:$A$500,$C13,'DADOS BRUTOS'!AM$3:AM$500)))</f>
        <v>0</v>
      </c>
      <c r="DN13" s="133" t="n">
        <f aca="false">IF(OR(DN$4="",$B13=""),0,SUMIF('DADOS BRUTOS'!$A$3:$A$500,$B13,'DADOS BRUTOS'!AN$3:AN$500)+IF($C13="",0,SUMIF('DADOS BRUTOS'!$A$3:$A$500,$C13,'DADOS BRUTOS'!AN$3:AN$500)))</f>
        <v>0</v>
      </c>
      <c r="DO13" s="133" t="n">
        <f aca="false">IF(OR(DO$4="",$B13=""),0,SUMIF('DADOS BRUTOS'!$A$3:$A$500,$B13,'DADOS BRUTOS'!AO$3:AO$500)+IF($C13="",0,SUMIF('DADOS BRUTOS'!$A$3:$A$500,$C13,'DADOS BRUTOS'!AO$3:AO$500)))</f>
        <v>0</v>
      </c>
      <c r="DP13" s="133" t="n">
        <f aca="false">IF(OR(DP$4="",$B13=""),0,SUMIF('DADOS BRUTOS'!$A$3:$A$500,$B13,'DADOS BRUTOS'!AP$3:AP$500)+IF($C13="",0,SUMIF('DADOS BRUTOS'!$A$3:$A$500,$C13,'DADOS BRUTOS'!AP$3:AP$500)))</f>
        <v>0</v>
      </c>
      <c r="DQ13" s="133" t="n">
        <f aca="false">IF(OR(DQ$4="",$B13=""),0,SUMIF('DADOS BRUTOS'!$A$3:$A$500,$B13,'DADOS BRUTOS'!AQ$3:AQ$500)+IF($C13="",0,SUMIF('DADOS BRUTOS'!$A$3:$A$500,$C13,'DADOS BRUTOS'!AQ$3:AQ$500)))</f>
        <v>0</v>
      </c>
      <c r="DR13" s="133" t="n">
        <f aca="false">IF(OR(DR$4="",$B13=""),0,SUMIF('DADOS BRUTOS'!$A$3:$A$500,$B13,'DADOS BRUTOS'!AR$3:AR$500)+IF($C13="",0,SUMIF('DADOS BRUTOS'!$A$3:$A$500,$C13,'DADOS BRUTOS'!AR$3:AR$500)))</f>
        <v>0</v>
      </c>
      <c r="DS13" s="133" t="n">
        <f aca="false">IF(OR(DS$4="",$B13=""),0,SUMIF('DADOS BRUTOS'!$A$3:$A$500,$B13,'DADOS BRUTOS'!AS$3:AS$500)+IF($C13="",0,SUMIF('DADOS BRUTOS'!$A$3:$A$500,$C13,'DADOS BRUTOS'!AS$3:AS$500)))</f>
        <v>0</v>
      </c>
      <c r="DT13" s="133" t="n">
        <f aca="false">IF(OR(DT$4="",$B13=""),0,SUMIF('DADOS BRUTOS'!$A$3:$A$500,$B13,'DADOS BRUTOS'!AT$3:AT$500)+IF($C13="",0,SUMIF('DADOS BRUTOS'!$A$3:$A$500,$C13,'DADOS BRUTOS'!AT$3:AT$500)))</f>
        <v>0</v>
      </c>
      <c r="DU13" s="133" t="n">
        <f aca="false">IF(OR(DU$4="",$B13=""),0,SUMIF('DADOS BRUTOS'!$A$3:$A$500,$B13,'DADOS BRUTOS'!AU$3:AU$500)+IF($C13="",0,SUMIF('DADOS BRUTOS'!$A$3:$A$500,$C13,'DADOS BRUTOS'!AU$3:AU$500)))</f>
        <v>0</v>
      </c>
      <c r="DV13" s="133" t="n">
        <f aca="false">IF(OR(DV$4="",$B13=""),0,SUMIF('DADOS BRUTOS'!$A$3:$A$500,$B13,'DADOS BRUTOS'!AV$3:AV$500)+IF($C13="",0,SUMIF('DADOS BRUTOS'!$A$3:$A$500,$C13,'DADOS BRUTOS'!AV$3:AV$500)))</f>
        <v>0</v>
      </c>
      <c r="DW13" s="133" t="n">
        <f aca="false">IF(OR(DW$4="",$B13=""),0,SUMIF('DADOS BRUTOS'!$A$3:$A$500,$B13,'DADOS BRUTOS'!AW$3:AW$500)+IF($C13="",0,SUMIF('DADOS BRUTOS'!$A$3:$A$500,$C13,'DADOS BRUTOS'!AW$3:AW$500)))</f>
        <v>0</v>
      </c>
      <c r="DX13" s="133" t="n">
        <f aca="false">IF(OR(DX$4="",$B13=""),0,SUMIF('DADOS BRUTOS'!$A$3:$A$500,$B13,'DADOS BRUTOS'!AX$3:AX$500)+IF($C13="",0,SUMIF('DADOS BRUTOS'!$A$3:$A$500,$C13,'DADOS BRUTOS'!AX$3:AX$500)))</f>
        <v>0</v>
      </c>
      <c r="DY13" s="133" t="n">
        <f aca="false">IF(OR(DY$4="",$B13=""),0,SUMIF('DADOS BRUTOS'!$A$3:$A$500,$B13,'DADOS BRUTOS'!AY$3:AY$500)+IF($C13="",0,SUMIF('DADOS BRUTOS'!$A$3:$A$500,$C13,'DADOS BRUTOS'!AY$3:AY$500)))</f>
        <v>0</v>
      </c>
      <c r="DZ13" s="133" t="n">
        <f aca="false">IF(OR(DZ$4="",$B13=""),0,SUMIF('DADOS BRUTOS'!$A$3:$A$500,$B13,'DADOS BRUTOS'!AZ$3:AZ$500)+IF($C13="",0,SUMIF('DADOS BRUTOS'!$A$3:$A$500,$C13,'DADOS BRUTOS'!AZ$3:AZ$500)))</f>
        <v>0</v>
      </c>
      <c r="EA13" s="133" t="n">
        <f aca="false">IF(OR(EA$4="",$B13=""),0,SUMIF('DADOS BRUTOS'!$A$3:$A$500,$B13,'DADOS BRUTOS'!BA$3:BA$500)+IF($C13="",0,SUMIF('DADOS BRUTOS'!$A$3:$A$500,$C13,'DADOS BRUTOS'!BA$3:BA$500)))</f>
        <v>0</v>
      </c>
      <c r="EB13" s="133" t="n">
        <f aca="false">IF(OR(EB$4="",$B13=""),0,SUMIF('DADOS BRUTOS'!$A$3:$A$500,$B13,'DADOS BRUTOS'!BB$3:BB$500)+IF($C13="",0,SUMIF('DADOS BRUTOS'!$A$3:$A$500,$C13,'DADOS BRUTOS'!BB$3:BB$500)))</f>
        <v>0</v>
      </c>
      <c r="EC13" s="133" t="n">
        <f aca="false">IF(OR(EC$4="",$B13=""),0,SUMIF('DADOS BRUTOS'!$A$3:$A$500,$B13,'DADOS BRUTOS'!BC$3:BC$500)+IF($C13="",0,SUMIF('DADOS BRUTOS'!$A$3:$A$500,$C13,'DADOS BRUTOS'!BC$3:BC$500)))</f>
        <v>0</v>
      </c>
      <c r="ED13" s="133" t="n">
        <f aca="false">IF(OR(ED$4="",$B13=""),0,SUMIF('DADOS BRUTOS'!$A$3:$A$500,$B13,'DADOS BRUTOS'!BD$3:BD$500)+IF($C13="",0,SUMIF('DADOS BRUTOS'!$A$3:$A$500,$C13,'DADOS BRUTOS'!BD$3:BD$500)))</f>
        <v>0</v>
      </c>
      <c r="EE13" s="133" t="n">
        <f aca="false">IF(OR(EE$4="",$B13=""),0,SUMIF('DADOS BRUTOS'!$A$3:$A$500,$B13,'DADOS BRUTOS'!BE$3:BE$500)+IF($C13="",0,SUMIF('DADOS BRUTOS'!$A$3:$A$500,$C13,'DADOS BRUTOS'!BE$3:BE$500)))</f>
        <v>0</v>
      </c>
      <c r="EF13" s="133" t="n">
        <f aca="false">IF(OR(EF$4="",$B13=""),0,SUMIF('DADOS BRUTOS'!$A$3:$A$500,$B13,'DADOS BRUTOS'!BF$3:BF$500)+IF($C13="",0,SUMIF('DADOS BRUTOS'!$A$3:$A$500,$C13,'DADOS BRUTOS'!BF$3:BF$500)))</f>
        <v>0</v>
      </c>
      <c r="EG13" s="133" t="n">
        <f aca="false">IF(OR(EG$4="",$B13=""),0,SUMIF('DADOS BRUTOS'!$A$3:$A$500,$B13,'DADOS BRUTOS'!BG$3:BG$500)+IF($C13="",0,SUMIF('DADOS BRUTOS'!$A$3:$A$500,$C13,'DADOS BRUTOS'!BG$3:BG$500)))</f>
        <v>0</v>
      </c>
      <c r="EH13" s="133" t="n">
        <f aca="false">IF(OR(EH$4="",$B13=""),0,SUMIF('DADOS BRUTOS'!$A$3:$A$500,$B13,'DADOS BRUTOS'!BH$3:BH$500)+IF($C13="",0,SUMIF('DADOS BRUTOS'!$A$3:$A$500,$C13,'DADOS BRUTOS'!BH$3:BH$500)))</f>
        <v>0</v>
      </c>
      <c r="EI13" s="133" t="n">
        <f aca="false">IF(OR(EI$4="",$B13=""),0,SUMIF('DADOS BRUTOS'!$A$3:$A$500,$B13,'DADOS BRUTOS'!BI$3:BI$500)+IF($C13="",0,SUMIF('DADOS BRUTOS'!$A$3:$A$500,$C13,'DADOS BRUTOS'!BI$3:BI$500)))</f>
        <v>0</v>
      </c>
      <c r="EJ13" s="133" t="n">
        <f aca="false">IF(OR(EJ$4="",$B13=""),0,SUMIF('DADOS BRUTOS'!$A$3:$A$500,$B13,'DADOS BRUTOS'!BJ$3:BJ$500)+IF($C13="",0,SUMIF('DADOS BRUTOS'!$A$3:$A$500,$C13,'DADOS BRUTOS'!BJ$3:BJ$500)))</f>
        <v>0</v>
      </c>
      <c r="EK13" s="133" t="n">
        <f aca="false">IF(OR(EK$4="",$B13=""),0,SUMIF('DADOS BRUTOS'!$A$3:$A$500,$B13,'DADOS BRUTOS'!BK$3:BK$500)+IF($C13="",0,SUMIF('DADOS BRUTOS'!$A$3:$A$500,$C13,'DADOS BRUTOS'!BK$3:BK$500)))</f>
        <v>0</v>
      </c>
      <c r="EL13" s="133" t="n">
        <f aca="false">IF(OR(EL$4="",$B13=""),0,SUMIF('DADOS BRUTOS'!$A$3:$A$500,$B13,'DADOS BRUTOS'!BL$3:BL$500)+IF($C13="",0,SUMIF('DADOS BRUTOS'!$A$3:$A$500,$C13,'DADOS BRUTOS'!BL$3:BL$500)))</f>
        <v>0</v>
      </c>
      <c r="EM13" s="133" t="n">
        <f aca="false">IF(OR(EM$4="",$B13=""),0,SUMIF('DADOS BRUTOS'!$A$3:$A$500,$B13,'DADOS BRUTOS'!BM$3:BM$500)+IF($C13="",0,SUMIF('DADOS BRUTOS'!$A$3:$A$500,$C13,'DADOS BRUTOS'!BM$3:BM$500)))</f>
        <v>0</v>
      </c>
      <c r="EN13" s="133" t="n">
        <f aca="false">IF(OR(EN$4="",$B13=""),0,SUMIF('DADOS BRUTOS'!$A$3:$A$500,$B13,'DADOS BRUTOS'!BN$3:BN$500)+IF($C13="",0,SUMIF('DADOS BRUTOS'!$A$3:$A$500,$C13,'DADOS BRUTOS'!BN$3:BN$500)))</f>
        <v>0</v>
      </c>
      <c r="EO13" s="133" t="n">
        <f aca="false">IF(OR(EO$4="",$B13=""),0,SUMIF('DADOS BRUTOS'!$A$3:$A$500,$B13,'DADOS BRUTOS'!BO$3:BO$500)+IF($C13="",0,SUMIF('DADOS BRUTOS'!$A$3:$A$500,$C13,'DADOS BRUTOS'!BO$3:BO$500)))</f>
        <v>0</v>
      </c>
      <c r="EP13" s="133" t="n">
        <f aca="false">IF(OR(EP$4="",$B13=""),0,SUMIF('DADOS BRUTOS'!$A$3:$A$500,$B13,'DADOS BRUTOS'!BP$3:BP$500)+IF($C13="",0,SUMIF('DADOS BRUTOS'!$A$3:$A$500,$C13,'DADOS BRUTOS'!BP$3:BP$500)))</f>
        <v>0</v>
      </c>
      <c r="EQ13" s="133" t="n">
        <f aca="false">IF(OR(EQ$4="",$B13=""),0,SUMIF('DADOS BRUTOS'!$A$3:$A$500,$B13,'DADOS BRUTOS'!BQ$3:BQ$500)+IF($C13="",0,SUMIF('DADOS BRUTOS'!$A$3:$A$500,$C13,'DADOS BRUTOS'!BQ$3:BQ$500)))</f>
        <v>0</v>
      </c>
      <c r="ER13" s="133" t="n">
        <f aca="false">IF(OR(ER$4="",$B13=""),0,SUMIF('DADOS BRUTOS'!$A$3:$A$500,$B13,'DADOS BRUTOS'!BR$3:BR$500)+IF($C13="",0,SUMIF('DADOS BRUTOS'!$A$3:$A$500,$C13,'DADOS BRUTOS'!BR$3:BR$500)))</f>
        <v>0</v>
      </c>
      <c r="ES13" s="133" t="n">
        <f aca="false">IF(OR(ES$4="",$B13=""),0,SUMIF('DADOS BRUTOS'!$A$3:$A$500,$B13,'DADOS BRUTOS'!BS$3:BS$500)+IF($C13="",0,SUMIF('DADOS BRUTOS'!$A$3:$A$500,$C13,'DADOS BRUTOS'!BS$3:BS$500)))</f>
        <v>0</v>
      </c>
      <c r="ET13" s="133" t="n">
        <f aca="false">IF(OR(ET$4="",$B13=""),0,SUMIF('DADOS BRUTOS'!$A$3:$A$500,$B13,'DADOS BRUTOS'!BT$3:BT$500)+IF($C13="",0,SUMIF('DADOS BRUTOS'!$A$3:$A$500,$C13,'DADOS BRUTOS'!BT$3:BT$500)))</f>
        <v>0</v>
      </c>
      <c r="EU13" s="133" t="n">
        <f aca="false">IF(OR(EU$4="",$B13=""),0,SUMIF('DADOS BRUTOS'!$A$3:$A$500,$B13,'DADOS BRUTOS'!BU$3:BU$500)+IF($C13="",0,SUMIF('DADOS BRUTOS'!$A$3:$A$500,$C13,'DADOS BRUTOS'!BU$3:BU$500)))</f>
        <v>0</v>
      </c>
      <c r="EV13" s="133" t="n">
        <f aca="false">IF(OR(EV$4="",$B13=""),0,SUMIF('DADOS BRUTOS'!$A$3:$A$500,$B13,'DADOS BRUTOS'!BV$3:BV$500)+IF($C13="",0,SUMIF('DADOS BRUTOS'!$A$3:$A$500,$C13,'DADOS BRUTOS'!BV$3:BV$500)))</f>
        <v>0</v>
      </c>
      <c r="EW13" s="133" t="n">
        <f aca="false">IF(OR(EW$4="",$B13=""),0,SUMIF('DADOS BRUTOS'!$A$3:$A$500,$B13,'DADOS BRUTOS'!BW$3:BW$500)+IF($C13="",0,SUMIF('DADOS BRUTOS'!$A$3:$A$500,$C13,'DADOS BRUTOS'!BW$3:BW$500)))</f>
        <v>0</v>
      </c>
      <c r="EX13" s="133" t="n">
        <f aca="false">IF(OR(EX$4="",$B13=""),0,SUMIF('DADOS BRUTOS'!$A$3:$A$500,$B13,'DADOS BRUTOS'!BX$3:BX$500)+IF($C13="",0,SUMIF('DADOS BRUTOS'!$A$3:$A$500,$C13,'DADOS BRUTOS'!BX$3:BX$500)))</f>
        <v>0</v>
      </c>
      <c r="EY13" s="133" t="n">
        <f aca="false">IF(OR(EY$4="",$B13=""),0,SUMIF('DADOS BRUTOS'!$A$3:$A$500,$B13,'DADOS BRUTOS'!BY$3:BY$500)+IF($C13="",0,SUMIF('DADOS BRUTOS'!$A$3:$A$500,$C13,'DADOS BRUTOS'!BY$3:BY$500)))</f>
        <v>0</v>
      </c>
      <c r="EZ13" s="133" t="n">
        <f aca="false">IF(OR(EZ$4="",$B13=""),0,SUMIF('DADOS BRUTOS'!$A$3:$A$500,$B13,'DADOS BRUTOS'!BZ$3:BZ$500)+IF($C13="",0,SUMIF('DADOS BRUTOS'!$A$3:$A$500,$C13,'DADOS BRUTOS'!BZ$3:BZ$500)))</f>
        <v>0</v>
      </c>
      <c r="FA13" s="133" t="n">
        <f aca="false">IF(OR(FA$4="",$B13=""),0,SUMIF('DADOS BRUTOS'!$A$3:$A$500,$B13,'DADOS BRUTOS'!CA$3:CA$500)+IF($C13="",0,SUMIF('DADOS BRUTOS'!$A$3:$A$500,$C13,'DADOS BRUTOS'!CA$3:CA$500)))</f>
        <v>0</v>
      </c>
      <c r="FB13" s="133" t="n">
        <f aca="false">IF(OR(FB$4="",$B13=""),0,SUMIF('DADOS BRUTOS'!$A$3:$A$500,$B13,'DADOS BRUTOS'!CB$3:CB$500)+IF($C13="",0,SUMIF('DADOS BRUTOS'!$A$3:$A$500,$C13,'DADOS BRUTOS'!CB$3:CB$500)))</f>
        <v>0</v>
      </c>
      <c r="FC13" s="133" t="n">
        <f aca="false">IF(OR(FC$4="",$B13=""),0,SUMIF('DADOS BRUTOS'!$A$3:$A$500,$B13,'DADOS BRUTOS'!CC$3:CC$500)+IF($C13="",0,SUMIF('DADOS BRUTOS'!$A$3:$A$500,$C13,'DADOS BRUTOS'!CC$3:CC$500)))</f>
        <v>0</v>
      </c>
      <c r="FD13" s="133" t="n">
        <f aca="false">IF(OR(FD$4="",$B13=""),0,SUMIF('DADOS BRUTOS'!$A$3:$A$500,$B13,'DADOS BRUTOS'!CD$3:CD$500)+IF($C13="",0,SUMIF('DADOS BRUTOS'!$A$3:$A$500,$C13,'DADOS BRUTOS'!CD$3:CD$500)))</f>
        <v>0</v>
      </c>
      <c r="FE13" s="133" t="n">
        <f aca="false">IF(OR(FE$4="",$B13=""),0,SUMIF('DADOS BRUTOS'!$A$3:$A$500,$B13,'DADOS BRUTOS'!CE$3:CE$500)+IF($C13="",0,SUMIF('DADOS BRUTOS'!$A$3:$A$500,$C13,'DADOS BRUTOS'!CE$3:CE$500)))</f>
        <v>0</v>
      </c>
      <c r="FF13" s="133" t="n">
        <f aca="false">IF(OR(FF$4="",$B13=""),0,SUMIF('DADOS BRUTOS'!$A$3:$A$500,$B13,'DADOS BRUTOS'!CF$3:CF$500)+IF($C13="",0,SUMIF('DADOS BRUTOS'!$A$3:$A$500,$C13,'DADOS BRUTOS'!CF$3:CF$500)))</f>
        <v>0</v>
      </c>
      <c r="FG13" s="133" t="n">
        <f aca="false">IF(OR(FG$4="",$B13=""),0,SUMIF('DADOS BRUTOS'!$A$3:$A$500,$B13,'DADOS BRUTOS'!CG$3:CG$500)+IF($C13="",0,SUMIF('DADOS BRUTOS'!$A$3:$A$500,$C13,'DADOS BRUTOS'!CG$3:CG$500)))</f>
        <v>0</v>
      </c>
      <c r="FH13" s="133" t="n">
        <f aca="false">IF(OR(FH$4="",$B13=""),0,SUMIF('DADOS BRUTOS'!$A$3:$A$500,$B13,'DADOS BRUTOS'!CH$3:CH$500)+IF($C13="",0,SUMIF('DADOS BRUTOS'!$A$3:$A$500,$C13,'DADOS BRUTOS'!CH$3:CH$500)))</f>
        <v>0</v>
      </c>
      <c r="FI13" s="133" t="n">
        <f aca="false">IF(OR(FI$4="",$B13=""),0,SUMIF('DADOS BRUTOS'!$A$3:$A$500,$B13,'DADOS BRUTOS'!CI$3:CI$500)+IF($C13="",0,SUMIF('DADOS BRUTOS'!$A$3:$A$500,$C13,'DADOS BRUTOS'!CI$3:CI$500)))</f>
        <v>0</v>
      </c>
      <c r="FJ13" s="133" t="n">
        <f aca="false">IF(OR(FJ$4="",$B13=""),0,SUMIF('DADOS BRUTOS'!$A$3:$A$500,$B13,'DADOS BRUTOS'!CJ$3:CJ$500)+IF($C13="",0,SUMIF('DADOS BRUTOS'!$A$3:$A$500,$C13,'DADOS BRUTOS'!CJ$3:CJ$500)))</f>
        <v>0</v>
      </c>
      <c r="FK13" s="133" t="n">
        <f aca="false">IF(OR(FK$4="",$B13=""),0,SUMIF('DADOS BRUTOS'!$A$3:$A$500,$B13,'DADOS BRUTOS'!CK$3:CK$500)+IF($C13="",0,SUMIF('DADOS BRUTOS'!$A$3:$A$500,$C13,'DADOS BRUTOS'!CK$3:CK$500)))</f>
        <v>0</v>
      </c>
      <c r="FL13" s="133" t="n">
        <f aca="false">IF(OR(FL$4="",$B13=""),0,SUMIF('DADOS BRUTOS'!$A$3:$A$500,$B13,'DADOS BRUTOS'!CL$3:CL$500)+IF($C13="",0,SUMIF('DADOS BRUTOS'!$A$3:$A$500,$C13,'DADOS BRUTOS'!CL$3:CL$500)))</f>
        <v>0</v>
      </c>
      <c r="FM13" s="133" t="n">
        <f aca="false">IF(OR(FM$4="",$B13=""),0,SUMIF('DADOS BRUTOS'!$A$3:$A$500,$B13,'DADOS BRUTOS'!CM$3:CM$500)+IF($C13="",0,SUMIF('DADOS BRUTOS'!$A$3:$A$500,$C13,'DADOS BRUTOS'!CM$3:CM$500)))</f>
        <v>0</v>
      </c>
      <c r="FN13" s="133" t="n">
        <f aca="false">IF(OR(FN$4="",$B13=""),0,SUMIF('DADOS BRUTOS'!$A$3:$A$500,$B13,'DADOS BRUTOS'!CN$3:CN$500)+IF($C13="",0,SUMIF('DADOS BRUTOS'!$A$3:$A$500,$C13,'DADOS BRUTOS'!CN$3:CN$500)))</f>
        <v>0</v>
      </c>
      <c r="FO13" s="133" t="n">
        <f aca="false">IF(OR(FO$4="",$B13=""),0,SUMIF('DADOS BRUTOS'!$A$3:$A$500,$B13,'DADOS BRUTOS'!CO$3:CO$500)+IF($C13="",0,SUMIF('DADOS BRUTOS'!$A$3:$A$500,$C13,'DADOS BRUTOS'!CO$3:CO$500)))</f>
        <v>0</v>
      </c>
      <c r="FP13" s="133" t="n">
        <f aca="false">IF(OR(FP$4="",$B13=""),0,SUMIF('DADOS BRUTOS'!$A$3:$A$500,$B13,'DADOS BRUTOS'!CP$3:CP$500)+IF($C13="",0,SUMIF('DADOS BRUTOS'!$A$3:$A$500,$C13,'DADOS BRUTOS'!CP$3:CP$500)))</f>
        <v>0</v>
      </c>
      <c r="FQ13" s="133" t="n">
        <f aca="false">IF(OR(FQ$4="",$B13=""),0,SUMIF('DADOS BRUTOS'!$A$3:$A$500,$B13,'DADOS BRUTOS'!CQ$3:CQ$500)+IF($C13="",0,SUMIF('DADOS BRUTOS'!$A$3:$A$500,$C13,'DADOS BRUTOS'!CQ$3:CQ$500)))</f>
        <v>0</v>
      </c>
      <c r="FR13" s="133" t="n">
        <f aca="false">IF(OR(FR$4="",$B13=""),0,SUMIF('DADOS BRUTOS'!$A$3:$A$500,$B13,'DADOS BRUTOS'!CR$3:CR$500)+IF($C13="",0,SUMIF('DADOS BRUTOS'!$A$3:$A$500,$C13,'DADOS BRUTOS'!CR$3:CR$500)))</f>
        <v>0</v>
      </c>
      <c r="FS13" s="133" t="n">
        <f aca="false">IF(OR(FS$4="",$B13=""),0,SUMIF('DADOS BRUTOS'!$A$3:$A$500,$B13,'DADOS BRUTOS'!CS$3:CS$500)+IF($C13="",0,SUMIF('DADOS BRUTOS'!$A$3:$A$500,$C13,'DADOS BRUTOS'!CS$3:CS$500)))</f>
        <v>0</v>
      </c>
      <c r="FT13" s="133" t="n">
        <f aca="false">IF(OR(FT$4="",$B13=""),0,SUMIF('DADOS BRUTOS'!$A$3:$A$500,$B13,'DADOS BRUTOS'!CT$3:CT$500)+IF($C13="",0,SUMIF('DADOS BRUTOS'!$A$3:$A$500,$C13,'DADOS BRUTOS'!CT$3:CT$500)))</f>
        <v>0</v>
      </c>
      <c r="FU13" s="133" t="n">
        <f aca="false">IF(OR(FU$4="",$B13=""),0,SUMIF('DADOS BRUTOS'!$A$3:$A$500,$B13,'DADOS BRUTOS'!CU$3:CU$500)+IF($C13="",0,SUMIF('DADOS BRUTOS'!$A$3:$A$500,$C13,'DADOS BRUTOS'!CU$3:CU$500)))</f>
        <v>0</v>
      </c>
      <c r="FV13" s="133" t="n">
        <f aca="false">IF(OR(FV$4="",$B13=""),0,SUMIF('DADOS BRUTOS'!$A$3:$A$500,$B13,'DADOS BRUTOS'!CV$3:CV$500)+IF($C13="",0,SUMIF('DADOS BRUTOS'!$A$3:$A$500,$C13,'DADOS BRUTOS'!CV$3:CV$500)))</f>
        <v>0</v>
      </c>
      <c r="FW13" s="133" t="n">
        <f aca="false">IF(OR(FW$4="",$B13=""),0,SUMIF('DADOS BRUTOS'!$A$3:$A$500,$B13,'DADOS BRUTOS'!CW$3:CW$500)+IF($C13="",0,SUMIF('DADOS BRUTOS'!$A$3:$A$500,$C13,'DADOS BRUTOS'!CW$3:CW$500)))</f>
        <v>0</v>
      </c>
      <c r="FX13" s="133" t="n">
        <f aca="false">IF(OR(FX$4="",$B13=""),0,SUMIF('DADOS BRUTOS'!$A$3:$A$500,$B13,'DADOS BRUTOS'!CX$3:CX$500)+IF($C13="",0,SUMIF('DADOS BRUTOS'!$A$3:$A$500,$C13,'DADOS BRUTOS'!CX$3:CX$500)))</f>
        <v>0</v>
      </c>
      <c r="FY13" s="133" t="n">
        <f aca="false">IF(OR(FY$4="",$B13=""),0,SUMIF('DADOS BRUTOS'!$A$3:$A$500,$B13,'DADOS BRUTOS'!CY$3:CY$500)+IF($C13="",0,SUMIF('DADOS BRUTOS'!$A$3:$A$500,$C13,'DADOS BRUTOS'!CY$3:CY$500)))</f>
        <v>0</v>
      </c>
      <c r="FZ13" s="133" t="n">
        <f aca="false">IF(OR(FZ$4="",$B13=""),0,SUMIF('DADOS BRUTOS'!$A$3:$A$500,$B13,'DADOS BRUTOS'!CZ$3:CZ$500)+IF($C13="",0,SUMIF('DADOS BRUTOS'!$A$3:$A$500,$C13,'DADOS BRUTOS'!CZ$3:CZ$500)))</f>
        <v>0</v>
      </c>
      <c r="GA13" s="133" t="n">
        <f aca="false">IF(OR(GA$4="",$B13=""),0,SUMIF('DADOS BRUTOS'!$A$3:$A$500,$B13,'DADOS BRUTOS'!DA$3:DA$500)+IF($C13="",0,SUMIF('DADOS BRUTOS'!$A$3:$A$500,$C13,'DADOS BRUTOS'!DA$3:DA$500)))</f>
        <v>0</v>
      </c>
      <c r="GB13" s="133" t="n">
        <f aca="false">IF(OR(GB$4="",$B13=""),0,SUMIF('DADOS BRUTOS'!$A$3:$A$500,$B13,'DADOS BRUTOS'!DB$3:DB$500)+IF($C13="",0,SUMIF('DADOS BRUTOS'!$A$3:$A$500,$C13,'DADOS BRUTOS'!DB$3:DB$500)))</f>
        <v>0</v>
      </c>
      <c r="GC13" s="133" t="n">
        <f aca="false">IF(OR(GC$4="",$B13=""),0,SUMIF('DADOS BRUTOS'!$A$3:$A$500,$B13,'DADOS BRUTOS'!DC$3:DC$500)+IF($C13="",0,SUMIF('DADOS BRUTOS'!$A$3:$A$500,$C13,'DADOS BRUTOS'!DC$3:DC$500)))</f>
        <v>0</v>
      </c>
      <c r="GD13" s="133" t="n">
        <f aca="false">IF(OR(GD$4="",$B13=""),0,SUMIF('DADOS BRUTOS'!$A$3:$A$500,$B13,'DADOS BRUTOS'!DD$3:DD$500)+IF($C13="",0,SUMIF('DADOS BRUTOS'!$A$3:$A$500,$C13,'DADOS BRUTOS'!DD$3:DD$500)))</f>
        <v>0</v>
      </c>
      <c r="GE13" s="133" t="n">
        <f aca="false">IF(OR(GE$4="",$B13=""),0,SUMIF('DADOS BRUTOS'!$A$3:$A$500,$B13,'DADOS BRUTOS'!DE$3:DE$500)+IF($C13="",0,SUMIF('DADOS BRUTOS'!$A$3:$A$500,$C13,'DADOS BRUTOS'!DE$3:DE$500)))</f>
        <v>0</v>
      </c>
      <c r="GF13" s="133" t="n">
        <f aca="false">IF(OR(GF$4="",$B13=""),0,SUMIF('DADOS BRUTOS'!$A$3:$A$500,$B13,'DADOS BRUTOS'!DF$3:DF$500)+IF($C13="",0,SUMIF('DADOS BRUTOS'!$A$3:$A$500,$C13,'DADOS BRUTOS'!DF$3:DF$500)))</f>
        <v>0</v>
      </c>
      <c r="GG13" s="133" t="n">
        <f aca="false">IF(OR(GG$4="",$B13=""),0,SUMIF('DADOS BRUTOS'!$A$3:$A$500,$B13,'DADOS BRUTOS'!DG$3:DG$500)+IF($C13="",0,SUMIF('DADOS BRUTOS'!$A$3:$A$500,$C13,'DADOS BRUTOS'!DG$3:DG$500)))</f>
        <v>0</v>
      </c>
      <c r="GH13" s="133" t="n">
        <f aca="false">IF(OR(GH$4="",$B13=""),0,SUMIF('DADOS BRUTOS'!$A$3:$A$500,$B13,'DADOS BRUTOS'!DH$3:DH$500)+IF($C13="",0,SUMIF('DADOS BRUTOS'!$A$3:$A$500,$C13,'DADOS BRUTOS'!DH$3:DH$500)))</f>
        <v>0</v>
      </c>
      <c r="GI13" s="133" t="n">
        <f aca="false">IF(OR(GI$4="",$B13=""),0,SUMIF('DADOS BRUTOS'!$A$3:$A$500,$B13,'DADOS BRUTOS'!DI$3:DI$500)+IF($C13="",0,SUMIF('DADOS BRUTOS'!$A$3:$A$500,$C13,'DADOS BRUTOS'!DI$3:DI$500)))</f>
        <v>0</v>
      </c>
      <c r="GJ13" s="133" t="n">
        <f aca="false">IF(OR(GJ$4="",$B13=""),0,SUMIF('DADOS BRUTOS'!$A$3:$A$500,$B13,'DADOS BRUTOS'!DJ$3:DJ$500)+IF($C13="",0,SUMIF('DADOS BRUTOS'!$A$3:$A$500,$C13,'DADOS BRUTOS'!DJ$3:DJ$500)))</f>
        <v>0</v>
      </c>
      <c r="GK13" s="133" t="n">
        <f aca="false">IF(OR(GK$4="",$B13=""),0,SUMIF('DADOS BRUTOS'!$A$3:$A$500,$B13,'DADOS BRUTOS'!DK$3:DK$500)+IF($C13="",0,SUMIF('DADOS BRUTOS'!$A$3:$A$500,$C13,'DADOS BRUTOS'!DK$3:DK$500)))</f>
        <v>0</v>
      </c>
      <c r="GL13" s="133" t="n">
        <f aca="false">IF(OR(GL$4="",$B13=""),0,SUMIF('DADOS BRUTOS'!$A$3:$A$500,$B13,'DADOS BRUTOS'!DL$3:DL$500)+IF($C13="",0,SUMIF('DADOS BRUTOS'!$A$3:$A$500,$C13,'DADOS BRUTOS'!DL$3:DL$500)))</f>
        <v>0</v>
      </c>
      <c r="GM13" s="133" t="n">
        <f aca="false">IF(OR(GM$4="",$B13=""),0,SUMIF('DADOS BRUTOS'!$A$3:$A$500,$B13,'DADOS BRUTOS'!DM$3:DM$500)+IF($C13="",0,SUMIF('DADOS BRUTOS'!$A$3:$A$500,$C13,'DADOS BRUTOS'!DM$3:DM$500)))</f>
        <v>0</v>
      </c>
      <c r="GN13" s="133" t="n">
        <f aca="false">IF(OR(GN$4="",$B13=""),0,SUMIF('DADOS BRUTOS'!$A$3:$A$500,$B13,'DADOS BRUTOS'!DN$3:DN$500)+IF($C13="",0,SUMIF('DADOS BRUTOS'!$A$3:$A$500,$C13,'DADOS BRUTOS'!DN$3:DN$500)))</f>
        <v>0</v>
      </c>
      <c r="GO13" s="133" t="n">
        <f aca="false">IF(OR(GO$4="",$B13=""),0,SUMIF('DADOS BRUTOS'!$A$3:$A$500,$B13,'DADOS BRUTOS'!DO$3:DO$500)+IF($C13="",0,SUMIF('DADOS BRUTOS'!$A$3:$A$500,$C13,'DADOS BRUTOS'!DO$3:DO$500)))</f>
        <v>0</v>
      </c>
      <c r="GP13" s="133" t="n">
        <f aca="false">IF(OR(GP$4="",$B13=""),0,SUMIF('DADOS BRUTOS'!$A$3:$A$500,$B13,'DADOS BRUTOS'!DP$3:DP$500)+IF($C13="",0,SUMIF('DADOS BRUTOS'!$A$3:$A$500,$C13,'DADOS BRUTOS'!DP$3:DP$500)))</f>
        <v>0</v>
      </c>
      <c r="GQ13" s="133" t="n">
        <f aca="false">IF(OR(GQ$4="",$B13=""),0,SUMIF('DADOS BRUTOS'!$A$3:$A$500,$B13,'DADOS BRUTOS'!DQ$3:DQ$500)+IF($C13="",0,SUMIF('DADOS BRUTOS'!$A$3:$A$500,$C13,'DADOS BRUTOS'!DQ$3:DQ$500)))</f>
        <v>0</v>
      </c>
      <c r="GR13" s="133" t="n">
        <f aca="false">IF(OR(GR$4="",$B13=""),0,SUMIF('DADOS BRUTOS'!$A$3:$A$500,$B13,'DADOS BRUTOS'!DR$3:DR$500)+IF($C13="",0,SUMIF('DADOS BRUTOS'!$A$3:$A$500,$C13,'DADOS BRUTOS'!DR$3:DR$500)))</f>
        <v>0</v>
      </c>
      <c r="GS13" s="133" t="n">
        <f aca="false">IF(OR(GS$4="",$B13=""),0,SUMIF('DADOS BRUTOS'!$A$3:$A$500,$B13,'DADOS BRUTOS'!DS$3:DS$500)+IF($C13="",0,SUMIF('DADOS BRUTOS'!$A$3:$A$500,$C13,'DADOS BRUTOS'!DS$3:DS$500)))</f>
        <v>0</v>
      </c>
      <c r="GT13" s="133" t="n">
        <f aca="false">IF(OR(GT$4="",$B13=""),0,SUMIF('DADOS BRUTOS'!$A$3:$A$500,$B13,'DADOS BRUTOS'!DT$3:DT$500)+IF($C13="",0,SUMIF('DADOS BRUTOS'!$A$3:$A$500,$C13,'DADOS BRUTOS'!DT$3:DT$500)))</f>
        <v>0</v>
      </c>
      <c r="GU13" s="133" t="n">
        <f aca="false">IF(OR(GU$4="",$B13=""),0,SUMIF('DADOS BRUTOS'!$A$3:$A$500,$B13,'DADOS BRUTOS'!DU$3:DU$500)+IF($C13="",0,SUMIF('DADOS BRUTOS'!$A$3:$A$500,$C13,'DADOS BRUTOS'!DU$3:DU$500)))</f>
        <v>0</v>
      </c>
      <c r="GV13" s="133" t="n">
        <f aca="false">IF(OR(GV$4="",$B13=""),0,SUMIF('DADOS BRUTOS'!$A$3:$A$500,$B13,'DADOS BRUTOS'!DV$3:DV$500)+IF($C13="",0,SUMIF('DADOS BRUTOS'!$A$3:$A$500,$C13,'DADOS BRUTOS'!DV$3:DV$500)))</f>
        <v>0</v>
      </c>
      <c r="GW13" s="133" t="n">
        <f aca="false">IF(OR(GW$4="",$B13=""),0,SUMIF('DADOS BRUTOS'!$A$3:$A$500,$B13,'DADOS BRUTOS'!DW$3:DW$500)+IF($C13="",0,SUMIF('DADOS BRUTOS'!$A$3:$A$500,$C13,'DADOS BRUTOS'!DW$3:DW$500)))</f>
        <v>0</v>
      </c>
      <c r="GX13" s="133" t="n">
        <f aca="false">IF(OR(GX$4="",$B13=""),0,SUMIF('DADOS BRUTOS'!$A$3:$A$500,$B13,'DADOS BRUTOS'!DX$3:DX$500)+IF($C13="",0,SUMIF('DADOS BRUTOS'!$A$3:$A$500,$C13,'DADOS BRUTOS'!DX$3:DX$500)))</f>
        <v>0</v>
      </c>
      <c r="GY13" s="133" t="n">
        <f aca="false">IF(OR(GY$4="",$B13=""),0,SUMIF('DADOS BRUTOS'!$A$3:$A$500,$B13,'DADOS BRUTOS'!DY$3:DY$500)+IF($C13="",0,SUMIF('DADOS BRUTOS'!$A$3:$A$500,$C13,'DADOS BRUTOS'!DY$3:DY$500)))</f>
        <v>0</v>
      </c>
      <c r="GZ13" s="133" t="n">
        <f aca="false">IF(OR(GZ$4="",$B13=""),0,SUMIF('DADOS BRUTOS'!$A$3:$A$500,$B13,'DADOS BRUTOS'!DZ$3:DZ$500)+IF($C13="",0,SUMIF('DADOS BRUTOS'!$A$3:$A$500,$C13,'DADOS BRUTOS'!DZ$3:DZ$500)))</f>
        <v>0</v>
      </c>
      <c r="HA13" s="133" t="n">
        <f aca="false">IF(OR(HA$4="",$B13=""),0,SUMIF('DADOS BRUTOS'!$A$3:$A$500,$B13,'DADOS BRUTOS'!EA$3:EA$500)+IF($C13="",0,SUMIF('DADOS BRUTOS'!$A$3:$A$500,$C13,'DADOS BRUTOS'!EA$3:EA$500)))</f>
        <v>0</v>
      </c>
      <c r="HB13" s="133" t="n">
        <f aca="false">IF(OR(HB$4="",$B13=""),0,SUMIF('DADOS BRUTOS'!$A$3:$A$500,$B13,'DADOS BRUTOS'!EB$3:EB$500)+IF($C13="",0,SUMIF('DADOS BRUTOS'!$A$3:$A$500,$C13,'DADOS BRUTOS'!EB$3:EB$500)))</f>
        <v>0</v>
      </c>
      <c r="HC13" s="133" t="n">
        <f aca="false">IF(OR(HC$4="",$B13=""),0,SUMIF('DADOS BRUTOS'!$A$3:$A$500,$B13,'DADOS BRUTOS'!EC$3:EC$500)+IF($C13="",0,SUMIF('DADOS BRUTOS'!$A$3:$A$500,$C13,'DADOS BRUTOS'!EC$3:EC$500)))</f>
        <v>0</v>
      </c>
      <c r="HD13" s="133" t="n">
        <f aca="false">IF(OR(HD$4="",$B13=""),0,SUMIF('DADOS BRUTOS'!$A$3:$A$500,$B13,'DADOS BRUTOS'!ED$3:ED$500)+IF($C13="",0,SUMIF('DADOS BRUTOS'!$A$3:$A$500,$C13,'DADOS BRUTOS'!ED$3:ED$500)))</f>
        <v>0</v>
      </c>
      <c r="HE13" s="133" t="n">
        <f aca="false">IF(OR(HE$4="",$B13=""),0,SUMIF('DADOS BRUTOS'!$A$3:$A$500,$B13,'DADOS BRUTOS'!EE$3:EE$500)+IF($C13="",0,SUMIF('DADOS BRUTOS'!$A$3:$A$500,$C13,'DADOS BRUTOS'!EE$3:EE$500)))</f>
        <v>0</v>
      </c>
      <c r="HF13" s="133" t="n">
        <f aca="false">IF(OR(HF$4="",$B13=""),0,SUMIF('DADOS BRUTOS'!$A$3:$A$500,$B13,'DADOS BRUTOS'!EF$3:EF$500)+IF($C13="",0,SUMIF('DADOS BRUTOS'!$A$3:$A$500,$C13,'DADOS BRUTOS'!EF$3:EF$500)))</f>
        <v>0</v>
      </c>
      <c r="HG13" s="133" t="n">
        <f aca="false">IF(OR(HG$4="",$B13=""),0,SUMIF('DADOS BRUTOS'!$A$3:$A$500,$B13,'DADOS BRUTOS'!EG$3:EG$500)+IF($C13="",0,SUMIF('DADOS BRUTOS'!$A$3:$A$500,$C13,'DADOS BRUTOS'!EG$3:EG$500)))</f>
        <v>0</v>
      </c>
      <c r="HH13" s="133" t="n">
        <f aca="false">IF(OR(HH$4="",$B13=""),0,SUMIF('DADOS BRUTOS'!$A$3:$A$500,$B13,'DADOS BRUTOS'!EH$3:EH$500)+IF($C13="",0,SUMIF('DADOS BRUTOS'!$A$3:$A$500,$C13,'DADOS BRUTOS'!EH$3:EH$500)))</f>
        <v>0</v>
      </c>
      <c r="HI13" s="133" t="n">
        <f aca="false">IF(OR(HI$4="",$B13=""),0,SUMIF('DADOS BRUTOS'!$A$3:$A$500,$B13,'DADOS BRUTOS'!EI$3:EI$500)+IF($C13="",0,SUMIF('DADOS BRUTOS'!$A$3:$A$500,$C13,'DADOS BRUTOS'!EI$3:EI$500)))</f>
        <v>0</v>
      </c>
      <c r="HJ13" s="133" t="n">
        <f aca="false">IF(OR(HJ$4="",$B13=""),0,SUMIF('DADOS BRUTOS'!$A$3:$A$500,$B13,'DADOS BRUTOS'!EJ$3:EJ$500)+IF($C13="",0,SUMIF('DADOS BRUTOS'!$A$3:$A$500,$C13,'DADOS BRUTOS'!EJ$3:EJ$500)))</f>
        <v>0</v>
      </c>
      <c r="HK13" s="133" t="n">
        <f aca="false">IF(OR(HK$4="",$B13=""),0,SUMIF('DADOS BRUTOS'!$A$3:$A$500,$B13,'DADOS BRUTOS'!EK$3:EK$500)+IF($C13="",0,SUMIF('DADOS BRUTOS'!$A$3:$A$500,$C13,'DADOS BRUTOS'!EK$3:EK$500)))</f>
        <v>0</v>
      </c>
      <c r="HL13" s="133" t="n">
        <f aca="false">IF(OR(HL$4="",$B13=""),0,SUMIF('DADOS BRUTOS'!$A$3:$A$500,$B13,'DADOS BRUTOS'!EL$3:EL$500)+IF($C13="",0,SUMIF('DADOS BRUTOS'!$A$3:$A$500,$C13,'DADOS BRUTOS'!EL$3:EL$500)))</f>
        <v>0</v>
      </c>
      <c r="HM13" s="133" t="n">
        <f aca="false">IF(OR(HM$4="",$B13=""),0,SUMIF('DADOS BRUTOS'!$A$3:$A$500,$B13,'DADOS BRUTOS'!EM$3:EM$500)+IF($C13="",0,SUMIF('DADOS BRUTOS'!$A$3:$A$500,$C13,'DADOS BRUTOS'!EM$3:EM$500)))</f>
        <v>0</v>
      </c>
      <c r="HN13" s="133" t="n">
        <f aca="false">IF(OR(HN$4="",$B13=""),0,SUMIF('DADOS BRUTOS'!$A$3:$A$500,$B13,'DADOS BRUTOS'!EN$3:EN$500)+IF($C13="",0,SUMIF('DADOS BRUTOS'!$A$3:$A$500,$C13,'DADOS BRUTOS'!EN$3:EN$500)))</f>
        <v>0</v>
      </c>
      <c r="HO13" s="133" t="n">
        <f aca="false">IF(OR(HO$4="",$B13=""),0,SUMIF('DADOS BRUTOS'!$A$3:$A$500,$B13,'DADOS BRUTOS'!EO$3:EO$500)+IF($C13="",0,SUMIF('DADOS BRUTOS'!$A$3:$A$500,$C13,'DADOS BRUTOS'!EO$3:EO$500)))</f>
        <v>0</v>
      </c>
      <c r="HP13" s="133" t="n">
        <f aca="false">IF(OR(HP$4="",$B13=""),0,SUMIF('DADOS BRUTOS'!$A$3:$A$500,$B13,'DADOS BRUTOS'!EP$3:EP$500)+IF($C13="",0,SUMIF('DADOS BRUTOS'!$A$3:$A$500,$C13,'DADOS BRUTOS'!EP$3:EP$500)))</f>
        <v>0</v>
      </c>
      <c r="HQ13" s="133" t="n">
        <f aca="false">IF(OR(HQ$4="",$B13=""),0,SUMIF('DADOS BRUTOS'!$A$3:$A$500,$B13,'DADOS BRUTOS'!EQ$3:EQ$500)+IF($C13="",0,SUMIF('DADOS BRUTOS'!$A$3:$A$500,$C13,'DADOS BRUTOS'!EQ$3:EQ$500)))</f>
        <v>0</v>
      </c>
      <c r="HR13" s="133" t="n">
        <f aca="false">IF(OR(HR$4="",$B13=""),0,SUMIF('DADOS BRUTOS'!$A$3:$A$500,$B13,'DADOS BRUTOS'!ER$3:ER$500)+IF($C13="",0,SUMIF('DADOS BRUTOS'!$A$3:$A$500,$C13,'DADOS BRUTOS'!ER$3:ER$500)))</f>
        <v>0</v>
      </c>
      <c r="HS13" s="133" t="n">
        <f aca="false">IF(OR(HS$4="",$B13=""),0,SUMIF('DADOS BRUTOS'!$A$3:$A$500,$B13,'DADOS BRUTOS'!ES$3:ES$500)+IF($C13="",0,SUMIF('DADOS BRUTOS'!$A$3:$A$500,$C13,'DADOS BRUTOS'!ES$3:ES$500)))</f>
        <v>0</v>
      </c>
      <c r="HT13" s="133" t="n">
        <f aca="false">IF(OR(HT$4="",$B13=""),0,SUMIF('DADOS BRUTOS'!$A$3:$A$500,$B13,'DADOS BRUTOS'!ET$3:ET$500)+IF($C13="",0,SUMIF('DADOS BRUTOS'!$A$3:$A$500,$C13,'DADOS BRUTOS'!ET$3:ET$500)))</f>
        <v>0</v>
      </c>
      <c r="HU13" s="133" t="n">
        <f aca="false">IF(OR(HU$4="",$B13=""),0,SUMIF('DADOS BRUTOS'!$A$3:$A$500,$B13,'DADOS BRUTOS'!EU$3:EU$500)+IF($C13="",0,SUMIF('DADOS BRUTOS'!$A$3:$A$500,$C13,'DADOS BRUTOS'!EU$3:EU$500)))</f>
        <v>0</v>
      </c>
      <c r="HV13" s="133" t="n">
        <f aca="false">IF(OR(HV$4="",$B13=""),0,SUMIF('DADOS BRUTOS'!$A$3:$A$500,$B13,'DADOS BRUTOS'!EV$3:EV$500)+IF($C13="",0,SUMIF('DADOS BRUTOS'!$A$3:$A$500,$C13,'DADOS BRUTOS'!EV$3:EV$500)))</f>
        <v>0</v>
      </c>
      <c r="HW13" s="133" t="n">
        <f aca="false">IF(OR(HW$4="",$B13=""),0,SUMIF('DADOS BRUTOS'!$A$3:$A$500,$B13,'DADOS BRUTOS'!EW$3:EW$500)+IF($C13="",0,SUMIF('DADOS BRUTOS'!$A$3:$A$500,$C13,'DADOS BRUTOS'!EW$3:EW$500)))</f>
        <v>0</v>
      </c>
      <c r="HX13" s="133" t="n">
        <f aca="false">IF(OR(HX$4="",$B13=""),0,SUMIF('DADOS BRUTOS'!$A$3:$A$500,$B13,'DADOS BRUTOS'!EX$3:EX$500)+IF($C13="",0,SUMIF('DADOS BRUTOS'!$A$3:$A$500,$C13,'DADOS BRUTOS'!EX$3:EX$500)))</f>
        <v>0</v>
      </c>
      <c r="HY13" s="133" t="n">
        <f aca="false">IF(OR(HY$4="",$B13=""),0,SUMIF('DADOS BRUTOS'!$A$3:$A$500,$B13,'DADOS BRUTOS'!EY$3:EY$500)+IF($C13="",0,SUMIF('DADOS BRUTOS'!$A$3:$A$500,$C13,'DADOS BRUTOS'!EY$3:EY$500)))</f>
        <v>0</v>
      </c>
      <c r="HZ13" s="133" t="n">
        <f aca="false">IF(OR(HZ$4="",$B13=""),0,SUMIF('DADOS BRUTOS'!$A$3:$A$500,$B13,'DADOS BRUTOS'!EZ$3:EZ$500)+IF($C13="",0,SUMIF('DADOS BRUTOS'!$A$3:$A$500,$C13,'DADOS BRUTOS'!EZ$3:EZ$500)))</f>
        <v>0</v>
      </c>
      <c r="IA13" s="133" t="n">
        <f aca="false">IF(OR(IA$4="",$B13=""),0,SUMIF('DADOS BRUTOS'!$A$3:$A$500,$B13,'DADOS BRUTOS'!FA$3:FA$500)+IF($C13="",0,SUMIF('DADOS BRUTOS'!$A$3:$A$500,$C13,'DADOS BRUTOS'!FA$3:FA$500)))</f>
        <v>0</v>
      </c>
      <c r="IB13" s="133" t="n">
        <f aca="false">IF(OR(IB$4="",$B13=""),0,SUMIF('DADOS BRUTOS'!$A$3:$A$500,$B13,'DADOS BRUTOS'!FB$3:FB$500)+IF($C13="",0,SUMIF('DADOS BRUTOS'!$A$3:$A$500,$C13,'DADOS BRUTOS'!FB$3:FB$500)))</f>
        <v>0</v>
      </c>
      <c r="IC13" s="133" t="n">
        <f aca="false">IF(OR(IC$4="",$B13=""),0,SUMIF('DADOS BRUTOS'!$A$3:$A$500,$B13,'DADOS BRUTOS'!FC$3:FC$500)+IF($C13="",0,SUMIF('DADOS BRUTOS'!$A$3:$A$500,$C13,'DADOS BRUTOS'!FC$3:FC$500)))</f>
        <v>0</v>
      </c>
      <c r="ID13" s="133" t="n">
        <f aca="false">IF(OR(ID$4="",$B13=""),0,SUMIF('DADOS BRUTOS'!$A$3:$A$500,$B13,'DADOS BRUTOS'!FD$3:FD$500)+IF($C13="",0,SUMIF('DADOS BRUTOS'!$A$3:$A$500,$C13,'DADOS BRUTOS'!FD$3:FD$500)))</f>
        <v>0</v>
      </c>
      <c r="IE13" s="133" t="n">
        <f aca="false">IF(OR(IE$4="",$B13=""),0,SUMIF('DADOS BRUTOS'!$A$3:$A$500,$B13,'DADOS BRUTOS'!FE$3:FE$500)+IF($C13="",0,SUMIF('DADOS BRUTOS'!$A$3:$A$500,$C13,'DADOS BRUTOS'!FE$3:FE$500)))</f>
        <v>0</v>
      </c>
      <c r="IF13" s="133" t="n">
        <f aca="false">IF(OR(IF$4="",$B13=""),0,SUMIF('DADOS BRUTOS'!$A$3:$A$500,$B13,'DADOS BRUTOS'!FF$3:FF$500)+IF($C13="",0,SUMIF('DADOS BRUTOS'!$A$3:$A$500,$C13,'DADOS BRUTOS'!FF$3:FF$500)))</f>
        <v>0</v>
      </c>
      <c r="IG13" s="133" t="n">
        <f aca="false">IF(OR(IG$4="",$B13=""),0,SUMIF('DADOS BRUTOS'!$A$3:$A$500,$B13,'DADOS BRUTOS'!FG$3:FG$500)+IF($C13="",0,SUMIF('DADOS BRUTOS'!$A$3:$A$500,$C13,'DADOS BRUTOS'!FG$3:FG$500)))</f>
        <v>0</v>
      </c>
      <c r="IH13" s="133" t="n">
        <f aca="false">IF(OR(IH$4="",$B13=""),0,SUMIF('DADOS BRUTOS'!$A$3:$A$500,$B13,'DADOS BRUTOS'!FH$3:FH$500)+IF($C13="",0,SUMIF('DADOS BRUTOS'!$A$3:$A$500,$C13,'DADOS BRUTOS'!FH$3:FH$500)))</f>
        <v>0</v>
      </c>
      <c r="II13" s="133" t="n">
        <f aca="false">IF(OR(II$4="",$B13=""),0,SUMIF('DADOS BRUTOS'!$A$3:$A$500,$B13,'DADOS BRUTOS'!FI$3:FI$500)+IF($C13="",0,SUMIF('DADOS BRUTOS'!$A$3:$A$500,$C13,'DADOS BRUTOS'!FI$3:FI$500)))</f>
        <v>0</v>
      </c>
      <c r="IJ13" s="133" t="n">
        <f aca="false">IF(OR(IJ$4="",$B13=""),0,SUMIF('DADOS BRUTOS'!$A$3:$A$500,$B13,'DADOS BRUTOS'!FJ$3:FJ$500)+IF($C13="",0,SUMIF('DADOS BRUTOS'!$A$3:$A$500,$C13,'DADOS BRUTOS'!FJ$3:FJ$500)))</f>
        <v>0</v>
      </c>
      <c r="IK13" s="133" t="n">
        <f aca="false">IF(OR(IK$4="",$B13=""),0,SUMIF('DADOS BRUTOS'!$A$3:$A$500,$B13,'DADOS BRUTOS'!FK$3:FK$500)+IF($C13="",0,SUMIF('DADOS BRUTOS'!$A$3:$A$500,$C13,'DADOS BRUTOS'!FK$3:FK$500)))</f>
        <v>0</v>
      </c>
      <c r="IL13" s="133" t="n">
        <f aca="false">IF(OR(IL$4="",$B13=""),0,SUMIF('DADOS BRUTOS'!$A$3:$A$500,$B13,'DADOS BRUTOS'!FL$3:FL$500)+IF($C13="",0,SUMIF('DADOS BRUTOS'!$A$3:$A$500,$C13,'DADOS BRUTOS'!FL$3:FL$500)))</f>
        <v>0</v>
      </c>
      <c r="IM13" s="133" t="n">
        <f aca="false">IF(OR(IM$4="",$B13=""),0,SUMIF('DADOS BRUTOS'!$A$3:$A$500,$B13,'DADOS BRUTOS'!FM$3:FM$500)+IF($C13="",0,SUMIF('DADOS BRUTOS'!$A$3:$A$500,$C13,'DADOS BRUTOS'!FM$3:FM$500)))</f>
        <v>0</v>
      </c>
      <c r="IN13" s="133" t="n">
        <f aca="false">IF(OR(IN$4="",$B13=""),0,SUMIF('DADOS BRUTOS'!$A$3:$A$500,$B13,'DADOS BRUTOS'!FN$3:FN$500)+IF($C13="",0,SUMIF('DADOS BRUTOS'!$A$3:$A$500,$C13,'DADOS BRUTOS'!FN$3:FN$500)))</f>
        <v>0</v>
      </c>
      <c r="IO13" s="133" t="n">
        <f aca="false">IF(OR(IO$4="",$B13=""),0,SUMIF('DADOS BRUTOS'!$A$3:$A$500,$B13,'DADOS BRUTOS'!FO$3:FO$500)+IF($C13="",0,SUMIF('DADOS BRUTOS'!$A$3:$A$500,$C13,'DADOS BRUTOS'!FO$3:FO$500)))</f>
        <v>0</v>
      </c>
      <c r="IP13" s="133" t="n">
        <f aca="false">IF(OR(IP$4="",$B13=""),0,SUMIF('DADOS BRUTOS'!$A$3:$A$500,$B13,'DADOS BRUTOS'!FP$3:FP$500)+IF($C13="",0,SUMIF('DADOS BRUTOS'!$A$3:$A$500,$C13,'DADOS BRUTOS'!FP$3:FP$500)))</f>
        <v>0</v>
      </c>
      <c r="IQ13" s="133" t="n">
        <f aca="false">IF(OR(IQ$4="",$B13=""),0,SUMIF('DADOS BRUTOS'!$A$3:$A$500,$B13,'DADOS BRUTOS'!FQ$3:FQ$500)+IF($C13="",0,SUMIF('DADOS BRUTOS'!$A$3:$A$500,$C13,'DADOS BRUTOS'!FQ$3:FQ$500)))</f>
        <v>0</v>
      </c>
      <c r="IR13" s="133" t="n">
        <f aca="false">IF(OR(IR$4="",$B13=""),0,SUMIF('DADOS BRUTOS'!$A$3:$A$500,$B13,'DADOS BRUTOS'!FR$3:FR$500)+IF($C13="",0,SUMIF('DADOS BRUTOS'!$A$3:$A$500,$C13,'DADOS BRUTOS'!FR$3:FR$500)))</f>
        <v>0</v>
      </c>
      <c r="IS13" s="133" t="n">
        <f aca="false">IF(OR(IS$4="",$B13=""),0,SUMIF('DADOS BRUTOS'!$A$3:$A$500,$B13,'DADOS BRUTOS'!FS$3:FS$500)+IF($C13="",0,SUMIF('DADOS BRUTOS'!$A$3:$A$500,$C13,'DADOS BRUTOS'!FS$3:FS$500)))</f>
        <v>0</v>
      </c>
      <c r="IT13" s="133" t="n">
        <f aca="false">IF(OR(IT$4="",$B13=""),0,SUMIF('DADOS BRUTOS'!$A$3:$A$500,$B13,'DADOS BRUTOS'!FT$3:FT$500)+IF($C13="",0,SUMIF('DADOS BRUTOS'!$A$3:$A$500,$C13,'DADOS BRUTOS'!FT$3:FT$500)))</f>
        <v>0</v>
      </c>
      <c r="IU13" s="133" t="n">
        <f aca="false">IF(OR(IU$4="",$B13=""),0,SUMIF('DADOS BRUTOS'!$A$3:$A$500,$B13,'DADOS BRUTOS'!FU$3:FU$500)+IF($C13="",0,SUMIF('DADOS BRUTOS'!$A$3:$A$500,$C13,'DADOS BRUTOS'!FU$3:FU$500)))</f>
        <v>0</v>
      </c>
      <c r="IV13" s="133" t="n">
        <f aca="false">IF(OR(IV$4="",$B13=""),0,SUMIF('DADOS BRUTOS'!$A$3:$A$500,$B13,'DADOS BRUTOS'!FV$3:FV$500)+IF($C13="",0,SUMIF('DADOS BRUTOS'!$A$3:$A$500,$C13,'DADOS BRUTOS'!FV$3:FV$500)))</f>
        <v>0</v>
      </c>
      <c r="IW13" s="133" t="n">
        <f aca="false">IF(OR(IW$4="",$B13=""),0,SUMIF('DADOS BRUTOS'!$A$3:$A$500,$B13,'DADOS BRUTOS'!FW$3:FW$500)+IF($C13="",0,SUMIF('DADOS BRUTOS'!$A$3:$A$500,$C13,'DADOS BRUTOS'!FW$3:FW$500)))</f>
        <v>0</v>
      </c>
      <c r="IX13" s="133" t="n">
        <f aca="false">IF(OR(IX$4="",$B13=""),0,SUMIF('DADOS BRUTOS'!$A$3:$A$500,$B13,'DADOS BRUTOS'!FX$3:FX$500)+IF($C13="",0,SUMIF('DADOS BRUTOS'!$A$3:$A$500,$C13,'DADOS BRUTOS'!FX$3:FX$500)))</f>
        <v>0</v>
      </c>
      <c r="IY13" s="133" t="n">
        <f aca="false">IF(OR(IY$4="",$B13=""),0,SUMIF('DADOS BRUTOS'!$A$3:$A$500,$B13,'DADOS BRUTOS'!FY$3:FY$500)+IF($C13="",0,SUMIF('DADOS BRUTOS'!$A$3:$A$500,$C13,'DADOS BRUTOS'!FY$3:FY$500)))</f>
        <v>0</v>
      </c>
      <c r="IZ13" s="133" t="n">
        <f aca="false">IF(OR(IZ$4="",$B13=""),0,SUMIF('DADOS BRUTOS'!$A$3:$A$500,$B13,'DADOS BRUTOS'!FZ$3:FZ$500)+IF($C13="",0,SUMIF('DADOS BRUTOS'!$A$3:$A$500,$C13,'DADOS BRUTOS'!FZ$3:FZ$500)))</f>
        <v>0</v>
      </c>
      <c r="JA13" s="133" t="n">
        <f aca="false">IF(OR(JA$4="",$B13=""),0,SUMIF('DADOS BRUTOS'!$A$3:$A$500,$B13,'DADOS BRUTOS'!GA$3:GA$500)+IF($C13="",0,SUMIF('DADOS BRUTOS'!$A$3:$A$500,$C13,'DADOS BRUTOS'!GA$3:GA$500)))</f>
        <v>0</v>
      </c>
      <c r="JB13" s="133" t="n">
        <f aca="false">IF(OR(JB$4="",$B13=""),0,SUMIF('DADOS BRUTOS'!$A$3:$A$500,$B13,'DADOS BRUTOS'!GB$3:GB$500)+IF($C13="",0,SUMIF('DADOS BRUTOS'!$A$3:$A$500,$C13,'DADOS BRUTOS'!GB$3:GB$500)))</f>
        <v>0</v>
      </c>
      <c r="JC13" s="133" t="n">
        <f aca="false">IF(OR(JC$4="",$B13=""),0,SUMIF('DADOS BRUTOS'!$A$3:$A$500,$B13,'DADOS BRUTOS'!GC$3:GC$500)+IF($C13="",0,SUMIF('DADOS BRUTOS'!$A$3:$A$500,$C13,'DADOS BRUTOS'!GC$3:GC$500)))</f>
        <v>0</v>
      </c>
      <c r="JD13" s="133" t="n">
        <f aca="false">IF(OR(JD$4="",$B13=""),0,SUMIF('DADOS BRUTOS'!$A$3:$A$500,$B13,'DADOS BRUTOS'!GD$3:GD$500)+IF($C13="",0,SUMIF('DADOS BRUTOS'!$A$3:$A$500,$C13,'DADOS BRUTOS'!GD$3:GD$500)))</f>
        <v>0</v>
      </c>
      <c r="JE13" s="133" t="n">
        <f aca="false">IF(OR(JE$4="",$B13=""),0,SUMIF('DADOS BRUTOS'!$A$3:$A$500,$B13,'DADOS BRUTOS'!GE$3:GE$500)+IF($C13="",0,SUMIF('DADOS BRUTOS'!$A$3:$A$500,$C13,'DADOS BRUTOS'!GE$3:GE$500)))</f>
        <v>0</v>
      </c>
      <c r="JF13" s="133" t="n">
        <f aca="false">IF(OR(JF$4="",$B13=""),0,SUMIF('DADOS BRUTOS'!$A$3:$A$500,$B13,'DADOS BRUTOS'!GF$3:GF$500)+IF($C13="",0,SUMIF('DADOS BRUTOS'!$A$3:$A$500,$C13,'DADOS BRUTOS'!GF$3:GF$500)))</f>
        <v>0</v>
      </c>
      <c r="JG13" s="133" t="n">
        <f aca="false">IF(OR(JG$4="",$B13=""),0,SUMIF('DADOS BRUTOS'!$A$3:$A$500,$B13,'DADOS BRUTOS'!GG$3:GG$500)+IF($C13="",0,SUMIF('DADOS BRUTOS'!$A$3:$A$500,$C13,'DADOS BRUTOS'!GG$3:GG$500)))</f>
        <v>0</v>
      </c>
      <c r="JH13" s="133" t="n">
        <f aca="false">IF(OR(JH$4="",$B13=""),0,SUMIF('DADOS BRUTOS'!$A$3:$A$500,$B13,'DADOS BRUTOS'!GH$3:GH$500)+IF($C13="",0,SUMIF('DADOS BRUTOS'!$A$3:$A$500,$C13,'DADOS BRUTOS'!GH$3:GH$500)))</f>
        <v>0</v>
      </c>
      <c r="JI13" s="133" t="n">
        <f aca="false">IF(OR(JI$4="",$B13=""),0,SUMIF('DADOS BRUTOS'!$A$3:$A$500,$B13,'DADOS BRUTOS'!GI$3:GI$500)+IF($C13="",0,SUMIF('DADOS BRUTOS'!$A$3:$A$500,$C13,'DADOS BRUTOS'!GI$3:GI$500)))</f>
        <v>0</v>
      </c>
      <c r="JJ13" s="133" t="n">
        <f aca="false">IF(OR(JJ$4="",$B13=""),0,SUMIF('DADOS BRUTOS'!$A$3:$A$500,$B13,'DADOS BRUTOS'!GJ$3:GJ$500)+IF($C13="",0,SUMIF('DADOS BRUTOS'!$A$3:$A$500,$C13,'DADOS BRUTOS'!GJ$3:GJ$500)))</f>
        <v>0</v>
      </c>
      <c r="JK13" s="133" t="n">
        <f aca="false">IF(OR(JK$4="",$B13=""),0,SUMIF('DADOS BRUTOS'!$A$3:$A$500,$B13,'DADOS BRUTOS'!GK$3:GK$500)+IF($C13="",0,SUMIF('DADOS BRUTOS'!$A$3:$A$500,$C13,'DADOS BRUTOS'!GK$3:GK$500)))</f>
        <v>0</v>
      </c>
      <c r="JL13" s="133" t="n">
        <f aca="false">IF(OR(JL$4="",$B13=""),0,SUMIF('DADOS BRUTOS'!$A$3:$A$500,$B13,'DADOS BRUTOS'!GL$3:GL$500)+IF($C13="",0,SUMIF('DADOS BRUTOS'!$A$3:$A$500,$C13,'DADOS BRUTOS'!GL$3:GL$500)))</f>
        <v>0</v>
      </c>
      <c r="JM13" s="133" t="n">
        <f aca="false">IF(OR(JM$4="",$B13=""),0,SUMIF('DADOS BRUTOS'!$A$3:$A$500,$B13,'DADOS BRUTOS'!GM$3:GM$500)+IF($C13="",0,SUMIF('DADOS BRUTOS'!$A$3:$A$500,$C13,'DADOS BRUTOS'!GM$3:GM$500)))</f>
        <v>0</v>
      </c>
      <c r="JN13" s="133" t="n">
        <f aca="false">IF(OR(JN$4="",$B13=""),0,SUMIF('DADOS BRUTOS'!$A$3:$A$500,$B13,'DADOS BRUTOS'!GN$3:GN$500)+IF($C13="",0,SUMIF('DADOS BRUTOS'!$A$3:$A$500,$C13,'DADOS BRUTOS'!GN$3:GN$500)))</f>
        <v>0</v>
      </c>
      <c r="JO13" s="133" t="n">
        <f aca="false">IF(OR(JO$4="",$B13=""),0,SUMIF('DADOS BRUTOS'!$A$3:$A$500,$B13,'DADOS BRUTOS'!GO$3:GO$500)+IF($C13="",0,SUMIF('DADOS BRUTOS'!$A$3:$A$500,$C13,'DADOS BRUTOS'!GO$3:GO$500)))</f>
        <v>0</v>
      </c>
      <c r="JP13" s="133" t="n">
        <f aca="false">IF(OR(JP$4="",$B13=""),0,SUMIF('DADOS BRUTOS'!$A$3:$A$500,$B13,'DADOS BRUTOS'!GP$3:GP$500)+IF($C13="",0,SUMIF('DADOS BRUTOS'!$A$3:$A$500,$C13,'DADOS BRUTOS'!GP$3:GP$500)))</f>
        <v>0</v>
      </c>
      <c r="JQ13" s="133" t="n">
        <f aca="false">IF(OR(JQ$4="",$B13=""),0,SUMIF('DADOS BRUTOS'!$A$3:$A$500,$B13,'DADOS BRUTOS'!GQ$3:GQ$500)+IF($C13="",0,SUMIF('DADOS BRUTOS'!$A$3:$A$500,$C13,'DADOS BRUTOS'!GQ$3:GQ$500)))</f>
        <v>0</v>
      </c>
      <c r="JR13" s="133" t="n">
        <f aca="false">IF(OR(JR$4="",$B13=""),0,SUMIF('DADOS BRUTOS'!$A$3:$A$500,$B13,'DADOS BRUTOS'!GR$3:GR$500)+IF($C13="",0,SUMIF('DADOS BRUTOS'!$A$3:$A$500,$C13,'DADOS BRUTOS'!GR$3:GR$500)))</f>
        <v>0</v>
      </c>
      <c r="JS13" s="133" t="n">
        <f aca="false">IF(OR(JS$4="",$B13=""),0,SUMIF('DADOS BRUTOS'!$A$3:$A$500,$B13,'DADOS BRUTOS'!GS$3:GS$500)+IF($C13="",0,SUMIF('DADOS BRUTOS'!$A$3:$A$500,$C13,'DADOS BRUTOS'!GS$3:GS$500)))</f>
        <v>0</v>
      </c>
    </row>
    <row r="14" customFormat="false" ht="15" hidden="false" customHeight="false" outlineLevel="0" collapsed="false">
      <c r="A14" s="57" t="str">
        <f aca="false">'VALOR POR PL'!D20</f>
        <v>MÃO DE OBRA PRÓPRIA</v>
      </c>
      <c r="B14" s="55" t="s">
        <v>82</v>
      </c>
      <c r="C14" s="55"/>
      <c r="D14" s="50" t="n">
        <f aca="false">SUMIF($CB$4:$JS$4,"&lt;="&amp;D$4,$CB14:$JS14)</f>
        <v>387208.85</v>
      </c>
      <c r="E14" s="50" t="n">
        <f aca="false">SUMIF($CB$4:$JS$4,E$4,$CB14:$JS14)</f>
        <v>940</v>
      </c>
      <c r="F14" s="50" t="n">
        <f aca="false">SUMIF($CB$4:$JS$4,F$4,$CB14:$JS14)</f>
        <v>61357.36</v>
      </c>
      <c r="G14" s="50" t="n">
        <f aca="false">SUMIF($CB$4:$JS$4,G$4,$CB14:$JS14)</f>
        <v>118973.07</v>
      </c>
      <c r="H14" s="50" t="n">
        <f aca="false">SUMIF($CB$4:$JS$4,H$4,$CB14:$JS14)</f>
        <v>60617.36</v>
      </c>
      <c r="I14" s="50" t="n">
        <f aca="false">SUMIF($CB$4:$JS$4,I$4,$CB14:$JS14)</f>
        <v>23912.84</v>
      </c>
      <c r="J14" s="50" t="n">
        <f aca="false">SUMIF($CB$4:$JS$4,J$4,$CB14:$JS14)</f>
        <v>27131.75</v>
      </c>
      <c r="K14" s="50" t="n">
        <f aca="false">SUMIF($CB$4:$JS$4,K$4,$CB14:$JS14)</f>
        <v>51487.59</v>
      </c>
      <c r="L14" s="50" t="n">
        <f aca="false">SUMIF($CB$4:$JS$4,L$4,$CB14:$JS14)</f>
        <v>89901.3</v>
      </c>
      <c r="M14" s="50" t="n">
        <f aca="false">SUMIF($CB$4:$JS$4,M$4,$CB14:$JS14)</f>
        <v>109406.48</v>
      </c>
      <c r="N14" s="50" t="n">
        <f aca="false">SUMIF($CB$4:$JS$4,N$4,$CB14:$JS14)</f>
        <v>164098.29</v>
      </c>
      <c r="O14" s="50" t="n">
        <f aca="false">SUMIF($CB$4:$JS$4,O$4,$CB14:$JS14)</f>
        <v>234224.1</v>
      </c>
      <c r="P14" s="50" t="n">
        <f aca="false">SUMIF($CB$4:$JS$4,P$4,$CB14:$JS14)</f>
        <v>187300.46</v>
      </c>
      <c r="Q14" s="50" t="n">
        <f aca="false">SUMIF($CB$4:$JS$4,Q$4,$CB14:$JS14)</f>
        <v>207035.09</v>
      </c>
      <c r="R14" s="50" t="n">
        <f aca="false">SUMIF($CB$4:$JS$4,R$4,$CB14:$JS14)</f>
        <v>189783.71</v>
      </c>
      <c r="S14" s="50" t="n">
        <f aca="false">SUMIF($CB$4:$JS$4,S$4,$CB14:$JS14)</f>
        <v>215160.73</v>
      </c>
      <c r="T14" s="50" t="n">
        <f aca="false">SUMIF($CB$4:$JS$4,T$4,$CB14:$JS14)</f>
        <v>203548.11</v>
      </c>
      <c r="U14" s="50" t="n">
        <f aca="false">SUMIF($CB$4:$JS$4,U$4,$CB14:$JS14)</f>
        <v>207785.71</v>
      </c>
      <c r="V14" s="50" t="n">
        <f aca="false">SUMIF($CB$4:$JS$4,V$4,$CB14:$JS14)</f>
        <v>205254.17</v>
      </c>
      <c r="W14" s="50" t="n">
        <f aca="false">SUMIF($CB$4:$JS$4,W$4,$CB14:$JS14)</f>
        <v>256382.45</v>
      </c>
      <c r="X14" s="50" t="n">
        <f aca="false">SUMIF($CB$4:$JS$4,X$4,$CB14:$JS14)</f>
        <v>298850.74</v>
      </c>
      <c r="Y14" s="50" t="n">
        <f aca="false">SUMIF($CB$4:$JS$4,Y$4,$CB14:$JS14)</f>
        <v>257613.12</v>
      </c>
      <c r="Z14" s="50" t="n">
        <f aca="false">SUMIF($CB$4:$JS$4,Z$4,$CB14:$JS14)</f>
        <v>128856.07</v>
      </c>
      <c r="AA14" s="50" t="n">
        <f aca="false">SUMIF($CB$4:$JS$4,AA$4,$CB14:$JS14)</f>
        <v>92763.43</v>
      </c>
      <c r="AB14" s="50" t="n">
        <f aca="false">SUMIF($CB$4:$JS$4,AB$4,$CB14:$JS14)</f>
        <v>92720.76</v>
      </c>
      <c r="AC14" s="50" t="n">
        <f aca="false">SUMIF($CB$4:$JS$4,AC$4,$CB14:$JS14)</f>
        <v>1930.87</v>
      </c>
      <c r="AD14" s="50" t="n">
        <f aca="false">SUMIF($CB$4:$JS$4,AD$4,$CB14:$JS14)</f>
        <v>1037.4</v>
      </c>
      <c r="AE14" s="50" t="n">
        <f aca="false">SUMIF($CB$4:$JS$4,AE$4,$CB14:$JS14)</f>
        <v>4340.17</v>
      </c>
      <c r="AF14" s="50" t="n">
        <f aca="false">SUMIF($CB$4:$JS$4,AF$4,$CB14:$JS14)</f>
        <v>0</v>
      </c>
      <c r="AG14" s="50" t="n">
        <f aca="false">SUMIF($CB$4:$JS$4,AG$4,$CB14:$JS14)</f>
        <v>0</v>
      </c>
      <c r="AH14" s="50" t="n">
        <f aca="false">SUMIF($CB$4:$JS$4,AH$4,$CB14:$JS14)</f>
        <v>0</v>
      </c>
      <c r="AI14" s="50" t="n">
        <f aca="false">SUMIF($CB$4:$JS$4,AI$4,$CB14:$JS14)</f>
        <v>0</v>
      </c>
      <c r="AJ14" s="50" t="n">
        <f aca="false">SUMIF($CB$4:$JS$4,AJ$4,$CB14:$JS14)</f>
        <v>0</v>
      </c>
      <c r="AK14" s="50" t="n">
        <f aca="false">SUMIF($CB$4:$JS$4,AK$4,$CB14:$JS14)</f>
        <v>0</v>
      </c>
      <c r="AL14" s="50" t="n">
        <f aca="false">SUMIF($CB$4:$JS$4,AL$4,$CB14:$JS14)</f>
        <v>863.52</v>
      </c>
      <c r="AM14" s="50" t="n">
        <f aca="false">SUMIF($CB$4:$JS$4,AM$4,$CB14:$JS14)</f>
        <v>0</v>
      </c>
      <c r="AN14" s="50" t="n">
        <f aca="false">SUMIF($CB$4:$JS$4,AN$4,$CB14:$JS14)</f>
        <v>8451.69</v>
      </c>
      <c r="AO14" s="50" t="n">
        <f aca="false">SUMIF($CB$4:$JS$4,AO$4,$CB14:$JS14)</f>
        <v>0</v>
      </c>
      <c r="AP14" s="50" t="n">
        <f aca="false">SUMIF($CB$4:$JS$4,AP$4,$CB14:$JS14)</f>
        <v>0</v>
      </c>
      <c r="AQ14" s="50" t="n">
        <f aca="false">SUMIF($CB$4:$JS$4,AQ$4,$CB14:$JS14)</f>
        <v>0</v>
      </c>
      <c r="AR14" s="50" t="n">
        <f aca="false">SUMIF($CB$4:$JS$4,AR$4,$CB14:$JS14)</f>
        <v>0</v>
      </c>
      <c r="AS14" s="50" t="n">
        <f aca="false">SUMIF($CB$4:$JS$4,AS$4,$CB14:$JS14)</f>
        <v>0</v>
      </c>
      <c r="AT14" s="50" t="n">
        <f aca="false">SUMIF($CB$4:$JS$4,AT$4,$CB14:$JS14)</f>
        <v>0</v>
      </c>
      <c r="AU14" s="50" t="n">
        <f aca="false">SUMIF($CB$4:$JS$4,AU$4,$CB14:$JS14)</f>
        <v>0</v>
      </c>
      <c r="AV14" s="50" t="n">
        <f aca="false">SUMIF($CB$4:$JS$4,AV$4,$CB14:$JS14)</f>
        <v>0</v>
      </c>
      <c r="AW14" s="50" t="n">
        <f aca="false">SUMIF($CB$4:$JS$4,AW$4,$CB14:$JS14)</f>
        <v>0</v>
      </c>
      <c r="AX14" s="50" t="n">
        <f aca="false">SUMIF($CB$4:$JS$4,AX$4,$CB14:$JS14)</f>
        <v>0</v>
      </c>
      <c r="AY14" s="50" t="n">
        <f aca="false">SUMIF($CB$4:$JS$4,AY$4,$CB14:$JS14)</f>
        <v>0</v>
      </c>
      <c r="AZ14" s="50" t="n">
        <f aca="false">SUMIF($CB$4:$JS$4,AZ$4,$CB14:$JS14)</f>
        <v>0</v>
      </c>
      <c r="BA14" s="50" t="n">
        <f aca="false">SUMIF($CB$4:$JS$4,BA$4,$CB14:$JS14)</f>
        <v>0</v>
      </c>
      <c r="BB14" s="50" t="n">
        <f aca="false">SUMIF($CB$4:$JS$4,BB$4,$CB14:$JS14)</f>
        <v>0</v>
      </c>
      <c r="BC14" s="50" t="n">
        <f aca="false">SUMIF($CB$4:$JS$4,BC$4,$CB14:$JS14)</f>
        <v>0</v>
      </c>
      <c r="BD14" s="50" t="n">
        <f aca="false">SUMIF($CB$4:$JS$4,BD$4,$CB14:$JS14)</f>
        <v>0</v>
      </c>
      <c r="BE14" s="50" t="n">
        <f aca="false">SUMIF($CB$4:$JS$4,BE$4,$CB14:$JS14)</f>
        <v>0</v>
      </c>
      <c r="BF14" s="50" t="n">
        <f aca="false">SUMIF($CB$4:$JS$4,BF$4,$CB14:$JS14)</f>
        <v>0</v>
      </c>
      <c r="BG14" s="50" t="n">
        <f aca="false">SUMIF($CB$4:$JS$4,BG$4,$CB14:$JS14)</f>
        <v>0</v>
      </c>
      <c r="BH14" s="50" t="n">
        <f aca="false">SUMIF($CB$4:$JS$4,BH$4,$CB14:$JS14)</f>
        <v>0</v>
      </c>
      <c r="BI14" s="50" t="n">
        <f aca="false">SUMIF($CB$4:$JS$4,BI$4,$CB14:$JS14)</f>
        <v>0</v>
      </c>
      <c r="BJ14" s="50" t="n">
        <f aca="false">SUMIF($CB$4:$JS$4,BJ$4,$CB14:$JS14)</f>
        <v>0</v>
      </c>
      <c r="BK14" s="50" t="n">
        <f aca="false">SUMIF($CB$4:$JS$4,BK$4,$CB14:$JS14)</f>
        <v>0</v>
      </c>
      <c r="BL14" s="50" t="n">
        <f aca="false">SUMIF($CB$4:$JS$4,BL$4,$CB14:$JS14)</f>
        <v>0</v>
      </c>
      <c r="BM14" s="50" t="n">
        <f aca="false">SUMIF($CB$4:$JS$4,BM$4,$CB14:$JS14)</f>
        <v>0</v>
      </c>
      <c r="BN14" s="50" t="n">
        <f aca="false">SUMIF($CB$4:$JS$4,BN$4,$CB14:$JS14)</f>
        <v>0</v>
      </c>
      <c r="BO14" s="50" t="n">
        <f aca="false">SUMIF($CB$4:$JS$4,BO$4,$CB14:$JS14)</f>
        <v>0</v>
      </c>
      <c r="BP14" s="50" t="n">
        <f aca="false">SUMIF($CB$4:$JS$4,BP$4,$CB14:$JS14)</f>
        <v>0</v>
      </c>
      <c r="BQ14" s="50" t="n">
        <f aca="false">SUMIF($CB$4:$JS$4,BQ$4,$CB14:$JS14)</f>
        <v>0</v>
      </c>
      <c r="BR14" s="50" t="n">
        <f aca="false">SUMIF($CB$4:$JS$4,BR$4,$CB14:$JS14)</f>
        <v>0</v>
      </c>
      <c r="BS14" s="50" t="n">
        <f aca="false">SUMIF($CB$4:$JS$4,BS$4,$CB14:$JS14)</f>
        <v>0</v>
      </c>
      <c r="BT14" s="50" t="n">
        <f aca="false">SUMIF($CB$4:$JS$4,BT$4,$CB14:$JS14)</f>
        <v>0</v>
      </c>
      <c r="BU14" s="50" t="n">
        <f aca="false">SUMIF($CB$4:$JS$4,BU$4,$CB14:$JS14)</f>
        <v>0</v>
      </c>
      <c r="BV14" s="50" t="n">
        <f aca="false">SUMIF($CB$4:$JS$4,BV$4,$CB14:$JS14)</f>
        <v>0</v>
      </c>
      <c r="BW14" s="50" t="n">
        <f aca="false">SUMIF($CB$4:$JS$4,BW$4,$CB14:$JS14)</f>
        <v>0</v>
      </c>
      <c r="BX14" s="50" t="n">
        <f aca="false">SUMIF($CB$4:$JS$4,"&gt;"&amp;'VALOR POR PL'!$P$8,$CB14:$JS14)</f>
        <v>0</v>
      </c>
      <c r="BY14" s="50" t="n">
        <f aca="false">SUM($CB14:$JS14)</f>
        <v>3888937.19</v>
      </c>
      <c r="BZ14" s="45" t="n">
        <f aca="false">SUMPRODUCT(($CB$4:$JS$4&lt;&gt;"")*($CB$4:$JS$4&lt;=$D$4),$CB14:$JS14,$CB$1:$JS$1)</f>
        <v>343.30301603844</v>
      </c>
      <c r="CB14" s="133" t="n">
        <f aca="false">IF(OR(CB$4="",$B14=""),0,SUMIF('DADOS BRUTOS'!$A$3:$A$500,$B14,'DADOS BRUTOS'!B$3:B$500)+IF($C14="",0,SUMIF('DADOS BRUTOS'!$A$3:$A$500,$C14,'DADOS BRUTOS'!B$3:B$500)))</f>
        <v>2437.9</v>
      </c>
      <c r="CC14" s="133" t="n">
        <f aca="false">IF(OR(CC$4="",$B14=""),0,SUMIF('DADOS BRUTOS'!$A$3:$A$500,$B14,'DADOS BRUTOS'!C$3:C$500)+IF($C14="",0,SUMIF('DADOS BRUTOS'!$A$3:$A$500,$C14,'DADOS BRUTOS'!C$3:C$500)))</f>
        <v>2253.29</v>
      </c>
      <c r="CD14" s="133" t="n">
        <f aca="false">IF(OR(CD$4="",$B14=""),0,SUMIF('DADOS BRUTOS'!$A$3:$A$500,$B14,'DADOS BRUTOS'!D$3:D$500)+IF($C14="",0,SUMIF('DADOS BRUTOS'!$A$3:$A$500,$C14,'DADOS BRUTOS'!D$3:D$500)))</f>
        <v>8527.57</v>
      </c>
      <c r="CE14" s="133" t="n">
        <f aca="false">IF(OR(CE$4="",$B14=""),0,SUMIF('DADOS BRUTOS'!$A$3:$A$500,$B14,'DADOS BRUTOS'!E$3:E$500)+IF($C14="",0,SUMIF('DADOS BRUTOS'!$A$3:$A$500,$C14,'DADOS BRUTOS'!E$3:E$500)))</f>
        <v>35000</v>
      </c>
      <c r="CF14" s="133" t="n">
        <f aca="false">IF(OR(CF$4="",$B14=""),0,SUMIF('DADOS BRUTOS'!$A$3:$A$500,$B14,'DADOS BRUTOS'!F$3:F$500)+IF($C14="",0,SUMIF('DADOS BRUTOS'!$A$3:$A$500,$C14,'DADOS BRUTOS'!F$3:F$500)))</f>
        <v>35655</v>
      </c>
      <c r="CG14" s="133" t="n">
        <f aca="false">IF(OR(CG$4="",$B14=""),0,SUMIF('DADOS BRUTOS'!$A$3:$A$500,$B14,'DADOS BRUTOS'!G$3:G$500)+IF($C14="",0,SUMIF('DADOS BRUTOS'!$A$3:$A$500,$C14,'DADOS BRUTOS'!G$3:G$500)))</f>
        <v>35655</v>
      </c>
      <c r="CH14" s="133" t="n">
        <f aca="false">IF(OR(CH$4="",$B14=""),0,SUMIF('DADOS BRUTOS'!$A$3:$A$500,$B14,'DADOS BRUTOS'!H$3:H$500)+IF($C14="",0,SUMIF('DADOS BRUTOS'!$A$3:$A$500,$C14,'DADOS BRUTOS'!H$3:H$500)))</f>
        <v>36678.64</v>
      </c>
      <c r="CI14" s="133" t="n">
        <f aca="false">IF(OR(CI$4="",$B14=""),0,SUMIF('DADOS BRUTOS'!$A$3:$A$500,$B14,'DADOS BRUTOS'!I$3:I$500)+IF($C14="",0,SUMIF('DADOS BRUTOS'!$A$3:$A$500,$C14,'DADOS BRUTOS'!I$3:I$500)))</f>
        <v>39561.28</v>
      </c>
      <c r="CJ14" s="133" t="n">
        <f aca="false">IF(OR(CJ$4="",$B14=""),0,SUMIF('DADOS BRUTOS'!$A$3:$A$500,$B14,'DADOS BRUTOS'!J$3:J$500)+IF($C14="",0,SUMIF('DADOS BRUTOS'!$A$3:$A$500,$C14,'DADOS BRUTOS'!J$3:J$500)))</f>
        <v>39540.39</v>
      </c>
      <c r="CK14" s="133" t="n">
        <f aca="false">IF(OR(CK$4="",$B14=""),0,SUMIF('DADOS BRUTOS'!$A$3:$A$500,$B14,'DADOS BRUTOS'!K$3:K$500)+IF($C14="",0,SUMIF('DADOS BRUTOS'!$A$3:$A$500,$C14,'DADOS BRUTOS'!K$3:K$500)))</f>
        <v>39540.39</v>
      </c>
      <c r="CL14" s="133" t="n">
        <f aca="false">IF(OR(CL$4="",$B14=""),0,SUMIF('DADOS BRUTOS'!$A$3:$A$500,$B14,'DADOS BRUTOS'!L$3:L$500)+IF($C14="",0,SUMIF('DADOS BRUTOS'!$A$3:$A$500,$C14,'DADOS BRUTOS'!L$3:L$500)))</f>
        <v>39790.39</v>
      </c>
      <c r="CM14" s="133" t="n">
        <f aca="false">IF(OR(CM$4="",$B14=""),0,SUMIF('DADOS BRUTOS'!$A$3:$A$500,$B14,'DADOS BRUTOS'!M$3:M$500)+IF($C14="",0,SUMIF('DADOS BRUTOS'!$A$3:$A$500,$C14,'DADOS BRUTOS'!M$3:M$500)))</f>
        <v>36732</v>
      </c>
      <c r="CN14" s="133" t="n">
        <f aca="false">IF(OR(CN$4="",$B14=""),0,SUMIF('DADOS BRUTOS'!$A$3:$A$500,$B14,'DADOS BRUTOS'!N$3:N$500)+IF($C14="",0,SUMIF('DADOS BRUTOS'!$A$3:$A$500,$C14,'DADOS BRUTOS'!N$3:N$500)))</f>
        <v>35837</v>
      </c>
      <c r="CO14" s="133" t="n">
        <f aca="false">IF(OR(CO$4="",$B14=""),0,SUMIF('DADOS BRUTOS'!$A$3:$A$500,$B14,'DADOS BRUTOS'!O$3:O$500)+IF($C14="",0,SUMIF('DADOS BRUTOS'!$A$3:$A$500,$C14,'DADOS BRUTOS'!O$3:O$500)))</f>
        <v>940</v>
      </c>
      <c r="CP14" s="133" t="n">
        <f aca="false">IF(OR(CP$4="",$B14=""),0,SUMIF('DADOS BRUTOS'!$A$3:$A$500,$B14,'DADOS BRUTOS'!P$3:P$500)+IF($C14="",0,SUMIF('DADOS BRUTOS'!$A$3:$A$500,$C14,'DADOS BRUTOS'!P$3:P$500)))</f>
        <v>61357.36</v>
      </c>
      <c r="CQ14" s="133" t="n">
        <f aca="false">IF(OR(CQ$4="",$B14=""),0,SUMIF('DADOS BRUTOS'!$A$3:$A$500,$B14,'DADOS BRUTOS'!Q$3:Q$500)+IF($C14="",0,SUMIF('DADOS BRUTOS'!$A$3:$A$500,$C14,'DADOS BRUTOS'!Q$3:Q$500)))</f>
        <v>118973.07</v>
      </c>
      <c r="CR14" s="133" t="n">
        <f aca="false">IF(OR(CR$4="",$B14=""),0,SUMIF('DADOS BRUTOS'!$A$3:$A$500,$B14,'DADOS BRUTOS'!R$3:R$500)+IF($C14="",0,SUMIF('DADOS BRUTOS'!$A$3:$A$500,$C14,'DADOS BRUTOS'!R$3:R$500)))</f>
        <v>60617.36</v>
      </c>
      <c r="CS14" s="133" t="n">
        <f aca="false">IF(OR(CS$4="",$B14=""),0,SUMIF('DADOS BRUTOS'!$A$3:$A$500,$B14,'DADOS BRUTOS'!S$3:S$500)+IF($C14="",0,SUMIF('DADOS BRUTOS'!$A$3:$A$500,$C14,'DADOS BRUTOS'!S$3:S$500)))</f>
        <v>23912.84</v>
      </c>
      <c r="CT14" s="133" t="n">
        <f aca="false">IF(OR(CT$4="",$B14=""),0,SUMIF('DADOS BRUTOS'!$A$3:$A$500,$B14,'DADOS BRUTOS'!T$3:T$500)+IF($C14="",0,SUMIF('DADOS BRUTOS'!$A$3:$A$500,$C14,'DADOS BRUTOS'!T$3:T$500)))</f>
        <v>27131.75</v>
      </c>
      <c r="CU14" s="133" t="n">
        <f aca="false">IF(OR(CU$4="",$B14=""),0,SUMIF('DADOS BRUTOS'!$A$3:$A$500,$B14,'DADOS BRUTOS'!U$3:U$500)+IF($C14="",0,SUMIF('DADOS BRUTOS'!$A$3:$A$500,$C14,'DADOS BRUTOS'!U$3:U$500)))</f>
        <v>51487.59</v>
      </c>
      <c r="CV14" s="133" t="n">
        <f aca="false">IF(OR(CV$4="",$B14=""),0,SUMIF('DADOS BRUTOS'!$A$3:$A$500,$B14,'DADOS BRUTOS'!V$3:V$500)+IF($C14="",0,SUMIF('DADOS BRUTOS'!$A$3:$A$500,$C14,'DADOS BRUTOS'!V$3:V$500)))</f>
        <v>89901.3</v>
      </c>
      <c r="CW14" s="133" t="n">
        <f aca="false">IF(OR(CW$4="",$B14=""),0,SUMIF('DADOS BRUTOS'!$A$3:$A$500,$B14,'DADOS BRUTOS'!W$3:W$500)+IF($C14="",0,SUMIF('DADOS BRUTOS'!$A$3:$A$500,$C14,'DADOS BRUTOS'!W$3:W$500)))</f>
        <v>109406.48</v>
      </c>
      <c r="CX14" s="133" t="n">
        <f aca="false">IF(OR(CX$4="",$B14=""),0,SUMIF('DADOS BRUTOS'!$A$3:$A$500,$B14,'DADOS BRUTOS'!X$3:X$500)+IF($C14="",0,SUMIF('DADOS BRUTOS'!$A$3:$A$500,$C14,'DADOS BRUTOS'!X$3:X$500)))</f>
        <v>164098.29</v>
      </c>
      <c r="CY14" s="133" t="n">
        <f aca="false">IF(OR(CY$4="",$B14=""),0,SUMIF('DADOS BRUTOS'!$A$3:$A$500,$B14,'DADOS BRUTOS'!Y$3:Y$500)+IF($C14="",0,SUMIF('DADOS BRUTOS'!$A$3:$A$500,$C14,'DADOS BRUTOS'!Y$3:Y$500)))</f>
        <v>234224.1</v>
      </c>
      <c r="CZ14" s="133" t="n">
        <f aca="false">IF(OR(CZ$4="",$B14=""),0,SUMIF('DADOS BRUTOS'!$A$3:$A$500,$B14,'DADOS BRUTOS'!Z$3:Z$500)+IF($C14="",0,SUMIF('DADOS BRUTOS'!$A$3:$A$500,$C14,'DADOS BRUTOS'!Z$3:Z$500)))</f>
        <v>187300.46</v>
      </c>
      <c r="DA14" s="133" t="n">
        <f aca="false">IF(OR(DA$4="",$B14=""),0,SUMIF('DADOS BRUTOS'!$A$3:$A$500,$B14,'DADOS BRUTOS'!AA$3:AA$500)+IF($C14="",0,SUMIF('DADOS BRUTOS'!$A$3:$A$500,$C14,'DADOS BRUTOS'!AA$3:AA$500)))</f>
        <v>207035.09</v>
      </c>
      <c r="DB14" s="133" t="n">
        <f aca="false">IF(OR(DB$4="",$B14=""),0,SUMIF('DADOS BRUTOS'!$A$3:$A$500,$B14,'DADOS BRUTOS'!AB$3:AB$500)+IF($C14="",0,SUMIF('DADOS BRUTOS'!$A$3:$A$500,$C14,'DADOS BRUTOS'!AB$3:AB$500)))</f>
        <v>189783.71</v>
      </c>
      <c r="DC14" s="133" t="n">
        <f aca="false">IF(OR(DC$4="",$B14=""),0,SUMIF('DADOS BRUTOS'!$A$3:$A$500,$B14,'DADOS BRUTOS'!AC$3:AC$500)+IF($C14="",0,SUMIF('DADOS BRUTOS'!$A$3:$A$500,$C14,'DADOS BRUTOS'!AC$3:AC$500)))</f>
        <v>215160.73</v>
      </c>
      <c r="DD14" s="133" t="n">
        <f aca="false">IF(OR(DD$4="",$B14=""),0,SUMIF('DADOS BRUTOS'!$A$3:$A$500,$B14,'DADOS BRUTOS'!AD$3:AD$500)+IF($C14="",0,SUMIF('DADOS BRUTOS'!$A$3:$A$500,$C14,'DADOS BRUTOS'!AD$3:AD$500)))</f>
        <v>203548.11</v>
      </c>
      <c r="DE14" s="133" t="n">
        <f aca="false">IF(OR(DE$4="",$B14=""),0,SUMIF('DADOS BRUTOS'!$A$3:$A$500,$B14,'DADOS BRUTOS'!AE$3:AE$500)+IF($C14="",0,SUMIF('DADOS BRUTOS'!$A$3:$A$500,$C14,'DADOS BRUTOS'!AE$3:AE$500)))</f>
        <v>207785.71</v>
      </c>
      <c r="DF14" s="133" t="n">
        <f aca="false">IF(OR(DF$4="",$B14=""),0,SUMIF('DADOS BRUTOS'!$A$3:$A$500,$B14,'DADOS BRUTOS'!AF$3:AF$500)+IF($C14="",0,SUMIF('DADOS BRUTOS'!$A$3:$A$500,$C14,'DADOS BRUTOS'!AF$3:AF$500)))</f>
        <v>205254.17</v>
      </c>
      <c r="DG14" s="133" t="n">
        <f aca="false">IF(OR(DG$4="",$B14=""),0,SUMIF('DADOS BRUTOS'!$A$3:$A$500,$B14,'DADOS BRUTOS'!AG$3:AG$500)+IF($C14="",0,SUMIF('DADOS BRUTOS'!$A$3:$A$500,$C14,'DADOS BRUTOS'!AG$3:AG$500)))</f>
        <v>256382.45</v>
      </c>
      <c r="DH14" s="133" t="n">
        <f aca="false">IF(OR(DH$4="",$B14=""),0,SUMIF('DADOS BRUTOS'!$A$3:$A$500,$B14,'DADOS BRUTOS'!AH$3:AH$500)+IF($C14="",0,SUMIF('DADOS BRUTOS'!$A$3:$A$500,$C14,'DADOS BRUTOS'!AH$3:AH$500)))</f>
        <v>298850.74</v>
      </c>
      <c r="DI14" s="133" t="n">
        <f aca="false">IF(OR(DI$4="",$B14=""),0,SUMIF('DADOS BRUTOS'!$A$3:$A$500,$B14,'DADOS BRUTOS'!AI$3:AI$500)+IF($C14="",0,SUMIF('DADOS BRUTOS'!$A$3:$A$500,$C14,'DADOS BRUTOS'!AI$3:AI$500)))</f>
        <v>257613.12</v>
      </c>
      <c r="DJ14" s="133" t="n">
        <f aca="false">IF(OR(DJ$4="",$B14=""),0,SUMIF('DADOS BRUTOS'!$A$3:$A$500,$B14,'DADOS BRUTOS'!AJ$3:AJ$500)+IF($C14="",0,SUMIF('DADOS BRUTOS'!$A$3:$A$500,$C14,'DADOS BRUTOS'!AJ$3:AJ$500)))</f>
        <v>128856.07</v>
      </c>
      <c r="DK14" s="133" t="n">
        <f aca="false">IF(OR(DK$4="",$B14=""),0,SUMIF('DADOS BRUTOS'!$A$3:$A$500,$B14,'DADOS BRUTOS'!AK$3:AK$500)+IF($C14="",0,SUMIF('DADOS BRUTOS'!$A$3:$A$500,$C14,'DADOS BRUTOS'!AK$3:AK$500)))</f>
        <v>92763.43</v>
      </c>
      <c r="DL14" s="133" t="n">
        <f aca="false">IF(OR(DL$4="",$B14=""),0,SUMIF('DADOS BRUTOS'!$A$3:$A$500,$B14,'DADOS BRUTOS'!AL$3:AL$500)+IF($C14="",0,SUMIF('DADOS BRUTOS'!$A$3:$A$500,$C14,'DADOS BRUTOS'!AL$3:AL$500)))</f>
        <v>92720.76</v>
      </c>
      <c r="DM14" s="133" t="n">
        <f aca="false">IF(OR(DM$4="",$B14=""),0,SUMIF('DADOS BRUTOS'!$A$3:$A$500,$B14,'DADOS BRUTOS'!AM$3:AM$500)+IF($C14="",0,SUMIF('DADOS BRUTOS'!$A$3:$A$500,$C14,'DADOS BRUTOS'!AM$3:AM$500)))</f>
        <v>1930.87</v>
      </c>
      <c r="DN14" s="133" t="n">
        <f aca="false">IF(OR(DN$4="",$B14=""),0,SUMIF('DADOS BRUTOS'!$A$3:$A$500,$B14,'DADOS BRUTOS'!AN$3:AN$500)+IF($C14="",0,SUMIF('DADOS BRUTOS'!$A$3:$A$500,$C14,'DADOS BRUTOS'!AN$3:AN$500)))</f>
        <v>1037.4</v>
      </c>
      <c r="DO14" s="133" t="n">
        <f aca="false">IF(OR(DO$4="",$B14=""),0,SUMIF('DADOS BRUTOS'!$A$3:$A$500,$B14,'DADOS BRUTOS'!AO$3:AO$500)+IF($C14="",0,SUMIF('DADOS BRUTOS'!$A$3:$A$500,$C14,'DADOS BRUTOS'!AO$3:AO$500)))</f>
        <v>4340.17</v>
      </c>
      <c r="DP14" s="133" t="n">
        <f aca="false">IF(OR(DP$4="",$B14=""),0,SUMIF('DADOS BRUTOS'!$A$3:$A$500,$B14,'DADOS BRUTOS'!AP$3:AP$500)+IF($C14="",0,SUMIF('DADOS BRUTOS'!$A$3:$A$500,$C14,'DADOS BRUTOS'!AP$3:AP$500)))</f>
        <v>0</v>
      </c>
      <c r="DQ14" s="133" t="n">
        <f aca="false">IF(OR(DQ$4="",$B14=""),0,SUMIF('DADOS BRUTOS'!$A$3:$A$500,$B14,'DADOS BRUTOS'!AQ$3:AQ$500)+IF($C14="",0,SUMIF('DADOS BRUTOS'!$A$3:$A$500,$C14,'DADOS BRUTOS'!AQ$3:AQ$500)))</f>
        <v>0</v>
      </c>
      <c r="DR14" s="133" t="n">
        <f aca="false">IF(OR(DR$4="",$B14=""),0,SUMIF('DADOS BRUTOS'!$A$3:$A$500,$B14,'DADOS BRUTOS'!AR$3:AR$500)+IF($C14="",0,SUMIF('DADOS BRUTOS'!$A$3:$A$500,$C14,'DADOS BRUTOS'!AR$3:AR$500)))</f>
        <v>0</v>
      </c>
      <c r="DS14" s="133" t="n">
        <f aca="false">IF(OR(DS$4="",$B14=""),0,SUMIF('DADOS BRUTOS'!$A$3:$A$500,$B14,'DADOS BRUTOS'!AS$3:AS$500)+IF($C14="",0,SUMIF('DADOS BRUTOS'!$A$3:$A$500,$C14,'DADOS BRUTOS'!AS$3:AS$500)))</f>
        <v>0</v>
      </c>
      <c r="DT14" s="133" t="n">
        <f aca="false">IF(OR(DT$4="",$B14=""),0,SUMIF('DADOS BRUTOS'!$A$3:$A$500,$B14,'DADOS BRUTOS'!AT$3:AT$500)+IF($C14="",0,SUMIF('DADOS BRUTOS'!$A$3:$A$500,$C14,'DADOS BRUTOS'!AT$3:AT$500)))</f>
        <v>0</v>
      </c>
      <c r="DU14" s="133" t="n">
        <f aca="false">IF(OR(DU$4="",$B14=""),0,SUMIF('DADOS BRUTOS'!$A$3:$A$500,$B14,'DADOS BRUTOS'!AU$3:AU$500)+IF($C14="",0,SUMIF('DADOS BRUTOS'!$A$3:$A$500,$C14,'DADOS BRUTOS'!AU$3:AU$500)))</f>
        <v>0</v>
      </c>
      <c r="DV14" s="133" t="n">
        <f aca="false">IF(OR(DV$4="",$B14=""),0,SUMIF('DADOS BRUTOS'!$A$3:$A$500,$B14,'DADOS BRUTOS'!AV$3:AV$500)+IF($C14="",0,SUMIF('DADOS BRUTOS'!$A$3:$A$500,$C14,'DADOS BRUTOS'!AV$3:AV$500)))</f>
        <v>863.52</v>
      </c>
      <c r="DW14" s="133" t="n">
        <f aca="false">IF(OR(DW$4="",$B14=""),0,SUMIF('DADOS BRUTOS'!$A$3:$A$500,$B14,'DADOS BRUTOS'!AW$3:AW$500)+IF($C14="",0,SUMIF('DADOS BRUTOS'!$A$3:$A$500,$C14,'DADOS BRUTOS'!AW$3:AW$500)))</f>
        <v>0</v>
      </c>
      <c r="DX14" s="133" t="n">
        <f aca="false">IF(OR(DX$4="",$B14=""),0,SUMIF('DADOS BRUTOS'!$A$3:$A$500,$B14,'DADOS BRUTOS'!AX$3:AX$500)+IF($C14="",0,SUMIF('DADOS BRUTOS'!$A$3:$A$500,$C14,'DADOS BRUTOS'!AX$3:AX$500)))</f>
        <v>8451.69</v>
      </c>
      <c r="DY14" s="133" t="n">
        <f aca="false">IF(OR(DY$4="",$B14=""),0,SUMIF('DADOS BRUTOS'!$A$3:$A$500,$B14,'DADOS BRUTOS'!AY$3:AY$500)+IF($C14="",0,SUMIF('DADOS BRUTOS'!$A$3:$A$500,$C14,'DADOS BRUTOS'!AY$3:AY$500)))</f>
        <v>0</v>
      </c>
      <c r="DZ14" s="133" t="n">
        <f aca="false">IF(OR(DZ$4="",$B14=""),0,SUMIF('DADOS BRUTOS'!$A$3:$A$500,$B14,'DADOS BRUTOS'!AZ$3:AZ$500)+IF($C14="",0,SUMIF('DADOS BRUTOS'!$A$3:$A$500,$C14,'DADOS BRUTOS'!AZ$3:AZ$500)))</f>
        <v>0</v>
      </c>
      <c r="EA14" s="133" t="n">
        <f aca="false">IF(OR(EA$4="",$B14=""),0,SUMIF('DADOS BRUTOS'!$A$3:$A$500,$B14,'DADOS BRUTOS'!BA$3:BA$500)+IF($C14="",0,SUMIF('DADOS BRUTOS'!$A$3:$A$500,$C14,'DADOS BRUTOS'!BA$3:BA$500)))</f>
        <v>0</v>
      </c>
      <c r="EB14" s="133" t="n">
        <f aca="false">IF(OR(EB$4="",$B14=""),0,SUMIF('DADOS BRUTOS'!$A$3:$A$500,$B14,'DADOS BRUTOS'!BB$3:BB$500)+IF($C14="",0,SUMIF('DADOS BRUTOS'!$A$3:$A$500,$C14,'DADOS BRUTOS'!BB$3:BB$500)))</f>
        <v>0</v>
      </c>
      <c r="EC14" s="133" t="n">
        <f aca="false">IF(OR(EC$4="",$B14=""),0,SUMIF('DADOS BRUTOS'!$A$3:$A$500,$B14,'DADOS BRUTOS'!BC$3:BC$500)+IF($C14="",0,SUMIF('DADOS BRUTOS'!$A$3:$A$500,$C14,'DADOS BRUTOS'!BC$3:BC$500)))</f>
        <v>0</v>
      </c>
      <c r="ED14" s="133" t="n">
        <f aca="false">IF(OR(ED$4="",$B14=""),0,SUMIF('DADOS BRUTOS'!$A$3:$A$500,$B14,'DADOS BRUTOS'!BD$3:BD$500)+IF($C14="",0,SUMIF('DADOS BRUTOS'!$A$3:$A$500,$C14,'DADOS BRUTOS'!BD$3:BD$500)))</f>
        <v>0</v>
      </c>
      <c r="EE14" s="133" t="n">
        <f aca="false">IF(OR(EE$4="",$B14=""),0,SUMIF('DADOS BRUTOS'!$A$3:$A$500,$B14,'DADOS BRUTOS'!BE$3:BE$500)+IF($C14="",0,SUMIF('DADOS BRUTOS'!$A$3:$A$500,$C14,'DADOS BRUTOS'!BE$3:BE$500)))</f>
        <v>0</v>
      </c>
      <c r="EF14" s="133" t="n">
        <f aca="false">IF(OR(EF$4="",$B14=""),0,SUMIF('DADOS BRUTOS'!$A$3:$A$500,$B14,'DADOS BRUTOS'!BF$3:BF$500)+IF($C14="",0,SUMIF('DADOS BRUTOS'!$A$3:$A$500,$C14,'DADOS BRUTOS'!BF$3:BF$500)))</f>
        <v>0</v>
      </c>
      <c r="EG14" s="133" t="n">
        <f aca="false">IF(OR(EG$4="",$B14=""),0,SUMIF('DADOS BRUTOS'!$A$3:$A$500,$B14,'DADOS BRUTOS'!BG$3:BG$500)+IF($C14="",0,SUMIF('DADOS BRUTOS'!$A$3:$A$500,$C14,'DADOS BRUTOS'!BG$3:BG$500)))</f>
        <v>0</v>
      </c>
      <c r="EH14" s="133" t="n">
        <f aca="false">IF(OR(EH$4="",$B14=""),0,SUMIF('DADOS BRUTOS'!$A$3:$A$500,$B14,'DADOS BRUTOS'!BH$3:BH$500)+IF($C14="",0,SUMIF('DADOS BRUTOS'!$A$3:$A$500,$C14,'DADOS BRUTOS'!BH$3:BH$500)))</f>
        <v>0</v>
      </c>
      <c r="EI14" s="133" t="n">
        <f aca="false">IF(OR(EI$4="",$B14=""),0,SUMIF('DADOS BRUTOS'!$A$3:$A$500,$B14,'DADOS BRUTOS'!BI$3:BI$500)+IF($C14="",0,SUMIF('DADOS BRUTOS'!$A$3:$A$500,$C14,'DADOS BRUTOS'!BI$3:BI$500)))</f>
        <v>0</v>
      </c>
      <c r="EJ14" s="133" t="n">
        <f aca="false">IF(OR(EJ$4="",$B14=""),0,SUMIF('DADOS BRUTOS'!$A$3:$A$500,$B14,'DADOS BRUTOS'!BJ$3:BJ$500)+IF($C14="",0,SUMIF('DADOS BRUTOS'!$A$3:$A$500,$C14,'DADOS BRUTOS'!BJ$3:BJ$500)))</f>
        <v>0</v>
      </c>
      <c r="EK14" s="133" t="n">
        <f aca="false">IF(OR(EK$4="",$B14=""),0,SUMIF('DADOS BRUTOS'!$A$3:$A$500,$B14,'DADOS BRUTOS'!BK$3:BK$500)+IF($C14="",0,SUMIF('DADOS BRUTOS'!$A$3:$A$500,$C14,'DADOS BRUTOS'!BK$3:BK$500)))</f>
        <v>0</v>
      </c>
      <c r="EL14" s="133" t="n">
        <f aca="false">IF(OR(EL$4="",$B14=""),0,SUMIF('DADOS BRUTOS'!$A$3:$A$500,$B14,'DADOS BRUTOS'!BL$3:BL$500)+IF($C14="",0,SUMIF('DADOS BRUTOS'!$A$3:$A$500,$C14,'DADOS BRUTOS'!BL$3:BL$500)))</f>
        <v>0</v>
      </c>
      <c r="EM14" s="133" t="n">
        <f aca="false">IF(OR(EM$4="",$B14=""),0,SUMIF('DADOS BRUTOS'!$A$3:$A$500,$B14,'DADOS BRUTOS'!BM$3:BM$500)+IF($C14="",0,SUMIF('DADOS BRUTOS'!$A$3:$A$500,$C14,'DADOS BRUTOS'!BM$3:BM$500)))</f>
        <v>0</v>
      </c>
      <c r="EN14" s="133" t="n">
        <f aca="false">IF(OR(EN$4="",$B14=""),0,SUMIF('DADOS BRUTOS'!$A$3:$A$500,$B14,'DADOS BRUTOS'!BN$3:BN$500)+IF($C14="",0,SUMIF('DADOS BRUTOS'!$A$3:$A$500,$C14,'DADOS BRUTOS'!BN$3:BN$500)))</f>
        <v>0</v>
      </c>
      <c r="EO14" s="133" t="n">
        <f aca="false">IF(OR(EO$4="",$B14=""),0,SUMIF('DADOS BRUTOS'!$A$3:$A$500,$B14,'DADOS BRUTOS'!BO$3:BO$500)+IF($C14="",0,SUMIF('DADOS BRUTOS'!$A$3:$A$500,$C14,'DADOS BRUTOS'!BO$3:BO$500)))</f>
        <v>0</v>
      </c>
      <c r="EP14" s="133" t="n">
        <f aca="false">IF(OR(EP$4="",$B14=""),0,SUMIF('DADOS BRUTOS'!$A$3:$A$500,$B14,'DADOS BRUTOS'!BP$3:BP$500)+IF($C14="",0,SUMIF('DADOS BRUTOS'!$A$3:$A$500,$C14,'DADOS BRUTOS'!BP$3:BP$500)))</f>
        <v>0</v>
      </c>
      <c r="EQ14" s="133" t="n">
        <f aca="false">IF(OR(EQ$4="",$B14=""),0,SUMIF('DADOS BRUTOS'!$A$3:$A$500,$B14,'DADOS BRUTOS'!BQ$3:BQ$500)+IF($C14="",0,SUMIF('DADOS BRUTOS'!$A$3:$A$500,$C14,'DADOS BRUTOS'!BQ$3:BQ$500)))</f>
        <v>0</v>
      </c>
      <c r="ER14" s="133" t="n">
        <f aca="false">IF(OR(ER$4="",$B14=""),0,SUMIF('DADOS BRUTOS'!$A$3:$A$500,$B14,'DADOS BRUTOS'!BR$3:BR$500)+IF($C14="",0,SUMIF('DADOS BRUTOS'!$A$3:$A$500,$C14,'DADOS BRUTOS'!BR$3:BR$500)))</f>
        <v>0</v>
      </c>
      <c r="ES14" s="133" t="n">
        <f aca="false">IF(OR(ES$4="",$B14=""),0,SUMIF('DADOS BRUTOS'!$A$3:$A$500,$B14,'DADOS BRUTOS'!BS$3:BS$500)+IF($C14="",0,SUMIF('DADOS BRUTOS'!$A$3:$A$500,$C14,'DADOS BRUTOS'!BS$3:BS$500)))</f>
        <v>0</v>
      </c>
      <c r="ET14" s="133" t="n">
        <f aca="false">IF(OR(ET$4="",$B14=""),0,SUMIF('DADOS BRUTOS'!$A$3:$A$500,$B14,'DADOS BRUTOS'!BT$3:BT$500)+IF($C14="",0,SUMIF('DADOS BRUTOS'!$A$3:$A$500,$C14,'DADOS BRUTOS'!BT$3:BT$500)))</f>
        <v>0</v>
      </c>
      <c r="EU14" s="133" t="n">
        <f aca="false">IF(OR(EU$4="",$B14=""),0,SUMIF('DADOS BRUTOS'!$A$3:$A$500,$B14,'DADOS BRUTOS'!BU$3:BU$500)+IF($C14="",0,SUMIF('DADOS BRUTOS'!$A$3:$A$500,$C14,'DADOS BRUTOS'!BU$3:BU$500)))</f>
        <v>0</v>
      </c>
      <c r="EV14" s="133" t="n">
        <f aca="false">IF(OR(EV$4="",$B14=""),0,SUMIF('DADOS BRUTOS'!$A$3:$A$500,$B14,'DADOS BRUTOS'!BV$3:BV$500)+IF($C14="",0,SUMIF('DADOS BRUTOS'!$A$3:$A$500,$C14,'DADOS BRUTOS'!BV$3:BV$500)))</f>
        <v>0</v>
      </c>
      <c r="EW14" s="133" t="n">
        <f aca="false">IF(OR(EW$4="",$B14=""),0,SUMIF('DADOS BRUTOS'!$A$3:$A$500,$B14,'DADOS BRUTOS'!BW$3:BW$500)+IF($C14="",0,SUMIF('DADOS BRUTOS'!$A$3:$A$500,$C14,'DADOS BRUTOS'!BW$3:BW$500)))</f>
        <v>0</v>
      </c>
      <c r="EX14" s="133" t="n">
        <f aca="false">IF(OR(EX$4="",$B14=""),0,SUMIF('DADOS BRUTOS'!$A$3:$A$500,$B14,'DADOS BRUTOS'!BX$3:BX$500)+IF($C14="",0,SUMIF('DADOS BRUTOS'!$A$3:$A$500,$C14,'DADOS BRUTOS'!BX$3:BX$500)))</f>
        <v>0</v>
      </c>
      <c r="EY14" s="133" t="n">
        <f aca="false">IF(OR(EY$4="",$B14=""),0,SUMIF('DADOS BRUTOS'!$A$3:$A$500,$B14,'DADOS BRUTOS'!BY$3:BY$500)+IF($C14="",0,SUMIF('DADOS BRUTOS'!$A$3:$A$500,$C14,'DADOS BRUTOS'!BY$3:BY$500)))</f>
        <v>0</v>
      </c>
      <c r="EZ14" s="133" t="n">
        <f aca="false">IF(OR(EZ$4="",$B14=""),0,SUMIF('DADOS BRUTOS'!$A$3:$A$500,$B14,'DADOS BRUTOS'!BZ$3:BZ$500)+IF($C14="",0,SUMIF('DADOS BRUTOS'!$A$3:$A$500,$C14,'DADOS BRUTOS'!BZ$3:BZ$500)))</f>
        <v>0</v>
      </c>
      <c r="FA14" s="133" t="n">
        <f aca="false">IF(OR(FA$4="",$B14=""),0,SUMIF('DADOS BRUTOS'!$A$3:$A$500,$B14,'DADOS BRUTOS'!CA$3:CA$500)+IF($C14="",0,SUMIF('DADOS BRUTOS'!$A$3:$A$500,$C14,'DADOS BRUTOS'!CA$3:CA$500)))</f>
        <v>0</v>
      </c>
      <c r="FB14" s="133" t="n">
        <f aca="false">IF(OR(FB$4="",$B14=""),0,SUMIF('DADOS BRUTOS'!$A$3:$A$500,$B14,'DADOS BRUTOS'!CB$3:CB$500)+IF($C14="",0,SUMIF('DADOS BRUTOS'!$A$3:$A$500,$C14,'DADOS BRUTOS'!CB$3:CB$500)))</f>
        <v>0</v>
      </c>
      <c r="FC14" s="133" t="n">
        <f aca="false">IF(OR(FC$4="",$B14=""),0,SUMIF('DADOS BRUTOS'!$A$3:$A$500,$B14,'DADOS BRUTOS'!CC$3:CC$500)+IF($C14="",0,SUMIF('DADOS BRUTOS'!$A$3:$A$500,$C14,'DADOS BRUTOS'!CC$3:CC$500)))</f>
        <v>0</v>
      </c>
      <c r="FD14" s="133" t="n">
        <f aca="false">IF(OR(FD$4="",$B14=""),0,SUMIF('DADOS BRUTOS'!$A$3:$A$500,$B14,'DADOS BRUTOS'!CD$3:CD$500)+IF($C14="",0,SUMIF('DADOS BRUTOS'!$A$3:$A$500,$C14,'DADOS BRUTOS'!CD$3:CD$500)))</f>
        <v>0</v>
      </c>
      <c r="FE14" s="133" t="n">
        <f aca="false">IF(OR(FE$4="",$B14=""),0,SUMIF('DADOS BRUTOS'!$A$3:$A$500,$B14,'DADOS BRUTOS'!CE$3:CE$500)+IF($C14="",0,SUMIF('DADOS BRUTOS'!$A$3:$A$500,$C14,'DADOS BRUTOS'!CE$3:CE$500)))</f>
        <v>0</v>
      </c>
      <c r="FF14" s="133" t="n">
        <f aca="false">IF(OR(FF$4="",$B14=""),0,SUMIF('DADOS BRUTOS'!$A$3:$A$500,$B14,'DADOS BRUTOS'!CF$3:CF$500)+IF($C14="",0,SUMIF('DADOS BRUTOS'!$A$3:$A$500,$C14,'DADOS BRUTOS'!CF$3:CF$500)))</f>
        <v>0</v>
      </c>
      <c r="FG14" s="133" t="n">
        <f aca="false">IF(OR(FG$4="",$B14=""),0,SUMIF('DADOS BRUTOS'!$A$3:$A$500,$B14,'DADOS BRUTOS'!CG$3:CG$500)+IF($C14="",0,SUMIF('DADOS BRUTOS'!$A$3:$A$500,$C14,'DADOS BRUTOS'!CG$3:CG$500)))</f>
        <v>0</v>
      </c>
      <c r="FH14" s="133" t="n">
        <f aca="false">IF(OR(FH$4="",$B14=""),0,SUMIF('DADOS BRUTOS'!$A$3:$A$500,$B14,'DADOS BRUTOS'!CH$3:CH$500)+IF($C14="",0,SUMIF('DADOS BRUTOS'!$A$3:$A$500,$C14,'DADOS BRUTOS'!CH$3:CH$500)))</f>
        <v>0</v>
      </c>
      <c r="FI14" s="133" t="n">
        <f aca="false">IF(OR(FI$4="",$B14=""),0,SUMIF('DADOS BRUTOS'!$A$3:$A$500,$B14,'DADOS BRUTOS'!CI$3:CI$500)+IF($C14="",0,SUMIF('DADOS BRUTOS'!$A$3:$A$500,$C14,'DADOS BRUTOS'!CI$3:CI$500)))</f>
        <v>0</v>
      </c>
      <c r="FJ14" s="133" t="n">
        <f aca="false">IF(OR(FJ$4="",$B14=""),0,SUMIF('DADOS BRUTOS'!$A$3:$A$500,$B14,'DADOS BRUTOS'!CJ$3:CJ$500)+IF($C14="",0,SUMIF('DADOS BRUTOS'!$A$3:$A$500,$C14,'DADOS BRUTOS'!CJ$3:CJ$500)))</f>
        <v>0</v>
      </c>
      <c r="FK14" s="133" t="n">
        <f aca="false">IF(OR(FK$4="",$B14=""),0,SUMIF('DADOS BRUTOS'!$A$3:$A$500,$B14,'DADOS BRUTOS'!CK$3:CK$500)+IF($C14="",0,SUMIF('DADOS BRUTOS'!$A$3:$A$500,$C14,'DADOS BRUTOS'!CK$3:CK$500)))</f>
        <v>0</v>
      </c>
      <c r="FL14" s="133" t="n">
        <f aca="false">IF(OR(FL$4="",$B14=""),0,SUMIF('DADOS BRUTOS'!$A$3:$A$500,$B14,'DADOS BRUTOS'!CL$3:CL$500)+IF($C14="",0,SUMIF('DADOS BRUTOS'!$A$3:$A$500,$C14,'DADOS BRUTOS'!CL$3:CL$500)))</f>
        <v>0</v>
      </c>
      <c r="FM14" s="133" t="n">
        <f aca="false">IF(OR(FM$4="",$B14=""),0,SUMIF('DADOS BRUTOS'!$A$3:$A$500,$B14,'DADOS BRUTOS'!CM$3:CM$500)+IF($C14="",0,SUMIF('DADOS BRUTOS'!$A$3:$A$500,$C14,'DADOS BRUTOS'!CM$3:CM$500)))</f>
        <v>0</v>
      </c>
      <c r="FN14" s="133" t="n">
        <f aca="false">IF(OR(FN$4="",$B14=""),0,SUMIF('DADOS BRUTOS'!$A$3:$A$500,$B14,'DADOS BRUTOS'!CN$3:CN$500)+IF($C14="",0,SUMIF('DADOS BRUTOS'!$A$3:$A$500,$C14,'DADOS BRUTOS'!CN$3:CN$500)))</f>
        <v>0</v>
      </c>
      <c r="FO14" s="133" t="n">
        <f aca="false">IF(OR(FO$4="",$B14=""),0,SUMIF('DADOS BRUTOS'!$A$3:$A$500,$B14,'DADOS BRUTOS'!CO$3:CO$500)+IF($C14="",0,SUMIF('DADOS BRUTOS'!$A$3:$A$500,$C14,'DADOS BRUTOS'!CO$3:CO$500)))</f>
        <v>0</v>
      </c>
      <c r="FP14" s="133" t="n">
        <f aca="false">IF(OR(FP$4="",$B14=""),0,SUMIF('DADOS BRUTOS'!$A$3:$A$500,$B14,'DADOS BRUTOS'!CP$3:CP$500)+IF($C14="",0,SUMIF('DADOS BRUTOS'!$A$3:$A$500,$C14,'DADOS BRUTOS'!CP$3:CP$500)))</f>
        <v>0</v>
      </c>
      <c r="FQ14" s="133" t="n">
        <f aca="false">IF(OR(FQ$4="",$B14=""),0,SUMIF('DADOS BRUTOS'!$A$3:$A$500,$B14,'DADOS BRUTOS'!CQ$3:CQ$500)+IF($C14="",0,SUMIF('DADOS BRUTOS'!$A$3:$A$500,$C14,'DADOS BRUTOS'!CQ$3:CQ$500)))</f>
        <v>0</v>
      </c>
      <c r="FR14" s="133" t="n">
        <f aca="false">IF(OR(FR$4="",$B14=""),0,SUMIF('DADOS BRUTOS'!$A$3:$A$500,$B14,'DADOS BRUTOS'!CR$3:CR$500)+IF($C14="",0,SUMIF('DADOS BRUTOS'!$A$3:$A$500,$C14,'DADOS BRUTOS'!CR$3:CR$500)))</f>
        <v>0</v>
      </c>
      <c r="FS14" s="133" t="n">
        <f aca="false">IF(OR(FS$4="",$B14=""),0,SUMIF('DADOS BRUTOS'!$A$3:$A$500,$B14,'DADOS BRUTOS'!CS$3:CS$500)+IF($C14="",0,SUMIF('DADOS BRUTOS'!$A$3:$A$500,$C14,'DADOS BRUTOS'!CS$3:CS$500)))</f>
        <v>0</v>
      </c>
      <c r="FT14" s="133" t="n">
        <f aca="false">IF(OR(FT$4="",$B14=""),0,SUMIF('DADOS BRUTOS'!$A$3:$A$500,$B14,'DADOS BRUTOS'!CT$3:CT$500)+IF($C14="",0,SUMIF('DADOS BRUTOS'!$A$3:$A$500,$C14,'DADOS BRUTOS'!CT$3:CT$500)))</f>
        <v>0</v>
      </c>
      <c r="FU14" s="133" t="n">
        <f aca="false">IF(OR(FU$4="",$B14=""),0,SUMIF('DADOS BRUTOS'!$A$3:$A$500,$B14,'DADOS BRUTOS'!CU$3:CU$500)+IF($C14="",0,SUMIF('DADOS BRUTOS'!$A$3:$A$500,$C14,'DADOS BRUTOS'!CU$3:CU$500)))</f>
        <v>0</v>
      </c>
      <c r="FV14" s="133" t="n">
        <f aca="false">IF(OR(FV$4="",$B14=""),0,SUMIF('DADOS BRUTOS'!$A$3:$A$500,$B14,'DADOS BRUTOS'!CV$3:CV$500)+IF($C14="",0,SUMIF('DADOS BRUTOS'!$A$3:$A$500,$C14,'DADOS BRUTOS'!CV$3:CV$500)))</f>
        <v>0</v>
      </c>
      <c r="FW14" s="133" t="n">
        <f aca="false">IF(OR(FW$4="",$B14=""),0,SUMIF('DADOS BRUTOS'!$A$3:$A$500,$B14,'DADOS BRUTOS'!CW$3:CW$500)+IF($C14="",0,SUMIF('DADOS BRUTOS'!$A$3:$A$500,$C14,'DADOS BRUTOS'!CW$3:CW$500)))</f>
        <v>0</v>
      </c>
      <c r="FX14" s="133" t="n">
        <f aca="false">IF(OR(FX$4="",$B14=""),0,SUMIF('DADOS BRUTOS'!$A$3:$A$500,$B14,'DADOS BRUTOS'!CX$3:CX$500)+IF($C14="",0,SUMIF('DADOS BRUTOS'!$A$3:$A$500,$C14,'DADOS BRUTOS'!CX$3:CX$500)))</f>
        <v>0</v>
      </c>
      <c r="FY14" s="133" t="n">
        <f aca="false">IF(OR(FY$4="",$B14=""),0,SUMIF('DADOS BRUTOS'!$A$3:$A$500,$B14,'DADOS BRUTOS'!CY$3:CY$500)+IF($C14="",0,SUMIF('DADOS BRUTOS'!$A$3:$A$500,$C14,'DADOS BRUTOS'!CY$3:CY$500)))</f>
        <v>0</v>
      </c>
      <c r="FZ14" s="133" t="n">
        <f aca="false">IF(OR(FZ$4="",$B14=""),0,SUMIF('DADOS BRUTOS'!$A$3:$A$500,$B14,'DADOS BRUTOS'!CZ$3:CZ$500)+IF($C14="",0,SUMIF('DADOS BRUTOS'!$A$3:$A$500,$C14,'DADOS BRUTOS'!CZ$3:CZ$500)))</f>
        <v>0</v>
      </c>
      <c r="GA14" s="133" t="n">
        <f aca="false">IF(OR(GA$4="",$B14=""),0,SUMIF('DADOS BRUTOS'!$A$3:$A$500,$B14,'DADOS BRUTOS'!DA$3:DA$500)+IF($C14="",0,SUMIF('DADOS BRUTOS'!$A$3:$A$500,$C14,'DADOS BRUTOS'!DA$3:DA$500)))</f>
        <v>0</v>
      </c>
      <c r="GB14" s="133" t="n">
        <f aca="false">IF(OR(GB$4="",$B14=""),0,SUMIF('DADOS BRUTOS'!$A$3:$A$500,$B14,'DADOS BRUTOS'!DB$3:DB$500)+IF($C14="",0,SUMIF('DADOS BRUTOS'!$A$3:$A$500,$C14,'DADOS BRUTOS'!DB$3:DB$500)))</f>
        <v>0</v>
      </c>
      <c r="GC14" s="133" t="n">
        <f aca="false">IF(OR(GC$4="",$B14=""),0,SUMIF('DADOS BRUTOS'!$A$3:$A$500,$B14,'DADOS BRUTOS'!DC$3:DC$500)+IF($C14="",0,SUMIF('DADOS BRUTOS'!$A$3:$A$500,$C14,'DADOS BRUTOS'!DC$3:DC$500)))</f>
        <v>0</v>
      </c>
      <c r="GD14" s="133" t="n">
        <f aca="false">IF(OR(GD$4="",$B14=""),0,SUMIF('DADOS BRUTOS'!$A$3:$A$500,$B14,'DADOS BRUTOS'!DD$3:DD$500)+IF($C14="",0,SUMIF('DADOS BRUTOS'!$A$3:$A$500,$C14,'DADOS BRUTOS'!DD$3:DD$500)))</f>
        <v>0</v>
      </c>
      <c r="GE14" s="133" t="n">
        <f aca="false">IF(OR(GE$4="",$B14=""),0,SUMIF('DADOS BRUTOS'!$A$3:$A$500,$B14,'DADOS BRUTOS'!DE$3:DE$500)+IF($C14="",0,SUMIF('DADOS BRUTOS'!$A$3:$A$500,$C14,'DADOS BRUTOS'!DE$3:DE$500)))</f>
        <v>0</v>
      </c>
      <c r="GF14" s="133" t="n">
        <f aca="false">IF(OR(GF$4="",$B14=""),0,SUMIF('DADOS BRUTOS'!$A$3:$A$500,$B14,'DADOS BRUTOS'!DF$3:DF$500)+IF($C14="",0,SUMIF('DADOS BRUTOS'!$A$3:$A$500,$C14,'DADOS BRUTOS'!DF$3:DF$500)))</f>
        <v>0</v>
      </c>
      <c r="GG14" s="133" t="n">
        <f aca="false">IF(OR(GG$4="",$B14=""),0,SUMIF('DADOS BRUTOS'!$A$3:$A$500,$B14,'DADOS BRUTOS'!DG$3:DG$500)+IF($C14="",0,SUMIF('DADOS BRUTOS'!$A$3:$A$500,$C14,'DADOS BRUTOS'!DG$3:DG$500)))</f>
        <v>0</v>
      </c>
      <c r="GH14" s="133" t="n">
        <f aca="false">IF(OR(GH$4="",$B14=""),0,SUMIF('DADOS BRUTOS'!$A$3:$A$500,$B14,'DADOS BRUTOS'!DH$3:DH$500)+IF($C14="",0,SUMIF('DADOS BRUTOS'!$A$3:$A$500,$C14,'DADOS BRUTOS'!DH$3:DH$500)))</f>
        <v>0</v>
      </c>
      <c r="GI14" s="133" t="n">
        <f aca="false">IF(OR(GI$4="",$B14=""),0,SUMIF('DADOS BRUTOS'!$A$3:$A$500,$B14,'DADOS BRUTOS'!DI$3:DI$500)+IF($C14="",0,SUMIF('DADOS BRUTOS'!$A$3:$A$500,$C14,'DADOS BRUTOS'!DI$3:DI$500)))</f>
        <v>0</v>
      </c>
      <c r="GJ14" s="133" t="n">
        <f aca="false">IF(OR(GJ$4="",$B14=""),0,SUMIF('DADOS BRUTOS'!$A$3:$A$500,$B14,'DADOS BRUTOS'!DJ$3:DJ$500)+IF($C14="",0,SUMIF('DADOS BRUTOS'!$A$3:$A$500,$C14,'DADOS BRUTOS'!DJ$3:DJ$500)))</f>
        <v>0</v>
      </c>
      <c r="GK14" s="133" t="n">
        <f aca="false">IF(OR(GK$4="",$B14=""),0,SUMIF('DADOS BRUTOS'!$A$3:$A$500,$B14,'DADOS BRUTOS'!DK$3:DK$500)+IF($C14="",0,SUMIF('DADOS BRUTOS'!$A$3:$A$500,$C14,'DADOS BRUTOS'!DK$3:DK$500)))</f>
        <v>0</v>
      </c>
      <c r="GL14" s="133" t="n">
        <f aca="false">IF(OR(GL$4="",$B14=""),0,SUMIF('DADOS BRUTOS'!$A$3:$A$500,$B14,'DADOS BRUTOS'!DL$3:DL$500)+IF($C14="",0,SUMIF('DADOS BRUTOS'!$A$3:$A$500,$C14,'DADOS BRUTOS'!DL$3:DL$500)))</f>
        <v>0</v>
      </c>
      <c r="GM14" s="133" t="n">
        <f aca="false">IF(OR(GM$4="",$B14=""),0,SUMIF('DADOS BRUTOS'!$A$3:$A$500,$B14,'DADOS BRUTOS'!DM$3:DM$500)+IF($C14="",0,SUMIF('DADOS BRUTOS'!$A$3:$A$500,$C14,'DADOS BRUTOS'!DM$3:DM$500)))</f>
        <v>0</v>
      </c>
      <c r="GN14" s="133" t="n">
        <f aca="false">IF(OR(GN$4="",$B14=""),0,SUMIF('DADOS BRUTOS'!$A$3:$A$500,$B14,'DADOS BRUTOS'!DN$3:DN$500)+IF($C14="",0,SUMIF('DADOS BRUTOS'!$A$3:$A$500,$C14,'DADOS BRUTOS'!DN$3:DN$500)))</f>
        <v>0</v>
      </c>
      <c r="GO14" s="133" t="n">
        <f aca="false">IF(OR(GO$4="",$B14=""),0,SUMIF('DADOS BRUTOS'!$A$3:$A$500,$B14,'DADOS BRUTOS'!DO$3:DO$500)+IF($C14="",0,SUMIF('DADOS BRUTOS'!$A$3:$A$500,$C14,'DADOS BRUTOS'!DO$3:DO$500)))</f>
        <v>0</v>
      </c>
      <c r="GP14" s="133" t="n">
        <f aca="false">IF(OR(GP$4="",$B14=""),0,SUMIF('DADOS BRUTOS'!$A$3:$A$500,$B14,'DADOS BRUTOS'!DP$3:DP$500)+IF($C14="",0,SUMIF('DADOS BRUTOS'!$A$3:$A$500,$C14,'DADOS BRUTOS'!DP$3:DP$500)))</f>
        <v>0</v>
      </c>
      <c r="GQ14" s="133" t="n">
        <f aca="false">IF(OR(GQ$4="",$B14=""),0,SUMIF('DADOS BRUTOS'!$A$3:$A$500,$B14,'DADOS BRUTOS'!DQ$3:DQ$500)+IF($C14="",0,SUMIF('DADOS BRUTOS'!$A$3:$A$500,$C14,'DADOS BRUTOS'!DQ$3:DQ$500)))</f>
        <v>0</v>
      </c>
      <c r="GR14" s="133" t="n">
        <f aca="false">IF(OR(GR$4="",$B14=""),0,SUMIF('DADOS BRUTOS'!$A$3:$A$500,$B14,'DADOS BRUTOS'!DR$3:DR$500)+IF($C14="",0,SUMIF('DADOS BRUTOS'!$A$3:$A$500,$C14,'DADOS BRUTOS'!DR$3:DR$500)))</f>
        <v>0</v>
      </c>
      <c r="GS14" s="133" t="n">
        <f aca="false">IF(OR(GS$4="",$B14=""),0,SUMIF('DADOS BRUTOS'!$A$3:$A$500,$B14,'DADOS BRUTOS'!DS$3:DS$500)+IF($C14="",0,SUMIF('DADOS BRUTOS'!$A$3:$A$500,$C14,'DADOS BRUTOS'!DS$3:DS$500)))</f>
        <v>0</v>
      </c>
      <c r="GT14" s="133" t="n">
        <f aca="false">IF(OR(GT$4="",$B14=""),0,SUMIF('DADOS BRUTOS'!$A$3:$A$500,$B14,'DADOS BRUTOS'!DT$3:DT$500)+IF($C14="",0,SUMIF('DADOS BRUTOS'!$A$3:$A$500,$C14,'DADOS BRUTOS'!DT$3:DT$500)))</f>
        <v>0</v>
      </c>
      <c r="GU14" s="133" t="n">
        <f aca="false">IF(OR(GU$4="",$B14=""),0,SUMIF('DADOS BRUTOS'!$A$3:$A$500,$B14,'DADOS BRUTOS'!DU$3:DU$500)+IF($C14="",0,SUMIF('DADOS BRUTOS'!$A$3:$A$500,$C14,'DADOS BRUTOS'!DU$3:DU$500)))</f>
        <v>0</v>
      </c>
      <c r="GV14" s="133" t="n">
        <f aca="false">IF(OR(GV$4="",$B14=""),0,SUMIF('DADOS BRUTOS'!$A$3:$A$500,$B14,'DADOS BRUTOS'!DV$3:DV$500)+IF($C14="",0,SUMIF('DADOS BRUTOS'!$A$3:$A$500,$C14,'DADOS BRUTOS'!DV$3:DV$500)))</f>
        <v>0</v>
      </c>
      <c r="GW14" s="133" t="n">
        <f aca="false">IF(OR(GW$4="",$B14=""),0,SUMIF('DADOS BRUTOS'!$A$3:$A$500,$B14,'DADOS BRUTOS'!DW$3:DW$500)+IF($C14="",0,SUMIF('DADOS BRUTOS'!$A$3:$A$500,$C14,'DADOS BRUTOS'!DW$3:DW$500)))</f>
        <v>0</v>
      </c>
      <c r="GX14" s="133" t="n">
        <f aca="false">IF(OR(GX$4="",$B14=""),0,SUMIF('DADOS BRUTOS'!$A$3:$A$500,$B14,'DADOS BRUTOS'!DX$3:DX$500)+IF($C14="",0,SUMIF('DADOS BRUTOS'!$A$3:$A$500,$C14,'DADOS BRUTOS'!DX$3:DX$500)))</f>
        <v>0</v>
      </c>
      <c r="GY14" s="133" t="n">
        <f aca="false">IF(OR(GY$4="",$B14=""),0,SUMIF('DADOS BRUTOS'!$A$3:$A$500,$B14,'DADOS BRUTOS'!DY$3:DY$500)+IF($C14="",0,SUMIF('DADOS BRUTOS'!$A$3:$A$500,$C14,'DADOS BRUTOS'!DY$3:DY$500)))</f>
        <v>0</v>
      </c>
      <c r="GZ14" s="133" t="n">
        <f aca="false">IF(OR(GZ$4="",$B14=""),0,SUMIF('DADOS BRUTOS'!$A$3:$A$500,$B14,'DADOS BRUTOS'!DZ$3:DZ$500)+IF($C14="",0,SUMIF('DADOS BRUTOS'!$A$3:$A$500,$C14,'DADOS BRUTOS'!DZ$3:DZ$500)))</f>
        <v>0</v>
      </c>
      <c r="HA14" s="133" t="n">
        <f aca="false">IF(OR(HA$4="",$B14=""),0,SUMIF('DADOS BRUTOS'!$A$3:$A$500,$B14,'DADOS BRUTOS'!EA$3:EA$500)+IF($C14="",0,SUMIF('DADOS BRUTOS'!$A$3:$A$500,$C14,'DADOS BRUTOS'!EA$3:EA$500)))</f>
        <v>0</v>
      </c>
      <c r="HB14" s="133" t="n">
        <f aca="false">IF(OR(HB$4="",$B14=""),0,SUMIF('DADOS BRUTOS'!$A$3:$A$500,$B14,'DADOS BRUTOS'!EB$3:EB$500)+IF($C14="",0,SUMIF('DADOS BRUTOS'!$A$3:$A$500,$C14,'DADOS BRUTOS'!EB$3:EB$500)))</f>
        <v>0</v>
      </c>
      <c r="HC14" s="133" t="n">
        <f aca="false">IF(OR(HC$4="",$B14=""),0,SUMIF('DADOS BRUTOS'!$A$3:$A$500,$B14,'DADOS BRUTOS'!EC$3:EC$500)+IF($C14="",0,SUMIF('DADOS BRUTOS'!$A$3:$A$500,$C14,'DADOS BRUTOS'!EC$3:EC$500)))</f>
        <v>0</v>
      </c>
      <c r="HD14" s="133" t="n">
        <f aca="false">IF(OR(HD$4="",$B14=""),0,SUMIF('DADOS BRUTOS'!$A$3:$A$500,$B14,'DADOS BRUTOS'!ED$3:ED$500)+IF($C14="",0,SUMIF('DADOS BRUTOS'!$A$3:$A$500,$C14,'DADOS BRUTOS'!ED$3:ED$500)))</f>
        <v>0</v>
      </c>
      <c r="HE14" s="133" t="n">
        <f aca="false">IF(OR(HE$4="",$B14=""),0,SUMIF('DADOS BRUTOS'!$A$3:$A$500,$B14,'DADOS BRUTOS'!EE$3:EE$500)+IF($C14="",0,SUMIF('DADOS BRUTOS'!$A$3:$A$500,$C14,'DADOS BRUTOS'!EE$3:EE$500)))</f>
        <v>0</v>
      </c>
      <c r="HF14" s="133" t="n">
        <f aca="false">IF(OR(HF$4="",$B14=""),0,SUMIF('DADOS BRUTOS'!$A$3:$A$500,$B14,'DADOS BRUTOS'!EF$3:EF$500)+IF($C14="",0,SUMIF('DADOS BRUTOS'!$A$3:$A$500,$C14,'DADOS BRUTOS'!EF$3:EF$500)))</f>
        <v>0</v>
      </c>
      <c r="HG14" s="133" t="n">
        <f aca="false">IF(OR(HG$4="",$B14=""),0,SUMIF('DADOS BRUTOS'!$A$3:$A$500,$B14,'DADOS BRUTOS'!EG$3:EG$500)+IF($C14="",0,SUMIF('DADOS BRUTOS'!$A$3:$A$500,$C14,'DADOS BRUTOS'!EG$3:EG$500)))</f>
        <v>0</v>
      </c>
      <c r="HH14" s="133" t="n">
        <f aca="false">IF(OR(HH$4="",$B14=""),0,SUMIF('DADOS BRUTOS'!$A$3:$A$500,$B14,'DADOS BRUTOS'!EH$3:EH$500)+IF($C14="",0,SUMIF('DADOS BRUTOS'!$A$3:$A$500,$C14,'DADOS BRUTOS'!EH$3:EH$500)))</f>
        <v>0</v>
      </c>
      <c r="HI14" s="133" t="n">
        <f aca="false">IF(OR(HI$4="",$B14=""),0,SUMIF('DADOS BRUTOS'!$A$3:$A$500,$B14,'DADOS BRUTOS'!EI$3:EI$500)+IF($C14="",0,SUMIF('DADOS BRUTOS'!$A$3:$A$500,$C14,'DADOS BRUTOS'!EI$3:EI$500)))</f>
        <v>0</v>
      </c>
      <c r="HJ14" s="133" t="n">
        <f aca="false">IF(OR(HJ$4="",$B14=""),0,SUMIF('DADOS BRUTOS'!$A$3:$A$500,$B14,'DADOS BRUTOS'!EJ$3:EJ$500)+IF($C14="",0,SUMIF('DADOS BRUTOS'!$A$3:$A$500,$C14,'DADOS BRUTOS'!EJ$3:EJ$500)))</f>
        <v>0</v>
      </c>
      <c r="HK14" s="133" t="n">
        <f aca="false">IF(OR(HK$4="",$B14=""),0,SUMIF('DADOS BRUTOS'!$A$3:$A$500,$B14,'DADOS BRUTOS'!EK$3:EK$500)+IF($C14="",0,SUMIF('DADOS BRUTOS'!$A$3:$A$500,$C14,'DADOS BRUTOS'!EK$3:EK$500)))</f>
        <v>0</v>
      </c>
      <c r="HL14" s="133" t="n">
        <f aca="false">IF(OR(HL$4="",$B14=""),0,SUMIF('DADOS BRUTOS'!$A$3:$A$500,$B14,'DADOS BRUTOS'!EL$3:EL$500)+IF($C14="",0,SUMIF('DADOS BRUTOS'!$A$3:$A$500,$C14,'DADOS BRUTOS'!EL$3:EL$500)))</f>
        <v>0</v>
      </c>
      <c r="HM14" s="133" t="n">
        <f aca="false">IF(OR(HM$4="",$B14=""),0,SUMIF('DADOS BRUTOS'!$A$3:$A$500,$B14,'DADOS BRUTOS'!EM$3:EM$500)+IF($C14="",0,SUMIF('DADOS BRUTOS'!$A$3:$A$500,$C14,'DADOS BRUTOS'!EM$3:EM$500)))</f>
        <v>0</v>
      </c>
      <c r="HN14" s="133" t="n">
        <f aca="false">IF(OR(HN$4="",$B14=""),0,SUMIF('DADOS BRUTOS'!$A$3:$A$500,$B14,'DADOS BRUTOS'!EN$3:EN$500)+IF($C14="",0,SUMIF('DADOS BRUTOS'!$A$3:$A$500,$C14,'DADOS BRUTOS'!EN$3:EN$500)))</f>
        <v>0</v>
      </c>
      <c r="HO14" s="133" t="n">
        <f aca="false">IF(OR(HO$4="",$B14=""),0,SUMIF('DADOS BRUTOS'!$A$3:$A$500,$B14,'DADOS BRUTOS'!EO$3:EO$500)+IF($C14="",0,SUMIF('DADOS BRUTOS'!$A$3:$A$500,$C14,'DADOS BRUTOS'!EO$3:EO$500)))</f>
        <v>0</v>
      </c>
      <c r="HP14" s="133" t="n">
        <f aca="false">IF(OR(HP$4="",$B14=""),0,SUMIF('DADOS BRUTOS'!$A$3:$A$500,$B14,'DADOS BRUTOS'!EP$3:EP$500)+IF($C14="",0,SUMIF('DADOS BRUTOS'!$A$3:$A$500,$C14,'DADOS BRUTOS'!EP$3:EP$500)))</f>
        <v>0</v>
      </c>
      <c r="HQ14" s="133" t="n">
        <f aca="false">IF(OR(HQ$4="",$B14=""),0,SUMIF('DADOS BRUTOS'!$A$3:$A$500,$B14,'DADOS BRUTOS'!EQ$3:EQ$500)+IF($C14="",0,SUMIF('DADOS BRUTOS'!$A$3:$A$500,$C14,'DADOS BRUTOS'!EQ$3:EQ$500)))</f>
        <v>0</v>
      </c>
      <c r="HR14" s="133" t="n">
        <f aca="false">IF(OR(HR$4="",$B14=""),0,SUMIF('DADOS BRUTOS'!$A$3:$A$500,$B14,'DADOS BRUTOS'!ER$3:ER$500)+IF($C14="",0,SUMIF('DADOS BRUTOS'!$A$3:$A$500,$C14,'DADOS BRUTOS'!ER$3:ER$500)))</f>
        <v>0</v>
      </c>
      <c r="HS14" s="133" t="n">
        <f aca="false">IF(OR(HS$4="",$B14=""),0,SUMIF('DADOS BRUTOS'!$A$3:$A$500,$B14,'DADOS BRUTOS'!ES$3:ES$500)+IF($C14="",0,SUMIF('DADOS BRUTOS'!$A$3:$A$500,$C14,'DADOS BRUTOS'!ES$3:ES$500)))</f>
        <v>0</v>
      </c>
      <c r="HT14" s="133" t="n">
        <f aca="false">IF(OR(HT$4="",$B14=""),0,SUMIF('DADOS BRUTOS'!$A$3:$A$500,$B14,'DADOS BRUTOS'!ET$3:ET$500)+IF($C14="",0,SUMIF('DADOS BRUTOS'!$A$3:$A$500,$C14,'DADOS BRUTOS'!ET$3:ET$500)))</f>
        <v>0</v>
      </c>
      <c r="HU14" s="133" t="n">
        <f aca="false">IF(OR(HU$4="",$B14=""),0,SUMIF('DADOS BRUTOS'!$A$3:$A$500,$B14,'DADOS BRUTOS'!EU$3:EU$500)+IF($C14="",0,SUMIF('DADOS BRUTOS'!$A$3:$A$500,$C14,'DADOS BRUTOS'!EU$3:EU$500)))</f>
        <v>0</v>
      </c>
      <c r="HV14" s="133" t="n">
        <f aca="false">IF(OR(HV$4="",$B14=""),0,SUMIF('DADOS BRUTOS'!$A$3:$A$500,$B14,'DADOS BRUTOS'!EV$3:EV$500)+IF($C14="",0,SUMIF('DADOS BRUTOS'!$A$3:$A$500,$C14,'DADOS BRUTOS'!EV$3:EV$500)))</f>
        <v>0</v>
      </c>
      <c r="HW14" s="133" t="n">
        <f aca="false">IF(OR(HW$4="",$B14=""),0,SUMIF('DADOS BRUTOS'!$A$3:$A$500,$B14,'DADOS BRUTOS'!EW$3:EW$500)+IF($C14="",0,SUMIF('DADOS BRUTOS'!$A$3:$A$500,$C14,'DADOS BRUTOS'!EW$3:EW$500)))</f>
        <v>0</v>
      </c>
      <c r="HX14" s="133" t="n">
        <f aca="false">IF(OR(HX$4="",$B14=""),0,SUMIF('DADOS BRUTOS'!$A$3:$A$500,$B14,'DADOS BRUTOS'!EX$3:EX$500)+IF($C14="",0,SUMIF('DADOS BRUTOS'!$A$3:$A$500,$C14,'DADOS BRUTOS'!EX$3:EX$500)))</f>
        <v>0</v>
      </c>
      <c r="HY14" s="133" t="n">
        <f aca="false">IF(OR(HY$4="",$B14=""),0,SUMIF('DADOS BRUTOS'!$A$3:$A$500,$B14,'DADOS BRUTOS'!EY$3:EY$500)+IF($C14="",0,SUMIF('DADOS BRUTOS'!$A$3:$A$500,$C14,'DADOS BRUTOS'!EY$3:EY$500)))</f>
        <v>0</v>
      </c>
      <c r="HZ14" s="133" t="n">
        <f aca="false">IF(OR(HZ$4="",$B14=""),0,SUMIF('DADOS BRUTOS'!$A$3:$A$500,$B14,'DADOS BRUTOS'!EZ$3:EZ$500)+IF($C14="",0,SUMIF('DADOS BRUTOS'!$A$3:$A$500,$C14,'DADOS BRUTOS'!EZ$3:EZ$500)))</f>
        <v>0</v>
      </c>
      <c r="IA14" s="133" t="n">
        <f aca="false">IF(OR(IA$4="",$B14=""),0,SUMIF('DADOS BRUTOS'!$A$3:$A$500,$B14,'DADOS BRUTOS'!FA$3:FA$500)+IF($C14="",0,SUMIF('DADOS BRUTOS'!$A$3:$A$500,$C14,'DADOS BRUTOS'!FA$3:FA$500)))</f>
        <v>0</v>
      </c>
      <c r="IB14" s="133" t="n">
        <f aca="false">IF(OR(IB$4="",$B14=""),0,SUMIF('DADOS BRUTOS'!$A$3:$A$500,$B14,'DADOS BRUTOS'!FB$3:FB$500)+IF($C14="",0,SUMIF('DADOS BRUTOS'!$A$3:$A$500,$C14,'DADOS BRUTOS'!FB$3:FB$500)))</f>
        <v>0</v>
      </c>
      <c r="IC14" s="133" t="n">
        <f aca="false">IF(OR(IC$4="",$B14=""),0,SUMIF('DADOS BRUTOS'!$A$3:$A$500,$B14,'DADOS BRUTOS'!FC$3:FC$500)+IF($C14="",0,SUMIF('DADOS BRUTOS'!$A$3:$A$500,$C14,'DADOS BRUTOS'!FC$3:FC$500)))</f>
        <v>0</v>
      </c>
      <c r="ID14" s="133" t="n">
        <f aca="false">IF(OR(ID$4="",$B14=""),0,SUMIF('DADOS BRUTOS'!$A$3:$A$500,$B14,'DADOS BRUTOS'!FD$3:FD$500)+IF($C14="",0,SUMIF('DADOS BRUTOS'!$A$3:$A$500,$C14,'DADOS BRUTOS'!FD$3:FD$500)))</f>
        <v>0</v>
      </c>
      <c r="IE14" s="133" t="n">
        <f aca="false">IF(OR(IE$4="",$B14=""),0,SUMIF('DADOS BRUTOS'!$A$3:$A$500,$B14,'DADOS BRUTOS'!FE$3:FE$500)+IF($C14="",0,SUMIF('DADOS BRUTOS'!$A$3:$A$500,$C14,'DADOS BRUTOS'!FE$3:FE$500)))</f>
        <v>0</v>
      </c>
      <c r="IF14" s="133" t="n">
        <f aca="false">IF(OR(IF$4="",$B14=""),0,SUMIF('DADOS BRUTOS'!$A$3:$A$500,$B14,'DADOS BRUTOS'!FF$3:FF$500)+IF($C14="",0,SUMIF('DADOS BRUTOS'!$A$3:$A$500,$C14,'DADOS BRUTOS'!FF$3:FF$500)))</f>
        <v>0</v>
      </c>
      <c r="IG14" s="133" t="n">
        <f aca="false">IF(OR(IG$4="",$B14=""),0,SUMIF('DADOS BRUTOS'!$A$3:$A$500,$B14,'DADOS BRUTOS'!FG$3:FG$500)+IF($C14="",0,SUMIF('DADOS BRUTOS'!$A$3:$A$500,$C14,'DADOS BRUTOS'!FG$3:FG$500)))</f>
        <v>0</v>
      </c>
      <c r="IH14" s="133" t="n">
        <f aca="false">IF(OR(IH$4="",$B14=""),0,SUMIF('DADOS BRUTOS'!$A$3:$A$500,$B14,'DADOS BRUTOS'!FH$3:FH$500)+IF($C14="",0,SUMIF('DADOS BRUTOS'!$A$3:$A$500,$C14,'DADOS BRUTOS'!FH$3:FH$500)))</f>
        <v>0</v>
      </c>
      <c r="II14" s="133" t="n">
        <f aca="false">IF(OR(II$4="",$B14=""),0,SUMIF('DADOS BRUTOS'!$A$3:$A$500,$B14,'DADOS BRUTOS'!FI$3:FI$500)+IF($C14="",0,SUMIF('DADOS BRUTOS'!$A$3:$A$500,$C14,'DADOS BRUTOS'!FI$3:FI$500)))</f>
        <v>0</v>
      </c>
      <c r="IJ14" s="133" t="n">
        <f aca="false">IF(OR(IJ$4="",$B14=""),0,SUMIF('DADOS BRUTOS'!$A$3:$A$500,$B14,'DADOS BRUTOS'!FJ$3:FJ$500)+IF($C14="",0,SUMIF('DADOS BRUTOS'!$A$3:$A$500,$C14,'DADOS BRUTOS'!FJ$3:FJ$500)))</f>
        <v>0</v>
      </c>
      <c r="IK14" s="133" t="n">
        <f aca="false">IF(OR(IK$4="",$B14=""),0,SUMIF('DADOS BRUTOS'!$A$3:$A$500,$B14,'DADOS BRUTOS'!FK$3:FK$500)+IF($C14="",0,SUMIF('DADOS BRUTOS'!$A$3:$A$500,$C14,'DADOS BRUTOS'!FK$3:FK$500)))</f>
        <v>0</v>
      </c>
      <c r="IL14" s="133" t="n">
        <f aca="false">IF(OR(IL$4="",$B14=""),0,SUMIF('DADOS BRUTOS'!$A$3:$A$500,$B14,'DADOS BRUTOS'!FL$3:FL$500)+IF($C14="",0,SUMIF('DADOS BRUTOS'!$A$3:$A$500,$C14,'DADOS BRUTOS'!FL$3:FL$500)))</f>
        <v>0</v>
      </c>
      <c r="IM14" s="133" t="n">
        <f aca="false">IF(OR(IM$4="",$B14=""),0,SUMIF('DADOS BRUTOS'!$A$3:$A$500,$B14,'DADOS BRUTOS'!FM$3:FM$500)+IF($C14="",0,SUMIF('DADOS BRUTOS'!$A$3:$A$500,$C14,'DADOS BRUTOS'!FM$3:FM$500)))</f>
        <v>0</v>
      </c>
      <c r="IN14" s="133" t="n">
        <f aca="false">IF(OR(IN$4="",$B14=""),0,SUMIF('DADOS BRUTOS'!$A$3:$A$500,$B14,'DADOS BRUTOS'!FN$3:FN$500)+IF($C14="",0,SUMIF('DADOS BRUTOS'!$A$3:$A$500,$C14,'DADOS BRUTOS'!FN$3:FN$500)))</f>
        <v>0</v>
      </c>
      <c r="IO14" s="133" t="n">
        <f aca="false">IF(OR(IO$4="",$B14=""),0,SUMIF('DADOS BRUTOS'!$A$3:$A$500,$B14,'DADOS BRUTOS'!FO$3:FO$500)+IF($C14="",0,SUMIF('DADOS BRUTOS'!$A$3:$A$500,$C14,'DADOS BRUTOS'!FO$3:FO$500)))</f>
        <v>0</v>
      </c>
      <c r="IP14" s="133" t="n">
        <f aca="false">IF(OR(IP$4="",$B14=""),0,SUMIF('DADOS BRUTOS'!$A$3:$A$500,$B14,'DADOS BRUTOS'!FP$3:FP$500)+IF($C14="",0,SUMIF('DADOS BRUTOS'!$A$3:$A$500,$C14,'DADOS BRUTOS'!FP$3:FP$500)))</f>
        <v>0</v>
      </c>
      <c r="IQ14" s="133" t="n">
        <f aca="false">IF(OR(IQ$4="",$B14=""),0,SUMIF('DADOS BRUTOS'!$A$3:$A$500,$B14,'DADOS BRUTOS'!FQ$3:FQ$500)+IF($C14="",0,SUMIF('DADOS BRUTOS'!$A$3:$A$500,$C14,'DADOS BRUTOS'!FQ$3:FQ$500)))</f>
        <v>0</v>
      </c>
      <c r="IR14" s="133" t="n">
        <f aca="false">IF(OR(IR$4="",$B14=""),0,SUMIF('DADOS BRUTOS'!$A$3:$A$500,$B14,'DADOS BRUTOS'!FR$3:FR$500)+IF($C14="",0,SUMIF('DADOS BRUTOS'!$A$3:$A$500,$C14,'DADOS BRUTOS'!FR$3:FR$500)))</f>
        <v>0</v>
      </c>
      <c r="IS14" s="133" t="n">
        <f aca="false">IF(OR(IS$4="",$B14=""),0,SUMIF('DADOS BRUTOS'!$A$3:$A$500,$B14,'DADOS BRUTOS'!FS$3:FS$500)+IF($C14="",0,SUMIF('DADOS BRUTOS'!$A$3:$A$500,$C14,'DADOS BRUTOS'!FS$3:FS$500)))</f>
        <v>0</v>
      </c>
      <c r="IT14" s="133" t="n">
        <f aca="false">IF(OR(IT$4="",$B14=""),0,SUMIF('DADOS BRUTOS'!$A$3:$A$500,$B14,'DADOS BRUTOS'!FT$3:FT$500)+IF($C14="",0,SUMIF('DADOS BRUTOS'!$A$3:$A$500,$C14,'DADOS BRUTOS'!FT$3:FT$500)))</f>
        <v>0</v>
      </c>
      <c r="IU14" s="133" t="n">
        <f aca="false">IF(OR(IU$4="",$B14=""),0,SUMIF('DADOS BRUTOS'!$A$3:$A$500,$B14,'DADOS BRUTOS'!FU$3:FU$500)+IF($C14="",0,SUMIF('DADOS BRUTOS'!$A$3:$A$500,$C14,'DADOS BRUTOS'!FU$3:FU$500)))</f>
        <v>0</v>
      </c>
      <c r="IV14" s="133" t="n">
        <f aca="false">IF(OR(IV$4="",$B14=""),0,SUMIF('DADOS BRUTOS'!$A$3:$A$500,$B14,'DADOS BRUTOS'!FV$3:FV$500)+IF($C14="",0,SUMIF('DADOS BRUTOS'!$A$3:$A$500,$C14,'DADOS BRUTOS'!FV$3:FV$500)))</f>
        <v>0</v>
      </c>
      <c r="IW14" s="133" t="n">
        <f aca="false">IF(OR(IW$4="",$B14=""),0,SUMIF('DADOS BRUTOS'!$A$3:$A$500,$B14,'DADOS BRUTOS'!FW$3:FW$500)+IF($C14="",0,SUMIF('DADOS BRUTOS'!$A$3:$A$500,$C14,'DADOS BRUTOS'!FW$3:FW$500)))</f>
        <v>0</v>
      </c>
      <c r="IX14" s="133" t="n">
        <f aca="false">IF(OR(IX$4="",$B14=""),0,SUMIF('DADOS BRUTOS'!$A$3:$A$500,$B14,'DADOS BRUTOS'!FX$3:FX$500)+IF($C14="",0,SUMIF('DADOS BRUTOS'!$A$3:$A$500,$C14,'DADOS BRUTOS'!FX$3:FX$500)))</f>
        <v>0</v>
      </c>
      <c r="IY14" s="133" t="n">
        <f aca="false">IF(OR(IY$4="",$B14=""),0,SUMIF('DADOS BRUTOS'!$A$3:$A$500,$B14,'DADOS BRUTOS'!FY$3:FY$500)+IF($C14="",0,SUMIF('DADOS BRUTOS'!$A$3:$A$500,$C14,'DADOS BRUTOS'!FY$3:FY$500)))</f>
        <v>0</v>
      </c>
      <c r="IZ14" s="133" t="n">
        <f aca="false">IF(OR(IZ$4="",$B14=""),0,SUMIF('DADOS BRUTOS'!$A$3:$A$500,$B14,'DADOS BRUTOS'!FZ$3:FZ$500)+IF($C14="",0,SUMIF('DADOS BRUTOS'!$A$3:$A$500,$C14,'DADOS BRUTOS'!FZ$3:FZ$500)))</f>
        <v>0</v>
      </c>
      <c r="JA14" s="133" t="n">
        <f aca="false">IF(OR(JA$4="",$B14=""),0,SUMIF('DADOS BRUTOS'!$A$3:$A$500,$B14,'DADOS BRUTOS'!GA$3:GA$500)+IF($C14="",0,SUMIF('DADOS BRUTOS'!$A$3:$A$500,$C14,'DADOS BRUTOS'!GA$3:GA$500)))</f>
        <v>0</v>
      </c>
      <c r="JB14" s="133" t="n">
        <f aca="false">IF(OR(JB$4="",$B14=""),0,SUMIF('DADOS BRUTOS'!$A$3:$A$500,$B14,'DADOS BRUTOS'!GB$3:GB$500)+IF($C14="",0,SUMIF('DADOS BRUTOS'!$A$3:$A$500,$C14,'DADOS BRUTOS'!GB$3:GB$500)))</f>
        <v>0</v>
      </c>
      <c r="JC14" s="133" t="n">
        <f aca="false">IF(OR(JC$4="",$B14=""),0,SUMIF('DADOS BRUTOS'!$A$3:$A$500,$B14,'DADOS BRUTOS'!GC$3:GC$500)+IF($C14="",0,SUMIF('DADOS BRUTOS'!$A$3:$A$500,$C14,'DADOS BRUTOS'!GC$3:GC$500)))</f>
        <v>0</v>
      </c>
      <c r="JD14" s="133" t="n">
        <f aca="false">IF(OR(JD$4="",$B14=""),0,SUMIF('DADOS BRUTOS'!$A$3:$A$500,$B14,'DADOS BRUTOS'!GD$3:GD$500)+IF($C14="",0,SUMIF('DADOS BRUTOS'!$A$3:$A$500,$C14,'DADOS BRUTOS'!GD$3:GD$500)))</f>
        <v>0</v>
      </c>
      <c r="JE14" s="133" t="n">
        <f aca="false">IF(OR(JE$4="",$B14=""),0,SUMIF('DADOS BRUTOS'!$A$3:$A$500,$B14,'DADOS BRUTOS'!GE$3:GE$500)+IF($C14="",0,SUMIF('DADOS BRUTOS'!$A$3:$A$500,$C14,'DADOS BRUTOS'!GE$3:GE$500)))</f>
        <v>0</v>
      </c>
      <c r="JF14" s="133" t="n">
        <f aca="false">IF(OR(JF$4="",$B14=""),0,SUMIF('DADOS BRUTOS'!$A$3:$A$500,$B14,'DADOS BRUTOS'!GF$3:GF$500)+IF($C14="",0,SUMIF('DADOS BRUTOS'!$A$3:$A$500,$C14,'DADOS BRUTOS'!GF$3:GF$500)))</f>
        <v>0</v>
      </c>
      <c r="JG14" s="133" t="n">
        <f aca="false">IF(OR(JG$4="",$B14=""),0,SUMIF('DADOS BRUTOS'!$A$3:$A$500,$B14,'DADOS BRUTOS'!GG$3:GG$500)+IF($C14="",0,SUMIF('DADOS BRUTOS'!$A$3:$A$500,$C14,'DADOS BRUTOS'!GG$3:GG$500)))</f>
        <v>0</v>
      </c>
      <c r="JH14" s="133" t="n">
        <f aca="false">IF(OR(JH$4="",$B14=""),0,SUMIF('DADOS BRUTOS'!$A$3:$A$500,$B14,'DADOS BRUTOS'!GH$3:GH$500)+IF($C14="",0,SUMIF('DADOS BRUTOS'!$A$3:$A$500,$C14,'DADOS BRUTOS'!GH$3:GH$500)))</f>
        <v>0</v>
      </c>
      <c r="JI14" s="133" t="n">
        <f aca="false">IF(OR(JI$4="",$B14=""),0,SUMIF('DADOS BRUTOS'!$A$3:$A$500,$B14,'DADOS BRUTOS'!GI$3:GI$500)+IF($C14="",0,SUMIF('DADOS BRUTOS'!$A$3:$A$500,$C14,'DADOS BRUTOS'!GI$3:GI$500)))</f>
        <v>0</v>
      </c>
      <c r="JJ14" s="133" t="n">
        <f aca="false">IF(OR(JJ$4="",$B14=""),0,SUMIF('DADOS BRUTOS'!$A$3:$A$500,$B14,'DADOS BRUTOS'!GJ$3:GJ$500)+IF($C14="",0,SUMIF('DADOS BRUTOS'!$A$3:$A$500,$C14,'DADOS BRUTOS'!GJ$3:GJ$500)))</f>
        <v>0</v>
      </c>
      <c r="JK14" s="133" t="n">
        <f aca="false">IF(OR(JK$4="",$B14=""),0,SUMIF('DADOS BRUTOS'!$A$3:$A$500,$B14,'DADOS BRUTOS'!GK$3:GK$500)+IF($C14="",0,SUMIF('DADOS BRUTOS'!$A$3:$A$500,$C14,'DADOS BRUTOS'!GK$3:GK$500)))</f>
        <v>0</v>
      </c>
      <c r="JL14" s="133" t="n">
        <f aca="false">IF(OR(JL$4="",$B14=""),0,SUMIF('DADOS BRUTOS'!$A$3:$A$500,$B14,'DADOS BRUTOS'!GL$3:GL$500)+IF($C14="",0,SUMIF('DADOS BRUTOS'!$A$3:$A$500,$C14,'DADOS BRUTOS'!GL$3:GL$500)))</f>
        <v>0</v>
      </c>
      <c r="JM14" s="133" t="n">
        <f aca="false">IF(OR(JM$4="",$B14=""),0,SUMIF('DADOS BRUTOS'!$A$3:$A$500,$B14,'DADOS BRUTOS'!GM$3:GM$500)+IF($C14="",0,SUMIF('DADOS BRUTOS'!$A$3:$A$500,$C14,'DADOS BRUTOS'!GM$3:GM$500)))</f>
        <v>0</v>
      </c>
      <c r="JN14" s="133" t="n">
        <f aca="false">IF(OR(JN$4="",$B14=""),0,SUMIF('DADOS BRUTOS'!$A$3:$A$500,$B14,'DADOS BRUTOS'!GN$3:GN$500)+IF($C14="",0,SUMIF('DADOS BRUTOS'!$A$3:$A$500,$C14,'DADOS BRUTOS'!GN$3:GN$500)))</f>
        <v>0</v>
      </c>
      <c r="JO14" s="133" t="n">
        <f aca="false">IF(OR(JO$4="",$B14=""),0,SUMIF('DADOS BRUTOS'!$A$3:$A$500,$B14,'DADOS BRUTOS'!GO$3:GO$500)+IF($C14="",0,SUMIF('DADOS BRUTOS'!$A$3:$A$500,$C14,'DADOS BRUTOS'!GO$3:GO$500)))</f>
        <v>0</v>
      </c>
      <c r="JP14" s="133" t="n">
        <f aca="false">IF(OR(JP$4="",$B14=""),0,SUMIF('DADOS BRUTOS'!$A$3:$A$500,$B14,'DADOS BRUTOS'!GP$3:GP$500)+IF($C14="",0,SUMIF('DADOS BRUTOS'!$A$3:$A$500,$C14,'DADOS BRUTOS'!GP$3:GP$500)))</f>
        <v>0</v>
      </c>
      <c r="JQ14" s="133" t="n">
        <f aca="false">IF(OR(JQ$4="",$B14=""),0,SUMIF('DADOS BRUTOS'!$A$3:$A$500,$B14,'DADOS BRUTOS'!GQ$3:GQ$500)+IF($C14="",0,SUMIF('DADOS BRUTOS'!$A$3:$A$500,$C14,'DADOS BRUTOS'!GQ$3:GQ$500)))</f>
        <v>0</v>
      </c>
      <c r="JR14" s="133" t="n">
        <f aca="false">IF(OR(JR$4="",$B14=""),0,SUMIF('DADOS BRUTOS'!$A$3:$A$500,$B14,'DADOS BRUTOS'!GR$3:GR$500)+IF($C14="",0,SUMIF('DADOS BRUTOS'!$A$3:$A$500,$C14,'DADOS BRUTOS'!GR$3:GR$500)))</f>
        <v>0</v>
      </c>
      <c r="JS14" s="133" t="n">
        <f aca="false">IF(OR(JS$4="",$B14=""),0,SUMIF('DADOS BRUTOS'!$A$3:$A$500,$B14,'DADOS BRUTOS'!GS$3:GS$500)+IF($C14="",0,SUMIF('DADOS BRUTOS'!$A$3:$A$500,$C14,'DADOS BRUTOS'!GS$3:GS$500)))</f>
        <v>0</v>
      </c>
    </row>
    <row r="15" customFormat="false" ht="15" hidden="false" customHeight="false" outlineLevel="0" collapsed="false">
      <c r="A15" s="57" t="str">
        <f aca="false">'VALOR POR PL'!D21</f>
        <v>EQUIPAMENTOS E FERRAMENTAS</v>
      </c>
      <c r="B15" s="55" t="s">
        <v>78</v>
      </c>
      <c r="C15" s="55"/>
      <c r="D15" s="50" t="n">
        <f aca="false">SUMIF($CB$4:$JS$4,"&lt;="&amp;D$4,$CB15:$JS15)</f>
        <v>0</v>
      </c>
      <c r="E15" s="50" t="n">
        <f aca="false">SUMIF($CB$4:$JS$4,E$4,$CB15:$JS15)</f>
        <v>0</v>
      </c>
      <c r="F15" s="50" t="n">
        <f aca="false">SUMIF($CB$4:$JS$4,F$4,$CB15:$JS15)</f>
        <v>0</v>
      </c>
      <c r="G15" s="50" t="n">
        <f aca="false">SUMIF($CB$4:$JS$4,G$4,$CB15:$JS15)</f>
        <v>0</v>
      </c>
      <c r="H15" s="50" t="n">
        <f aca="false">SUMIF($CB$4:$JS$4,H$4,$CB15:$JS15)</f>
        <v>0</v>
      </c>
      <c r="I15" s="50" t="n">
        <f aca="false">SUMIF($CB$4:$JS$4,I$4,$CB15:$JS15)</f>
        <v>0</v>
      </c>
      <c r="J15" s="50" t="n">
        <f aca="false">SUMIF($CB$4:$JS$4,J$4,$CB15:$JS15)</f>
        <v>0</v>
      </c>
      <c r="K15" s="50" t="n">
        <f aca="false">SUMIF($CB$4:$JS$4,K$4,$CB15:$JS15)</f>
        <v>672.9</v>
      </c>
      <c r="L15" s="50" t="n">
        <f aca="false">SUMIF($CB$4:$JS$4,L$4,$CB15:$JS15)</f>
        <v>5281.41</v>
      </c>
      <c r="M15" s="50" t="n">
        <f aca="false">SUMIF($CB$4:$JS$4,M$4,$CB15:$JS15)</f>
        <v>6232.49</v>
      </c>
      <c r="N15" s="50" t="n">
        <f aca="false">SUMIF($CB$4:$JS$4,N$4,$CB15:$JS15)</f>
        <v>9500.17</v>
      </c>
      <c r="O15" s="50" t="n">
        <f aca="false">SUMIF($CB$4:$JS$4,O$4,$CB15:$JS15)</f>
        <v>55945.36</v>
      </c>
      <c r="P15" s="50" t="n">
        <f aca="false">SUMIF($CB$4:$JS$4,P$4,$CB15:$JS15)</f>
        <v>58948.93</v>
      </c>
      <c r="Q15" s="50" t="n">
        <f aca="false">SUMIF($CB$4:$JS$4,Q$4,$CB15:$JS15)</f>
        <v>144547.58</v>
      </c>
      <c r="R15" s="50" t="n">
        <f aca="false">SUMIF($CB$4:$JS$4,R$4,$CB15:$JS15)</f>
        <v>11787.59</v>
      </c>
      <c r="S15" s="50" t="n">
        <f aca="false">SUMIF($CB$4:$JS$4,S$4,$CB15:$JS15)</f>
        <v>6734.81</v>
      </c>
      <c r="T15" s="50" t="n">
        <f aca="false">SUMIF($CB$4:$JS$4,T$4,$CB15:$JS15)</f>
        <v>2323.6</v>
      </c>
      <c r="U15" s="50" t="n">
        <f aca="false">SUMIF($CB$4:$JS$4,U$4,$CB15:$JS15)</f>
        <v>28516.02</v>
      </c>
      <c r="V15" s="50" t="n">
        <f aca="false">SUMIF($CB$4:$JS$4,V$4,$CB15:$JS15)</f>
        <v>24451.29</v>
      </c>
      <c r="W15" s="50" t="n">
        <f aca="false">SUMIF($CB$4:$JS$4,W$4,$CB15:$JS15)</f>
        <v>63176.57</v>
      </c>
      <c r="X15" s="50" t="n">
        <f aca="false">SUMIF($CB$4:$JS$4,X$4,$CB15:$JS15)</f>
        <v>125549</v>
      </c>
      <c r="Y15" s="50" t="n">
        <f aca="false">SUMIF($CB$4:$JS$4,Y$4,$CB15:$JS15)</f>
        <v>107406.86</v>
      </c>
      <c r="Z15" s="50" t="n">
        <f aca="false">SUMIF($CB$4:$JS$4,Z$4,$CB15:$JS15)</f>
        <v>73087.59</v>
      </c>
      <c r="AA15" s="50" t="n">
        <f aca="false">SUMIF($CB$4:$JS$4,AA$4,$CB15:$JS15)</f>
        <v>12181.83</v>
      </c>
      <c r="AB15" s="50" t="n">
        <f aca="false">SUMIF($CB$4:$JS$4,AB$4,$CB15:$JS15)</f>
        <v>6653</v>
      </c>
      <c r="AC15" s="50" t="n">
        <f aca="false">SUMIF($CB$4:$JS$4,AC$4,$CB15:$JS15)</f>
        <v>0</v>
      </c>
      <c r="AD15" s="50" t="n">
        <f aca="false">SUMIF($CB$4:$JS$4,AD$4,$CB15:$JS15)</f>
        <v>1456.4</v>
      </c>
      <c r="AE15" s="50" t="n">
        <f aca="false">SUMIF($CB$4:$JS$4,AE$4,$CB15:$JS15)</f>
        <v>1802.48</v>
      </c>
      <c r="AF15" s="50" t="n">
        <f aca="false">SUMIF($CB$4:$JS$4,AF$4,$CB15:$JS15)</f>
        <v>0</v>
      </c>
      <c r="AG15" s="50" t="n">
        <f aca="false">SUMIF($CB$4:$JS$4,AG$4,$CB15:$JS15)</f>
        <v>0</v>
      </c>
      <c r="AH15" s="50" t="n">
        <f aca="false">SUMIF($CB$4:$JS$4,AH$4,$CB15:$JS15)</f>
        <v>0</v>
      </c>
      <c r="AI15" s="50" t="n">
        <f aca="false">SUMIF($CB$4:$JS$4,AI$4,$CB15:$JS15)</f>
        <v>0</v>
      </c>
      <c r="AJ15" s="50" t="n">
        <f aca="false">SUMIF($CB$4:$JS$4,AJ$4,$CB15:$JS15)</f>
        <v>0</v>
      </c>
      <c r="AK15" s="50" t="n">
        <f aca="false">SUMIF($CB$4:$JS$4,AK$4,$CB15:$JS15)</f>
        <v>0</v>
      </c>
      <c r="AL15" s="50" t="n">
        <f aca="false">SUMIF($CB$4:$JS$4,AL$4,$CB15:$JS15)</f>
        <v>0</v>
      </c>
      <c r="AM15" s="50" t="n">
        <f aca="false">SUMIF($CB$4:$JS$4,AM$4,$CB15:$JS15)</f>
        <v>0</v>
      </c>
      <c r="AN15" s="50" t="n">
        <f aca="false">SUMIF($CB$4:$JS$4,AN$4,$CB15:$JS15)</f>
        <v>0</v>
      </c>
      <c r="AO15" s="50" t="n">
        <f aca="false">SUMIF($CB$4:$JS$4,AO$4,$CB15:$JS15)</f>
        <v>0</v>
      </c>
      <c r="AP15" s="50" t="n">
        <f aca="false">SUMIF($CB$4:$JS$4,AP$4,$CB15:$JS15)</f>
        <v>0</v>
      </c>
      <c r="AQ15" s="50" t="n">
        <f aca="false">SUMIF($CB$4:$JS$4,AQ$4,$CB15:$JS15)</f>
        <v>0</v>
      </c>
      <c r="AR15" s="50" t="n">
        <f aca="false">SUMIF($CB$4:$JS$4,AR$4,$CB15:$JS15)</f>
        <v>0</v>
      </c>
      <c r="AS15" s="50" t="n">
        <f aca="false">SUMIF($CB$4:$JS$4,AS$4,$CB15:$JS15)</f>
        <v>0</v>
      </c>
      <c r="AT15" s="50" t="n">
        <f aca="false">SUMIF($CB$4:$JS$4,AT$4,$CB15:$JS15)</f>
        <v>0</v>
      </c>
      <c r="AU15" s="50" t="n">
        <f aca="false">SUMIF($CB$4:$JS$4,AU$4,$CB15:$JS15)</f>
        <v>2846.91</v>
      </c>
      <c r="AV15" s="50" t="n">
        <f aca="false">SUMIF($CB$4:$JS$4,AV$4,$CB15:$JS15)</f>
        <v>0</v>
      </c>
      <c r="AW15" s="50" t="n">
        <f aca="false">SUMIF($CB$4:$JS$4,AW$4,$CB15:$JS15)</f>
        <v>0</v>
      </c>
      <c r="AX15" s="50" t="n">
        <f aca="false">SUMIF($CB$4:$JS$4,AX$4,$CB15:$JS15)</f>
        <v>0</v>
      </c>
      <c r="AY15" s="50" t="n">
        <f aca="false">SUMIF($CB$4:$JS$4,AY$4,$CB15:$JS15)</f>
        <v>0</v>
      </c>
      <c r="AZ15" s="50" t="n">
        <f aca="false">SUMIF($CB$4:$JS$4,AZ$4,$CB15:$JS15)</f>
        <v>0</v>
      </c>
      <c r="BA15" s="50" t="n">
        <f aca="false">SUMIF($CB$4:$JS$4,BA$4,$CB15:$JS15)</f>
        <v>0</v>
      </c>
      <c r="BB15" s="50" t="n">
        <f aca="false">SUMIF($CB$4:$JS$4,BB$4,$CB15:$JS15)</f>
        <v>0</v>
      </c>
      <c r="BC15" s="50" t="n">
        <f aca="false">SUMIF($CB$4:$JS$4,BC$4,$CB15:$JS15)</f>
        <v>0</v>
      </c>
      <c r="BD15" s="50" t="n">
        <f aca="false">SUMIF($CB$4:$JS$4,BD$4,$CB15:$JS15)</f>
        <v>0</v>
      </c>
      <c r="BE15" s="50" t="n">
        <f aca="false">SUMIF($CB$4:$JS$4,BE$4,$CB15:$JS15)</f>
        <v>0</v>
      </c>
      <c r="BF15" s="50" t="n">
        <f aca="false">SUMIF($CB$4:$JS$4,BF$4,$CB15:$JS15)</f>
        <v>0</v>
      </c>
      <c r="BG15" s="50" t="n">
        <f aca="false">SUMIF($CB$4:$JS$4,BG$4,$CB15:$JS15)</f>
        <v>0</v>
      </c>
      <c r="BH15" s="50" t="n">
        <f aca="false">SUMIF($CB$4:$JS$4,BH$4,$CB15:$JS15)</f>
        <v>0</v>
      </c>
      <c r="BI15" s="50" t="n">
        <f aca="false">SUMIF($CB$4:$JS$4,BI$4,$CB15:$JS15)</f>
        <v>0</v>
      </c>
      <c r="BJ15" s="50" t="n">
        <f aca="false">SUMIF($CB$4:$JS$4,BJ$4,$CB15:$JS15)</f>
        <v>0</v>
      </c>
      <c r="BK15" s="50" t="n">
        <f aca="false">SUMIF($CB$4:$JS$4,BK$4,$CB15:$JS15)</f>
        <v>0</v>
      </c>
      <c r="BL15" s="50" t="n">
        <f aca="false">SUMIF($CB$4:$JS$4,BL$4,$CB15:$JS15)</f>
        <v>0</v>
      </c>
      <c r="BM15" s="50" t="n">
        <f aca="false">SUMIF($CB$4:$JS$4,BM$4,$CB15:$JS15)</f>
        <v>0</v>
      </c>
      <c r="BN15" s="50" t="n">
        <f aca="false">SUMIF($CB$4:$JS$4,BN$4,$CB15:$JS15)</f>
        <v>0</v>
      </c>
      <c r="BO15" s="50" t="n">
        <f aca="false">SUMIF($CB$4:$JS$4,BO$4,$CB15:$JS15)</f>
        <v>0</v>
      </c>
      <c r="BP15" s="50" t="n">
        <f aca="false">SUMIF($CB$4:$JS$4,BP$4,$CB15:$JS15)</f>
        <v>0</v>
      </c>
      <c r="BQ15" s="50" t="n">
        <f aca="false">SUMIF($CB$4:$JS$4,BQ$4,$CB15:$JS15)</f>
        <v>0</v>
      </c>
      <c r="BR15" s="50" t="n">
        <f aca="false">SUMIF($CB$4:$JS$4,BR$4,$CB15:$JS15)</f>
        <v>0</v>
      </c>
      <c r="BS15" s="50" t="n">
        <f aca="false">SUMIF($CB$4:$JS$4,BS$4,$CB15:$JS15)</f>
        <v>0</v>
      </c>
      <c r="BT15" s="50" t="n">
        <f aca="false">SUMIF($CB$4:$JS$4,BT$4,$CB15:$JS15)</f>
        <v>0</v>
      </c>
      <c r="BU15" s="50" t="n">
        <f aca="false">SUMIF($CB$4:$JS$4,BU$4,$CB15:$JS15)</f>
        <v>0</v>
      </c>
      <c r="BV15" s="50" t="n">
        <f aca="false">SUMIF($CB$4:$JS$4,BV$4,$CB15:$JS15)</f>
        <v>0</v>
      </c>
      <c r="BW15" s="50" t="n">
        <f aca="false">SUMIF($CB$4:$JS$4,BW$4,$CB15:$JS15)</f>
        <v>0</v>
      </c>
      <c r="BX15" s="50" t="n">
        <f aca="false">SUMIF($CB$4:$JS$4,"&gt;"&amp;'VALOR POR PL'!$P$8,$CB15:$JS15)</f>
        <v>0</v>
      </c>
      <c r="BY15" s="50" t="n">
        <f aca="false">SUM($CB15:$JS15)</f>
        <v>749102.79</v>
      </c>
      <c r="BZ15" s="45" t="n">
        <f aca="false">SUMPRODUCT(($CB$4:$JS$4&lt;&gt;"")*($CB$4:$JS$4&lt;=$D$4),$CB15:$JS15,$CB$1:$JS$1)</f>
        <v>0</v>
      </c>
      <c r="CB15" s="133" t="n">
        <f aca="false">IF(OR(CB$4="",$B15=""),0,SUMIF('DADOS BRUTOS'!$A$3:$A$500,$B15,'DADOS BRUTOS'!B$3:B$500)+IF($C15="",0,SUMIF('DADOS BRUTOS'!$A$3:$A$500,$C15,'DADOS BRUTOS'!B$3:B$500)))</f>
        <v>0</v>
      </c>
      <c r="CC15" s="133" t="n">
        <f aca="false">IF(OR(CC$4="",$B15=""),0,SUMIF('DADOS BRUTOS'!$A$3:$A$500,$B15,'DADOS BRUTOS'!C$3:C$500)+IF($C15="",0,SUMIF('DADOS BRUTOS'!$A$3:$A$500,$C15,'DADOS BRUTOS'!C$3:C$500)))</f>
        <v>0</v>
      </c>
      <c r="CD15" s="133" t="n">
        <f aca="false">IF(OR(CD$4="",$B15=""),0,SUMIF('DADOS BRUTOS'!$A$3:$A$500,$B15,'DADOS BRUTOS'!D$3:D$500)+IF($C15="",0,SUMIF('DADOS BRUTOS'!$A$3:$A$500,$C15,'DADOS BRUTOS'!D$3:D$500)))</f>
        <v>0</v>
      </c>
      <c r="CE15" s="133" t="n">
        <f aca="false">IF(OR(CE$4="",$B15=""),0,SUMIF('DADOS BRUTOS'!$A$3:$A$500,$B15,'DADOS BRUTOS'!E$3:E$500)+IF($C15="",0,SUMIF('DADOS BRUTOS'!$A$3:$A$500,$C15,'DADOS BRUTOS'!E$3:E$500)))</f>
        <v>0</v>
      </c>
      <c r="CF15" s="133" t="n">
        <f aca="false">IF(OR(CF$4="",$B15=""),0,SUMIF('DADOS BRUTOS'!$A$3:$A$500,$B15,'DADOS BRUTOS'!F$3:F$500)+IF($C15="",0,SUMIF('DADOS BRUTOS'!$A$3:$A$500,$C15,'DADOS BRUTOS'!F$3:F$500)))</f>
        <v>0</v>
      </c>
      <c r="CG15" s="133" t="n">
        <f aca="false">IF(OR(CG$4="",$B15=""),0,SUMIF('DADOS BRUTOS'!$A$3:$A$500,$B15,'DADOS BRUTOS'!G$3:G$500)+IF($C15="",0,SUMIF('DADOS BRUTOS'!$A$3:$A$500,$C15,'DADOS BRUTOS'!G$3:G$500)))</f>
        <v>0</v>
      </c>
      <c r="CH15" s="133" t="n">
        <f aca="false">IF(OR(CH$4="",$B15=""),0,SUMIF('DADOS BRUTOS'!$A$3:$A$500,$B15,'DADOS BRUTOS'!H$3:H$500)+IF($C15="",0,SUMIF('DADOS BRUTOS'!$A$3:$A$500,$C15,'DADOS BRUTOS'!H$3:H$500)))</f>
        <v>0</v>
      </c>
      <c r="CI15" s="133" t="n">
        <f aca="false">IF(OR(CI$4="",$B15=""),0,SUMIF('DADOS BRUTOS'!$A$3:$A$500,$B15,'DADOS BRUTOS'!I$3:I$500)+IF($C15="",0,SUMIF('DADOS BRUTOS'!$A$3:$A$500,$C15,'DADOS BRUTOS'!I$3:I$500)))</f>
        <v>0</v>
      </c>
      <c r="CJ15" s="133" t="n">
        <f aca="false">IF(OR(CJ$4="",$B15=""),0,SUMIF('DADOS BRUTOS'!$A$3:$A$500,$B15,'DADOS BRUTOS'!J$3:J$500)+IF($C15="",0,SUMIF('DADOS BRUTOS'!$A$3:$A$500,$C15,'DADOS BRUTOS'!J$3:J$500)))</f>
        <v>0</v>
      </c>
      <c r="CK15" s="133" t="n">
        <f aca="false">IF(OR(CK$4="",$B15=""),0,SUMIF('DADOS BRUTOS'!$A$3:$A$500,$B15,'DADOS BRUTOS'!K$3:K$500)+IF($C15="",0,SUMIF('DADOS BRUTOS'!$A$3:$A$500,$C15,'DADOS BRUTOS'!K$3:K$500)))</f>
        <v>0</v>
      </c>
      <c r="CL15" s="133" t="n">
        <f aca="false">IF(OR(CL$4="",$B15=""),0,SUMIF('DADOS BRUTOS'!$A$3:$A$500,$B15,'DADOS BRUTOS'!L$3:L$500)+IF($C15="",0,SUMIF('DADOS BRUTOS'!$A$3:$A$500,$C15,'DADOS BRUTOS'!L$3:L$500)))</f>
        <v>0</v>
      </c>
      <c r="CM15" s="133" t="n">
        <f aca="false">IF(OR(CM$4="",$B15=""),0,SUMIF('DADOS BRUTOS'!$A$3:$A$500,$B15,'DADOS BRUTOS'!M$3:M$500)+IF($C15="",0,SUMIF('DADOS BRUTOS'!$A$3:$A$500,$C15,'DADOS BRUTOS'!M$3:M$500)))</f>
        <v>0</v>
      </c>
      <c r="CN15" s="133" t="n">
        <f aca="false">IF(OR(CN$4="",$B15=""),0,SUMIF('DADOS BRUTOS'!$A$3:$A$500,$B15,'DADOS BRUTOS'!N$3:N$500)+IF($C15="",0,SUMIF('DADOS BRUTOS'!$A$3:$A$500,$C15,'DADOS BRUTOS'!N$3:N$500)))</f>
        <v>0</v>
      </c>
      <c r="CO15" s="133" t="n">
        <f aca="false">IF(OR(CO$4="",$B15=""),0,SUMIF('DADOS BRUTOS'!$A$3:$A$500,$B15,'DADOS BRUTOS'!O$3:O$500)+IF($C15="",0,SUMIF('DADOS BRUTOS'!$A$3:$A$500,$C15,'DADOS BRUTOS'!O$3:O$500)))</f>
        <v>0</v>
      </c>
      <c r="CP15" s="133" t="n">
        <f aca="false">IF(OR(CP$4="",$B15=""),0,SUMIF('DADOS BRUTOS'!$A$3:$A$500,$B15,'DADOS BRUTOS'!P$3:P$500)+IF($C15="",0,SUMIF('DADOS BRUTOS'!$A$3:$A$500,$C15,'DADOS BRUTOS'!P$3:P$500)))</f>
        <v>0</v>
      </c>
      <c r="CQ15" s="133" t="n">
        <f aca="false">IF(OR(CQ$4="",$B15=""),0,SUMIF('DADOS BRUTOS'!$A$3:$A$500,$B15,'DADOS BRUTOS'!Q$3:Q$500)+IF($C15="",0,SUMIF('DADOS BRUTOS'!$A$3:$A$500,$C15,'DADOS BRUTOS'!Q$3:Q$500)))</f>
        <v>0</v>
      </c>
      <c r="CR15" s="133" t="n">
        <f aca="false">IF(OR(CR$4="",$B15=""),0,SUMIF('DADOS BRUTOS'!$A$3:$A$500,$B15,'DADOS BRUTOS'!R$3:R$500)+IF($C15="",0,SUMIF('DADOS BRUTOS'!$A$3:$A$500,$C15,'DADOS BRUTOS'!R$3:R$500)))</f>
        <v>0</v>
      </c>
      <c r="CS15" s="133" t="n">
        <f aca="false">IF(OR(CS$4="",$B15=""),0,SUMIF('DADOS BRUTOS'!$A$3:$A$500,$B15,'DADOS BRUTOS'!S$3:S$500)+IF($C15="",0,SUMIF('DADOS BRUTOS'!$A$3:$A$500,$C15,'DADOS BRUTOS'!S$3:S$500)))</f>
        <v>0</v>
      </c>
      <c r="CT15" s="133" t="n">
        <f aca="false">IF(OR(CT$4="",$B15=""),0,SUMIF('DADOS BRUTOS'!$A$3:$A$500,$B15,'DADOS BRUTOS'!T$3:T$500)+IF($C15="",0,SUMIF('DADOS BRUTOS'!$A$3:$A$500,$C15,'DADOS BRUTOS'!T$3:T$500)))</f>
        <v>0</v>
      </c>
      <c r="CU15" s="133" t="n">
        <f aca="false">IF(OR(CU$4="",$B15=""),0,SUMIF('DADOS BRUTOS'!$A$3:$A$500,$B15,'DADOS BRUTOS'!U$3:U$500)+IF($C15="",0,SUMIF('DADOS BRUTOS'!$A$3:$A$500,$C15,'DADOS BRUTOS'!U$3:U$500)))</f>
        <v>672.9</v>
      </c>
      <c r="CV15" s="133" t="n">
        <f aca="false">IF(OR(CV$4="",$B15=""),0,SUMIF('DADOS BRUTOS'!$A$3:$A$500,$B15,'DADOS BRUTOS'!V$3:V$500)+IF($C15="",0,SUMIF('DADOS BRUTOS'!$A$3:$A$500,$C15,'DADOS BRUTOS'!V$3:V$500)))</f>
        <v>5281.41</v>
      </c>
      <c r="CW15" s="133" t="n">
        <f aca="false">IF(OR(CW$4="",$B15=""),0,SUMIF('DADOS BRUTOS'!$A$3:$A$500,$B15,'DADOS BRUTOS'!W$3:W$500)+IF($C15="",0,SUMIF('DADOS BRUTOS'!$A$3:$A$500,$C15,'DADOS BRUTOS'!W$3:W$500)))</f>
        <v>6232.49</v>
      </c>
      <c r="CX15" s="133" t="n">
        <f aca="false">IF(OR(CX$4="",$B15=""),0,SUMIF('DADOS BRUTOS'!$A$3:$A$500,$B15,'DADOS BRUTOS'!X$3:X$500)+IF($C15="",0,SUMIF('DADOS BRUTOS'!$A$3:$A$500,$C15,'DADOS BRUTOS'!X$3:X$500)))</f>
        <v>9500.17</v>
      </c>
      <c r="CY15" s="133" t="n">
        <f aca="false">IF(OR(CY$4="",$B15=""),0,SUMIF('DADOS BRUTOS'!$A$3:$A$500,$B15,'DADOS BRUTOS'!Y$3:Y$500)+IF($C15="",0,SUMIF('DADOS BRUTOS'!$A$3:$A$500,$C15,'DADOS BRUTOS'!Y$3:Y$500)))</f>
        <v>55945.36</v>
      </c>
      <c r="CZ15" s="133" t="n">
        <f aca="false">IF(OR(CZ$4="",$B15=""),0,SUMIF('DADOS BRUTOS'!$A$3:$A$500,$B15,'DADOS BRUTOS'!Z$3:Z$500)+IF($C15="",0,SUMIF('DADOS BRUTOS'!$A$3:$A$500,$C15,'DADOS BRUTOS'!Z$3:Z$500)))</f>
        <v>58948.93</v>
      </c>
      <c r="DA15" s="133" t="n">
        <f aca="false">IF(OR(DA$4="",$B15=""),0,SUMIF('DADOS BRUTOS'!$A$3:$A$500,$B15,'DADOS BRUTOS'!AA$3:AA$500)+IF($C15="",0,SUMIF('DADOS BRUTOS'!$A$3:$A$500,$C15,'DADOS BRUTOS'!AA$3:AA$500)))</f>
        <v>144547.58</v>
      </c>
      <c r="DB15" s="133" t="n">
        <f aca="false">IF(OR(DB$4="",$B15=""),0,SUMIF('DADOS BRUTOS'!$A$3:$A$500,$B15,'DADOS BRUTOS'!AB$3:AB$500)+IF($C15="",0,SUMIF('DADOS BRUTOS'!$A$3:$A$500,$C15,'DADOS BRUTOS'!AB$3:AB$500)))</f>
        <v>11787.59</v>
      </c>
      <c r="DC15" s="133" t="n">
        <f aca="false">IF(OR(DC$4="",$B15=""),0,SUMIF('DADOS BRUTOS'!$A$3:$A$500,$B15,'DADOS BRUTOS'!AC$3:AC$500)+IF($C15="",0,SUMIF('DADOS BRUTOS'!$A$3:$A$500,$C15,'DADOS BRUTOS'!AC$3:AC$500)))</f>
        <v>6734.81</v>
      </c>
      <c r="DD15" s="133" t="n">
        <f aca="false">IF(OR(DD$4="",$B15=""),0,SUMIF('DADOS BRUTOS'!$A$3:$A$500,$B15,'DADOS BRUTOS'!AD$3:AD$500)+IF($C15="",0,SUMIF('DADOS BRUTOS'!$A$3:$A$500,$C15,'DADOS BRUTOS'!AD$3:AD$500)))</f>
        <v>2323.6</v>
      </c>
      <c r="DE15" s="133" t="n">
        <f aca="false">IF(OR(DE$4="",$B15=""),0,SUMIF('DADOS BRUTOS'!$A$3:$A$500,$B15,'DADOS BRUTOS'!AE$3:AE$500)+IF($C15="",0,SUMIF('DADOS BRUTOS'!$A$3:$A$500,$C15,'DADOS BRUTOS'!AE$3:AE$500)))</f>
        <v>28516.02</v>
      </c>
      <c r="DF15" s="133" t="n">
        <f aca="false">IF(OR(DF$4="",$B15=""),0,SUMIF('DADOS BRUTOS'!$A$3:$A$500,$B15,'DADOS BRUTOS'!AF$3:AF$500)+IF($C15="",0,SUMIF('DADOS BRUTOS'!$A$3:$A$500,$C15,'DADOS BRUTOS'!AF$3:AF$500)))</f>
        <v>24451.29</v>
      </c>
      <c r="DG15" s="133" t="n">
        <f aca="false">IF(OR(DG$4="",$B15=""),0,SUMIF('DADOS BRUTOS'!$A$3:$A$500,$B15,'DADOS BRUTOS'!AG$3:AG$500)+IF($C15="",0,SUMIF('DADOS BRUTOS'!$A$3:$A$500,$C15,'DADOS BRUTOS'!AG$3:AG$500)))</f>
        <v>63176.57</v>
      </c>
      <c r="DH15" s="133" t="n">
        <f aca="false">IF(OR(DH$4="",$B15=""),0,SUMIF('DADOS BRUTOS'!$A$3:$A$500,$B15,'DADOS BRUTOS'!AH$3:AH$500)+IF($C15="",0,SUMIF('DADOS BRUTOS'!$A$3:$A$500,$C15,'DADOS BRUTOS'!AH$3:AH$500)))</f>
        <v>125549</v>
      </c>
      <c r="DI15" s="133" t="n">
        <f aca="false">IF(OR(DI$4="",$B15=""),0,SUMIF('DADOS BRUTOS'!$A$3:$A$500,$B15,'DADOS BRUTOS'!AI$3:AI$500)+IF($C15="",0,SUMIF('DADOS BRUTOS'!$A$3:$A$500,$C15,'DADOS BRUTOS'!AI$3:AI$500)))</f>
        <v>107406.86</v>
      </c>
      <c r="DJ15" s="133" t="n">
        <f aca="false">IF(OR(DJ$4="",$B15=""),0,SUMIF('DADOS BRUTOS'!$A$3:$A$500,$B15,'DADOS BRUTOS'!AJ$3:AJ$500)+IF($C15="",0,SUMIF('DADOS BRUTOS'!$A$3:$A$500,$C15,'DADOS BRUTOS'!AJ$3:AJ$500)))</f>
        <v>73087.59</v>
      </c>
      <c r="DK15" s="133" t="n">
        <f aca="false">IF(OR(DK$4="",$B15=""),0,SUMIF('DADOS BRUTOS'!$A$3:$A$500,$B15,'DADOS BRUTOS'!AK$3:AK$500)+IF($C15="",0,SUMIF('DADOS BRUTOS'!$A$3:$A$500,$C15,'DADOS BRUTOS'!AK$3:AK$500)))</f>
        <v>12181.83</v>
      </c>
      <c r="DL15" s="133" t="n">
        <f aca="false">IF(OR(DL$4="",$B15=""),0,SUMIF('DADOS BRUTOS'!$A$3:$A$500,$B15,'DADOS BRUTOS'!AL$3:AL$500)+IF($C15="",0,SUMIF('DADOS BRUTOS'!$A$3:$A$500,$C15,'DADOS BRUTOS'!AL$3:AL$500)))</f>
        <v>6653</v>
      </c>
      <c r="DM15" s="133" t="n">
        <f aca="false">IF(OR(DM$4="",$B15=""),0,SUMIF('DADOS BRUTOS'!$A$3:$A$500,$B15,'DADOS BRUTOS'!AM$3:AM$500)+IF($C15="",0,SUMIF('DADOS BRUTOS'!$A$3:$A$500,$C15,'DADOS BRUTOS'!AM$3:AM$500)))</f>
        <v>0</v>
      </c>
      <c r="DN15" s="133" t="n">
        <f aca="false">IF(OR(DN$4="",$B15=""),0,SUMIF('DADOS BRUTOS'!$A$3:$A$500,$B15,'DADOS BRUTOS'!AN$3:AN$500)+IF($C15="",0,SUMIF('DADOS BRUTOS'!$A$3:$A$500,$C15,'DADOS BRUTOS'!AN$3:AN$500)))</f>
        <v>1456.4</v>
      </c>
      <c r="DO15" s="133" t="n">
        <f aca="false">IF(OR(DO$4="",$B15=""),0,SUMIF('DADOS BRUTOS'!$A$3:$A$500,$B15,'DADOS BRUTOS'!AO$3:AO$500)+IF($C15="",0,SUMIF('DADOS BRUTOS'!$A$3:$A$500,$C15,'DADOS BRUTOS'!AO$3:AO$500)))</f>
        <v>1802.48</v>
      </c>
      <c r="DP15" s="133" t="n">
        <f aca="false">IF(OR(DP$4="",$B15=""),0,SUMIF('DADOS BRUTOS'!$A$3:$A$500,$B15,'DADOS BRUTOS'!AP$3:AP$500)+IF($C15="",0,SUMIF('DADOS BRUTOS'!$A$3:$A$500,$C15,'DADOS BRUTOS'!AP$3:AP$500)))</f>
        <v>0</v>
      </c>
      <c r="DQ15" s="133" t="n">
        <f aca="false">IF(OR(DQ$4="",$B15=""),0,SUMIF('DADOS BRUTOS'!$A$3:$A$500,$B15,'DADOS BRUTOS'!AQ$3:AQ$500)+IF($C15="",0,SUMIF('DADOS BRUTOS'!$A$3:$A$500,$C15,'DADOS BRUTOS'!AQ$3:AQ$500)))</f>
        <v>0</v>
      </c>
      <c r="DR15" s="133" t="n">
        <f aca="false">IF(OR(DR$4="",$B15=""),0,SUMIF('DADOS BRUTOS'!$A$3:$A$500,$B15,'DADOS BRUTOS'!AR$3:AR$500)+IF($C15="",0,SUMIF('DADOS BRUTOS'!$A$3:$A$500,$C15,'DADOS BRUTOS'!AR$3:AR$500)))</f>
        <v>0</v>
      </c>
      <c r="DS15" s="133" t="n">
        <f aca="false">IF(OR(DS$4="",$B15=""),0,SUMIF('DADOS BRUTOS'!$A$3:$A$500,$B15,'DADOS BRUTOS'!AS$3:AS$500)+IF($C15="",0,SUMIF('DADOS BRUTOS'!$A$3:$A$500,$C15,'DADOS BRUTOS'!AS$3:AS$500)))</f>
        <v>0</v>
      </c>
      <c r="DT15" s="133" t="n">
        <f aca="false">IF(OR(DT$4="",$B15=""),0,SUMIF('DADOS BRUTOS'!$A$3:$A$500,$B15,'DADOS BRUTOS'!AT$3:AT$500)+IF($C15="",0,SUMIF('DADOS BRUTOS'!$A$3:$A$500,$C15,'DADOS BRUTOS'!AT$3:AT$500)))</f>
        <v>0</v>
      </c>
      <c r="DU15" s="133" t="n">
        <f aca="false">IF(OR(DU$4="",$B15=""),0,SUMIF('DADOS BRUTOS'!$A$3:$A$500,$B15,'DADOS BRUTOS'!AU$3:AU$500)+IF($C15="",0,SUMIF('DADOS BRUTOS'!$A$3:$A$500,$C15,'DADOS BRUTOS'!AU$3:AU$500)))</f>
        <v>0</v>
      </c>
      <c r="DV15" s="133" t="n">
        <f aca="false">IF(OR(DV$4="",$B15=""),0,SUMIF('DADOS BRUTOS'!$A$3:$A$500,$B15,'DADOS BRUTOS'!AV$3:AV$500)+IF($C15="",0,SUMIF('DADOS BRUTOS'!$A$3:$A$500,$C15,'DADOS BRUTOS'!AV$3:AV$500)))</f>
        <v>0</v>
      </c>
      <c r="DW15" s="133" t="n">
        <f aca="false">IF(OR(DW$4="",$B15=""),0,SUMIF('DADOS BRUTOS'!$A$3:$A$500,$B15,'DADOS BRUTOS'!AW$3:AW$500)+IF($C15="",0,SUMIF('DADOS BRUTOS'!$A$3:$A$500,$C15,'DADOS BRUTOS'!AW$3:AW$500)))</f>
        <v>0</v>
      </c>
      <c r="DX15" s="133" t="n">
        <f aca="false">IF(OR(DX$4="",$B15=""),0,SUMIF('DADOS BRUTOS'!$A$3:$A$500,$B15,'DADOS BRUTOS'!AX$3:AX$500)+IF($C15="",0,SUMIF('DADOS BRUTOS'!$A$3:$A$500,$C15,'DADOS BRUTOS'!AX$3:AX$500)))</f>
        <v>0</v>
      </c>
      <c r="DY15" s="133" t="n">
        <f aca="false">IF(OR(DY$4="",$B15=""),0,SUMIF('DADOS BRUTOS'!$A$3:$A$500,$B15,'DADOS BRUTOS'!AY$3:AY$500)+IF($C15="",0,SUMIF('DADOS BRUTOS'!$A$3:$A$500,$C15,'DADOS BRUTOS'!AY$3:AY$500)))</f>
        <v>0</v>
      </c>
      <c r="DZ15" s="133" t="n">
        <f aca="false">IF(OR(DZ$4="",$B15=""),0,SUMIF('DADOS BRUTOS'!$A$3:$A$500,$B15,'DADOS BRUTOS'!AZ$3:AZ$500)+IF($C15="",0,SUMIF('DADOS BRUTOS'!$A$3:$A$500,$C15,'DADOS BRUTOS'!AZ$3:AZ$500)))</f>
        <v>0</v>
      </c>
      <c r="EA15" s="133" t="n">
        <f aca="false">IF(OR(EA$4="",$B15=""),0,SUMIF('DADOS BRUTOS'!$A$3:$A$500,$B15,'DADOS BRUTOS'!BA$3:BA$500)+IF($C15="",0,SUMIF('DADOS BRUTOS'!$A$3:$A$500,$C15,'DADOS BRUTOS'!BA$3:BA$500)))</f>
        <v>0</v>
      </c>
      <c r="EB15" s="133" t="n">
        <f aca="false">IF(OR(EB$4="",$B15=""),0,SUMIF('DADOS BRUTOS'!$A$3:$A$500,$B15,'DADOS BRUTOS'!BB$3:BB$500)+IF($C15="",0,SUMIF('DADOS BRUTOS'!$A$3:$A$500,$C15,'DADOS BRUTOS'!BB$3:BB$500)))</f>
        <v>0</v>
      </c>
      <c r="EC15" s="133" t="n">
        <f aca="false">IF(OR(EC$4="",$B15=""),0,SUMIF('DADOS BRUTOS'!$A$3:$A$500,$B15,'DADOS BRUTOS'!BC$3:BC$500)+IF($C15="",0,SUMIF('DADOS BRUTOS'!$A$3:$A$500,$C15,'DADOS BRUTOS'!BC$3:BC$500)))</f>
        <v>0</v>
      </c>
      <c r="ED15" s="133" t="n">
        <f aca="false">IF(OR(ED$4="",$B15=""),0,SUMIF('DADOS BRUTOS'!$A$3:$A$500,$B15,'DADOS BRUTOS'!BD$3:BD$500)+IF($C15="",0,SUMIF('DADOS BRUTOS'!$A$3:$A$500,$C15,'DADOS BRUTOS'!BD$3:BD$500)))</f>
        <v>0</v>
      </c>
      <c r="EE15" s="133" t="n">
        <f aca="false">IF(OR(EE$4="",$B15=""),0,SUMIF('DADOS BRUTOS'!$A$3:$A$500,$B15,'DADOS BRUTOS'!BE$3:BE$500)+IF($C15="",0,SUMIF('DADOS BRUTOS'!$A$3:$A$500,$C15,'DADOS BRUTOS'!BE$3:BE$500)))</f>
        <v>2846.91</v>
      </c>
      <c r="EF15" s="133" t="n">
        <f aca="false">IF(OR(EF$4="",$B15=""),0,SUMIF('DADOS BRUTOS'!$A$3:$A$500,$B15,'DADOS BRUTOS'!BF$3:BF$500)+IF($C15="",0,SUMIF('DADOS BRUTOS'!$A$3:$A$500,$C15,'DADOS BRUTOS'!BF$3:BF$500)))</f>
        <v>0</v>
      </c>
      <c r="EG15" s="133" t="n">
        <f aca="false">IF(OR(EG$4="",$B15=""),0,SUMIF('DADOS BRUTOS'!$A$3:$A$500,$B15,'DADOS BRUTOS'!BG$3:BG$500)+IF($C15="",0,SUMIF('DADOS BRUTOS'!$A$3:$A$500,$C15,'DADOS BRUTOS'!BG$3:BG$500)))</f>
        <v>0</v>
      </c>
      <c r="EH15" s="133" t="n">
        <f aca="false">IF(OR(EH$4="",$B15=""),0,SUMIF('DADOS BRUTOS'!$A$3:$A$500,$B15,'DADOS BRUTOS'!BH$3:BH$500)+IF($C15="",0,SUMIF('DADOS BRUTOS'!$A$3:$A$500,$C15,'DADOS BRUTOS'!BH$3:BH$500)))</f>
        <v>0</v>
      </c>
      <c r="EI15" s="133" t="n">
        <f aca="false">IF(OR(EI$4="",$B15=""),0,SUMIF('DADOS BRUTOS'!$A$3:$A$500,$B15,'DADOS BRUTOS'!BI$3:BI$500)+IF($C15="",0,SUMIF('DADOS BRUTOS'!$A$3:$A$500,$C15,'DADOS BRUTOS'!BI$3:BI$500)))</f>
        <v>0</v>
      </c>
      <c r="EJ15" s="133" t="n">
        <f aca="false">IF(OR(EJ$4="",$B15=""),0,SUMIF('DADOS BRUTOS'!$A$3:$A$500,$B15,'DADOS BRUTOS'!BJ$3:BJ$500)+IF($C15="",0,SUMIF('DADOS BRUTOS'!$A$3:$A$500,$C15,'DADOS BRUTOS'!BJ$3:BJ$500)))</f>
        <v>0</v>
      </c>
      <c r="EK15" s="133" t="n">
        <f aca="false">IF(OR(EK$4="",$B15=""),0,SUMIF('DADOS BRUTOS'!$A$3:$A$500,$B15,'DADOS BRUTOS'!BK$3:BK$500)+IF($C15="",0,SUMIF('DADOS BRUTOS'!$A$3:$A$500,$C15,'DADOS BRUTOS'!BK$3:BK$500)))</f>
        <v>0</v>
      </c>
      <c r="EL15" s="133" t="n">
        <f aca="false">IF(OR(EL$4="",$B15=""),0,SUMIF('DADOS BRUTOS'!$A$3:$A$500,$B15,'DADOS BRUTOS'!BL$3:BL$500)+IF($C15="",0,SUMIF('DADOS BRUTOS'!$A$3:$A$500,$C15,'DADOS BRUTOS'!BL$3:BL$500)))</f>
        <v>0</v>
      </c>
      <c r="EM15" s="133" t="n">
        <f aca="false">IF(OR(EM$4="",$B15=""),0,SUMIF('DADOS BRUTOS'!$A$3:$A$500,$B15,'DADOS BRUTOS'!BM$3:BM$500)+IF($C15="",0,SUMIF('DADOS BRUTOS'!$A$3:$A$500,$C15,'DADOS BRUTOS'!BM$3:BM$500)))</f>
        <v>0</v>
      </c>
      <c r="EN15" s="133" t="n">
        <f aca="false">IF(OR(EN$4="",$B15=""),0,SUMIF('DADOS BRUTOS'!$A$3:$A$500,$B15,'DADOS BRUTOS'!BN$3:BN$500)+IF($C15="",0,SUMIF('DADOS BRUTOS'!$A$3:$A$500,$C15,'DADOS BRUTOS'!BN$3:BN$500)))</f>
        <v>0</v>
      </c>
      <c r="EO15" s="133" t="n">
        <f aca="false">IF(OR(EO$4="",$B15=""),0,SUMIF('DADOS BRUTOS'!$A$3:$A$500,$B15,'DADOS BRUTOS'!BO$3:BO$500)+IF($C15="",0,SUMIF('DADOS BRUTOS'!$A$3:$A$500,$C15,'DADOS BRUTOS'!BO$3:BO$500)))</f>
        <v>0</v>
      </c>
      <c r="EP15" s="133" t="n">
        <f aca="false">IF(OR(EP$4="",$B15=""),0,SUMIF('DADOS BRUTOS'!$A$3:$A$500,$B15,'DADOS BRUTOS'!BP$3:BP$500)+IF($C15="",0,SUMIF('DADOS BRUTOS'!$A$3:$A$500,$C15,'DADOS BRUTOS'!BP$3:BP$500)))</f>
        <v>0</v>
      </c>
      <c r="EQ15" s="133" t="n">
        <f aca="false">IF(OR(EQ$4="",$B15=""),0,SUMIF('DADOS BRUTOS'!$A$3:$A$500,$B15,'DADOS BRUTOS'!BQ$3:BQ$500)+IF($C15="",0,SUMIF('DADOS BRUTOS'!$A$3:$A$500,$C15,'DADOS BRUTOS'!BQ$3:BQ$500)))</f>
        <v>0</v>
      </c>
      <c r="ER15" s="133" t="n">
        <f aca="false">IF(OR(ER$4="",$B15=""),0,SUMIF('DADOS BRUTOS'!$A$3:$A$500,$B15,'DADOS BRUTOS'!BR$3:BR$500)+IF($C15="",0,SUMIF('DADOS BRUTOS'!$A$3:$A$500,$C15,'DADOS BRUTOS'!BR$3:BR$500)))</f>
        <v>0</v>
      </c>
      <c r="ES15" s="133" t="n">
        <f aca="false">IF(OR(ES$4="",$B15=""),0,SUMIF('DADOS BRUTOS'!$A$3:$A$500,$B15,'DADOS BRUTOS'!BS$3:BS$500)+IF($C15="",0,SUMIF('DADOS BRUTOS'!$A$3:$A$500,$C15,'DADOS BRUTOS'!BS$3:BS$500)))</f>
        <v>0</v>
      </c>
      <c r="ET15" s="133" t="n">
        <f aca="false">IF(OR(ET$4="",$B15=""),0,SUMIF('DADOS BRUTOS'!$A$3:$A$500,$B15,'DADOS BRUTOS'!BT$3:BT$500)+IF($C15="",0,SUMIF('DADOS BRUTOS'!$A$3:$A$500,$C15,'DADOS BRUTOS'!BT$3:BT$500)))</f>
        <v>0</v>
      </c>
      <c r="EU15" s="133" t="n">
        <f aca="false">IF(OR(EU$4="",$B15=""),0,SUMIF('DADOS BRUTOS'!$A$3:$A$500,$B15,'DADOS BRUTOS'!BU$3:BU$500)+IF($C15="",0,SUMIF('DADOS BRUTOS'!$A$3:$A$500,$C15,'DADOS BRUTOS'!BU$3:BU$500)))</f>
        <v>0</v>
      </c>
      <c r="EV15" s="133" t="n">
        <f aca="false">IF(OR(EV$4="",$B15=""),0,SUMIF('DADOS BRUTOS'!$A$3:$A$500,$B15,'DADOS BRUTOS'!BV$3:BV$500)+IF($C15="",0,SUMIF('DADOS BRUTOS'!$A$3:$A$500,$C15,'DADOS BRUTOS'!BV$3:BV$500)))</f>
        <v>0</v>
      </c>
      <c r="EW15" s="133" t="n">
        <f aca="false">IF(OR(EW$4="",$B15=""),0,SUMIF('DADOS BRUTOS'!$A$3:$A$500,$B15,'DADOS BRUTOS'!BW$3:BW$500)+IF($C15="",0,SUMIF('DADOS BRUTOS'!$A$3:$A$500,$C15,'DADOS BRUTOS'!BW$3:BW$500)))</f>
        <v>0</v>
      </c>
      <c r="EX15" s="133" t="n">
        <f aca="false">IF(OR(EX$4="",$B15=""),0,SUMIF('DADOS BRUTOS'!$A$3:$A$500,$B15,'DADOS BRUTOS'!BX$3:BX$500)+IF($C15="",0,SUMIF('DADOS BRUTOS'!$A$3:$A$500,$C15,'DADOS BRUTOS'!BX$3:BX$500)))</f>
        <v>0</v>
      </c>
      <c r="EY15" s="133" t="n">
        <f aca="false">IF(OR(EY$4="",$B15=""),0,SUMIF('DADOS BRUTOS'!$A$3:$A$500,$B15,'DADOS BRUTOS'!BY$3:BY$500)+IF($C15="",0,SUMIF('DADOS BRUTOS'!$A$3:$A$500,$C15,'DADOS BRUTOS'!BY$3:BY$500)))</f>
        <v>0</v>
      </c>
      <c r="EZ15" s="133" t="n">
        <f aca="false">IF(OR(EZ$4="",$B15=""),0,SUMIF('DADOS BRUTOS'!$A$3:$A$500,$B15,'DADOS BRUTOS'!BZ$3:BZ$500)+IF($C15="",0,SUMIF('DADOS BRUTOS'!$A$3:$A$500,$C15,'DADOS BRUTOS'!BZ$3:BZ$500)))</f>
        <v>0</v>
      </c>
      <c r="FA15" s="133" t="n">
        <f aca="false">IF(OR(FA$4="",$B15=""),0,SUMIF('DADOS BRUTOS'!$A$3:$A$500,$B15,'DADOS BRUTOS'!CA$3:CA$500)+IF($C15="",0,SUMIF('DADOS BRUTOS'!$A$3:$A$500,$C15,'DADOS BRUTOS'!CA$3:CA$500)))</f>
        <v>0</v>
      </c>
      <c r="FB15" s="133" t="n">
        <f aca="false">IF(OR(FB$4="",$B15=""),0,SUMIF('DADOS BRUTOS'!$A$3:$A$500,$B15,'DADOS BRUTOS'!CB$3:CB$500)+IF($C15="",0,SUMIF('DADOS BRUTOS'!$A$3:$A$500,$C15,'DADOS BRUTOS'!CB$3:CB$500)))</f>
        <v>0</v>
      </c>
      <c r="FC15" s="133" t="n">
        <f aca="false">IF(OR(FC$4="",$B15=""),0,SUMIF('DADOS BRUTOS'!$A$3:$A$500,$B15,'DADOS BRUTOS'!CC$3:CC$500)+IF($C15="",0,SUMIF('DADOS BRUTOS'!$A$3:$A$500,$C15,'DADOS BRUTOS'!CC$3:CC$500)))</f>
        <v>0</v>
      </c>
      <c r="FD15" s="133" t="n">
        <f aca="false">IF(OR(FD$4="",$B15=""),0,SUMIF('DADOS BRUTOS'!$A$3:$A$500,$B15,'DADOS BRUTOS'!CD$3:CD$500)+IF($C15="",0,SUMIF('DADOS BRUTOS'!$A$3:$A$500,$C15,'DADOS BRUTOS'!CD$3:CD$500)))</f>
        <v>0</v>
      </c>
      <c r="FE15" s="133" t="n">
        <f aca="false">IF(OR(FE$4="",$B15=""),0,SUMIF('DADOS BRUTOS'!$A$3:$A$500,$B15,'DADOS BRUTOS'!CE$3:CE$500)+IF($C15="",0,SUMIF('DADOS BRUTOS'!$A$3:$A$500,$C15,'DADOS BRUTOS'!CE$3:CE$500)))</f>
        <v>0</v>
      </c>
      <c r="FF15" s="133" t="n">
        <f aca="false">IF(OR(FF$4="",$B15=""),0,SUMIF('DADOS BRUTOS'!$A$3:$A$500,$B15,'DADOS BRUTOS'!CF$3:CF$500)+IF($C15="",0,SUMIF('DADOS BRUTOS'!$A$3:$A$500,$C15,'DADOS BRUTOS'!CF$3:CF$500)))</f>
        <v>0</v>
      </c>
      <c r="FG15" s="133" t="n">
        <f aca="false">IF(OR(FG$4="",$B15=""),0,SUMIF('DADOS BRUTOS'!$A$3:$A$500,$B15,'DADOS BRUTOS'!CG$3:CG$500)+IF($C15="",0,SUMIF('DADOS BRUTOS'!$A$3:$A$500,$C15,'DADOS BRUTOS'!CG$3:CG$500)))</f>
        <v>0</v>
      </c>
      <c r="FH15" s="133" t="n">
        <f aca="false">IF(OR(FH$4="",$B15=""),0,SUMIF('DADOS BRUTOS'!$A$3:$A$500,$B15,'DADOS BRUTOS'!CH$3:CH$500)+IF($C15="",0,SUMIF('DADOS BRUTOS'!$A$3:$A$500,$C15,'DADOS BRUTOS'!CH$3:CH$500)))</f>
        <v>0</v>
      </c>
      <c r="FI15" s="133" t="n">
        <f aca="false">IF(OR(FI$4="",$B15=""),0,SUMIF('DADOS BRUTOS'!$A$3:$A$500,$B15,'DADOS BRUTOS'!CI$3:CI$500)+IF($C15="",0,SUMIF('DADOS BRUTOS'!$A$3:$A$500,$C15,'DADOS BRUTOS'!CI$3:CI$500)))</f>
        <v>0</v>
      </c>
      <c r="FJ15" s="133" t="n">
        <f aca="false">IF(OR(FJ$4="",$B15=""),0,SUMIF('DADOS BRUTOS'!$A$3:$A$500,$B15,'DADOS BRUTOS'!CJ$3:CJ$500)+IF($C15="",0,SUMIF('DADOS BRUTOS'!$A$3:$A$500,$C15,'DADOS BRUTOS'!CJ$3:CJ$500)))</f>
        <v>0</v>
      </c>
      <c r="FK15" s="133" t="n">
        <f aca="false">IF(OR(FK$4="",$B15=""),0,SUMIF('DADOS BRUTOS'!$A$3:$A$500,$B15,'DADOS BRUTOS'!CK$3:CK$500)+IF($C15="",0,SUMIF('DADOS BRUTOS'!$A$3:$A$500,$C15,'DADOS BRUTOS'!CK$3:CK$500)))</f>
        <v>0</v>
      </c>
      <c r="FL15" s="133" t="n">
        <f aca="false">IF(OR(FL$4="",$B15=""),0,SUMIF('DADOS BRUTOS'!$A$3:$A$500,$B15,'DADOS BRUTOS'!CL$3:CL$500)+IF($C15="",0,SUMIF('DADOS BRUTOS'!$A$3:$A$500,$C15,'DADOS BRUTOS'!CL$3:CL$500)))</f>
        <v>0</v>
      </c>
      <c r="FM15" s="133" t="n">
        <f aca="false">IF(OR(FM$4="",$B15=""),0,SUMIF('DADOS BRUTOS'!$A$3:$A$500,$B15,'DADOS BRUTOS'!CM$3:CM$500)+IF($C15="",0,SUMIF('DADOS BRUTOS'!$A$3:$A$500,$C15,'DADOS BRUTOS'!CM$3:CM$500)))</f>
        <v>0</v>
      </c>
      <c r="FN15" s="133" t="n">
        <f aca="false">IF(OR(FN$4="",$B15=""),0,SUMIF('DADOS BRUTOS'!$A$3:$A$500,$B15,'DADOS BRUTOS'!CN$3:CN$500)+IF($C15="",0,SUMIF('DADOS BRUTOS'!$A$3:$A$500,$C15,'DADOS BRUTOS'!CN$3:CN$500)))</f>
        <v>0</v>
      </c>
      <c r="FO15" s="133" t="n">
        <f aca="false">IF(OR(FO$4="",$B15=""),0,SUMIF('DADOS BRUTOS'!$A$3:$A$500,$B15,'DADOS BRUTOS'!CO$3:CO$500)+IF($C15="",0,SUMIF('DADOS BRUTOS'!$A$3:$A$500,$C15,'DADOS BRUTOS'!CO$3:CO$500)))</f>
        <v>0</v>
      </c>
      <c r="FP15" s="133" t="n">
        <f aca="false">IF(OR(FP$4="",$B15=""),0,SUMIF('DADOS BRUTOS'!$A$3:$A$500,$B15,'DADOS BRUTOS'!CP$3:CP$500)+IF($C15="",0,SUMIF('DADOS BRUTOS'!$A$3:$A$500,$C15,'DADOS BRUTOS'!CP$3:CP$500)))</f>
        <v>0</v>
      </c>
      <c r="FQ15" s="133" t="n">
        <f aca="false">IF(OR(FQ$4="",$B15=""),0,SUMIF('DADOS BRUTOS'!$A$3:$A$500,$B15,'DADOS BRUTOS'!CQ$3:CQ$500)+IF($C15="",0,SUMIF('DADOS BRUTOS'!$A$3:$A$500,$C15,'DADOS BRUTOS'!CQ$3:CQ$500)))</f>
        <v>0</v>
      </c>
      <c r="FR15" s="133" t="n">
        <f aca="false">IF(OR(FR$4="",$B15=""),0,SUMIF('DADOS BRUTOS'!$A$3:$A$500,$B15,'DADOS BRUTOS'!CR$3:CR$500)+IF($C15="",0,SUMIF('DADOS BRUTOS'!$A$3:$A$500,$C15,'DADOS BRUTOS'!CR$3:CR$500)))</f>
        <v>0</v>
      </c>
      <c r="FS15" s="133" t="n">
        <f aca="false">IF(OR(FS$4="",$B15=""),0,SUMIF('DADOS BRUTOS'!$A$3:$A$500,$B15,'DADOS BRUTOS'!CS$3:CS$500)+IF($C15="",0,SUMIF('DADOS BRUTOS'!$A$3:$A$500,$C15,'DADOS BRUTOS'!CS$3:CS$500)))</f>
        <v>0</v>
      </c>
      <c r="FT15" s="133" t="n">
        <f aca="false">IF(OR(FT$4="",$B15=""),0,SUMIF('DADOS BRUTOS'!$A$3:$A$500,$B15,'DADOS BRUTOS'!CT$3:CT$500)+IF($C15="",0,SUMIF('DADOS BRUTOS'!$A$3:$A$500,$C15,'DADOS BRUTOS'!CT$3:CT$500)))</f>
        <v>0</v>
      </c>
      <c r="FU15" s="133" t="n">
        <f aca="false">IF(OR(FU$4="",$B15=""),0,SUMIF('DADOS BRUTOS'!$A$3:$A$500,$B15,'DADOS BRUTOS'!CU$3:CU$500)+IF($C15="",0,SUMIF('DADOS BRUTOS'!$A$3:$A$500,$C15,'DADOS BRUTOS'!CU$3:CU$500)))</f>
        <v>0</v>
      </c>
      <c r="FV15" s="133" t="n">
        <f aca="false">IF(OR(FV$4="",$B15=""),0,SUMIF('DADOS BRUTOS'!$A$3:$A$500,$B15,'DADOS BRUTOS'!CV$3:CV$500)+IF($C15="",0,SUMIF('DADOS BRUTOS'!$A$3:$A$500,$C15,'DADOS BRUTOS'!CV$3:CV$500)))</f>
        <v>0</v>
      </c>
      <c r="FW15" s="133" t="n">
        <f aca="false">IF(OR(FW$4="",$B15=""),0,SUMIF('DADOS BRUTOS'!$A$3:$A$500,$B15,'DADOS BRUTOS'!CW$3:CW$500)+IF($C15="",0,SUMIF('DADOS BRUTOS'!$A$3:$A$500,$C15,'DADOS BRUTOS'!CW$3:CW$500)))</f>
        <v>0</v>
      </c>
      <c r="FX15" s="133" t="n">
        <f aca="false">IF(OR(FX$4="",$B15=""),0,SUMIF('DADOS BRUTOS'!$A$3:$A$500,$B15,'DADOS BRUTOS'!CX$3:CX$500)+IF($C15="",0,SUMIF('DADOS BRUTOS'!$A$3:$A$500,$C15,'DADOS BRUTOS'!CX$3:CX$500)))</f>
        <v>0</v>
      </c>
      <c r="FY15" s="133" t="n">
        <f aca="false">IF(OR(FY$4="",$B15=""),0,SUMIF('DADOS BRUTOS'!$A$3:$A$500,$B15,'DADOS BRUTOS'!CY$3:CY$500)+IF($C15="",0,SUMIF('DADOS BRUTOS'!$A$3:$A$500,$C15,'DADOS BRUTOS'!CY$3:CY$500)))</f>
        <v>0</v>
      </c>
      <c r="FZ15" s="133" t="n">
        <f aca="false">IF(OR(FZ$4="",$B15=""),0,SUMIF('DADOS BRUTOS'!$A$3:$A$500,$B15,'DADOS BRUTOS'!CZ$3:CZ$500)+IF($C15="",0,SUMIF('DADOS BRUTOS'!$A$3:$A$500,$C15,'DADOS BRUTOS'!CZ$3:CZ$500)))</f>
        <v>0</v>
      </c>
      <c r="GA15" s="133" t="n">
        <f aca="false">IF(OR(GA$4="",$B15=""),0,SUMIF('DADOS BRUTOS'!$A$3:$A$500,$B15,'DADOS BRUTOS'!DA$3:DA$500)+IF($C15="",0,SUMIF('DADOS BRUTOS'!$A$3:$A$500,$C15,'DADOS BRUTOS'!DA$3:DA$500)))</f>
        <v>0</v>
      </c>
      <c r="GB15" s="133" t="n">
        <f aca="false">IF(OR(GB$4="",$B15=""),0,SUMIF('DADOS BRUTOS'!$A$3:$A$500,$B15,'DADOS BRUTOS'!DB$3:DB$500)+IF($C15="",0,SUMIF('DADOS BRUTOS'!$A$3:$A$500,$C15,'DADOS BRUTOS'!DB$3:DB$500)))</f>
        <v>0</v>
      </c>
      <c r="GC15" s="133" t="n">
        <f aca="false">IF(OR(GC$4="",$B15=""),0,SUMIF('DADOS BRUTOS'!$A$3:$A$500,$B15,'DADOS BRUTOS'!DC$3:DC$500)+IF($C15="",0,SUMIF('DADOS BRUTOS'!$A$3:$A$500,$C15,'DADOS BRUTOS'!DC$3:DC$500)))</f>
        <v>0</v>
      </c>
      <c r="GD15" s="133" t="n">
        <f aca="false">IF(OR(GD$4="",$B15=""),0,SUMIF('DADOS BRUTOS'!$A$3:$A$500,$B15,'DADOS BRUTOS'!DD$3:DD$500)+IF($C15="",0,SUMIF('DADOS BRUTOS'!$A$3:$A$500,$C15,'DADOS BRUTOS'!DD$3:DD$500)))</f>
        <v>0</v>
      </c>
      <c r="GE15" s="133" t="n">
        <f aca="false">IF(OR(GE$4="",$B15=""),0,SUMIF('DADOS BRUTOS'!$A$3:$A$500,$B15,'DADOS BRUTOS'!DE$3:DE$500)+IF($C15="",0,SUMIF('DADOS BRUTOS'!$A$3:$A$500,$C15,'DADOS BRUTOS'!DE$3:DE$500)))</f>
        <v>0</v>
      </c>
      <c r="GF15" s="133" t="n">
        <f aca="false">IF(OR(GF$4="",$B15=""),0,SUMIF('DADOS BRUTOS'!$A$3:$A$500,$B15,'DADOS BRUTOS'!DF$3:DF$500)+IF($C15="",0,SUMIF('DADOS BRUTOS'!$A$3:$A$500,$C15,'DADOS BRUTOS'!DF$3:DF$500)))</f>
        <v>0</v>
      </c>
      <c r="GG15" s="133" t="n">
        <f aca="false">IF(OR(GG$4="",$B15=""),0,SUMIF('DADOS BRUTOS'!$A$3:$A$500,$B15,'DADOS BRUTOS'!DG$3:DG$500)+IF($C15="",0,SUMIF('DADOS BRUTOS'!$A$3:$A$500,$C15,'DADOS BRUTOS'!DG$3:DG$500)))</f>
        <v>0</v>
      </c>
      <c r="GH15" s="133" t="n">
        <f aca="false">IF(OR(GH$4="",$B15=""),0,SUMIF('DADOS BRUTOS'!$A$3:$A$500,$B15,'DADOS BRUTOS'!DH$3:DH$500)+IF($C15="",0,SUMIF('DADOS BRUTOS'!$A$3:$A$500,$C15,'DADOS BRUTOS'!DH$3:DH$500)))</f>
        <v>0</v>
      </c>
      <c r="GI15" s="133" t="n">
        <f aca="false">IF(OR(GI$4="",$B15=""),0,SUMIF('DADOS BRUTOS'!$A$3:$A$500,$B15,'DADOS BRUTOS'!DI$3:DI$500)+IF($C15="",0,SUMIF('DADOS BRUTOS'!$A$3:$A$500,$C15,'DADOS BRUTOS'!DI$3:DI$500)))</f>
        <v>0</v>
      </c>
      <c r="GJ15" s="133" t="n">
        <f aca="false">IF(OR(GJ$4="",$B15=""),0,SUMIF('DADOS BRUTOS'!$A$3:$A$500,$B15,'DADOS BRUTOS'!DJ$3:DJ$500)+IF($C15="",0,SUMIF('DADOS BRUTOS'!$A$3:$A$500,$C15,'DADOS BRUTOS'!DJ$3:DJ$500)))</f>
        <v>0</v>
      </c>
      <c r="GK15" s="133" t="n">
        <f aca="false">IF(OR(GK$4="",$B15=""),0,SUMIF('DADOS BRUTOS'!$A$3:$A$500,$B15,'DADOS BRUTOS'!DK$3:DK$500)+IF($C15="",0,SUMIF('DADOS BRUTOS'!$A$3:$A$500,$C15,'DADOS BRUTOS'!DK$3:DK$500)))</f>
        <v>0</v>
      </c>
      <c r="GL15" s="133" t="n">
        <f aca="false">IF(OR(GL$4="",$B15=""),0,SUMIF('DADOS BRUTOS'!$A$3:$A$500,$B15,'DADOS BRUTOS'!DL$3:DL$500)+IF($C15="",0,SUMIF('DADOS BRUTOS'!$A$3:$A$500,$C15,'DADOS BRUTOS'!DL$3:DL$500)))</f>
        <v>0</v>
      </c>
      <c r="GM15" s="133" t="n">
        <f aca="false">IF(OR(GM$4="",$B15=""),0,SUMIF('DADOS BRUTOS'!$A$3:$A$500,$B15,'DADOS BRUTOS'!DM$3:DM$500)+IF($C15="",0,SUMIF('DADOS BRUTOS'!$A$3:$A$500,$C15,'DADOS BRUTOS'!DM$3:DM$500)))</f>
        <v>0</v>
      </c>
      <c r="GN15" s="133" t="n">
        <f aca="false">IF(OR(GN$4="",$B15=""),0,SUMIF('DADOS BRUTOS'!$A$3:$A$500,$B15,'DADOS BRUTOS'!DN$3:DN$500)+IF($C15="",0,SUMIF('DADOS BRUTOS'!$A$3:$A$500,$C15,'DADOS BRUTOS'!DN$3:DN$500)))</f>
        <v>0</v>
      </c>
      <c r="GO15" s="133" t="n">
        <f aca="false">IF(OR(GO$4="",$B15=""),0,SUMIF('DADOS BRUTOS'!$A$3:$A$500,$B15,'DADOS BRUTOS'!DO$3:DO$500)+IF($C15="",0,SUMIF('DADOS BRUTOS'!$A$3:$A$500,$C15,'DADOS BRUTOS'!DO$3:DO$500)))</f>
        <v>0</v>
      </c>
      <c r="GP15" s="133" t="n">
        <f aca="false">IF(OR(GP$4="",$B15=""),0,SUMIF('DADOS BRUTOS'!$A$3:$A$500,$B15,'DADOS BRUTOS'!DP$3:DP$500)+IF($C15="",0,SUMIF('DADOS BRUTOS'!$A$3:$A$500,$C15,'DADOS BRUTOS'!DP$3:DP$500)))</f>
        <v>0</v>
      </c>
      <c r="GQ15" s="133" t="n">
        <f aca="false">IF(OR(GQ$4="",$B15=""),0,SUMIF('DADOS BRUTOS'!$A$3:$A$500,$B15,'DADOS BRUTOS'!DQ$3:DQ$500)+IF($C15="",0,SUMIF('DADOS BRUTOS'!$A$3:$A$500,$C15,'DADOS BRUTOS'!DQ$3:DQ$500)))</f>
        <v>0</v>
      </c>
      <c r="GR15" s="133" t="n">
        <f aca="false">IF(OR(GR$4="",$B15=""),0,SUMIF('DADOS BRUTOS'!$A$3:$A$500,$B15,'DADOS BRUTOS'!DR$3:DR$500)+IF($C15="",0,SUMIF('DADOS BRUTOS'!$A$3:$A$500,$C15,'DADOS BRUTOS'!DR$3:DR$500)))</f>
        <v>0</v>
      </c>
      <c r="GS15" s="133" t="n">
        <f aca="false">IF(OR(GS$4="",$B15=""),0,SUMIF('DADOS BRUTOS'!$A$3:$A$500,$B15,'DADOS BRUTOS'!DS$3:DS$500)+IF($C15="",0,SUMIF('DADOS BRUTOS'!$A$3:$A$500,$C15,'DADOS BRUTOS'!DS$3:DS$500)))</f>
        <v>0</v>
      </c>
      <c r="GT15" s="133" t="n">
        <f aca="false">IF(OR(GT$4="",$B15=""),0,SUMIF('DADOS BRUTOS'!$A$3:$A$500,$B15,'DADOS BRUTOS'!DT$3:DT$500)+IF($C15="",0,SUMIF('DADOS BRUTOS'!$A$3:$A$500,$C15,'DADOS BRUTOS'!DT$3:DT$500)))</f>
        <v>0</v>
      </c>
      <c r="GU15" s="133" t="n">
        <f aca="false">IF(OR(GU$4="",$B15=""),0,SUMIF('DADOS BRUTOS'!$A$3:$A$500,$B15,'DADOS BRUTOS'!DU$3:DU$500)+IF($C15="",0,SUMIF('DADOS BRUTOS'!$A$3:$A$500,$C15,'DADOS BRUTOS'!DU$3:DU$500)))</f>
        <v>0</v>
      </c>
      <c r="GV15" s="133" t="n">
        <f aca="false">IF(OR(GV$4="",$B15=""),0,SUMIF('DADOS BRUTOS'!$A$3:$A$500,$B15,'DADOS BRUTOS'!DV$3:DV$500)+IF($C15="",0,SUMIF('DADOS BRUTOS'!$A$3:$A$500,$C15,'DADOS BRUTOS'!DV$3:DV$500)))</f>
        <v>0</v>
      </c>
      <c r="GW15" s="133" t="n">
        <f aca="false">IF(OR(GW$4="",$B15=""),0,SUMIF('DADOS BRUTOS'!$A$3:$A$500,$B15,'DADOS BRUTOS'!DW$3:DW$500)+IF($C15="",0,SUMIF('DADOS BRUTOS'!$A$3:$A$500,$C15,'DADOS BRUTOS'!DW$3:DW$500)))</f>
        <v>0</v>
      </c>
      <c r="GX15" s="133" t="n">
        <f aca="false">IF(OR(GX$4="",$B15=""),0,SUMIF('DADOS BRUTOS'!$A$3:$A$500,$B15,'DADOS BRUTOS'!DX$3:DX$500)+IF($C15="",0,SUMIF('DADOS BRUTOS'!$A$3:$A$500,$C15,'DADOS BRUTOS'!DX$3:DX$500)))</f>
        <v>0</v>
      </c>
      <c r="GY15" s="133" t="n">
        <f aca="false">IF(OR(GY$4="",$B15=""),0,SUMIF('DADOS BRUTOS'!$A$3:$A$500,$B15,'DADOS BRUTOS'!DY$3:DY$500)+IF($C15="",0,SUMIF('DADOS BRUTOS'!$A$3:$A$500,$C15,'DADOS BRUTOS'!DY$3:DY$500)))</f>
        <v>0</v>
      </c>
      <c r="GZ15" s="133" t="n">
        <f aca="false">IF(OR(GZ$4="",$B15=""),0,SUMIF('DADOS BRUTOS'!$A$3:$A$500,$B15,'DADOS BRUTOS'!DZ$3:DZ$500)+IF($C15="",0,SUMIF('DADOS BRUTOS'!$A$3:$A$500,$C15,'DADOS BRUTOS'!DZ$3:DZ$500)))</f>
        <v>0</v>
      </c>
      <c r="HA15" s="133" t="n">
        <f aca="false">IF(OR(HA$4="",$B15=""),0,SUMIF('DADOS BRUTOS'!$A$3:$A$500,$B15,'DADOS BRUTOS'!EA$3:EA$500)+IF($C15="",0,SUMIF('DADOS BRUTOS'!$A$3:$A$500,$C15,'DADOS BRUTOS'!EA$3:EA$500)))</f>
        <v>0</v>
      </c>
      <c r="HB15" s="133" t="n">
        <f aca="false">IF(OR(HB$4="",$B15=""),0,SUMIF('DADOS BRUTOS'!$A$3:$A$500,$B15,'DADOS BRUTOS'!EB$3:EB$500)+IF($C15="",0,SUMIF('DADOS BRUTOS'!$A$3:$A$500,$C15,'DADOS BRUTOS'!EB$3:EB$500)))</f>
        <v>0</v>
      </c>
      <c r="HC15" s="133" t="n">
        <f aca="false">IF(OR(HC$4="",$B15=""),0,SUMIF('DADOS BRUTOS'!$A$3:$A$500,$B15,'DADOS BRUTOS'!EC$3:EC$500)+IF($C15="",0,SUMIF('DADOS BRUTOS'!$A$3:$A$500,$C15,'DADOS BRUTOS'!EC$3:EC$500)))</f>
        <v>0</v>
      </c>
      <c r="HD15" s="133" t="n">
        <f aca="false">IF(OR(HD$4="",$B15=""),0,SUMIF('DADOS BRUTOS'!$A$3:$A$500,$B15,'DADOS BRUTOS'!ED$3:ED$500)+IF($C15="",0,SUMIF('DADOS BRUTOS'!$A$3:$A$500,$C15,'DADOS BRUTOS'!ED$3:ED$500)))</f>
        <v>0</v>
      </c>
      <c r="HE15" s="133" t="n">
        <f aca="false">IF(OR(HE$4="",$B15=""),0,SUMIF('DADOS BRUTOS'!$A$3:$A$500,$B15,'DADOS BRUTOS'!EE$3:EE$500)+IF($C15="",0,SUMIF('DADOS BRUTOS'!$A$3:$A$500,$C15,'DADOS BRUTOS'!EE$3:EE$500)))</f>
        <v>0</v>
      </c>
      <c r="HF15" s="133" t="n">
        <f aca="false">IF(OR(HF$4="",$B15=""),0,SUMIF('DADOS BRUTOS'!$A$3:$A$500,$B15,'DADOS BRUTOS'!EF$3:EF$500)+IF($C15="",0,SUMIF('DADOS BRUTOS'!$A$3:$A$500,$C15,'DADOS BRUTOS'!EF$3:EF$500)))</f>
        <v>0</v>
      </c>
      <c r="HG15" s="133" t="n">
        <f aca="false">IF(OR(HG$4="",$B15=""),0,SUMIF('DADOS BRUTOS'!$A$3:$A$500,$B15,'DADOS BRUTOS'!EG$3:EG$500)+IF($C15="",0,SUMIF('DADOS BRUTOS'!$A$3:$A$500,$C15,'DADOS BRUTOS'!EG$3:EG$500)))</f>
        <v>0</v>
      </c>
      <c r="HH15" s="133" t="n">
        <f aca="false">IF(OR(HH$4="",$B15=""),0,SUMIF('DADOS BRUTOS'!$A$3:$A$500,$B15,'DADOS BRUTOS'!EH$3:EH$500)+IF($C15="",0,SUMIF('DADOS BRUTOS'!$A$3:$A$500,$C15,'DADOS BRUTOS'!EH$3:EH$500)))</f>
        <v>0</v>
      </c>
      <c r="HI15" s="133" t="n">
        <f aca="false">IF(OR(HI$4="",$B15=""),0,SUMIF('DADOS BRUTOS'!$A$3:$A$500,$B15,'DADOS BRUTOS'!EI$3:EI$500)+IF($C15="",0,SUMIF('DADOS BRUTOS'!$A$3:$A$500,$C15,'DADOS BRUTOS'!EI$3:EI$500)))</f>
        <v>0</v>
      </c>
      <c r="HJ15" s="133" t="n">
        <f aca="false">IF(OR(HJ$4="",$B15=""),0,SUMIF('DADOS BRUTOS'!$A$3:$A$500,$B15,'DADOS BRUTOS'!EJ$3:EJ$500)+IF($C15="",0,SUMIF('DADOS BRUTOS'!$A$3:$A$500,$C15,'DADOS BRUTOS'!EJ$3:EJ$500)))</f>
        <v>0</v>
      </c>
      <c r="HK15" s="133" t="n">
        <f aca="false">IF(OR(HK$4="",$B15=""),0,SUMIF('DADOS BRUTOS'!$A$3:$A$500,$B15,'DADOS BRUTOS'!EK$3:EK$500)+IF($C15="",0,SUMIF('DADOS BRUTOS'!$A$3:$A$500,$C15,'DADOS BRUTOS'!EK$3:EK$500)))</f>
        <v>0</v>
      </c>
      <c r="HL15" s="133" t="n">
        <f aca="false">IF(OR(HL$4="",$B15=""),0,SUMIF('DADOS BRUTOS'!$A$3:$A$500,$B15,'DADOS BRUTOS'!EL$3:EL$500)+IF($C15="",0,SUMIF('DADOS BRUTOS'!$A$3:$A$500,$C15,'DADOS BRUTOS'!EL$3:EL$500)))</f>
        <v>0</v>
      </c>
      <c r="HM15" s="133" t="n">
        <f aca="false">IF(OR(HM$4="",$B15=""),0,SUMIF('DADOS BRUTOS'!$A$3:$A$500,$B15,'DADOS BRUTOS'!EM$3:EM$500)+IF($C15="",0,SUMIF('DADOS BRUTOS'!$A$3:$A$500,$C15,'DADOS BRUTOS'!EM$3:EM$500)))</f>
        <v>0</v>
      </c>
      <c r="HN15" s="133" t="n">
        <f aca="false">IF(OR(HN$4="",$B15=""),0,SUMIF('DADOS BRUTOS'!$A$3:$A$500,$B15,'DADOS BRUTOS'!EN$3:EN$500)+IF($C15="",0,SUMIF('DADOS BRUTOS'!$A$3:$A$500,$C15,'DADOS BRUTOS'!EN$3:EN$500)))</f>
        <v>0</v>
      </c>
      <c r="HO15" s="133" t="n">
        <f aca="false">IF(OR(HO$4="",$B15=""),0,SUMIF('DADOS BRUTOS'!$A$3:$A$500,$B15,'DADOS BRUTOS'!EO$3:EO$500)+IF($C15="",0,SUMIF('DADOS BRUTOS'!$A$3:$A$500,$C15,'DADOS BRUTOS'!EO$3:EO$500)))</f>
        <v>0</v>
      </c>
      <c r="HP15" s="133" t="n">
        <f aca="false">IF(OR(HP$4="",$B15=""),0,SUMIF('DADOS BRUTOS'!$A$3:$A$500,$B15,'DADOS BRUTOS'!EP$3:EP$500)+IF($C15="",0,SUMIF('DADOS BRUTOS'!$A$3:$A$500,$C15,'DADOS BRUTOS'!EP$3:EP$500)))</f>
        <v>0</v>
      </c>
      <c r="HQ15" s="133" t="n">
        <f aca="false">IF(OR(HQ$4="",$B15=""),0,SUMIF('DADOS BRUTOS'!$A$3:$A$500,$B15,'DADOS BRUTOS'!EQ$3:EQ$500)+IF($C15="",0,SUMIF('DADOS BRUTOS'!$A$3:$A$500,$C15,'DADOS BRUTOS'!EQ$3:EQ$500)))</f>
        <v>0</v>
      </c>
      <c r="HR15" s="133" t="n">
        <f aca="false">IF(OR(HR$4="",$B15=""),0,SUMIF('DADOS BRUTOS'!$A$3:$A$500,$B15,'DADOS BRUTOS'!ER$3:ER$500)+IF($C15="",0,SUMIF('DADOS BRUTOS'!$A$3:$A$500,$C15,'DADOS BRUTOS'!ER$3:ER$500)))</f>
        <v>0</v>
      </c>
      <c r="HS15" s="133" t="n">
        <f aca="false">IF(OR(HS$4="",$B15=""),0,SUMIF('DADOS BRUTOS'!$A$3:$A$500,$B15,'DADOS BRUTOS'!ES$3:ES$500)+IF($C15="",0,SUMIF('DADOS BRUTOS'!$A$3:$A$500,$C15,'DADOS BRUTOS'!ES$3:ES$500)))</f>
        <v>0</v>
      </c>
      <c r="HT15" s="133" t="n">
        <f aca="false">IF(OR(HT$4="",$B15=""),0,SUMIF('DADOS BRUTOS'!$A$3:$A$500,$B15,'DADOS BRUTOS'!ET$3:ET$500)+IF($C15="",0,SUMIF('DADOS BRUTOS'!$A$3:$A$500,$C15,'DADOS BRUTOS'!ET$3:ET$500)))</f>
        <v>0</v>
      </c>
      <c r="HU15" s="133" t="n">
        <f aca="false">IF(OR(HU$4="",$B15=""),0,SUMIF('DADOS BRUTOS'!$A$3:$A$500,$B15,'DADOS BRUTOS'!EU$3:EU$500)+IF($C15="",0,SUMIF('DADOS BRUTOS'!$A$3:$A$500,$C15,'DADOS BRUTOS'!EU$3:EU$500)))</f>
        <v>0</v>
      </c>
      <c r="HV15" s="133" t="n">
        <f aca="false">IF(OR(HV$4="",$B15=""),0,SUMIF('DADOS BRUTOS'!$A$3:$A$500,$B15,'DADOS BRUTOS'!EV$3:EV$500)+IF($C15="",0,SUMIF('DADOS BRUTOS'!$A$3:$A$500,$C15,'DADOS BRUTOS'!EV$3:EV$500)))</f>
        <v>0</v>
      </c>
      <c r="HW15" s="133" t="n">
        <f aca="false">IF(OR(HW$4="",$B15=""),0,SUMIF('DADOS BRUTOS'!$A$3:$A$500,$B15,'DADOS BRUTOS'!EW$3:EW$500)+IF($C15="",0,SUMIF('DADOS BRUTOS'!$A$3:$A$500,$C15,'DADOS BRUTOS'!EW$3:EW$500)))</f>
        <v>0</v>
      </c>
      <c r="HX15" s="133" t="n">
        <f aca="false">IF(OR(HX$4="",$B15=""),0,SUMIF('DADOS BRUTOS'!$A$3:$A$500,$B15,'DADOS BRUTOS'!EX$3:EX$500)+IF($C15="",0,SUMIF('DADOS BRUTOS'!$A$3:$A$500,$C15,'DADOS BRUTOS'!EX$3:EX$500)))</f>
        <v>0</v>
      </c>
      <c r="HY15" s="133" t="n">
        <f aca="false">IF(OR(HY$4="",$B15=""),0,SUMIF('DADOS BRUTOS'!$A$3:$A$500,$B15,'DADOS BRUTOS'!EY$3:EY$500)+IF($C15="",0,SUMIF('DADOS BRUTOS'!$A$3:$A$500,$C15,'DADOS BRUTOS'!EY$3:EY$500)))</f>
        <v>0</v>
      </c>
      <c r="HZ15" s="133" t="n">
        <f aca="false">IF(OR(HZ$4="",$B15=""),0,SUMIF('DADOS BRUTOS'!$A$3:$A$500,$B15,'DADOS BRUTOS'!EZ$3:EZ$500)+IF($C15="",0,SUMIF('DADOS BRUTOS'!$A$3:$A$500,$C15,'DADOS BRUTOS'!EZ$3:EZ$500)))</f>
        <v>0</v>
      </c>
      <c r="IA15" s="133" t="n">
        <f aca="false">IF(OR(IA$4="",$B15=""),0,SUMIF('DADOS BRUTOS'!$A$3:$A$500,$B15,'DADOS BRUTOS'!FA$3:FA$500)+IF($C15="",0,SUMIF('DADOS BRUTOS'!$A$3:$A$500,$C15,'DADOS BRUTOS'!FA$3:FA$500)))</f>
        <v>0</v>
      </c>
      <c r="IB15" s="133" t="n">
        <f aca="false">IF(OR(IB$4="",$B15=""),0,SUMIF('DADOS BRUTOS'!$A$3:$A$500,$B15,'DADOS BRUTOS'!FB$3:FB$500)+IF($C15="",0,SUMIF('DADOS BRUTOS'!$A$3:$A$500,$C15,'DADOS BRUTOS'!FB$3:FB$500)))</f>
        <v>0</v>
      </c>
      <c r="IC15" s="133" t="n">
        <f aca="false">IF(OR(IC$4="",$B15=""),0,SUMIF('DADOS BRUTOS'!$A$3:$A$500,$B15,'DADOS BRUTOS'!FC$3:FC$500)+IF($C15="",0,SUMIF('DADOS BRUTOS'!$A$3:$A$500,$C15,'DADOS BRUTOS'!FC$3:FC$500)))</f>
        <v>0</v>
      </c>
      <c r="ID15" s="133" t="n">
        <f aca="false">IF(OR(ID$4="",$B15=""),0,SUMIF('DADOS BRUTOS'!$A$3:$A$500,$B15,'DADOS BRUTOS'!FD$3:FD$500)+IF($C15="",0,SUMIF('DADOS BRUTOS'!$A$3:$A$500,$C15,'DADOS BRUTOS'!FD$3:FD$500)))</f>
        <v>0</v>
      </c>
      <c r="IE15" s="133" t="n">
        <f aca="false">IF(OR(IE$4="",$B15=""),0,SUMIF('DADOS BRUTOS'!$A$3:$A$500,$B15,'DADOS BRUTOS'!FE$3:FE$500)+IF($C15="",0,SUMIF('DADOS BRUTOS'!$A$3:$A$500,$C15,'DADOS BRUTOS'!FE$3:FE$500)))</f>
        <v>0</v>
      </c>
      <c r="IF15" s="133" t="n">
        <f aca="false">IF(OR(IF$4="",$B15=""),0,SUMIF('DADOS BRUTOS'!$A$3:$A$500,$B15,'DADOS BRUTOS'!FF$3:FF$500)+IF($C15="",0,SUMIF('DADOS BRUTOS'!$A$3:$A$500,$C15,'DADOS BRUTOS'!FF$3:FF$500)))</f>
        <v>0</v>
      </c>
      <c r="IG15" s="133" t="n">
        <f aca="false">IF(OR(IG$4="",$B15=""),0,SUMIF('DADOS BRUTOS'!$A$3:$A$500,$B15,'DADOS BRUTOS'!FG$3:FG$500)+IF($C15="",0,SUMIF('DADOS BRUTOS'!$A$3:$A$500,$C15,'DADOS BRUTOS'!FG$3:FG$500)))</f>
        <v>0</v>
      </c>
      <c r="IH15" s="133" t="n">
        <f aca="false">IF(OR(IH$4="",$B15=""),0,SUMIF('DADOS BRUTOS'!$A$3:$A$500,$B15,'DADOS BRUTOS'!FH$3:FH$500)+IF($C15="",0,SUMIF('DADOS BRUTOS'!$A$3:$A$500,$C15,'DADOS BRUTOS'!FH$3:FH$500)))</f>
        <v>0</v>
      </c>
      <c r="II15" s="133" t="n">
        <f aca="false">IF(OR(II$4="",$B15=""),0,SUMIF('DADOS BRUTOS'!$A$3:$A$500,$B15,'DADOS BRUTOS'!FI$3:FI$500)+IF($C15="",0,SUMIF('DADOS BRUTOS'!$A$3:$A$500,$C15,'DADOS BRUTOS'!FI$3:FI$500)))</f>
        <v>0</v>
      </c>
      <c r="IJ15" s="133" t="n">
        <f aca="false">IF(OR(IJ$4="",$B15=""),0,SUMIF('DADOS BRUTOS'!$A$3:$A$500,$B15,'DADOS BRUTOS'!FJ$3:FJ$500)+IF($C15="",0,SUMIF('DADOS BRUTOS'!$A$3:$A$500,$C15,'DADOS BRUTOS'!FJ$3:FJ$500)))</f>
        <v>0</v>
      </c>
      <c r="IK15" s="133" t="n">
        <f aca="false">IF(OR(IK$4="",$B15=""),0,SUMIF('DADOS BRUTOS'!$A$3:$A$500,$B15,'DADOS BRUTOS'!FK$3:FK$500)+IF($C15="",0,SUMIF('DADOS BRUTOS'!$A$3:$A$500,$C15,'DADOS BRUTOS'!FK$3:FK$500)))</f>
        <v>0</v>
      </c>
      <c r="IL15" s="133" t="n">
        <f aca="false">IF(OR(IL$4="",$B15=""),0,SUMIF('DADOS BRUTOS'!$A$3:$A$500,$B15,'DADOS BRUTOS'!FL$3:FL$500)+IF($C15="",0,SUMIF('DADOS BRUTOS'!$A$3:$A$500,$C15,'DADOS BRUTOS'!FL$3:FL$500)))</f>
        <v>0</v>
      </c>
      <c r="IM15" s="133" t="n">
        <f aca="false">IF(OR(IM$4="",$B15=""),0,SUMIF('DADOS BRUTOS'!$A$3:$A$500,$B15,'DADOS BRUTOS'!FM$3:FM$500)+IF($C15="",0,SUMIF('DADOS BRUTOS'!$A$3:$A$500,$C15,'DADOS BRUTOS'!FM$3:FM$500)))</f>
        <v>0</v>
      </c>
      <c r="IN15" s="133" t="n">
        <f aca="false">IF(OR(IN$4="",$B15=""),0,SUMIF('DADOS BRUTOS'!$A$3:$A$500,$B15,'DADOS BRUTOS'!FN$3:FN$500)+IF($C15="",0,SUMIF('DADOS BRUTOS'!$A$3:$A$500,$C15,'DADOS BRUTOS'!FN$3:FN$500)))</f>
        <v>0</v>
      </c>
      <c r="IO15" s="133" t="n">
        <f aca="false">IF(OR(IO$4="",$B15=""),0,SUMIF('DADOS BRUTOS'!$A$3:$A$500,$B15,'DADOS BRUTOS'!FO$3:FO$500)+IF($C15="",0,SUMIF('DADOS BRUTOS'!$A$3:$A$500,$C15,'DADOS BRUTOS'!FO$3:FO$500)))</f>
        <v>0</v>
      </c>
      <c r="IP15" s="133" t="n">
        <f aca="false">IF(OR(IP$4="",$B15=""),0,SUMIF('DADOS BRUTOS'!$A$3:$A$500,$B15,'DADOS BRUTOS'!FP$3:FP$500)+IF($C15="",0,SUMIF('DADOS BRUTOS'!$A$3:$A$500,$C15,'DADOS BRUTOS'!FP$3:FP$500)))</f>
        <v>0</v>
      </c>
      <c r="IQ15" s="133" t="n">
        <f aca="false">IF(OR(IQ$4="",$B15=""),0,SUMIF('DADOS BRUTOS'!$A$3:$A$500,$B15,'DADOS BRUTOS'!FQ$3:FQ$500)+IF($C15="",0,SUMIF('DADOS BRUTOS'!$A$3:$A$500,$C15,'DADOS BRUTOS'!FQ$3:FQ$500)))</f>
        <v>0</v>
      </c>
      <c r="IR15" s="133" t="n">
        <f aca="false">IF(OR(IR$4="",$B15=""),0,SUMIF('DADOS BRUTOS'!$A$3:$A$500,$B15,'DADOS BRUTOS'!FR$3:FR$500)+IF($C15="",0,SUMIF('DADOS BRUTOS'!$A$3:$A$500,$C15,'DADOS BRUTOS'!FR$3:FR$500)))</f>
        <v>0</v>
      </c>
      <c r="IS15" s="133" t="n">
        <f aca="false">IF(OR(IS$4="",$B15=""),0,SUMIF('DADOS BRUTOS'!$A$3:$A$500,$B15,'DADOS BRUTOS'!FS$3:FS$500)+IF($C15="",0,SUMIF('DADOS BRUTOS'!$A$3:$A$500,$C15,'DADOS BRUTOS'!FS$3:FS$500)))</f>
        <v>0</v>
      </c>
      <c r="IT15" s="133" t="n">
        <f aca="false">IF(OR(IT$4="",$B15=""),0,SUMIF('DADOS BRUTOS'!$A$3:$A$500,$B15,'DADOS BRUTOS'!FT$3:FT$500)+IF($C15="",0,SUMIF('DADOS BRUTOS'!$A$3:$A$500,$C15,'DADOS BRUTOS'!FT$3:FT$500)))</f>
        <v>0</v>
      </c>
      <c r="IU15" s="133" t="n">
        <f aca="false">IF(OR(IU$4="",$B15=""),0,SUMIF('DADOS BRUTOS'!$A$3:$A$500,$B15,'DADOS BRUTOS'!FU$3:FU$500)+IF($C15="",0,SUMIF('DADOS BRUTOS'!$A$3:$A$500,$C15,'DADOS BRUTOS'!FU$3:FU$500)))</f>
        <v>0</v>
      </c>
      <c r="IV15" s="133" t="n">
        <f aca="false">IF(OR(IV$4="",$B15=""),0,SUMIF('DADOS BRUTOS'!$A$3:$A$500,$B15,'DADOS BRUTOS'!FV$3:FV$500)+IF($C15="",0,SUMIF('DADOS BRUTOS'!$A$3:$A$500,$C15,'DADOS BRUTOS'!FV$3:FV$500)))</f>
        <v>0</v>
      </c>
      <c r="IW15" s="133" t="n">
        <f aca="false">IF(OR(IW$4="",$B15=""),0,SUMIF('DADOS BRUTOS'!$A$3:$A$500,$B15,'DADOS BRUTOS'!FW$3:FW$500)+IF($C15="",0,SUMIF('DADOS BRUTOS'!$A$3:$A$500,$C15,'DADOS BRUTOS'!FW$3:FW$500)))</f>
        <v>0</v>
      </c>
      <c r="IX15" s="133" t="n">
        <f aca="false">IF(OR(IX$4="",$B15=""),0,SUMIF('DADOS BRUTOS'!$A$3:$A$500,$B15,'DADOS BRUTOS'!FX$3:FX$500)+IF($C15="",0,SUMIF('DADOS BRUTOS'!$A$3:$A$500,$C15,'DADOS BRUTOS'!FX$3:FX$500)))</f>
        <v>0</v>
      </c>
      <c r="IY15" s="133" t="n">
        <f aca="false">IF(OR(IY$4="",$B15=""),0,SUMIF('DADOS BRUTOS'!$A$3:$A$500,$B15,'DADOS BRUTOS'!FY$3:FY$500)+IF($C15="",0,SUMIF('DADOS BRUTOS'!$A$3:$A$500,$C15,'DADOS BRUTOS'!FY$3:FY$500)))</f>
        <v>0</v>
      </c>
      <c r="IZ15" s="133" t="n">
        <f aca="false">IF(OR(IZ$4="",$B15=""),0,SUMIF('DADOS BRUTOS'!$A$3:$A$500,$B15,'DADOS BRUTOS'!FZ$3:FZ$500)+IF($C15="",0,SUMIF('DADOS BRUTOS'!$A$3:$A$500,$C15,'DADOS BRUTOS'!FZ$3:FZ$500)))</f>
        <v>0</v>
      </c>
      <c r="JA15" s="133" t="n">
        <f aca="false">IF(OR(JA$4="",$B15=""),0,SUMIF('DADOS BRUTOS'!$A$3:$A$500,$B15,'DADOS BRUTOS'!GA$3:GA$500)+IF($C15="",0,SUMIF('DADOS BRUTOS'!$A$3:$A$500,$C15,'DADOS BRUTOS'!GA$3:GA$500)))</f>
        <v>0</v>
      </c>
      <c r="JB15" s="133" t="n">
        <f aca="false">IF(OR(JB$4="",$B15=""),0,SUMIF('DADOS BRUTOS'!$A$3:$A$500,$B15,'DADOS BRUTOS'!GB$3:GB$500)+IF($C15="",0,SUMIF('DADOS BRUTOS'!$A$3:$A$500,$C15,'DADOS BRUTOS'!GB$3:GB$500)))</f>
        <v>0</v>
      </c>
      <c r="JC15" s="133" t="n">
        <f aca="false">IF(OR(JC$4="",$B15=""),0,SUMIF('DADOS BRUTOS'!$A$3:$A$500,$B15,'DADOS BRUTOS'!GC$3:GC$500)+IF($C15="",0,SUMIF('DADOS BRUTOS'!$A$3:$A$500,$C15,'DADOS BRUTOS'!GC$3:GC$500)))</f>
        <v>0</v>
      </c>
      <c r="JD15" s="133" t="n">
        <f aca="false">IF(OR(JD$4="",$B15=""),0,SUMIF('DADOS BRUTOS'!$A$3:$A$500,$B15,'DADOS BRUTOS'!GD$3:GD$500)+IF($C15="",0,SUMIF('DADOS BRUTOS'!$A$3:$A$500,$C15,'DADOS BRUTOS'!GD$3:GD$500)))</f>
        <v>0</v>
      </c>
      <c r="JE15" s="133" t="n">
        <f aca="false">IF(OR(JE$4="",$B15=""),0,SUMIF('DADOS BRUTOS'!$A$3:$A$500,$B15,'DADOS BRUTOS'!GE$3:GE$500)+IF($C15="",0,SUMIF('DADOS BRUTOS'!$A$3:$A$500,$C15,'DADOS BRUTOS'!GE$3:GE$500)))</f>
        <v>0</v>
      </c>
      <c r="JF15" s="133" t="n">
        <f aca="false">IF(OR(JF$4="",$B15=""),0,SUMIF('DADOS BRUTOS'!$A$3:$A$500,$B15,'DADOS BRUTOS'!GF$3:GF$500)+IF($C15="",0,SUMIF('DADOS BRUTOS'!$A$3:$A$500,$C15,'DADOS BRUTOS'!GF$3:GF$500)))</f>
        <v>0</v>
      </c>
      <c r="JG15" s="133" t="n">
        <f aca="false">IF(OR(JG$4="",$B15=""),0,SUMIF('DADOS BRUTOS'!$A$3:$A$500,$B15,'DADOS BRUTOS'!GG$3:GG$500)+IF($C15="",0,SUMIF('DADOS BRUTOS'!$A$3:$A$500,$C15,'DADOS BRUTOS'!GG$3:GG$500)))</f>
        <v>0</v>
      </c>
      <c r="JH15" s="133" t="n">
        <f aca="false">IF(OR(JH$4="",$B15=""),0,SUMIF('DADOS BRUTOS'!$A$3:$A$500,$B15,'DADOS BRUTOS'!GH$3:GH$500)+IF($C15="",0,SUMIF('DADOS BRUTOS'!$A$3:$A$500,$C15,'DADOS BRUTOS'!GH$3:GH$500)))</f>
        <v>0</v>
      </c>
      <c r="JI15" s="133" t="n">
        <f aca="false">IF(OR(JI$4="",$B15=""),0,SUMIF('DADOS BRUTOS'!$A$3:$A$500,$B15,'DADOS BRUTOS'!GI$3:GI$500)+IF($C15="",0,SUMIF('DADOS BRUTOS'!$A$3:$A$500,$C15,'DADOS BRUTOS'!GI$3:GI$500)))</f>
        <v>0</v>
      </c>
      <c r="JJ15" s="133" t="n">
        <f aca="false">IF(OR(JJ$4="",$B15=""),0,SUMIF('DADOS BRUTOS'!$A$3:$A$500,$B15,'DADOS BRUTOS'!GJ$3:GJ$500)+IF($C15="",0,SUMIF('DADOS BRUTOS'!$A$3:$A$500,$C15,'DADOS BRUTOS'!GJ$3:GJ$500)))</f>
        <v>0</v>
      </c>
      <c r="JK15" s="133" t="n">
        <f aca="false">IF(OR(JK$4="",$B15=""),0,SUMIF('DADOS BRUTOS'!$A$3:$A$500,$B15,'DADOS BRUTOS'!GK$3:GK$500)+IF($C15="",0,SUMIF('DADOS BRUTOS'!$A$3:$A$500,$C15,'DADOS BRUTOS'!GK$3:GK$500)))</f>
        <v>0</v>
      </c>
      <c r="JL15" s="133" t="n">
        <f aca="false">IF(OR(JL$4="",$B15=""),0,SUMIF('DADOS BRUTOS'!$A$3:$A$500,$B15,'DADOS BRUTOS'!GL$3:GL$500)+IF($C15="",0,SUMIF('DADOS BRUTOS'!$A$3:$A$500,$C15,'DADOS BRUTOS'!GL$3:GL$500)))</f>
        <v>0</v>
      </c>
      <c r="JM15" s="133" t="n">
        <f aca="false">IF(OR(JM$4="",$B15=""),0,SUMIF('DADOS BRUTOS'!$A$3:$A$500,$B15,'DADOS BRUTOS'!GM$3:GM$500)+IF($C15="",0,SUMIF('DADOS BRUTOS'!$A$3:$A$500,$C15,'DADOS BRUTOS'!GM$3:GM$500)))</f>
        <v>0</v>
      </c>
      <c r="JN15" s="133" t="n">
        <f aca="false">IF(OR(JN$4="",$B15=""),0,SUMIF('DADOS BRUTOS'!$A$3:$A$500,$B15,'DADOS BRUTOS'!GN$3:GN$500)+IF($C15="",0,SUMIF('DADOS BRUTOS'!$A$3:$A$500,$C15,'DADOS BRUTOS'!GN$3:GN$500)))</f>
        <v>0</v>
      </c>
      <c r="JO15" s="133" t="n">
        <f aca="false">IF(OR(JO$4="",$B15=""),0,SUMIF('DADOS BRUTOS'!$A$3:$A$500,$B15,'DADOS BRUTOS'!GO$3:GO$500)+IF($C15="",0,SUMIF('DADOS BRUTOS'!$A$3:$A$500,$C15,'DADOS BRUTOS'!GO$3:GO$500)))</f>
        <v>0</v>
      </c>
      <c r="JP15" s="133" t="n">
        <f aca="false">IF(OR(JP$4="",$B15=""),0,SUMIF('DADOS BRUTOS'!$A$3:$A$500,$B15,'DADOS BRUTOS'!GP$3:GP$500)+IF($C15="",0,SUMIF('DADOS BRUTOS'!$A$3:$A$500,$C15,'DADOS BRUTOS'!GP$3:GP$500)))</f>
        <v>0</v>
      </c>
      <c r="JQ15" s="133" t="n">
        <f aca="false">IF(OR(JQ$4="",$B15=""),0,SUMIF('DADOS BRUTOS'!$A$3:$A$500,$B15,'DADOS BRUTOS'!GQ$3:GQ$500)+IF($C15="",0,SUMIF('DADOS BRUTOS'!$A$3:$A$500,$C15,'DADOS BRUTOS'!GQ$3:GQ$500)))</f>
        <v>0</v>
      </c>
      <c r="JR15" s="133" t="n">
        <f aca="false">IF(OR(JR$4="",$B15=""),0,SUMIF('DADOS BRUTOS'!$A$3:$A$500,$B15,'DADOS BRUTOS'!GR$3:GR$500)+IF($C15="",0,SUMIF('DADOS BRUTOS'!$A$3:$A$500,$C15,'DADOS BRUTOS'!GR$3:GR$500)))</f>
        <v>0</v>
      </c>
      <c r="JS15" s="133" t="n">
        <f aca="false">IF(OR(JS$4="",$B15=""),0,SUMIF('DADOS BRUTOS'!$A$3:$A$500,$B15,'DADOS BRUTOS'!GS$3:GS$500)+IF($C15="",0,SUMIF('DADOS BRUTOS'!$A$3:$A$500,$C15,'DADOS BRUTOS'!GS$3:GS$500)))</f>
        <v>0</v>
      </c>
    </row>
    <row r="16" customFormat="false" ht="15" hidden="false" customHeight="false" outlineLevel="0" collapsed="false">
      <c r="A16" s="57" t="str">
        <f aca="false">'VALOR POR PL'!D22</f>
        <v>SERVIÇOS INICIAIS</v>
      </c>
      <c r="B16" s="55" t="s">
        <v>81</v>
      </c>
      <c r="C16" s="55"/>
      <c r="D16" s="50" t="n">
        <f aca="false">SUMIF($CB$4:$JS$4,"&lt;="&amp;D$4,$CB16:$JS16)</f>
        <v>0</v>
      </c>
      <c r="E16" s="50" t="n">
        <f aca="false">SUMIF($CB$4:$JS$4,E$4,$CB16:$JS16)</f>
        <v>0</v>
      </c>
      <c r="F16" s="50" t="n">
        <f aca="false">SUMIF($CB$4:$JS$4,F$4,$CB16:$JS16)</f>
        <v>0</v>
      </c>
      <c r="G16" s="50" t="n">
        <f aca="false">SUMIF($CB$4:$JS$4,G$4,$CB16:$JS16)</f>
        <v>0</v>
      </c>
      <c r="H16" s="50" t="n">
        <f aca="false">SUMIF($CB$4:$JS$4,H$4,$CB16:$JS16)</f>
        <v>0</v>
      </c>
      <c r="I16" s="50" t="n">
        <f aca="false">SUMIF($CB$4:$JS$4,I$4,$CB16:$JS16)</f>
        <v>0</v>
      </c>
      <c r="J16" s="50" t="n">
        <f aca="false">SUMIF($CB$4:$JS$4,J$4,$CB16:$JS16)</f>
        <v>29688.12</v>
      </c>
      <c r="K16" s="50" t="n">
        <f aca="false">SUMIF($CB$4:$JS$4,K$4,$CB16:$JS16)</f>
        <v>5465.88</v>
      </c>
      <c r="L16" s="50" t="n">
        <f aca="false">SUMIF($CB$4:$JS$4,L$4,$CB16:$JS16)</f>
        <v>0</v>
      </c>
      <c r="M16" s="50" t="n">
        <f aca="false">SUMIF($CB$4:$JS$4,M$4,$CB16:$JS16)</f>
        <v>15003.12</v>
      </c>
      <c r="N16" s="50" t="n">
        <f aca="false">SUMIF($CB$4:$JS$4,N$4,$CB16:$JS16)</f>
        <v>8525.88</v>
      </c>
      <c r="O16" s="50" t="n">
        <f aca="false">SUMIF($CB$4:$JS$4,O$4,$CB16:$JS16)</f>
        <v>9755.94</v>
      </c>
      <c r="P16" s="50" t="n">
        <f aca="false">SUMIF($CB$4:$JS$4,P$4,$CB16:$JS16)</f>
        <v>13712.62</v>
      </c>
      <c r="Q16" s="50" t="n">
        <f aca="false">SUMIF($CB$4:$JS$4,Q$4,$CB16:$JS16)</f>
        <v>9641.44</v>
      </c>
      <c r="R16" s="50" t="n">
        <f aca="false">SUMIF($CB$4:$JS$4,R$4,$CB16:$JS16)</f>
        <v>1604.07</v>
      </c>
      <c r="S16" s="50" t="n">
        <f aca="false">SUMIF($CB$4:$JS$4,S$4,$CB16:$JS16)</f>
        <v>10302.97</v>
      </c>
      <c r="T16" s="50" t="n">
        <f aca="false">SUMIF($CB$4:$JS$4,T$4,$CB16:$JS16)</f>
        <v>3859.6</v>
      </c>
      <c r="U16" s="50" t="n">
        <f aca="false">SUMIF($CB$4:$JS$4,U$4,$CB16:$JS16)</f>
        <v>140.4</v>
      </c>
      <c r="V16" s="50" t="n">
        <f aca="false">SUMIF($CB$4:$JS$4,V$4,$CB16:$JS16)</f>
        <v>665</v>
      </c>
      <c r="W16" s="50" t="n">
        <f aca="false">SUMIF($CB$4:$JS$4,W$4,$CB16:$JS16)</f>
        <v>0</v>
      </c>
      <c r="X16" s="50" t="n">
        <f aca="false">SUMIF($CB$4:$JS$4,X$4,$CB16:$JS16)</f>
        <v>0</v>
      </c>
      <c r="Y16" s="50" t="n">
        <f aca="false">SUMIF($CB$4:$JS$4,Y$4,$CB16:$JS16)</f>
        <v>0</v>
      </c>
      <c r="Z16" s="50" t="n">
        <f aca="false">SUMIF($CB$4:$JS$4,Z$4,$CB16:$JS16)</f>
        <v>0</v>
      </c>
      <c r="AA16" s="50" t="n">
        <f aca="false">SUMIF($CB$4:$JS$4,AA$4,$CB16:$JS16)</f>
        <v>3801</v>
      </c>
      <c r="AB16" s="50" t="n">
        <f aca="false">SUMIF($CB$4:$JS$4,AB$4,$CB16:$JS16)</f>
        <v>0</v>
      </c>
      <c r="AC16" s="50" t="n">
        <f aca="false">SUMIF($CB$4:$JS$4,AC$4,$CB16:$JS16)</f>
        <v>0</v>
      </c>
      <c r="AD16" s="50" t="n">
        <f aca="false">SUMIF($CB$4:$JS$4,AD$4,$CB16:$JS16)</f>
        <v>0</v>
      </c>
      <c r="AE16" s="50" t="n">
        <f aca="false">SUMIF($CB$4:$JS$4,AE$4,$CB16:$JS16)</f>
        <v>0</v>
      </c>
      <c r="AF16" s="50" t="n">
        <f aca="false">SUMIF($CB$4:$JS$4,AF$4,$CB16:$JS16)</f>
        <v>0</v>
      </c>
      <c r="AG16" s="50" t="n">
        <f aca="false">SUMIF($CB$4:$JS$4,AG$4,$CB16:$JS16)</f>
        <v>0</v>
      </c>
      <c r="AH16" s="50" t="n">
        <f aca="false">SUMIF($CB$4:$JS$4,AH$4,$CB16:$JS16)</f>
        <v>0</v>
      </c>
      <c r="AI16" s="50" t="n">
        <f aca="false">SUMIF($CB$4:$JS$4,AI$4,$CB16:$JS16)</f>
        <v>0</v>
      </c>
      <c r="AJ16" s="50" t="n">
        <f aca="false">SUMIF($CB$4:$JS$4,AJ$4,$CB16:$JS16)</f>
        <v>0</v>
      </c>
      <c r="AK16" s="50" t="n">
        <f aca="false">SUMIF($CB$4:$JS$4,AK$4,$CB16:$JS16)</f>
        <v>0</v>
      </c>
      <c r="AL16" s="50" t="n">
        <f aca="false">SUMIF($CB$4:$JS$4,AL$4,$CB16:$JS16)</f>
        <v>0</v>
      </c>
      <c r="AM16" s="50" t="n">
        <f aca="false">SUMIF($CB$4:$JS$4,AM$4,$CB16:$JS16)</f>
        <v>0</v>
      </c>
      <c r="AN16" s="50" t="n">
        <f aca="false">SUMIF($CB$4:$JS$4,AN$4,$CB16:$JS16)</f>
        <v>2905</v>
      </c>
      <c r="AO16" s="50" t="n">
        <f aca="false">SUMIF($CB$4:$JS$4,AO$4,$CB16:$JS16)</f>
        <v>0</v>
      </c>
      <c r="AP16" s="50" t="n">
        <f aca="false">SUMIF($CB$4:$JS$4,AP$4,$CB16:$JS16)</f>
        <v>0</v>
      </c>
      <c r="AQ16" s="50" t="n">
        <f aca="false">SUMIF($CB$4:$JS$4,AQ$4,$CB16:$JS16)</f>
        <v>0</v>
      </c>
      <c r="AR16" s="50" t="n">
        <f aca="false">SUMIF($CB$4:$JS$4,AR$4,$CB16:$JS16)</f>
        <v>0</v>
      </c>
      <c r="AS16" s="50" t="n">
        <f aca="false">SUMIF($CB$4:$JS$4,AS$4,$CB16:$JS16)</f>
        <v>0</v>
      </c>
      <c r="AT16" s="50" t="n">
        <f aca="false">SUMIF($CB$4:$JS$4,AT$4,$CB16:$JS16)</f>
        <v>0</v>
      </c>
      <c r="AU16" s="50" t="n">
        <f aca="false">SUMIF($CB$4:$JS$4,AU$4,$CB16:$JS16)</f>
        <v>0</v>
      </c>
      <c r="AV16" s="50" t="n">
        <f aca="false">SUMIF($CB$4:$JS$4,AV$4,$CB16:$JS16)</f>
        <v>0</v>
      </c>
      <c r="AW16" s="50" t="n">
        <f aca="false">SUMIF($CB$4:$JS$4,AW$4,$CB16:$JS16)</f>
        <v>0</v>
      </c>
      <c r="AX16" s="50" t="n">
        <f aca="false">SUMIF($CB$4:$JS$4,AX$4,$CB16:$JS16)</f>
        <v>0</v>
      </c>
      <c r="AY16" s="50" t="n">
        <f aca="false">SUMIF($CB$4:$JS$4,AY$4,$CB16:$JS16)</f>
        <v>0</v>
      </c>
      <c r="AZ16" s="50" t="n">
        <f aca="false">SUMIF($CB$4:$JS$4,AZ$4,$CB16:$JS16)</f>
        <v>0</v>
      </c>
      <c r="BA16" s="50" t="n">
        <f aca="false">SUMIF($CB$4:$JS$4,BA$4,$CB16:$JS16)</f>
        <v>0</v>
      </c>
      <c r="BB16" s="50" t="n">
        <f aca="false">SUMIF($CB$4:$JS$4,BB$4,$CB16:$JS16)</f>
        <v>0</v>
      </c>
      <c r="BC16" s="50" t="n">
        <f aca="false">SUMIF($CB$4:$JS$4,BC$4,$CB16:$JS16)</f>
        <v>0</v>
      </c>
      <c r="BD16" s="50" t="n">
        <f aca="false">SUMIF($CB$4:$JS$4,BD$4,$CB16:$JS16)</f>
        <v>0</v>
      </c>
      <c r="BE16" s="50" t="n">
        <f aca="false">SUMIF($CB$4:$JS$4,BE$4,$CB16:$JS16)</f>
        <v>0</v>
      </c>
      <c r="BF16" s="50" t="n">
        <f aca="false">SUMIF($CB$4:$JS$4,BF$4,$CB16:$JS16)</f>
        <v>0</v>
      </c>
      <c r="BG16" s="50" t="n">
        <f aca="false">SUMIF($CB$4:$JS$4,BG$4,$CB16:$JS16)</f>
        <v>0</v>
      </c>
      <c r="BH16" s="50" t="n">
        <f aca="false">SUMIF($CB$4:$JS$4,BH$4,$CB16:$JS16)</f>
        <v>0</v>
      </c>
      <c r="BI16" s="50" t="n">
        <f aca="false">SUMIF($CB$4:$JS$4,BI$4,$CB16:$JS16)</f>
        <v>0</v>
      </c>
      <c r="BJ16" s="50" t="n">
        <f aca="false">SUMIF($CB$4:$JS$4,BJ$4,$CB16:$JS16)</f>
        <v>0</v>
      </c>
      <c r="BK16" s="50" t="n">
        <f aca="false">SUMIF($CB$4:$JS$4,BK$4,$CB16:$JS16)</f>
        <v>0</v>
      </c>
      <c r="BL16" s="50" t="n">
        <f aca="false">SUMIF($CB$4:$JS$4,BL$4,$CB16:$JS16)</f>
        <v>0</v>
      </c>
      <c r="BM16" s="50" t="n">
        <f aca="false">SUMIF($CB$4:$JS$4,BM$4,$CB16:$JS16)</f>
        <v>0</v>
      </c>
      <c r="BN16" s="50" t="n">
        <f aca="false">SUMIF($CB$4:$JS$4,BN$4,$CB16:$JS16)</f>
        <v>0</v>
      </c>
      <c r="BO16" s="50" t="n">
        <f aca="false">SUMIF($CB$4:$JS$4,BO$4,$CB16:$JS16)</f>
        <v>0</v>
      </c>
      <c r="BP16" s="50" t="n">
        <f aca="false">SUMIF($CB$4:$JS$4,BP$4,$CB16:$JS16)</f>
        <v>0</v>
      </c>
      <c r="BQ16" s="50" t="n">
        <f aca="false">SUMIF($CB$4:$JS$4,BQ$4,$CB16:$JS16)</f>
        <v>0</v>
      </c>
      <c r="BR16" s="50" t="n">
        <f aca="false">SUMIF($CB$4:$JS$4,BR$4,$CB16:$JS16)</f>
        <v>0</v>
      </c>
      <c r="BS16" s="50" t="n">
        <f aca="false">SUMIF($CB$4:$JS$4,BS$4,$CB16:$JS16)</f>
        <v>0</v>
      </c>
      <c r="BT16" s="50" t="n">
        <f aca="false">SUMIF($CB$4:$JS$4,BT$4,$CB16:$JS16)</f>
        <v>0</v>
      </c>
      <c r="BU16" s="50" t="n">
        <f aca="false">SUMIF($CB$4:$JS$4,BU$4,$CB16:$JS16)</f>
        <v>0</v>
      </c>
      <c r="BV16" s="50" t="n">
        <f aca="false">SUMIF($CB$4:$JS$4,BV$4,$CB16:$JS16)</f>
        <v>0</v>
      </c>
      <c r="BW16" s="50" t="n">
        <f aca="false">SUMIF($CB$4:$JS$4,BW$4,$CB16:$JS16)</f>
        <v>0</v>
      </c>
      <c r="BX16" s="50" t="n">
        <f aca="false">SUMIF($CB$4:$JS$4,"&gt;"&amp;'VALOR POR PL'!$P$8,$CB16:$JS16)</f>
        <v>0</v>
      </c>
      <c r="BY16" s="50" t="n">
        <f aca="false">SUM($CB16:$JS16)</f>
        <v>115071.04</v>
      </c>
      <c r="BZ16" s="45" t="n">
        <f aca="false">SUMPRODUCT(($CB$4:$JS$4&lt;&gt;"")*($CB$4:$JS$4&lt;=$D$4),$CB16:$JS16,$CB$1:$JS$1)</f>
        <v>0</v>
      </c>
      <c r="CB16" s="133" t="n">
        <f aca="false">IF(OR(CB$4="",$B16=""),0,SUMIF('DADOS BRUTOS'!$A$3:$A$500,$B16,'DADOS BRUTOS'!B$3:B$500)+IF($C16="",0,SUMIF('DADOS BRUTOS'!$A$3:$A$500,$C16,'DADOS BRUTOS'!B$3:B$500)))</f>
        <v>0</v>
      </c>
      <c r="CC16" s="133" t="n">
        <f aca="false">IF(OR(CC$4="",$B16=""),0,SUMIF('DADOS BRUTOS'!$A$3:$A$500,$B16,'DADOS BRUTOS'!C$3:C$500)+IF($C16="",0,SUMIF('DADOS BRUTOS'!$A$3:$A$500,$C16,'DADOS BRUTOS'!C$3:C$500)))</f>
        <v>0</v>
      </c>
      <c r="CD16" s="133" t="n">
        <f aca="false">IF(OR(CD$4="",$B16=""),0,SUMIF('DADOS BRUTOS'!$A$3:$A$500,$B16,'DADOS BRUTOS'!D$3:D$500)+IF($C16="",0,SUMIF('DADOS BRUTOS'!$A$3:$A$500,$C16,'DADOS BRUTOS'!D$3:D$500)))</f>
        <v>0</v>
      </c>
      <c r="CE16" s="133" t="n">
        <f aca="false">IF(OR(CE$4="",$B16=""),0,SUMIF('DADOS BRUTOS'!$A$3:$A$500,$B16,'DADOS BRUTOS'!E$3:E$500)+IF($C16="",0,SUMIF('DADOS BRUTOS'!$A$3:$A$500,$C16,'DADOS BRUTOS'!E$3:E$500)))</f>
        <v>0</v>
      </c>
      <c r="CF16" s="133" t="n">
        <f aca="false">IF(OR(CF$4="",$B16=""),0,SUMIF('DADOS BRUTOS'!$A$3:$A$500,$B16,'DADOS BRUTOS'!F$3:F$500)+IF($C16="",0,SUMIF('DADOS BRUTOS'!$A$3:$A$500,$C16,'DADOS BRUTOS'!F$3:F$500)))</f>
        <v>0</v>
      </c>
      <c r="CG16" s="133" t="n">
        <f aca="false">IF(OR(CG$4="",$B16=""),0,SUMIF('DADOS BRUTOS'!$A$3:$A$500,$B16,'DADOS BRUTOS'!G$3:G$500)+IF($C16="",0,SUMIF('DADOS BRUTOS'!$A$3:$A$500,$C16,'DADOS BRUTOS'!G$3:G$500)))</f>
        <v>0</v>
      </c>
      <c r="CH16" s="133" t="n">
        <f aca="false">IF(OR(CH$4="",$B16=""),0,SUMIF('DADOS BRUTOS'!$A$3:$A$500,$B16,'DADOS BRUTOS'!H$3:H$500)+IF($C16="",0,SUMIF('DADOS BRUTOS'!$A$3:$A$500,$C16,'DADOS BRUTOS'!H$3:H$500)))</f>
        <v>0</v>
      </c>
      <c r="CI16" s="133" t="n">
        <f aca="false">IF(OR(CI$4="",$B16=""),0,SUMIF('DADOS BRUTOS'!$A$3:$A$500,$B16,'DADOS BRUTOS'!I$3:I$500)+IF($C16="",0,SUMIF('DADOS BRUTOS'!$A$3:$A$500,$C16,'DADOS BRUTOS'!I$3:I$500)))</f>
        <v>0</v>
      </c>
      <c r="CJ16" s="133" t="n">
        <f aca="false">IF(OR(CJ$4="",$B16=""),0,SUMIF('DADOS BRUTOS'!$A$3:$A$500,$B16,'DADOS BRUTOS'!J$3:J$500)+IF($C16="",0,SUMIF('DADOS BRUTOS'!$A$3:$A$500,$C16,'DADOS BRUTOS'!J$3:J$500)))</f>
        <v>0</v>
      </c>
      <c r="CK16" s="133" t="n">
        <f aca="false">IF(OR(CK$4="",$B16=""),0,SUMIF('DADOS BRUTOS'!$A$3:$A$500,$B16,'DADOS BRUTOS'!K$3:K$500)+IF($C16="",0,SUMIF('DADOS BRUTOS'!$A$3:$A$500,$C16,'DADOS BRUTOS'!K$3:K$500)))</f>
        <v>0</v>
      </c>
      <c r="CL16" s="133" t="n">
        <f aca="false">IF(OR(CL$4="",$B16=""),0,SUMIF('DADOS BRUTOS'!$A$3:$A$500,$B16,'DADOS BRUTOS'!L$3:L$500)+IF($C16="",0,SUMIF('DADOS BRUTOS'!$A$3:$A$500,$C16,'DADOS BRUTOS'!L$3:L$500)))</f>
        <v>0</v>
      </c>
      <c r="CM16" s="133" t="n">
        <f aca="false">IF(OR(CM$4="",$B16=""),0,SUMIF('DADOS BRUTOS'!$A$3:$A$500,$B16,'DADOS BRUTOS'!M$3:M$500)+IF($C16="",0,SUMIF('DADOS BRUTOS'!$A$3:$A$500,$C16,'DADOS BRUTOS'!M$3:M$500)))</f>
        <v>0</v>
      </c>
      <c r="CN16" s="133" t="n">
        <f aca="false">IF(OR(CN$4="",$B16=""),0,SUMIF('DADOS BRUTOS'!$A$3:$A$500,$B16,'DADOS BRUTOS'!N$3:N$500)+IF($C16="",0,SUMIF('DADOS BRUTOS'!$A$3:$A$500,$C16,'DADOS BRUTOS'!N$3:N$500)))</f>
        <v>0</v>
      </c>
      <c r="CO16" s="133" t="n">
        <f aca="false">IF(OR(CO$4="",$B16=""),0,SUMIF('DADOS BRUTOS'!$A$3:$A$500,$B16,'DADOS BRUTOS'!O$3:O$500)+IF($C16="",0,SUMIF('DADOS BRUTOS'!$A$3:$A$500,$C16,'DADOS BRUTOS'!O$3:O$500)))</f>
        <v>0</v>
      </c>
      <c r="CP16" s="133" t="n">
        <f aca="false">IF(OR(CP$4="",$B16=""),0,SUMIF('DADOS BRUTOS'!$A$3:$A$500,$B16,'DADOS BRUTOS'!P$3:P$500)+IF($C16="",0,SUMIF('DADOS BRUTOS'!$A$3:$A$500,$C16,'DADOS BRUTOS'!P$3:P$500)))</f>
        <v>0</v>
      </c>
      <c r="CQ16" s="133" t="n">
        <f aca="false">IF(OR(CQ$4="",$B16=""),0,SUMIF('DADOS BRUTOS'!$A$3:$A$500,$B16,'DADOS BRUTOS'!Q$3:Q$500)+IF($C16="",0,SUMIF('DADOS BRUTOS'!$A$3:$A$500,$C16,'DADOS BRUTOS'!Q$3:Q$500)))</f>
        <v>0</v>
      </c>
      <c r="CR16" s="133" t="n">
        <f aca="false">IF(OR(CR$4="",$B16=""),0,SUMIF('DADOS BRUTOS'!$A$3:$A$500,$B16,'DADOS BRUTOS'!R$3:R$500)+IF($C16="",0,SUMIF('DADOS BRUTOS'!$A$3:$A$500,$C16,'DADOS BRUTOS'!R$3:R$500)))</f>
        <v>0</v>
      </c>
      <c r="CS16" s="133" t="n">
        <f aca="false">IF(OR(CS$4="",$B16=""),0,SUMIF('DADOS BRUTOS'!$A$3:$A$500,$B16,'DADOS BRUTOS'!S$3:S$500)+IF($C16="",0,SUMIF('DADOS BRUTOS'!$A$3:$A$500,$C16,'DADOS BRUTOS'!S$3:S$500)))</f>
        <v>0</v>
      </c>
      <c r="CT16" s="133" t="n">
        <f aca="false">IF(OR(CT$4="",$B16=""),0,SUMIF('DADOS BRUTOS'!$A$3:$A$500,$B16,'DADOS BRUTOS'!T$3:T$500)+IF($C16="",0,SUMIF('DADOS BRUTOS'!$A$3:$A$500,$C16,'DADOS BRUTOS'!T$3:T$500)))</f>
        <v>29688.12</v>
      </c>
      <c r="CU16" s="133" t="n">
        <f aca="false">IF(OR(CU$4="",$B16=""),0,SUMIF('DADOS BRUTOS'!$A$3:$A$500,$B16,'DADOS BRUTOS'!U$3:U$500)+IF($C16="",0,SUMIF('DADOS BRUTOS'!$A$3:$A$500,$C16,'DADOS BRUTOS'!U$3:U$500)))</f>
        <v>5465.88</v>
      </c>
      <c r="CV16" s="133" t="n">
        <f aca="false">IF(OR(CV$4="",$B16=""),0,SUMIF('DADOS BRUTOS'!$A$3:$A$500,$B16,'DADOS BRUTOS'!V$3:V$500)+IF($C16="",0,SUMIF('DADOS BRUTOS'!$A$3:$A$500,$C16,'DADOS BRUTOS'!V$3:V$500)))</f>
        <v>0</v>
      </c>
      <c r="CW16" s="133" t="n">
        <f aca="false">IF(OR(CW$4="",$B16=""),0,SUMIF('DADOS BRUTOS'!$A$3:$A$500,$B16,'DADOS BRUTOS'!W$3:W$500)+IF($C16="",0,SUMIF('DADOS BRUTOS'!$A$3:$A$500,$C16,'DADOS BRUTOS'!W$3:W$500)))</f>
        <v>15003.12</v>
      </c>
      <c r="CX16" s="133" t="n">
        <f aca="false">IF(OR(CX$4="",$B16=""),0,SUMIF('DADOS BRUTOS'!$A$3:$A$500,$B16,'DADOS BRUTOS'!X$3:X$500)+IF($C16="",0,SUMIF('DADOS BRUTOS'!$A$3:$A$500,$C16,'DADOS BRUTOS'!X$3:X$500)))</f>
        <v>8525.88</v>
      </c>
      <c r="CY16" s="133" t="n">
        <f aca="false">IF(OR(CY$4="",$B16=""),0,SUMIF('DADOS BRUTOS'!$A$3:$A$500,$B16,'DADOS BRUTOS'!Y$3:Y$500)+IF($C16="",0,SUMIF('DADOS BRUTOS'!$A$3:$A$500,$C16,'DADOS BRUTOS'!Y$3:Y$500)))</f>
        <v>9755.94</v>
      </c>
      <c r="CZ16" s="133" t="n">
        <f aca="false">IF(OR(CZ$4="",$B16=""),0,SUMIF('DADOS BRUTOS'!$A$3:$A$500,$B16,'DADOS BRUTOS'!Z$3:Z$500)+IF($C16="",0,SUMIF('DADOS BRUTOS'!$A$3:$A$500,$C16,'DADOS BRUTOS'!Z$3:Z$500)))</f>
        <v>13712.62</v>
      </c>
      <c r="DA16" s="133" t="n">
        <f aca="false">IF(OR(DA$4="",$B16=""),0,SUMIF('DADOS BRUTOS'!$A$3:$A$500,$B16,'DADOS BRUTOS'!AA$3:AA$500)+IF($C16="",0,SUMIF('DADOS BRUTOS'!$A$3:$A$500,$C16,'DADOS BRUTOS'!AA$3:AA$500)))</f>
        <v>9641.44</v>
      </c>
      <c r="DB16" s="133" t="n">
        <f aca="false">IF(OR(DB$4="",$B16=""),0,SUMIF('DADOS BRUTOS'!$A$3:$A$500,$B16,'DADOS BRUTOS'!AB$3:AB$500)+IF($C16="",0,SUMIF('DADOS BRUTOS'!$A$3:$A$500,$C16,'DADOS BRUTOS'!AB$3:AB$500)))</f>
        <v>1604.07</v>
      </c>
      <c r="DC16" s="133" t="n">
        <f aca="false">IF(OR(DC$4="",$B16=""),0,SUMIF('DADOS BRUTOS'!$A$3:$A$500,$B16,'DADOS BRUTOS'!AC$3:AC$500)+IF($C16="",0,SUMIF('DADOS BRUTOS'!$A$3:$A$500,$C16,'DADOS BRUTOS'!AC$3:AC$500)))</f>
        <v>10302.97</v>
      </c>
      <c r="DD16" s="133" t="n">
        <f aca="false">IF(OR(DD$4="",$B16=""),0,SUMIF('DADOS BRUTOS'!$A$3:$A$500,$B16,'DADOS BRUTOS'!AD$3:AD$500)+IF($C16="",0,SUMIF('DADOS BRUTOS'!$A$3:$A$500,$C16,'DADOS BRUTOS'!AD$3:AD$500)))</f>
        <v>3859.6</v>
      </c>
      <c r="DE16" s="133" t="n">
        <f aca="false">IF(OR(DE$4="",$B16=""),0,SUMIF('DADOS BRUTOS'!$A$3:$A$500,$B16,'DADOS BRUTOS'!AE$3:AE$500)+IF($C16="",0,SUMIF('DADOS BRUTOS'!$A$3:$A$500,$C16,'DADOS BRUTOS'!AE$3:AE$500)))</f>
        <v>140.4</v>
      </c>
      <c r="DF16" s="133" t="n">
        <f aca="false">IF(OR(DF$4="",$B16=""),0,SUMIF('DADOS BRUTOS'!$A$3:$A$500,$B16,'DADOS BRUTOS'!AF$3:AF$500)+IF($C16="",0,SUMIF('DADOS BRUTOS'!$A$3:$A$500,$C16,'DADOS BRUTOS'!AF$3:AF$500)))</f>
        <v>665</v>
      </c>
      <c r="DG16" s="133" t="n">
        <f aca="false">IF(OR(DG$4="",$B16=""),0,SUMIF('DADOS BRUTOS'!$A$3:$A$500,$B16,'DADOS BRUTOS'!AG$3:AG$500)+IF($C16="",0,SUMIF('DADOS BRUTOS'!$A$3:$A$500,$C16,'DADOS BRUTOS'!AG$3:AG$500)))</f>
        <v>0</v>
      </c>
      <c r="DH16" s="133" t="n">
        <f aca="false">IF(OR(DH$4="",$B16=""),0,SUMIF('DADOS BRUTOS'!$A$3:$A$500,$B16,'DADOS BRUTOS'!AH$3:AH$500)+IF($C16="",0,SUMIF('DADOS BRUTOS'!$A$3:$A$500,$C16,'DADOS BRUTOS'!AH$3:AH$500)))</f>
        <v>0</v>
      </c>
      <c r="DI16" s="133" t="n">
        <f aca="false">IF(OR(DI$4="",$B16=""),0,SUMIF('DADOS BRUTOS'!$A$3:$A$500,$B16,'DADOS BRUTOS'!AI$3:AI$500)+IF($C16="",0,SUMIF('DADOS BRUTOS'!$A$3:$A$500,$C16,'DADOS BRUTOS'!AI$3:AI$500)))</f>
        <v>0</v>
      </c>
      <c r="DJ16" s="133" t="n">
        <f aca="false">IF(OR(DJ$4="",$B16=""),0,SUMIF('DADOS BRUTOS'!$A$3:$A$500,$B16,'DADOS BRUTOS'!AJ$3:AJ$500)+IF($C16="",0,SUMIF('DADOS BRUTOS'!$A$3:$A$500,$C16,'DADOS BRUTOS'!AJ$3:AJ$500)))</f>
        <v>0</v>
      </c>
      <c r="DK16" s="133" t="n">
        <f aca="false">IF(OR(DK$4="",$B16=""),0,SUMIF('DADOS BRUTOS'!$A$3:$A$500,$B16,'DADOS BRUTOS'!AK$3:AK$500)+IF($C16="",0,SUMIF('DADOS BRUTOS'!$A$3:$A$500,$C16,'DADOS BRUTOS'!AK$3:AK$500)))</f>
        <v>3801</v>
      </c>
      <c r="DL16" s="133" t="n">
        <f aca="false">IF(OR(DL$4="",$B16=""),0,SUMIF('DADOS BRUTOS'!$A$3:$A$500,$B16,'DADOS BRUTOS'!AL$3:AL$500)+IF($C16="",0,SUMIF('DADOS BRUTOS'!$A$3:$A$500,$C16,'DADOS BRUTOS'!AL$3:AL$500)))</f>
        <v>0</v>
      </c>
      <c r="DM16" s="133" t="n">
        <f aca="false">IF(OR(DM$4="",$B16=""),0,SUMIF('DADOS BRUTOS'!$A$3:$A$500,$B16,'DADOS BRUTOS'!AM$3:AM$500)+IF($C16="",0,SUMIF('DADOS BRUTOS'!$A$3:$A$500,$C16,'DADOS BRUTOS'!AM$3:AM$500)))</f>
        <v>0</v>
      </c>
      <c r="DN16" s="133" t="n">
        <f aca="false">IF(OR(DN$4="",$B16=""),0,SUMIF('DADOS BRUTOS'!$A$3:$A$500,$B16,'DADOS BRUTOS'!AN$3:AN$500)+IF($C16="",0,SUMIF('DADOS BRUTOS'!$A$3:$A$500,$C16,'DADOS BRUTOS'!AN$3:AN$500)))</f>
        <v>0</v>
      </c>
      <c r="DO16" s="133" t="n">
        <f aca="false">IF(OR(DO$4="",$B16=""),0,SUMIF('DADOS BRUTOS'!$A$3:$A$500,$B16,'DADOS BRUTOS'!AO$3:AO$500)+IF($C16="",0,SUMIF('DADOS BRUTOS'!$A$3:$A$500,$C16,'DADOS BRUTOS'!AO$3:AO$500)))</f>
        <v>0</v>
      </c>
      <c r="DP16" s="133" t="n">
        <f aca="false">IF(OR(DP$4="",$B16=""),0,SUMIF('DADOS BRUTOS'!$A$3:$A$500,$B16,'DADOS BRUTOS'!AP$3:AP$500)+IF($C16="",0,SUMIF('DADOS BRUTOS'!$A$3:$A$500,$C16,'DADOS BRUTOS'!AP$3:AP$500)))</f>
        <v>0</v>
      </c>
      <c r="DQ16" s="133" t="n">
        <f aca="false">IF(OR(DQ$4="",$B16=""),0,SUMIF('DADOS BRUTOS'!$A$3:$A$500,$B16,'DADOS BRUTOS'!AQ$3:AQ$500)+IF($C16="",0,SUMIF('DADOS BRUTOS'!$A$3:$A$500,$C16,'DADOS BRUTOS'!AQ$3:AQ$500)))</f>
        <v>0</v>
      </c>
      <c r="DR16" s="133" t="n">
        <f aca="false">IF(OR(DR$4="",$B16=""),0,SUMIF('DADOS BRUTOS'!$A$3:$A$500,$B16,'DADOS BRUTOS'!AR$3:AR$500)+IF($C16="",0,SUMIF('DADOS BRUTOS'!$A$3:$A$500,$C16,'DADOS BRUTOS'!AR$3:AR$500)))</f>
        <v>0</v>
      </c>
      <c r="DS16" s="133" t="n">
        <f aca="false">IF(OR(DS$4="",$B16=""),0,SUMIF('DADOS BRUTOS'!$A$3:$A$500,$B16,'DADOS BRUTOS'!AS$3:AS$500)+IF($C16="",0,SUMIF('DADOS BRUTOS'!$A$3:$A$500,$C16,'DADOS BRUTOS'!AS$3:AS$500)))</f>
        <v>0</v>
      </c>
      <c r="DT16" s="133" t="n">
        <f aca="false">IF(OR(DT$4="",$B16=""),0,SUMIF('DADOS BRUTOS'!$A$3:$A$500,$B16,'DADOS BRUTOS'!AT$3:AT$500)+IF($C16="",0,SUMIF('DADOS BRUTOS'!$A$3:$A$500,$C16,'DADOS BRUTOS'!AT$3:AT$500)))</f>
        <v>0</v>
      </c>
      <c r="DU16" s="133" t="n">
        <f aca="false">IF(OR(DU$4="",$B16=""),0,SUMIF('DADOS BRUTOS'!$A$3:$A$500,$B16,'DADOS BRUTOS'!AU$3:AU$500)+IF($C16="",0,SUMIF('DADOS BRUTOS'!$A$3:$A$500,$C16,'DADOS BRUTOS'!AU$3:AU$500)))</f>
        <v>0</v>
      </c>
      <c r="DV16" s="133" t="n">
        <f aca="false">IF(OR(DV$4="",$B16=""),0,SUMIF('DADOS BRUTOS'!$A$3:$A$500,$B16,'DADOS BRUTOS'!AV$3:AV$500)+IF($C16="",0,SUMIF('DADOS BRUTOS'!$A$3:$A$500,$C16,'DADOS BRUTOS'!AV$3:AV$500)))</f>
        <v>0</v>
      </c>
      <c r="DW16" s="133" t="n">
        <f aca="false">IF(OR(DW$4="",$B16=""),0,SUMIF('DADOS BRUTOS'!$A$3:$A$500,$B16,'DADOS BRUTOS'!AW$3:AW$500)+IF($C16="",0,SUMIF('DADOS BRUTOS'!$A$3:$A$500,$C16,'DADOS BRUTOS'!AW$3:AW$500)))</f>
        <v>0</v>
      </c>
      <c r="DX16" s="133" t="n">
        <f aca="false">IF(OR(DX$4="",$B16=""),0,SUMIF('DADOS BRUTOS'!$A$3:$A$500,$B16,'DADOS BRUTOS'!AX$3:AX$500)+IF($C16="",0,SUMIF('DADOS BRUTOS'!$A$3:$A$500,$C16,'DADOS BRUTOS'!AX$3:AX$500)))</f>
        <v>2905</v>
      </c>
      <c r="DY16" s="133" t="n">
        <f aca="false">IF(OR(DY$4="",$B16=""),0,SUMIF('DADOS BRUTOS'!$A$3:$A$500,$B16,'DADOS BRUTOS'!AY$3:AY$500)+IF($C16="",0,SUMIF('DADOS BRUTOS'!$A$3:$A$500,$C16,'DADOS BRUTOS'!AY$3:AY$500)))</f>
        <v>0</v>
      </c>
      <c r="DZ16" s="133" t="n">
        <f aca="false">IF(OR(DZ$4="",$B16=""),0,SUMIF('DADOS BRUTOS'!$A$3:$A$500,$B16,'DADOS BRUTOS'!AZ$3:AZ$500)+IF($C16="",0,SUMIF('DADOS BRUTOS'!$A$3:$A$500,$C16,'DADOS BRUTOS'!AZ$3:AZ$500)))</f>
        <v>0</v>
      </c>
      <c r="EA16" s="133" t="n">
        <f aca="false">IF(OR(EA$4="",$B16=""),0,SUMIF('DADOS BRUTOS'!$A$3:$A$500,$B16,'DADOS BRUTOS'!BA$3:BA$500)+IF($C16="",0,SUMIF('DADOS BRUTOS'!$A$3:$A$500,$C16,'DADOS BRUTOS'!BA$3:BA$500)))</f>
        <v>0</v>
      </c>
      <c r="EB16" s="133" t="n">
        <f aca="false">IF(OR(EB$4="",$B16=""),0,SUMIF('DADOS BRUTOS'!$A$3:$A$500,$B16,'DADOS BRUTOS'!BB$3:BB$500)+IF($C16="",0,SUMIF('DADOS BRUTOS'!$A$3:$A$500,$C16,'DADOS BRUTOS'!BB$3:BB$500)))</f>
        <v>0</v>
      </c>
      <c r="EC16" s="133" t="n">
        <f aca="false">IF(OR(EC$4="",$B16=""),0,SUMIF('DADOS BRUTOS'!$A$3:$A$500,$B16,'DADOS BRUTOS'!BC$3:BC$500)+IF($C16="",0,SUMIF('DADOS BRUTOS'!$A$3:$A$500,$C16,'DADOS BRUTOS'!BC$3:BC$500)))</f>
        <v>0</v>
      </c>
      <c r="ED16" s="133" t="n">
        <f aca="false">IF(OR(ED$4="",$B16=""),0,SUMIF('DADOS BRUTOS'!$A$3:$A$500,$B16,'DADOS BRUTOS'!BD$3:BD$500)+IF($C16="",0,SUMIF('DADOS BRUTOS'!$A$3:$A$500,$C16,'DADOS BRUTOS'!BD$3:BD$500)))</f>
        <v>0</v>
      </c>
      <c r="EE16" s="133" t="n">
        <f aca="false">IF(OR(EE$4="",$B16=""),0,SUMIF('DADOS BRUTOS'!$A$3:$A$500,$B16,'DADOS BRUTOS'!BE$3:BE$500)+IF($C16="",0,SUMIF('DADOS BRUTOS'!$A$3:$A$500,$C16,'DADOS BRUTOS'!BE$3:BE$500)))</f>
        <v>0</v>
      </c>
      <c r="EF16" s="133" t="n">
        <f aca="false">IF(OR(EF$4="",$B16=""),0,SUMIF('DADOS BRUTOS'!$A$3:$A$500,$B16,'DADOS BRUTOS'!BF$3:BF$500)+IF($C16="",0,SUMIF('DADOS BRUTOS'!$A$3:$A$500,$C16,'DADOS BRUTOS'!BF$3:BF$500)))</f>
        <v>0</v>
      </c>
      <c r="EG16" s="133" t="n">
        <f aca="false">IF(OR(EG$4="",$B16=""),0,SUMIF('DADOS BRUTOS'!$A$3:$A$500,$B16,'DADOS BRUTOS'!BG$3:BG$500)+IF($C16="",0,SUMIF('DADOS BRUTOS'!$A$3:$A$500,$C16,'DADOS BRUTOS'!BG$3:BG$500)))</f>
        <v>0</v>
      </c>
      <c r="EH16" s="133" t="n">
        <f aca="false">IF(OR(EH$4="",$B16=""),0,SUMIF('DADOS BRUTOS'!$A$3:$A$500,$B16,'DADOS BRUTOS'!BH$3:BH$500)+IF($C16="",0,SUMIF('DADOS BRUTOS'!$A$3:$A$500,$C16,'DADOS BRUTOS'!BH$3:BH$500)))</f>
        <v>0</v>
      </c>
      <c r="EI16" s="133" t="n">
        <f aca="false">IF(OR(EI$4="",$B16=""),0,SUMIF('DADOS BRUTOS'!$A$3:$A$500,$B16,'DADOS BRUTOS'!BI$3:BI$500)+IF($C16="",0,SUMIF('DADOS BRUTOS'!$A$3:$A$500,$C16,'DADOS BRUTOS'!BI$3:BI$500)))</f>
        <v>0</v>
      </c>
      <c r="EJ16" s="133" t="n">
        <f aca="false">IF(OR(EJ$4="",$B16=""),0,SUMIF('DADOS BRUTOS'!$A$3:$A$500,$B16,'DADOS BRUTOS'!BJ$3:BJ$500)+IF($C16="",0,SUMIF('DADOS BRUTOS'!$A$3:$A$500,$C16,'DADOS BRUTOS'!BJ$3:BJ$500)))</f>
        <v>0</v>
      </c>
      <c r="EK16" s="133" t="n">
        <f aca="false">IF(OR(EK$4="",$B16=""),0,SUMIF('DADOS BRUTOS'!$A$3:$A$500,$B16,'DADOS BRUTOS'!BK$3:BK$500)+IF($C16="",0,SUMIF('DADOS BRUTOS'!$A$3:$A$500,$C16,'DADOS BRUTOS'!BK$3:BK$500)))</f>
        <v>0</v>
      </c>
      <c r="EL16" s="133" t="n">
        <f aca="false">IF(OR(EL$4="",$B16=""),0,SUMIF('DADOS BRUTOS'!$A$3:$A$500,$B16,'DADOS BRUTOS'!BL$3:BL$500)+IF($C16="",0,SUMIF('DADOS BRUTOS'!$A$3:$A$500,$C16,'DADOS BRUTOS'!BL$3:BL$500)))</f>
        <v>0</v>
      </c>
      <c r="EM16" s="133" t="n">
        <f aca="false">IF(OR(EM$4="",$B16=""),0,SUMIF('DADOS BRUTOS'!$A$3:$A$500,$B16,'DADOS BRUTOS'!BM$3:BM$500)+IF($C16="",0,SUMIF('DADOS BRUTOS'!$A$3:$A$500,$C16,'DADOS BRUTOS'!BM$3:BM$500)))</f>
        <v>0</v>
      </c>
      <c r="EN16" s="133" t="n">
        <f aca="false">IF(OR(EN$4="",$B16=""),0,SUMIF('DADOS BRUTOS'!$A$3:$A$500,$B16,'DADOS BRUTOS'!BN$3:BN$500)+IF($C16="",0,SUMIF('DADOS BRUTOS'!$A$3:$A$500,$C16,'DADOS BRUTOS'!BN$3:BN$500)))</f>
        <v>0</v>
      </c>
      <c r="EO16" s="133" t="n">
        <f aca="false">IF(OR(EO$4="",$B16=""),0,SUMIF('DADOS BRUTOS'!$A$3:$A$500,$B16,'DADOS BRUTOS'!BO$3:BO$500)+IF($C16="",0,SUMIF('DADOS BRUTOS'!$A$3:$A$500,$C16,'DADOS BRUTOS'!BO$3:BO$500)))</f>
        <v>0</v>
      </c>
      <c r="EP16" s="133" t="n">
        <f aca="false">IF(OR(EP$4="",$B16=""),0,SUMIF('DADOS BRUTOS'!$A$3:$A$500,$B16,'DADOS BRUTOS'!BP$3:BP$500)+IF($C16="",0,SUMIF('DADOS BRUTOS'!$A$3:$A$500,$C16,'DADOS BRUTOS'!BP$3:BP$500)))</f>
        <v>0</v>
      </c>
      <c r="EQ16" s="133" t="n">
        <f aca="false">IF(OR(EQ$4="",$B16=""),0,SUMIF('DADOS BRUTOS'!$A$3:$A$500,$B16,'DADOS BRUTOS'!BQ$3:BQ$500)+IF($C16="",0,SUMIF('DADOS BRUTOS'!$A$3:$A$500,$C16,'DADOS BRUTOS'!BQ$3:BQ$500)))</f>
        <v>0</v>
      </c>
      <c r="ER16" s="133" t="n">
        <f aca="false">IF(OR(ER$4="",$B16=""),0,SUMIF('DADOS BRUTOS'!$A$3:$A$500,$B16,'DADOS BRUTOS'!BR$3:BR$500)+IF($C16="",0,SUMIF('DADOS BRUTOS'!$A$3:$A$500,$C16,'DADOS BRUTOS'!BR$3:BR$500)))</f>
        <v>0</v>
      </c>
      <c r="ES16" s="133" t="n">
        <f aca="false">IF(OR(ES$4="",$B16=""),0,SUMIF('DADOS BRUTOS'!$A$3:$A$500,$B16,'DADOS BRUTOS'!BS$3:BS$500)+IF($C16="",0,SUMIF('DADOS BRUTOS'!$A$3:$A$500,$C16,'DADOS BRUTOS'!BS$3:BS$500)))</f>
        <v>0</v>
      </c>
      <c r="ET16" s="133" t="n">
        <f aca="false">IF(OR(ET$4="",$B16=""),0,SUMIF('DADOS BRUTOS'!$A$3:$A$500,$B16,'DADOS BRUTOS'!BT$3:BT$500)+IF($C16="",0,SUMIF('DADOS BRUTOS'!$A$3:$A$500,$C16,'DADOS BRUTOS'!BT$3:BT$500)))</f>
        <v>0</v>
      </c>
      <c r="EU16" s="133" t="n">
        <f aca="false">IF(OR(EU$4="",$B16=""),0,SUMIF('DADOS BRUTOS'!$A$3:$A$500,$B16,'DADOS BRUTOS'!BU$3:BU$500)+IF($C16="",0,SUMIF('DADOS BRUTOS'!$A$3:$A$500,$C16,'DADOS BRUTOS'!BU$3:BU$500)))</f>
        <v>0</v>
      </c>
      <c r="EV16" s="133" t="n">
        <f aca="false">IF(OR(EV$4="",$B16=""),0,SUMIF('DADOS BRUTOS'!$A$3:$A$500,$B16,'DADOS BRUTOS'!BV$3:BV$500)+IF($C16="",0,SUMIF('DADOS BRUTOS'!$A$3:$A$500,$C16,'DADOS BRUTOS'!BV$3:BV$500)))</f>
        <v>0</v>
      </c>
      <c r="EW16" s="133" t="n">
        <f aca="false">IF(OR(EW$4="",$B16=""),0,SUMIF('DADOS BRUTOS'!$A$3:$A$500,$B16,'DADOS BRUTOS'!BW$3:BW$500)+IF($C16="",0,SUMIF('DADOS BRUTOS'!$A$3:$A$500,$C16,'DADOS BRUTOS'!BW$3:BW$500)))</f>
        <v>0</v>
      </c>
      <c r="EX16" s="133" t="n">
        <f aca="false">IF(OR(EX$4="",$B16=""),0,SUMIF('DADOS BRUTOS'!$A$3:$A$500,$B16,'DADOS BRUTOS'!BX$3:BX$500)+IF($C16="",0,SUMIF('DADOS BRUTOS'!$A$3:$A$500,$C16,'DADOS BRUTOS'!BX$3:BX$500)))</f>
        <v>0</v>
      </c>
      <c r="EY16" s="133" t="n">
        <f aca="false">IF(OR(EY$4="",$B16=""),0,SUMIF('DADOS BRUTOS'!$A$3:$A$500,$B16,'DADOS BRUTOS'!BY$3:BY$500)+IF($C16="",0,SUMIF('DADOS BRUTOS'!$A$3:$A$500,$C16,'DADOS BRUTOS'!BY$3:BY$500)))</f>
        <v>0</v>
      </c>
      <c r="EZ16" s="133" t="n">
        <f aca="false">IF(OR(EZ$4="",$B16=""),0,SUMIF('DADOS BRUTOS'!$A$3:$A$500,$B16,'DADOS BRUTOS'!BZ$3:BZ$500)+IF($C16="",0,SUMIF('DADOS BRUTOS'!$A$3:$A$500,$C16,'DADOS BRUTOS'!BZ$3:BZ$500)))</f>
        <v>0</v>
      </c>
      <c r="FA16" s="133" t="n">
        <f aca="false">IF(OR(FA$4="",$B16=""),0,SUMIF('DADOS BRUTOS'!$A$3:$A$500,$B16,'DADOS BRUTOS'!CA$3:CA$500)+IF($C16="",0,SUMIF('DADOS BRUTOS'!$A$3:$A$500,$C16,'DADOS BRUTOS'!CA$3:CA$500)))</f>
        <v>0</v>
      </c>
      <c r="FB16" s="133" t="n">
        <f aca="false">IF(OR(FB$4="",$B16=""),0,SUMIF('DADOS BRUTOS'!$A$3:$A$500,$B16,'DADOS BRUTOS'!CB$3:CB$500)+IF($C16="",0,SUMIF('DADOS BRUTOS'!$A$3:$A$500,$C16,'DADOS BRUTOS'!CB$3:CB$500)))</f>
        <v>0</v>
      </c>
      <c r="FC16" s="133" t="n">
        <f aca="false">IF(OR(FC$4="",$B16=""),0,SUMIF('DADOS BRUTOS'!$A$3:$A$500,$B16,'DADOS BRUTOS'!CC$3:CC$500)+IF($C16="",0,SUMIF('DADOS BRUTOS'!$A$3:$A$500,$C16,'DADOS BRUTOS'!CC$3:CC$500)))</f>
        <v>0</v>
      </c>
      <c r="FD16" s="133" t="n">
        <f aca="false">IF(OR(FD$4="",$B16=""),0,SUMIF('DADOS BRUTOS'!$A$3:$A$500,$B16,'DADOS BRUTOS'!CD$3:CD$500)+IF($C16="",0,SUMIF('DADOS BRUTOS'!$A$3:$A$500,$C16,'DADOS BRUTOS'!CD$3:CD$500)))</f>
        <v>0</v>
      </c>
      <c r="FE16" s="133" t="n">
        <f aca="false">IF(OR(FE$4="",$B16=""),0,SUMIF('DADOS BRUTOS'!$A$3:$A$500,$B16,'DADOS BRUTOS'!CE$3:CE$500)+IF($C16="",0,SUMIF('DADOS BRUTOS'!$A$3:$A$500,$C16,'DADOS BRUTOS'!CE$3:CE$500)))</f>
        <v>0</v>
      </c>
      <c r="FF16" s="133" t="n">
        <f aca="false">IF(OR(FF$4="",$B16=""),0,SUMIF('DADOS BRUTOS'!$A$3:$A$500,$B16,'DADOS BRUTOS'!CF$3:CF$500)+IF($C16="",0,SUMIF('DADOS BRUTOS'!$A$3:$A$500,$C16,'DADOS BRUTOS'!CF$3:CF$500)))</f>
        <v>0</v>
      </c>
      <c r="FG16" s="133" t="n">
        <f aca="false">IF(OR(FG$4="",$B16=""),0,SUMIF('DADOS BRUTOS'!$A$3:$A$500,$B16,'DADOS BRUTOS'!CG$3:CG$500)+IF($C16="",0,SUMIF('DADOS BRUTOS'!$A$3:$A$500,$C16,'DADOS BRUTOS'!CG$3:CG$500)))</f>
        <v>0</v>
      </c>
      <c r="FH16" s="133" t="n">
        <f aca="false">IF(OR(FH$4="",$B16=""),0,SUMIF('DADOS BRUTOS'!$A$3:$A$500,$B16,'DADOS BRUTOS'!CH$3:CH$500)+IF($C16="",0,SUMIF('DADOS BRUTOS'!$A$3:$A$500,$C16,'DADOS BRUTOS'!CH$3:CH$500)))</f>
        <v>0</v>
      </c>
      <c r="FI16" s="133" t="n">
        <f aca="false">IF(OR(FI$4="",$B16=""),0,SUMIF('DADOS BRUTOS'!$A$3:$A$500,$B16,'DADOS BRUTOS'!CI$3:CI$500)+IF($C16="",0,SUMIF('DADOS BRUTOS'!$A$3:$A$500,$C16,'DADOS BRUTOS'!CI$3:CI$500)))</f>
        <v>0</v>
      </c>
      <c r="FJ16" s="133" t="n">
        <f aca="false">IF(OR(FJ$4="",$B16=""),0,SUMIF('DADOS BRUTOS'!$A$3:$A$500,$B16,'DADOS BRUTOS'!CJ$3:CJ$500)+IF($C16="",0,SUMIF('DADOS BRUTOS'!$A$3:$A$500,$C16,'DADOS BRUTOS'!CJ$3:CJ$500)))</f>
        <v>0</v>
      </c>
      <c r="FK16" s="133" t="n">
        <f aca="false">IF(OR(FK$4="",$B16=""),0,SUMIF('DADOS BRUTOS'!$A$3:$A$500,$B16,'DADOS BRUTOS'!CK$3:CK$500)+IF($C16="",0,SUMIF('DADOS BRUTOS'!$A$3:$A$500,$C16,'DADOS BRUTOS'!CK$3:CK$500)))</f>
        <v>0</v>
      </c>
      <c r="FL16" s="133" t="n">
        <f aca="false">IF(OR(FL$4="",$B16=""),0,SUMIF('DADOS BRUTOS'!$A$3:$A$500,$B16,'DADOS BRUTOS'!CL$3:CL$500)+IF($C16="",0,SUMIF('DADOS BRUTOS'!$A$3:$A$500,$C16,'DADOS BRUTOS'!CL$3:CL$500)))</f>
        <v>0</v>
      </c>
      <c r="FM16" s="133" t="n">
        <f aca="false">IF(OR(FM$4="",$B16=""),0,SUMIF('DADOS BRUTOS'!$A$3:$A$500,$B16,'DADOS BRUTOS'!CM$3:CM$500)+IF($C16="",0,SUMIF('DADOS BRUTOS'!$A$3:$A$500,$C16,'DADOS BRUTOS'!CM$3:CM$500)))</f>
        <v>0</v>
      </c>
      <c r="FN16" s="133" t="n">
        <f aca="false">IF(OR(FN$4="",$B16=""),0,SUMIF('DADOS BRUTOS'!$A$3:$A$500,$B16,'DADOS BRUTOS'!CN$3:CN$500)+IF($C16="",0,SUMIF('DADOS BRUTOS'!$A$3:$A$500,$C16,'DADOS BRUTOS'!CN$3:CN$500)))</f>
        <v>0</v>
      </c>
      <c r="FO16" s="133" t="n">
        <f aca="false">IF(OR(FO$4="",$B16=""),0,SUMIF('DADOS BRUTOS'!$A$3:$A$500,$B16,'DADOS BRUTOS'!CO$3:CO$500)+IF($C16="",0,SUMIF('DADOS BRUTOS'!$A$3:$A$500,$C16,'DADOS BRUTOS'!CO$3:CO$500)))</f>
        <v>0</v>
      </c>
      <c r="FP16" s="133" t="n">
        <f aca="false">IF(OR(FP$4="",$B16=""),0,SUMIF('DADOS BRUTOS'!$A$3:$A$500,$B16,'DADOS BRUTOS'!CP$3:CP$500)+IF($C16="",0,SUMIF('DADOS BRUTOS'!$A$3:$A$500,$C16,'DADOS BRUTOS'!CP$3:CP$500)))</f>
        <v>0</v>
      </c>
      <c r="FQ16" s="133" t="n">
        <f aca="false">IF(OR(FQ$4="",$B16=""),0,SUMIF('DADOS BRUTOS'!$A$3:$A$500,$B16,'DADOS BRUTOS'!CQ$3:CQ$500)+IF($C16="",0,SUMIF('DADOS BRUTOS'!$A$3:$A$500,$C16,'DADOS BRUTOS'!CQ$3:CQ$500)))</f>
        <v>0</v>
      </c>
      <c r="FR16" s="133" t="n">
        <f aca="false">IF(OR(FR$4="",$B16=""),0,SUMIF('DADOS BRUTOS'!$A$3:$A$500,$B16,'DADOS BRUTOS'!CR$3:CR$500)+IF($C16="",0,SUMIF('DADOS BRUTOS'!$A$3:$A$500,$C16,'DADOS BRUTOS'!CR$3:CR$500)))</f>
        <v>0</v>
      </c>
      <c r="FS16" s="133" t="n">
        <f aca="false">IF(OR(FS$4="",$B16=""),0,SUMIF('DADOS BRUTOS'!$A$3:$A$500,$B16,'DADOS BRUTOS'!CS$3:CS$500)+IF($C16="",0,SUMIF('DADOS BRUTOS'!$A$3:$A$500,$C16,'DADOS BRUTOS'!CS$3:CS$500)))</f>
        <v>0</v>
      </c>
      <c r="FT16" s="133" t="n">
        <f aca="false">IF(OR(FT$4="",$B16=""),0,SUMIF('DADOS BRUTOS'!$A$3:$A$500,$B16,'DADOS BRUTOS'!CT$3:CT$500)+IF($C16="",0,SUMIF('DADOS BRUTOS'!$A$3:$A$500,$C16,'DADOS BRUTOS'!CT$3:CT$500)))</f>
        <v>0</v>
      </c>
      <c r="FU16" s="133" t="n">
        <f aca="false">IF(OR(FU$4="",$B16=""),0,SUMIF('DADOS BRUTOS'!$A$3:$A$500,$B16,'DADOS BRUTOS'!CU$3:CU$500)+IF($C16="",0,SUMIF('DADOS BRUTOS'!$A$3:$A$500,$C16,'DADOS BRUTOS'!CU$3:CU$500)))</f>
        <v>0</v>
      </c>
      <c r="FV16" s="133" t="n">
        <f aca="false">IF(OR(FV$4="",$B16=""),0,SUMIF('DADOS BRUTOS'!$A$3:$A$500,$B16,'DADOS BRUTOS'!CV$3:CV$500)+IF($C16="",0,SUMIF('DADOS BRUTOS'!$A$3:$A$500,$C16,'DADOS BRUTOS'!CV$3:CV$500)))</f>
        <v>0</v>
      </c>
      <c r="FW16" s="133" t="n">
        <f aca="false">IF(OR(FW$4="",$B16=""),0,SUMIF('DADOS BRUTOS'!$A$3:$A$500,$B16,'DADOS BRUTOS'!CW$3:CW$500)+IF($C16="",0,SUMIF('DADOS BRUTOS'!$A$3:$A$500,$C16,'DADOS BRUTOS'!CW$3:CW$500)))</f>
        <v>0</v>
      </c>
      <c r="FX16" s="133" t="n">
        <f aca="false">IF(OR(FX$4="",$B16=""),0,SUMIF('DADOS BRUTOS'!$A$3:$A$500,$B16,'DADOS BRUTOS'!CX$3:CX$500)+IF($C16="",0,SUMIF('DADOS BRUTOS'!$A$3:$A$500,$C16,'DADOS BRUTOS'!CX$3:CX$500)))</f>
        <v>0</v>
      </c>
      <c r="FY16" s="133" t="n">
        <f aca="false">IF(OR(FY$4="",$B16=""),0,SUMIF('DADOS BRUTOS'!$A$3:$A$500,$B16,'DADOS BRUTOS'!CY$3:CY$500)+IF($C16="",0,SUMIF('DADOS BRUTOS'!$A$3:$A$500,$C16,'DADOS BRUTOS'!CY$3:CY$500)))</f>
        <v>0</v>
      </c>
      <c r="FZ16" s="133" t="n">
        <f aca="false">IF(OR(FZ$4="",$B16=""),0,SUMIF('DADOS BRUTOS'!$A$3:$A$500,$B16,'DADOS BRUTOS'!CZ$3:CZ$500)+IF($C16="",0,SUMIF('DADOS BRUTOS'!$A$3:$A$500,$C16,'DADOS BRUTOS'!CZ$3:CZ$500)))</f>
        <v>0</v>
      </c>
      <c r="GA16" s="133" t="n">
        <f aca="false">IF(OR(GA$4="",$B16=""),0,SUMIF('DADOS BRUTOS'!$A$3:$A$500,$B16,'DADOS BRUTOS'!DA$3:DA$500)+IF($C16="",0,SUMIF('DADOS BRUTOS'!$A$3:$A$500,$C16,'DADOS BRUTOS'!DA$3:DA$500)))</f>
        <v>0</v>
      </c>
      <c r="GB16" s="133" t="n">
        <f aca="false">IF(OR(GB$4="",$B16=""),0,SUMIF('DADOS BRUTOS'!$A$3:$A$500,$B16,'DADOS BRUTOS'!DB$3:DB$500)+IF($C16="",0,SUMIF('DADOS BRUTOS'!$A$3:$A$500,$C16,'DADOS BRUTOS'!DB$3:DB$500)))</f>
        <v>0</v>
      </c>
      <c r="GC16" s="133" t="n">
        <f aca="false">IF(OR(GC$4="",$B16=""),0,SUMIF('DADOS BRUTOS'!$A$3:$A$500,$B16,'DADOS BRUTOS'!DC$3:DC$500)+IF($C16="",0,SUMIF('DADOS BRUTOS'!$A$3:$A$500,$C16,'DADOS BRUTOS'!DC$3:DC$500)))</f>
        <v>0</v>
      </c>
      <c r="GD16" s="133" t="n">
        <f aca="false">IF(OR(GD$4="",$B16=""),0,SUMIF('DADOS BRUTOS'!$A$3:$A$500,$B16,'DADOS BRUTOS'!DD$3:DD$500)+IF($C16="",0,SUMIF('DADOS BRUTOS'!$A$3:$A$500,$C16,'DADOS BRUTOS'!DD$3:DD$500)))</f>
        <v>0</v>
      </c>
      <c r="GE16" s="133" t="n">
        <f aca="false">IF(OR(GE$4="",$B16=""),0,SUMIF('DADOS BRUTOS'!$A$3:$A$500,$B16,'DADOS BRUTOS'!DE$3:DE$500)+IF($C16="",0,SUMIF('DADOS BRUTOS'!$A$3:$A$500,$C16,'DADOS BRUTOS'!DE$3:DE$500)))</f>
        <v>0</v>
      </c>
      <c r="GF16" s="133" t="n">
        <f aca="false">IF(OR(GF$4="",$B16=""),0,SUMIF('DADOS BRUTOS'!$A$3:$A$500,$B16,'DADOS BRUTOS'!DF$3:DF$500)+IF($C16="",0,SUMIF('DADOS BRUTOS'!$A$3:$A$500,$C16,'DADOS BRUTOS'!DF$3:DF$500)))</f>
        <v>0</v>
      </c>
      <c r="GG16" s="133" t="n">
        <f aca="false">IF(OR(GG$4="",$B16=""),0,SUMIF('DADOS BRUTOS'!$A$3:$A$500,$B16,'DADOS BRUTOS'!DG$3:DG$500)+IF($C16="",0,SUMIF('DADOS BRUTOS'!$A$3:$A$500,$C16,'DADOS BRUTOS'!DG$3:DG$500)))</f>
        <v>0</v>
      </c>
      <c r="GH16" s="133" t="n">
        <f aca="false">IF(OR(GH$4="",$B16=""),0,SUMIF('DADOS BRUTOS'!$A$3:$A$500,$B16,'DADOS BRUTOS'!DH$3:DH$500)+IF($C16="",0,SUMIF('DADOS BRUTOS'!$A$3:$A$500,$C16,'DADOS BRUTOS'!DH$3:DH$500)))</f>
        <v>0</v>
      </c>
      <c r="GI16" s="133" t="n">
        <f aca="false">IF(OR(GI$4="",$B16=""),0,SUMIF('DADOS BRUTOS'!$A$3:$A$500,$B16,'DADOS BRUTOS'!DI$3:DI$500)+IF($C16="",0,SUMIF('DADOS BRUTOS'!$A$3:$A$500,$C16,'DADOS BRUTOS'!DI$3:DI$500)))</f>
        <v>0</v>
      </c>
      <c r="GJ16" s="133" t="n">
        <f aca="false">IF(OR(GJ$4="",$B16=""),0,SUMIF('DADOS BRUTOS'!$A$3:$A$500,$B16,'DADOS BRUTOS'!DJ$3:DJ$500)+IF($C16="",0,SUMIF('DADOS BRUTOS'!$A$3:$A$500,$C16,'DADOS BRUTOS'!DJ$3:DJ$500)))</f>
        <v>0</v>
      </c>
      <c r="GK16" s="133" t="n">
        <f aca="false">IF(OR(GK$4="",$B16=""),0,SUMIF('DADOS BRUTOS'!$A$3:$A$500,$B16,'DADOS BRUTOS'!DK$3:DK$500)+IF($C16="",0,SUMIF('DADOS BRUTOS'!$A$3:$A$500,$C16,'DADOS BRUTOS'!DK$3:DK$500)))</f>
        <v>0</v>
      </c>
      <c r="GL16" s="133" t="n">
        <f aca="false">IF(OR(GL$4="",$B16=""),0,SUMIF('DADOS BRUTOS'!$A$3:$A$500,$B16,'DADOS BRUTOS'!DL$3:DL$500)+IF($C16="",0,SUMIF('DADOS BRUTOS'!$A$3:$A$500,$C16,'DADOS BRUTOS'!DL$3:DL$500)))</f>
        <v>0</v>
      </c>
      <c r="GM16" s="133" t="n">
        <f aca="false">IF(OR(GM$4="",$B16=""),0,SUMIF('DADOS BRUTOS'!$A$3:$A$500,$B16,'DADOS BRUTOS'!DM$3:DM$500)+IF($C16="",0,SUMIF('DADOS BRUTOS'!$A$3:$A$500,$C16,'DADOS BRUTOS'!DM$3:DM$500)))</f>
        <v>0</v>
      </c>
      <c r="GN16" s="133" t="n">
        <f aca="false">IF(OR(GN$4="",$B16=""),0,SUMIF('DADOS BRUTOS'!$A$3:$A$500,$B16,'DADOS BRUTOS'!DN$3:DN$500)+IF($C16="",0,SUMIF('DADOS BRUTOS'!$A$3:$A$500,$C16,'DADOS BRUTOS'!DN$3:DN$500)))</f>
        <v>0</v>
      </c>
      <c r="GO16" s="133" t="n">
        <f aca="false">IF(OR(GO$4="",$B16=""),0,SUMIF('DADOS BRUTOS'!$A$3:$A$500,$B16,'DADOS BRUTOS'!DO$3:DO$500)+IF($C16="",0,SUMIF('DADOS BRUTOS'!$A$3:$A$500,$C16,'DADOS BRUTOS'!DO$3:DO$500)))</f>
        <v>0</v>
      </c>
      <c r="GP16" s="133" t="n">
        <f aca="false">IF(OR(GP$4="",$B16=""),0,SUMIF('DADOS BRUTOS'!$A$3:$A$500,$B16,'DADOS BRUTOS'!DP$3:DP$500)+IF($C16="",0,SUMIF('DADOS BRUTOS'!$A$3:$A$500,$C16,'DADOS BRUTOS'!DP$3:DP$500)))</f>
        <v>0</v>
      </c>
      <c r="GQ16" s="133" t="n">
        <f aca="false">IF(OR(GQ$4="",$B16=""),0,SUMIF('DADOS BRUTOS'!$A$3:$A$500,$B16,'DADOS BRUTOS'!DQ$3:DQ$500)+IF($C16="",0,SUMIF('DADOS BRUTOS'!$A$3:$A$500,$C16,'DADOS BRUTOS'!DQ$3:DQ$500)))</f>
        <v>0</v>
      </c>
      <c r="GR16" s="133" t="n">
        <f aca="false">IF(OR(GR$4="",$B16=""),0,SUMIF('DADOS BRUTOS'!$A$3:$A$500,$B16,'DADOS BRUTOS'!DR$3:DR$500)+IF($C16="",0,SUMIF('DADOS BRUTOS'!$A$3:$A$500,$C16,'DADOS BRUTOS'!DR$3:DR$500)))</f>
        <v>0</v>
      </c>
      <c r="GS16" s="133" t="n">
        <f aca="false">IF(OR(GS$4="",$B16=""),0,SUMIF('DADOS BRUTOS'!$A$3:$A$500,$B16,'DADOS BRUTOS'!DS$3:DS$500)+IF($C16="",0,SUMIF('DADOS BRUTOS'!$A$3:$A$500,$C16,'DADOS BRUTOS'!DS$3:DS$500)))</f>
        <v>0</v>
      </c>
      <c r="GT16" s="133" t="n">
        <f aca="false">IF(OR(GT$4="",$B16=""),0,SUMIF('DADOS BRUTOS'!$A$3:$A$500,$B16,'DADOS BRUTOS'!DT$3:DT$500)+IF($C16="",0,SUMIF('DADOS BRUTOS'!$A$3:$A$500,$C16,'DADOS BRUTOS'!DT$3:DT$500)))</f>
        <v>0</v>
      </c>
      <c r="GU16" s="133" t="n">
        <f aca="false">IF(OR(GU$4="",$B16=""),0,SUMIF('DADOS BRUTOS'!$A$3:$A$500,$B16,'DADOS BRUTOS'!DU$3:DU$500)+IF($C16="",0,SUMIF('DADOS BRUTOS'!$A$3:$A$500,$C16,'DADOS BRUTOS'!DU$3:DU$500)))</f>
        <v>0</v>
      </c>
      <c r="GV16" s="133" t="n">
        <f aca="false">IF(OR(GV$4="",$B16=""),0,SUMIF('DADOS BRUTOS'!$A$3:$A$500,$B16,'DADOS BRUTOS'!DV$3:DV$500)+IF($C16="",0,SUMIF('DADOS BRUTOS'!$A$3:$A$500,$C16,'DADOS BRUTOS'!DV$3:DV$500)))</f>
        <v>0</v>
      </c>
      <c r="GW16" s="133" t="n">
        <f aca="false">IF(OR(GW$4="",$B16=""),0,SUMIF('DADOS BRUTOS'!$A$3:$A$500,$B16,'DADOS BRUTOS'!DW$3:DW$500)+IF($C16="",0,SUMIF('DADOS BRUTOS'!$A$3:$A$500,$C16,'DADOS BRUTOS'!DW$3:DW$500)))</f>
        <v>0</v>
      </c>
      <c r="GX16" s="133" t="n">
        <f aca="false">IF(OR(GX$4="",$B16=""),0,SUMIF('DADOS BRUTOS'!$A$3:$A$500,$B16,'DADOS BRUTOS'!DX$3:DX$500)+IF($C16="",0,SUMIF('DADOS BRUTOS'!$A$3:$A$500,$C16,'DADOS BRUTOS'!DX$3:DX$500)))</f>
        <v>0</v>
      </c>
      <c r="GY16" s="133" t="n">
        <f aca="false">IF(OR(GY$4="",$B16=""),0,SUMIF('DADOS BRUTOS'!$A$3:$A$500,$B16,'DADOS BRUTOS'!DY$3:DY$500)+IF($C16="",0,SUMIF('DADOS BRUTOS'!$A$3:$A$500,$C16,'DADOS BRUTOS'!DY$3:DY$500)))</f>
        <v>0</v>
      </c>
      <c r="GZ16" s="133" t="n">
        <f aca="false">IF(OR(GZ$4="",$B16=""),0,SUMIF('DADOS BRUTOS'!$A$3:$A$500,$B16,'DADOS BRUTOS'!DZ$3:DZ$500)+IF($C16="",0,SUMIF('DADOS BRUTOS'!$A$3:$A$500,$C16,'DADOS BRUTOS'!DZ$3:DZ$500)))</f>
        <v>0</v>
      </c>
      <c r="HA16" s="133" t="n">
        <f aca="false">IF(OR(HA$4="",$B16=""),0,SUMIF('DADOS BRUTOS'!$A$3:$A$500,$B16,'DADOS BRUTOS'!EA$3:EA$500)+IF($C16="",0,SUMIF('DADOS BRUTOS'!$A$3:$A$500,$C16,'DADOS BRUTOS'!EA$3:EA$500)))</f>
        <v>0</v>
      </c>
      <c r="HB16" s="133" t="n">
        <f aca="false">IF(OR(HB$4="",$B16=""),0,SUMIF('DADOS BRUTOS'!$A$3:$A$500,$B16,'DADOS BRUTOS'!EB$3:EB$500)+IF($C16="",0,SUMIF('DADOS BRUTOS'!$A$3:$A$500,$C16,'DADOS BRUTOS'!EB$3:EB$500)))</f>
        <v>0</v>
      </c>
      <c r="HC16" s="133" t="n">
        <f aca="false">IF(OR(HC$4="",$B16=""),0,SUMIF('DADOS BRUTOS'!$A$3:$A$500,$B16,'DADOS BRUTOS'!EC$3:EC$500)+IF($C16="",0,SUMIF('DADOS BRUTOS'!$A$3:$A$500,$C16,'DADOS BRUTOS'!EC$3:EC$500)))</f>
        <v>0</v>
      </c>
      <c r="HD16" s="133" t="n">
        <f aca="false">IF(OR(HD$4="",$B16=""),0,SUMIF('DADOS BRUTOS'!$A$3:$A$500,$B16,'DADOS BRUTOS'!ED$3:ED$500)+IF($C16="",0,SUMIF('DADOS BRUTOS'!$A$3:$A$500,$C16,'DADOS BRUTOS'!ED$3:ED$500)))</f>
        <v>0</v>
      </c>
      <c r="HE16" s="133" t="n">
        <f aca="false">IF(OR(HE$4="",$B16=""),0,SUMIF('DADOS BRUTOS'!$A$3:$A$500,$B16,'DADOS BRUTOS'!EE$3:EE$500)+IF($C16="",0,SUMIF('DADOS BRUTOS'!$A$3:$A$500,$C16,'DADOS BRUTOS'!EE$3:EE$500)))</f>
        <v>0</v>
      </c>
      <c r="HF16" s="133" t="n">
        <f aca="false">IF(OR(HF$4="",$B16=""),0,SUMIF('DADOS BRUTOS'!$A$3:$A$500,$B16,'DADOS BRUTOS'!EF$3:EF$500)+IF($C16="",0,SUMIF('DADOS BRUTOS'!$A$3:$A$500,$C16,'DADOS BRUTOS'!EF$3:EF$500)))</f>
        <v>0</v>
      </c>
      <c r="HG16" s="133" t="n">
        <f aca="false">IF(OR(HG$4="",$B16=""),0,SUMIF('DADOS BRUTOS'!$A$3:$A$500,$B16,'DADOS BRUTOS'!EG$3:EG$500)+IF($C16="",0,SUMIF('DADOS BRUTOS'!$A$3:$A$500,$C16,'DADOS BRUTOS'!EG$3:EG$500)))</f>
        <v>0</v>
      </c>
      <c r="HH16" s="133" t="n">
        <f aca="false">IF(OR(HH$4="",$B16=""),0,SUMIF('DADOS BRUTOS'!$A$3:$A$500,$B16,'DADOS BRUTOS'!EH$3:EH$500)+IF($C16="",0,SUMIF('DADOS BRUTOS'!$A$3:$A$500,$C16,'DADOS BRUTOS'!EH$3:EH$500)))</f>
        <v>0</v>
      </c>
      <c r="HI16" s="133" t="n">
        <f aca="false">IF(OR(HI$4="",$B16=""),0,SUMIF('DADOS BRUTOS'!$A$3:$A$500,$B16,'DADOS BRUTOS'!EI$3:EI$500)+IF($C16="",0,SUMIF('DADOS BRUTOS'!$A$3:$A$500,$C16,'DADOS BRUTOS'!EI$3:EI$500)))</f>
        <v>0</v>
      </c>
      <c r="HJ16" s="133" t="n">
        <f aca="false">IF(OR(HJ$4="",$B16=""),0,SUMIF('DADOS BRUTOS'!$A$3:$A$500,$B16,'DADOS BRUTOS'!EJ$3:EJ$500)+IF($C16="",0,SUMIF('DADOS BRUTOS'!$A$3:$A$500,$C16,'DADOS BRUTOS'!EJ$3:EJ$500)))</f>
        <v>0</v>
      </c>
      <c r="HK16" s="133" t="n">
        <f aca="false">IF(OR(HK$4="",$B16=""),0,SUMIF('DADOS BRUTOS'!$A$3:$A$500,$B16,'DADOS BRUTOS'!EK$3:EK$500)+IF($C16="",0,SUMIF('DADOS BRUTOS'!$A$3:$A$500,$C16,'DADOS BRUTOS'!EK$3:EK$500)))</f>
        <v>0</v>
      </c>
      <c r="HL16" s="133" t="n">
        <f aca="false">IF(OR(HL$4="",$B16=""),0,SUMIF('DADOS BRUTOS'!$A$3:$A$500,$B16,'DADOS BRUTOS'!EL$3:EL$500)+IF($C16="",0,SUMIF('DADOS BRUTOS'!$A$3:$A$500,$C16,'DADOS BRUTOS'!EL$3:EL$500)))</f>
        <v>0</v>
      </c>
      <c r="HM16" s="133" t="n">
        <f aca="false">IF(OR(HM$4="",$B16=""),0,SUMIF('DADOS BRUTOS'!$A$3:$A$500,$B16,'DADOS BRUTOS'!EM$3:EM$500)+IF($C16="",0,SUMIF('DADOS BRUTOS'!$A$3:$A$500,$C16,'DADOS BRUTOS'!EM$3:EM$500)))</f>
        <v>0</v>
      </c>
      <c r="HN16" s="133" t="n">
        <f aca="false">IF(OR(HN$4="",$B16=""),0,SUMIF('DADOS BRUTOS'!$A$3:$A$500,$B16,'DADOS BRUTOS'!EN$3:EN$500)+IF($C16="",0,SUMIF('DADOS BRUTOS'!$A$3:$A$500,$C16,'DADOS BRUTOS'!EN$3:EN$500)))</f>
        <v>0</v>
      </c>
      <c r="HO16" s="133" t="n">
        <f aca="false">IF(OR(HO$4="",$B16=""),0,SUMIF('DADOS BRUTOS'!$A$3:$A$500,$B16,'DADOS BRUTOS'!EO$3:EO$500)+IF($C16="",0,SUMIF('DADOS BRUTOS'!$A$3:$A$500,$C16,'DADOS BRUTOS'!EO$3:EO$500)))</f>
        <v>0</v>
      </c>
      <c r="HP16" s="133" t="n">
        <f aca="false">IF(OR(HP$4="",$B16=""),0,SUMIF('DADOS BRUTOS'!$A$3:$A$500,$B16,'DADOS BRUTOS'!EP$3:EP$500)+IF($C16="",0,SUMIF('DADOS BRUTOS'!$A$3:$A$500,$C16,'DADOS BRUTOS'!EP$3:EP$500)))</f>
        <v>0</v>
      </c>
      <c r="HQ16" s="133" t="n">
        <f aca="false">IF(OR(HQ$4="",$B16=""),0,SUMIF('DADOS BRUTOS'!$A$3:$A$500,$B16,'DADOS BRUTOS'!EQ$3:EQ$500)+IF($C16="",0,SUMIF('DADOS BRUTOS'!$A$3:$A$500,$C16,'DADOS BRUTOS'!EQ$3:EQ$500)))</f>
        <v>0</v>
      </c>
      <c r="HR16" s="133" t="n">
        <f aca="false">IF(OR(HR$4="",$B16=""),0,SUMIF('DADOS BRUTOS'!$A$3:$A$500,$B16,'DADOS BRUTOS'!ER$3:ER$500)+IF($C16="",0,SUMIF('DADOS BRUTOS'!$A$3:$A$500,$C16,'DADOS BRUTOS'!ER$3:ER$500)))</f>
        <v>0</v>
      </c>
      <c r="HS16" s="133" t="n">
        <f aca="false">IF(OR(HS$4="",$B16=""),0,SUMIF('DADOS BRUTOS'!$A$3:$A$500,$B16,'DADOS BRUTOS'!ES$3:ES$500)+IF($C16="",0,SUMIF('DADOS BRUTOS'!$A$3:$A$500,$C16,'DADOS BRUTOS'!ES$3:ES$500)))</f>
        <v>0</v>
      </c>
      <c r="HT16" s="133" t="n">
        <f aca="false">IF(OR(HT$4="",$B16=""),0,SUMIF('DADOS BRUTOS'!$A$3:$A$500,$B16,'DADOS BRUTOS'!ET$3:ET$500)+IF($C16="",0,SUMIF('DADOS BRUTOS'!$A$3:$A$500,$C16,'DADOS BRUTOS'!ET$3:ET$500)))</f>
        <v>0</v>
      </c>
      <c r="HU16" s="133" t="n">
        <f aca="false">IF(OR(HU$4="",$B16=""),0,SUMIF('DADOS BRUTOS'!$A$3:$A$500,$B16,'DADOS BRUTOS'!EU$3:EU$500)+IF($C16="",0,SUMIF('DADOS BRUTOS'!$A$3:$A$500,$C16,'DADOS BRUTOS'!EU$3:EU$500)))</f>
        <v>0</v>
      </c>
      <c r="HV16" s="133" t="n">
        <f aca="false">IF(OR(HV$4="",$B16=""),0,SUMIF('DADOS BRUTOS'!$A$3:$A$500,$B16,'DADOS BRUTOS'!EV$3:EV$500)+IF($C16="",0,SUMIF('DADOS BRUTOS'!$A$3:$A$500,$C16,'DADOS BRUTOS'!EV$3:EV$500)))</f>
        <v>0</v>
      </c>
      <c r="HW16" s="133" t="n">
        <f aca="false">IF(OR(HW$4="",$B16=""),0,SUMIF('DADOS BRUTOS'!$A$3:$A$500,$B16,'DADOS BRUTOS'!EW$3:EW$500)+IF($C16="",0,SUMIF('DADOS BRUTOS'!$A$3:$A$500,$C16,'DADOS BRUTOS'!EW$3:EW$500)))</f>
        <v>0</v>
      </c>
      <c r="HX16" s="133" t="n">
        <f aca="false">IF(OR(HX$4="",$B16=""),0,SUMIF('DADOS BRUTOS'!$A$3:$A$500,$B16,'DADOS BRUTOS'!EX$3:EX$500)+IF($C16="",0,SUMIF('DADOS BRUTOS'!$A$3:$A$500,$C16,'DADOS BRUTOS'!EX$3:EX$500)))</f>
        <v>0</v>
      </c>
      <c r="HY16" s="133" t="n">
        <f aca="false">IF(OR(HY$4="",$B16=""),0,SUMIF('DADOS BRUTOS'!$A$3:$A$500,$B16,'DADOS BRUTOS'!EY$3:EY$500)+IF($C16="",0,SUMIF('DADOS BRUTOS'!$A$3:$A$500,$C16,'DADOS BRUTOS'!EY$3:EY$500)))</f>
        <v>0</v>
      </c>
      <c r="HZ16" s="133" t="n">
        <f aca="false">IF(OR(HZ$4="",$B16=""),0,SUMIF('DADOS BRUTOS'!$A$3:$A$500,$B16,'DADOS BRUTOS'!EZ$3:EZ$500)+IF($C16="",0,SUMIF('DADOS BRUTOS'!$A$3:$A$500,$C16,'DADOS BRUTOS'!EZ$3:EZ$500)))</f>
        <v>0</v>
      </c>
      <c r="IA16" s="133" t="n">
        <f aca="false">IF(OR(IA$4="",$B16=""),0,SUMIF('DADOS BRUTOS'!$A$3:$A$500,$B16,'DADOS BRUTOS'!FA$3:FA$500)+IF($C16="",0,SUMIF('DADOS BRUTOS'!$A$3:$A$500,$C16,'DADOS BRUTOS'!FA$3:FA$500)))</f>
        <v>0</v>
      </c>
      <c r="IB16" s="133" t="n">
        <f aca="false">IF(OR(IB$4="",$B16=""),0,SUMIF('DADOS BRUTOS'!$A$3:$A$500,$B16,'DADOS BRUTOS'!FB$3:FB$500)+IF($C16="",0,SUMIF('DADOS BRUTOS'!$A$3:$A$500,$C16,'DADOS BRUTOS'!FB$3:FB$500)))</f>
        <v>0</v>
      </c>
      <c r="IC16" s="133" t="n">
        <f aca="false">IF(OR(IC$4="",$B16=""),0,SUMIF('DADOS BRUTOS'!$A$3:$A$500,$B16,'DADOS BRUTOS'!FC$3:FC$500)+IF($C16="",0,SUMIF('DADOS BRUTOS'!$A$3:$A$500,$C16,'DADOS BRUTOS'!FC$3:FC$500)))</f>
        <v>0</v>
      </c>
      <c r="ID16" s="133" t="n">
        <f aca="false">IF(OR(ID$4="",$B16=""),0,SUMIF('DADOS BRUTOS'!$A$3:$A$500,$B16,'DADOS BRUTOS'!FD$3:FD$500)+IF($C16="",0,SUMIF('DADOS BRUTOS'!$A$3:$A$500,$C16,'DADOS BRUTOS'!FD$3:FD$500)))</f>
        <v>0</v>
      </c>
      <c r="IE16" s="133" t="n">
        <f aca="false">IF(OR(IE$4="",$B16=""),0,SUMIF('DADOS BRUTOS'!$A$3:$A$500,$B16,'DADOS BRUTOS'!FE$3:FE$500)+IF($C16="",0,SUMIF('DADOS BRUTOS'!$A$3:$A$500,$C16,'DADOS BRUTOS'!FE$3:FE$500)))</f>
        <v>0</v>
      </c>
      <c r="IF16" s="133" t="n">
        <f aca="false">IF(OR(IF$4="",$B16=""),0,SUMIF('DADOS BRUTOS'!$A$3:$A$500,$B16,'DADOS BRUTOS'!FF$3:FF$500)+IF($C16="",0,SUMIF('DADOS BRUTOS'!$A$3:$A$500,$C16,'DADOS BRUTOS'!FF$3:FF$500)))</f>
        <v>0</v>
      </c>
      <c r="IG16" s="133" t="n">
        <f aca="false">IF(OR(IG$4="",$B16=""),0,SUMIF('DADOS BRUTOS'!$A$3:$A$500,$B16,'DADOS BRUTOS'!FG$3:FG$500)+IF($C16="",0,SUMIF('DADOS BRUTOS'!$A$3:$A$500,$C16,'DADOS BRUTOS'!FG$3:FG$500)))</f>
        <v>0</v>
      </c>
      <c r="IH16" s="133" t="n">
        <f aca="false">IF(OR(IH$4="",$B16=""),0,SUMIF('DADOS BRUTOS'!$A$3:$A$500,$B16,'DADOS BRUTOS'!FH$3:FH$500)+IF($C16="",0,SUMIF('DADOS BRUTOS'!$A$3:$A$500,$C16,'DADOS BRUTOS'!FH$3:FH$500)))</f>
        <v>0</v>
      </c>
      <c r="II16" s="133" t="n">
        <f aca="false">IF(OR(II$4="",$B16=""),0,SUMIF('DADOS BRUTOS'!$A$3:$A$500,$B16,'DADOS BRUTOS'!FI$3:FI$500)+IF($C16="",0,SUMIF('DADOS BRUTOS'!$A$3:$A$500,$C16,'DADOS BRUTOS'!FI$3:FI$500)))</f>
        <v>0</v>
      </c>
      <c r="IJ16" s="133" t="n">
        <f aca="false">IF(OR(IJ$4="",$B16=""),0,SUMIF('DADOS BRUTOS'!$A$3:$A$500,$B16,'DADOS BRUTOS'!FJ$3:FJ$500)+IF($C16="",0,SUMIF('DADOS BRUTOS'!$A$3:$A$500,$C16,'DADOS BRUTOS'!FJ$3:FJ$500)))</f>
        <v>0</v>
      </c>
      <c r="IK16" s="133" t="n">
        <f aca="false">IF(OR(IK$4="",$B16=""),0,SUMIF('DADOS BRUTOS'!$A$3:$A$500,$B16,'DADOS BRUTOS'!FK$3:FK$500)+IF($C16="",0,SUMIF('DADOS BRUTOS'!$A$3:$A$500,$C16,'DADOS BRUTOS'!FK$3:FK$500)))</f>
        <v>0</v>
      </c>
      <c r="IL16" s="133" t="n">
        <f aca="false">IF(OR(IL$4="",$B16=""),0,SUMIF('DADOS BRUTOS'!$A$3:$A$500,$B16,'DADOS BRUTOS'!FL$3:FL$500)+IF($C16="",0,SUMIF('DADOS BRUTOS'!$A$3:$A$500,$C16,'DADOS BRUTOS'!FL$3:FL$500)))</f>
        <v>0</v>
      </c>
      <c r="IM16" s="133" t="n">
        <f aca="false">IF(OR(IM$4="",$B16=""),0,SUMIF('DADOS BRUTOS'!$A$3:$A$500,$B16,'DADOS BRUTOS'!FM$3:FM$500)+IF($C16="",0,SUMIF('DADOS BRUTOS'!$A$3:$A$500,$C16,'DADOS BRUTOS'!FM$3:FM$500)))</f>
        <v>0</v>
      </c>
      <c r="IN16" s="133" t="n">
        <f aca="false">IF(OR(IN$4="",$B16=""),0,SUMIF('DADOS BRUTOS'!$A$3:$A$500,$B16,'DADOS BRUTOS'!FN$3:FN$500)+IF($C16="",0,SUMIF('DADOS BRUTOS'!$A$3:$A$500,$C16,'DADOS BRUTOS'!FN$3:FN$500)))</f>
        <v>0</v>
      </c>
      <c r="IO16" s="133" t="n">
        <f aca="false">IF(OR(IO$4="",$B16=""),0,SUMIF('DADOS BRUTOS'!$A$3:$A$500,$B16,'DADOS BRUTOS'!FO$3:FO$500)+IF($C16="",0,SUMIF('DADOS BRUTOS'!$A$3:$A$500,$C16,'DADOS BRUTOS'!FO$3:FO$500)))</f>
        <v>0</v>
      </c>
      <c r="IP16" s="133" t="n">
        <f aca="false">IF(OR(IP$4="",$B16=""),0,SUMIF('DADOS BRUTOS'!$A$3:$A$500,$B16,'DADOS BRUTOS'!FP$3:FP$500)+IF($C16="",0,SUMIF('DADOS BRUTOS'!$A$3:$A$500,$C16,'DADOS BRUTOS'!FP$3:FP$500)))</f>
        <v>0</v>
      </c>
      <c r="IQ16" s="133" t="n">
        <f aca="false">IF(OR(IQ$4="",$B16=""),0,SUMIF('DADOS BRUTOS'!$A$3:$A$500,$B16,'DADOS BRUTOS'!FQ$3:FQ$500)+IF($C16="",0,SUMIF('DADOS BRUTOS'!$A$3:$A$500,$C16,'DADOS BRUTOS'!FQ$3:FQ$500)))</f>
        <v>0</v>
      </c>
      <c r="IR16" s="133" t="n">
        <f aca="false">IF(OR(IR$4="",$B16=""),0,SUMIF('DADOS BRUTOS'!$A$3:$A$500,$B16,'DADOS BRUTOS'!FR$3:FR$500)+IF($C16="",0,SUMIF('DADOS BRUTOS'!$A$3:$A$500,$C16,'DADOS BRUTOS'!FR$3:FR$500)))</f>
        <v>0</v>
      </c>
      <c r="IS16" s="133" t="n">
        <f aca="false">IF(OR(IS$4="",$B16=""),0,SUMIF('DADOS BRUTOS'!$A$3:$A$500,$B16,'DADOS BRUTOS'!FS$3:FS$500)+IF($C16="",0,SUMIF('DADOS BRUTOS'!$A$3:$A$500,$C16,'DADOS BRUTOS'!FS$3:FS$500)))</f>
        <v>0</v>
      </c>
      <c r="IT16" s="133" t="n">
        <f aca="false">IF(OR(IT$4="",$B16=""),0,SUMIF('DADOS BRUTOS'!$A$3:$A$500,$B16,'DADOS BRUTOS'!FT$3:FT$500)+IF($C16="",0,SUMIF('DADOS BRUTOS'!$A$3:$A$500,$C16,'DADOS BRUTOS'!FT$3:FT$500)))</f>
        <v>0</v>
      </c>
      <c r="IU16" s="133" t="n">
        <f aca="false">IF(OR(IU$4="",$B16=""),0,SUMIF('DADOS BRUTOS'!$A$3:$A$500,$B16,'DADOS BRUTOS'!FU$3:FU$500)+IF($C16="",0,SUMIF('DADOS BRUTOS'!$A$3:$A$500,$C16,'DADOS BRUTOS'!FU$3:FU$500)))</f>
        <v>0</v>
      </c>
      <c r="IV16" s="133" t="n">
        <f aca="false">IF(OR(IV$4="",$B16=""),0,SUMIF('DADOS BRUTOS'!$A$3:$A$500,$B16,'DADOS BRUTOS'!FV$3:FV$500)+IF($C16="",0,SUMIF('DADOS BRUTOS'!$A$3:$A$500,$C16,'DADOS BRUTOS'!FV$3:FV$500)))</f>
        <v>0</v>
      </c>
      <c r="IW16" s="133" t="n">
        <f aca="false">IF(OR(IW$4="",$B16=""),0,SUMIF('DADOS BRUTOS'!$A$3:$A$500,$B16,'DADOS BRUTOS'!FW$3:FW$500)+IF($C16="",0,SUMIF('DADOS BRUTOS'!$A$3:$A$500,$C16,'DADOS BRUTOS'!FW$3:FW$500)))</f>
        <v>0</v>
      </c>
      <c r="IX16" s="133" t="n">
        <f aca="false">IF(OR(IX$4="",$B16=""),0,SUMIF('DADOS BRUTOS'!$A$3:$A$500,$B16,'DADOS BRUTOS'!FX$3:FX$500)+IF($C16="",0,SUMIF('DADOS BRUTOS'!$A$3:$A$500,$C16,'DADOS BRUTOS'!FX$3:FX$500)))</f>
        <v>0</v>
      </c>
      <c r="IY16" s="133" t="n">
        <f aca="false">IF(OR(IY$4="",$B16=""),0,SUMIF('DADOS BRUTOS'!$A$3:$A$500,$B16,'DADOS BRUTOS'!FY$3:FY$500)+IF($C16="",0,SUMIF('DADOS BRUTOS'!$A$3:$A$500,$C16,'DADOS BRUTOS'!FY$3:FY$500)))</f>
        <v>0</v>
      </c>
      <c r="IZ16" s="133" t="n">
        <f aca="false">IF(OR(IZ$4="",$B16=""),0,SUMIF('DADOS BRUTOS'!$A$3:$A$500,$B16,'DADOS BRUTOS'!FZ$3:FZ$500)+IF($C16="",0,SUMIF('DADOS BRUTOS'!$A$3:$A$500,$C16,'DADOS BRUTOS'!FZ$3:FZ$500)))</f>
        <v>0</v>
      </c>
      <c r="JA16" s="133" t="n">
        <f aca="false">IF(OR(JA$4="",$B16=""),0,SUMIF('DADOS BRUTOS'!$A$3:$A$500,$B16,'DADOS BRUTOS'!GA$3:GA$500)+IF($C16="",0,SUMIF('DADOS BRUTOS'!$A$3:$A$500,$C16,'DADOS BRUTOS'!GA$3:GA$500)))</f>
        <v>0</v>
      </c>
      <c r="JB16" s="133" t="n">
        <f aca="false">IF(OR(JB$4="",$B16=""),0,SUMIF('DADOS BRUTOS'!$A$3:$A$500,$B16,'DADOS BRUTOS'!GB$3:GB$500)+IF($C16="",0,SUMIF('DADOS BRUTOS'!$A$3:$A$500,$C16,'DADOS BRUTOS'!GB$3:GB$500)))</f>
        <v>0</v>
      </c>
      <c r="JC16" s="133" t="n">
        <f aca="false">IF(OR(JC$4="",$B16=""),0,SUMIF('DADOS BRUTOS'!$A$3:$A$500,$B16,'DADOS BRUTOS'!GC$3:GC$500)+IF($C16="",0,SUMIF('DADOS BRUTOS'!$A$3:$A$500,$C16,'DADOS BRUTOS'!GC$3:GC$500)))</f>
        <v>0</v>
      </c>
      <c r="JD16" s="133" t="n">
        <f aca="false">IF(OR(JD$4="",$B16=""),0,SUMIF('DADOS BRUTOS'!$A$3:$A$500,$B16,'DADOS BRUTOS'!GD$3:GD$500)+IF($C16="",0,SUMIF('DADOS BRUTOS'!$A$3:$A$500,$C16,'DADOS BRUTOS'!GD$3:GD$500)))</f>
        <v>0</v>
      </c>
      <c r="JE16" s="133" t="n">
        <f aca="false">IF(OR(JE$4="",$B16=""),0,SUMIF('DADOS BRUTOS'!$A$3:$A$500,$B16,'DADOS BRUTOS'!GE$3:GE$500)+IF($C16="",0,SUMIF('DADOS BRUTOS'!$A$3:$A$500,$C16,'DADOS BRUTOS'!GE$3:GE$500)))</f>
        <v>0</v>
      </c>
      <c r="JF16" s="133" t="n">
        <f aca="false">IF(OR(JF$4="",$B16=""),0,SUMIF('DADOS BRUTOS'!$A$3:$A$500,$B16,'DADOS BRUTOS'!GF$3:GF$500)+IF($C16="",0,SUMIF('DADOS BRUTOS'!$A$3:$A$500,$C16,'DADOS BRUTOS'!GF$3:GF$500)))</f>
        <v>0</v>
      </c>
      <c r="JG16" s="133" t="n">
        <f aca="false">IF(OR(JG$4="",$B16=""),0,SUMIF('DADOS BRUTOS'!$A$3:$A$500,$B16,'DADOS BRUTOS'!GG$3:GG$500)+IF($C16="",0,SUMIF('DADOS BRUTOS'!$A$3:$A$500,$C16,'DADOS BRUTOS'!GG$3:GG$500)))</f>
        <v>0</v>
      </c>
      <c r="JH16" s="133" t="n">
        <f aca="false">IF(OR(JH$4="",$B16=""),0,SUMIF('DADOS BRUTOS'!$A$3:$A$500,$B16,'DADOS BRUTOS'!GH$3:GH$500)+IF($C16="",0,SUMIF('DADOS BRUTOS'!$A$3:$A$500,$C16,'DADOS BRUTOS'!GH$3:GH$500)))</f>
        <v>0</v>
      </c>
      <c r="JI16" s="133" t="n">
        <f aca="false">IF(OR(JI$4="",$B16=""),0,SUMIF('DADOS BRUTOS'!$A$3:$A$500,$B16,'DADOS BRUTOS'!GI$3:GI$500)+IF($C16="",0,SUMIF('DADOS BRUTOS'!$A$3:$A$500,$C16,'DADOS BRUTOS'!GI$3:GI$500)))</f>
        <v>0</v>
      </c>
      <c r="JJ16" s="133" t="n">
        <f aca="false">IF(OR(JJ$4="",$B16=""),0,SUMIF('DADOS BRUTOS'!$A$3:$A$500,$B16,'DADOS BRUTOS'!GJ$3:GJ$500)+IF($C16="",0,SUMIF('DADOS BRUTOS'!$A$3:$A$500,$C16,'DADOS BRUTOS'!GJ$3:GJ$500)))</f>
        <v>0</v>
      </c>
      <c r="JK16" s="133" t="n">
        <f aca="false">IF(OR(JK$4="",$B16=""),0,SUMIF('DADOS BRUTOS'!$A$3:$A$500,$B16,'DADOS BRUTOS'!GK$3:GK$500)+IF($C16="",0,SUMIF('DADOS BRUTOS'!$A$3:$A$500,$C16,'DADOS BRUTOS'!GK$3:GK$500)))</f>
        <v>0</v>
      </c>
      <c r="JL16" s="133" t="n">
        <f aca="false">IF(OR(JL$4="",$B16=""),0,SUMIF('DADOS BRUTOS'!$A$3:$A$500,$B16,'DADOS BRUTOS'!GL$3:GL$500)+IF($C16="",0,SUMIF('DADOS BRUTOS'!$A$3:$A$500,$C16,'DADOS BRUTOS'!GL$3:GL$500)))</f>
        <v>0</v>
      </c>
      <c r="JM16" s="133" t="n">
        <f aca="false">IF(OR(JM$4="",$B16=""),0,SUMIF('DADOS BRUTOS'!$A$3:$A$500,$B16,'DADOS BRUTOS'!GM$3:GM$500)+IF($C16="",0,SUMIF('DADOS BRUTOS'!$A$3:$A$500,$C16,'DADOS BRUTOS'!GM$3:GM$500)))</f>
        <v>0</v>
      </c>
      <c r="JN16" s="133" t="n">
        <f aca="false">IF(OR(JN$4="",$B16=""),0,SUMIF('DADOS BRUTOS'!$A$3:$A$500,$B16,'DADOS BRUTOS'!GN$3:GN$500)+IF($C16="",0,SUMIF('DADOS BRUTOS'!$A$3:$A$500,$C16,'DADOS BRUTOS'!GN$3:GN$500)))</f>
        <v>0</v>
      </c>
      <c r="JO16" s="133" t="n">
        <f aca="false">IF(OR(JO$4="",$B16=""),0,SUMIF('DADOS BRUTOS'!$A$3:$A$500,$B16,'DADOS BRUTOS'!GO$3:GO$500)+IF($C16="",0,SUMIF('DADOS BRUTOS'!$A$3:$A$500,$C16,'DADOS BRUTOS'!GO$3:GO$500)))</f>
        <v>0</v>
      </c>
      <c r="JP16" s="133" t="n">
        <f aca="false">IF(OR(JP$4="",$B16=""),0,SUMIF('DADOS BRUTOS'!$A$3:$A$500,$B16,'DADOS BRUTOS'!GP$3:GP$500)+IF($C16="",0,SUMIF('DADOS BRUTOS'!$A$3:$A$500,$C16,'DADOS BRUTOS'!GP$3:GP$500)))</f>
        <v>0</v>
      </c>
      <c r="JQ16" s="133" t="n">
        <f aca="false">IF(OR(JQ$4="",$B16=""),0,SUMIF('DADOS BRUTOS'!$A$3:$A$500,$B16,'DADOS BRUTOS'!GQ$3:GQ$500)+IF($C16="",0,SUMIF('DADOS BRUTOS'!$A$3:$A$500,$C16,'DADOS BRUTOS'!GQ$3:GQ$500)))</f>
        <v>0</v>
      </c>
      <c r="JR16" s="133" t="n">
        <f aca="false">IF(OR(JR$4="",$B16=""),0,SUMIF('DADOS BRUTOS'!$A$3:$A$500,$B16,'DADOS BRUTOS'!GR$3:GR$500)+IF($C16="",0,SUMIF('DADOS BRUTOS'!$A$3:$A$500,$C16,'DADOS BRUTOS'!GR$3:GR$500)))</f>
        <v>0</v>
      </c>
      <c r="JS16" s="133" t="n">
        <f aca="false">IF(OR(JS$4="",$B16=""),0,SUMIF('DADOS BRUTOS'!$A$3:$A$500,$B16,'DADOS BRUTOS'!GS$3:GS$500)+IF($C16="",0,SUMIF('DADOS BRUTOS'!$A$3:$A$500,$C16,'DADOS BRUTOS'!GS$3:GS$500)))</f>
        <v>0</v>
      </c>
    </row>
    <row r="17" customFormat="false" ht="15" hidden="false" customHeight="false" outlineLevel="0" collapsed="false">
      <c r="A17" s="57" t="str">
        <f aca="false">'VALOR POR PL'!D23</f>
        <v>CONTENÇÃO</v>
      </c>
      <c r="B17" s="55" t="s">
        <v>72</v>
      </c>
      <c r="C17" s="55"/>
      <c r="D17" s="50" t="n">
        <f aca="false">SUMIF($CB$4:$JS$4,"&lt;="&amp;D$4,$CB17:$JS17)</f>
        <v>0</v>
      </c>
      <c r="E17" s="50" t="n">
        <f aca="false">SUMIF($CB$4:$JS$4,E$4,$CB17:$JS17)</f>
        <v>0</v>
      </c>
      <c r="F17" s="50" t="n">
        <f aca="false">SUMIF($CB$4:$JS$4,F$4,$CB17:$JS17)</f>
        <v>0</v>
      </c>
      <c r="G17" s="50" t="n">
        <f aca="false">SUMIF($CB$4:$JS$4,G$4,$CB17:$JS17)</f>
        <v>0</v>
      </c>
      <c r="H17" s="50" t="n">
        <f aca="false">SUMIF($CB$4:$JS$4,H$4,$CB17:$JS17)</f>
        <v>0</v>
      </c>
      <c r="I17" s="50" t="n">
        <f aca="false">SUMIF($CB$4:$JS$4,I$4,$CB17:$JS17)</f>
        <v>0</v>
      </c>
      <c r="J17" s="50" t="n">
        <f aca="false">SUMIF($CB$4:$JS$4,J$4,$CB17:$JS17)</f>
        <v>0</v>
      </c>
      <c r="K17" s="50" t="n">
        <f aca="false">SUMIF($CB$4:$JS$4,K$4,$CB17:$JS17)</f>
        <v>12009.9</v>
      </c>
      <c r="L17" s="50" t="n">
        <f aca="false">SUMIF($CB$4:$JS$4,L$4,$CB17:$JS17)</f>
        <v>107813.99</v>
      </c>
      <c r="M17" s="50" t="n">
        <f aca="false">SUMIF($CB$4:$JS$4,M$4,$CB17:$JS17)</f>
        <v>236848.02</v>
      </c>
      <c r="N17" s="50" t="n">
        <f aca="false">SUMIF($CB$4:$JS$4,N$4,$CB17:$JS17)</f>
        <v>285810.89</v>
      </c>
      <c r="O17" s="50" t="n">
        <f aca="false">SUMIF($CB$4:$JS$4,O$4,$CB17:$JS17)</f>
        <v>200940.58</v>
      </c>
      <c r="P17" s="50" t="n">
        <f aca="false">SUMIF($CB$4:$JS$4,P$4,$CB17:$JS17)</f>
        <v>146047.49</v>
      </c>
      <c r="Q17" s="50" t="n">
        <f aca="false">SUMIF($CB$4:$JS$4,Q$4,$CB17:$JS17)</f>
        <v>4650</v>
      </c>
      <c r="R17" s="50" t="n">
        <f aca="false">SUMIF($CB$4:$JS$4,R$4,$CB17:$JS17)</f>
        <v>860</v>
      </c>
      <c r="S17" s="50" t="n">
        <f aca="false">SUMIF($CB$4:$JS$4,S$4,$CB17:$JS17)</f>
        <v>2632</v>
      </c>
      <c r="T17" s="50" t="n">
        <f aca="false">SUMIF($CB$4:$JS$4,T$4,$CB17:$JS17)</f>
        <v>346.94</v>
      </c>
      <c r="U17" s="50" t="n">
        <f aca="false">SUMIF($CB$4:$JS$4,U$4,$CB17:$JS17)</f>
        <v>4280</v>
      </c>
      <c r="V17" s="50" t="n">
        <f aca="false">SUMIF($CB$4:$JS$4,V$4,$CB17:$JS17)</f>
        <v>6148</v>
      </c>
      <c r="W17" s="50" t="n">
        <f aca="false">SUMIF($CB$4:$JS$4,W$4,$CB17:$JS17)</f>
        <v>52256.6</v>
      </c>
      <c r="X17" s="50" t="n">
        <f aca="false">SUMIF($CB$4:$JS$4,X$4,$CB17:$JS17)</f>
        <v>0</v>
      </c>
      <c r="Y17" s="50" t="n">
        <f aca="false">SUMIF($CB$4:$JS$4,Y$4,$CB17:$JS17)</f>
        <v>0</v>
      </c>
      <c r="Z17" s="50" t="n">
        <f aca="false">SUMIF($CB$4:$JS$4,Z$4,$CB17:$JS17)</f>
        <v>24240</v>
      </c>
      <c r="AA17" s="50" t="n">
        <f aca="false">SUMIF($CB$4:$JS$4,AA$4,$CB17:$JS17)</f>
        <v>1528.38</v>
      </c>
      <c r="AB17" s="50" t="n">
        <f aca="false">SUMIF($CB$4:$JS$4,AB$4,$CB17:$JS17)</f>
        <v>1803.27</v>
      </c>
      <c r="AC17" s="50" t="n">
        <f aca="false">SUMIF($CB$4:$JS$4,AC$4,$CB17:$JS17)</f>
        <v>0</v>
      </c>
      <c r="AD17" s="50" t="n">
        <f aca="false">SUMIF($CB$4:$JS$4,AD$4,$CB17:$JS17)</f>
        <v>0</v>
      </c>
      <c r="AE17" s="50" t="n">
        <f aca="false">SUMIF($CB$4:$JS$4,AE$4,$CB17:$JS17)</f>
        <v>9357.88</v>
      </c>
      <c r="AF17" s="50" t="n">
        <f aca="false">SUMIF($CB$4:$JS$4,AF$4,$CB17:$JS17)</f>
        <v>0</v>
      </c>
      <c r="AG17" s="50" t="n">
        <f aca="false">SUMIF($CB$4:$JS$4,AG$4,$CB17:$JS17)</f>
        <v>0</v>
      </c>
      <c r="AH17" s="50" t="n">
        <f aca="false">SUMIF($CB$4:$JS$4,AH$4,$CB17:$JS17)</f>
        <v>0</v>
      </c>
      <c r="AI17" s="50" t="n">
        <f aca="false">SUMIF($CB$4:$JS$4,AI$4,$CB17:$JS17)</f>
        <v>0</v>
      </c>
      <c r="AJ17" s="50" t="n">
        <f aca="false">SUMIF($CB$4:$JS$4,AJ$4,$CB17:$JS17)</f>
        <v>0</v>
      </c>
      <c r="AK17" s="50" t="n">
        <f aca="false">SUMIF($CB$4:$JS$4,AK$4,$CB17:$JS17)</f>
        <v>0</v>
      </c>
      <c r="AL17" s="50" t="n">
        <f aca="false">SUMIF($CB$4:$JS$4,AL$4,$CB17:$JS17)</f>
        <v>0</v>
      </c>
      <c r="AM17" s="50" t="n">
        <f aca="false">SUMIF($CB$4:$JS$4,AM$4,$CB17:$JS17)</f>
        <v>0</v>
      </c>
      <c r="AN17" s="50" t="n">
        <f aca="false">SUMIF($CB$4:$JS$4,AN$4,$CB17:$JS17)</f>
        <v>0</v>
      </c>
      <c r="AO17" s="50" t="n">
        <f aca="false">SUMIF($CB$4:$JS$4,AO$4,$CB17:$JS17)</f>
        <v>0</v>
      </c>
      <c r="AP17" s="50" t="n">
        <f aca="false">SUMIF($CB$4:$JS$4,AP$4,$CB17:$JS17)</f>
        <v>0</v>
      </c>
      <c r="AQ17" s="50" t="n">
        <f aca="false">SUMIF($CB$4:$JS$4,AQ$4,$CB17:$JS17)</f>
        <v>0</v>
      </c>
      <c r="AR17" s="50" t="n">
        <f aca="false">SUMIF($CB$4:$JS$4,AR$4,$CB17:$JS17)</f>
        <v>0</v>
      </c>
      <c r="AS17" s="50" t="n">
        <f aca="false">SUMIF($CB$4:$JS$4,AS$4,$CB17:$JS17)</f>
        <v>0</v>
      </c>
      <c r="AT17" s="50" t="n">
        <f aca="false">SUMIF($CB$4:$JS$4,AT$4,$CB17:$JS17)</f>
        <v>0</v>
      </c>
      <c r="AU17" s="50" t="n">
        <f aca="false">SUMIF($CB$4:$JS$4,AU$4,$CB17:$JS17)</f>
        <v>0</v>
      </c>
      <c r="AV17" s="50" t="n">
        <f aca="false">SUMIF($CB$4:$JS$4,AV$4,$CB17:$JS17)</f>
        <v>0</v>
      </c>
      <c r="AW17" s="50" t="n">
        <f aca="false">SUMIF($CB$4:$JS$4,AW$4,$CB17:$JS17)</f>
        <v>0</v>
      </c>
      <c r="AX17" s="50" t="n">
        <f aca="false">SUMIF($CB$4:$JS$4,AX$4,$CB17:$JS17)</f>
        <v>0</v>
      </c>
      <c r="AY17" s="50" t="n">
        <f aca="false">SUMIF($CB$4:$JS$4,AY$4,$CB17:$JS17)</f>
        <v>0</v>
      </c>
      <c r="AZ17" s="50" t="n">
        <f aca="false">SUMIF($CB$4:$JS$4,AZ$4,$CB17:$JS17)</f>
        <v>0</v>
      </c>
      <c r="BA17" s="50" t="n">
        <f aca="false">SUMIF($CB$4:$JS$4,BA$4,$CB17:$JS17)</f>
        <v>0</v>
      </c>
      <c r="BB17" s="50" t="n">
        <f aca="false">SUMIF($CB$4:$JS$4,BB$4,$CB17:$JS17)</f>
        <v>0</v>
      </c>
      <c r="BC17" s="50" t="n">
        <f aca="false">SUMIF($CB$4:$JS$4,BC$4,$CB17:$JS17)</f>
        <v>0</v>
      </c>
      <c r="BD17" s="50" t="n">
        <f aca="false">SUMIF($CB$4:$JS$4,BD$4,$CB17:$JS17)</f>
        <v>0</v>
      </c>
      <c r="BE17" s="50" t="n">
        <f aca="false">SUMIF($CB$4:$JS$4,BE$4,$CB17:$JS17)</f>
        <v>0</v>
      </c>
      <c r="BF17" s="50" t="n">
        <f aca="false">SUMIF($CB$4:$JS$4,BF$4,$CB17:$JS17)</f>
        <v>0</v>
      </c>
      <c r="BG17" s="50" t="n">
        <f aca="false">SUMIF($CB$4:$JS$4,BG$4,$CB17:$JS17)</f>
        <v>0</v>
      </c>
      <c r="BH17" s="50" t="n">
        <f aca="false">SUMIF($CB$4:$JS$4,BH$4,$CB17:$JS17)</f>
        <v>0</v>
      </c>
      <c r="BI17" s="50" t="n">
        <f aca="false">SUMIF($CB$4:$JS$4,BI$4,$CB17:$JS17)</f>
        <v>0</v>
      </c>
      <c r="BJ17" s="50" t="n">
        <f aca="false">SUMIF($CB$4:$JS$4,BJ$4,$CB17:$JS17)</f>
        <v>0</v>
      </c>
      <c r="BK17" s="50" t="n">
        <f aca="false">SUMIF($CB$4:$JS$4,BK$4,$CB17:$JS17)</f>
        <v>0</v>
      </c>
      <c r="BL17" s="50" t="n">
        <f aca="false">SUMIF($CB$4:$JS$4,BL$4,$CB17:$JS17)</f>
        <v>0</v>
      </c>
      <c r="BM17" s="50" t="n">
        <f aca="false">SUMIF($CB$4:$JS$4,BM$4,$CB17:$JS17)</f>
        <v>0</v>
      </c>
      <c r="BN17" s="50" t="n">
        <f aca="false">SUMIF($CB$4:$JS$4,BN$4,$CB17:$JS17)</f>
        <v>0</v>
      </c>
      <c r="BO17" s="50" t="n">
        <f aca="false">SUMIF($CB$4:$JS$4,BO$4,$CB17:$JS17)</f>
        <v>0</v>
      </c>
      <c r="BP17" s="50" t="n">
        <f aca="false">SUMIF($CB$4:$JS$4,BP$4,$CB17:$JS17)</f>
        <v>0</v>
      </c>
      <c r="BQ17" s="50" t="n">
        <f aca="false">SUMIF($CB$4:$JS$4,BQ$4,$CB17:$JS17)</f>
        <v>0</v>
      </c>
      <c r="BR17" s="50" t="n">
        <f aca="false">SUMIF($CB$4:$JS$4,BR$4,$CB17:$JS17)</f>
        <v>0</v>
      </c>
      <c r="BS17" s="50" t="n">
        <f aca="false">SUMIF($CB$4:$JS$4,BS$4,$CB17:$JS17)</f>
        <v>0</v>
      </c>
      <c r="BT17" s="50" t="n">
        <f aca="false">SUMIF($CB$4:$JS$4,BT$4,$CB17:$JS17)</f>
        <v>0</v>
      </c>
      <c r="BU17" s="50" t="n">
        <f aca="false">SUMIF($CB$4:$JS$4,BU$4,$CB17:$JS17)</f>
        <v>0</v>
      </c>
      <c r="BV17" s="50" t="n">
        <f aca="false">SUMIF($CB$4:$JS$4,BV$4,$CB17:$JS17)</f>
        <v>0</v>
      </c>
      <c r="BW17" s="50" t="n">
        <f aca="false">SUMIF($CB$4:$JS$4,BW$4,$CB17:$JS17)</f>
        <v>0</v>
      </c>
      <c r="BX17" s="50" t="n">
        <f aca="false">SUMIF($CB$4:$JS$4,"&gt;"&amp;'VALOR POR PL'!$P$8,$CB17:$JS17)</f>
        <v>0</v>
      </c>
      <c r="BY17" s="50" t="n">
        <f aca="false">SUM($CB17:$JS17)</f>
        <v>1097573.94</v>
      </c>
      <c r="BZ17" s="45" t="n">
        <f aca="false">SUMPRODUCT(($CB$4:$JS$4&lt;&gt;"")*($CB$4:$JS$4&lt;=$D$4),$CB17:$JS17,$CB$1:$JS$1)</f>
        <v>0</v>
      </c>
      <c r="CB17" s="133" t="n">
        <f aca="false">IF(OR(CB$4="",$B17=""),0,SUMIF('DADOS BRUTOS'!$A$3:$A$500,$B17,'DADOS BRUTOS'!B$3:B$500)+IF($C17="",0,SUMIF('DADOS BRUTOS'!$A$3:$A$500,$C17,'DADOS BRUTOS'!B$3:B$500)))</f>
        <v>0</v>
      </c>
      <c r="CC17" s="133" t="n">
        <f aca="false">IF(OR(CC$4="",$B17=""),0,SUMIF('DADOS BRUTOS'!$A$3:$A$500,$B17,'DADOS BRUTOS'!C$3:C$500)+IF($C17="",0,SUMIF('DADOS BRUTOS'!$A$3:$A$500,$C17,'DADOS BRUTOS'!C$3:C$500)))</f>
        <v>0</v>
      </c>
      <c r="CD17" s="133" t="n">
        <f aca="false">IF(OR(CD$4="",$B17=""),0,SUMIF('DADOS BRUTOS'!$A$3:$A$500,$B17,'DADOS BRUTOS'!D$3:D$500)+IF($C17="",0,SUMIF('DADOS BRUTOS'!$A$3:$A$500,$C17,'DADOS BRUTOS'!D$3:D$500)))</f>
        <v>0</v>
      </c>
      <c r="CE17" s="133" t="n">
        <f aca="false">IF(OR(CE$4="",$B17=""),0,SUMIF('DADOS BRUTOS'!$A$3:$A$500,$B17,'DADOS BRUTOS'!E$3:E$500)+IF($C17="",0,SUMIF('DADOS BRUTOS'!$A$3:$A$500,$C17,'DADOS BRUTOS'!E$3:E$500)))</f>
        <v>0</v>
      </c>
      <c r="CF17" s="133" t="n">
        <f aca="false">IF(OR(CF$4="",$B17=""),0,SUMIF('DADOS BRUTOS'!$A$3:$A$500,$B17,'DADOS BRUTOS'!F$3:F$500)+IF($C17="",0,SUMIF('DADOS BRUTOS'!$A$3:$A$500,$C17,'DADOS BRUTOS'!F$3:F$500)))</f>
        <v>0</v>
      </c>
      <c r="CG17" s="133" t="n">
        <f aca="false">IF(OR(CG$4="",$B17=""),0,SUMIF('DADOS BRUTOS'!$A$3:$A$500,$B17,'DADOS BRUTOS'!G$3:G$500)+IF($C17="",0,SUMIF('DADOS BRUTOS'!$A$3:$A$500,$C17,'DADOS BRUTOS'!G$3:G$500)))</f>
        <v>0</v>
      </c>
      <c r="CH17" s="133" t="n">
        <f aca="false">IF(OR(CH$4="",$B17=""),0,SUMIF('DADOS BRUTOS'!$A$3:$A$500,$B17,'DADOS BRUTOS'!H$3:H$500)+IF($C17="",0,SUMIF('DADOS BRUTOS'!$A$3:$A$500,$C17,'DADOS BRUTOS'!H$3:H$500)))</f>
        <v>0</v>
      </c>
      <c r="CI17" s="133" t="n">
        <f aca="false">IF(OR(CI$4="",$B17=""),0,SUMIF('DADOS BRUTOS'!$A$3:$A$500,$B17,'DADOS BRUTOS'!I$3:I$500)+IF($C17="",0,SUMIF('DADOS BRUTOS'!$A$3:$A$500,$C17,'DADOS BRUTOS'!I$3:I$500)))</f>
        <v>0</v>
      </c>
      <c r="CJ17" s="133" t="n">
        <f aca="false">IF(OR(CJ$4="",$B17=""),0,SUMIF('DADOS BRUTOS'!$A$3:$A$500,$B17,'DADOS BRUTOS'!J$3:J$500)+IF($C17="",0,SUMIF('DADOS BRUTOS'!$A$3:$A$500,$C17,'DADOS BRUTOS'!J$3:J$500)))</f>
        <v>0</v>
      </c>
      <c r="CK17" s="133" t="n">
        <f aca="false">IF(OR(CK$4="",$B17=""),0,SUMIF('DADOS BRUTOS'!$A$3:$A$500,$B17,'DADOS BRUTOS'!K$3:K$500)+IF($C17="",0,SUMIF('DADOS BRUTOS'!$A$3:$A$500,$C17,'DADOS BRUTOS'!K$3:K$500)))</f>
        <v>0</v>
      </c>
      <c r="CL17" s="133" t="n">
        <f aca="false">IF(OR(CL$4="",$B17=""),0,SUMIF('DADOS BRUTOS'!$A$3:$A$500,$B17,'DADOS BRUTOS'!L$3:L$500)+IF($C17="",0,SUMIF('DADOS BRUTOS'!$A$3:$A$500,$C17,'DADOS BRUTOS'!L$3:L$500)))</f>
        <v>0</v>
      </c>
      <c r="CM17" s="133" t="n">
        <f aca="false">IF(OR(CM$4="",$B17=""),0,SUMIF('DADOS BRUTOS'!$A$3:$A$500,$B17,'DADOS BRUTOS'!M$3:M$500)+IF($C17="",0,SUMIF('DADOS BRUTOS'!$A$3:$A$500,$C17,'DADOS BRUTOS'!M$3:M$500)))</f>
        <v>0</v>
      </c>
      <c r="CN17" s="133" t="n">
        <f aca="false">IF(OR(CN$4="",$B17=""),0,SUMIF('DADOS BRUTOS'!$A$3:$A$500,$B17,'DADOS BRUTOS'!N$3:N$500)+IF($C17="",0,SUMIF('DADOS BRUTOS'!$A$3:$A$500,$C17,'DADOS BRUTOS'!N$3:N$500)))</f>
        <v>0</v>
      </c>
      <c r="CO17" s="133" t="n">
        <f aca="false">IF(OR(CO$4="",$B17=""),0,SUMIF('DADOS BRUTOS'!$A$3:$A$500,$B17,'DADOS BRUTOS'!O$3:O$500)+IF($C17="",0,SUMIF('DADOS BRUTOS'!$A$3:$A$500,$C17,'DADOS BRUTOS'!O$3:O$500)))</f>
        <v>0</v>
      </c>
      <c r="CP17" s="133" t="n">
        <f aca="false">IF(OR(CP$4="",$B17=""),0,SUMIF('DADOS BRUTOS'!$A$3:$A$500,$B17,'DADOS BRUTOS'!P$3:P$500)+IF($C17="",0,SUMIF('DADOS BRUTOS'!$A$3:$A$500,$C17,'DADOS BRUTOS'!P$3:P$500)))</f>
        <v>0</v>
      </c>
      <c r="CQ17" s="133" t="n">
        <f aca="false">IF(OR(CQ$4="",$B17=""),0,SUMIF('DADOS BRUTOS'!$A$3:$A$500,$B17,'DADOS BRUTOS'!Q$3:Q$500)+IF($C17="",0,SUMIF('DADOS BRUTOS'!$A$3:$A$500,$C17,'DADOS BRUTOS'!Q$3:Q$500)))</f>
        <v>0</v>
      </c>
      <c r="CR17" s="133" t="n">
        <f aca="false">IF(OR(CR$4="",$B17=""),0,SUMIF('DADOS BRUTOS'!$A$3:$A$500,$B17,'DADOS BRUTOS'!R$3:R$500)+IF($C17="",0,SUMIF('DADOS BRUTOS'!$A$3:$A$500,$C17,'DADOS BRUTOS'!R$3:R$500)))</f>
        <v>0</v>
      </c>
      <c r="CS17" s="133" t="n">
        <f aca="false">IF(OR(CS$4="",$B17=""),0,SUMIF('DADOS BRUTOS'!$A$3:$A$500,$B17,'DADOS BRUTOS'!S$3:S$500)+IF($C17="",0,SUMIF('DADOS BRUTOS'!$A$3:$A$500,$C17,'DADOS BRUTOS'!S$3:S$500)))</f>
        <v>0</v>
      </c>
      <c r="CT17" s="133" t="n">
        <f aca="false">IF(OR(CT$4="",$B17=""),0,SUMIF('DADOS BRUTOS'!$A$3:$A$500,$B17,'DADOS BRUTOS'!T$3:T$500)+IF($C17="",0,SUMIF('DADOS BRUTOS'!$A$3:$A$500,$C17,'DADOS BRUTOS'!T$3:T$500)))</f>
        <v>0</v>
      </c>
      <c r="CU17" s="133" t="n">
        <f aca="false">IF(OR(CU$4="",$B17=""),0,SUMIF('DADOS BRUTOS'!$A$3:$A$500,$B17,'DADOS BRUTOS'!U$3:U$500)+IF($C17="",0,SUMIF('DADOS BRUTOS'!$A$3:$A$500,$C17,'DADOS BRUTOS'!U$3:U$500)))</f>
        <v>12009.9</v>
      </c>
      <c r="CV17" s="133" t="n">
        <f aca="false">IF(OR(CV$4="",$B17=""),0,SUMIF('DADOS BRUTOS'!$A$3:$A$500,$B17,'DADOS BRUTOS'!V$3:V$500)+IF($C17="",0,SUMIF('DADOS BRUTOS'!$A$3:$A$500,$C17,'DADOS BRUTOS'!V$3:V$500)))</f>
        <v>107813.99</v>
      </c>
      <c r="CW17" s="133" t="n">
        <f aca="false">IF(OR(CW$4="",$B17=""),0,SUMIF('DADOS BRUTOS'!$A$3:$A$500,$B17,'DADOS BRUTOS'!W$3:W$500)+IF($C17="",0,SUMIF('DADOS BRUTOS'!$A$3:$A$500,$C17,'DADOS BRUTOS'!W$3:W$500)))</f>
        <v>236848.02</v>
      </c>
      <c r="CX17" s="133" t="n">
        <f aca="false">IF(OR(CX$4="",$B17=""),0,SUMIF('DADOS BRUTOS'!$A$3:$A$500,$B17,'DADOS BRUTOS'!X$3:X$500)+IF($C17="",0,SUMIF('DADOS BRUTOS'!$A$3:$A$500,$C17,'DADOS BRUTOS'!X$3:X$500)))</f>
        <v>285810.89</v>
      </c>
      <c r="CY17" s="133" t="n">
        <f aca="false">IF(OR(CY$4="",$B17=""),0,SUMIF('DADOS BRUTOS'!$A$3:$A$500,$B17,'DADOS BRUTOS'!Y$3:Y$500)+IF($C17="",0,SUMIF('DADOS BRUTOS'!$A$3:$A$500,$C17,'DADOS BRUTOS'!Y$3:Y$500)))</f>
        <v>200940.58</v>
      </c>
      <c r="CZ17" s="133" t="n">
        <f aca="false">IF(OR(CZ$4="",$B17=""),0,SUMIF('DADOS BRUTOS'!$A$3:$A$500,$B17,'DADOS BRUTOS'!Z$3:Z$500)+IF($C17="",0,SUMIF('DADOS BRUTOS'!$A$3:$A$500,$C17,'DADOS BRUTOS'!Z$3:Z$500)))</f>
        <v>146047.49</v>
      </c>
      <c r="DA17" s="133" t="n">
        <f aca="false">IF(OR(DA$4="",$B17=""),0,SUMIF('DADOS BRUTOS'!$A$3:$A$500,$B17,'DADOS BRUTOS'!AA$3:AA$500)+IF($C17="",0,SUMIF('DADOS BRUTOS'!$A$3:$A$500,$C17,'DADOS BRUTOS'!AA$3:AA$500)))</f>
        <v>4650</v>
      </c>
      <c r="DB17" s="133" t="n">
        <f aca="false">IF(OR(DB$4="",$B17=""),0,SUMIF('DADOS BRUTOS'!$A$3:$A$500,$B17,'DADOS BRUTOS'!AB$3:AB$500)+IF($C17="",0,SUMIF('DADOS BRUTOS'!$A$3:$A$500,$C17,'DADOS BRUTOS'!AB$3:AB$500)))</f>
        <v>860</v>
      </c>
      <c r="DC17" s="133" t="n">
        <f aca="false">IF(OR(DC$4="",$B17=""),0,SUMIF('DADOS BRUTOS'!$A$3:$A$500,$B17,'DADOS BRUTOS'!AC$3:AC$500)+IF($C17="",0,SUMIF('DADOS BRUTOS'!$A$3:$A$500,$C17,'DADOS BRUTOS'!AC$3:AC$500)))</f>
        <v>2632</v>
      </c>
      <c r="DD17" s="133" t="n">
        <f aca="false">IF(OR(DD$4="",$B17=""),0,SUMIF('DADOS BRUTOS'!$A$3:$A$500,$B17,'DADOS BRUTOS'!AD$3:AD$500)+IF($C17="",0,SUMIF('DADOS BRUTOS'!$A$3:$A$500,$C17,'DADOS BRUTOS'!AD$3:AD$500)))</f>
        <v>346.94</v>
      </c>
      <c r="DE17" s="133" t="n">
        <f aca="false">IF(OR(DE$4="",$B17=""),0,SUMIF('DADOS BRUTOS'!$A$3:$A$500,$B17,'DADOS BRUTOS'!AE$3:AE$500)+IF($C17="",0,SUMIF('DADOS BRUTOS'!$A$3:$A$500,$C17,'DADOS BRUTOS'!AE$3:AE$500)))</f>
        <v>4280</v>
      </c>
      <c r="DF17" s="133" t="n">
        <f aca="false">IF(OR(DF$4="",$B17=""),0,SUMIF('DADOS BRUTOS'!$A$3:$A$500,$B17,'DADOS BRUTOS'!AF$3:AF$500)+IF($C17="",0,SUMIF('DADOS BRUTOS'!$A$3:$A$500,$C17,'DADOS BRUTOS'!AF$3:AF$500)))</f>
        <v>6148</v>
      </c>
      <c r="DG17" s="133" t="n">
        <f aca="false">IF(OR(DG$4="",$B17=""),0,SUMIF('DADOS BRUTOS'!$A$3:$A$500,$B17,'DADOS BRUTOS'!AG$3:AG$500)+IF($C17="",0,SUMIF('DADOS BRUTOS'!$A$3:$A$500,$C17,'DADOS BRUTOS'!AG$3:AG$500)))</f>
        <v>52256.6</v>
      </c>
      <c r="DH17" s="133" t="n">
        <f aca="false">IF(OR(DH$4="",$B17=""),0,SUMIF('DADOS BRUTOS'!$A$3:$A$500,$B17,'DADOS BRUTOS'!AH$3:AH$500)+IF($C17="",0,SUMIF('DADOS BRUTOS'!$A$3:$A$500,$C17,'DADOS BRUTOS'!AH$3:AH$500)))</f>
        <v>0</v>
      </c>
      <c r="DI17" s="133" t="n">
        <f aca="false">IF(OR(DI$4="",$B17=""),0,SUMIF('DADOS BRUTOS'!$A$3:$A$500,$B17,'DADOS BRUTOS'!AI$3:AI$500)+IF($C17="",0,SUMIF('DADOS BRUTOS'!$A$3:$A$500,$C17,'DADOS BRUTOS'!AI$3:AI$500)))</f>
        <v>0</v>
      </c>
      <c r="DJ17" s="133" t="n">
        <f aca="false">IF(OR(DJ$4="",$B17=""),0,SUMIF('DADOS BRUTOS'!$A$3:$A$500,$B17,'DADOS BRUTOS'!AJ$3:AJ$500)+IF($C17="",0,SUMIF('DADOS BRUTOS'!$A$3:$A$500,$C17,'DADOS BRUTOS'!AJ$3:AJ$500)))</f>
        <v>24240</v>
      </c>
      <c r="DK17" s="133" t="n">
        <f aca="false">IF(OR(DK$4="",$B17=""),0,SUMIF('DADOS BRUTOS'!$A$3:$A$500,$B17,'DADOS BRUTOS'!AK$3:AK$500)+IF($C17="",0,SUMIF('DADOS BRUTOS'!$A$3:$A$500,$C17,'DADOS BRUTOS'!AK$3:AK$500)))</f>
        <v>1528.38</v>
      </c>
      <c r="DL17" s="133" t="n">
        <f aca="false">IF(OR(DL$4="",$B17=""),0,SUMIF('DADOS BRUTOS'!$A$3:$A$500,$B17,'DADOS BRUTOS'!AL$3:AL$500)+IF($C17="",0,SUMIF('DADOS BRUTOS'!$A$3:$A$500,$C17,'DADOS BRUTOS'!AL$3:AL$500)))</f>
        <v>1803.27</v>
      </c>
      <c r="DM17" s="133" t="n">
        <f aca="false">IF(OR(DM$4="",$B17=""),0,SUMIF('DADOS BRUTOS'!$A$3:$A$500,$B17,'DADOS BRUTOS'!AM$3:AM$500)+IF($C17="",0,SUMIF('DADOS BRUTOS'!$A$3:$A$500,$C17,'DADOS BRUTOS'!AM$3:AM$500)))</f>
        <v>0</v>
      </c>
      <c r="DN17" s="133" t="n">
        <f aca="false">IF(OR(DN$4="",$B17=""),0,SUMIF('DADOS BRUTOS'!$A$3:$A$500,$B17,'DADOS BRUTOS'!AN$3:AN$500)+IF($C17="",0,SUMIF('DADOS BRUTOS'!$A$3:$A$500,$C17,'DADOS BRUTOS'!AN$3:AN$500)))</f>
        <v>0</v>
      </c>
      <c r="DO17" s="133" t="n">
        <f aca="false">IF(OR(DO$4="",$B17=""),0,SUMIF('DADOS BRUTOS'!$A$3:$A$500,$B17,'DADOS BRUTOS'!AO$3:AO$500)+IF($C17="",0,SUMIF('DADOS BRUTOS'!$A$3:$A$500,$C17,'DADOS BRUTOS'!AO$3:AO$500)))</f>
        <v>9357.88</v>
      </c>
      <c r="DP17" s="133" t="n">
        <f aca="false">IF(OR(DP$4="",$B17=""),0,SUMIF('DADOS BRUTOS'!$A$3:$A$500,$B17,'DADOS BRUTOS'!AP$3:AP$500)+IF($C17="",0,SUMIF('DADOS BRUTOS'!$A$3:$A$500,$C17,'DADOS BRUTOS'!AP$3:AP$500)))</f>
        <v>0</v>
      </c>
      <c r="DQ17" s="133" t="n">
        <f aca="false">IF(OR(DQ$4="",$B17=""),0,SUMIF('DADOS BRUTOS'!$A$3:$A$500,$B17,'DADOS BRUTOS'!AQ$3:AQ$500)+IF($C17="",0,SUMIF('DADOS BRUTOS'!$A$3:$A$500,$C17,'DADOS BRUTOS'!AQ$3:AQ$500)))</f>
        <v>0</v>
      </c>
      <c r="DR17" s="133" t="n">
        <f aca="false">IF(OR(DR$4="",$B17=""),0,SUMIF('DADOS BRUTOS'!$A$3:$A$500,$B17,'DADOS BRUTOS'!AR$3:AR$500)+IF($C17="",0,SUMIF('DADOS BRUTOS'!$A$3:$A$500,$C17,'DADOS BRUTOS'!AR$3:AR$500)))</f>
        <v>0</v>
      </c>
      <c r="DS17" s="133" t="n">
        <f aca="false">IF(OR(DS$4="",$B17=""),0,SUMIF('DADOS BRUTOS'!$A$3:$A$500,$B17,'DADOS BRUTOS'!AS$3:AS$500)+IF($C17="",0,SUMIF('DADOS BRUTOS'!$A$3:$A$500,$C17,'DADOS BRUTOS'!AS$3:AS$500)))</f>
        <v>0</v>
      </c>
      <c r="DT17" s="133" t="n">
        <f aca="false">IF(OR(DT$4="",$B17=""),0,SUMIF('DADOS BRUTOS'!$A$3:$A$500,$B17,'DADOS BRUTOS'!AT$3:AT$500)+IF($C17="",0,SUMIF('DADOS BRUTOS'!$A$3:$A$500,$C17,'DADOS BRUTOS'!AT$3:AT$500)))</f>
        <v>0</v>
      </c>
      <c r="DU17" s="133" t="n">
        <f aca="false">IF(OR(DU$4="",$B17=""),0,SUMIF('DADOS BRUTOS'!$A$3:$A$500,$B17,'DADOS BRUTOS'!AU$3:AU$500)+IF($C17="",0,SUMIF('DADOS BRUTOS'!$A$3:$A$500,$C17,'DADOS BRUTOS'!AU$3:AU$500)))</f>
        <v>0</v>
      </c>
      <c r="DV17" s="133" t="n">
        <f aca="false">IF(OR(DV$4="",$B17=""),0,SUMIF('DADOS BRUTOS'!$A$3:$A$500,$B17,'DADOS BRUTOS'!AV$3:AV$500)+IF($C17="",0,SUMIF('DADOS BRUTOS'!$A$3:$A$500,$C17,'DADOS BRUTOS'!AV$3:AV$500)))</f>
        <v>0</v>
      </c>
      <c r="DW17" s="133" t="n">
        <f aca="false">IF(OR(DW$4="",$B17=""),0,SUMIF('DADOS BRUTOS'!$A$3:$A$500,$B17,'DADOS BRUTOS'!AW$3:AW$500)+IF($C17="",0,SUMIF('DADOS BRUTOS'!$A$3:$A$500,$C17,'DADOS BRUTOS'!AW$3:AW$500)))</f>
        <v>0</v>
      </c>
      <c r="DX17" s="133" t="n">
        <f aca="false">IF(OR(DX$4="",$B17=""),0,SUMIF('DADOS BRUTOS'!$A$3:$A$500,$B17,'DADOS BRUTOS'!AX$3:AX$500)+IF($C17="",0,SUMIF('DADOS BRUTOS'!$A$3:$A$500,$C17,'DADOS BRUTOS'!AX$3:AX$500)))</f>
        <v>0</v>
      </c>
      <c r="DY17" s="133" t="n">
        <f aca="false">IF(OR(DY$4="",$B17=""),0,SUMIF('DADOS BRUTOS'!$A$3:$A$500,$B17,'DADOS BRUTOS'!AY$3:AY$500)+IF($C17="",0,SUMIF('DADOS BRUTOS'!$A$3:$A$500,$C17,'DADOS BRUTOS'!AY$3:AY$500)))</f>
        <v>0</v>
      </c>
      <c r="DZ17" s="133" t="n">
        <f aca="false">IF(OR(DZ$4="",$B17=""),0,SUMIF('DADOS BRUTOS'!$A$3:$A$500,$B17,'DADOS BRUTOS'!AZ$3:AZ$500)+IF($C17="",0,SUMIF('DADOS BRUTOS'!$A$3:$A$500,$C17,'DADOS BRUTOS'!AZ$3:AZ$500)))</f>
        <v>0</v>
      </c>
      <c r="EA17" s="133" t="n">
        <f aca="false">IF(OR(EA$4="",$B17=""),0,SUMIF('DADOS BRUTOS'!$A$3:$A$500,$B17,'DADOS BRUTOS'!BA$3:BA$500)+IF($C17="",0,SUMIF('DADOS BRUTOS'!$A$3:$A$500,$C17,'DADOS BRUTOS'!BA$3:BA$500)))</f>
        <v>0</v>
      </c>
      <c r="EB17" s="133" t="n">
        <f aca="false">IF(OR(EB$4="",$B17=""),0,SUMIF('DADOS BRUTOS'!$A$3:$A$500,$B17,'DADOS BRUTOS'!BB$3:BB$500)+IF($C17="",0,SUMIF('DADOS BRUTOS'!$A$3:$A$500,$C17,'DADOS BRUTOS'!BB$3:BB$500)))</f>
        <v>0</v>
      </c>
      <c r="EC17" s="133" t="n">
        <f aca="false">IF(OR(EC$4="",$B17=""),0,SUMIF('DADOS BRUTOS'!$A$3:$A$500,$B17,'DADOS BRUTOS'!BC$3:BC$500)+IF($C17="",0,SUMIF('DADOS BRUTOS'!$A$3:$A$500,$C17,'DADOS BRUTOS'!BC$3:BC$500)))</f>
        <v>0</v>
      </c>
      <c r="ED17" s="133" t="n">
        <f aca="false">IF(OR(ED$4="",$B17=""),0,SUMIF('DADOS BRUTOS'!$A$3:$A$500,$B17,'DADOS BRUTOS'!BD$3:BD$500)+IF($C17="",0,SUMIF('DADOS BRUTOS'!$A$3:$A$500,$C17,'DADOS BRUTOS'!BD$3:BD$500)))</f>
        <v>0</v>
      </c>
      <c r="EE17" s="133" t="n">
        <f aca="false">IF(OR(EE$4="",$B17=""),0,SUMIF('DADOS BRUTOS'!$A$3:$A$500,$B17,'DADOS BRUTOS'!BE$3:BE$500)+IF($C17="",0,SUMIF('DADOS BRUTOS'!$A$3:$A$500,$C17,'DADOS BRUTOS'!BE$3:BE$500)))</f>
        <v>0</v>
      </c>
      <c r="EF17" s="133" t="n">
        <f aca="false">IF(OR(EF$4="",$B17=""),0,SUMIF('DADOS BRUTOS'!$A$3:$A$500,$B17,'DADOS BRUTOS'!BF$3:BF$500)+IF($C17="",0,SUMIF('DADOS BRUTOS'!$A$3:$A$500,$C17,'DADOS BRUTOS'!BF$3:BF$500)))</f>
        <v>0</v>
      </c>
      <c r="EG17" s="133" t="n">
        <f aca="false">IF(OR(EG$4="",$B17=""),0,SUMIF('DADOS BRUTOS'!$A$3:$A$500,$B17,'DADOS BRUTOS'!BG$3:BG$500)+IF($C17="",0,SUMIF('DADOS BRUTOS'!$A$3:$A$500,$C17,'DADOS BRUTOS'!BG$3:BG$500)))</f>
        <v>0</v>
      </c>
      <c r="EH17" s="133" t="n">
        <f aca="false">IF(OR(EH$4="",$B17=""),0,SUMIF('DADOS BRUTOS'!$A$3:$A$500,$B17,'DADOS BRUTOS'!BH$3:BH$500)+IF($C17="",0,SUMIF('DADOS BRUTOS'!$A$3:$A$500,$C17,'DADOS BRUTOS'!BH$3:BH$500)))</f>
        <v>0</v>
      </c>
      <c r="EI17" s="133" t="n">
        <f aca="false">IF(OR(EI$4="",$B17=""),0,SUMIF('DADOS BRUTOS'!$A$3:$A$500,$B17,'DADOS BRUTOS'!BI$3:BI$500)+IF($C17="",0,SUMIF('DADOS BRUTOS'!$A$3:$A$500,$C17,'DADOS BRUTOS'!BI$3:BI$500)))</f>
        <v>0</v>
      </c>
      <c r="EJ17" s="133" t="n">
        <f aca="false">IF(OR(EJ$4="",$B17=""),0,SUMIF('DADOS BRUTOS'!$A$3:$A$500,$B17,'DADOS BRUTOS'!BJ$3:BJ$500)+IF($C17="",0,SUMIF('DADOS BRUTOS'!$A$3:$A$500,$C17,'DADOS BRUTOS'!BJ$3:BJ$500)))</f>
        <v>0</v>
      </c>
      <c r="EK17" s="133" t="n">
        <f aca="false">IF(OR(EK$4="",$B17=""),0,SUMIF('DADOS BRUTOS'!$A$3:$A$500,$B17,'DADOS BRUTOS'!BK$3:BK$500)+IF($C17="",0,SUMIF('DADOS BRUTOS'!$A$3:$A$500,$C17,'DADOS BRUTOS'!BK$3:BK$500)))</f>
        <v>0</v>
      </c>
      <c r="EL17" s="133" t="n">
        <f aca="false">IF(OR(EL$4="",$B17=""),0,SUMIF('DADOS BRUTOS'!$A$3:$A$500,$B17,'DADOS BRUTOS'!BL$3:BL$500)+IF($C17="",0,SUMIF('DADOS BRUTOS'!$A$3:$A$500,$C17,'DADOS BRUTOS'!BL$3:BL$500)))</f>
        <v>0</v>
      </c>
      <c r="EM17" s="133" t="n">
        <f aca="false">IF(OR(EM$4="",$B17=""),0,SUMIF('DADOS BRUTOS'!$A$3:$A$500,$B17,'DADOS BRUTOS'!BM$3:BM$500)+IF($C17="",0,SUMIF('DADOS BRUTOS'!$A$3:$A$500,$C17,'DADOS BRUTOS'!BM$3:BM$500)))</f>
        <v>0</v>
      </c>
      <c r="EN17" s="133" t="n">
        <f aca="false">IF(OR(EN$4="",$B17=""),0,SUMIF('DADOS BRUTOS'!$A$3:$A$500,$B17,'DADOS BRUTOS'!BN$3:BN$500)+IF($C17="",0,SUMIF('DADOS BRUTOS'!$A$3:$A$500,$C17,'DADOS BRUTOS'!BN$3:BN$500)))</f>
        <v>0</v>
      </c>
      <c r="EO17" s="133" t="n">
        <f aca="false">IF(OR(EO$4="",$B17=""),0,SUMIF('DADOS BRUTOS'!$A$3:$A$500,$B17,'DADOS BRUTOS'!BO$3:BO$500)+IF($C17="",0,SUMIF('DADOS BRUTOS'!$A$3:$A$500,$C17,'DADOS BRUTOS'!BO$3:BO$500)))</f>
        <v>0</v>
      </c>
      <c r="EP17" s="133" t="n">
        <f aca="false">IF(OR(EP$4="",$B17=""),0,SUMIF('DADOS BRUTOS'!$A$3:$A$500,$B17,'DADOS BRUTOS'!BP$3:BP$500)+IF($C17="",0,SUMIF('DADOS BRUTOS'!$A$3:$A$500,$C17,'DADOS BRUTOS'!BP$3:BP$500)))</f>
        <v>0</v>
      </c>
      <c r="EQ17" s="133" t="n">
        <f aca="false">IF(OR(EQ$4="",$B17=""),0,SUMIF('DADOS BRUTOS'!$A$3:$A$500,$B17,'DADOS BRUTOS'!BQ$3:BQ$500)+IF($C17="",0,SUMIF('DADOS BRUTOS'!$A$3:$A$500,$C17,'DADOS BRUTOS'!BQ$3:BQ$500)))</f>
        <v>0</v>
      </c>
      <c r="ER17" s="133" t="n">
        <f aca="false">IF(OR(ER$4="",$B17=""),0,SUMIF('DADOS BRUTOS'!$A$3:$A$500,$B17,'DADOS BRUTOS'!BR$3:BR$500)+IF($C17="",0,SUMIF('DADOS BRUTOS'!$A$3:$A$500,$C17,'DADOS BRUTOS'!BR$3:BR$500)))</f>
        <v>0</v>
      </c>
      <c r="ES17" s="133" t="n">
        <f aca="false">IF(OR(ES$4="",$B17=""),0,SUMIF('DADOS BRUTOS'!$A$3:$A$500,$B17,'DADOS BRUTOS'!BS$3:BS$500)+IF($C17="",0,SUMIF('DADOS BRUTOS'!$A$3:$A$500,$C17,'DADOS BRUTOS'!BS$3:BS$500)))</f>
        <v>0</v>
      </c>
      <c r="ET17" s="133" t="n">
        <f aca="false">IF(OR(ET$4="",$B17=""),0,SUMIF('DADOS BRUTOS'!$A$3:$A$500,$B17,'DADOS BRUTOS'!BT$3:BT$500)+IF($C17="",0,SUMIF('DADOS BRUTOS'!$A$3:$A$500,$C17,'DADOS BRUTOS'!BT$3:BT$500)))</f>
        <v>0</v>
      </c>
      <c r="EU17" s="133" t="n">
        <f aca="false">IF(OR(EU$4="",$B17=""),0,SUMIF('DADOS BRUTOS'!$A$3:$A$500,$B17,'DADOS BRUTOS'!BU$3:BU$500)+IF($C17="",0,SUMIF('DADOS BRUTOS'!$A$3:$A$500,$C17,'DADOS BRUTOS'!BU$3:BU$500)))</f>
        <v>0</v>
      </c>
      <c r="EV17" s="133" t="n">
        <f aca="false">IF(OR(EV$4="",$B17=""),0,SUMIF('DADOS BRUTOS'!$A$3:$A$500,$B17,'DADOS BRUTOS'!BV$3:BV$500)+IF($C17="",0,SUMIF('DADOS BRUTOS'!$A$3:$A$500,$C17,'DADOS BRUTOS'!BV$3:BV$500)))</f>
        <v>0</v>
      </c>
      <c r="EW17" s="133" t="n">
        <f aca="false">IF(OR(EW$4="",$B17=""),0,SUMIF('DADOS BRUTOS'!$A$3:$A$500,$B17,'DADOS BRUTOS'!BW$3:BW$500)+IF($C17="",0,SUMIF('DADOS BRUTOS'!$A$3:$A$500,$C17,'DADOS BRUTOS'!BW$3:BW$500)))</f>
        <v>0</v>
      </c>
      <c r="EX17" s="133" t="n">
        <f aca="false">IF(OR(EX$4="",$B17=""),0,SUMIF('DADOS BRUTOS'!$A$3:$A$500,$B17,'DADOS BRUTOS'!BX$3:BX$500)+IF($C17="",0,SUMIF('DADOS BRUTOS'!$A$3:$A$500,$C17,'DADOS BRUTOS'!BX$3:BX$500)))</f>
        <v>0</v>
      </c>
      <c r="EY17" s="133" t="n">
        <f aca="false">IF(OR(EY$4="",$B17=""),0,SUMIF('DADOS BRUTOS'!$A$3:$A$500,$B17,'DADOS BRUTOS'!BY$3:BY$500)+IF($C17="",0,SUMIF('DADOS BRUTOS'!$A$3:$A$500,$C17,'DADOS BRUTOS'!BY$3:BY$500)))</f>
        <v>0</v>
      </c>
      <c r="EZ17" s="133" t="n">
        <f aca="false">IF(OR(EZ$4="",$B17=""),0,SUMIF('DADOS BRUTOS'!$A$3:$A$500,$B17,'DADOS BRUTOS'!BZ$3:BZ$500)+IF($C17="",0,SUMIF('DADOS BRUTOS'!$A$3:$A$500,$C17,'DADOS BRUTOS'!BZ$3:BZ$500)))</f>
        <v>0</v>
      </c>
      <c r="FA17" s="133" t="n">
        <f aca="false">IF(OR(FA$4="",$B17=""),0,SUMIF('DADOS BRUTOS'!$A$3:$A$500,$B17,'DADOS BRUTOS'!CA$3:CA$500)+IF($C17="",0,SUMIF('DADOS BRUTOS'!$A$3:$A$500,$C17,'DADOS BRUTOS'!CA$3:CA$500)))</f>
        <v>0</v>
      </c>
      <c r="FB17" s="133" t="n">
        <f aca="false">IF(OR(FB$4="",$B17=""),0,SUMIF('DADOS BRUTOS'!$A$3:$A$500,$B17,'DADOS BRUTOS'!CB$3:CB$500)+IF($C17="",0,SUMIF('DADOS BRUTOS'!$A$3:$A$500,$C17,'DADOS BRUTOS'!CB$3:CB$500)))</f>
        <v>0</v>
      </c>
      <c r="FC17" s="133" t="n">
        <f aca="false">IF(OR(FC$4="",$B17=""),0,SUMIF('DADOS BRUTOS'!$A$3:$A$500,$B17,'DADOS BRUTOS'!CC$3:CC$500)+IF($C17="",0,SUMIF('DADOS BRUTOS'!$A$3:$A$500,$C17,'DADOS BRUTOS'!CC$3:CC$500)))</f>
        <v>0</v>
      </c>
      <c r="FD17" s="133" t="n">
        <f aca="false">IF(OR(FD$4="",$B17=""),0,SUMIF('DADOS BRUTOS'!$A$3:$A$500,$B17,'DADOS BRUTOS'!CD$3:CD$500)+IF($C17="",0,SUMIF('DADOS BRUTOS'!$A$3:$A$500,$C17,'DADOS BRUTOS'!CD$3:CD$500)))</f>
        <v>0</v>
      </c>
      <c r="FE17" s="133" t="n">
        <f aca="false">IF(OR(FE$4="",$B17=""),0,SUMIF('DADOS BRUTOS'!$A$3:$A$500,$B17,'DADOS BRUTOS'!CE$3:CE$500)+IF($C17="",0,SUMIF('DADOS BRUTOS'!$A$3:$A$500,$C17,'DADOS BRUTOS'!CE$3:CE$500)))</f>
        <v>0</v>
      </c>
      <c r="FF17" s="133" t="n">
        <f aca="false">IF(OR(FF$4="",$B17=""),0,SUMIF('DADOS BRUTOS'!$A$3:$A$500,$B17,'DADOS BRUTOS'!CF$3:CF$500)+IF($C17="",0,SUMIF('DADOS BRUTOS'!$A$3:$A$500,$C17,'DADOS BRUTOS'!CF$3:CF$500)))</f>
        <v>0</v>
      </c>
      <c r="FG17" s="133" t="n">
        <f aca="false">IF(OR(FG$4="",$B17=""),0,SUMIF('DADOS BRUTOS'!$A$3:$A$500,$B17,'DADOS BRUTOS'!CG$3:CG$500)+IF($C17="",0,SUMIF('DADOS BRUTOS'!$A$3:$A$500,$C17,'DADOS BRUTOS'!CG$3:CG$500)))</f>
        <v>0</v>
      </c>
      <c r="FH17" s="133" t="n">
        <f aca="false">IF(OR(FH$4="",$B17=""),0,SUMIF('DADOS BRUTOS'!$A$3:$A$500,$B17,'DADOS BRUTOS'!CH$3:CH$500)+IF($C17="",0,SUMIF('DADOS BRUTOS'!$A$3:$A$500,$C17,'DADOS BRUTOS'!CH$3:CH$500)))</f>
        <v>0</v>
      </c>
      <c r="FI17" s="133" t="n">
        <f aca="false">IF(OR(FI$4="",$B17=""),0,SUMIF('DADOS BRUTOS'!$A$3:$A$500,$B17,'DADOS BRUTOS'!CI$3:CI$500)+IF($C17="",0,SUMIF('DADOS BRUTOS'!$A$3:$A$500,$C17,'DADOS BRUTOS'!CI$3:CI$500)))</f>
        <v>0</v>
      </c>
      <c r="FJ17" s="133" t="n">
        <f aca="false">IF(OR(FJ$4="",$B17=""),0,SUMIF('DADOS BRUTOS'!$A$3:$A$500,$B17,'DADOS BRUTOS'!CJ$3:CJ$500)+IF($C17="",0,SUMIF('DADOS BRUTOS'!$A$3:$A$500,$C17,'DADOS BRUTOS'!CJ$3:CJ$500)))</f>
        <v>0</v>
      </c>
      <c r="FK17" s="133" t="n">
        <f aca="false">IF(OR(FK$4="",$B17=""),0,SUMIF('DADOS BRUTOS'!$A$3:$A$500,$B17,'DADOS BRUTOS'!CK$3:CK$500)+IF($C17="",0,SUMIF('DADOS BRUTOS'!$A$3:$A$500,$C17,'DADOS BRUTOS'!CK$3:CK$500)))</f>
        <v>0</v>
      </c>
      <c r="FL17" s="133" t="n">
        <f aca="false">IF(OR(FL$4="",$B17=""),0,SUMIF('DADOS BRUTOS'!$A$3:$A$500,$B17,'DADOS BRUTOS'!CL$3:CL$500)+IF($C17="",0,SUMIF('DADOS BRUTOS'!$A$3:$A$500,$C17,'DADOS BRUTOS'!CL$3:CL$500)))</f>
        <v>0</v>
      </c>
      <c r="FM17" s="133" t="n">
        <f aca="false">IF(OR(FM$4="",$B17=""),0,SUMIF('DADOS BRUTOS'!$A$3:$A$500,$B17,'DADOS BRUTOS'!CM$3:CM$500)+IF($C17="",0,SUMIF('DADOS BRUTOS'!$A$3:$A$500,$C17,'DADOS BRUTOS'!CM$3:CM$500)))</f>
        <v>0</v>
      </c>
      <c r="FN17" s="133" t="n">
        <f aca="false">IF(OR(FN$4="",$B17=""),0,SUMIF('DADOS BRUTOS'!$A$3:$A$500,$B17,'DADOS BRUTOS'!CN$3:CN$500)+IF($C17="",0,SUMIF('DADOS BRUTOS'!$A$3:$A$500,$C17,'DADOS BRUTOS'!CN$3:CN$500)))</f>
        <v>0</v>
      </c>
      <c r="FO17" s="133" t="n">
        <f aca="false">IF(OR(FO$4="",$B17=""),0,SUMIF('DADOS BRUTOS'!$A$3:$A$500,$B17,'DADOS BRUTOS'!CO$3:CO$500)+IF($C17="",0,SUMIF('DADOS BRUTOS'!$A$3:$A$500,$C17,'DADOS BRUTOS'!CO$3:CO$500)))</f>
        <v>0</v>
      </c>
      <c r="FP17" s="133" t="n">
        <f aca="false">IF(OR(FP$4="",$B17=""),0,SUMIF('DADOS BRUTOS'!$A$3:$A$500,$B17,'DADOS BRUTOS'!CP$3:CP$500)+IF($C17="",0,SUMIF('DADOS BRUTOS'!$A$3:$A$500,$C17,'DADOS BRUTOS'!CP$3:CP$500)))</f>
        <v>0</v>
      </c>
      <c r="FQ17" s="133" t="n">
        <f aca="false">IF(OR(FQ$4="",$B17=""),0,SUMIF('DADOS BRUTOS'!$A$3:$A$500,$B17,'DADOS BRUTOS'!CQ$3:CQ$500)+IF($C17="",0,SUMIF('DADOS BRUTOS'!$A$3:$A$500,$C17,'DADOS BRUTOS'!CQ$3:CQ$500)))</f>
        <v>0</v>
      </c>
      <c r="FR17" s="133" t="n">
        <f aca="false">IF(OR(FR$4="",$B17=""),0,SUMIF('DADOS BRUTOS'!$A$3:$A$500,$B17,'DADOS BRUTOS'!CR$3:CR$500)+IF($C17="",0,SUMIF('DADOS BRUTOS'!$A$3:$A$500,$C17,'DADOS BRUTOS'!CR$3:CR$500)))</f>
        <v>0</v>
      </c>
      <c r="FS17" s="133" t="n">
        <f aca="false">IF(OR(FS$4="",$B17=""),0,SUMIF('DADOS BRUTOS'!$A$3:$A$500,$B17,'DADOS BRUTOS'!CS$3:CS$500)+IF($C17="",0,SUMIF('DADOS BRUTOS'!$A$3:$A$500,$C17,'DADOS BRUTOS'!CS$3:CS$500)))</f>
        <v>0</v>
      </c>
      <c r="FT17" s="133" t="n">
        <f aca="false">IF(OR(FT$4="",$B17=""),0,SUMIF('DADOS BRUTOS'!$A$3:$A$500,$B17,'DADOS BRUTOS'!CT$3:CT$500)+IF($C17="",0,SUMIF('DADOS BRUTOS'!$A$3:$A$500,$C17,'DADOS BRUTOS'!CT$3:CT$500)))</f>
        <v>0</v>
      </c>
      <c r="FU17" s="133" t="n">
        <f aca="false">IF(OR(FU$4="",$B17=""),0,SUMIF('DADOS BRUTOS'!$A$3:$A$500,$B17,'DADOS BRUTOS'!CU$3:CU$500)+IF($C17="",0,SUMIF('DADOS BRUTOS'!$A$3:$A$500,$C17,'DADOS BRUTOS'!CU$3:CU$500)))</f>
        <v>0</v>
      </c>
      <c r="FV17" s="133" t="n">
        <f aca="false">IF(OR(FV$4="",$B17=""),0,SUMIF('DADOS BRUTOS'!$A$3:$A$500,$B17,'DADOS BRUTOS'!CV$3:CV$500)+IF($C17="",0,SUMIF('DADOS BRUTOS'!$A$3:$A$500,$C17,'DADOS BRUTOS'!CV$3:CV$500)))</f>
        <v>0</v>
      </c>
      <c r="FW17" s="133" t="n">
        <f aca="false">IF(OR(FW$4="",$B17=""),0,SUMIF('DADOS BRUTOS'!$A$3:$A$500,$B17,'DADOS BRUTOS'!CW$3:CW$500)+IF($C17="",0,SUMIF('DADOS BRUTOS'!$A$3:$A$500,$C17,'DADOS BRUTOS'!CW$3:CW$500)))</f>
        <v>0</v>
      </c>
      <c r="FX17" s="133" t="n">
        <f aca="false">IF(OR(FX$4="",$B17=""),0,SUMIF('DADOS BRUTOS'!$A$3:$A$500,$B17,'DADOS BRUTOS'!CX$3:CX$500)+IF($C17="",0,SUMIF('DADOS BRUTOS'!$A$3:$A$500,$C17,'DADOS BRUTOS'!CX$3:CX$500)))</f>
        <v>0</v>
      </c>
      <c r="FY17" s="133" t="n">
        <f aca="false">IF(OR(FY$4="",$B17=""),0,SUMIF('DADOS BRUTOS'!$A$3:$A$500,$B17,'DADOS BRUTOS'!CY$3:CY$500)+IF($C17="",0,SUMIF('DADOS BRUTOS'!$A$3:$A$500,$C17,'DADOS BRUTOS'!CY$3:CY$500)))</f>
        <v>0</v>
      </c>
      <c r="FZ17" s="133" t="n">
        <f aca="false">IF(OR(FZ$4="",$B17=""),0,SUMIF('DADOS BRUTOS'!$A$3:$A$500,$B17,'DADOS BRUTOS'!CZ$3:CZ$500)+IF($C17="",0,SUMIF('DADOS BRUTOS'!$A$3:$A$500,$C17,'DADOS BRUTOS'!CZ$3:CZ$500)))</f>
        <v>0</v>
      </c>
      <c r="GA17" s="133" t="n">
        <f aca="false">IF(OR(GA$4="",$B17=""),0,SUMIF('DADOS BRUTOS'!$A$3:$A$500,$B17,'DADOS BRUTOS'!DA$3:DA$500)+IF($C17="",0,SUMIF('DADOS BRUTOS'!$A$3:$A$500,$C17,'DADOS BRUTOS'!DA$3:DA$500)))</f>
        <v>0</v>
      </c>
      <c r="GB17" s="133" t="n">
        <f aca="false">IF(OR(GB$4="",$B17=""),0,SUMIF('DADOS BRUTOS'!$A$3:$A$500,$B17,'DADOS BRUTOS'!DB$3:DB$500)+IF($C17="",0,SUMIF('DADOS BRUTOS'!$A$3:$A$500,$C17,'DADOS BRUTOS'!DB$3:DB$500)))</f>
        <v>0</v>
      </c>
      <c r="GC17" s="133" t="n">
        <f aca="false">IF(OR(GC$4="",$B17=""),0,SUMIF('DADOS BRUTOS'!$A$3:$A$500,$B17,'DADOS BRUTOS'!DC$3:DC$500)+IF($C17="",0,SUMIF('DADOS BRUTOS'!$A$3:$A$500,$C17,'DADOS BRUTOS'!DC$3:DC$500)))</f>
        <v>0</v>
      </c>
      <c r="GD17" s="133" t="n">
        <f aca="false">IF(OR(GD$4="",$B17=""),0,SUMIF('DADOS BRUTOS'!$A$3:$A$500,$B17,'DADOS BRUTOS'!DD$3:DD$500)+IF($C17="",0,SUMIF('DADOS BRUTOS'!$A$3:$A$500,$C17,'DADOS BRUTOS'!DD$3:DD$500)))</f>
        <v>0</v>
      </c>
      <c r="GE17" s="133" t="n">
        <f aca="false">IF(OR(GE$4="",$B17=""),0,SUMIF('DADOS BRUTOS'!$A$3:$A$500,$B17,'DADOS BRUTOS'!DE$3:DE$500)+IF($C17="",0,SUMIF('DADOS BRUTOS'!$A$3:$A$500,$C17,'DADOS BRUTOS'!DE$3:DE$500)))</f>
        <v>0</v>
      </c>
      <c r="GF17" s="133" t="n">
        <f aca="false">IF(OR(GF$4="",$B17=""),0,SUMIF('DADOS BRUTOS'!$A$3:$A$500,$B17,'DADOS BRUTOS'!DF$3:DF$500)+IF($C17="",0,SUMIF('DADOS BRUTOS'!$A$3:$A$500,$C17,'DADOS BRUTOS'!DF$3:DF$500)))</f>
        <v>0</v>
      </c>
      <c r="GG17" s="133" t="n">
        <f aca="false">IF(OR(GG$4="",$B17=""),0,SUMIF('DADOS BRUTOS'!$A$3:$A$500,$B17,'DADOS BRUTOS'!DG$3:DG$500)+IF($C17="",0,SUMIF('DADOS BRUTOS'!$A$3:$A$500,$C17,'DADOS BRUTOS'!DG$3:DG$500)))</f>
        <v>0</v>
      </c>
      <c r="GH17" s="133" t="n">
        <f aca="false">IF(OR(GH$4="",$B17=""),0,SUMIF('DADOS BRUTOS'!$A$3:$A$500,$B17,'DADOS BRUTOS'!DH$3:DH$500)+IF($C17="",0,SUMIF('DADOS BRUTOS'!$A$3:$A$500,$C17,'DADOS BRUTOS'!DH$3:DH$500)))</f>
        <v>0</v>
      </c>
      <c r="GI17" s="133" t="n">
        <f aca="false">IF(OR(GI$4="",$B17=""),0,SUMIF('DADOS BRUTOS'!$A$3:$A$500,$B17,'DADOS BRUTOS'!DI$3:DI$500)+IF($C17="",0,SUMIF('DADOS BRUTOS'!$A$3:$A$500,$C17,'DADOS BRUTOS'!DI$3:DI$500)))</f>
        <v>0</v>
      </c>
      <c r="GJ17" s="133" t="n">
        <f aca="false">IF(OR(GJ$4="",$B17=""),0,SUMIF('DADOS BRUTOS'!$A$3:$A$500,$B17,'DADOS BRUTOS'!DJ$3:DJ$500)+IF($C17="",0,SUMIF('DADOS BRUTOS'!$A$3:$A$500,$C17,'DADOS BRUTOS'!DJ$3:DJ$500)))</f>
        <v>0</v>
      </c>
      <c r="GK17" s="133" t="n">
        <f aca="false">IF(OR(GK$4="",$B17=""),0,SUMIF('DADOS BRUTOS'!$A$3:$A$500,$B17,'DADOS BRUTOS'!DK$3:DK$500)+IF($C17="",0,SUMIF('DADOS BRUTOS'!$A$3:$A$500,$C17,'DADOS BRUTOS'!DK$3:DK$500)))</f>
        <v>0</v>
      </c>
      <c r="GL17" s="133" t="n">
        <f aca="false">IF(OR(GL$4="",$B17=""),0,SUMIF('DADOS BRUTOS'!$A$3:$A$500,$B17,'DADOS BRUTOS'!DL$3:DL$500)+IF($C17="",0,SUMIF('DADOS BRUTOS'!$A$3:$A$500,$C17,'DADOS BRUTOS'!DL$3:DL$500)))</f>
        <v>0</v>
      </c>
      <c r="GM17" s="133" t="n">
        <f aca="false">IF(OR(GM$4="",$B17=""),0,SUMIF('DADOS BRUTOS'!$A$3:$A$500,$B17,'DADOS BRUTOS'!DM$3:DM$500)+IF($C17="",0,SUMIF('DADOS BRUTOS'!$A$3:$A$500,$C17,'DADOS BRUTOS'!DM$3:DM$500)))</f>
        <v>0</v>
      </c>
      <c r="GN17" s="133" t="n">
        <f aca="false">IF(OR(GN$4="",$B17=""),0,SUMIF('DADOS BRUTOS'!$A$3:$A$500,$B17,'DADOS BRUTOS'!DN$3:DN$500)+IF($C17="",0,SUMIF('DADOS BRUTOS'!$A$3:$A$500,$C17,'DADOS BRUTOS'!DN$3:DN$500)))</f>
        <v>0</v>
      </c>
      <c r="GO17" s="133" t="n">
        <f aca="false">IF(OR(GO$4="",$B17=""),0,SUMIF('DADOS BRUTOS'!$A$3:$A$500,$B17,'DADOS BRUTOS'!DO$3:DO$500)+IF($C17="",0,SUMIF('DADOS BRUTOS'!$A$3:$A$500,$C17,'DADOS BRUTOS'!DO$3:DO$500)))</f>
        <v>0</v>
      </c>
      <c r="GP17" s="133" t="n">
        <f aca="false">IF(OR(GP$4="",$B17=""),0,SUMIF('DADOS BRUTOS'!$A$3:$A$500,$B17,'DADOS BRUTOS'!DP$3:DP$500)+IF($C17="",0,SUMIF('DADOS BRUTOS'!$A$3:$A$500,$C17,'DADOS BRUTOS'!DP$3:DP$500)))</f>
        <v>0</v>
      </c>
      <c r="GQ17" s="133" t="n">
        <f aca="false">IF(OR(GQ$4="",$B17=""),0,SUMIF('DADOS BRUTOS'!$A$3:$A$500,$B17,'DADOS BRUTOS'!DQ$3:DQ$500)+IF($C17="",0,SUMIF('DADOS BRUTOS'!$A$3:$A$500,$C17,'DADOS BRUTOS'!DQ$3:DQ$500)))</f>
        <v>0</v>
      </c>
      <c r="GR17" s="133" t="n">
        <f aca="false">IF(OR(GR$4="",$B17=""),0,SUMIF('DADOS BRUTOS'!$A$3:$A$500,$B17,'DADOS BRUTOS'!DR$3:DR$500)+IF($C17="",0,SUMIF('DADOS BRUTOS'!$A$3:$A$500,$C17,'DADOS BRUTOS'!DR$3:DR$500)))</f>
        <v>0</v>
      </c>
      <c r="GS17" s="133" t="n">
        <f aca="false">IF(OR(GS$4="",$B17=""),0,SUMIF('DADOS BRUTOS'!$A$3:$A$500,$B17,'DADOS BRUTOS'!DS$3:DS$500)+IF($C17="",0,SUMIF('DADOS BRUTOS'!$A$3:$A$500,$C17,'DADOS BRUTOS'!DS$3:DS$500)))</f>
        <v>0</v>
      </c>
      <c r="GT17" s="133" t="n">
        <f aca="false">IF(OR(GT$4="",$B17=""),0,SUMIF('DADOS BRUTOS'!$A$3:$A$500,$B17,'DADOS BRUTOS'!DT$3:DT$500)+IF($C17="",0,SUMIF('DADOS BRUTOS'!$A$3:$A$500,$C17,'DADOS BRUTOS'!DT$3:DT$500)))</f>
        <v>0</v>
      </c>
      <c r="GU17" s="133" t="n">
        <f aca="false">IF(OR(GU$4="",$B17=""),0,SUMIF('DADOS BRUTOS'!$A$3:$A$500,$B17,'DADOS BRUTOS'!DU$3:DU$500)+IF($C17="",0,SUMIF('DADOS BRUTOS'!$A$3:$A$500,$C17,'DADOS BRUTOS'!DU$3:DU$500)))</f>
        <v>0</v>
      </c>
      <c r="GV17" s="133" t="n">
        <f aca="false">IF(OR(GV$4="",$B17=""),0,SUMIF('DADOS BRUTOS'!$A$3:$A$500,$B17,'DADOS BRUTOS'!DV$3:DV$500)+IF($C17="",0,SUMIF('DADOS BRUTOS'!$A$3:$A$500,$C17,'DADOS BRUTOS'!DV$3:DV$500)))</f>
        <v>0</v>
      </c>
      <c r="GW17" s="133" t="n">
        <f aca="false">IF(OR(GW$4="",$B17=""),0,SUMIF('DADOS BRUTOS'!$A$3:$A$500,$B17,'DADOS BRUTOS'!DW$3:DW$500)+IF($C17="",0,SUMIF('DADOS BRUTOS'!$A$3:$A$500,$C17,'DADOS BRUTOS'!DW$3:DW$500)))</f>
        <v>0</v>
      </c>
      <c r="GX17" s="133" t="n">
        <f aca="false">IF(OR(GX$4="",$B17=""),0,SUMIF('DADOS BRUTOS'!$A$3:$A$500,$B17,'DADOS BRUTOS'!DX$3:DX$500)+IF($C17="",0,SUMIF('DADOS BRUTOS'!$A$3:$A$500,$C17,'DADOS BRUTOS'!DX$3:DX$500)))</f>
        <v>0</v>
      </c>
      <c r="GY17" s="133" t="n">
        <f aca="false">IF(OR(GY$4="",$B17=""),0,SUMIF('DADOS BRUTOS'!$A$3:$A$500,$B17,'DADOS BRUTOS'!DY$3:DY$500)+IF($C17="",0,SUMIF('DADOS BRUTOS'!$A$3:$A$500,$C17,'DADOS BRUTOS'!DY$3:DY$500)))</f>
        <v>0</v>
      </c>
      <c r="GZ17" s="133" t="n">
        <f aca="false">IF(OR(GZ$4="",$B17=""),0,SUMIF('DADOS BRUTOS'!$A$3:$A$500,$B17,'DADOS BRUTOS'!DZ$3:DZ$500)+IF($C17="",0,SUMIF('DADOS BRUTOS'!$A$3:$A$500,$C17,'DADOS BRUTOS'!DZ$3:DZ$500)))</f>
        <v>0</v>
      </c>
      <c r="HA17" s="133" t="n">
        <f aca="false">IF(OR(HA$4="",$B17=""),0,SUMIF('DADOS BRUTOS'!$A$3:$A$500,$B17,'DADOS BRUTOS'!EA$3:EA$500)+IF($C17="",0,SUMIF('DADOS BRUTOS'!$A$3:$A$500,$C17,'DADOS BRUTOS'!EA$3:EA$500)))</f>
        <v>0</v>
      </c>
      <c r="HB17" s="133" t="n">
        <f aca="false">IF(OR(HB$4="",$B17=""),0,SUMIF('DADOS BRUTOS'!$A$3:$A$500,$B17,'DADOS BRUTOS'!EB$3:EB$500)+IF($C17="",0,SUMIF('DADOS BRUTOS'!$A$3:$A$500,$C17,'DADOS BRUTOS'!EB$3:EB$500)))</f>
        <v>0</v>
      </c>
      <c r="HC17" s="133" t="n">
        <f aca="false">IF(OR(HC$4="",$B17=""),0,SUMIF('DADOS BRUTOS'!$A$3:$A$500,$B17,'DADOS BRUTOS'!EC$3:EC$500)+IF($C17="",0,SUMIF('DADOS BRUTOS'!$A$3:$A$500,$C17,'DADOS BRUTOS'!EC$3:EC$500)))</f>
        <v>0</v>
      </c>
      <c r="HD17" s="133" t="n">
        <f aca="false">IF(OR(HD$4="",$B17=""),0,SUMIF('DADOS BRUTOS'!$A$3:$A$500,$B17,'DADOS BRUTOS'!ED$3:ED$500)+IF($C17="",0,SUMIF('DADOS BRUTOS'!$A$3:$A$500,$C17,'DADOS BRUTOS'!ED$3:ED$500)))</f>
        <v>0</v>
      </c>
      <c r="HE17" s="133" t="n">
        <f aca="false">IF(OR(HE$4="",$B17=""),0,SUMIF('DADOS BRUTOS'!$A$3:$A$500,$B17,'DADOS BRUTOS'!EE$3:EE$500)+IF($C17="",0,SUMIF('DADOS BRUTOS'!$A$3:$A$500,$C17,'DADOS BRUTOS'!EE$3:EE$500)))</f>
        <v>0</v>
      </c>
      <c r="HF17" s="133" t="n">
        <f aca="false">IF(OR(HF$4="",$B17=""),0,SUMIF('DADOS BRUTOS'!$A$3:$A$500,$B17,'DADOS BRUTOS'!EF$3:EF$500)+IF($C17="",0,SUMIF('DADOS BRUTOS'!$A$3:$A$500,$C17,'DADOS BRUTOS'!EF$3:EF$500)))</f>
        <v>0</v>
      </c>
      <c r="HG17" s="133" t="n">
        <f aca="false">IF(OR(HG$4="",$B17=""),0,SUMIF('DADOS BRUTOS'!$A$3:$A$500,$B17,'DADOS BRUTOS'!EG$3:EG$500)+IF($C17="",0,SUMIF('DADOS BRUTOS'!$A$3:$A$500,$C17,'DADOS BRUTOS'!EG$3:EG$500)))</f>
        <v>0</v>
      </c>
      <c r="HH17" s="133" t="n">
        <f aca="false">IF(OR(HH$4="",$B17=""),0,SUMIF('DADOS BRUTOS'!$A$3:$A$500,$B17,'DADOS BRUTOS'!EH$3:EH$500)+IF($C17="",0,SUMIF('DADOS BRUTOS'!$A$3:$A$500,$C17,'DADOS BRUTOS'!EH$3:EH$500)))</f>
        <v>0</v>
      </c>
      <c r="HI17" s="133" t="n">
        <f aca="false">IF(OR(HI$4="",$B17=""),0,SUMIF('DADOS BRUTOS'!$A$3:$A$500,$B17,'DADOS BRUTOS'!EI$3:EI$500)+IF($C17="",0,SUMIF('DADOS BRUTOS'!$A$3:$A$500,$C17,'DADOS BRUTOS'!EI$3:EI$500)))</f>
        <v>0</v>
      </c>
      <c r="HJ17" s="133" t="n">
        <f aca="false">IF(OR(HJ$4="",$B17=""),0,SUMIF('DADOS BRUTOS'!$A$3:$A$500,$B17,'DADOS BRUTOS'!EJ$3:EJ$500)+IF($C17="",0,SUMIF('DADOS BRUTOS'!$A$3:$A$500,$C17,'DADOS BRUTOS'!EJ$3:EJ$500)))</f>
        <v>0</v>
      </c>
      <c r="HK17" s="133" t="n">
        <f aca="false">IF(OR(HK$4="",$B17=""),0,SUMIF('DADOS BRUTOS'!$A$3:$A$500,$B17,'DADOS BRUTOS'!EK$3:EK$500)+IF($C17="",0,SUMIF('DADOS BRUTOS'!$A$3:$A$500,$C17,'DADOS BRUTOS'!EK$3:EK$500)))</f>
        <v>0</v>
      </c>
      <c r="HL17" s="133" t="n">
        <f aca="false">IF(OR(HL$4="",$B17=""),0,SUMIF('DADOS BRUTOS'!$A$3:$A$500,$B17,'DADOS BRUTOS'!EL$3:EL$500)+IF($C17="",0,SUMIF('DADOS BRUTOS'!$A$3:$A$500,$C17,'DADOS BRUTOS'!EL$3:EL$500)))</f>
        <v>0</v>
      </c>
      <c r="HM17" s="133" t="n">
        <f aca="false">IF(OR(HM$4="",$B17=""),0,SUMIF('DADOS BRUTOS'!$A$3:$A$500,$B17,'DADOS BRUTOS'!EM$3:EM$500)+IF($C17="",0,SUMIF('DADOS BRUTOS'!$A$3:$A$500,$C17,'DADOS BRUTOS'!EM$3:EM$500)))</f>
        <v>0</v>
      </c>
      <c r="HN17" s="133" t="n">
        <f aca="false">IF(OR(HN$4="",$B17=""),0,SUMIF('DADOS BRUTOS'!$A$3:$A$500,$B17,'DADOS BRUTOS'!EN$3:EN$500)+IF($C17="",0,SUMIF('DADOS BRUTOS'!$A$3:$A$500,$C17,'DADOS BRUTOS'!EN$3:EN$500)))</f>
        <v>0</v>
      </c>
      <c r="HO17" s="133" t="n">
        <f aca="false">IF(OR(HO$4="",$B17=""),0,SUMIF('DADOS BRUTOS'!$A$3:$A$500,$B17,'DADOS BRUTOS'!EO$3:EO$500)+IF($C17="",0,SUMIF('DADOS BRUTOS'!$A$3:$A$500,$C17,'DADOS BRUTOS'!EO$3:EO$500)))</f>
        <v>0</v>
      </c>
      <c r="HP17" s="133" t="n">
        <f aca="false">IF(OR(HP$4="",$B17=""),0,SUMIF('DADOS BRUTOS'!$A$3:$A$500,$B17,'DADOS BRUTOS'!EP$3:EP$500)+IF($C17="",0,SUMIF('DADOS BRUTOS'!$A$3:$A$500,$C17,'DADOS BRUTOS'!EP$3:EP$500)))</f>
        <v>0</v>
      </c>
      <c r="HQ17" s="133" t="n">
        <f aca="false">IF(OR(HQ$4="",$B17=""),0,SUMIF('DADOS BRUTOS'!$A$3:$A$500,$B17,'DADOS BRUTOS'!EQ$3:EQ$500)+IF($C17="",0,SUMIF('DADOS BRUTOS'!$A$3:$A$500,$C17,'DADOS BRUTOS'!EQ$3:EQ$500)))</f>
        <v>0</v>
      </c>
      <c r="HR17" s="133" t="n">
        <f aca="false">IF(OR(HR$4="",$B17=""),0,SUMIF('DADOS BRUTOS'!$A$3:$A$500,$B17,'DADOS BRUTOS'!ER$3:ER$500)+IF($C17="",0,SUMIF('DADOS BRUTOS'!$A$3:$A$500,$C17,'DADOS BRUTOS'!ER$3:ER$500)))</f>
        <v>0</v>
      </c>
      <c r="HS17" s="133" t="n">
        <f aca="false">IF(OR(HS$4="",$B17=""),0,SUMIF('DADOS BRUTOS'!$A$3:$A$500,$B17,'DADOS BRUTOS'!ES$3:ES$500)+IF($C17="",0,SUMIF('DADOS BRUTOS'!$A$3:$A$500,$C17,'DADOS BRUTOS'!ES$3:ES$500)))</f>
        <v>0</v>
      </c>
      <c r="HT17" s="133" t="n">
        <f aca="false">IF(OR(HT$4="",$B17=""),0,SUMIF('DADOS BRUTOS'!$A$3:$A$500,$B17,'DADOS BRUTOS'!ET$3:ET$500)+IF($C17="",0,SUMIF('DADOS BRUTOS'!$A$3:$A$500,$C17,'DADOS BRUTOS'!ET$3:ET$500)))</f>
        <v>0</v>
      </c>
      <c r="HU17" s="133" t="n">
        <f aca="false">IF(OR(HU$4="",$B17=""),0,SUMIF('DADOS BRUTOS'!$A$3:$A$500,$B17,'DADOS BRUTOS'!EU$3:EU$500)+IF($C17="",0,SUMIF('DADOS BRUTOS'!$A$3:$A$500,$C17,'DADOS BRUTOS'!EU$3:EU$500)))</f>
        <v>0</v>
      </c>
      <c r="HV17" s="133" t="n">
        <f aca="false">IF(OR(HV$4="",$B17=""),0,SUMIF('DADOS BRUTOS'!$A$3:$A$500,$B17,'DADOS BRUTOS'!EV$3:EV$500)+IF($C17="",0,SUMIF('DADOS BRUTOS'!$A$3:$A$500,$C17,'DADOS BRUTOS'!EV$3:EV$500)))</f>
        <v>0</v>
      </c>
      <c r="HW17" s="133" t="n">
        <f aca="false">IF(OR(HW$4="",$B17=""),0,SUMIF('DADOS BRUTOS'!$A$3:$A$500,$B17,'DADOS BRUTOS'!EW$3:EW$500)+IF($C17="",0,SUMIF('DADOS BRUTOS'!$A$3:$A$500,$C17,'DADOS BRUTOS'!EW$3:EW$500)))</f>
        <v>0</v>
      </c>
      <c r="HX17" s="133" t="n">
        <f aca="false">IF(OR(HX$4="",$B17=""),0,SUMIF('DADOS BRUTOS'!$A$3:$A$500,$B17,'DADOS BRUTOS'!EX$3:EX$500)+IF($C17="",0,SUMIF('DADOS BRUTOS'!$A$3:$A$500,$C17,'DADOS BRUTOS'!EX$3:EX$500)))</f>
        <v>0</v>
      </c>
      <c r="HY17" s="133" t="n">
        <f aca="false">IF(OR(HY$4="",$B17=""),0,SUMIF('DADOS BRUTOS'!$A$3:$A$500,$B17,'DADOS BRUTOS'!EY$3:EY$500)+IF($C17="",0,SUMIF('DADOS BRUTOS'!$A$3:$A$500,$C17,'DADOS BRUTOS'!EY$3:EY$500)))</f>
        <v>0</v>
      </c>
      <c r="HZ17" s="133" t="n">
        <f aca="false">IF(OR(HZ$4="",$B17=""),0,SUMIF('DADOS BRUTOS'!$A$3:$A$500,$B17,'DADOS BRUTOS'!EZ$3:EZ$500)+IF($C17="",0,SUMIF('DADOS BRUTOS'!$A$3:$A$500,$C17,'DADOS BRUTOS'!EZ$3:EZ$500)))</f>
        <v>0</v>
      </c>
      <c r="IA17" s="133" t="n">
        <f aca="false">IF(OR(IA$4="",$B17=""),0,SUMIF('DADOS BRUTOS'!$A$3:$A$500,$B17,'DADOS BRUTOS'!FA$3:FA$500)+IF($C17="",0,SUMIF('DADOS BRUTOS'!$A$3:$A$500,$C17,'DADOS BRUTOS'!FA$3:FA$500)))</f>
        <v>0</v>
      </c>
      <c r="IB17" s="133" t="n">
        <f aca="false">IF(OR(IB$4="",$B17=""),0,SUMIF('DADOS BRUTOS'!$A$3:$A$500,$B17,'DADOS BRUTOS'!FB$3:FB$500)+IF($C17="",0,SUMIF('DADOS BRUTOS'!$A$3:$A$500,$C17,'DADOS BRUTOS'!FB$3:FB$500)))</f>
        <v>0</v>
      </c>
      <c r="IC17" s="133" t="n">
        <f aca="false">IF(OR(IC$4="",$B17=""),0,SUMIF('DADOS BRUTOS'!$A$3:$A$500,$B17,'DADOS BRUTOS'!FC$3:FC$500)+IF($C17="",0,SUMIF('DADOS BRUTOS'!$A$3:$A$500,$C17,'DADOS BRUTOS'!FC$3:FC$500)))</f>
        <v>0</v>
      </c>
      <c r="ID17" s="133" t="n">
        <f aca="false">IF(OR(ID$4="",$B17=""),0,SUMIF('DADOS BRUTOS'!$A$3:$A$500,$B17,'DADOS BRUTOS'!FD$3:FD$500)+IF($C17="",0,SUMIF('DADOS BRUTOS'!$A$3:$A$500,$C17,'DADOS BRUTOS'!FD$3:FD$500)))</f>
        <v>0</v>
      </c>
      <c r="IE17" s="133" t="n">
        <f aca="false">IF(OR(IE$4="",$B17=""),0,SUMIF('DADOS BRUTOS'!$A$3:$A$500,$B17,'DADOS BRUTOS'!FE$3:FE$500)+IF($C17="",0,SUMIF('DADOS BRUTOS'!$A$3:$A$500,$C17,'DADOS BRUTOS'!FE$3:FE$500)))</f>
        <v>0</v>
      </c>
      <c r="IF17" s="133" t="n">
        <f aca="false">IF(OR(IF$4="",$B17=""),0,SUMIF('DADOS BRUTOS'!$A$3:$A$500,$B17,'DADOS BRUTOS'!FF$3:FF$500)+IF($C17="",0,SUMIF('DADOS BRUTOS'!$A$3:$A$500,$C17,'DADOS BRUTOS'!FF$3:FF$500)))</f>
        <v>0</v>
      </c>
      <c r="IG17" s="133" t="n">
        <f aca="false">IF(OR(IG$4="",$B17=""),0,SUMIF('DADOS BRUTOS'!$A$3:$A$500,$B17,'DADOS BRUTOS'!FG$3:FG$500)+IF($C17="",0,SUMIF('DADOS BRUTOS'!$A$3:$A$500,$C17,'DADOS BRUTOS'!FG$3:FG$500)))</f>
        <v>0</v>
      </c>
      <c r="IH17" s="133" t="n">
        <f aca="false">IF(OR(IH$4="",$B17=""),0,SUMIF('DADOS BRUTOS'!$A$3:$A$500,$B17,'DADOS BRUTOS'!FH$3:FH$500)+IF($C17="",0,SUMIF('DADOS BRUTOS'!$A$3:$A$500,$C17,'DADOS BRUTOS'!FH$3:FH$500)))</f>
        <v>0</v>
      </c>
      <c r="II17" s="133" t="n">
        <f aca="false">IF(OR(II$4="",$B17=""),0,SUMIF('DADOS BRUTOS'!$A$3:$A$500,$B17,'DADOS BRUTOS'!FI$3:FI$500)+IF($C17="",0,SUMIF('DADOS BRUTOS'!$A$3:$A$500,$C17,'DADOS BRUTOS'!FI$3:FI$500)))</f>
        <v>0</v>
      </c>
      <c r="IJ17" s="133" t="n">
        <f aca="false">IF(OR(IJ$4="",$B17=""),0,SUMIF('DADOS BRUTOS'!$A$3:$A$500,$B17,'DADOS BRUTOS'!FJ$3:FJ$500)+IF($C17="",0,SUMIF('DADOS BRUTOS'!$A$3:$A$500,$C17,'DADOS BRUTOS'!FJ$3:FJ$500)))</f>
        <v>0</v>
      </c>
      <c r="IK17" s="133" t="n">
        <f aca="false">IF(OR(IK$4="",$B17=""),0,SUMIF('DADOS BRUTOS'!$A$3:$A$500,$B17,'DADOS BRUTOS'!FK$3:FK$500)+IF($C17="",0,SUMIF('DADOS BRUTOS'!$A$3:$A$500,$C17,'DADOS BRUTOS'!FK$3:FK$500)))</f>
        <v>0</v>
      </c>
      <c r="IL17" s="133" t="n">
        <f aca="false">IF(OR(IL$4="",$B17=""),0,SUMIF('DADOS BRUTOS'!$A$3:$A$500,$B17,'DADOS BRUTOS'!FL$3:FL$500)+IF($C17="",0,SUMIF('DADOS BRUTOS'!$A$3:$A$500,$C17,'DADOS BRUTOS'!FL$3:FL$500)))</f>
        <v>0</v>
      </c>
      <c r="IM17" s="133" t="n">
        <f aca="false">IF(OR(IM$4="",$B17=""),0,SUMIF('DADOS BRUTOS'!$A$3:$A$500,$B17,'DADOS BRUTOS'!FM$3:FM$500)+IF($C17="",0,SUMIF('DADOS BRUTOS'!$A$3:$A$500,$C17,'DADOS BRUTOS'!FM$3:FM$500)))</f>
        <v>0</v>
      </c>
      <c r="IN17" s="133" t="n">
        <f aca="false">IF(OR(IN$4="",$B17=""),0,SUMIF('DADOS BRUTOS'!$A$3:$A$500,$B17,'DADOS BRUTOS'!FN$3:FN$500)+IF($C17="",0,SUMIF('DADOS BRUTOS'!$A$3:$A$500,$C17,'DADOS BRUTOS'!FN$3:FN$500)))</f>
        <v>0</v>
      </c>
      <c r="IO17" s="133" t="n">
        <f aca="false">IF(OR(IO$4="",$B17=""),0,SUMIF('DADOS BRUTOS'!$A$3:$A$500,$B17,'DADOS BRUTOS'!FO$3:FO$500)+IF($C17="",0,SUMIF('DADOS BRUTOS'!$A$3:$A$500,$C17,'DADOS BRUTOS'!FO$3:FO$500)))</f>
        <v>0</v>
      </c>
      <c r="IP17" s="133" t="n">
        <f aca="false">IF(OR(IP$4="",$B17=""),0,SUMIF('DADOS BRUTOS'!$A$3:$A$500,$B17,'DADOS BRUTOS'!FP$3:FP$500)+IF($C17="",0,SUMIF('DADOS BRUTOS'!$A$3:$A$500,$C17,'DADOS BRUTOS'!FP$3:FP$500)))</f>
        <v>0</v>
      </c>
      <c r="IQ17" s="133" t="n">
        <f aca="false">IF(OR(IQ$4="",$B17=""),0,SUMIF('DADOS BRUTOS'!$A$3:$A$500,$B17,'DADOS BRUTOS'!FQ$3:FQ$500)+IF($C17="",0,SUMIF('DADOS BRUTOS'!$A$3:$A$500,$C17,'DADOS BRUTOS'!FQ$3:FQ$500)))</f>
        <v>0</v>
      </c>
      <c r="IR17" s="133" t="n">
        <f aca="false">IF(OR(IR$4="",$B17=""),0,SUMIF('DADOS BRUTOS'!$A$3:$A$500,$B17,'DADOS BRUTOS'!FR$3:FR$500)+IF($C17="",0,SUMIF('DADOS BRUTOS'!$A$3:$A$500,$C17,'DADOS BRUTOS'!FR$3:FR$500)))</f>
        <v>0</v>
      </c>
      <c r="IS17" s="133" t="n">
        <f aca="false">IF(OR(IS$4="",$B17=""),0,SUMIF('DADOS BRUTOS'!$A$3:$A$500,$B17,'DADOS BRUTOS'!FS$3:FS$500)+IF($C17="",0,SUMIF('DADOS BRUTOS'!$A$3:$A$500,$C17,'DADOS BRUTOS'!FS$3:FS$500)))</f>
        <v>0</v>
      </c>
      <c r="IT17" s="133" t="n">
        <f aca="false">IF(OR(IT$4="",$B17=""),0,SUMIF('DADOS BRUTOS'!$A$3:$A$500,$B17,'DADOS BRUTOS'!FT$3:FT$500)+IF($C17="",0,SUMIF('DADOS BRUTOS'!$A$3:$A$500,$C17,'DADOS BRUTOS'!FT$3:FT$500)))</f>
        <v>0</v>
      </c>
      <c r="IU17" s="133" t="n">
        <f aca="false">IF(OR(IU$4="",$B17=""),0,SUMIF('DADOS BRUTOS'!$A$3:$A$500,$B17,'DADOS BRUTOS'!FU$3:FU$500)+IF($C17="",0,SUMIF('DADOS BRUTOS'!$A$3:$A$500,$C17,'DADOS BRUTOS'!FU$3:FU$500)))</f>
        <v>0</v>
      </c>
      <c r="IV17" s="133" t="n">
        <f aca="false">IF(OR(IV$4="",$B17=""),0,SUMIF('DADOS BRUTOS'!$A$3:$A$500,$B17,'DADOS BRUTOS'!FV$3:FV$500)+IF($C17="",0,SUMIF('DADOS BRUTOS'!$A$3:$A$500,$C17,'DADOS BRUTOS'!FV$3:FV$500)))</f>
        <v>0</v>
      </c>
      <c r="IW17" s="133" t="n">
        <f aca="false">IF(OR(IW$4="",$B17=""),0,SUMIF('DADOS BRUTOS'!$A$3:$A$500,$B17,'DADOS BRUTOS'!FW$3:FW$500)+IF($C17="",0,SUMIF('DADOS BRUTOS'!$A$3:$A$500,$C17,'DADOS BRUTOS'!FW$3:FW$500)))</f>
        <v>0</v>
      </c>
      <c r="IX17" s="133" t="n">
        <f aca="false">IF(OR(IX$4="",$B17=""),0,SUMIF('DADOS BRUTOS'!$A$3:$A$500,$B17,'DADOS BRUTOS'!FX$3:FX$500)+IF($C17="",0,SUMIF('DADOS BRUTOS'!$A$3:$A$500,$C17,'DADOS BRUTOS'!FX$3:FX$500)))</f>
        <v>0</v>
      </c>
      <c r="IY17" s="133" t="n">
        <f aca="false">IF(OR(IY$4="",$B17=""),0,SUMIF('DADOS BRUTOS'!$A$3:$A$500,$B17,'DADOS BRUTOS'!FY$3:FY$500)+IF($C17="",0,SUMIF('DADOS BRUTOS'!$A$3:$A$500,$C17,'DADOS BRUTOS'!FY$3:FY$500)))</f>
        <v>0</v>
      </c>
      <c r="IZ17" s="133" t="n">
        <f aca="false">IF(OR(IZ$4="",$B17=""),0,SUMIF('DADOS BRUTOS'!$A$3:$A$500,$B17,'DADOS BRUTOS'!FZ$3:FZ$500)+IF($C17="",0,SUMIF('DADOS BRUTOS'!$A$3:$A$500,$C17,'DADOS BRUTOS'!FZ$3:FZ$500)))</f>
        <v>0</v>
      </c>
      <c r="JA17" s="133" t="n">
        <f aca="false">IF(OR(JA$4="",$B17=""),0,SUMIF('DADOS BRUTOS'!$A$3:$A$500,$B17,'DADOS BRUTOS'!GA$3:GA$500)+IF($C17="",0,SUMIF('DADOS BRUTOS'!$A$3:$A$500,$C17,'DADOS BRUTOS'!GA$3:GA$500)))</f>
        <v>0</v>
      </c>
      <c r="JB17" s="133" t="n">
        <f aca="false">IF(OR(JB$4="",$B17=""),0,SUMIF('DADOS BRUTOS'!$A$3:$A$500,$B17,'DADOS BRUTOS'!GB$3:GB$500)+IF($C17="",0,SUMIF('DADOS BRUTOS'!$A$3:$A$500,$C17,'DADOS BRUTOS'!GB$3:GB$500)))</f>
        <v>0</v>
      </c>
      <c r="JC17" s="133" t="n">
        <f aca="false">IF(OR(JC$4="",$B17=""),0,SUMIF('DADOS BRUTOS'!$A$3:$A$500,$B17,'DADOS BRUTOS'!GC$3:GC$500)+IF($C17="",0,SUMIF('DADOS BRUTOS'!$A$3:$A$500,$C17,'DADOS BRUTOS'!GC$3:GC$500)))</f>
        <v>0</v>
      </c>
      <c r="JD17" s="133" t="n">
        <f aca="false">IF(OR(JD$4="",$B17=""),0,SUMIF('DADOS BRUTOS'!$A$3:$A$500,$B17,'DADOS BRUTOS'!GD$3:GD$500)+IF($C17="",0,SUMIF('DADOS BRUTOS'!$A$3:$A$500,$C17,'DADOS BRUTOS'!GD$3:GD$500)))</f>
        <v>0</v>
      </c>
      <c r="JE17" s="133" t="n">
        <f aca="false">IF(OR(JE$4="",$B17=""),0,SUMIF('DADOS BRUTOS'!$A$3:$A$500,$B17,'DADOS BRUTOS'!GE$3:GE$500)+IF($C17="",0,SUMIF('DADOS BRUTOS'!$A$3:$A$500,$C17,'DADOS BRUTOS'!GE$3:GE$500)))</f>
        <v>0</v>
      </c>
      <c r="JF17" s="133" t="n">
        <f aca="false">IF(OR(JF$4="",$B17=""),0,SUMIF('DADOS BRUTOS'!$A$3:$A$500,$B17,'DADOS BRUTOS'!GF$3:GF$500)+IF($C17="",0,SUMIF('DADOS BRUTOS'!$A$3:$A$500,$C17,'DADOS BRUTOS'!GF$3:GF$500)))</f>
        <v>0</v>
      </c>
      <c r="JG17" s="133" t="n">
        <f aca="false">IF(OR(JG$4="",$B17=""),0,SUMIF('DADOS BRUTOS'!$A$3:$A$500,$B17,'DADOS BRUTOS'!GG$3:GG$500)+IF($C17="",0,SUMIF('DADOS BRUTOS'!$A$3:$A$500,$C17,'DADOS BRUTOS'!GG$3:GG$500)))</f>
        <v>0</v>
      </c>
      <c r="JH17" s="133" t="n">
        <f aca="false">IF(OR(JH$4="",$B17=""),0,SUMIF('DADOS BRUTOS'!$A$3:$A$500,$B17,'DADOS BRUTOS'!GH$3:GH$500)+IF($C17="",0,SUMIF('DADOS BRUTOS'!$A$3:$A$500,$C17,'DADOS BRUTOS'!GH$3:GH$500)))</f>
        <v>0</v>
      </c>
      <c r="JI17" s="133" t="n">
        <f aca="false">IF(OR(JI$4="",$B17=""),0,SUMIF('DADOS BRUTOS'!$A$3:$A$500,$B17,'DADOS BRUTOS'!GI$3:GI$500)+IF($C17="",0,SUMIF('DADOS BRUTOS'!$A$3:$A$500,$C17,'DADOS BRUTOS'!GI$3:GI$500)))</f>
        <v>0</v>
      </c>
      <c r="JJ17" s="133" t="n">
        <f aca="false">IF(OR(JJ$4="",$B17=""),0,SUMIF('DADOS BRUTOS'!$A$3:$A$500,$B17,'DADOS BRUTOS'!GJ$3:GJ$500)+IF($C17="",0,SUMIF('DADOS BRUTOS'!$A$3:$A$500,$C17,'DADOS BRUTOS'!GJ$3:GJ$500)))</f>
        <v>0</v>
      </c>
      <c r="JK17" s="133" t="n">
        <f aca="false">IF(OR(JK$4="",$B17=""),0,SUMIF('DADOS BRUTOS'!$A$3:$A$500,$B17,'DADOS BRUTOS'!GK$3:GK$500)+IF($C17="",0,SUMIF('DADOS BRUTOS'!$A$3:$A$500,$C17,'DADOS BRUTOS'!GK$3:GK$500)))</f>
        <v>0</v>
      </c>
      <c r="JL17" s="133" t="n">
        <f aca="false">IF(OR(JL$4="",$B17=""),0,SUMIF('DADOS BRUTOS'!$A$3:$A$500,$B17,'DADOS BRUTOS'!GL$3:GL$500)+IF($C17="",0,SUMIF('DADOS BRUTOS'!$A$3:$A$500,$C17,'DADOS BRUTOS'!GL$3:GL$500)))</f>
        <v>0</v>
      </c>
      <c r="JM17" s="133" t="n">
        <f aca="false">IF(OR(JM$4="",$B17=""),0,SUMIF('DADOS BRUTOS'!$A$3:$A$500,$B17,'DADOS BRUTOS'!GM$3:GM$500)+IF($C17="",0,SUMIF('DADOS BRUTOS'!$A$3:$A$500,$C17,'DADOS BRUTOS'!GM$3:GM$500)))</f>
        <v>0</v>
      </c>
      <c r="JN17" s="133" t="n">
        <f aca="false">IF(OR(JN$4="",$B17=""),0,SUMIF('DADOS BRUTOS'!$A$3:$A$500,$B17,'DADOS BRUTOS'!GN$3:GN$500)+IF($C17="",0,SUMIF('DADOS BRUTOS'!$A$3:$A$500,$C17,'DADOS BRUTOS'!GN$3:GN$500)))</f>
        <v>0</v>
      </c>
      <c r="JO17" s="133" t="n">
        <f aca="false">IF(OR(JO$4="",$B17=""),0,SUMIF('DADOS BRUTOS'!$A$3:$A$500,$B17,'DADOS BRUTOS'!GO$3:GO$500)+IF($C17="",0,SUMIF('DADOS BRUTOS'!$A$3:$A$500,$C17,'DADOS BRUTOS'!GO$3:GO$500)))</f>
        <v>0</v>
      </c>
      <c r="JP17" s="133" t="n">
        <f aca="false">IF(OR(JP$4="",$B17=""),0,SUMIF('DADOS BRUTOS'!$A$3:$A$500,$B17,'DADOS BRUTOS'!GP$3:GP$500)+IF($C17="",0,SUMIF('DADOS BRUTOS'!$A$3:$A$500,$C17,'DADOS BRUTOS'!GP$3:GP$500)))</f>
        <v>0</v>
      </c>
      <c r="JQ17" s="133" t="n">
        <f aca="false">IF(OR(JQ$4="",$B17=""),0,SUMIF('DADOS BRUTOS'!$A$3:$A$500,$B17,'DADOS BRUTOS'!GQ$3:GQ$500)+IF($C17="",0,SUMIF('DADOS BRUTOS'!$A$3:$A$500,$C17,'DADOS BRUTOS'!GQ$3:GQ$500)))</f>
        <v>0</v>
      </c>
      <c r="JR17" s="133" t="n">
        <f aca="false">IF(OR(JR$4="",$B17=""),0,SUMIF('DADOS BRUTOS'!$A$3:$A$500,$B17,'DADOS BRUTOS'!GR$3:GR$500)+IF($C17="",0,SUMIF('DADOS BRUTOS'!$A$3:$A$500,$C17,'DADOS BRUTOS'!GR$3:GR$500)))</f>
        <v>0</v>
      </c>
      <c r="JS17" s="133" t="n">
        <f aca="false">IF(OR(JS$4="",$B17=""),0,SUMIF('DADOS BRUTOS'!$A$3:$A$500,$B17,'DADOS BRUTOS'!GS$3:GS$500)+IF($C17="",0,SUMIF('DADOS BRUTOS'!$A$3:$A$500,$C17,'DADOS BRUTOS'!GS$3:GS$500)))</f>
        <v>0</v>
      </c>
    </row>
    <row r="18" customFormat="false" ht="15" hidden="false" customHeight="false" outlineLevel="0" collapsed="false">
      <c r="A18" s="57" t="str">
        <f aca="false">'VALOR POR PL'!D24</f>
        <v>TERRAPLENAGEM</v>
      </c>
      <c r="B18" s="55" t="s">
        <v>71</v>
      </c>
      <c r="C18" s="55"/>
      <c r="D18" s="50" t="n">
        <f aca="false">SUMIF($CB$4:$JS$4,"&lt;="&amp;D$4,$CB18:$JS18)</f>
        <v>0</v>
      </c>
      <c r="E18" s="50" t="n">
        <f aca="false">SUMIF($CB$4:$JS$4,E$4,$CB18:$JS18)</f>
        <v>0</v>
      </c>
      <c r="F18" s="50" t="n">
        <f aca="false">SUMIF($CB$4:$JS$4,F$4,$CB18:$JS18)</f>
        <v>0</v>
      </c>
      <c r="G18" s="50" t="n">
        <f aca="false">SUMIF($CB$4:$JS$4,G$4,$CB18:$JS18)</f>
        <v>0</v>
      </c>
      <c r="H18" s="50" t="n">
        <f aca="false">SUMIF($CB$4:$JS$4,H$4,$CB18:$JS18)</f>
        <v>0</v>
      </c>
      <c r="I18" s="50" t="n">
        <f aca="false">SUMIF($CB$4:$JS$4,I$4,$CB18:$JS18)</f>
        <v>0</v>
      </c>
      <c r="J18" s="50" t="n">
        <f aca="false">SUMIF($CB$4:$JS$4,J$4,$CB18:$JS18)</f>
        <v>0</v>
      </c>
      <c r="K18" s="50" t="n">
        <f aca="false">SUMIF($CB$4:$JS$4,K$4,$CB18:$JS18)</f>
        <v>0</v>
      </c>
      <c r="L18" s="50" t="n">
        <f aca="false">SUMIF($CB$4:$JS$4,L$4,$CB18:$JS18)</f>
        <v>0</v>
      </c>
      <c r="M18" s="50" t="n">
        <f aca="false">SUMIF($CB$4:$JS$4,M$4,$CB18:$JS18)</f>
        <v>0</v>
      </c>
      <c r="N18" s="50" t="n">
        <f aca="false">SUMIF($CB$4:$JS$4,N$4,$CB18:$JS18)</f>
        <v>0</v>
      </c>
      <c r="O18" s="50" t="n">
        <f aca="false">SUMIF($CB$4:$JS$4,O$4,$CB18:$JS18)</f>
        <v>3866</v>
      </c>
      <c r="P18" s="50" t="n">
        <f aca="false">SUMIF($CB$4:$JS$4,P$4,$CB18:$JS18)</f>
        <v>58166.5</v>
      </c>
      <c r="Q18" s="50" t="n">
        <f aca="false">SUMIF($CB$4:$JS$4,Q$4,$CB18:$JS18)</f>
        <v>21398.48</v>
      </c>
      <c r="R18" s="50" t="n">
        <f aca="false">SUMIF($CB$4:$JS$4,R$4,$CB18:$JS18)</f>
        <v>104829.66</v>
      </c>
      <c r="S18" s="50" t="n">
        <f aca="false">SUMIF($CB$4:$JS$4,S$4,$CB18:$JS18)</f>
        <v>21701.49</v>
      </c>
      <c r="T18" s="50" t="n">
        <f aca="false">SUMIF($CB$4:$JS$4,T$4,$CB18:$JS18)</f>
        <v>203306.37</v>
      </c>
      <c r="U18" s="50" t="n">
        <f aca="false">SUMIF($CB$4:$JS$4,U$4,$CB18:$JS18)</f>
        <v>269416.54</v>
      </c>
      <c r="V18" s="50" t="n">
        <f aca="false">SUMIF($CB$4:$JS$4,V$4,$CB18:$JS18)</f>
        <v>202541.18</v>
      </c>
      <c r="W18" s="50" t="n">
        <f aca="false">SUMIF($CB$4:$JS$4,W$4,$CB18:$JS18)</f>
        <v>53252.58</v>
      </c>
      <c r="X18" s="50" t="n">
        <f aca="false">SUMIF($CB$4:$JS$4,X$4,$CB18:$JS18)</f>
        <v>0</v>
      </c>
      <c r="Y18" s="50" t="n">
        <f aca="false">SUMIF($CB$4:$JS$4,Y$4,$CB18:$JS18)</f>
        <v>58007.08</v>
      </c>
      <c r="Z18" s="50" t="n">
        <f aca="false">SUMIF($CB$4:$JS$4,Z$4,$CB18:$JS18)</f>
        <v>0</v>
      </c>
      <c r="AA18" s="50" t="n">
        <f aca="false">SUMIF($CB$4:$JS$4,AA$4,$CB18:$JS18)</f>
        <v>0</v>
      </c>
      <c r="AB18" s="50" t="n">
        <f aca="false">SUMIF($CB$4:$JS$4,AB$4,$CB18:$JS18)</f>
        <v>0</v>
      </c>
      <c r="AC18" s="50" t="n">
        <f aca="false">SUMIF($CB$4:$JS$4,AC$4,$CB18:$JS18)</f>
        <v>0</v>
      </c>
      <c r="AD18" s="50" t="n">
        <f aca="false">SUMIF($CB$4:$JS$4,AD$4,$CB18:$JS18)</f>
        <v>0</v>
      </c>
      <c r="AE18" s="50" t="n">
        <f aca="false">SUMIF($CB$4:$JS$4,AE$4,$CB18:$JS18)</f>
        <v>2100</v>
      </c>
      <c r="AF18" s="50" t="n">
        <f aca="false">SUMIF($CB$4:$JS$4,AF$4,$CB18:$JS18)</f>
        <v>1023.88</v>
      </c>
      <c r="AG18" s="50" t="n">
        <f aca="false">SUMIF($CB$4:$JS$4,AG$4,$CB18:$JS18)</f>
        <v>0</v>
      </c>
      <c r="AH18" s="50" t="n">
        <f aca="false">SUMIF($CB$4:$JS$4,AH$4,$CB18:$JS18)</f>
        <v>0</v>
      </c>
      <c r="AI18" s="50" t="n">
        <f aca="false">SUMIF($CB$4:$JS$4,AI$4,$CB18:$JS18)</f>
        <v>0</v>
      </c>
      <c r="AJ18" s="50" t="n">
        <f aca="false">SUMIF($CB$4:$JS$4,AJ$4,$CB18:$JS18)</f>
        <v>0</v>
      </c>
      <c r="AK18" s="50" t="n">
        <f aca="false">SUMIF($CB$4:$JS$4,AK$4,$CB18:$JS18)</f>
        <v>0</v>
      </c>
      <c r="AL18" s="50" t="n">
        <f aca="false">SUMIF($CB$4:$JS$4,AL$4,$CB18:$JS18)</f>
        <v>0</v>
      </c>
      <c r="AM18" s="50" t="n">
        <f aca="false">SUMIF($CB$4:$JS$4,AM$4,$CB18:$JS18)</f>
        <v>0</v>
      </c>
      <c r="AN18" s="50" t="n">
        <f aca="false">SUMIF($CB$4:$JS$4,AN$4,$CB18:$JS18)</f>
        <v>0</v>
      </c>
      <c r="AO18" s="50" t="n">
        <f aca="false">SUMIF($CB$4:$JS$4,AO$4,$CB18:$JS18)</f>
        <v>0</v>
      </c>
      <c r="AP18" s="50" t="n">
        <f aca="false">SUMIF($CB$4:$JS$4,AP$4,$CB18:$JS18)</f>
        <v>0</v>
      </c>
      <c r="AQ18" s="50" t="n">
        <f aca="false">SUMIF($CB$4:$JS$4,AQ$4,$CB18:$JS18)</f>
        <v>0</v>
      </c>
      <c r="AR18" s="50" t="n">
        <f aca="false">SUMIF($CB$4:$JS$4,AR$4,$CB18:$JS18)</f>
        <v>0</v>
      </c>
      <c r="AS18" s="50" t="n">
        <f aca="false">SUMIF($CB$4:$JS$4,AS$4,$CB18:$JS18)</f>
        <v>0</v>
      </c>
      <c r="AT18" s="50" t="n">
        <f aca="false">SUMIF($CB$4:$JS$4,AT$4,$CB18:$JS18)</f>
        <v>0</v>
      </c>
      <c r="AU18" s="50" t="n">
        <f aca="false">SUMIF($CB$4:$JS$4,AU$4,$CB18:$JS18)</f>
        <v>0</v>
      </c>
      <c r="AV18" s="50" t="n">
        <f aca="false">SUMIF($CB$4:$JS$4,AV$4,$CB18:$JS18)</f>
        <v>0</v>
      </c>
      <c r="AW18" s="50" t="n">
        <f aca="false">SUMIF($CB$4:$JS$4,AW$4,$CB18:$JS18)</f>
        <v>0</v>
      </c>
      <c r="AX18" s="50" t="n">
        <f aca="false">SUMIF($CB$4:$JS$4,AX$4,$CB18:$JS18)</f>
        <v>0</v>
      </c>
      <c r="AY18" s="50" t="n">
        <f aca="false">SUMIF($CB$4:$JS$4,AY$4,$CB18:$JS18)</f>
        <v>0</v>
      </c>
      <c r="AZ18" s="50" t="n">
        <f aca="false">SUMIF($CB$4:$JS$4,AZ$4,$CB18:$JS18)</f>
        <v>0</v>
      </c>
      <c r="BA18" s="50" t="n">
        <f aca="false">SUMIF($CB$4:$JS$4,BA$4,$CB18:$JS18)</f>
        <v>0</v>
      </c>
      <c r="BB18" s="50" t="n">
        <f aca="false">SUMIF($CB$4:$JS$4,BB$4,$CB18:$JS18)</f>
        <v>0</v>
      </c>
      <c r="BC18" s="50" t="n">
        <f aca="false">SUMIF($CB$4:$JS$4,BC$4,$CB18:$JS18)</f>
        <v>0</v>
      </c>
      <c r="BD18" s="50" t="n">
        <f aca="false">SUMIF($CB$4:$JS$4,BD$4,$CB18:$JS18)</f>
        <v>0</v>
      </c>
      <c r="BE18" s="50" t="n">
        <f aca="false">SUMIF($CB$4:$JS$4,BE$4,$CB18:$JS18)</f>
        <v>0</v>
      </c>
      <c r="BF18" s="50" t="n">
        <f aca="false">SUMIF($CB$4:$JS$4,BF$4,$CB18:$JS18)</f>
        <v>0</v>
      </c>
      <c r="BG18" s="50" t="n">
        <f aca="false">SUMIF($CB$4:$JS$4,BG$4,$CB18:$JS18)</f>
        <v>0</v>
      </c>
      <c r="BH18" s="50" t="n">
        <f aca="false">SUMIF($CB$4:$JS$4,BH$4,$CB18:$JS18)</f>
        <v>0</v>
      </c>
      <c r="BI18" s="50" t="n">
        <f aca="false">SUMIF($CB$4:$JS$4,BI$4,$CB18:$JS18)</f>
        <v>0</v>
      </c>
      <c r="BJ18" s="50" t="n">
        <f aca="false">SUMIF($CB$4:$JS$4,BJ$4,$CB18:$JS18)</f>
        <v>0</v>
      </c>
      <c r="BK18" s="50" t="n">
        <f aca="false">SUMIF($CB$4:$JS$4,BK$4,$CB18:$JS18)</f>
        <v>0</v>
      </c>
      <c r="BL18" s="50" t="n">
        <f aca="false">SUMIF($CB$4:$JS$4,BL$4,$CB18:$JS18)</f>
        <v>0</v>
      </c>
      <c r="BM18" s="50" t="n">
        <f aca="false">SUMIF($CB$4:$JS$4,BM$4,$CB18:$JS18)</f>
        <v>0</v>
      </c>
      <c r="BN18" s="50" t="n">
        <f aca="false">SUMIF($CB$4:$JS$4,BN$4,$CB18:$JS18)</f>
        <v>0</v>
      </c>
      <c r="BO18" s="50" t="n">
        <f aca="false">SUMIF($CB$4:$JS$4,BO$4,$CB18:$JS18)</f>
        <v>0</v>
      </c>
      <c r="BP18" s="50" t="n">
        <f aca="false">SUMIF($CB$4:$JS$4,BP$4,$CB18:$JS18)</f>
        <v>0</v>
      </c>
      <c r="BQ18" s="50" t="n">
        <f aca="false">SUMIF($CB$4:$JS$4,BQ$4,$CB18:$JS18)</f>
        <v>0</v>
      </c>
      <c r="BR18" s="50" t="n">
        <f aca="false">SUMIF($CB$4:$JS$4,BR$4,$CB18:$JS18)</f>
        <v>0</v>
      </c>
      <c r="BS18" s="50" t="n">
        <f aca="false">SUMIF($CB$4:$JS$4,BS$4,$CB18:$JS18)</f>
        <v>0</v>
      </c>
      <c r="BT18" s="50" t="n">
        <f aca="false">SUMIF($CB$4:$JS$4,BT$4,$CB18:$JS18)</f>
        <v>0</v>
      </c>
      <c r="BU18" s="50" t="n">
        <f aca="false">SUMIF($CB$4:$JS$4,BU$4,$CB18:$JS18)</f>
        <v>0</v>
      </c>
      <c r="BV18" s="50" t="n">
        <f aca="false">SUMIF($CB$4:$JS$4,BV$4,$CB18:$JS18)</f>
        <v>0</v>
      </c>
      <c r="BW18" s="50" t="n">
        <f aca="false">SUMIF($CB$4:$JS$4,BW$4,$CB18:$JS18)</f>
        <v>0</v>
      </c>
      <c r="BX18" s="50" t="n">
        <f aca="false">SUMIF($CB$4:$JS$4,"&gt;"&amp;'VALOR POR PL'!$P$8,$CB18:$JS18)</f>
        <v>0</v>
      </c>
      <c r="BY18" s="50" t="n">
        <f aca="false">SUM($CB18:$JS18)</f>
        <v>999609.76</v>
      </c>
      <c r="BZ18" s="45" t="n">
        <f aca="false">SUMPRODUCT(($CB$4:$JS$4&lt;&gt;"")*($CB$4:$JS$4&lt;=$D$4),$CB18:$JS18,$CB$1:$JS$1)</f>
        <v>0</v>
      </c>
      <c r="CB18" s="133" t="n">
        <f aca="false">IF(OR(CB$4="",$B18=""),0,SUMIF('DADOS BRUTOS'!$A$3:$A$500,$B18,'DADOS BRUTOS'!B$3:B$500)+IF($C18="",0,SUMIF('DADOS BRUTOS'!$A$3:$A$500,$C18,'DADOS BRUTOS'!B$3:B$500)))</f>
        <v>0</v>
      </c>
      <c r="CC18" s="133" t="n">
        <f aca="false">IF(OR(CC$4="",$B18=""),0,SUMIF('DADOS BRUTOS'!$A$3:$A$500,$B18,'DADOS BRUTOS'!C$3:C$500)+IF($C18="",0,SUMIF('DADOS BRUTOS'!$A$3:$A$500,$C18,'DADOS BRUTOS'!C$3:C$500)))</f>
        <v>0</v>
      </c>
      <c r="CD18" s="133" t="n">
        <f aca="false">IF(OR(CD$4="",$B18=""),0,SUMIF('DADOS BRUTOS'!$A$3:$A$500,$B18,'DADOS BRUTOS'!D$3:D$500)+IF($C18="",0,SUMIF('DADOS BRUTOS'!$A$3:$A$500,$C18,'DADOS BRUTOS'!D$3:D$500)))</f>
        <v>0</v>
      </c>
      <c r="CE18" s="133" t="n">
        <f aca="false">IF(OR(CE$4="",$B18=""),0,SUMIF('DADOS BRUTOS'!$A$3:$A$500,$B18,'DADOS BRUTOS'!E$3:E$500)+IF($C18="",0,SUMIF('DADOS BRUTOS'!$A$3:$A$500,$C18,'DADOS BRUTOS'!E$3:E$500)))</f>
        <v>0</v>
      </c>
      <c r="CF18" s="133" t="n">
        <f aca="false">IF(OR(CF$4="",$B18=""),0,SUMIF('DADOS BRUTOS'!$A$3:$A$500,$B18,'DADOS BRUTOS'!F$3:F$500)+IF($C18="",0,SUMIF('DADOS BRUTOS'!$A$3:$A$500,$C18,'DADOS BRUTOS'!F$3:F$500)))</f>
        <v>0</v>
      </c>
      <c r="CG18" s="133" t="n">
        <f aca="false">IF(OR(CG$4="",$B18=""),0,SUMIF('DADOS BRUTOS'!$A$3:$A$500,$B18,'DADOS BRUTOS'!G$3:G$500)+IF($C18="",0,SUMIF('DADOS BRUTOS'!$A$3:$A$500,$C18,'DADOS BRUTOS'!G$3:G$500)))</f>
        <v>0</v>
      </c>
      <c r="CH18" s="133" t="n">
        <f aca="false">IF(OR(CH$4="",$B18=""),0,SUMIF('DADOS BRUTOS'!$A$3:$A$500,$B18,'DADOS BRUTOS'!H$3:H$500)+IF($C18="",0,SUMIF('DADOS BRUTOS'!$A$3:$A$500,$C18,'DADOS BRUTOS'!H$3:H$500)))</f>
        <v>0</v>
      </c>
      <c r="CI18" s="133" t="n">
        <f aca="false">IF(OR(CI$4="",$B18=""),0,SUMIF('DADOS BRUTOS'!$A$3:$A$500,$B18,'DADOS BRUTOS'!I$3:I$500)+IF($C18="",0,SUMIF('DADOS BRUTOS'!$A$3:$A$500,$C18,'DADOS BRUTOS'!I$3:I$500)))</f>
        <v>0</v>
      </c>
      <c r="CJ18" s="133" t="n">
        <f aca="false">IF(OR(CJ$4="",$B18=""),0,SUMIF('DADOS BRUTOS'!$A$3:$A$500,$B18,'DADOS BRUTOS'!J$3:J$500)+IF($C18="",0,SUMIF('DADOS BRUTOS'!$A$3:$A$500,$C18,'DADOS BRUTOS'!J$3:J$500)))</f>
        <v>0</v>
      </c>
      <c r="CK18" s="133" t="n">
        <f aca="false">IF(OR(CK$4="",$B18=""),0,SUMIF('DADOS BRUTOS'!$A$3:$A$500,$B18,'DADOS BRUTOS'!K$3:K$500)+IF($C18="",0,SUMIF('DADOS BRUTOS'!$A$3:$A$500,$C18,'DADOS BRUTOS'!K$3:K$500)))</f>
        <v>0</v>
      </c>
      <c r="CL18" s="133" t="n">
        <f aca="false">IF(OR(CL$4="",$B18=""),0,SUMIF('DADOS BRUTOS'!$A$3:$A$500,$B18,'DADOS BRUTOS'!L$3:L$500)+IF($C18="",0,SUMIF('DADOS BRUTOS'!$A$3:$A$500,$C18,'DADOS BRUTOS'!L$3:L$500)))</f>
        <v>0</v>
      </c>
      <c r="CM18" s="133" t="n">
        <f aca="false">IF(OR(CM$4="",$B18=""),0,SUMIF('DADOS BRUTOS'!$A$3:$A$500,$B18,'DADOS BRUTOS'!M$3:M$500)+IF($C18="",0,SUMIF('DADOS BRUTOS'!$A$3:$A$500,$C18,'DADOS BRUTOS'!M$3:M$500)))</f>
        <v>0</v>
      </c>
      <c r="CN18" s="133" t="n">
        <f aca="false">IF(OR(CN$4="",$B18=""),0,SUMIF('DADOS BRUTOS'!$A$3:$A$500,$B18,'DADOS BRUTOS'!N$3:N$500)+IF($C18="",0,SUMIF('DADOS BRUTOS'!$A$3:$A$500,$C18,'DADOS BRUTOS'!N$3:N$500)))</f>
        <v>0</v>
      </c>
      <c r="CO18" s="133" t="n">
        <f aca="false">IF(OR(CO$4="",$B18=""),0,SUMIF('DADOS BRUTOS'!$A$3:$A$500,$B18,'DADOS BRUTOS'!O$3:O$500)+IF($C18="",0,SUMIF('DADOS BRUTOS'!$A$3:$A$500,$C18,'DADOS BRUTOS'!O$3:O$500)))</f>
        <v>0</v>
      </c>
      <c r="CP18" s="133" t="n">
        <f aca="false">IF(OR(CP$4="",$B18=""),0,SUMIF('DADOS BRUTOS'!$A$3:$A$500,$B18,'DADOS BRUTOS'!P$3:P$500)+IF($C18="",0,SUMIF('DADOS BRUTOS'!$A$3:$A$500,$C18,'DADOS BRUTOS'!P$3:P$500)))</f>
        <v>0</v>
      </c>
      <c r="CQ18" s="133" t="n">
        <f aca="false">IF(OR(CQ$4="",$B18=""),0,SUMIF('DADOS BRUTOS'!$A$3:$A$500,$B18,'DADOS BRUTOS'!Q$3:Q$500)+IF($C18="",0,SUMIF('DADOS BRUTOS'!$A$3:$A$500,$C18,'DADOS BRUTOS'!Q$3:Q$500)))</f>
        <v>0</v>
      </c>
      <c r="CR18" s="133" t="n">
        <f aca="false">IF(OR(CR$4="",$B18=""),0,SUMIF('DADOS BRUTOS'!$A$3:$A$500,$B18,'DADOS BRUTOS'!R$3:R$500)+IF($C18="",0,SUMIF('DADOS BRUTOS'!$A$3:$A$500,$C18,'DADOS BRUTOS'!R$3:R$500)))</f>
        <v>0</v>
      </c>
      <c r="CS18" s="133" t="n">
        <f aca="false">IF(OR(CS$4="",$B18=""),0,SUMIF('DADOS BRUTOS'!$A$3:$A$500,$B18,'DADOS BRUTOS'!S$3:S$500)+IF($C18="",0,SUMIF('DADOS BRUTOS'!$A$3:$A$500,$C18,'DADOS BRUTOS'!S$3:S$500)))</f>
        <v>0</v>
      </c>
      <c r="CT18" s="133" t="n">
        <f aca="false">IF(OR(CT$4="",$B18=""),0,SUMIF('DADOS BRUTOS'!$A$3:$A$500,$B18,'DADOS BRUTOS'!T$3:T$500)+IF($C18="",0,SUMIF('DADOS BRUTOS'!$A$3:$A$500,$C18,'DADOS BRUTOS'!T$3:T$500)))</f>
        <v>0</v>
      </c>
      <c r="CU18" s="133" t="n">
        <f aca="false">IF(OR(CU$4="",$B18=""),0,SUMIF('DADOS BRUTOS'!$A$3:$A$500,$B18,'DADOS BRUTOS'!U$3:U$500)+IF($C18="",0,SUMIF('DADOS BRUTOS'!$A$3:$A$500,$C18,'DADOS BRUTOS'!U$3:U$500)))</f>
        <v>0</v>
      </c>
      <c r="CV18" s="133" t="n">
        <f aca="false">IF(OR(CV$4="",$B18=""),0,SUMIF('DADOS BRUTOS'!$A$3:$A$500,$B18,'DADOS BRUTOS'!V$3:V$500)+IF($C18="",0,SUMIF('DADOS BRUTOS'!$A$3:$A$500,$C18,'DADOS BRUTOS'!V$3:V$500)))</f>
        <v>0</v>
      </c>
      <c r="CW18" s="133" t="n">
        <f aca="false">IF(OR(CW$4="",$B18=""),0,SUMIF('DADOS BRUTOS'!$A$3:$A$500,$B18,'DADOS BRUTOS'!W$3:W$500)+IF($C18="",0,SUMIF('DADOS BRUTOS'!$A$3:$A$500,$C18,'DADOS BRUTOS'!W$3:W$500)))</f>
        <v>0</v>
      </c>
      <c r="CX18" s="133" t="n">
        <f aca="false">IF(OR(CX$4="",$B18=""),0,SUMIF('DADOS BRUTOS'!$A$3:$A$500,$B18,'DADOS BRUTOS'!X$3:X$500)+IF($C18="",0,SUMIF('DADOS BRUTOS'!$A$3:$A$500,$C18,'DADOS BRUTOS'!X$3:X$500)))</f>
        <v>0</v>
      </c>
      <c r="CY18" s="133" t="n">
        <f aca="false">IF(OR(CY$4="",$B18=""),0,SUMIF('DADOS BRUTOS'!$A$3:$A$500,$B18,'DADOS BRUTOS'!Y$3:Y$500)+IF($C18="",0,SUMIF('DADOS BRUTOS'!$A$3:$A$500,$C18,'DADOS BRUTOS'!Y$3:Y$500)))</f>
        <v>3866</v>
      </c>
      <c r="CZ18" s="133" t="n">
        <f aca="false">IF(OR(CZ$4="",$B18=""),0,SUMIF('DADOS BRUTOS'!$A$3:$A$500,$B18,'DADOS BRUTOS'!Z$3:Z$500)+IF($C18="",0,SUMIF('DADOS BRUTOS'!$A$3:$A$500,$C18,'DADOS BRUTOS'!Z$3:Z$500)))</f>
        <v>58166.5</v>
      </c>
      <c r="DA18" s="133" t="n">
        <f aca="false">IF(OR(DA$4="",$B18=""),0,SUMIF('DADOS BRUTOS'!$A$3:$A$500,$B18,'DADOS BRUTOS'!AA$3:AA$500)+IF($C18="",0,SUMIF('DADOS BRUTOS'!$A$3:$A$500,$C18,'DADOS BRUTOS'!AA$3:AA$500)))</f>
        <v>21398.48</v>
      </c>
      <c r="DB18" s="133" t="n">
        <f aca="false">IF(OR(DB$4="",$B18=""),0,SUMIF('DADOS BRUTOS'!$A$3:$A$500,$B18,'DADOS BRUTOS'!AB$3:AB$500)+IF($C18="",0,SUMIF('DADOS BRUTOS'!$A$3:$A$500,$C18,'DADOS BRUTOS'!AB$3:AB$500)))</f>
        <v>104829.66</v>
      </c>
      <c r="DC18" s="133" t="n">
        <f aca="false">IF(OR(DC$4="",$B18=""),0,SUMIF('DADOS BRUTOS'!$A$3:$A$500,$B18,'DADOS BRUTOS'!AC$3:AC$500)+IF($C18="",0,SUMIF('DADOS BRUTOS'!$A$3:$A$500,$C18,'DADOS BRUTOS'!AC$3:AC$500)))</f>
        <v>21701.49</v>
      </c>
      <c r="DD18" s="133" t="n">
        <f aca="false">IF(OR(DD$4="",$B18=""),0,SUMIF('DADOS BRUTOS'!$A$3:$A$500,$B18,'DADOS BRUTOS'!AD$3:AD$500)+IF($C18="",0,SUMIF('DADOS BRUTOS'!$A$3:$A$500,$C18,'DADOS BRUTOS'!AD$3:AD$500)))</f>
        <v>203306.37</v>
      </c>
      <c r="DE18" s="133" t="n">
        <f aca="false">IF(OR(DE$4="",$B18=""),0,SUMIF('DADOS BRUTOS'!$A$3:$A$500,$B18,'DADOS BRUTOS'!AE$3:AE$500)+IF($C18="",0,SUMIF('DADOS BRUTOS'!$A$3:$A$500,$C18,'DADOS BRUTOS'!AE$3:AE$500)))</f>
        <v>269416.54</v>
      </c>
      <c r="DF18" s="133" t="n">
        <f aca="false">IF(OR(DF$4="",$B18=""),0,SUMIF('DADOS BRUTOS'!$A$3:$A$500,$B18,'DADOS BRUTOS'!AF$3:AF$500)+IF($C18="",0,SUMIF('DADOS BRUTOS'!$A$3:$A$500,$C18,'DADOS BRUTOS'!AF$3:AF$500)))</f>
        <v>202541.18</v>
      </c>
      <c r="DG18" s="133" t="n">
        <f aca="false">IF(OR(DG$4="",$B18=""),0,SUMIF('DADOS BRUTOS'!$A$3:$A$500,$B18,'DADOS BRUTOS'!AG$3:AG$500)+IF($C18="",0,SUMIF('DADOS BRUTOS'!$A$3:$A$500,$C18,'DADOS BRUTOS'!AG$3:AG$500)))</f>
        <v>53252.58</v>
      </c>
      <c r="DH18" s="133" t="n">
        <f aca="false">IF(OR(DH$4="",$B18=""),0,SUMIF('DADOS BRUTOS'!$A$3:$A$500,$B18,'DADOS BRUTOS'!AH$3:AH$500)+IF($C18="",0,SUMIF('DADOS BRUTOS'!$A$3:$A$500,$C18,'DADOS BRUTOS'!AH$3:AH$500)))</f>
        <v>0</v>
      </c>
      <c r="DI18" s="133" t="n">
        <f aca="false">IF(OR(DI$4="",$B18=""),0,SUMIF('DADOS BRUTOS'!$A$3:$A$500,$B18,'DADOS BRUTOS'!AI$3:AI$500)+IF($C18="",0,SUMIF('DADOS BRUTOS'!$A$3:$A$500,$C18,'DADOS BRUTOS'!AI$3:AI$500)))</f>
        <v>58007.08</v>
      </c>
      <c r="DJ18" s="133" t="n">
        <f aca="false">IF(OR(DJ$4="",$B18=""),0,SUMIF('DADOS BRUTOS'!$A$3:$A$500,$B18,'DADOS BRUTOS'!AJ$3:AJ$500)+IF($C18="",0,SUMIF('DADOS BRUTOS'!$A$3:$A$500,$C18,'DADOS BRUTOS'!AJ$3:AJ$500)))</f>
        <v>0</v>
      </c>
      <c r="DK18" s="133" t="n">
        <f aca="false">IF(OR(DK$4="",$B18=""),0,SUMIF('DADOS BRUTOS'!$A$3:$A$500,$B18,'DADOS BRUTOS'!AK$3:AK$500)+IF($C18="",0,SUMIF('DADOS BRUTOS'!$A$3:$A$500,$C18,'DADOS BRUTOS'!AK$3:AK$500)))</f>
        <v>0</v>
      </c>
      <c r="DL18" s="133" t="n">
        <f aca="false">IF(OR(DL$4="",$B18=""),0,SUMIF('DADOS BRUTOS'!$A$3:$A$500,$B18,'DADOS BRUTOS'!AL$3:AL$500)+IF($C18="",0,SUMIF('DADOS BRUTOS'!$A$3:$A$500,$C18,'DADOS BRUTOS'!AL$3:AL$500)))</f>
        <v>0</v>
      </c>
      <c r="DM18" s="133" t="n">
        <f aca="false">IF(OR(DM$4="",$B18=""),0,SUMIF('DADOS BRUTOS'!$A$3:$A$500,$B18,'DADOS BRUTOS'!AM$3:AM$500)+IF($C18="",0,SUMIF('DADOS BRUTOS'!$A$3:$A$500,$C18,'DADOS BRUTOS'!AM$3:AM$500)))</f>
        <v>0</v>
      </c>
      <c r="DN18" s="133" t="n">
        <f aca="false">IF(OR(DN$4="",$B18=""),0,SUMIF('DADOS BRUTOS'!$A$3:$A$500,$B18,'DADOS BRUTOS'!AN$3:AN$500)+IF($C18="",0,SUMIF('DADOS BRUTOS'!$A$3:$A$500,$C18,'DADOS BRUTOS'!AN$3:AN$500)))</f>
        <v>0</v>
      </c>
      <c r="DO18" s="133" t="n">
        <f aca="false">IF(OR(DO$4="",$B18=""),0,SUMIF('DADOS BRUTOS'!$A$3:$A$500,$B18,'DADOS BRUTOS'!AO$3:AO$500)+IF($C18="",0,SUMIF('DADOS BRUTOS'!$A$3:$A$500,$C18,'DADOS BRUTOS'!AO$3:AO$500)))</f>
        <v>2100</v>
      </c>
      <c r="DP18" s="133" t="n">
        <f aca="false">IF(OR(DP$4="",$B18=""),0,SUMIF('DADOS BRUTOS'!$A$3:$A$500,$B18,'DADOS BRUTOS'!AP$3:AP$500)+IF($C18="",0,SUMIF('DADOS BRUTOS'!$A$3:$A$500,$C18,'DADOS BRUTOS'!AP$3:AP$500)))</f>
        <v>1023.88</v>
      </c>
      <c r="DQ18" s="133" t="n">
        <f aca="false">IF(OR(DQ$4="",$B18=""),0,SUMIF('DADOS BRUTOS'!$A$3:$A$500,$B18,'DADOS BRUTOS'!AQ$3:AQ$500)+IF($C18="",0,SUMIF('DADOS BRUTOS'!$A$3:$A$500,$C18,'DADOS BRUTOS'!AQ$3:AQ$500)))</f>
        <v>0</v>
      </c>
      <c r="DR18" s="133" t="n">
        <f aca="false">IF(OR(DR$4="",$B18=""),0,SUMIF('DADOS BRUTOS'!$A$3:$A$500,$B18,'DADOS BRUTOS'!AR$3:AR$500)+IF($C18="",0,SUMIF('DADOS BRUTOS'!$A$3:$A$500,$C18,'DADOS BRUTOS'!AR$3:AR$500)))</f>
        <v>0</v>
      </c>
      <c r="DS18" s="133" t="n">
        <f aca="false">IF(OR(DS$4="",$B18=""),0,SUMIF('DADOS BRUTOS'!$A$3:$A$500,$B18,'DADOS BRUTOS'!AS$3:AS$500)+IF($C18="",0,SUMIF('DADOS BRUTOS'!$A$3:$A$500,$C18,'DADOS BRUTOS'!AS$3:AS$500)))</f>
        <v>0</v>
      </c>
      <c r="DT18" s="133" t="n">
        <f aca="false">IF(OR(DT$4="",$B18=""),0,SUMIF('DADOS BRUTOS'!$A$3:$A$500,$B18,'DADOS BRUTOS'!AT$3:AT$500)+IF($C18="",0,SUMIF('DADOS BRUTOS'!$A$3:$A$500,$C18,'DADOS BRUTOS'!AT$3:AT$500)))</f>
        <v>0</v>
      </c>
      <c r="DU18" s="133" t="n">
        <f aca="false">IF(OR(DU$4="",$B18=""),0,SUMIF('DADOS BRUTOS'!$A$3:$A$500,$B18,'DADOS BRUTOS'!AU$3:AU$500)+IF($C18="",0,SUMIF('DADOS BRUTOS'!$A$3:$A$500,$C18,'DADOS BRUTOS'!AU$3:AU$500)))</f>
        <v>0</v>
      </c>
      <c r="DV18" s="133" t="n">
        <f aca="false">IF(OR(DV$4="",$B18=""),0,SUMIF('DADOS BRUTOS'!$A$3:$A$500,$B18,'DADOS BRUTOS'!AV$3:AV$500)+IF($C18="",0,SUMIF('DADOS BRUTOS'!$A$3:$A$500,$C18,'DADOS BRUTOS'!AV$3:AV$500)))</f>
        <v>0</v>
      </c>
      <c r="DW18" s="133" t="n">
        <f aca="false">IF(OR(DW$4="",$B18=""),0,SUMIF('DADOS BRUTOS'!$A$3:$A$500,$B18,'DADOS BRUTOS'!AW$3:AW$500)+IF($C18="",0,SUMIF('DADOS BRUTOS'!$A$3:$A$500,$C18,'DADOS BRUTOS'!AW$3:AW$500)))</f>
        <v>0</v>
      </c>
      <c r="DX18" s="133" t="n">
        <f aca="false">IF(OR(DX$4="",$B18=""),0,SUMIF('DADOS BRUTOS'!$A$3:$A$500,$B18,'DADOS BRUTOS'!AX$3:AX$500)+IF($C18="",0,SUMIF('DADOS BRUTOS'!$A$3:$A$500,$C18,'DADOS BRUTOS'!AX$3:AX$500)))</f>
        <v>0</v>
      </c>
      <c r="DY18" s="133" t="n">
        <f aca="false">IF(OR(DY$4="",$B18=""),0,SUMIF('DADOS BRUTOS'!$A$3:$A$500,$B18,'DADOS BRUTOS'!AY$3:AY$500)+IF($C18="",0,SUMIF('DADOS BRUTOS'!$A$3:$A$500,$C18,'DADOS BRUTOS'!AY$3:AY$500)))</f>
        <v>0</v>
      </c>
      <c r="DZ18" s="133" t="n">
        <f aca="false">IF(OR(DZ$4="",$B18=""),0,SUMIF('DADOS BRUTOS'!$A$3:$A$500,$B18,'DADOS BRUTOS'!AZ$3:AZ$500)+IF($C18="",0,SUMIF('DADOS BRUTOS'!$A$3:$A$500,$C18,'DADOS BRUTOS'!AZ$3:AZ$500)))</f>
        <v>0</v>
      </c>
      <c r="EA18" s="133" t="n">
        <f aca="false">IF(OR(EA$4="",$B18=""),0,SUMIF('DADOS BRUTOS'!$A$3:$A$500,$B18,'DADOS BRUTOS'!BA$3:BA$500)+IF($C18="",0,SUMIF('DADOS BRUTOS'!$A$3:$A$500,$C18,'DADOS BRUTOS'!BA$3:BA$500)))</f>
        <v>0</v>
      </c>
      <c r="EB18" s="133" t="n">
        <f aca="false">IF(OR(EB$4="",$B18=""),0,SUMIF('DADOS BRUTOS'!$A$3:$A$500,$B18,'DADOS BRUTOS'!BB$3:BB$500)+IF($C18="",0,SUMIF('DADOS BRUTOS'!$A$3:$A$500,$C18,'DADOS BRUTOS'!BB$3:BB$500)))</f>
        <v>0</v>
      </c>
      <c r="EC18" s="133" t="n">
        <f aca="false">IF(OR(EC$4="",$B18=""),0,SUMIF('DADOS BRUTOS'!$A$3:$A$500,$B18,'DADOS BRUTOS'!BC$3:BC$500)+IF($C18="",0,SUMIF('DADOS BRUTOS'!$A$3:$A$500,$C18,'DADOS BRUTOS'!BC$3:BC$500)))</f>
        <v>0</v>
      </c>
      <c r="ED18" s="133" t="n">
        <f aca="false">IF(OR(ED$4="",$B18=""),0,SUMIF('DADOS BRUTOS'!$A$3:$A$500,$B18,'DADOS BRUTOS'!BD$3:BD$500)+IF($C18="",0,SUMIF('DADOS BRUTOS'!$A$3:$A$500,$C18,'DADOS BRUTOS'!BD$3:BD$500)))</f>
        <v>0</v>
      </c>
      <c r="EE18" s="133" t="n">
        <f aca="false">IF(OR(EE$4="",$B18=""),0,SUMIF('DADOS BRUTOS'!$A$3:$A$500,$B18,'DADOS BRUTOS'!BE$3:BE$500)+IF($C18="",0,SUMIF('DADOS BRUTOS'!$A$3:$A$500,$C18,'DADOS BRUTOS'!BE$3:BE$500)))</f>
        <v>0</v>
      </c>
      <c r="EF18" s="133" t="n">
        <f aca="false">IF(OR(EF$4="",$B18=""),0,SUMIF('DADOS BRUTOS'!$A$3:$A$500,$B18,'DADOS BRUTOS'!BF$3:BF$500)+IF($C18="",0,SUMIF('DADOS BRUTOS'!$A$3:$A$500,$C18,'DADOS BRUTOS'!BF$3:BF$500)))</f>
        <v>0</v>
      </c>
      <c r="EG18" s="133" t="n">
        <f aca="false">IF(OR(EG$4="",$B18=""),0,SUMIF('DADOS BRUTOS'!$A$3:$A$500,$B18,'DADOS BRUTOS'!BG$3:BG$500)+IF($C18="",0,SUMIF('DADOS BRUTOS'!$A$3:$A$500,$C18,'DADOS BRUTOS'!BG$3:BG$500)))</f>
        <v>0</v>
      </c>
      <c r="EH18" s="133" t="n">
        <f aca="false">IF(OR(EH$4="",$B18=""),0,SUMIF('DADOS BRUTOS'!$A$3:$A$500,$B18,'DADOS BRUTOS'!BH$3:BH$500)+IF($C18="",0,SUMIF('DADOS BRUTOS'!$A$3:$A$500,$C18,'DADOS BRUTOS'!BH$3:BH$500)))</f>
        <v>0</v>
      </c>
      <c r="EI18" s="133" t="n">
        <f aca="false">IF(OR(EI$4="",$B18=""),0,SUMIF('DADOS BRUTOS'!$A$3:$A$500,$B18,'DADOS BRUTOS'!BI$3:BI$500)+IF($C18="",0,SUMIF('DADOS BRUTOS'!$A$3:$A$500,$C18,'DADOS BRUTOS'!BI$3:BI$500)))</f>
        <v>0</v>
      </c>
      <c r="EJ18" s="133" t="n">
        <f aca="false">IF(OR(EJ$4="",$B18=""),0,SUMIF('DADOS BRUTOS'!$A$3:$A$500,$B18,'DADOS BRUTOS'!BJ$3:BJ$500)+IF($C18="",0,SUMIF('DADOS BRUTOS'!$A$3:$A$500,$C18,'DADOS BRUTOS'!BJ$3:BJ$500)))</f>
        <v>0</v>
      </c>
      <c r="EK18" s="133" t="n">
        <f aca="false">IF(OR(EK$4="",$B18=""),0,SUMIF('DADOS BRUTOS'!$A$3:$A$500,$B18,'DADOS BRUTOS'!BK$3:BK$500)+IF($C18="",0,SUMIF('DADOS BRUTOS'!$A$3:$A$500,$C18,'DADOS BRUTOS'!BK$3:BK$500)))</f>
        <v>0</v>
      </c>
      <c r="EL18" s="133" t="n">
        <f aca="false">IF(OR(EL$4="",$B18=""),0,SUMIF('DADOS BRUTOS'!$A$3:$A$500,$B18,'DADOS BRUTOS'!BL$3:BL$500)+IF($C18="",0,SUMIF('DADOS BRUTOS'!$A$3:$A$500,$C18,'DADOS BRUTOS'!BL$3:BL$500)))</f>
        <v>0</v>
      </c>
      <c r="EM18" s="133" t="n">
        <f aca="false">IF(OR(EM$4="",$B18=""),0,SUMIF('DADOS BRUTOS'!$A$3:$A$500,$B18,'DADOS BRUTOS'!BM$3:BM$500)+IF($C18="",0,SUMIF('DADOS BRUTOS'!$A$3:$A$500,$C18,'DADOS BRUTOS'!BM$3:BM$500)))</f>
        <v>0</v>
      </c>
      <c r="EN18" s="133" t="n">
        <f aca="false">IF(OR(EN$4="",$B18=""),0,SUMIF('DADOS BRUTOS'!$A$3:$A$500,$B18,'DADOS BRUTOS'!BN$3:BN$500)+IF($C18="",0,SUMIF('DADOS BRUTOS'!$A$3:$A$500,$C18,'DADOS BRUTOS'!BN$3:BN$500)))</f>
        <v>0</v>
      </c>
      <c r="EO18" s="133" t="n">
        <f aca="false">IF(OR(EO$4="",$B18=""),0,SUMIF('DADOS BRUTOS'!$A$3:$A$500,$B18,'DADOS BRUTOS'!BO$3:BO$500)+IF($C18="",0,SUMIF('DADOS BRUTOS'!$A$3:$A$500,$C18,'DADOS BRUTOS'!BO$3:BO$500)))</f>
        <v>0</v>
      </c>
      <c r="EP18" s="133" t="n">
        <f aca="false">IF(OR(EP$4="",$B18=""),0,SUMIF('DADOS BRUTOS'!$A$3:$A$500,$B18,'DADOS BRUTOS'!BP$3:BP$500)+IF($C18="",0,SUMIF('DADOS BRUTOS'!$A$3:$A$500,$C18,'DADOS BRUTOS'!BP$3:BP$500)))</f>
        <v>0</v>
      </c>
      <c r="EQ18" s="133" t="n">
        <f aca="false">IF(OR(EQ$4="",$B18=""),0,SUMIF('DADOS BRUTOS'!$A$3:$A$500,$B18,'DADOS BRUTOS'!BQ$3:BQ$500)+IF($C18="",0,SUMIF('DADOS BRUTOS'!$A$3:$A$500,$C18,'DADOS BRUTOS'!BQ$3:BQ$500)))</f>
        <v>0</v>
      </c>
      <c r="ER18" s="133" t="n">
        <f aca="false">IF(OR(ER$4="",$B18=""),0,SUMIF('DADOS BRUTOS'!$A$3:$A$500,$B18,'DADOS BRUTOS'!BR$3:BR$500)+IF($C18="",0,SUMIF('DADOS BRUTOS'!$A$3:$A$500,$C18,'DADOS BRUTOS'!BR$3:BR$500)))</f>
        <v>0</v>
      </c>
      <c r="ES18" s="133" t="n">
        <f aca="false">IF(OR(ES$4="",$B18=""),0,SUMIF('DADOS BRUTOS'!$A$3:$A$500,$B18,'DADOS BRUTOS'!BS$3:BS$500)+IF($C18="",0,SUMIF('DADOS BRUTOS'!$A$3:$A$500,$C18,'DADOS BRUTOS'!BS$3:BS$500)))</f>
        <v>0</v>
      </c>
      <c r="ET18" s="133" t="n">
        <f aca="false">IF(OR(ET$4="",$B18=""),0,SUMIF('DADOS BRUTOS'!$A$3:$A$500,$B18,'DADOS BRUTOS'!BT$3:BT$500)+IF($C18="",0,SUMIF('DADOS BRUTOS'!$A$3:$A$500,$C18,'DADOS BRUTOS'!BT$3:BT$500)))</f>
        <v>0</v>
      </c>
      <c r="EU18" s="133" t="n">
        <f aca="false">IF(OR(EU$4="",$B18=""),0,SUMIF('DADOS BRUTOS'!$A$3:$A$500,$B18,'DADOS BRUTOS'!BU$3:BU$500)+IF($C18="",0,SUMIF('DADOS BRUTOS'!$A$3:$A$500,$C18,'DADOS BRUTOS'!BU$3:BU$500)))</f>
        <v>0</v>
      </c>
      <c r="EV18" s="133" t="n">
        <f aca="false">IF(OR(EV$4="",$B18=""),0,SUMIF('DADOS BRUTOS'!$A$3:$A$500,$B18,'DADOS BRUTOS'!BV$3:BV$500)+IF($C18="",0,SUMIF('DADOS BRUTOS'!$A$3:$A$500,$C18,'DADOS BRUTOS'!BV$3:BV$500)))</f>
        <v>0</v>
      </c>
      <c r="EW18" s="133" t="n">
        <f aca="false">IF(OR(EW$4="",$B18=""),0,SUMIF('DADOS BRUTOS'!$A$3:$A$500,$B18,'DADOS BRUTOS'!BW$3:BW$500)+IF($C18="",0,SUMIF('DADOS BRUTOS'!$A$3:$A$500,$C18,'DADOS BRUTOS'!BW$3:BW$500)))</f>
        <v>0</v>
      </c>
      <c r="EX18" s="133" t="n">
        <f aca="false">IF(OR(EX$4="",$B18=""),0,SUMIF('DADOS BRUTOS'!$A$3:$A$500,$B18,'DADOS BRUTOS'!BX$3:BX$500)+IF($C18="",0,SUMIF('DADOS BRUTOS'!$A$3:$A$500,$C18,'DADOS BRUTOS'!BX$3:BX$500)))</f>
        <v>0</v>
      </c>
      <c r="EY18" s="133" t="n">
        <f aca="false">IF(OR(EY$4="",$B18=""),0,SUMIF('DADOS BRUTOS'!$A$3:$A$500,$B18,'DADOS BRUTOS'!BY$3:BY$500)+IF($C18="",0,SUMIF('DADOS BRUTOS'!$A$3:$A$500,$C18,'DADOS BRUTOS'!BY$3:BY$500)))</f>
        <v>0</v>
      </c>
      <c r="EZ18" s="133" t="n">
        <f aca="false">IF(OR(EZ$4="",$B18=""),0,SUMIF('DADOS BRUTOS'!$A$3:$A$500,$B18,'DADOS BRUTOS'!BZ$3:BZ$500)+IF($C18="",0,SUMIF('DADOS BRUTOS'!$A$3:$A$500,$C18,'DADOS BRUTOS'!BZ$3:BZ$500)))</f>
        <v>0</v>
      </c>
      <c r="FA18" s="133" t="n">
        <f aca="false">IF(OR(FA$4="",$B18=""),0,SUMIF('DADOS BRUTOS'!$A$3:$A$500,$B18,'DADOS BRUTOS'!CA$3:CA$500)+IF($C18="",0,SUMIF('DADOS BRUTOS'!$A$3:$A$500,$C18,'DADOS BRUTOS'!CA$3:CA$500)))</f>
        <v>0</v>
      </c>
      <c r="FB18" s="133" t="n">
        <f aca="false">IF(OR(FB$4="",$B18=""),0,SUMIF('DADOS BRUTOS'!$A$3:$A$500,$B18,'DADOS BRUTOS'!CB$3:CB$500)+IF($C18="",0,SUMIF('DADOS BRUTOS'!$A$3:$A$500,$C18,'DADOS BRUTOS'!CB$3:CB$500)))</f>
        <v>0</v>
      </c>
      <c r="FC18" s="133" t="n">
        <f aca="false">IF(OR(FC$4="",$B18=""),0,SUMIF('DADOS BRUTOS'!$A$3:$A$500,$B18,'DADOS BRUTOS'!CC$3:CC$500)+IF($C18="",0,SUMIF('DADOS BRUTOS'!$A$3:$A$500,$C18,'DADOS BRUTOS'!CC$3:CC$500)))</f>
        <v>0</v>
      </c>
      <c r="FD18" s="133" t="n">
        <f aca="false">IF(OR(FD$4="",$B18=""),0,SUMIF('DADOS BRUTOS'!$A$3:$A$500,$B18,'DADOS BRUTOS'!CD$3:CD$500)+IF($C18="",0,SUMIF('DADOS BRUTOS'!$A$3:$A$500,$C18,'DADOS BRUTOS'!CD$3:CD$500)))</f>
        <v>0</v>
      </c>
      <c r="FE18" s="133" t="n">
        <f aca="false">IF(OR(FE$4="",$B18=""),0,SUMIF('DADOS BRUTOS'!$A$3:$A$500,$B18,'DADOS BRUTOS'!CE$3:CE$500)+IF($C18="",0,SUMIF('DADOS BRUTOS'!$A$3:$A$500,$C18,'DADOS BRUTOS'!CE$3:CE$500)))</f>
        <v>0</v>
      </c>
      <c r="FF18" s="133" t="n">
        <f aca="false">IF(OR(FF$4="",$B18=""),0,SUMIF('DADOS BRUTOS'!$A$3:$A$500,$B18,'DADOS BRUTOS'!CF$3:CF$500)+IF($C18="",0,SUMIF('DADOS BRUTOS'!$A$3:$A$500,$C18,'DADOS BRUTOS'!CF$3:CF$500)))</f>
        <v>0</v>
      </c>
      <c r="FG18" s="133" t="n">
        <f aca="false">IF(OR(FG$4="",$B18=""),0,SUMIF('DADOS BRUTOS'!$A$3:$A$500,$B18,'DADOS BRUTOS'!CG$3:CG$500)+IF($C18="",0,SUMIF('DADOS BRUTOS'!$A$3:$A$500,$C18,'DADOS BRUTOS'!CG$3:CG$500)))</f>
        <v>0</v>
      </c>
      <c r="FH18" s="133" t="n">
        <f aca="false">IF(OR(FH$4="",$B18=""),0,SUMIF('DADOS BRUTOS'!$A$3:$A$500,$B18,'DADOS BRUTOS'!CH$3:CH$500)+IF($C18="",0,SUMIF('DADOS BRUTOS'!$A$3:$A$500,$C18,'DADOS BRUTOS'!CH$3:CH$500)))</f>
        <v>0</v>
      </c>
      <c r="FI18" s="133" t="n">
        <f aca="false">IF(OR(FI$4="",$B18=""),0,SUMIF('DADOS BRUTOS'!$A$3:$A$500,$B18,'DADOS BRUTOS'!CI$3:CI$500)+IF($C18="",0,SUMIF('DADOS BRUTOS'!$A$3:$A$500,$C18,'DADOS BRUTOS'!CI$3:CI$500)))</f>
        <v>0</v>
      </c>
      <c r="FJ18" s="133" t="n">
        <f aca="false">IF(OR(FJ$4="",$B18=""),0,SUMIF('DADOS BRUTOS'!$A$3:$A$500,$B18,'DADOS BRUTOS'!CJ$3:CJ$500)+IF($C18="",0,SUMIF('DADOS BRUTOS'!$A$3:$A$500,$C18,'DADOS BRUTOS'!CJ$3:CJ$500)))</f>
        <v>0</v>
      </c>
      <c r="FK18" s="133" t="n">
        <f aca="false">IF(OR(FK$4="",$B18=""),0,SUMIF('DADOS BRUTOS'!$A$3:$A$500,$B18,'DADOS BRUTOS'!CK$3:CK$500)+IF($C18="",0,SUMIF('DADOS BRUTOS'!$A$3:$A$500,$C18,'DADOS BRUTOS'!CK$3:CK$500)))</f>
        <v>0</v>
      </c>
      <c r="FL18" s="133" t="n">
        <f aca="false">IF(OR(FL$4="",$B18=""),0,SUMIF('DADOS BRUTOS'!$A$3:$A$500,$B18,'DADOS BRUTOS'!CL$3:CL$500)+IF($C18="",0,SUMIF('DADOS BRUTOS'!$A$3:$A$500,$C18,'DADOS BRUTOS'!CL$3:CL$500)))</f>
        <v>0</v>
      </c>
      <c r="FM18" s="133" t="n">
        <f aca="false">IF(OR(FM$4="",$B18=""),0,SUMIF('DADOS BRUTOS'!$A$3:$A$500,$B18,'DADOS BRUTOS'!CM$3:CM$500)+IF($C18="",0,SUMIF('DADOS BRUTOS'!$A$3:$A$500,$C18,'DADOS BRUTOS'!CM$3:CM$500)))</f>
        <v>0</v>
      </c>
      <c r="FN18" s="133" t="n">
        <f aca="false">IF(OR(FN$4="",$B18=""),0,SUMIF('DADOS BRUTOS'!$A$3:$A$500,$B18,'DADOS BRUTOS'!CN$3:CN$500)+IF($C18="",0,SUMIF('DADOS BRUTOS'!$A$3:$A$500,$C18,'DADOS BRUTOS'!CN$3:CN$500)))</f>
        <v>0</v>
      </c>
      <c r="FO18" s="133" t="n">
        <f aca="false">IF(OR(FO$4="",$B18=""),0,SUMIF('DADOS BRUTOS'!$A$3:$A$500,$B18,'DADOS BRUTOS'!CO$3:CO$500)+IF($C18="",0,SUMIF('DADOS BRUTOS'!$A$3:$A$500,$C18,'DADOS BRUTOS'!CO$3:CO$500)))</f>
        <v>0</v>
      </c>
      <c r="FP18" s="133" t="n">
        <f aca="false">IF(OR(FP$4="",$B18=""),0,SUMIF('DADOS BRUTOS'!$A$3:$A$500,$B18,'DADOS BRUTOS'!CP$3:CP$500)+IF($C18="",0,SUMIF('DADOS BRUTOS'!$A$3:$A$500,$C18,'DADOS BRUTOS'!CP$3:CP$500)))</f>
        <v>0</v>
      </c>
      <c r="FQ18" s="133" t="n">
        <f aca="false">IF(OR(FQ$4="",$B18=""),0,SUMIF('DADOS BRUTOS'!$A$3:$A$500,$B18,'DADOS BRUTOS'!CQ$3:CQ$500)+IF($C18="",0,SUMIF('DADOS BRUTOS'!$A$3:$A$500,$C18,'DADOS BRUTOS'!CQ$3:CQ$500)))</f>
        <v>0</v>
      </c>
      <c r="FR18" s="133" t="n">
        <f aca="false">IF(OR(FR$4="",$B18=""),0,SUMIF('DADOS BRUTOS'!$A$3:$A$500,$B18,'DADOS BRUTOS'!CR$3:CR$500)+IF($C18="",0,SUMIF('DADOS BRUTOS'!$A$3:$A$500,$C18,'DADOS BRUTOS'!CR$3:CR$500)))</f>
        <v>0</v>
      </c>
      <c r="FS18" s="133" t="n">
        <f aca="false">IF(OR(FS$4="",$B18=""),0,SUMIF('DADOS BRUTOS'!$A$3:$A$500,$B18,'DADOS BRUTOS'!CS$3:CS$500)+IF($C18="",0,SUMIF('DADOS BRUTOS'!$A$3:$A$500,$C18,'DADOS BRUTOS'!CS$3:CS$500)))</f>
        <v>0</v>
      </c>
      <c r="FT18" s="133" t="n">
        <f aca="false">IF(OR(FT$4="",$B18=""),0,SUMIF('DADOS BRUTOS'!$A$3:$A$500,$B18,'DADOS BRUTOS'!CT$3:CT$500)+IF($C18="",0,SUMIF('DADOS BRUTOS'!$A$3:$A$500,$C18,'DADOS BRUTOS'!CT$3:CT$500)))</f>
        <v>0</v>
      </c>
      <c r="FU18" s="133" t="n">
        <f aca="false">IF(OR(FU$4="",$B18=""),0,SUMIF('DADOS BRUTOS'!$A$3:$A$500,$B18,'DADOS BRUTOS'!CU$3:CU$500)+IF($C18="",0,SUMIF('DADOS BRUTOS'!$A$3:$A$500,$C18,'DADOS BRUTOS'!CU$3:CU$500)))</f>
        <v>0</v>
      </c>
      <c r="FV18" s="133" t="n">
        <f aca="false">IF(OR(FV$4="",$B18=""),0,SUMIF('DADOS BRUTOS'!$A$3:$A$500,$B18,'DADOS BRUTOS'!CV$3:CV$500)+IF($C18="",0,SUMIF('DADOS BRUTOS'!$A$3:$A$500,$C18,'DADOS BRUTOS'!CV$3:CV$500)))</f>
        <v>0</v>
      </c>
      <c r="FW18" s="133" t="n">
        <f aca="false">IF(OR(FW$4="",$B18=""),0,SUMIF('DADOS BRUTOS'!$A$3:$A$500,$B18,'DADOS BRUTOS'!CW$3:CW$500)+IF($C18="",0,SUMIF('DADOS BRUTOS'!$A$3:$A$500,$C18,'DADOS BRUTOS'!CW$3:CW$500)))</f>
        <v>0</v>
      </c>
      <c r="FX18" s="133" t="n">
        <f aca="false">IF(OR(FX$4="",$B18=""),0,SUMIF('DADOS BRUTOS'!$A$3:$A$500,$B18,'DADOS BRUTOS'!CX$3:CX$500)+IF($C18="",0,SUMIF('DADOS BRUTOS'!$A$3:$A$500,$C18,'DADOS BRUTOS'!CX$3:CX$500)))</f>
        <v>0</v>
      </c>
      <c r="FY18" s="133" t="n">
        <f aca="false">IF(OR(FY$4="",$B18=""),0,SUMIF('DADOS BRUTOS'!$A$3:$A$500,$B18,'DADOS BRUTOS'!CY$3:CY$500)+IF($C18="",0,SUMIF('DADOS BRUTOS'!$A$3:$A$500,$C18,'DADOS BRUTOS'!CY$3:CY$500)))</f>
        <v>0</v>
      </c>
      <c r="FZ18" s="133" t="n">
        <f aca="false">IF(OR(FZ$4="",$B18=""),0,SUMIF('DADOS BRUTOS'!$A$3:$A$500,$B18,'DADOS BRUTOS'!CZ$3:CZ$500)+IF($C18="",0,SUMIF('DADOS BRUTOS'!$A$3:$A$500,$C18,'DADOS BRUTOS'!CZ$3:CZ$500)))</f>
        <v>0</v>
      </c>
      <c r="GA18" s="133" t="n">
        <f aca="false">IF(OR(GA$4="",$B18=""),0,SUMIF('DADOS BRUTOS'!$A$3:$A$500,$B18,'DADOS BRUTOS'!DA$3:DA$500)+IF($C18="",0,SUMIF('DADOS BRUTOS'!$A$3:$A$500,$C18,'DADOS BRUTOS'!DA$3:DA$500)))</f>
        <v>0</v>
      </c>
      <c r="GB18" s="133" t="n">
        <f aca="false">IF(OR(GB$4="",$B18=""),0,SUMIF('DADOS BRUTOS'!$A$3:$A$500,$B18,'DADOS BRUTOS'!DB$3:DB$500)+IF($C18="",0,SUMIF('DADOS BRUTOS'!$A$3:$A$500,$C18,'DADOS BRUTOS'!DB$3:DB$500)))</f>
        <v>0</v>
      </c>
      <c r="GC18" s="133" t="n">
        <f aca="false">IF(OR(GC$4="",$B18=""),0,SUMIF('DADOS BRUTOS'!$A$3:$A$500,$B18,'DADOS BRUTOS'!DC$3:DC$500)+IF($C18="",0,SUMIF('DADOS BRUTOS'!$A$3:$A$500,$C18,'DADOS BRUTOS'!DC$3:DC$500)))</f>
        <v>0</v>
      </c>
      <c r="GD18" s="133" t="n">
        <f aca="false">IF(OR(GD$4="",$B18=""),0,SUMIF('DADOS BRUTOS'!$A$3:$A$500,$B18,'DADOS BRUTOS'!DD$3:DD$500)+IF($C18="",0,SUMIF('DADOS BRUTOS'!$A$3:$A$500,$C18,'DADOS BRUTOS'!DD$3:DD$500)))</f>
        <v>0</v>
      </c>
      <c r="GE18" s="133" t="n">
        <f aca="false">IF(OR(GE$4="",$B18=""),0,SUMIF('DADOS BRUTOS'!$A$3:$A$500,$B18,'DADOS BRUTOS'!DE$3:DE$500)+IF($C18="",0,SUMIF('DADOS BRUTOS'!$A$3:$A$500,$C18,'DADOS BRUTOS'!DE$3:DE$500)))</f>
        <v>0</v>
      </c>
      <c r="GF18" s="133" t="n">
        <f aca="false">IF(OR(GF$4="",$B18=""),0,SUMIF('DADOS BRUTOS'!$A$3:$A$500,$B18,'DADOS BRUTOS'!DF$3:DF$500)+IF($C18="",0,SUMIF('DADOS BRUTOS'!$A$3:$A$500,$C18,'DADOS BRUTOS'!DF$3:DF$500)))</f>
        <v>0</v>
      </c>
      <c r="GG18" s="133" t="n">
        <f aca="false">IF(OR(GG$4="",$B18=""),0,SUMIF('DADOS BRUTOS'!$A$3:$A$500,$B18,'DADOS BRUTOS'!DG$3:DG$500)+IF($C18="",0,SUMIF('DADOS BRUTOS'!$A$3:$A$500,$C18,'DADOS BRUTOS'!DG$3:DG$500)))</f>
        <v>0</v>
      </c>
      <c r="GH18" s="133" t="n">
        <f aca="false">IF(OR(GH$4="",$B18=""),0,SUMIF('DADOS BRUTOS'!$A$3:$A$500,$B18,'DADOS BRUTOS'!DH$3:DH$500)+IF($C18="",0,SUMIF('DADOS BRUTOS'!$A$3:$A$500,$C18,'DADOS BRUTOS'!DH$3:DH$500)))</f>
        <v>0</v>
      </c>
      <c r="GI18" s="133" t="n">
        <f aca="false">IF(OR(GI$4="",$B18=""),0,SUMIF('DADOS BRUTOS'!$A$3:$A$500,$B18,'DADOS BRUTOS'!DI$3:DI$500)+IF($C18="",0,SUMIF('DADOS BRUTOS'!$A$3:$A$500,$C18,'DADOS BRUTOS'!DI$3:DI$500)))</f>
        <v>0</v>
      </c>
      <c r="GJ18" s="133" t="n">
        <f aca="false">IF(OR(GJ$4="",$B18=""),0,SUMIF('DADOS BRUTOS'!$A$3:$A$500,$B18,'DADOS BRUTOS'!DJ$3:DJ$500)+IF($C18="",0,SUMIF('DADOS BRUTOS'!$A$3:$A$500,$C18,'DADOS BRUTOS'!DJ$3:DJ$500)))</f>
        <v>0</v>
      </c>
      <c r="GK18" s="133" t="n">
        <f aca="false">IF(OR(GK$4="",$B18=""),0,SUMIF('DADOS BRUTOS'!$A$3:$A$500,$B18,'DADOS BRUTOS'!DK$3:DK$500)+IF($C18="",0,SUMIF('DADOS BRUTOS'!$A$3:$A$500,$C18,'DADOS BRUTOS'!DK$3:DK$500)))</f>
        <v>0</v>
      </c>
      <c r="GL18" s="133" t="n">
        <f aca="false">IF(OR(GL$4="",$B18=""),0,SUMIF('DADOS BRUTOS'!$A$3:$A$500,$B18,'DADOS BRUTOS'!DL$3:DL$500)+IF($C18="",0,SUMIF('DADOS BRUTOS'!$A$3:$A$500,$C18,'DADOS BRUTOS'!DL$3:DL$500)))</f>
        <v>0</v>
      </c>
      <c r="GM18" s="133" t="n">
        <f aca="false">IF(OR(GM$4="",$B18=""),0,SUMIF('DADOS BRUTOS'!$A$3:$A$500,$B18,'DADOS BRUTOS'!DM$3:DM$500)+IF($C18="",0,SUMIF('DADOS BRUTOS'!$A$3:$A$500,$C18,'DADOS BRUTOS'!DM$3:DM$500)))</f>
        <v>0</v>
      </c>
      <c r="GN18" s="133" t="n">
        <f aca="false">IF(OR(GN$4="",$B18=""),0,SUMIF('DADOS BRUTOS'!$A$3:$A$500,$B18,'DADOS BRUTOS'!DN$3:DN$500)+IF($C18="",0,SUMIF('DADOS BRUTOS'!$A$3:$A$500,$C18,'DADOS BRUTOS'!DN$3:DN$500)))</f>
        <v>0</v>
      </c>
      <c r="GO18" s="133" t="n">
        <f aca="false">IF(OR(GO$4="",$B18=""),0,SUMIF('DADOS BRUTOS'!$A$3:$A$500,$B18,'DADOS BRUTOS'!DO$3:DO$500)+IF($C18="",0,SUMIF('DADOS BRUTOS'!$A$3:$A$500,$C18,'DADOS BRUTOS'!DO$3:DO$500)))</f>
        <v>0</v>
      </c>
      <c r="GP18" s="133" t="n">
        <f aca="false">IF(OR(GP$4="",$B18=""),0,SUMIF('DADOS BRUTOS'!$A$3:$A$500,$B18,'DADOS BRUTOS'!DP$3:DP$500)+IF($C18="",0,SUMIF('DADOS BRUTOS'!$A$3:$A$500,$C18,'DADOS BRUTOS'!DP$3:DP$500)))</f>
        <v>0</v>
      </c>
      <c r="GQ18" s="133" t="n">
        <f aca="false">IF(OR(GQ$4="",$B18=""),0,SUMIF('DADOS BRUTOS'!$A$3:$A$500,$B18,'DADOS BRUTOS'!DQ$3:DQ$500)+IF($C18="",0,SUMIF('DADOS BRUTOS'!$A$3:$A$500,$C18,'DADOS BRUTOS'!DQ$3:DQ$500)))</f>
        <v>0</v>
      </c>
      <c r="GR18" s="133" t="n">
        <f aca="false">IF(OR(GR$4="",$B18=""),0,SUMIF('DADOS BRUTOS'!$A$3:$A$500,$B18,'DADOS BRUTOS'!DR$3:DR$500)+IF($C18="",0,SUMIF('DADOS BRUTOS'!$A$3:$A$500,$C18,'DADOS BRUTOS'!DR$3:DR$500)))</f>
        <v>0</v>
      </c>
      <c r="GS18" s="133" t="n">
        <f aca="false">IF(OR(GS$4="",$B18=""),0,SUMIF('DADOS BRUTOS'!$A$3:$A$500,$B18,'DADOS BRUTOS'!DS$3:DS$500)+IF($C18="",0,SUMIF('DADOS BRUTOS'!$A$3:$A$500,$C18,'DADOS BRUTOS'!DS$3:DS$500)))</f>
        <v>0</v>
      </c>
      <c r="GT18" s="133" t="n">
        <f aca="false">IF(OR(GT$4="",$B18=""),0,SUMIF('DADOS BRUTOS'!$A$3:$A$500,$B18,'DADOS BRUTOS'!DT$3:DT$500)+IF($C18="",0,SUMIF('DADOS BRUTOS'!$A$3:$A$500,$C18,'DADOS BRUTOS'!DT$3:DT$500)))</f>
        <v>0</v>
      </c>
      <c r="GU18" s="133" t="n">
        <f aca="false">IF(OR(GU$4="",$B18=""),0,SUMIF('DADOS BRUTOS'!$A$3:$A$500,$B18,'DADOS BRUTOS'!DU$3:DU$500)+IF($C18="",0,SUMIF('DADOS BRUTOS'!$A$3:$A$500,$C18,'DADOS BRUTOS'!DU$3:DU$500)))</f>
        <v>0</v>
      </c>
      <c r="GV18" s="133" t="n">
        <f aca="false">IF(OR(GV$4="",$B18=""),0,SUMIF('DADOS BRUTOS'!$A$3:$A$500,$B18,'DADOS BRUTOS'!DV$3:DV$500)+IF($C18="",0,SUMIF('DADOS BRUTOS'!$A$3:$A$500,$C18,'DADOS BRUTOS'!DV$3:DV$500)))</f>
        <v>0</v>
      </c>
      <c r="GW18" s="133" t="n">
        <f aca="false">IF(OR(GW$4="",$B18=""),0,SUMIF('DADOS BRUTOS'!$A$3:$A$500,$B18,'DADOS BRUTOS'!DW$3:DW$500)+IF($C18="",0,SUMIF('DADOS BRUTOS'!$A$3:$A$500,$C18,'DADOS BRUTOS'!DW$3:DW$500)))</f>
        <v>0</v>
      </c>
      <c r="GX18" s="133" t="n">
        <f aca="false">IF(OR(GX$4="",$B18=""),0,SUMIF('DADOS BRUTOS'!$A$3:$A$500,$B18,'DADOS BRUTOS'!DX$3:DX$500)+IF($C18="",0,SUMIF('DADOS BRUTOS'!$A$3:$A$500,$C18,'DADOS BRUTOS'!DX$3:DX$500)))</f>
        <v>0</v>
      </c>
      <c r="GY18" s="133" t="n">
        <f aca="false">IF(OR(GY$4="",$B18=""),0,SUMIF('DADOS BRUTOS'!$A$3:$A$500,$B18,'DADOS BRUTOS'!DY$3:DY$500)+IF($C18="",0,SUMIF('DADOS BRUTOS'!$A$3:$A$500,$C18,'DADOS BRUTOS'!DY$3:DY$500)))</f>
        <v>0</v>
      </c>
      <c r="GZ18" s="133" t="n">
        <f aca="false">IF(OR(GZ$4="",$B18=""),0,SUMIF('DADOS BRUTOS'!$A$3:$A$500,$B18,'DADOS BRUTOS'!DZ$3:DZ$500)+IF($C18="",0,SUMIF('DADOS BRUTOS'!$A$3:$A$500,$C18,'DADOS BRUTOS'!DZ$3:DZ$500)))</f>
        <v>0</v>
      </c>
      <c r="HA18" s="133" t="n">
        <f aca="false">IF(OR(HA$4="",$B18=""),0,SUMIF('DADOS BRUTOS'!$A$3:$A$500,$B18,'DADOS BRUTOS'!EA$3:EA$500)+IF($C18="",0,SUMIF('DADOS BRUTOS'!$A$3:$A$500,$C18,'DADOS BRUTOS'!EA$3:EA$500)))</f>
        <v>0</v>
      </c>
      <c r="HB18" s="133" t="n">
        <f aca="false">IF(OR(HB$4="",$B18=""),0,SUMIF('DADOS BRUTOS'!$A$3:$A$500,$B18,'DADOS BRUTOS'!EB$3:EB$500)+IF($C18="",0,SUMIF('DADOS BRUTOS'!$A$3:$A$500,$C18,'DADOS BRUTOS'!EB$3:EB$500)))</f>
        <v>0</v>
      </c>
      <c r="HC18" s="133" t="n">
        <f aca="false">IF(OR(HC$4="",$B18=""),0,SUMIF('DADOS BRUTOS'!$A$3:$A$500,$B18,'DADOS BRUTOS'!EC$3:EC$500)+IF($C18="",0,SUMIF('DADOS BRUTOS'!$A$3:$A$500,$C18,'DADOS BRUTOS'!EC$3:EC$500)))</f>
        <v>0</v>
      </c>
      <c r="HD18" s="133" t="n">
        <f aca="false">IF(OR(HD$4="",$B18=""),0,SUMIF('DADOS BRUTOS'!$A$3:$A$500,$B18,'DADOS BRUTOS'!ED$3:ED$500)+IF($C18="",0,SUMIF('DADOS BRUTOS'!$A$3:$A$500,$C18,'DADOS BRUTOS'!ED$3:ED$500)))</f>
        <v>0</v>
      </c>
      <c r="HE18" s="133" t="n">
        <f aca="false">IF(OR(HE$4="",$B18=""),0,SUMIF('DADOS BRUTOS'!$A$3:$A$500,$B18,'DADOS BRUTOS'!EE$3:EE$500)+IF($C18="",0,SUMIF('DADOS BRUTOS'!$A$3:$A$500,$C18,'DADOS BRUTOS'!EE$3:EE$500)))</f>
        <v>0</v>
      </c>
      <c r="HF18" s="133" t="n">
        <f aca="false">IF(OR(HF$4="",$B18=""),0,SUMIF('DADOS BRUTOS'!$A$3:$A$500,$B18,'DADOS BRUTOS'!EF$3:EF$500)+IF($C18="",0,SUMIF('DADOS BRUTOS'!$A$3:$A$500,$C18,'DADOS BRUTOS'!EF$3:EF$500)))</f>
        <v>0</v>
      </c>
      <c r="HG18" s="133" t="n">
        <f aca="false">IF(OR(HG$4="",$B18=""),0,SUMIF('DADOS BRUTOS'!$A$3:$A$500,$B18,'DADOS BRUTOS'!EG$3:EG$500)+IF($C18="",0,SUMIF('DADOS BRUTOS'!$A$3:$A$500,$C18,'DADOS BRUTOS'!EG$3:EG$500)))</f>
        <v>0</v>
      </c>
      <c r="HH18" s="133" t="n">
        <f aca="false">IF(OR(HH$4="",$B18=""),0,SUMIF('DADOS BRUTOS'!$A$3:$A$500,$B18,'DADOS BRUTOS'!EH$3:EH$500)+IF($C18="",0,SUMIF('DADOS BRUTOS'!$A$3:$A$500,$C18,'DADOS BRUTOS'!EH$3:EH$500)))</f>
        <v>0</v>
      </c>
      <c r="HI18" s="133" t="n">
        <f aca="false">IF(OR(HI$4="",$B18=""),0,SUMIF('DADOS BRUTOS'!$A$3:$A$500,$B18,'DADOS BRUTOS'!EI$3:EI$500)+IF($C18="",0,SUMIF('DADOS BRUTOS'!$A$3:$A$500,$C18,'DADOS BRUTOS'!EI$3:EI$500)))</f>
        <v>0</v>
      </c>
      <c r="HJ18" s="133" t="n">
        <f aca="false">IF(OR(HJ$4="",$B18=""),0,SUMIF('DADOS BRUTOS'!$A$3:$A$500,$B18,'DADOS BRUTOS'!EJ$3:EJ$500)+IF($C18="",0,SUMIF('DADOS BRUTOS'!$A$3:$A$500,$C18,'DADOS BRUTOS'!EJ$3:EJ$500)))</f>
        <v>0</v>
      </c>
      <c r="HK18" s="133" t="n">
        <f aca="false">IF(OR(HK$4="",$B18=""),0,SUMIF('DADOS BRUTOS'!$A$3:$A$500,$B18,'DADOS BRUTOS'!EK$3:EK$500)+IF($C18="",0,SUMIF('DADOS BRUTOS'!$A$3:$A$500,$C18,'DADOS BRUTOS'!EK$3:EK$500)))</f>
        <v>0</v>
      </c>
      <c r="HL18" s="133" t="n">
        <f aca="false">IF(OR(HL$4="",$B18=""),0,SUMIF('DADOS BRUTOS'!$A$3:$A$500,$B18,'DADOS BRUTOS'!EL$3:EL$500)+IF($C18="",0,SUMIF('DADOS BRUTOS'!$A$3:$A$500,$C18,'DADOS BRUTOS'!EL$3:EL$500)))</f>
        <v>0</v>
      </c>
      <c r="HM18" s="133" t="n">
        <f aca="false">IF(OR(HM$4="",$B18=""),0,SUMIF('DADOS BRUTOS'!$A$3:$A$500,$B18,'DADOS BRUTOS'!EM$3:EM$500)+IF($C18="",0,SUMIF('DADOS BRUTOS'!$A$3:$A$500,$C18,'DADOS BRUTOS'!EM$3:EM$500)))</f>
        <v>0</v>
      </c>
      <c r="HN18" s="133" t="n">
        <f aca="false">IF(OR(HN$4="",$B18=""),0,SUMIF('DADOS BRUTOS'!$A$3:$A$500,$B18,'DADOS BRUTOS'!EN$3:EN$500)+IF($C18="",0,SUMIF('DADOS BRUTOS'!$A$3:$A$500,$C18,'DADOS BRUTOS'!EN$3:EN$500)))</f>
        <v>0</v>
      </c>
      <c r="HO18" s="133" t="n">
        <f aca="false">IF(OR(HO$4="",$B18=""),0,SUMIF('DADOS BRUTOS'!$A$3:$A$500,$B18,'DADOS BRUTOS'!EO$3:EO$500)+IF($C18="",0,SUMIF('DADOS BRUTOS'!$A$3:$A$500,$C18,'DADOS BRUTOS'!EO$3:EO$500)))</f>
        <v>0</v>
      </c>
      <c r="HP18" s="133" t="n">
        <f aca="false">IF(OR(HP$4="",$B18=""),0,SUMIF('DADOS BRUTOS'!$A$3:$A$500,$B18,'DADOS BRUTOS'!EP$3:EP$500)+IF($C18="",0,SUMIF('DADOS BRUTOS'!$A$3:$A$500,$C18,'DADOS BRUTOS'!EP$3:EP$500)))</f>
        <v>0</v>
      </c>
      <c r="HQ18" s="133" t="n">
        <f aca="false">IF(OR(HQ$4="",$B18=""),0,SUMIF('DADOS BRUTOS'!$A$3:$A$500,$B18,'DADOS BRUTOS'!EQ$3:EQ$500)+IF($C18="",0,SUMIF('DADOS BRUTOS'!$A$3:$A$500,$C18,'DADOS BRUTOS'!EQ$3:EQ$500)))</f>
        <v>0</v>
      </c>
      <c r="HR18" s="133" t="n">
        <f aca="false">IF(OR(HR$4="",$B18=""),0,SUMIF('DADOS BRUTOS'!$A$3:$A$500,$B18,'DADOS BRUTOS'!ER$3:ER$500)+IF($C18="",0,SUMIF('DADOS BRUTOS'!$A$3:$A$500,$C18,'DADOS BRUTOS'!ER$3:ER$500)))</f>
        <v>0</v>
      </c>
      <c r="HS18" s="133" t="n">
        <f aca="false">IF(OR(HS$4="",$B18=""),0,SUMIF('DADOS BRUTOS'!$A$3:$A$500,$B18,'DADOS BRUTOS'!ES$3:ES$500)+IF($C18="",0,SUMIF('DADOS BRUTOS'!$A$3:$A$500,$C18,'DADOS BRUTOS'!ES$3:ES$500)))</f>
        <v>0</v>
      </c>
      <c r="HT18" s="133" t="n">
        <f aca="false">IF(OR(HT$4="",$B18=""),0,SUMIF('DADOS BRUTOS'!$A$3:$A$500,$B18,'DADOS BRUTOS'!ET$3:ET$500)+IF($C18="",0,SUMIF('DADOS BRUTOS'!$A$3:$A$500,$C18,'DADOS BRUTOS'!ET$3:ET$500)))</f>
        <v>0</v>
      </c>
      <c r="HU18" s="133" t="n">
        <f aca="false">IF(OR(HU$4="",$B18=""),0,SUMIF('DADOS BRUTOS'!$A$3:$A$500,$B18,'DADOS BRUTOS'!EU$3:EU$500)+IF($C18="",0,SUMIF('DADOS BRUTOS'!$A$3:$A$500,$C18,'DADOS BRUTOS'!EU$3:EU$500)))</f>
        <v>0</v>
      </c>
      <c r="HV18" s="133" t="n">
        <f aca="false">IF(OR(HV$4="",$B18=""),0,SUMIF('DADOS BRUTOS'!$A$3:$A$500,$B18,'DADOS BRUTOS'!EV$3:EV$500)+IF($C18="",0,SUMIF('DADOS BRUTOS'!$A$3:$A$500,$C18,'DADOS BRUTOS'!EV$3:EV$500)))</f>
        <v>0</v>
      </c>
      <c r="HW18" s="133" t="n">
        <f aca="false">IF(OR(HW$4="",$B18=""),0,SUMIF('DADOS BRUTOS'!$A$3:$A$500,$B18,'DADOS BRUTOS'!EW$3:EW$500)+IF($C18="",0,SUMIF('DADOS BRUTOS'!$A$3:$A$500,$C18,'DADOS BRUTOS'!EW$3:EW$500)))</f>
        <v>0</v>
      </c>
      <c r="HX18" s="133" t="n">
        <f aca="false">IF(OR(HX$4="",$B18=""),0,SUMIF('DADOS BRUTOS'!$A$3:$A$500,$B18,'DADOS BRUTOS'!EX$3:EX$500)+IF($C18="",0,SUMIF('DADOS BRUTOS'!$A$3:$A$500,$C18,'DADOS BRUTOS'!EX$3:EX$500)))</f>
        <v>0</v>
      </c>
      <c r="HY18" s="133" t="n">
        <f aca="false">IF(OR(HY$4="",$B18=""),0,SUMIF('DADOS BRUTOS'!$A$3:$A$500,$B18,'DADOS BRUTOS'!EY$3:EY$500)+IF($C18="",0,SUMIF('DADOS BRUTOS'!$A$3:$A$500,$C18,'DADOS BRUTOS'!EY$3:EY$500)))</f>
        <v>0</v>
      </c>
      <c r="HZ18" s="133" t="n">
        <f aca="false">IF(OR(HZ$4="",$B18=""),0,SUMIF('DADOS BRUTOS'!$A$3:$A$500,$B18,'DADOS BRUTOS'!EZ$3:EZ$500)+IF($C18="",0,SUMIF('DADOS BRUTOS'!$A$3:$A$500,$C18,'DADOS BRUTOS'!EZ$3:EZ$500)))</f>
        <v>0</v>
      </c>
      <c r="IA18" s="133" t="n">
        <f aca="false">IF(OR(IA$4="",$B18=""),0,SUMIF('DADOS BRUTOS'!$A$3:$A$500,$B18,'DADOS BRUTOS'!FA$3:FA$500)+IF($C18="",0,SUMIF('DADOS BRUTOS'!$A$3:$A$500,$C18,'DADOS BRUTOS'!FA$3:FA$500)))</f>
        <v>0</v>
      </c>
      <c r="IB18" s="133" t="n">
        <f aca="false">IF(OR(IB$4="",$B18=""),0,SUMIF('DADOS BRUTOS'!$A$3:$A$500,$B18,'DADOS BRUTOS'!FB$3:FB$500)+IF($C18="",0,SUMIF('DADOS BRUTOS'!$A$3:$A$500,$C18,'DADOS BRUTOS'!FB$3:FB$500)))</f>
        <v>0</v>
      </c>
      <c r="IC18" s="133" t="n">
        <f aca="false">IF(OR(IC$4="",$B18=""),0,SUMIF('DADOS BRUTOS'!$A$3:$A$500,$B18,'DADOS BRUTOS'!FC$3:FC$500)+IF($C18="",0,SUMIF('DADOS BRUTOS'!$A$3:$A$500,$C18,'DADOS BRUTOS'!FC$3:FC$500)))</f>
        <v>0</v>
      </c>
      <c r="ID18" s="133" t="n">
        <f aca="false">IF(OR(ID$4="",$B18=""),0,SUMIF('DADOS BRUTOS'!$A$3:$A$500,$B18,'DADOS BRUTOS'!FD$3:FD$500)+IF($C18="",0,SUMIF('DADOS BRUTOS'!$A$3:$A$500,$C18,'DADOS BRUTOS'!FD$3:FD$500)))</f>
        <v>0</v>
      </c>
      <c r="IE18" s="133" t="n">
        <f aca="false">IF(OR(IE$4="",$B18=""),0,SUMIF('DADOS BRUTOS'!$A$3:$A$500,$B18,'DADOS BRUTOS'!FE$3:FE$500)+IF($C18="",0,SUMIF('DADOS BRUTOS'!$A$3:$A$500,$C18,'DADOS BRUTOS'!FE$3:FE$500)))</f>
        <v>0</v>
      </c>
      <c r="IF18" s="133" t="n">
        <f aca="false">IF(OR(IF$4="",$B18=""),0,SUMIF('DADOS BRUTOS'!$A$3:$A$500,$B18,'DADOS BRUTOS'!FF$3:FF$500)+IF($C18="",0,SUMIF('DADOS BRUTOS'!$A$3:$A$500,$C18,'DADOS BRUTOS'!FF$3:FF$500)))</f>
        <v>0</v>
      </c>
      <c r="IG18" s="133" t="n">
        <f aca="false">IF(OR(IG$4="",$B18=""),0,SUMIF('DADOS BRUTOS'!$A$3:$A$500,$B18,'DADOS BRUTOS'!FG$3:FG$500)+IF($C18="",0,SUMIF('DADOS BRUTOS'!$A$3:$A$500,$C18,'DADOS BRUTOS'!FG$3:FG$500)))</f>
        <v>0</v>
      </c>
      <c r="IH18" s="133" t="n">
        <f aca="false">IF(OR(IH$4="",$B18=""),0,SUMIF('DADOS BRUTOS'!$A$3:$A$500,$B18,'DADOS BRUTOS'!FH$3:FH$500)+IF($C18="",0,SUMIF('DADOS BRUTOS'!$A$3:$A$500,$C18,'DADOS BRUTOS'!FH$3:FH$500)))</f>
        <v>0</v>
      </c>
      <c r="II18" s="133" t="n">
        <f aca="false">IF(OR(II$4="",$B18=""),0,SUMIF('DADOS BRUTOS'!$A$3:$A$500,$B18,'DADOS BRUTOS'!FI$3:FI$500)+IF($C18="",0,SUMIF('DADOS BRUTOS'!$A$3:$A$500,$C18,'DADOS BRUTOS'!FI$3:FI$500)))</f>
        <v>0</v>
      </c>
      <c r="IJ18" s="133" t="n">
        <f aca="false">IF(OR(IJ$4="",$B18=""),0,SUMIF('DADOS BRUTOS'!$A$3:$A$500,$B18,'DADOS BRUTOS'!FJ$3:FJ$500)+IF($C18="",0,SUMIF('DADOS BRUTOS'!$A$3:$A$500,$C18,'DADOS BRUTOS'!FJ$3:FJ$500)))</f>
        <v>0</v>
      </c>
      <c r="IK18" s="133" t="n">
        <f aca="false">IF(OR(IK$4="",$B18=""),0,SUMIF('DADOS BRUTOS'!$A$3:$A$500,$B18,'DADOS BRUTOS'!FK$3:FK$500)+IF($C18="",0,SUMIF('DADOS BRUTOS'!$A$3:$A$500,$C18,'DADOS BRUTOS'!FK$3:FK$500)))</f>
        <v>0</v>
      </c>
      <c r="IL18" s="133" t="n">
        <f aca="false">IF(OR(IL$4="",$B18=""),0,SUMIF('DADOS BRUTOS'!$A$3:$A$500,$B18,'DADOS BRUTOS'!FL$3:FL$500)+IF($C18="",0,SUMIF('DADOS BRUTOS'!$A$3:$A$500,$C18,'DADOS BRUTOS'!FL$3:FL$500)))</f>
        <v>0</v>
      </c>
      <c r="IM18" s="133" t="n">
        <f aca="false">IF(OR(IM$4="",$B18=""),0,SUMIF('DADOS BRUTOS'!$A$3:$A$500,$B18,'DADOS BRUTOS'!FM$3:FM$500)+IF($C18="",0,SUMIF('DADOS BRUTOS'!$A$3:$A$500,$C18,'DADOS BRUTOS'!FM$3:FM$500)))</f>
        <v>0</v>
      </c>
      <c r="IN18" s="133" t="n">
        <f aca="false">IF(OR(IN$4="",$B18=""),0,SUMIF('DADOS BRUTOS'!$A$3:$A$500,$B18,'DADOS BRUTOS'!FN$3:FN$500)+IF($C18="",0,SUMIF('DADOS BRUTOS'!$A$3:$A$500,$C18,'DADOS BRUTOS'!FN$3:FN$500)))</f>
        <v>0</v>
      </c>
      <c r="IO18" s="133" t="n">
        <f aca="false">IF(OR(IO$4="",$B18=""),0,SUMIF('DADOS BRUTOS'!$A$3:$A$500,$B18,'DADOS BRUTOS'!FO$3:FO$500)+IF($C18="",0,SUMIF('DADOS BRUTOS'!$A$3:$A$500,$C18,'DADOS BRUTOS'!FO$3:FO$500)))</f>
        <v>0</v>
      </c>
      <c r="IP18" s="133" t="n">
        <f aca="false">IF(OR(IP$4="",$B18=""),0,SUMIF('DADOS BRUTOS'!$A$3:$A$500,$B18,'DADOS BRUTOS'!FP$3:FP$500)+IF($C18="",0,SUMIF('DADOS BRUTOS'!$A$3:$A$500,$C18,'DADOS BRUTOS'!FP$3:FP$500)))</f>
        <v>0</v>
      </c>
      <c r="IQ18" s="133" t="n">
        <f aca="false">IF(OR(IQ$4="",$B18=""),0,SUMIF('DADOS BRUTOS'!$A$3:$A$500,$B18,'DADOS BRUTOS'!FQ$3:FQ$500)+IF($C18="",0,SUMIF('DADOS BRUTOS'!$A$3:$A$500,$C18,'DADOS BRUTOS'!FQ$3:FQ$500)))</f>
        <v>0</v>
      </c>
      <c r="IR18" s="133" t="n">
        <f aca="false">IF(OR(IR$4="",$B18=""),0,SUMIF('DADOS BRUTOS'!$A$3:$A$500,$B18,'DADOS BRUTOS'!FR$3:FR$500)+IF($C18="",0,SUMIF('DADOS BRUTOS'!$A$3:$A$500,$C18,'DADOS BRUTOS'!FR$3:FR$500)))</f>
        <v>0</v>
      </c>
      <c r="IS18" s="133" t="n">
        <f aca="false">IF(OR(IS$4="",$B18=""),0,SUMIF('DADOS BRUTOS'!$A$3:$A$500,$B18,'DADOS BRUTOS'!FS$3:FS$500)+IF($C18="",0,SUMIF('DADOS BRUTOS'!$A$3:$A$500,$C18,'DADOS BRUTOS'!FS$3:FS$500)))</f>
        <v>0</v>
      </c>
      <c r="IT18" s="133" t="n">
        <f aca="false">IF(OR(IT$4="",$B18=""),0,SUMIF('DADOS BRUTOS'!$A$3:$A$500,$B18,'DADOS BRUTOS'!FT$3:FT$500)+IF($C18="",0,SUMIF('DADOS BRUTOS'!$A$3:$A$500,$C18,'DADOS BRUTOS'!FT$3:FT$500)))</f>
        <v>0</v>
      </c>
      <c r="IU18" s="133" t="n">
        <f aca="false">IF(OR(IU$4="",$B18=""),0,SUMIF('DADOS BRUTOS'!$A$3:$A$500,$B18,'DADOS BRUTOS'!FU$3:FU$500)+IF($C18="",0,SUMIF('DADOS BRUTOS'!$A$3:$A$500,$C18,'DADOS BRUTOS'!FU$3:FU$500)))</f>
        <v>0</v>
      </c>
      <c r="IV18" s="133" t="n">
        <f aca="false">IF(OR(IV$4="",$B18=""),0,SUMIF('DADOS BRUTOS'!$A$3:$A$500,$B18,'DADOS BRUTOS'!FV$3:FV$500)+IF($C18="",0,SUMIF('DADOS BRUTOS'!$A$3:$A$500,$C18,'DADOS BRUTOS'!FV$3:FV$500)))</f>
        <v>0</v>
      </c>
      <c r="IW18" s="133" t="n">
        <f aca="false">IF(OR(IW$4="",$B18=""),0,SUMIF('DADOS BRUTOS'!$A$3:$A$500,$B18,'DADOS BRUTOS'!FW$3:FW$500)+IF($C18="",0,SUMIF('DADOS BRUTOS'!$A$3:$A$500,$C18,'DADOS BRUTOS'!FW$3:FW$500)))</f>
        <v>0</v>
      </c>
      <c r="IX18" s="133" t="n">
        <f aca="false">IF(OR(IX$4="",$B18=""),0,SUMIF('DADOS BRUTOS'!$A$3:$A$500,$B18,'DADOS BRUTOS'!FX$3:FX$500)+IF($C18="",0,SUMIF('DADOS BRUTOS'!$A$3:$A$500,$C18,'DADOS BRUTOS'!FX$3:FX$500)))</f>
        <v>0</v>
      </c>
      <c r="IY18" s="133" t="n">
        <f aca="false">IF(OR(IY$4="",$B18=""),0,SUMIF('DADOS BRUTOS'!$A$3:$A$500,$B18,'DADOS BRUTOS'!FY$3:FY$500)+IF($C18="",0,SUMIF('DADOS BRUTOS'!$A$3:$A$500,$C18,'DADOS BRUTOS'!FY$3:FY$500)))</f>
        <v>0</v>
      </c>
      <c r="IZ18" s="133" t="n">
        <f aca="false">IF(OR(IZ$4="",$B18=""),0,SUMIF('DADOS BRUTOS'!$A$3:$A$500,$B18,'DADOS BRUTOS'!FZ$3:FZ$500)+IF($C18="",0,SUMIF('DADOS BRUTOS'!$A$3:$A$500,$C18,'DADOS BRUTOS'!FZ$3:FZ$500)))</f>
        <v>0</v>
      </c>
      <c r="JA18" s="133" t="n">
        <f aca="false">IF(OR(JA$4="",$B18=""),0,SUMIF('DADOS BRUTOS'!$A$3:$A$500,$B18,'DADOS BRUTOS'!GA$3:GA$500)+IF($C18="",0,SUMIF('DADOS BRUTOS'!$A$3:$A$500,$C18,'DADOS BRUTOS'!GA$3:GA$500)))</f>
        <v>0</v>
      </c>
      <c r="JB18" s="133" t="n">
        <f aca="false">IF(OR(JB$4="",$B18=""),0,SUMIF('DADOS BRUTOS'!$A$3:$A$500,$B18,'DADOS BRUTOS'!GB$3:GB$500)+IF($C18="",0,SUMIF('DADOS BRUTOS'!$A$3:$A$500,$C18,'DADOS BRUTOS'!GB$3:GB$500)))</f>
        <v>0</v>
      </c>
      <c r="JC18" s="133" t="n">
        <f aca="false">IF(OR(JC$4="",$B18=""),0,SUMIF('DADOS BRUTOS'!$A$3:$A$500,$B18,'DADOS BRUTOS'!GC$3:GC$500)+IF($C18="",0,SUMIF('DADOS BRUTOS'!$A$3:$A$500,$C18,'DADOS BRUTOS'!GC$3:GC$500)))</f>
        <v>0</v>
      </c>
      <c r="JD18" s="133" t="n">
        <f aca="false">IF(OR(JD$4="",$B18=""),0,SUMIF('DADOS BRUTOS'!$A$3:$A$500,$B18,'DADOS BRUTOS'!GD$3:GD$500)+IF($C18="",0,SUMIF('DADOS BRUTOS'!$A$3:$A$500,$C18,'DADOS BRUTOS'!GD$3:GD$500)))</f>
        <v>0</v>
      </c>
      <c r="JE18" s="133" t="n">
        <f aca="false">IF(OR(JE$4="",$B18=""),0,SUMIF('DADOS BRUTOS'!$A$3:$A$500,$B18,'DADOS BRUTOS'!GE$3:GE$500)+IF($C18="",0,SUMIF('DADOS BRUTOS'!$A$3:$A$500,$C18,'DADOS BRUTOS'!GE$3:GE$500)))</f>
        <v>0</v>
      </c>
      <c r="JF18" s="133" t="n">
        <f aca="false">IF(OR(JF$4="",$B18=""),0,SUMIF('DADOS BRUTOS'!$A$3:$A$500,$B18,'DADOS BRUTOS'!GF$3:GF$500)+IF($C18="",0,SUMIF('DADOS BRUTOS'!$A$3:$A$500,$C18,'DADOS BRUTOS'!GF$3:GF$500)))</f>
        <v>0</v>
      </c>
      <c r="JG18" s="133" t="n">
        <f aca="false">IF(OR(JG$4="",$B18=""),0,SUMIF('DADOS BRUTOS'!$A$3:$A$500,$B18,'DADOS BRUTOS'!GG$3:GG$500)+IF($C18="",0,SUMIF('DADOS BRUTOS'!$A$3:$A$500,$C18,'DADOS BRUTOS'!GG$3:GG$500)))</f>
        <v>0</v>
      </c>
      <c r="JH18" s="133" t="n">
        <f aca="false">IF(OR(JH$4="",$B18=""),0,SUMIF('DADOS BRUTOS'!$A$3:$A$500,$B18,'DADOS BRUTOS'!GH$3:GH$500)+IF($C18="",0,SUMIF('DADOS BRUTOS'!$A$3:$A$500,$C18,'DADOS BRUTOS'!GH$3:GH$500)))</f>
        <v>0</v>
      </c>
      <c r="JI18" s="133" t="n">
        <f aca="false">IF(OR(JI$4="",$B18=""),0,SUMIF('DADOS BRUTOS'!$A$3:$A$500,$B18,'DADOS BRUTOS'!GI$3:GI$500)+IF($C18="",0,SUMIF('DADOS BRUTOS'!$A$3:$A$500,$C18,'DADOS BRUTOS'!GI$3:GI$500)))</f>
        <v>0</v>
      </c>
      <c r="JJ18" s="133" t="n">
        <f aca="false">IF(OR(JJ$4="",$B18=""),0,SUMIF('DADOS BRUTOS'!$A$3:$A$500,$B18,'DADOS BRUTOS'!GJ$3:GJ$500)+IF($C18="",0,SUMIF('DADOS BRUTOS'!$A$3:$A$500,$C18,'DADOS BRUTOS'!GJ$3:GJ$500)))</f>
        <v>0</v>
      </c>
      <c r="JK18" s="133" t="n">
        <f aca="false">IF(OR(JK$4="",$B18=""),0,SUMIF('DADOS BRUTOS'!$A$3:$A$500,$B18,'DADOS BRUTOS'!GK$3:GK$500)+IF($C18="",0,SUMIF('DADOS BRUTOS'!$A$3:$A$500,$C18,'DADOS BRUTOS'!GK$3:GK$500)))</f>
        <v>0</v>
      </c>
      <c r="JL18" s="133" t="n">
        <f aca="false">IF(OR(JL$4="",$B18=""),0,SUMIF('DADOS BRUTOS'!$A$3:$A$500,$B18,'DADOS BRUTOS'!GL$3:GL$500)+IF($C18="",0,SUMIF('DADOS BRUTOS'!$A$3:$A$500,$C18,'DADOS BRUTOS'!GL$3:GL$500)))</f>
        <v>0</v>
      </c>
      <c r="JM18" s="133" t="n">
        <f aca="false">IF(OR(JM$4="",$B18=""),0,SUMIF('DADOS BRUTOS'!$A$3:$A$500,$B18,'DADOS BRUTOS'!GM$3:GM$500)+IF($C18="",0,SUMIF('DADOS BRUTOS'!$A$3:$A$500,$C18,'DADOS BRUTOS'!GM$3:GM$500)))</f>
        <v>0</v>
      </c>
      <c r="JN18" s="133" t="n">
        <f aca="false">IF(OR(JN$4="",$B18=""),0,SUMIF('DADOS BRUTOS'!$A$3:$A$500,$B18,'DADOS BRUTOS'!GN$3:GN$500)+IF($C18="",0,SUMIF('DADOS BRUTOS'!$A$3:$A$500,$C18,'DADOS BRUTOS'!GN$3:GN$500)))</f>
        <v>0</v>
      </c>
      <c r="JO18" s="133" t="n">
        <f aca="false">IF(OR(JO$4="",$B18=""),0,SUMIF('DADOS BRUTOS'!$A$3:$A$500,$B18,'DADOS BRUTOS'!GO$3:GO$500)+IF($C18="",0,SUMIF('DADOS BRUTOS'!$A$3:$A$500,$C18,'DADOS BRUTOS'!GO$3:GO$500)))</f>
        <v>0</v>
      </c>
      <c r="JP18" s="133" t="n">
        <f aca="false">IF(OR(JP$4="",$B18=""),0,SUMIF('DADOS BRUTOS'!$A$3:$A$500,$B18,'DADOS BRUTOS'!GP$3:GP$500)+IF($C18="",0,SUMIF('DADOS BRUTOS'!$A$3:$A$500,$C18,'DADOS BRUTOS'!GP$3:GP$500)))</f>
        <v>0</v>
      </c>
      <c r="JQ18" s="133" t="n">
        <f aca="false">IF(OR(JQ$4="",$B18=""),0,SUMIF('DADOS BRUTOS'!$A$3:$A$500,$B18,'DADOS BRUTOS'!GQ$3:GQ$500)+IF($C18="",0,SUMIF('DADOS BRUTOS'!$A$3:$A$500,$C18,'DADOS BRUTOS'!GQ$3:GQ$500)))</f>
        <v>0</v>
      </c>
      <c r="JR18" s="133" t="n">
        <f aca="false">IF(OR(JR$4="",$B18=""),0,SUMIF('DADOS BRUTOS'!$A$3:$A$500,$B18,'DADOS BRUTOS'!GR$3:GR$500)+IF($C18="",0,SUMIF('DADOS BRUTOS'!$A$3:$A$500,$C18,'DADOS BRUTOS'!GR$3:GR$500)))</f>
        <v>0</v>
      </c>
      <c r="JS18" s="133" t="n">
        <f aca="false">IF(OR(JS$4="",$B18=""),0,SUMIF('DADOS BRUTOS'!$A$3:$A$500,$B18,'DADOS BRUTOS'!GS$3:GS$500)+IF($C18="",0,SUMIF('DADOS BRUTOS'!$A$3:$A$500,$C18,'DADOS BRUTOS'!GS$3:GS$500)))</f>
        <v>0</v>
      </c>
    </row>
    <row r="19" customFormat="false" ht="15" hidden="false" customHeight="false" outlineLevel="0" collapsed="false">
      <c r="A19" s="57" t="str">
        <f aca="false">'VALOR POR PL'!D25</f>
        <v>FUNDAÇÃO PROFUNDA</v>
      </c>
      <c r="B19" s="55" t="s">
        <v>73</v>
      </c>
      <c r="C19" s="55"/>
      <c r="D19" s="50" t="n">
        <f aca="false">SUMIF($CB$4:$JS$4,"&lt;="&amp;D$4,$CB19:$JS19)</f>
        <v>0</v>
      </c>
      <c r="E19" s="50" t="n">
        <f aca="false">SUMIF($CB$4:$JS$4,E$4,$CB19:$JS19)</f>
        <v>0</v>
      </c>
      <c r="F19" s="50" t="n">
        <f aca="false">SUMIF($CB$4:$JS$4,F$4,$CB19:$JS19)</f>
        <v>0</v>
      </c>
      <c r="G19" s="50" t="n">
        <f aca="false">SUMIF($CB$4:$JS$4,G$4,$CB19:$JS19)</f>
        <v>0</v>
      </c>
      <c r="H19" s="50" t="n">
        <f aca="false">SUMIF($CB$4:$JS$4,H$4,$CB19:$JS19)</f>
        <v>0</v>
      </c>
      <c r="I19" s="50" t="n">
        <f aca="false">SUMIF($CB$4:$JS$4,I$4,$CB19:$JS19)</f>
        <v>0</v>
      </c>
      <c r="J19" s="50" t="n">
        <f aca="false">SUMIF($CB$4:$JS$4,J$4,$CB19:$JS19)</f>
        <v>0</v>
      </c>
      <c r="K19" s="50" t="n">
        <f aca="false">SUMIF($CB$4:$JS$4,K$4,$CB19:$JS19)</f>
        <v>0</v>
      </c>
      <c r="L19" s="50" t="n">
        <f aca="false">SUMIF($CB$4:$JS$4,L$4,$CB19:$JS19)</f>
        <v>1930</v>
      </c>
      <c r="M19" s="50" t="n">
        <f aca="false">SUMIF($CB$4:$JS$4,M$4,$CB19:$JS19)</f>
        <v>145877.57</v>
      </c>
      <c r="N19" s="50" t="n">
        <f aca="false">SUMIF($CB$4:$JS$4,N$4,$CB19:$JS19)</f>
        <v>521095.71</v>
      </c>
      <c r="O19" s="50" t="n">
        <f aca="false">SUMIF($CB$4:$JS$4,O$4,$CB19:$JS19)</f>
        <v>1121245.4</v>
      </c>
      <c r="P19" s="50" t="n">
        <f aca="false">SUMIF($CB$4:$JS$4,P$4,$CB19:$JS19)</f>
        <v>876284.06</v>
      </c>
      <c r="Q19" s="50" t="n">
        <f aca="false">SUMIF($CB$4:$JS$4,Q$4,$CB19:$JS19)</f>
        <v>1371139.53</v>
      </c>
      <c r="R19" s="50" t="n">
        <f aca="false">SUMIF($CB$4:$JS$4,R$4,$CB19:$JS19)</f>
        <v>644213.9</v>
      </c>
      <c r="S19" s="50" t="n">
        <f aca="false">SUMIF($CB$4:$JS$4,S$4,$CB19:$JS19)</f>
        <v>1233027.32</v>
      </c>
      <c r="T19" s="50" t="n">
        <f aca="false">SUMIF($CB$4:$JS$4,T$4,$CB19:$JS19)</f>
        <v>606377.66</v>
      </c>
      <c r="U19" s="50" t="n">
        <f aca="false">SUMIF($CB$4:$JS$4,U$4,$CB19:$JS19)</f>
        <v>43774.24</v>
      </c>
      <c r="V19" s="50" t="n">
        <f aca="false">SUMIF($CB$4:$JS$4,V$4,$CB19:$JS19)</f>
        <v>15692.87</v>
      </c>
      <c r="W19" s="50" t="n">
        <f aca="false">SUMIF($CB$4:$JS$4,W$4,$CB19:$JS19)</f>
        <v>78401.44</v>
      </c>
      <c r="X19" s="50" t="n">
        <f aca="false">SUMIF($CB$4:$JS$4,X$4,$CB19:$JS19)</f>
        <v>37660.47</v>
      </c>
      <c r="Y19" s="50" t="n">
        <f aca="false">SUMIF($CB$4:$JS$4,Y$4,$CB19:$JS19)</f>
        <v>102068.64</v>
      </c>
      <c r="Z19" s="50" t="n">
        <f aca="false">SUMIF($CB$4:$JS$4,Z$4,$CB19:$JS19)</f>
        <v>34599.67</v>
      </c>
      <c r="AA19" s="50" t="n">
        <f aca="false">SUMIF($CB$4:$JS$4,AA$4,$CB19:$JS19)</f>
        <v>10360.68</v>
      </c>
      <c r="AB19" s="50" t="n">
        <f aca="false">SUMIF($CB$4:$JS$4,AB$4,$CB19:$JS19)</f>
        <v>5768</v>
      </c>
      <c r="AC19" s="50" t="n">
        <f aca="false">SUMIF($CB$4:$JS$4,AC$4,$CB19:$JS19)</f>
        <v>0</v>
      </c>
      <c r="AD19" s="50" t="n">
        <f aca="false">SUMIF($CB$4:$JS$4,AD$4,$CB19:$JS19)</f>
        <v>2828</v>
      </c>
      <c r="AE19" s="50" t="n">
        <f aca="false">SUMIF($CB$4:$JS$4,AE$4,$CB19:$JS19)</f>
        <v>9483.38</v>
      </c>
      <c r="AF19" s="50" t="n">
        <f aca="false">SUMIF($CB$4:$JS$4,AF$4,$CB19:$JS19)</f>
        <v>0</v>
      </c>
      <c r="AG19" s="50" t="n">
        <f aca="false">SUMIF($CB$4:$JS$4,AG$4,$CB19:$JS19)</f>
        <v>0</v>
      </c>
      <c r="AH19" s="50" t="n">
        <f aca="false">SUMIF($CB$4:$JS$4,AH$4,$CB19:$JS19)</f>
        <v>0</v>
      </c>
      <c r="AI19" s="50" t="n">
        <f aca="false">SUMIF($CB$4:$JS$4,AI$4,$CB19:$JS19)</f>
        <v>0</v>
      </c>
      <c r="AJ19" s="50" t="n">
        <f aca="false">SUMIF($CB$4:$JS$4,AJ$4,$CB19:$JS19)</f>
        <v>0</v>
      </c>
      <c r="AK19" s="50" t="n">
        <f aca="false">SUMIF($CB$4:$JS$4,AK$4,$CB19:$JS19)</f>
        <v>0</v>
      </c>
      <c r="AL19" s="50" t="n">
        <f aca="false">SUMIF($CB$4:$JS$4,AL$4,$CB19:$JS19)</f>
        <v>0</v>
      </c>
      <c r="AM19" s="50" t="n">
        <f aca="false">SUMIF($CB$4:$JS$4,AM$4,$CB19:$JS19)</f>
        <v>0</v>
      </c>
      <c r="AN19" s="50" t="n">
        <f aca="false">SUMIF($CB$4:$JS$4,AN$4,$CB19:$JS19)</f>
        <v>0</v>
      </c>
      <c r="AO19" s="50" t="n">
        <f aca="false">SUMIF($CB$4:$JS$4,AO$4,$CB19:$JS19)</f>
        <v>0</v>
      </c>
      <c r="AP19" s="50" t="n">
        <f aca="false">SUMIF($CB$4:$JS$4,AP$4,$CB19:$JS19)</f>
        <v>0</v>
      </c>
      <c r="AQ19" s="50" t="n">
        <f aca="false">SUMIF($CB$4:$JS$4,AQ$4,$CB19:$JS19)</f>
        <v>0</v>
      </c>
      <c r="AR19" s="50" t="n">
        <f aca="false">SUMIF($CB$4:$JS$4,AR$4,$CB19:$JS19)</f>
        <v>0</v>
      </c>
      <c r="AS19" s="50" t="n">
        <f aca="false">SUMIF($CB$4:$JS$4,AS$4,$CB19:$JS19)</f>
        <v>0</v>
      </c>
      <c r="AT19" s="50" t="n">
        <f aca="false">SUMIF($CB$4:$JS$4,AT$4,$CB19:$JS19)</f>
        <v>0</v>
      </c>
      <c r="AU19" s="50" t="n">
        <f aca="false">SUMIF($CB$4:$JS$4,AU$4,$CB19:$JS19)</f>
        <v>2044</v>
      </c>
      <c r="AV19" s="50" t="n">
        <f aca="false">SUMIF($CB$4:$JS$4,AV$4,$CB19:$JS19)</f>
        <v>0</v>
      </c>
      <c r="AW19" s="50" t="n">
        <f aca="false">SUMIF($CB$4:$JS$4,AW$4,$CB19:$JS19)</f>
        <v>0</v>
      </c>
      <c r="AX19" s="50" t="n">
        <f aca="false">SUMIF($CB$4:$JS$4,AX$4,$CB19:$JS19)</f>
        <v>0</v>
      </c>
      <c r="AY19" s="50" t="n">
        <f aca="false">SUMIF($CB$4:$JS$4,AY$4,$CB19:$JS19)</f>
        <v>0</v>
      </c>
      <c r="AZ19" s="50" t="n">
        <f aca="false">SUMIF($CB$4:$JS$4,AZ$4,$CB19:$JS19)</f>
        <v>0</v>
      </c>
      <c r="BA19" s="50" t="n">
        <f aca="false">SUMIF($CB$4:$JS$4,BA$4,$CB19:$JS19)</f>
        <v>0</v>
      </c>
      <c r="BB19" s="50" t="n">
        <f aca="false">SUMIF($CB$4:$JS$4,BB$4,$CB19:$JS19)</f>
        <v>0</v>
      </c>
      <c r="BC19" s="50" t="n">
        <f aca="false">SUMIF($CB$4:$JS$4,BC$4,$CB19:$JS19)</f>
        <v>0</v>
      </c>
      <c r="BD19" s="50" t="n">
        <f aca="false">SUMIF($CB$4:$JS$4,BD$4,$CB19:$JS19)</f>
        <v>0</v>
      </c>
      <c r="BE19" s="50" t="n">
        <f aca="false">SUMIF($CB$4:$JS$4,BE$4,$CB19:$JS19)</f>
        <v>0</v>
      </c>
      <c r="BF19" s="50" t="n">
        <f aca="false">SUMIF($CB$4:$JS$4,BF$4,$CB19:$JS19)</f>
        <v>0</v>
      </c>
      <c r="BG19" s="50" t="n">
        <f aca="false">SUMIF($CB$4:$JS$4,BG$4,$CB19:$JS19)</f>
        <v>0</v>
      </c>
      <c r="BH19" s="50" t="n">
        <f aca="false">SUMIF($CB$4:$JS$4,BH$4,$CB19:$JS19)</f>
        <v>0</v>
      </c>
      <c r="BI19" s="50" t="n">
        <f aca="false">SUMIF($CB$4:$JS$4,BI$4,$CB19:$JS19)</f>
        <v>0</v>
      </c>
      <c r="BJ19" s="50" t="n">
        <f aca="false">SUMIF($CB$4:$JS$4,BJ$4,$CB19:$JS19)</f>
        <v>0</v>
      </c>
      <c r="BK19" s="50" t="n">
        <f aca="false">SUMIF($CB$4:$JS$4,BK$4,$CB19:$JS19)</f>
        <v>0</v>
      </c>
      <c r="BL19" s="50" t="n">
        <f aca="false">SUMIF($CB$4:$JS$4,BL$4,$CB19:$JS19)</f>
        <v>0</v>
      </c>
      <c r="BM19" s="50" t="n">
        <f aca="false">SUMIF($CB$4:$JS$4,BM$4,$CB19:$JS19)</f>
        <v>0</v>
      </c>
      <c r="BN19" s="50" t="n">
        <f aca="false">SUMIF($CB$4:$JS$4,BN$4,$CB19:$JS19)</f>
        <v>0</v>
      </c>
      <c r="BO19" s="50" t="n">
        <f aca="false">SUMIF($CB$4:$JS$4,BO$4,$CB19:$JS19)</f>
        <v>0</v>
      </c>
      <c r="BP19" s="50" t="n">
        <f aca="false">SUMIF($CB$4:$JS$4,BP$4,$CB19:$JS19)</f>
        <v>0</v>
      </c>
      <c r="BQ19" s="50" t="n">
        <f aca="false">SUMIF($CB$4:$JS$4,BQ$4,$CB19:$JS19)</f>
        <v>0</v>
      </c>
      <c r="BR19" s="50" t="n">
        <f aca="false">SUMIF($CB$4:$JS$4,BR$4,$CB19:$JS19)</f>
        <v>0</v>
      </c>
      <c r="BS19" s="50" t="n">
        <f aca="false">SUMIF($CB$4:$JS$4,BS$4,$CB19:$JS19)</f>
        <v>0</v>
      </c>
      <c r="BT19" s="50" t="n">
        <f aca="false">SUMIF($CB$4:$JS$4,BT$4,$CB19:$JS19)</f>
        <v>0</v>
      </c>
      <c r="BU19" s="50" t="n">
        <f aca="false">SUMIF($CB$4:$JS$4,BU$4,$CB19:$JS19)</f>
        <v>0</v>
      </c>
      <c r="BV19" s="50" t="n">
        <f aca="false">SUMIF($CB$4:$JS$4,BV$4,$CB19:$JS19)</f>
        <v>0</v>
      </c>
      <c r="BW19" s="50" t="n">
        <f aca="false">SUMIF($CB$4:$JS$4,BW$4,$CB19:$JS19)</f>
        <v>0</v>
      </c>
      <c r="BX19" s="50" t="n">
        <f aca="false">SUMIF($CB$4:$JS$4,"&gt;"&amp;'VALOR POR PL'!$P$8,$CB19:$JS19)</f>
        <v>0</v>
      </c>
      <c r="BY19" s="50" t="n">
        <f aca="false">SUM($CB19:$JS19)</f>
        <v>6863872.54</v>
      </c>
      <c r="BZ19" s="45" t="n">
        <f aca="false">SUMPRODUCT(($CB$4:$JS$4&lt;&gt;"")*($CB$4:$JS$4&lt;=$D$4),$CB19:$JS19,$CB$1:$JS$1)</f>
        <v>0</v>
      </c>
      <c r="CB19" s="133" t="n">
        <f aca="false">IF(OR(CB$4="",$B19=""),0,SUMIF('DADOS BRUTOS'!$A$3:$A$500,$B19,'DADOS BRUTOS'!B$3:B$500)+IF($C19="",0,SUMIF('DADOS BRUTOS'!$A$3:$A$500,$C19,'DADOS BRUTOS'!B$3:B$500)))</f>
        <v>0</v>
      </c>
      <c r="CC19" s="133" t="n">
        <f aca="false">IF(OR(CC$4="",$B19=""),0,SUMIF('DADOS BRUTOS'!$A$3:$A$500,$B19,'DADOS BRUTOS'!C$3:C$500)+IF($C19="",0,SUMIF('DADOS BRUTOS'!$A$3:$A$500,$C19,'DADOS BRUTOS'!C$3:C$500)))</f>
        <v>0</v>
      </c>
      <c r="CD19" s="133" t="n">
        <f aca="false">IF(OR(CD$4="",$B19=""),0,SUMIF('DADOS BRUTOS'!$A$3:$A$500,$B19,'DADOS BRUTOS'!D$3:D$500)+IF($C19="",0,SUMIF('DADOS BRUTOS'!$A$3:$A$500,$C19,'DADOS BRUTOS'!D$3:D$500)))</f>
        <v>0</v>
      </c>
      <c r="CE19" s="133" t="n">
        <f aca="false">IF(OR(CE$4="",$B19=""),0,SUMIF('DADOS BRUTOS'!$A$3:$A$500,$B19,'DADOS BRUTOS'!E$3:E$500)+IF($C19="",0,SUMIF('DADOS BRUTOS'!$A$3:$A$500,$C19,'DADOS BRUTOS'!E$3:E$500)))</f>
        <v>0</v>
      </c>
      <c r="CF19" s="133" t="n">
        <f aca="false">IF(OR(CF$4="",$B19=""),0,SUMIF('DADOS BRUTOS'!$A$3:$A$500,$B19,'DADOS BRUTOS'!F$3:F$500)+IF($C19="",0,SUMIF('DADOS BRUTOS'!$A$3:$A$500,$C19,'DADOS BRUTOS'!F$3:F$500)))</f>
        <v>0</v>
      </c>
      <c r="CG19" s="133" t="n">
        <f aca="false">IF(OR(CG$4="",$B19=""),0,SUMIF('DADOS BRUTOS'!$A$3:$A$500,$B19,'DADOS BRUTOS'!G$3:G$500)+IF($C19="",0,SUMIF('DADOS BRUTOS'!$A$3:$A$500,$C19,'DADOS BRUTOS'!G$3:G$500)))</f>
        <v>0</v>
      </c>
      <c r="CH19" s="133" t="n">
        <f aca="false">IF(OR(CH$4="",$B19=""),0,SUMIF('DADOS BRUTOS'!$A$3:$A$500,$B19,'DADOS BRUTOS'!H$3:H$500)+IF($C19="",0,SUMIF('DADOS BRUTOS'!$A$3:$A$500,$C19,'DADOS BRUTOS'!H$3:H$500)))</f>
        <v>0</v>
      </c>
      <c r="CI19" s="133" t="n">
        <f aca="false">IF(OR(CI$4="",$B19=""),0,SUMIF('DADOS BRUTOS'!$A$3:$A$500,$B19,'DADOS BRUTOS'!I$3:I$500)+IF($C19="",0,SUMIF('DADOS BRUTOS'!$A$3:$A$500,$C19,'DADOS BRUTOS'!I$3:I$500)))</f>
        <v>0</v>
      </c>
      <c r="CJ19" s="133" t="n">
        <f aca="false">IF(OR(CJ$4="",$B19=""),0,SUMIF('DADOS BRUTOS'!$A$3:$A$500,$B19,'DADOS BRUTOS'!J$3:J$500)+IF($C19="",0,SUMIF('DADOS BRUTOS'!$A$3:$A$500,$C19,'DADOS BRUTOS'!J$3:J$500)))</f>
        <v>0</v>
      </c>
      <c r="CK19" s="133" t="n">
        <f aca="false">IF(OR(CK$4="",$B19=""),0,SUMIF('DADOS BRUTOS'!$A$3:$A$500,$B19,'DADOS BRUTOS'!K$3:K$500)+IF($C19="",0,SUMIF('DADOS BRUTOS'!$A$3:$A$500,$C19,'DADOS BRUTOS'!K$3:K$500)))</f>
        <v>0</v>
      </c>
      <c r="CL19" s="133" t="n">
        <f aca="false">IF(OR(CL$4="",$B19=""),0,SUMIF('DADOS BRUTOS'!$A$3:$A$500,$B19,'DADOS BRUTOS'!L$3:L$500)+IF($C19="",0,SUMIF('DADOS BRUTOS'!$A$3:$A$500,$C19,'DADOS BRUTOS'!L$3:L$500)))</f>
        <v>0</v>
      </c>
      <c r="CM19" s="133" t="n">
        <f aca="false">IF(OR(CM$4="",$B19=""),0,SUMIF('DADOS BRUTOS'!$A$3:$A$500,$B19,'DADOS BRUTOS'!M$3:M$500)+IF($C19="",0,SUMIF('DADOS BRUTOS'!$A$3:$A$500,$C19,'DADOS BRUTOS'!M$3:M$500)))</f>
        <v>0</v>
      </c>
      <c r="CN19" s="133" t="n">
        <f aca="false">IF(OR(CN$4="",$B19=""),0,SUMIF('DADOS BRUTOS'!$A$3:$A$500,$B19,'DADOS BRUTOS'!N$3:N$500)+IF($C19="",0,SUMIF('DADOS BRUTOS'!$A$3:$A$500,$C19,'DADOS BRUTOS'!N$3:N$500)))</f>
        <v>0</v>
      </c>
      <c r="CO19" s="133" t="n">
        <f aca="false">IF(OR(CO$4="",$B19=""),0,SUMIF('DADOS BRUTOS'!$A$3:$A$500,$B19,'DADOS BRUTOS'!O$3:O$500)+IF($C19="",0,SUMIF('DADOS BRUTOS'!$A$3:$A$500,$C19,'DADOS BRUTOS'!O$3:O$500)))</f>
        <v>0</v>
      </c>
      <c r="CP19" s="133" t="n">
        <f aca="false">IF(OR(CP$4="",$B19=""),0,SUMIF('DADOS BRUTOS'!$A$3:$A$500,$B19,'DADOS BRUTOS'!P$3:P$500)+IF($C19="",0,SUMIF('DADOS BRUTOS'!$A$3:$A$500,$C19,'DADOS BRUTOS'!P$3:P$500)))</f>
        <v>0</v>
      </c>
      <c r="CQ19" s="133" t="n">
        <f aca="false">IF(OR(CQ$4="",$B19=""),0,SUMIF('DADOS BRUTOS'!$A$3:$A$500,$B19,'DADOS BRUTOS'!Q$3:Q$500)+IF($C19="",0,SUMIF('DADOS BRUTOS'!$A$3:$A$500,$C19,'DADOS BRUTOS'!Q$3:Q$500)))</f>
        <v>0</v>
      </c>
      <c r="CR19" s="133" t="n">
        <f aca="false">IF(OR(CR$4="",$B19=""),0,SUMIF('DADOS BRUTOS'!$A$3:$A$500,$B19,'DADOS BRUTOS'!R$3:R$500)+IF($C19="",0,SUMIF('DADOS BRUTOS'!$A$3:$A$500,$C19,'DADOS BRUTOS'!R$3:R$500)))</f>
        <v>0</v>
      </c>
      <c r="CS19" s="133" t="n">
        <f aca="false">IF(OR(CS$4="",$B19=""),0,SUMIF('DADOS BRUTOS'!$A$3:$A$500,$B19,'DADOS BRUTOS'!S$3:S$500)+IF($C19="",0,SUMIF('DADOS BRUTOS'!$A$3:$A$500,$C19,'DADOS BRUTOS'!S$3:S$500)))</f>
        <v>0</v>
      </c>
      <c r="CT19" s="133" t="n">
        <f aca="false">IF(OR(CT$4="",$B19=""),0,SUMIF('DADOS BRUTOS'!$A$3:$A$500,$B19,'DADOS BRUTOS'!T$3:T$500)+IF($C19="",0,SUMIF('DADOS BRUTOS'!$A$3:$A$500,$C19,'DADOS BRUTOS'!T$3:T$500)))</f>
        <v>0</v>
      </c>
      <c r="CU19" s="133" t="n">
        <f aca="false">IF(OR(CU$4="",$B19=""),0,SUMIF('DADOS BRUTOS'!$A$3:$A$500,$B19,'DADOS BRUTOS'!U$3:U$500)+IF($C19="",0,SUMIF('DADOS BRUTOS'!$A$3:$A$500,$C19,'DADOS BRUTOS'!U$3:U$500)))</f>
        <v>0</v>
      </c>
      <c r="CV19" s="133" t="n">
        <f aca="false">IF(OR(CV$4="",$B19=""),0,SUMIF('DADOS BRUTOS'!$A$3:$A$500,$B19,'DADOS BRUTOS'!V$3:V$500)+IF($C19="",0,SUMIF('DADOS BRUTOS'!$A$3:$A$500,$C19,'DADOS BRUTOS'!V$3:V$500)))</f>
        <v>1930</v>
      </c>
      <c r="CW19" s="133" t="n">
        <f aca="false">IF(OR(CW$4="",$B19=""),0,SUMIF('DADOS BRUTOS'!$A$3:$A$500,$B19,'DADOS BRUTOS'!W$3:W$500)+IF($C19="",0,SUMIF('DADOS BRUTOS'!$A$3:$A$500,$C19,'DADOS BRUTOS'!W$3:W$500)))</f>
        <v>145877.57</v>
      </c>
      <c r="CX19" s="133" t="n">
        <f aca="false">IF(OR(CX$4="",$B19=""),0,SUMIF('DADOS BRUTOS'!$A$3:$A$500,$B19,'DADOS BRUTOS'!X$3:X$500)+IF($C19="",0,SUMIF('DADOS BRUTOS'!$A$3:$A$500,$C19,'DADOS BRUTOS'!X$3:X$500)))</f>
        <v>521095.71</v>
      </c>
      <c r="CY19" s="133" t="n">
        <f aca="false">IF(OR(CY$4="",$B19=""),0,SUMIF('DADOS BRUTOS'!$A$3:$A$500,$B19,'DADOS BRUTOS'!Y$3:Y$500)+IF($C19="",0,SUMIF('DADOS BRUTOS'!$A$3:$A$500,$C19,'DADOS BRUTOS'!Y$3:Y$500)))</f>
        <v>1121245.4</v>
      </c>
      <c r="CZ19" s="133" t="n">
        <f aca="false">IF(OR(CZ$4="",$B19=""),0,SUMIF('DADOS BRUTOS'!$A$3:$A$500,$B19,'DADOS BRUTOS'!Z$3:Z$500)+IF($C19="",0,SUMIF('DADOS BRUTOS'!$A$3:$A$500,$C19,'DADOS BRUTOS'!Z$3:Z$500)))</f>
        <v>876284.06</v>
      </c>
      <c r="DA19" s="133" t="n">
        <f aca="false">IF(OR(DA$4="",$B19=""),0,SUMIF('DADOS BRUTOS'!$A$3:$A$500,$B19,'DADOS BRUTOS'!AA$3:AA$500)+IF($C19="",0,SUMIF('DADOS BRUTOS'!$A$3:$A$500,$C19,'DADOS BRUTOS'!AA$3:AA$500)))</f>
        <v>1371139.53</v>
      </c>
      <c r="DB19" s="133" t="n">
        <f aca="false">IF(OR(DB$4="",$B19=""),0,SUMIF('DADOS BRUTOS'!$A$3:$A$500,$B19,'DADOS BRUTOS'!AB$3:AB$500)+IF($C19="",0,SUMIF('DADOS BRUTOS'!$A$3:$A$500,$C19,'DADOS BRUTOS'!AB$3:AB$500)))</f>
        <v>644213.9</v>
      </c>
      <c r="DC19" s="133" t="n">
        <f aca="false">IF(OR(DC$4="",$B19=""),0,SUMIF('DADOS BRUTOS'!$A$3:$A$500,$B19,'DADOS BRUTOS'!AC$3:AC$500)+IF($C19="",0,SUMIF('DADOS BRUTOS'!$A$3:$A$500,$C19,'DADOS BRUTOS'!AC$3:AC$500)))</f>
        <v>1233027.32</v>
      </c>
      <c r="DD19" s="133" t="n">
        <f aca="false">IF(OR(DD$4="",$B19=""),0,SUMIF('DADOS BRUTOS'!$A$3:$A$500,$B19,'DADOS BRUTOS'!AD$3:AD$500)+IF($C19="",0,SUMIF('DADOS BRUTOS'!$A$3:$A$500,$C19,'DADOS BRUTOS'!AD$3:AD$500)))</f>
        <v>606377.66</v>
      </c>
      <c r="DE19" s="133" t="n">
        <f aca="false">IF(OR(DE$4="",$B19=""),0,SUMIF('DADOS BRUTOS'!$A$3:$A$500,$B19,'DADOS BRUTOS'!AE$3:AE$500)+IF($C19="",0,SUMIF('DADOS BRUTOS'!$A$3:$A$500,$C19,'DADOS BRUTOS'!AE$3:AE$500)))</f>
        <v>43774.24</v>
      </c>
      <c r="DF19" s="133" t="n">
        <f aca="false">IF(OR(DF$4="",$B19=""),0,SUMIF('DADOS BRUTOS'!$A$3:$A$500,$B19,'DADOS BRUTOS'!AF$3:AF$500)+IF($C19="",0,SUMIF('DADOS BRUTOS'!$A$3:$A$500,$C19,'DADOS BRUTOS'!AF$3:AF$500)))</f>
        <v>15692.87</v>
      </c>
      <c r="DG19" s="133" t="n">
        <f aca="false">IF(OR(DG$4="",$B19=""),0,SUMIF('DADOS BRUTOS'!$A$3:$A$500,$B19,'DADOS BRUTOS'!AG$3:AG$500)+IF($C19="",0,SUMIF('DADOS BRUTOS'!$A$3:$A$500,$C19,'DADOS BRUTOS'!AG$3:AG$500)))</f>
        <v>78401.44</v>
      </c>
      <c r="DH19" s="133" t="n">
        <f aca="false">IF(OR(DH$4="",$B19=""),0,SUMIF('DADOS BRUTOS'!$A$3:$A$500,$B19,'DADOS BRUTOS'!AH$3:AH$500)+IF($C19="",0,SUMIF('DADOS BRUTOS'!$A$3:$A$500,$C19,'DADOS BRUTOS'!AH$3:AH$500)))</f>
        <v>37660.47</v>
      </c>
      <c r="DI19" s="133" t="n">
        <f aca="false">IF(OR(DI$4="",$B19=""),0,SUMIF('DADOS BRUTOS'!$A$3:$A$500,$B19,'DADOS BRUTOS'!AI$3:AI$500)+IF($C19="",0,SUMIF('DADOS BRUTOS'!$A$3:$A$500,$C19,'DADOS BRUTOS'!AI$3:AI$500)))</f>
        <v>102068.64</v>
      </c>
      <c r="DJ19" s="133" t="n">
        <f aca="false">IF(OR(DJ$4="",$B19=""),0,SUMIF('DADOS BRUTOS'!$A$3:$A$500,$B19,'DADOS BRUTOS'!AJ$3:AJ$500)+IF($C19="",0,SUMIF('DADOS BRUTOS'!$A$3:$A$500,$C19,'DADOS BRUTOS'!AJ$3:AJ$500)))</f>
        <v>34599.67</v>
      </c>
      <c r="DK19" s="133" t="n">
        <f aca="false">IF(OR(DK$4="",$B19=""),0,SUMIF('DADOS BRUTOS'!$A$3:$A$500,$B19,'DADOS BRUTOS'!AK$3:AK$500)+IF($C19="",0,SUMIF('DADOS BRUTOS'!$A$3:$A$500,$C19,'DADOS BRUTOS'!AK$3:AK$500)))</f>
        <v>10360.68</v>
      </c>
      <c r="DL19" s="133" t="n">
        <f aca="false">IF(OR(DL$4="",$B19=""),0,SUMIF('DADOS BRUTOS'!$A$3:$A$500,$B19,'DADOS BRUTOS'!AL$3:AL$500)+IF($C19="",0,SUMIF('DADOS BRUTOS'!$A$3:$A$500,$C19,'DADOS BRUTOS'!AL$3:AL$500)))</f>
        <v>5768</v>
      </c>
      <c r="DM19" s="133" t="n">
        <f aca="false">IF(OR(DM$4="",$B19=""),0,SUMIF('DADOS BRUTOS'!$A$3:$A$500,$B19,'DADOS BRUTOS'!AM$3:AM$500)+IF($C19="",0,SUMIF('DADOS BRUTOS'!$A$3:$A$500,$C19,'DADOS BRUTOS'!AM$3:AM$500)))</f>
        <v>0</v>
      </c>
      <c r="DN19" s="133" t="n">
        <f aca="false">IF(OR(DN$4="",$B19=""),0,SUMIF('DADOS BRUTOS'!$A$3:$A$500,$B19,'DADOS BRUTOS'!AN$3:AN$500)+IF($C19="",0,SUMIF('DADOS BRUTOS'!$A$3:$A$500,$C19,'DADOS BRUTOS'!AN$3:AN$500)))</f>
        <v>2828</v>
      </c>
      <c r="DO19" s="133" t="n">
        <f aca="false">IF(OR(DO$4="",$B19=""),0,SUMIF('DADOS BRUTOS'!$A$3:$A$500,$B19,'DADOS BRUTOS'!AO$3:AO$500)+IF($C19="",0,SUMIF('DADOS BRUTOS'!$A$3:$A$500,$C19,'DADOS BRUTOS'!AO$3:AO$500)))</f>
        <v>9483.38</v>
      </c>
      <c r="DP19" s="133" t="n">
        <f aca="false">IF(OR(DP$4="",$B19=""),0,SUMIF('DADOS BRUTOS'!$A$3:$A$500,$B19,'DADOS BRUTOS'!AP$3:AP$500)+IF($C19="",0,SUMIF('DADOS BRUTOS'!$A$3:$A$500,$C19,'DADOS BRUTOS'!AP$3:AP$500)))</f>
        <v>0</v>
      </c>
      <c r="DQ19" s="133" t="n">
        <f aca="false">IF(OR(DQ$4="",$B19=""),0,SUMIF('DADOS BRUTOS'!$A$3:$A$500,$B19,'DADOS BRUTOS'!AQ$3:AQ$500)+IF($C19="",0,SUMIF('DADOS BRUTOS'!$A$3:$A$500,$C19,'DADOS BRUTOS'!AQ$3:AQ$500)))</f>
        <v>0</v>
      </c>
      <c r="DR19" s="133" t="n">
        <f aca="false">IF(OR(DR$4="",$B19=""),0,SUMIF('DADOS BRUTOS'!$A$3:$A$500,$B19,'DADOS BRUTOS'!AR$3:AR$500)+IF($C19="",0,SUMIF('DADOS BRUTOS'!$A$3:$A$500,$C19,'DADOS BRUTOS'!AR$3:AR$500)))</f>
        <v>0</v>
      </c>
      <c r="DS19" s="133" t="n">
        <f aca="false">IF(OR(DS$4="",$B19=""),0,SUMIF('DADOS BRUTOS'!$A$3:$A$500,$B19,'DADOS BRUTOS'!AS$3:AS$500)+IF($C19="",0,SUMIF('DADOS BRUTOS'!$A$3:$A$500,$C19,'DADOS BRUTOS'!AS$3:AS$500)))</f>
        <v>0</v>
      </c>
      <c r="DT19" s="133" t="n">
        <f aca="false">IF(OR(DT$4="",$B19=""),0,SUMIF('DADOS BRUTOS'!$A$3:$A$500,$B19,'DADOS BRUTOS'!AT$3:AT$500)+IF($C19="",0,SUMIF('DADOS BRUTOS'!$A$3:$A$500,$C19,'DADOS BRUTOS'!AT$3:AT$500)))</f>
        <v>0</v>
      </c>
      <c r="DU19" s="133" t="n">
        <f aca="false">IF(OR(DU$4="",$B19=""),0,SUMIF('DADOS BRUTOS'!$A$3:$A$500,$B19,'DADOS BRUTOS'!AU$3:AU$500)+IF($C19="",0,SUMIF('DADOS BRUTOS'!$A$3:$A$500,$C19,'DADOS BRUTOS'!AU$3:AU$500)))</f>
        <v>0</v>
      </c>
      <c r="DV19" s="133" t="n">
        <f aca="false">IF(OR(DV$4="",$B19=""),0,SUMIF('DADOS BRUTOS'!$A$3:$A$500,$B19,'DADOS BRUTOS'!AV$3:AV$500)+IF($C19="",0,SUMIF('DADOS BRUTOS'!$A$3:$A$500,$C19,'DADOS BRUTOS'!AV$3:AV$500)))</f>
        <v>0</v>
      </c>
      <c r="DW19" s="133" t="n">
        <f aca="false">IF(OR(DW$4="",$B19=""),0,SUMIF('DADOS BRUTOS'!$A$3:$A$500,$B19,'DADOS BRUTOS'!AW$3:AW$500)+IF($C19="",0,SUMIF('DADOS BRUTOS'!$A$3:$A$500,$C19,'DADOS BRUTOS'!AW$3:AW$500)))</f>
        <v>0</v>
      </c>
      <c r="DX19" s="133" t="n">
        <f aca="false">IF(OR(DX$4="",$B19=""),0,SUMIF('DADOS BRUTOS'!$A$3:$A$500,$B19,'DADOS BRUTOS'!AX$3:AX$500)+IF($C19="",0,SUMIF('DADOS BRUTOS'!$A$3:$A$500,$C19,'DADOS BRUTOS'!AX$3:AX$500)))</f>
        <v>0</v>
      </c>
      <c r="DY19" s="133" t="n">
        <f aca="false">IF(OR(DY$4="",$B19=""),0,SUMIF('DADOS BRUTOS'!$A$3:$A$500,$B19,'DADOS BRUTOS'!AY$3:AY$500)+IF($C19="",0,SUMIF('DADOS BRUTOS'!$A$3:$A$500,$C19,'DADOS BRUTOS'!AY$3:AY$500)))</f>
        <v>0</v>
      </c>
      <c r="DZ19" s="133" t="n">
        <f aca="false">IF(OR(DZ$4="",$B19=""),0,SUMIF('DADOS BRUTOS'!$A$3:$A$500,$B19,'DADOS BRUTOS'!AZ$3:AZ$500)+IF($C19="",0,SUMIF('DADOS BRUTOS'!$A$3:$A$500,$C19,'DADOS BRUTOS'!AZ$3:AZ$500)))</f>
        <v>0</v>
      </c>
      <c r="EA19" s="133" t="n">
        <f aca="false">IF(OR(EA$4="",$B19=""),0,SUMIF('DADOS BRUTOS'!$A$3:$A$500,$B19,'DADOS BRUTOS'!BA$3:BA$500)+IF($C19="",0,SUMIF('DADOS BRUTOS'!$A$3:$A$500,$C19,'DADOS BRUTOS'!BA$3:BA$500)))</f>
        <v>0</v>
      </c>
      <c r="EB19" s="133" t="n">
        <f aca="false">IF(OR(EB$4="",$B19=""),0,SUMIF('DADOS BRUTOS'!$A$3:$A$500,$B19,'DADOS BRUTOS'!BB$3:BB$500)+IF($C19="",0,SUMIF('DADOS BRUTOS'!$A$3:$A$500,$C19,'DADOS BRUTOS'!BB$3:BB$500)))</f>
        <v>0</v>
      </c>
      <c r="EC19" s="133" t="n">
        <f aca="false">IF(OR(EC$4="",$B19=""),0,SUMIF('DADOS BRUTOS'!$A$3:$A$500,$B19,'DADOS BRUTOS'!BC$3:BC$500)+IF($C19="",0,SUMIF('DADOS BRUTOS'!$A$3:$A$500,$C19,'DADOS BRUTOS'!BC$3:BC$500)))</f>
        <v>0</v>
      </c>
      <c r="ED19" s="133" t="n">
        <f aca="false">IF(OR(ED$4="",$B19=""),0,SUMIF('DADOS BRUTOS'!$A$3:$A$500,$B19,'DADOS BRUTOS'!BD$3:BD$500)+IF($C19="",0,SUMIF('DADOS BRUTOS'!$A$3:$A$500,$C19,'DADOS BRUTOS'!BD$3:BD$500)))</f>
        <v>0</v>
      </c>
      <c r="EE19" s="133" t="n">
        <f aca="false">IF(OR(EE$4="",$B19=""),0,SUMIF('DADOS BRUTOS'!$A$3:$A$500,$B19,'DADOS BRUTOS'!BE$3:BE$500)+IF($C19="",0,SUMIF('DADOS BRUTOS'!$A$3:$A$500,$C19,'DADOS BRUTOS'!BE$3:BE$500)))</f>
        <v>2044</v>
      </c>
      <c r="EF19" s="133" t="n">
        <f aca="false">IF(OR(EF$4="",$B19=""),0,SUMIF('DADOS BRUTOS'!$A$3:$A$500,$B19,'DADOS BRUTOS'!BF$3:BF$500)+IF($C19="",0,SUMIF('DADOS BRUTOS'!$A$3:$A$500,$C19,'DADOS BRUTOS'!BF$3:BF$500)))</f>
        <v>0</v>
      </c>
      <c r="EG19" s="133" t="n">
        <f aca="false">IF(OR(EG$4="",$B19=""),0,SUMIF('DADOS BRUTOS'!$A$3:$A$500,$B19,'DADOS BRUTOS'!BG$3:BG$500)+IF($C19="",0,SUMIF('DADOS BRUTOS'!$A$3:$A$500,$C19,'DADOS BRUTOS'!BG$3:BG$500)))</f>
        <v>0</v>
      </c>
      <c r="EH19" s="133" t="n">
        <f aca="false">IF(OR(EH$4="",$B19=""),0,SUMIF('DADOS BRUTOS'!$A$3:$A$500,$B19,'DADOS BRUTOS'!BH$3:BH$500)+IF($C19="",0,SUMIF('DADOS BRUTOS'!$A$3:$A$500,$C19,'DADOS BRUTOS'!BH$3:BH$500)))</f>
        <v>0</v>
      </c>
      <c r="EI19" s="133" t="n">
        <f aca="false">IF(OR(EI$4="",$B19=""),0,SUMIF('DADOS BRUTOS'!$A$3:$A$500,$B19,'DADOS BRUTOS'!BI$3:BI$500)+IF($C19="",0,SUMIF('DADOS BRUTOS'!$A$3:$A$500,$C19,'DADOS BRUTOS'!BI$3:BI$500)))</f>
        <v>0</v>
      </c>
      <c r="EJ19" s="133" t="n">
        <f aca="false">IF(OR(EJ$4="",$B19=""),0,SUMIF('DADOS BRUTOS'!$A$3:$A$500,$B19,'DADOS BRUTOS'!BJ$3:BJ$500)+IF($C19="",0,SUMIF('DADOS BRUTOS'!$A$3:$A$500,$C19,'DADOS BRUTOS'!BJ$3:BJ$500)))</f>
        <v>0</v>
      </c>
      <c r="EK19" s="133" t="n">
        <f aca="false">IF(OR(EK$4="",$B19=""),0,SUMIF('DADOS BRUTOS'!$A$3:$A$500,$B19,'DADOS BRUTOS'!BK$3:BK$500)+IF($C19="",0,SUMIF('DADOS BRUTOS'!$A$3:$A$500,$C19,'DADOS BRUTOS'!BK$3:BK$500)))</f>
        <v>0</v>
      </c>
      <c r="EL19" s="133" t="n">
        <f aca="false">IF(OR(EL$4="",$B19=""),0,SUMIF('DADOS BRUTOS'!$A$3:$A$500,$B19,'DADOS BRUTOS'!BL$3:BL$500)+IF($C19="",0,SUMIF('DADOS BRUTOS'!$A$3:$A$500,$C19,'DADOS BRUTOS'!BL$3:BL$500)))</f>
        <v>0</v>
      </c>
      <c r="EM19" s="133" t="n">
        <f aca="false">IF(OR(EM$4="",$B19=""),0,SUMIF('DADOS BRUTOS'!$A$3:$A$500,$B19,'DADOS BRUTOS'!BM$3:BM$500)+IF($C19="",0,SUMIF('DADOS BRUTOS'!$A$3:$A$500,$C19,'DADOS BRUTOS'!BM$3:BM$500)))</f>
        <v>0</v>
      </c>
      <c r="EN19" s="133" t="n">
        <f aca="false">IF(OR(EN$4="",$B19=""),0,SUMIF('DADOS BRUTOS'!$A$3:$A$500,$B19,'DADOS BRUTOS'!BN$3:BN$500)+IF($C19="",0,SUMIF('DADOS BRUTOS'!$A$3:$A$500,$C19,'DADOS BRUTOS'!BN$3:BN$500)))</f>
        <v>0</v>
      </c>
      <c r="EO19" s="133" t="n">
        <f aca="false">IF(OR(EO$4="",$B19=""),0,SUMIF('DADOS BRUTOS'!$A$3:$A$500,$B19,'DADOS BRUTOS'!BO$3:BO$500)+IF($C19="",0,SUMIF('DADOS BRUTOS'!$A$3:$A$500,$C19,'DADOS BRUTOS'!BO$3:BO$500)))</f>
        <v>0</v>
      </c>
      <c r="EP19" s="133" t="n">
        <f aca="false">IF(OR(EP$4="",$B19=""),0,SUMIF('DADOS BRUTOS'!$A$3:$A$500,$B19,'DADOS BRUTOS'!BP$3:BP$500)+IF($C19="",0,SUMIF('DADOS BRUTOS'!$A$3:$A$500,$C19,'DADOS BRUTOS'!BP$3:BP$500)))</f>
        <v>0</v>
      </c>
      <c r="EQ19" s="133" t="n">
        <f aca="false">IF(OR(EQ$4="",$B19=""),0,SUMIF('DADOS BRUTOS'!$A$3:$A$500,$B19,'DADOS BRUTOS'!BQ$3:BQ$500)+IF($C19="",0,SUMIF('DADOS BRUTOS'!$A$3:$A$500,$C19,'DADOS BRUTOS'!BQ$3:BQ$500)))</f>
        <v>0</v>
      </c>
      <c r="ER19" s="133" t="n">
        <f aca="false">IF(OR(ER$4="",$B19=""),0,SUMIF('DADOS BRUTOS'!$A$3:$A$500,$B19,'DADOS BRUTOS'!BR$3:BR$500)+IF($C19="",0,SUMIF('DADOS BRUTOS'!$A$3:$A$500,$C19,'DADOS BRUTOS'!BR$3:BR$500)))</f>
        <v>0</v>
      </c>
      <c r="ES19" s="133" t="n">
        <f aca="false">IF(OR(ES$4="",$B19=""),0,SUMIF('DADOS BRUTOS'!$A$3:$A$500,$B19,'DADOS BRUTOS'!BS$3:BS$500)+IF($C19="",0,SUMIF('DADOS BRUTOS'!$A$3:$A$500,$C19,'DADOS BRUTOS'!BS$3:BS$500)))</f>
        <v>0</v>
      </c>
      <c r="ET19" s="133" t="n">
        <f aca="false">IF(OR(ET$4="",$B19=""),0,SUMIF('DADOS BRUTOS'!$A$3:$A$500,$B19,'DADOS BRUTOS'!BT$3:BT$500)+IF($C19="",0,SUMIF('DADOS BRUTOS'!$A$3:$A$500,$C19,'DADOS BRUTOS'!BT$3:BT$500)))</f>
        <v>0</v>
      </c>
      <c r="EU19" s="133" t="n">
        <f aca="false">IF(OR(EU$4="",$B19=""),0,SUMIF('DADOS BRUTOS'!$A$3:$A$500,$B19,'DADOS BRUTOS'!BU$3:BU$500)+IF($C19="",0,SUMIF('DADOS BRUTOS'!$A$3:$A$500,$C19,'DADOS BRUTOS'!BU$3:BU$500)))</f>
        <v>0</v>
      </c>
      <c r="EV19" s="133" t="n">
        <f aca="false">IF(OR(EV$4="",$B19=""),0,SUMIF('DADOS BRUTOS'!$A$3:$A$500,$B19,'DADOS BRUTOS'!BV$3:BV$500)+IF($C19="",0,SUMIF('DADOS BRUTOS'!$A$3:$A$500,$C19,'DADOS BRUTOS'!BV$3:BV$500)))</f>
        <v>0</v>
      </c>
      <c r="EW19" s="133" t="n">
        <f aca="false">IF(OR(EW$4="",$B19=""),0,SUMIF('DADOS BRUTOS'!$A$3:$A$500,$B19,'DADOS BRUTOS'!BW$3:BW$500)+IF($C19="",0,SUMIF('DADOS BRUTOS'!$A$3:$A$500,$C19,'DADOS BRUTOS'!BW$3:BW$500)))</f>
        <v>0</v>
      </c>
      <c r="EX19" s="133" t="n">
        <f aca="false">IF(OR(EX$4="",$B19=""),0,SUMIF('DADOS BRUTOS'!$A$3:$A$500,$B19,'DADOS BRUTOS'!BX$3:BX$500)+IF($C19="",0,SUMIF('DADOS BRUTOS'!$A$3:$A$500,$C19,'DADOS BRUTOS'!BX$3:BX$500)))</f>
        <v>0</v>
      </c>
      <c r="EY19" s="133" t="n">
        <f aca="false">IF(OR(EY$4="",$B19=""),0,SUMIF('DADOS BRUTOS'!$A$3:$A$500,$B19,'DADOS BRUTOS'!BY$3:BY$500)+IF($C19="",0,SUMIF('DADOS BRUTOS'!$A$3:$A$500,$C19,'DADOS BRUTOS'!BY$3:BY$500)))</f>
        <v>0</v>
      </c>
      <c r="EZ19" s="133" t="n">
        <f aca="false">IF(OR(EZ$4="",$B19=""),0,SUMIF('DADOS BRUTOS'!$A$3:$A$500,$B19,'DADOS BRUTOS'!BZ$3:BZ$500)+IF($C19="",0,SUMIF('DADOS BRUTOS'!$A$3:$A$500,$C19,'DADOS BRUTOS'!BZ$3:BZ$500)))</f>
        <v>0</v>
      </c>
      <c r="FA19" s="133" t="n">
        <f aca="false">IF(OR(FA$4="",$B19=""),0,SUMIF('DADOS BRUTOS'!$A$3:$A$500,$B19,'DADOS BRUTOS'!CA$3:CA$500)+IF($C19="",0,SUMIF('DADOS BRUTOS'!$A$3:$A$500,$C19,'DADOS BRUTOS'!CA$3:CA$500)))</f>
        <v>0</v>
      </c>
      <c r="FB19" s="133" t="n">
        <f aca="false">IF(OR(FB$4="",$B19=""),0,SUMIF('DADOS BRUTOS'!$A$3:$A$500,$B19,'DADOS BRUTOS'!CB$3:CB$500)+IF($C19="",0,SUMIF('DADOS BRUTOS'!$A$3:$A$500,$C19,'DADOS BRUTOS'!CB$3:CB$500)))</f>
        <v>0</v>
      </c>
      <c r="FC19" s="133" t="n">
        <f aca="false">IF(OR(FC$4="",$B19=""),0,SUMIF('DADOS BRUTOS'!$A$3:$A$500,$B19,'DADOS BRUTOS'!CC$3:CC$500)+IF($C19="",0,SUMIF('DADOS BRUTOS'!$A$3:$A$500,$C19,'DADOS BRUTOS'!CC$3:CC$500)))</f>
        <v>0</v>
      </c>
      <c r="FD19" s="133" t="n">
        <f aca="false">IF(OR(FD$4="",$B19=""),0,SUMIF('DADOS BRUTOS'!$A$3:$A$500,$B19,'DADOS BRUTOS'!CD$3:CD$500)+IF($C19="",0,SUMIF('DADOS BRUTOS'!$A$3:$A$500,$C19,'DADOS BRUTOS'!CD$3:CD$500)))</f>
        <v>0</v>
      </c>
      <c r="FE19" s="133" t="n">
        <f aca="false">IF(OR(FE$4="",$B19=""),0,SUMIF('DADOS BRUTOS'!$A$3:$A$500,$B19,'DADOS BRUTOS'!CE$3:CE$500)+IF($C19="",0,SUMIF('DADOS BRUTOS'!$A$3:$A$500,$C19,'DADOS BRUTOS'!CE$3:CE$500)))</f>
        <v>0</v>
      </c>
      <c r="FF19" s="133" t="n">
        <f aca="false">IF(OR(FF$4="",$B19=""),0,SUMIF('DADOS BRUTOS'!$A$3:$A$500,$B19,'DADOS BRUTOS'!CF$3:CF$500)+IF($C19="",0,SUMIF('DADOS BRUTOS'!$A$3:$A$500,$C19,'DADOS BRUTOS'!CF$3:CF$500)))</f>
        <v>0</v>
      </c>
      <c r="FG19" s="133" t="n">
        <f aca="false">IF(OR(FG$4="",$B19=""),0,SUMIF('DADOS BRUTOS'!$A$3:$A$500,$B19,'DADOS BRUTOS'!CG$3:CG$500)+IF($C19="",0,SUMIF('DADOS BRUTOS'!$A$3:$A$500,$C19,'DADOS BRUTOS'!CG$3:CG$500)))</f>
        <v>0</v>
      </c>
      <c r="FH19" s="133" t="n">
        <f aca="false">IF(OR(FH$4="",$B19=""),0,SUMIF('DADOS BRUTOS'!$A$3:$A$500,$B19,'DADOS BRUTOS'!CH$3:CH$500)+IF($C19="",0,SUMIF('DADOS BRUTOS'!$A$3:$A$500,$C19,'DADOS BRUTOS'!CH$3:CH$500)))</f>
        <v>0</v>
      </c>
      <c r="FI19" s="133" t="n">
        <f aca="false">IF(OR(FI$4="",$B19=""),0,SUMIF('DADOS BRUTOS'!$A$3:$A$500,$B19,'DADOS BRUTOS'!CI$3:CI$500)+IF($C19="",0,SUMIF('DADOS BRUTOS'!$A$3:$A$500,$C19,'DADOS BRUTOS'!CI$3:CI$500)))</f>
        <v>0</v>
      </c>
      <c r="FJ19" s="133" t="n">
        <f aca="false">IF(OR(FJ$4="",$B19=""),0,SUMIF('DADOS BRUTOS'!$A$3:$A$500,$B19,'DADOS BRUTOS'!CJ$3:CJ$500)+IF($C19="",0,SUMIF('DADOS BRUTOS'!$A$3:$A$500,$C19,'DADOS BRUTOS'!CJ$3:CJ$500)))</f>
        <v>0</v>
      </c>
      <c r="FK19" s="133" t="n">
        <f aca="false">IF(OR(FK$4="",$B19=""),0,SUMIF('DADOS BRUTOS'!$A$3:$A$500,$B19,'DADOS BRUTOS'!CK$3:CK$500)+IF($C19="",0,SUMIF('DADOS BRUTOS'!$A$3:$A$500,$C19,'DADOS BRUTOS'!CK$3:CK$500)))</f>
        <v>0</v>
      </c>
      <c r="FL19" s="133" t="n">
        <f aca="false">IF(OR(FL$4="",$B19=""),0,SUMIF('DADOS BRUTOS'!$A$3:$A$500,$B19,'DADOS BRUTOS'!CL$3:CL$500)+IF($C19="",0,SUMIF('DADOS BRUTOS'!$A$3:$A$500,$C19,'DADOS BRUTOS'!CL$3:CL$500)))</f>
        <v>0</v>
      </c>
      <c r="FM19" s="133" t="n">
        <f aca="false">IF(OR(FM$4="",$B19=""),0,SUMIF('DADOS BRUTOS'!$A$3:$A$500,$B19,'DADOS BRUTOS'!CM$3:CM$500)+IF($C19="",0,SUMIF('DADOS BRUTOS'!$A$3:$A$500,$C19,'DADOS BRUTOS'!CM$3:CM$500)))</f>
        <v>0</v>
      </c>
      <c r="FN19" s="133" t="n">
        <f aca="false">IF(OR(FN$4="",$B19=""),0,SUMIF('DADOS BRUTOS'!$A$3:$A$500,$B19,'DADOS BRUTOS'!CN$3:CN$500)+IF($C19="",0,SUMIF('DADOS BRUTOS'!$A$3:$A$500,$C19,'DADOS BRUTOS'!CN$3:CN$500)))</f>
        <v>0</v>
      </c>
      <c r="FO19" s="133" t="n">
        <f aca="false">IF(OR(FO$4="",$B19=""),0,SUMIF('DADOS BRUTOS'!$A$3:$A$500,$B19,'DADOS BRUTOS'!CO$3:CO$500)+IF($C19="",0,SUMIF('DADOS BRUTOS'!$A$3:$A$500,$C19,'DADOS BRUTOS'!CO$3:CO$500)))</f>
        <v>0</v>
      </c>
      <c r="FP19" s="133" t="n">
        <f aca="false">IF(OR(FP$4="",$B19=""),0,SUMIF('DADOS BRUTOS'!$A$3:$A$500,$B19,'DADOS BRUTOS'!CP$3:CP$500)+IF($C19="",0,SUMIF('DADOS BRUTOS'!$A$3:$A$500,$C19,'DADOS BRUTOS'!CP$3:CP$500)))</f>
        <v>0</v>
      </c>
      <c r="FQ19" s="133" t="n">
        <f aca="false">IF(OR(FQ$4="",$B19=""),0,SUMIF('DADOS BRUTOS'!$A$3:$A$500,$B19,'DADOS BRUTOS'!CQ$3:CQ$500)+IF($C19="",0,SUMIF('DADOS BRUTOS'!$A$3:$A$500,$C19,'DADOS BRUTOS'!CQ$3:CQ$500)))</f>
        <v>0</v>
      </c>
      <c r="FR19" s="133" t="n">
        <f aca="false">IF(OR(FR$4="",$B19=""),0,SUMIF('DADOS BRUTOS'!$A$3:$A$500,$B19,'DADOS BRUTOS'!CR$3:CR$500)+IF($C19="",0,SUMIF('DADOS BRUTOS'!$A$3:$A$500,$C19,'DADOS BRUTOS'!CR$3:CR$500)))</f>
        <v>0</v>
      </c>
      <c r="FS19" s="133" t="n">
        <f aca="false">IF(OR(FS$4="",$B19=""),0,SUMIF('DADOS BRUTOS'!$A$3:$A$500,$B19,'DADOS BRUTOS'!CS$3:CS$500)+IF($C19="",0,SUMIF('DADOS BRUTOS'!$A$3:$A$500,$C19,'DADOS BRUTOS'!CS$3:CS$500)))</f>
        <v>0</v>
      </c>
      <c r="FT19" s="133" t="n">
        <f aca="false">IF(OR(FT$4="",$B19=""),0,SUMIF('DADOS BRUTOS'!$A$3:$A$500,$B19,'DADOS BRUTOS'!CT$3:CT$500)+IF($C19="",0,SUMIF('DADOS BRUTOS'!$A$3:$A$500,$C19,'DADOS BRUTOS'!CT$3:CT$500)))</f>
        <v>0</v>
      </c>
      <c r="FU19" s="133" t="n">
        <f aca="false">IF(OR(FU$4="",$B19=""),0,SUMIF('DADOS BRUTOS'!$A$3:$A$500,$B19,'DADOS BRUTOS'!CU$3:CU$500)+IF($C19="",0,SUMIF('DADOS BRUTOS'!$A$3:$A$500,$C19,'DADOS BRUTOS'!CU$3:CU$500)))</f>
        <v>0</v>
      </c>
      <c r="FV19" s="133" t="n">
        <f aca="false">IF(OR(FV$4="",$B19=""),0,SUMIF('DADOS BRUTOS'!$A$3:$A$500,$B19,'DADOS BRUTOS'!CV$3:CV$500)+IF($C19="",0,SUMIF('DADOS BRUTOS'!$A$3:$A$500,$C19,'DADOS BRUTOS'!CV$3:CV$500)))</f>
        <v>0</v>
      </c>
      <c r="FW19" s="133" t="n">
        <f aca="false">IF(OR(FW$4="",$B19=""),0,SUMIF('DADOS BRUTOS'!$A$3:$A$500,$B19,'DADOS BRUTOS'!CW$3:CW$500)+IF($C19="",0,SUMIF('DADOS BRUTOS'!$A$3:$A$500,$C19,'DADOS BRUTOS'!CW$3:CW$500)))</f>
        <v>0</v>
      </c>
      <c r="FX19" s="133" t="n">
        <f aca="false">IF(OR(FX$4="",$B19=""),0,SUMIF('DADOS BRUTOS'!$A$3:$A$500,$B19,'DADOS BRUTOS'!CX$3:CX$500)+IF($C19="",0,SUMIF('DADOS BRUTOS'!$A$3:$A$500,$C19,'DADOS BRUTOS'!CX$3:CX$500)))</f>
        <v>0</v>
      </c>
      <c r="FY19" s="133" t="n">
        <f aca="false">IF(OR(FY$4="",$B19=""),0,SUMIF('DADOS BRUTOS'!$A$3:$A$500,$B19,'DADOS BRUTOS'!CY$3:CY$500)+IF($C19="",0,SUMIF('DADOS BRUTOS'!$A$3:$A$500,$C19,'DADOS BRUTOS'!CY$3:CY$500)))</f>
        <v>0</v>
      </c>
      <c r="FZ19" s="133" t="n">
        <f aca="false">IF(OR(FZ$4="",$B19=""),0,SUMIF('DADOS BRUTOS'!$A$3:$A$500,$B19,'DADOS BRUTOS'!CZ$3:CZ$500)+IF($C19="",0,SUMIF('DADOS BRUTOS'!$A$3:$A$500,$C19,'DADOS BRUTOS'!CZ$3:CZ$500)))</f>
        <v>0</v>
      </c>
      <c r="GA19" s="133" t="n">
        <f aca="false">IF(OR(GA$4="",$B19=""),0,SUMIF('DADOS BRUTOS'!$A$3:$A$500,$B19,'DADOS BRUTOS'!DA$3:DA$500)+IF($C19="",0,SUMIF('DADOS BRUTOS'!$A$3:$A$500,$C19,'DADOS BRUTOS'!DA$3:DA$500)))</f>
        <v>0</v>
      </c>
      <c r="GB19" s="133" t="n">
        <f aca="false">IF(OR(GB$4="",$B19=""),0,SUMIF('DADOS BRUTOS'!$A$3:$A$500,$B19,'DADOS BRUTOS'!DB$3:DB$500)+IF($C19="",0,SUMIF('DADOS BRUTOS'!$A$3:$A$500,$C19,'DADOS BRUTOS'!DB$3:DB$500)))</f>
        <v>0</v>
      </c>
      <c r="GC19" s="133" t="n">
        <f aca="false">IF(OR(GC$4="",$B19=""),0,SUMIF('DADOS BRUTOS'!$A$3:$A$500,$B19,'DADOS BRUTOS'!DC$3:DC$500)+IF($C19="",0,SUMIF('DADOS BRUTOS'!$A$3:$A$500,$C19,'DADOS BRUTOS'!DC$3:DC$500)))</f>
        <v>0</v>
      </c>
      <c r="GD19" s="133" t="n">
        <f aca="false">IF(OR(GD$4="",$B19=""),0,SUMIF('DADOS BRUTOS'!$A$3:$A$500,$B19,'DADOS BRUTOS'!DD$3:DD$500)+IF($C19="",0,SUMIF('DADOS BRUTOS'!$A$3:$A$500,$C19,'DADOS BRUTOS'!DD$3:DD$500)))</f>
        <v>0</v>
      </c>
      <c r="GE19" s="133" t="n">
        <f aca="false">IF(OR(GE$4="",$B19=""),0,SUMIF('DADOS BRUTOS'!$A$3:$A$500,$B19,'DADOS BRUTOS'!DE$3:DE$500)+IF($C19="",0,SUMIF('DADOS BRUTOS'!$A$3:$A$500,$C19,'DADOS BRUTOS'!DE$3:DE$500)))</f>
        <v>0</v>
      </c>
      <c r="GF19" s="133" t="n">
        <f aca="false">IF(OR(GF$4="",$B19=""),0,SUMIF('DADOS BRUTOS'!$A$3:$A$500,$B19,'DADOS BRUTOS'!DF$3:DF$500)+IF($C19="",0,SUMIF('DADOS BRUTOS'!$A$3:$A$500,$C19,'DADOS BRUTOS'!DF$3:DF$500)))</f>
        <v>0</v>
      </c>
      <c r="GG19" s="133" t="n">
        <f aca="false">IF(OR(GG$4="",$B19=""),0,SUMIF('DADOS BRUTOS'!$A$3:$A$500,$B19,'DADOS BRUTOS'!DG$3:DG$500)+IF($C19="",0,SUMIF('DADOS BRUTOS'!$A$3:$A$500,$C19,'DADOS BRUTOS'!DG$3:DG$500)))</f>
        <v>0</v>
      </c>
      <c r="GH19" s="133" t="n">
        <f aca="false">IF(OR(GH$4="",$B19=""),0,SUMIF('DADOS BRUTOS'!$A$3:$A$500,$B19,'DADOS BRUTOS'!DH$3:DH$500)+IF($C19="",0,SUMIF('DADOS BRUTOS'!$A$3:$A$500,$C19,'DADOS BRUTOS'!DH$3:DH$500)))</f>
        <v>0</v>
      </c>
      <c r="GI19" s="133" t="n">
        <f aca="false">IF(OR(GI$4="",$B19=""),0,SUMIF('DADOS BRUTOS'!$A$3:$A$500,$B19,'DADOS BRUTOS'!DI$3:DI$500)+IF($C19="",0,SUMIF('DADOS BRUTOS'!$A$3:$A$500,$C19,'DADOS BRUTOS'!DI$3:DI$500)))</f>
        <v>0</v>
      </c>
      <c r="GJ19" s="133" t="n">
        <f aca="false">IF(OR(GJ$4="",$B19=""),0,SUMIF('DADOS BRUTOS'!$A$3:$A$500,$B19,'DADOS BRUTOS'!DJ$3:DJ$500)+IF($C19="",0,SUMIF('DADOS BRUTOS'!$A$3:$A$500,$C19,'DADOS BRUTOS'!DJ$3:DJ$500)))</f>
        <v>0</v>
      </c>
      <c r="GK19" s="133" t="n">
        <f aca="false">IF(OR(GK$4="",$B19=""),0,SUMIF('DADOS BRUTOS'!$A$3:$A$500,$B19,'DADOS BRUTOS'!DK$3:DK$500)+IF($C19="",0,SUMIF('DADOS BRUTOS'!$A$3:$A$500,$C19,'DADOS BRUTOS'!DK$3:DK$500)))</f>
        <v>0</v>
      </c>
      <c r="GL19" s="133" t="n">
        <f aca="false">IF(OR(GL$4="",$B19=""),0,SUMIF('DADOS BRUTOS'!$A$3:$A$500,$B19,'DADOS BRUTOS'!DL$3:DL$500)+IF($C19="",0,SUMIF('DADOS BRUTOS'!$A$3:$A$500,$C19,'DADOS BRUTOS'!DL$3:DL$500)))</f>
        <v>0</v>
      </c>
      <c r="GM19" s="133" t="n">
        <f aca="false">IF(OR(GM$4="",$B19=""),0,SUMIF('DADOS BRUTOS'!$A$3:$A$500,$B19,'DADOS BRUTOS'!DM$3:DM$500)+IF($C19="",0,SUMIF('DADOS BRUTOS'!$A$3:$A$500,$C19,'DADOS BRUTOS'!DM$3:DM$500)))</f>
        <v>0</v>
      </c>
      <c r="GN19" s="133" t="n">
        <f aca="false">IF(OR(GN$4="",$B19=""),0,SUMIF('DADOS BRUTOS'!$A$3:$A$500,$B19,'DADOS BRUTOS'!DN$3:DN$500)+IF($C19="",0,SUMIF('DADOS BRUTOS'!$A$3:$A$500,$C19,'DADOS BRUTOS'!DN$3:DN$500)))</f>
        <v>0</v>
      </c>
      <c r="GO19" s="133" t="n">
        <f aca="false">IF(OR(GO$4="",$B19=""),0,SUMIF('DADOS BRUTOS'!$A$3:$A$500,$B19,'DADOS BRUTOS'!DO$3:DO$500)+IF($C19="",0,SUMIF('DADOS BRUTOS'!$A$3:$A$500,$C19,'DADOS BRUTOS'!DO$3:DO$500)))</f>
        <v>0</v>
      </c>
      <c r="GP19" s="133" t="n">
        <f aca="false">IF(OR(GP$4="",$B19=""),0,SUMIF('DADOS BRUTOS'!$A$3:$A$500,$B19,'DADOS BRUTOS'!DP$3:DP$500)+IF($C19="",0,SUMIF('DADOS BRUTOS'!$A$3:$A$500,$C19,'DADOS BRUTOS'!DP$3:DP$500)))</f>
        <v>0</v>
      </c>
      <c r="GQ19" s="133" t="n">
        <f aca="false">IF(OR(GQ$4="",$B19=""),0,SUMIF('DADOS BRUTOS'!$A$3:$A$500,$B19,'DADOS BRUTOS'!DQ$3:DQ$500)+IF($C19="",0,SUMIF('DADOS BRUTOS'!$A$3:$A$500,$C19,'DADOS BRUTOS'!DQ$3:DQ$500)))</f>
        <v>0</v>
      </c>
      <c r="GR19" s="133" t="n">
        <f aca="false">IF(OR(GR$4="",$B19=""),0,SUMIF('DADOS BRUTOS'!$A$3:$A$500,$B19,'DADOS BRUTOS'!DR$3:DR$500)+IF($C19="",0,SUMIF('DADOS BRUTOS'!$A$3:$A$500,$C19,'DADOS BRUTOS'!DR$3:DR$500)))</f>
        <v>0</v>
      </c>
      <c r="GS19" s="133" t="n">
        <f aca="false">IF(OR(GS$4="",$B19=""),0,SUMIF('DADOS BRUTOS'!$A$3:$A$500,$B19,'DADOS BRUTOS'!DS$3:DS$500)+IF($C19="",0,SUMIF('DADOS BRUTOS'!$A$3:$A$500,$C19,'DADOS BRUTOS'!DS$3:DS$500)))</f>
        <v>0</v>
      </c>
      <c r="GT19" s="133" t="n">
        <f aca="false">IF(OR(GT$4="",$B19=""),0,SUMIF('DADOS BRUTOS'!$A$3:$A$500,$B19,'DADOS BRUTOS'!DT$3:DT$500)+IF($C19="",0,SUMIF('DADOS BRUTOS'!$A$3:$A$500,$C19,'DADOS BRUTOS'!DT$3:DT$500)))</f>
        <v>0</v>
      </c>
      <c r="GU19" s="133" t="n">
        <f aca="false">IF(OR(GU$4="",$B19=""),0,SUMIF('DADOS BRUTOS'!$A$3:$A$500,$B19,'DADOS BRUTOS'!DU$3:DU$500)+IF($C19="",0,SUMIF('DADOS BRUTOS'!$A$3:$A$500,$C19,'DADOS BRUTOS'!DU$3:DU$500)))</f>
        <v>0</v>
      </c>
      <c r="GV19" s="133" t="n">
        <f aca="false">IF(OR(GV$4="",$B19=""),0,SUMIF('DADOS BRUTOS'!$A$3:$A$500,$B19,'DADOS BRUTOS'!DV$3:DV$500)+IF($C19="",0,SUMIF('DADOS BRUTOS'!$A$3:$A$500,$C19,'DADOS BRUTOS'!DV$3:DV$500)))</f>
        <v>0</v>
      </c>
      <c r="GW19" s="133" t="n">
        <f aca="false">IF(OR(GW$4="",$B19=""),0,SUMIF('DADOS BRUTOS'!$A$3:$A$500,$B19,'DADOS BRUTOS'!DW$3:DW$500)+IF($C19="",0,SUMIF('DADOS BRUTOS'!$A$3:$A$500,$C19,'DADOS BRUTOS'!DW$3:DW$500)))</f>
        <v>0</v>
      </c>
      <c r="GX19" s="133" t="n">
        <f aca="false">IF(OR(GX$4="",$B19=""),0,SUMIF('DADOS BRUTOS'!$A$3:$A$500,$B19,'DADOS BRUTOS'!DX$3:DX$500)+IF($C19="",0,SUMIF('DADOS BRUTOS'!$A$3:$A$500,$C19,'DADOS BRUTOS'!DX$3:DX$500)))</f>
        <v>0</v>
      </c>
      <c r="GY19" s="133" t="n">
        <f aca="false">IF(OR(GY$4="",$B19=""),0,SUMIF('DADOS BRUTOS'!$A$3:$A$500,$B19,'DADOS BRUTOS'!DY$3:DY$500)+IF($C19="",0,SUMIF('DADOS BRUTOS'!$A$3:$A$500,$C19,'DADOS BRUTOS'!DY$3:DY$500)))</f>
        <v>0</v>
      </c>
      <c r="GZ19" s="133" t="n">
        <f aca="false">IF(OR(GZ$4="",$B19=""),0,SUMIF('DADOS BRUTOS'!$A$3:$A$500,$B19,'DADOS BRUTOS'!DZ$3:DZ$500)+IF($C19="",0,SUMIF('DADOS BRUTOS'!$A$3:$A$500,$C19,'DADOS BRUTOS'!DZ$3:DZ$500)))</f>
        <v>0</v>
      </c>
      <c r="HA19" s="133" t="n">
        <f aca="false">IF(OR(HA$4="",$B19=""),0,SUMIF('DADOS BRUTOS'!$A$3:$A$500,$B19,'DADOS BRUTOS'!EA$3:EA$500)+IF($C19="",0,SUMIF('DADOS BRUTOS'!$A$3:$A$500,$C19,'DADOS BRUTOS'!EA$3:EA$500)))</f>
        <v>0</v>
      </c>
      <c r="HB19" s="133" t="n">
        <f aca="false">IF(OR(HB$4="",$B19=""),0,SUMIF('DADOS BRUTOS'!$A$3:$A$500,$B19,'DADOS BRUTOS'!EB$3:EB$500)+IF($C19="",0,SUMIF('DADOS BRUTOS'!$A$3:$A$500,$C19,'DADOS BRUTOS'!EB$3:EB$500)))</f>
        <v>0</v>
      </c>
      <c r="HC19" s="133" t="n">
        <f aca="false">IF(OR(HC$4="",$B19=""),0,SUMIF('DADOS BRUTOS'!$A$3:$A$500,$B19,'DADOS BRUTOS'!EC$3:EC$500)+IF($C19="",0,SUMIF('DADOS BRUTOS'!$A$3:$A$500,$C19,'DADOS BRUTOS'!EC$3:EC$500)))</f>
        <v>0</v>
      </c>
      <c r="HD19" s="133" t="n">
        <f aca="false">IF(OR(HD$4="",$B19=""),0,SUMIF('DADOS BRUTOS'!$A$3:$A$500,$B19,'DADOS BRUTOS'!ED$3:ED$500)+IF($C19="",0,SUMIF('DADOS BRUTOS'!$A$3:$A$500,$C19,'DADOS BRUTOS'!ED$3:ED$500)))</f>
        <v>0</v>
      </c>
      <c r="HE19" s="133" t="n">
        <f aca="false">IF(OR(HE$4="",$B19=""),0,SUMIF('DADOS BRUTOS'!$A$3:$A$500,$B19,'DADOS BRUTOS'!EE$3:EE$500)+IF($C19="",0,SUMIF('DADOS BRUTOS'!$A$3:$A$500,$C19,'DADOS BRUTOS'!EE$3:EE$500)))</f>
        <v>0</v>
      </c>
      <c r="HF19" s="133" t="n">
        <f aca="false">IF(OR(HF$4="",$B19=""),0,SUMIF('DADOS BRUTOS'!$A$3:$A$500,$B19,'DADOS BRUTOS'!EF$3:EF$500)+IF($C19="",0,SUMIF('DADOS BRUTOS'!$A$3:$A$500,$C19,'DADOS BRUTOS'!EF$3:EF$500)))</f>
        <v>0</v>
      </c>
      <c r="HG19" s="133" t="n">
        <f aca="false">IF(OR(HG$4="",$B19=""),0,SUMIF('DADOS BRUTOS'!$A$3:$A$500,$B19,'DADOS BRUTOS'!EG$3:EG$500)+IF($C19="",0,SUMIF('DADOS BRUTOS'!$A$3:$A$500,$C19,'DADOS BRUTOS'!EG$3:EG$500)))</f>
        <v>0</v>
      </c>
      <c r="HH19" s="133" t="n">
        <f aca="false">IF(OR(HH$4="",$B19=""),0,SUMIF('DADOS BRUTOS'!$A$3:$A$500,$B19,'DADOS BRUTOS'!EH$3:EH$500)+IF($C19="",0,SUMIF('DADOS BRUTOS'!$A$3:$A$500,$C19,'DADOS BRUTOS'!EH$3:EH$500)))</f>
        <v>0</v>
      </c>
      <c r="HI19" s="133" t="n">
        <f aca="false">IF(OR(HI$4="",$B19=""),0,SUMIF('DADOS BRUTOS'!$A$3:$A$500,$B19,'DADOS BRUTOS'!EI$3:EI$500)+IF($C19="",0,SUMIF('DADOS BRUTOS'!$A$3:$A$500,$C19,'DADOS BRUTOS'!EI$3:EI$500)))</f>
        <v>0</v>
      </c>
      <c r="HJ19" s="133" t="n">
        <f aca="false">IF(OR(HJ$4="",$B19=""),0,SUMIF('DADOS BRUTOS'!$A$3:$A$500,$B19,'DADOS BRUTOS'!EJ$3:EJ$500)+IF($C19="",0,SUMIF('DADOS BRUTOS'!$A$3:$A$500,$C19,'DADOS BRUTOS'!EJ$3:EJ$500)))</f>
        <v>0</v>
      </c>
      <c r="HK19" s="133" t="n">
        <f aca="false">IF(OR(HK$4="",$B19=""),0,SUMIF('DADOS BRUTOS'!$A$3:$A$500,$B19,'DADOS BRUTOS'!EK$3:EK$500)+IF($C19="",0,SUMIF('DADOS BRUTOS'!$A$3:$A$500,$C19,'DADOS BRUTOS'!EK$3:EK$500)))</f>
        <v>0</v>
      </c>
      <c r="HL19" s="133" t="n">
        <f aca="false">IF(OR(HL$4="",$B19=""),0,SUMIF('DADOS BRUTOS'!$A$3:$A$500,$B19,'DADOS BRUTOS'!EL$3:EL$500)+IF($C19="",0,SUMIF('DADOS BRUTOS'!$A$3:$A$500,$C19,'DADOS BRUTOS'!EL$3:EL$500)))</f>
        <v>0</v>
      </c>
      <c r="HM19" s="133" t="n">
        <f aca="false">IF(OR(HM$4="",$B19=""),0,SUMIF('DADOS BRUTOS'!$A$3:$A$500,$B19,'DADOS BRUTOS'!EM$3:EM$500)+IF($C19="",0,SUMIF('DADOS BRUTOS'!$A$3:$A$500,$C19,'DADOS BRUTOS'!EM$3:EM$500)))</f>
        <v>0</v>
      </c>
      <c r="HN19" s="133" t="n">
        <f aca="false">IF(OR(HN$4="",$B19=""),0,SUMIF('DADOS BRUTOS'!$A$3:$A$500,$B19,'DADOS BRUTOS'!EN$3:EN$500)+IF($C19="",0,SUMIF('DADOS BRUTOS'!$A$3:$A$500,$C19,'DADOS BRUTOS'!EN$3:EN$500)))</f>
        <v>0</v>
      </c>
      <c r="HO19" s="133" t="n">
        <f aca="false">IF(OR(HO$4="",$B19=""),0,SUMIF('DADOS BRUTOS'!$A$3:$A$500,$B19,'DADOS BRUTOS'!EO$3:EO$500)+IF($C19="",0,SUMIF('DADOS BRUTOS'!$A$3:$A$500,$C19,'DADOS BRUTOS'!EO$3:EO$500)))</f>
        <v>0</v>
      </c>
      <c r="HP19" s="133" t="n">
        <f aca="false">IF(OR(HP$4="",$B19=""),0,SUMIF('DADOS BRUTOS'!$A$3:$A$500,$B19,'DADOS BRUTOS'!EP$3:EP$500)+IF($C19="",0,SUMIF('DADOS BRUTOS'!$A$3:$A$500,$C19,'DADOS BRUTOS'!EP$3:EP$500)))</f>
        <v>0</v>
      </c>
      <c r="HQ19" s="133" t="n">
        <f aca="false">IF(OR(HQ$4="",$B19=""),0,SUMIF('DADOS BRUTOS'!$A$3:$A$500,$B19,'DADOS BRUTOS'!EQ$3:EQ$500)+IF($C19="",0,SUMIF('DADOS BRUTOS'!$A$3:$A$500,$C19,'DADOS BRUTOS'!EQ$3:EQ$500)))</f>
        <v>0</v>
      </c>
      <c r="HR19" s="133" t="n">
        <f aca="false">IF(OR(HR$4="",$B19=""),0,SUMIF('DADOS BRUTOS'!$A$3:$A$500,$B19,'DADOS BRUTOS'!ER$3:ER$500)+IF($C19="",0,SUMIF('DADOS BRUTOS'!$A$3:$A$500,$C19,'DADOS BRUTOS'!ER$3:ER$500)))</f>
        <v>0</v>
      </c>
      <c r="HS19" s="133" t="n">
        <f aca="false">IF(OR(HS$4="",$B19=""),0,SUMIF('DADOS BRUTOS'!$A$3:$A$500,$B19,'DADOS BRUTOS'!ES$3:ES$500)+IF($C19="",0,SUMIF('DADOS BRUTOS'!$A$3:$A$500,$C19,'DADOS BRUTOS'!ES$3:ES$500)))</f>
        <v>0</v>
      </c>
      <c r="HT19" s="133" t="n">
        <f aca="false">IF(OR(HT$4="",$B19=""),0,SUMIF('DADOS BRUTOS'!$A$3:$A$500,$B19,'DADOS BRUTOS'!ET$3:ET$500)+IF($C19="",0,SUMIF('DADOS BRUTOS'!$A$3:$A$500,$C19,'DADOS BRUTOS'!ET$3:ET$500)))</f>
        <v>0</v>
      </c>
      <c r="HU19" s="133" t="n">
        <f aca="false">IF(OR(HU$4="",$B19=""),0,SUMIF('DADOS BRUTOS'!$A$3:$A$500,$B19,'DADOS BRUTOS'!EU$3:EU$500)+IF($C19="",0,SUMIF('DADOS BRUTOS'!$A$3:$A$500,$C19,'DADOS BRUTOS'!EU$3:EU$500)))</f>
        <v>0</v>
      </c>
      <c r="HV19" s="133" t="n">
        <f aca="false">IF(OR(HV$4="",$B19=""),0,SUMIF('DADOS BRUTOS'!$A$3:$A$500,$B19,'DADOS BRUTOS'!EV$3:EV$500)+IF($C19="",0,SUMIF('DADOS BRUTOS'!$A$3:$A$500,$C19,'DADOS BRUTOS'!EV$3:EV$500)))</f>
        <v>0</v>
      </c>
      <c r="HW19" s="133" t="n">
        <f aca="false">IF(OR(HW$4="",$B19=""),0,SUMIF('DADOS BRUTOS'!$A$3:$A$500,$B19,'DADOS BRUTOS'!EW$3:EW$500)+IF($C19="",0,SUMIF('DADOS BRUTOS'!$A$3:$A$500,$C19,'DADOS BRUTOS'!EW$3:EW$500)))</f>
        <v>0</v>
      </c>
      <c r="HX19" s="133" t="n">
        <f aca="false">IF(OR(HX$4="",$B19=""),0,SUMIF('DADOS BRUTOS'!$A$3:$A$500,$B19,'DADOS BRUTOS'!EX$3:EX$500)+IF($C19="",0,SUMIF('DADOS BRUTOS'!$A$3:$A$500,$C19,'DADOS BRUTOS'!EX$3:EX$500)))</f>
        <v>0</v>
      </c>
      <c r="HY19" s="133" t="n">
        <f aca="false">IF(OR(HY$4="",$B19=""),0,SUMIF('DADOS BRUTOS'!$A$3:$A$500,$B19,'DADOS BRUTOS'!EY$3:EY$500)+IF($C19="",0,SUMIF('DADOS BRUTOS'!$A$3:$A$500,$C19,'DADOS BRUTOS'!EY$3:EY$500)))</f>
        <v>0</v>
      </c>
      <c r="HZ19" s="133" t="n">
        <f aca="false">IF(OR(HZ$4="",$B19=""),0,SUMIF('DADOS BRUTOS'!$A$3:$A$500,$B19,'DADOS BRUTOS'!EZ$3:EZ$500)+IF($C19="",0,SUMIF('DADOS BRUTOS'!$A$3:$A$500,$C19,'DADOS BRUTOS'!EZ$3:EZ$500)))</f>
        <v>0</v>
      </c>
      <c r="IA19" s="133" t="n">
        <f aca="false">IF(OR(IA$4="",$B19=""),0,SUMIF('DADOS BRUTOS'!$A$3:$A$500,$B19,'DADOS BRUTOS'!FA$3:FA$500)+IF($C19="",0,SUMIF('DADOS BRUTOS'!$A$3:$A$500,$C19,'DADOS BRUTOS'!FA$3:FA$500)))</f>
        <v>0</v>
      </c>
      <c r="IB19" s="133" t="n">
        <f aca="false">IF(OR(IB$4="",$B19=""),0,SUMIF('DADOS BRUTOS'!$A$3:$A$500,$B19,'DADOS BRUTOS'!FB$3:FB$500)+IF($C19="",0,SUMIF('DADOS BRUTOS'!$A$3:$A$500,$C19,'DADOS BRUTOS'!FB$3:FB$500)))</f>
        <v>0</v>
      </c>
      <c r="IC19" s="133" t="n">
        <f aca="false">IF(OR(IC$4="",$B19=""),0,SUMIF('DADOS BRUTOS'!$A$3:$A$500,$B19,'DADOS BRUTOS'!FC$3:FC$500)+IF($C19="",0,SUMIF('DADOS BRUTOS'!$A$3:$A$500,$C19,'DADOS BRUTOS'!FC$3:FC$500)))</f>
        <v>0</v>
      </c>
      <c r="ID19" s="133" t="n">
        <f aca="false">IF(OR(ID$4="",$B19=""),0,SUMIF('DADOS BRUTOS'!$A$3:$A$500,$B19,'DADOS BRUTOS'!FD$3:FD$500)+IF($C19="",0,SUMIF('DADOS BRUTOS'!$A$3:$A$500,$C19,'DADOS BRUTOS'!FD$3:FD$500)))</f>
        <v>0</v>
      </c>
      <c r="IE19" s="133" t="n">
        <f aca="false">IF(OR(IE$4="",$B19=""),0,SUMIF('DADOS BRUTOS'!$A$3:$A$500,$B19,'DADOS BRUTOS'!FE$3:FE$500)+IF($C19="",0,SUMIF('DADOS BRUTOS'!$A$3:$A$500,$C19,'DADOS BRUTOS'!FE$3:FE$500)))</f>
        <v>0</v>
      </c>
      <c r="IF19" s="133" t="n">
        <f aca="false">IF(OR(IF$4="",$B19=""),0,SUMIF('DADOS BRUTOS'!$A$3:$A$500,$B19,'DADOS BRUTOS'!FF$3:FF$500)+IF($C19="",0,SUMIF('DADOS BRUTOS'!$A$3:$A$500,$C19,'DADOS BRUTOS'!FF$3:FF$500)))</f>
        <v>0</v>
      </c>
      <c r="IG19" s="133" t="n">
        <f aca="false">IF(OR(IG$4="",$B19=""),0,SUMIF('DADOS BRUTOS'!$A$3:$A$500,$B19,'DADOS BRUTOS'!FG$3:FG$500)+IF($C19="",0,SUMIF('DADOS BRUTOS'!$A$3:$A$500,$C19,'DADOS BRUTOS'!FG$3:FG$500)))</f>
        <v>0</v>
      </c>
      <c r="IH19" s="133" t="n">
        <f aca="false">IF(OR(IH$4="",$B19=""),0,SUMIF('DADOS BRUTOS'!$A$3:$A$500,$B19,'DADOS BRUTOS'!FH$3:FH$500)+IF($C19="",0,SUMIF('DADOS BRUTOS'!$A$3:$A$500,$C19,'DADOS BRUTOS'!FH$3:FH$500)))</f>
        <v>0</v>
      </c>
      <c r="II19" s="133" t="n">
        <f aca="false">IF(OR(II$4="",$B19=""),0,SUMIF('DADOS BRUTOS'!$A$3:$A$500,$B19,'DADOS BRUTOS'!FI$3:FI$500)+IF($C19="",0,SUMIF('DADOS BRUTOS'!$A$3:$A$500,$C19,'DADOS BRUTOS'!FI$3:FI$500)))</f>
        <v>0</v>
      </c>
      <c r="IJ19" s="133" t="n">
        <f aca="false">IF(OR(IJ$4="",$B19=""),0,SUMIF('DADOS BRUTOS'!$A$3:$A$500,$B19,'DADOS BRUTOS'!FJ$3:FJ$500)+IF($C19="",0,SUMIF('DADOS BRUTOS'!$A$3:$A$500,$C19,'DADOS BRUTOS'!FJ$3:FJ$500)))</f>
        <v>0</v>
      </c>
      <c r="IK19" s="133" t="n">
        <f aca="false">IF(OR(IK$4="",$B19=""),0,SUMIF('DADOS BRUTOS'!$A$3:$A$500,$B19,'DADOS BRUTOS'!FK$3:FK$500)+IF($C19="",0,SUMIF('DADOS BRUTOS'!$A$3:$A$500,$C19,'DADOS BRUTOS'!FK$3:FK$500)))</f>
        <v>0</v>
      </c>
      <c r="IL19" s="133" t="n">
        <f aca="false">IF(OR(IL$4="",$B19=""),0,SUMIF('DADOS BRUTOS'!$A$3:$A$500,$B19,'DADOS BRUTOS'!FL$3:FL$500)+IF($C19="",0,SUMIF('DADOS BRUTOS'!$A$3:$A$500,$C19,'DADOS BRUTOS'!FL$3:FL$500)))</f>
        <v>0</v>
      </c>
      <c r="IM19" s="133" t="n">
        <f aca="false">IF(OR(IM$4="",$B19=""),0,SUMIF('DADOS BRUTOS'!$A$3:$A$500,$B19,'DADOS BRUTOS'!FM$3:FM$500)+IF($C19="",0,SUMIF('DADOS BRUTOS'!$A$3:$A$500,$C19,'DADOS BRUTOS'!FM$3:FM$500)))</f>
        <v>0</v>
      </c>
      <c r="IN19" s="133" t="n">
        <f aca="false">IF(OR(IN$4="",$B19=""),0,SUMIF('DADOS BRUTOS'!$A$3:$A$500,$B19,'DADOS BRUTOS'!FN$3:FN$500)+IF($C19="",0,SUMIF('DADOS BRUTOS'!$A$3:$A$500,$C19,'DADOS BRUTOS'!FN$3:FN$500)))</f>
        <v>0</v>
      </c>
      <c r="IO19" s="133" t="n">
        <f aca="false">IF(OR(IO$4="",$B19=""),0,SUMIF('DADOS BRUTOS'!$A$3:$A$500,$B19,'DADOS BRUTOS'!FO$3:FO$500)+IF($C19="",0,SUMIF('DADOS BRUTOS'!$A$3:$A$500,$C19,'DADOS BRUTOS'!FO$3:FO$500)))</f>
        <v>0</v>
      </c>
      <c r="IP19" s="133" t="n">
        <f aca="false">IF(OR(IP$4="",$B19=""),0,SUMIF('DADOS BRUTOS'!$A$3:$A$500,$B19,'DADOS BRUTOS'!FP$3:FP$500)+IF($C19="",0,SUMIF('DADOS BRUTOS'!$A$3:$A$500,$C19,'DADOS BRUTOS'!FP$3:FP$500)))</f>
        <v>0</v>
      </c>
      <c r="IQ19" s="133" t="n">
        <f aca="false">IF(OR(IQ$4="",$B19=""),0,SUMIF('DADOS BRUTOS'!$A$3:$A$500,$B19,'DADOS BRUTOS'!FQ$3:FQ$500)+IF($C19="",0,SUMIF('DADOS BRUTOS'!$A$3:$A$500,$C19,'DADOS BRUTOS'!FQ$3:FQ$500)))</f>
        <v>0</v>
      </c>
      <c r="IR19" s="133" t="n">
        <f aca="false">IF(OR(IR$4="",$B19=""),0,SUMIF('DADOS BRUTOS'!$A$3:$A$500,$B19,'DADOS BRUTOS'!FR$3:FR$500)+IF($C19="",0,SUMIF('DADOS BRUTOS'!$A$3:$A$500,$C19,'DADOS BRUTOS'!FR$3:FR$500)))</f>
        <v>0</v>
      </c>
      <c r="IS19" s="133" t="n">
        <f aca="false">IF(OR(IS$4="",$B19=""),0,SUMIF('DADOS BRUTOS'!$A$3:$A$500,$B19,'DADOS BRUTOS'!FS$3:FS$500)+IF($C19="",0,SUMIF('DADOS BRUTOS'!$A$3:$A$500,$C19,'DADOS BRUTOS'!FS$3:FS$500)))</f>
        <v>0</v>
      </c>
      <c r="IT19" s="133" t="n">
        <f aca="false">IF(OR(IT$4="",$B19=""),0,SUMIF('DADOS BRUTOS'!$A$3:$A$500,$B19,'DADOS BRUTOS'!FT$3:FT$500)+IF($C19="",0,SUMIF('DADOS BRUTOS'!$A$3:$A$500,$C19,'DADOS BRUTOS'!FT$3:FT$500)))</f>
        <v>0</v>
      </c>
      <c r="IU19" s="133" t="n">
        <f aca="false">IF(OR(IU$4="",$B19=""),0,SUMIF('DADOS BRUTOS'!$A$3:$A$500,$B19,'DADOS BRUTOS'!FU$3:FU$500)+IF($C19="",0,SUMIF('DADOS BRUTOS'!$A$3:$A$500,$C19,'DADOS BRUTOS'!FU$3:FU$500)))</f>
        <v>0</v>
      </c>
      <c r="IV19" s="133" t="n">
        <f aca="false">IF(OR(IV$4="",$B19=""),0,SUMIF('DADOS BRUTOS'!$A$3:$A$500,$B19,'DADOS BRUTOS'!FV$3:FV$500)+IF($C19="",0,SUMIF('DADOS BRUTOS'!$A$3:$A$500,$C19,'DADOS BRUTOS'!FV$3:FV$500)))</f>
        <v>0</v>
      </c>
      <c r="IW19" s="133" t="n">
        <f aca="false">IF(OR(IW$4="",$B19=""),0,SUMIF('DADOS BRUTOS'!$A$3:$A$500,$B19,'DADOS BRUTOS'!FW$3:FW$500)+IF($C19="",0,SUMIF('DADOS BRUTOS'!$A$3:$A$500,$C19,'DADOS BRUTOS'!FW$3:FW$500)))</f>
        <v>0</v>
      </c>
      <c r="IX19" s="133" t="n">
        <f aca="false">IF(OR(IX$4="",$B19=""),0,SUMIF('DADOS BRUTOS'!$A$3:$A$500,$B19,'DADOS BRUTOS'!FX$3:FX$500)+IF($C19="",0,SUMIF('DADOS BRUTOS'!$A$3:$A$500,$C19,'DADOS BRUTOS'!FX$3:FX$500)))</f>
        <v>0</v>
      </c>
      <c r="IY19" s="133" t="n">
        <f aca="false">IF(OR(IY$4="",$B19=""),0,SUMIF('DADOS BRUTOS'!$A$3:$A$500,$B19,'DADOS BRUTOS'!FY$3:FY$500)+IF($C19="",0,SUMIF('DADOS BRUTOS'!$A$3:$A$500,$C19,'DADOS BRUTOS'!FY$3:FY$500)))</f>
        <v>0</v>
      </c>
      <c r="IZ19" s="133" t="n">
        <f aca="false">IF(OR(IZ$4="",$B19=""),0,SUMIF('DADOS BRUTOS'!$A$3:$A$500,$B19,'DADOS BRUTOS'!FZ$3:FZ$500)+IF($C19="",0,SUMIF('DADOS BRUTOS'!$A$3:$A$500,$C19,'DADOS BRUTOS'!FZ$3:FZ$500)))</f>
        <v>0</v>
      </c>
      <c r="JA19" s="133" t="n">
        <f aca="false">IF(OR(JA$4="",$B19=""),0,SUMIF('DADOS BRUTOS'!$A$3:$A$500,$B19,'DADOS BRUTOS'!GA$3:GA$500)+IF($C19="",0,SUMIF('DADOS BRUTOS'!$A$3:$A$500,$C19,'DADOS BRUTOS'!GA$3:GA$500)))</f>
        <v>0</v>
      </c>
      <c r="JB19" s="133" t="n">
        <f aca="false">IF(OR(JB$4="",$B19=""),0,SUMIF('DADOS BRUTOS'!$A$3:$A$500,$B19,'DADOS BRUTOS'!GB$3:GB$500)+IF($C19="",0,SUMIF('DADOS BRUTOS'!$A$3:$A$500,$C19,'DADOS BRUTOS'!GB$3:GB$500)))</f>
        <v>0</v>
      </c>
      <c r="JC19" s="133" t="n">
        <f aca="false">IF(OR(JC$4="",$B19=""),0,SUMIF('DADOS BRUTOS'!$A$3:$A$500,$B19,'DADOS BRUTOS'!GC$3:GC$500)+IF($C19="",0,SUMIF('DADOS BRUTOS'!$A$3:$A$500,$C19,'DADOS BRUTOS'!GC$3:GC$500)))</f>
        <v>0</v>
      </c>
      <c r="JD19" s="133" t="n">
        <f aca="false">IF(OR(JD$4="",$B19=""),0,SUMIF('DADOS BRUTOS'!$A$3:$A$500,$B19,'DADOS BRUTOS'!GD$3:GD$500)+IF($C19="",0,SUMIF('DADOS BRUTOS'!$A$3:$A$500,$C19,'DADOS BRUTOS'!GD$3:GD$500)))</f>
        <v>0</v>
      </c>
      <c r="JE19" s="133" t="n">
        <f aca="false">IF(OR(JE$4="",$B19=""),0,SUMIF('DADOS BRUTOS'!$A$3:$A$500,$B19,'DADOS BRUTOS'!GE$3:GE$500)+IF($C19="",0,SUMIF('DADOS BRUTOS'!$A$3:$A$500,$C19,'DADOS BRUTOS'!GE$3:GE$500)))</f>
        <v>0</v>
      </c>
      <c r="JF19" s="133" t="n">
        <f aca="false">IF(OR(JF$4="",$B19=""),0,SUMIF('DADOS BRUTOS'!$A$3:$A$500,$B19,'DADOS BRUTOS'!GF$3:GF$500)+IF($C19="",0,SUMIF('DADOS BRUTOS'!$A$3:$A$500,$C19,'DADOS BRUTOS'!GF$3:GF$500)))</f>
        <v>0</v>
      </c>
      <c r="JG19" s="133" t="n">
        <f aca="false">IF(OR(JG$4="",$B19=""),0,SUMIF('DADOS BRUTOS'!$A$3:$A$500,$B19,'DADOS BRUTOS'!GG$3:GG$500)+IF($C19="",0,SUMIF('DADOS BRUTOS'!$A$3:$A$500,$C19,'DADOS BRUTOS'!GG$3:GG$500)))</f>
        <v>0</v>
      </c>
      <c r="JH19" s="133" t="n">
        <f aca="false">IF(OR(JH$4="",$B19=""),0,SUMIF('DADOS BRUTOS'!$A$3:$A$500,$B19,'DADOS BRUTOS'!GH$3:GH$500)+IF($C19="",0,SUMIF('DADOS BRUTOS'!$A$3:$A$500,$C19,'DADOS BRUTOS'!GH$3:GH$500)))</f>
        <v>0</v>
      </c>
      <c r="JI19" s="133" t="n">
        <f aca="false">IF(OR(JI$4="",$B19=""),0,SUMIF('DADOS BRUTOS'!$A$3:$A$500,$B19,'DADOS BRUTOS'!GI$3:GI$500)+IF($C19="",0,SUMIF('DADOS BRUTOS'!$A$3:$A$500,$C19,'DADOS BRUTOS'!GI$3:GI$500)))</f>
        <v>0</v>
      </c>
      <c r="JJ19" s="133" t="n">
        <f aca="false">IF(OR(JJ$4="",$B19=""),0,SUMIF('DADOS BRUTOS'!$A$3:$A$500,$B19,'DADOS BRUTOS'!GJ$3:GJ$500)+IF($C19="",0,SUMIF('DADOS BRUTOS'!$A$3:$A$500,$C19,'DADOS BRUTOS'!GJ$3:GJ$500)))</f>
        <v>0</v>
      </c>
      <c r="JK19" s="133" t="n">
        <f aca="false">IF(OR(JK$4="",$B19=""),0,SUMIF('DADOS BRUTOS'!$A$3:$A$500,$B19,'DADOS BRUTOS'!GK$3:GK$500)+IF($C19="",0,SUMIF('DADOS BRUTOS'!$A$3:$A$500,$C19,'DADOS BRUTOS'!GK$3:GK$500)))</f>
        <v>0</v>
      </c>
      <c r="JL19" s="133" t="n">
        <f aca="false">IF(OR(JL$4="",$B19=""),0,SUMIF('DADOS BRUTOS'!$A$3:$A$500,$B19,'DADOS BRUTOS'!GL$3:GL$500)+IF($C19="",0,SUMIF('DADOS BRUTOS'!$A$3:$A$500,$C19,'DADOS BRUTOS'!GL$3:GL$500)))</f>
        <v>0</v>
      </c>
      <c r="JM19" s="133" t="n">
        <f aca="false">IF(OR(JM$4="",$B19=""),0,SUMIF('DADOS BRUTOS'!$A$3:$A$500,$B19,'DADOS BRUTOS'!GM$3:GM$500)+IF($C19="",0,SUMIF('DADOS BRUTOS'!$A$3:$A$500,$C19,'DADOS BRUTOS'!GM$3:GM$500)))</f>
        <v>0</v>
      </c>
      <c r="JN19" s="133" t="n">
        <f aca="false">IF(OR(JN$4="",$B19=""),0,SUMIF('DADOS BRUTOS'!$A$3:$A$500,$B19,'DADOS BRUTOS'!GN$3:GN$500)+IF($C19="",0,SUMIF('DADOS BRUTOS'!$A$3:$A$500,$C19,'DADOS BRUTOS'!GN$3:GN$500)))</f>
        <v>0</v>
      </c>
      <c r="JO19" s="133" t="n">
        <f aca="false">IF(OR(JO$4="",$B19=""),0,SUMIF('DADOS BRUTOS'!$A$3:$A$500,$B19,'DADOS BRUTOS'!GO$3:GO$500)+IF($C19="",0,SUMIF('DADOS BRUTOS'!$A$3:$A$500,$C19,'DADOS BRUTOS'!GO$3:GO$500)))</f>
        <v>0</v>
      </c>
      <c r="JP19" s="133" t="n">
        <f aca="false">IF(OR(JP$4="",$B19=""),0,SUMIF('DADOS BRUTOS'!$A$3:$A$500,$B19,'DADOS BRUTOS'!GP$3:GP$500)+IF($C19="",0,SUMIF('DADOS BRUTOS'!$A$3:$A$500,$C19,'DADOS BRUTOS'!GP$3:GP$500)))</f>
        <v>0</v>
      </c>
      <c r="JQ19" s="133" t="n">
        <f aca="false">IF(OR(JQ$4="",$B19=""),0,SUMIF('DADOS BRUTOS'!$A$3:$A$500,$B19,'DADOS BRUTOS'!GQ$3:GQ$500)+IF($C19="",0,SUMIF('DADOS BRUTOS'!$A$3:$A$500,$C19,'DADOS BRUTOS'!GQ$3:GQ$500)))</f>
        <v>0</v>
      </c>
      <c r="JR19" s="133" t="n">
        <f aca="false">IF(OR(JR$4="",$B19=""),0,SUMIF('DADOS BRUTOS'!$A$3:$A$500,$B19,'DADOS BRUTOS'!GR$3:GR$500)+IF($C19="",0,SUMIF('DADOS BRUTOS'!$A$3:$A$500,$C19,'DADOS BRUTOS'!GR$3:GR$500)))</f>
        <v>0</v>
      </c>
      <c r="JS19" s="133" t="n">
        <f aca="false">IF(OR(JS$4="",$B19=""),0,SUMIF('DADOS BRUTOS'!$A$3:$A$500,$B19,'DADOS BRUTOS'!GS$3:GS$500)+IF($C19="",0,SUMIF('DADOS BRUTOS'!$A$3:$A$500,$C19,'DADOS BRUTOS'!GS$3:GS$500)))</f>
        <v>0</v>
      </c>
    </row>
    <row r="20" customFormat="false" ht="15" hidden="false" customHeight="false" outlineLevel="0" collapsed="false">
      <c r="A20" s="57" t="str">
        <f aca="false">'VALOR POR PL'!D26</f>
        <v>FUNDAÇÃO SUPERFICIAL</v>
      </c>
      <c r="B20" s="55" t="s">
        <v>74</v>
      </c>
      <c r="C20" s="55"/>
      <c r="D20" s="50" t="n">
        <f aca="false">SUMIF($CB$4:$JS$4,"&lt;="&amp;D$4,$CB20:$JS20)</f>
        <v>0</v>
      </c>
      <c r="E20" s="50" t="n">
        <f aca="false">SUMIF($CB$4:$JS$4,E$4,$CB20:$JS20)</f>
        <v>0</v>
      </c>
      <c r="F20" s="50" t="n">
        <f aca="false">SUMIF($CB$4:$JS$4,F$4,$CB20:$JS20)</f>
        <v>0</v>
      </c>
      <c r="G20" s="50" t="n">
        <f aca="false">SUMIF($CB$4:$JS$4,G$4,$CB20:$JS20)</f>
        <v>0</v>
      </c>
      <c r="H20" s="50" t="n">
        <f aca="false">SUMIF($CB$4:$JS$4,H$4,$CB20:$JS20)</f>
        <v>0</v>
      </c>
      <c r="I20" s="50" t="n">
        <f aca="false">SUMIF($CB$4:$JS$4,I$4,$CB20:$JS20)</f>
        <v>0</v>
      </c>
      <c r="J20" s="50" t="n">
        <f aca="false">SUMIF($CB$4:$JS$4,J$4,$CB20:$JS20)</f>
        <v>0</v>
      </c>
      <c r="K20" s="50" t="n">
        <f aca="false">SUMIF($CB$4:$JS$4,K$4,$CB20:$JS20)</f>
        <v>0</v>
      </c>
      <c r="L20" s="50" t="n">
        <f aca="false">SUMIF($CB$4:$JS$4,L$4,$CB20:$JS20)</f>
        <v>0</v>
      </c>
      <c r="M20" s="50" t="n">
        <f aca="false">SUMIF($CB$4:$JS$4,M$4,$CB20:$JS20)</f>
        <v>0</v>
      </c>
      <c r="N20" s="50" t="n">
        <f aca="false">SUMIF($CB$4:$JS$4,N$4,$CB20:$JS20)</f>
        <v>0</v>
      </c>
      <c r="O20" s="50" t="n">
        <f aca="false">SUMIF($CB$4:$JS$4,O$4,$CB20:$JS20)</f>
        <v>0</v>
      </c>
      <c r="P20" s="50" t="n">
        <f aca="false">SUMIF($CB$4:$JS$4,P$4,$CB20:$JS20)</f>
        <v>0</v>
      </c>
      <c r="Q20" s="50" t="n">
        <f aca="false">SUMIF($CB$4:$JS$4,Q$4,$CB20:$JS20)</f>
        <v>0</v>
      </c>
      <c r="R20" s="50" t="n">
        <f aca="false">SUMIF($CB$4:$JS$4,R$4,$CB20:$JS20)</f>
        <v>0</v>
      </c>
      <c r="S20" s="50" t="n">
        <f aca="false">SUMIF($CB$4:$JS$4,S$4,$CB20:$JS20)</f>
        <v>0</v>
      </c>
      <c r="T20" s="50" t="n">
        <f aca="false">SUMIF($CB$4:$JS$4,T$4,$CB20:$JS20)</f>
        <v>20138.34</v>
      </c>
      <c r="U20" s="50" t="n">
        <f aca="false">SUMIF($CB$4:$JS$4,U$4,$CB20:$JS20)</f>
        <v>304245.22</v>
      </c>
      <c r="V20" s="50" t="n">
        <f aca="false">SUMIF($CB$4:$JS$4,V$4,$CB20:$JS20)</f>
        <v>700460.71</v>
      </c>
      <c r="W20" s="50" t="n">
        <f aca="false">SUMIF($CB$4:$JS$4,W$4,$CB20:$JS20)</f>
        <v>1455797.59</v>
      </c>
      <c r="X20" s="50" t="n">
        <f aca="false">SUMIF($CB$4:$JS$4,X$4,$CB20:$JS20)</f>
        <v>480698.83</v>
      </c>
      <c r="Y20" s="50" t="n">
        <f aca="false">SUMIF($CB$4:$JS$4,Y$4,$CB20:$JS20)</f>
        <v>50605.81</v>
      </c>
      <c r="Z20" s="50" t="n">
        <f aca="false">SUMIF($CB$4:$JS$4,Z$4,$CB20:$JS20)</f>
        <v>8834.66</v>
      </c>
      <c r="AA20" s="50" t="n">
        <f aca="false">SUMIF($CB$4:$JS$4,AA$4,$CB20:$JS20)</f>
        <v>0</v>
      </c>
      <c r="AB20" s="50" t="n">
        <f aca="false">SUMIF($CB$4:$JS$4,AB$4,$CB20:$JS20)</f>
        <v>19943.08</v>
      </c>
      <c r="AC20" s="50" t="n">
        <f aca="false">SUMIF($CB$4:$JS$4,AC$4,$CB20:$JS20)</f>
        <v>22778.61</v>
      </c>
      <c r="AD20" s="50" t="n">
        <f aca="false">SUMIF($CB$4:$JS$4,AD$4,$CB20:$JS20)</f>
        <v>2356.48</v>
      </c>
      <c r="AE20" s="50" t="n">
        <f aca="false">SUMIF($CB$4:$JS$4,AE$4,$CB20:$JS20)</f>
        <v>2007.28</v>
      </c>
      <c r="AF20" s="50" t="n">
        <f aca="false">SUMIF($CB$4:$JS$4,AF$4,$CB20:$JS20)</f>
        <v>0</v>
      </c>
      <c r="AG20" s="50" t="n">
        <f aca="false">SUMIF($CB$4:$JS$4,AG$4,$CB20:$JS20)</f>
        <v>0</v>
      </c>
      <c r="AH20" s="50" t="n">
        <f aca="false">SUMIF($CB$4:$JS$4,AH$4,$CB20:$JS20)</f>
        <v>0</v>
      </c>
      <c r="AI20" s="50" t="n">
        <f aca="false">SUMIF($CB$4:$JS$4,AI$4,$CB20:$JS20)</f>
        <v>0</v>
      </c>
      <c r="AJ20" s="50" t="n">
        <f aca="false">SUMIF($CB$4:$JS$4,AJ$4,$CB20:$JS20)</f>
        <v>0</v>
      </c>
      <c r="AK20" s="50" t="n">
        <f aca="false">SUMIF($CB$4:$JS$4,AK$4,$CB20:$JS20)</f>
        <v>0</v>
      </c>
      <c r="AL20" s="50" t="n">
        <f aca="false">SUMIF($CB$4:$JS$4,AL$4,$CB20:$JS20)</f>
        <v>0</v>
      </c>
      <c r="AM20" s="50" t="n">
        <f aca="false">SUMIF($CB$4:$JS$4,AM$4,$CB20:$JS20)</f>
        <v>0</v>
      </c>
      <c r="AN20" s="50" t="n">
        <f aca="false">SUMIF($CB$4:$JS$4,AN$4,$CB20:$JS20)</f>
        <v>0</v>
      </c>
      <c r="AO20" s="50" t="n">
        <f aca="false">SUMIF($CB$4:$JS$4,AO$4,$CB20:$JS20)</f>
        <v>0</v>
      </c>
      <c r="AP20" s="50" t="n">
        <f aca="false">SUMIF($CB$4:$JS$4,AP$4,$CB20:$JS20)</f>
        <v>0</v>
      </c>
      <c r="AQ20" s="50" t="n">
        <f aca="false">SUMIF($CB$4:$JS$4,AQ$4,$CB20:$JS20)</f>
        <v>0</v>
      </c>
      <c r="AR20" s="50" t="n">
        <f aca="false">SUMIF($CB$4:$JS$4,AR$4,$CB20:$JS20)</f>
        <v>0</v>
      </c>
      <c r="AS20" s="50" t="n">
        <f aca="false">SUMIF($CB$4:$JS$4,AS$4,$CB20:$JS20)</f>
        <v>0</v>
      </c>
      <c r="AT20" s="50" t="n">
        <f aca="false">SUMIF($CB$4:$JS$4,AT$4,$CB20:$JS20)</f>
        <v>0</v>
      </c>
      <c r="AU20" s="50" t="n">
        <f aca="false">SUMIF($CB$4:$JS$4,AU$4,$CB20:$JS20)</f>
        <v>3768.88</v>
      </c>
      <c r="AV20" s="50" t="n">
        <f aca="false">SUMIF($CB$4:$JS$4,AV$4,$CB20:$JS20)</f>
        <v>0</v>
      </c>
      <c r="AW20" s="50" t="n">
        <f aca="false">SUMIF($CB$4:$JS$4,AW$4,$CB20:$JS20)</f>
        <v>0</v>
      </c>
      <c r="AX20" s="50" t="n">
        <f aca="false">SUMIF($CB$4:$JS$4,AX$4,$CB20:$JS20)</f>
        <v>0</v>
      </c>
      <c r="AY20" s="50" t="n">
        <f aca="false">SUMIF($CB$4:$JS$4,AY$4,$CB20:$JS20)</f>
        <v>0</v>
      </c>
      <c r="AZ20" s="50" t="n">
        <f aca="false">SUMIF($CB$4:$JS$4,AZ$4,$CB20:$JS20)</f>
        <v>0</v>
      </c>
      <c r="BA20" s="50" t="n">
        <f aca="false">SUMIF($CB$4:$JS$4,BA$4,$CB20:$JS20)</f>
        <v>0</v>
      </c>
      <c r="BB20" s="50" t="n">
        <f aca="false">SUMIF($CB$4:$JS$4,BB$4,$CB20:$JS20)</f>
        <v>0</v>
      </c>
      <c r="BC20" s="50" t="n">
        <f aca="false">SUMIF($CB$4:$JS$4,BC$4,$CB20:$JS20)</f>
        <v>0</v>
      </c>
      <c r="BD20" s="50" t="n">
        <f aca="false">SUMIF($CB$4:$JS$4,BD$4,$CB20:$JS20)</f>
        <v>0</v>
      </c>
      <c r="BE20" s="50" t="n">
        <f aca="false">SUMIF($CB$4:$JS$4,BE$4,$CB20:$JS20)</f>
        <v>0</v>
      </c>
      <c r="BF20" s="50" t="n">
        <f aca="false">SUMIF($CB$4:$JS$4,BF$4,$CB20:$JS20)</f>
        <v>0</v>
      </c>
      <c r="BG20" s="50" t="n">
        <f aca="false">SUMIF($CB$4:$JS$4,BG$4,$CB20:$JS20)</f>
        <v>0</v>
      </c>
      <c r="BH20" s="50" t="n">
        <f aca="false">SUMIF($CB$4:$JS$4,BH$4,$CB20:$JS20)</f>
        <v>0</v>
      </c>
      <c r="BI20" s="50" t="n">
        <f aca="false">SUMIF($CB$4:$JS$4,BI$4,$CB20:$JS20)</f>
        <v>0</v>
      </c>
      <c r="BJ20" s="50" t="n">
        <f aca="false">SUMIF($CB$4:$JS$4,BJ$4,$CB20:$JS20)</f>
        <v>0</v>
      </c>
      <c r="BK20" s="50" t="n">
        <f aca="false">SUMIF($CB$4:$JS$4,BK$4,$CB20:$JS20)</f>
        <v>0</v>
      </c>
      <c r="BL20" s="50" t="n">
        <f aca="false">SUMIF($CB$4:$JS$4,BL$4,$CB20:$JS20)</f>
        <v>0</v>
      </c>
      <c r="BM20" s="50" t="n">
        <f aca="false">SUMIF($CB$4:$JS$4,BM$4,$CB20:$JS20)</f>
        <v>0</v>
      </c>
      <c r="BN20" s="50" t="n">
        <f aca="false">SUMIF($CB$4:$JS$4,BN$4,$CB20:$JS20)</f>
        <v>0</v>
      </c>
      <c r="BO20" s="50" t="n">
        <f aca="false">SUMIF($CB$4:$JS$4,BO$4,$CB20:$JS20)</f>
        <v>0</v>
      </c>
      <c r="BP20" s="50" t="n">
        <f aca="false">SUMIF($CB$4:$JS$4,BP$4,$CB20:$JS20)</f>
        <v>0</v>
      </c>
      <c r="BQ20" s="50" t="n">
        <f aca="false">SUMIF($CB$4:$JS$4,BQ$4,$CB20:$JS20)</f>
        <v>0</v>
      </c>
      <c r="BR20" s="50" t="n">
        <f aca="false">SUMIF($CB$4:$JS$4,BR$4,$CB20:$JS20)</f>
        <v>0</v>
      </c>
      <c r="BS20" s="50" t="n">
        <f aca="false">SUMIF($CB$4:$JS$4,BS$4,$CB20:$JS20)</f>
        <v>0</v>
      </c>
      <c r="BT20" s="50" t="n">
        <f aca="false">SUMIF($CB$4:$JS$4,BT$4,$CB20:$JS20)</f>
        <v>0</v>
      </c>
      <c r="BU20" s="50" t="n">
        <f aca="false">SUMIF($CB$4:$JS$4,BU$4,$CB20:$JS20)</f>
        <v>0</v>
      </c>
      <c r="BV20" s="50" t="n">
        <f aca="false">SUMIF($CB$4:$JS$4,BV$4,$CB20:$JS20)</f>
        <v>0</v>
      </c>
      <c r="BW20" s="50" t="n">
        <f aca="false">SUMIF($CB$4:$JS$4,BW$4,$CB20:$JS20)</f>
        <v>0</v>
      </c>
      <c r="BX20" s="50" t="n">
        <f aca="false">SUMIF($CB$4:$JS$4,"&gt;"&amp;'VALOR POR PL'!$P$8,$CB20:$JS20)</f>
        <v>0</v>
      </c>
      <c r="BY20" s="50" t="n">
        <f aca="false">SUM($CB20:$JS20)</f>
        <v>3071635.49</v>
      </c>
      <c r="BZ20" s="45" t="n">
        <f aca="false">SUMPRODUCT(($CB$4:$JS$4&lt;&gt;"")*($CB$4:$JS$4&lt;=$D$4),$CB20:$JS20,$CB$1:$JS$1)</f>
        <v>0</v>
      </c>
      <c r="CB20" s="133" t="n">
        <f aca="false">IF(OR(CB$4="",$B20=""),0,SUMIF('DADOS BRUTOS'!$A$3:$A$500,$B20,'DADOS BRUTOS'!B$3:B$500)+IF($C20="",0,SUMIF('DADOS BRUTOS'!$A$3:$A$500,$C20,'DADOS BRUTOS'!B$3:B$500)))</f>
        <v>0</v>
      </c>
      <c r="CC20" s="133" t="n">
        <f aca="false">IF(OR(CC$4="",$B20=""),0,SUMIF('DADOS BRUTOS'!$A$3:$A$500,$B20,'DADOS BRUTOS'!C$3:C$500)+IF($C20="",0,SUMIF('DADOS BRUTOS'!$A$3:$A$500,$C20,'DADOS BRUTOS'!C$3:C$500)))</f>
        <v>0</v>
      </c>
      <c r="CD20" s="133" t="n">
        <f aca="false">IF(OR(CD$4="",$B20=""),0,SUMIF('DADOS BRUTOS'!$A$3:$A$500,$B20,'DADOS BRUTOS'!D$3:D$500)+IF($C20="",0,SUMIF('DADOS BRUTOS'!$A$3:$A$500,$C20,'DADOS BRUTOS'!D$3:D$500)))</f>
        <v>0</v>
      </c>
      <c r="CE20" s="133" t="n">
        <f aca="false">IF(OR(CE$4="",$B20=""),0,SUMIF('DADOS BRUTOS'!$A$3:$A$500,$B20,'DADOS BRUTOS'!E$3:E$500)+IF($C20="",0,SUMIF('DADOS BRUTOS'!$A$3:$A$500,$C20,'DADOS BRUTOS'!E$3:E$500)))</f>
        <v>0</v>
      </c>
      <c r="CF20" s="133" t="n">
        <f aca="false">IF(OR(CF$4="",$B20=""),0,SUMIF('DADOS BRUTOS'!$A$3:$A$500,$B20,'DADOS BRUTOS'!F$3:F$500)+IF($C20="",0,SUMIF('DADOS BRUTOS'!$A$3:$A$500,$C20,'DADOS BRUTOS'!F$3:F$500)))</f>
        <v>0</v>
      </c>
      <c r="CG20" s="133" t="n">
        <f aca="false">IF(OR(CG$4="",$B20=""),0,SUMIF('DADOS BRUTOS'!$A$3:$A$500,$B20,'DADOS BRUTOS'!G$3:G$500)+IF($C20="",0,SUMIF('DADOS BRUTOS'!$A$3:$A$500,$C20,'DADOS BRUTOS'!G$3:G$500)))</f>
        <v>0</v>
      </c>
      <c r="CH20" s="133" t="n">
        <f aca="false">IF(OR(CH$4="",$B20=""),0,SUMIF('DADOS BRUTOS'!$A$3:$A$500,$B20,'DADOS BRUTOS'!H$3:H$500)+IF($C20="",0,SUMIF('DADOS BRUTOS'!$A$3:$A$500,$C20,'DADOS BRUTOS'!H$3:H$500)))</f>
        <v>0</v>
      </c>
      <c r="CI20" s="133" t="n">
        <f aca="false">IF(OR(CI$4="",$B20=""),0,SUMIF('DADOS BRUTOS'!$A$3:$A$500,$B20,'DADOS BRUTOS'!I$3:I$500)+IF($C20="",0,SUMIF('DADOS BRUTOS'!$A$3:$A$500,$C20,'DADOS BRUTOS'!I$3:I$500)))</f>
        <v>0</v>
      </c>
      <c r="CJ20" s="133" t="n">
        <f aca="false">IF(OR(CJ$4="",$B20=""),0,SUMIF('DADOS BRUTOS'!$A$3:$A$500,$B20,'DADOS BRUTOS'!J$3:J$500)+IF($C20="",0,SUMIF('DADOS BRUTOS'!$A$3:$A$500,$C20,'DADOS BRUTOS'!J$3:J$500)))</f>
        <v>0</v>
      </c>
      <c r="CK20" s="133" t="n">
        <f aca="false">IF(OR(CK$4="",$B20=""),0,SUMIF('DADOS BRUTOS'!$A$3:$A$500,$B20,'DADOS BRUTOS'!K$3:K$500)+IF($C20="",0,SUMIF('DADOS BRUTOS'!$A$3:$A$500,$C20,'DADOS BRUTOS'!K$3:K$500)))</f>
        <v>0</v>
      </c>
      <c r="CL20" s="133" t="n">
        <f aca="false">IF(OR(CL$4="",$B20=""),0,SUMIF('DADOS BRUTOS'!$A$3:$A$500,$B20,'DADOS BRUTOS'!L$3:L$500)+IF($C20="",0,SUMIF('DADOS BRUTOS'!$A$3:$A$500,$C20,'DADOS BRUTOS'!L$3:L$500)))</f>
        <v>0</v>
      </c>
      <c r="CM20" s="133" t="n">
        <f aca="false">IF(OR(CM$4="",$B20=""),0,SUMIF('DADOS BRUTOS'!$A$3:$A$500,$B20,'DADOS BRUTOS'!M$3:M$500)+IF($C20="",0,SUMIF('DADOS BRUTOS'!$A$3:$A$500,$C20,'DADOS BRUTOS'!M$3:M$500)))</f>
        <v>0</v>
      </c>
      <c r="CN20" s="133" t="n">
        <f aca="false">IF(OR(CN$4="",$B20=""),0,SUMIF('DADOS BRUTOS'!$A$3:$A$500,$B20,'DADOS BRUTOS'!N$3:N$500)+IF($C20="",0,SUMIF('DADOS BRUTOS'!$A$3:$A$500,$C20,'DADOS BRUTOS'!N$3:N$500)))</f>
        <v>0</v>
      </c>
      <c r="CO20" s="133" t="n">
        <f aca="false">IF(OR(CO$4="",$B20=""),0,SUMIF('DADOS BRUTOS'!$A$3:$A$500,$B20,'DADOS BRUTOS'!O$3:O$500)+IF($C20="",0,SUMIF('DADOS BRUTOS'!$A$3:$A$500,$C20,'DADOS BRUTOS'!O$3:O$500)))</f>
        <v>0</v>
      </c>
      <c r="CP20" s="133" t="n">
        <f aca="false">IF(OR(CP$4="",$B20=""),0,SUMIF('DADOS BRUTOS'!$A$3:$A$500,$B20,'DADOS BRUTOS'!P$3:P$500)+IF($C20="",0,SUMIF('DADOS BRUTOS'!$A$3:$A$500,$C20,'DADOS BRUTOS'!P$3:P$500)))</f>
        <v>0</v>
      </c>
      <c r="CQ20" s="133" t="n">
        <f aca="false">IF(OR(CQ$4="",$B20=""),0,SUMIF('DADOS BRUTOS'!$A$3:$A$500,$B20,'DADOS BRUTOS'!Q$3:Q$500)+IF($C20="",0,SUMIF('DADOS BRUTOS'!$A$3:$A$500,$C20,'DADOS BRUTOS'!Q$3:Q$500)))</f>
        <v>0</v>
      </c>
      <c r="CR20" s="133" t="n">
        <f aca="false">IF(OR(CR$4="",$B20=""),0,SUMIF('DADOS BRUTOS'!$A$3:$A$500,$B20,'DADOS BRUTOS'!R$3:R$500)+IF($C20="",0,SUMIF('DADOS BRUTOS'!$A$3:$A$500,$C20,'DADOS BRUTOS'!R$3:R$500)))</f>
        <v>0</v>
      </c>
      <c r="CS20" s="133" t="n">
        <f aca="false">IF(OR(CS$4="",$B20=""),0,SUMIF('DADOS BRUTOS'!$A$3:$A$500,$B20,'DADOS BRUTOS'!S$3:S$500)+IF($C20="",0,SUMIF('DADOS BRUTOS'!$A$3:$A$500,$C20,'DADOS BRUTOS'!S$3:S$500)))</f>
        <v>0</v>
      </c>
      <c r="CT20" s="133" t="n">
        <f aca="false">IF(OR(CT$4="",$B20=""),0,SUMIF('DADOS BRUTOS'!$A$3:$A$500,$B20,'DADOS BRUTOS'!T$3:T$500)+IF($C20="",0,SUMIF('DADOS BRUTOS'!$A$3:$A$500,$C20,'DADOS BRUTOS'!T$3:T$500)))</f>
        <v>0</v>
      </c>
      <c r="CU20" s="133" t="n">
        <f aca="false">IF(OR(CU$4="",$B20=""),0,SUMIF('DADOS BRUTOS'!$A$3:$A$500,$B20,'DADOS BRUTOS'!U$3:U$500)+IF($C20="",0,SUMIF('DADOS BRUTOS'!$A$3:$A$500,$C20,'DADOS BRUTOS'!U$3:U$500)))</f>
        <v>0</v>
      </c>
      <c r="CV20" s="133" t="n">
        <f aca="false">IF(OR(CV$4="",$B20=""),0,SUMIF('DADOS BRUTOS'!$A$3:$A$500,$B20,'DADOS BRUTOS'!V$3:V$500)+IF($C20="",0,SUMIF('DADOS BRUTOS'!$A$3:$A$500,$C20,'DADOS BRUTOS'!V$3:V$500)))</f>
        <v>0</v>
      </c>
      <c r="CW20" s="133" t="n">
        <f aca="false">IF(OR(CW$4="",$B20=""),0,SUMIF('DADOS BRUTOS'!$A$3:$A$500,$B20,'DADOS BRUTOS'!W$3:W$500)+IF($C20="",0,SUMIF('DADOS BRUTOS'!$A$3:$A$500,$C20,'DADOS BRUTOS'!W$3:W$500)))</f>
        <v>0</v>
      </c>
      <c r="CX20" s="133" t="n">
        <f aca="false">IF(OR(CX$4="",$B20=""),0,SUMIF('DADOS BRUTOS'!$A$3:$A$500,$B20,'DADOS BRUTOS'!X$3:X$500)+IF($C20="",0,SUMIF('DADOS BRUTOS'!$A$3:$A$500,$C20,'DADOS BRUTOS'!X$3:X$500)))</f>
        <v>0</v>
      </c>
      <c r="CY20" s="133" t="n">
        <f aca="false">IF(OR(CY$4="",$B20=""),0,SUMIF('DADOS BRUTOS'!$A$3:$A$500,$B20,'DADOS BRUTOS'!Y$3:Y$500)+IF($C20="",0,SUMIF('DADOS BRUTOS'!$A$3:$A$500,$C20,'DADOS BRUTOS'!Y$3:Y$500)))</f>
        <v>0</v>
      </c>
      <c r="CZ20" s="133" t="n">
        <f aca="false">IF(OR(CZ$4="",$B20=""),0,SUMIF('DADOS BRUTOS'!$A$3:$A$500,$B20,'DADOS BRUTOS'!Z$3:Z$500)+IF($C20="",0,SUMIF('DADOS BRUTOS'!$A$3:$A$500,$C20,'DADOS BRUTOS'!Z$3:Z$500)))</f>
        <v>0</v>
      </c>
      <c r="DA20" s="133" t="n">
        <f aca="false">IF(OR(DA$4="",$B20=""),0,SUMIF('DADOS BRUTOS'!$A$3:$A$500,$B20,'DADOS BRUTOS'!AA$3:AA$500)+IF($C20="",0,SUMIF('DADOS BRUTOS'!$A$3:$A$500,$C20,'DADOS BRUTOS'!AA$3:AA$500)))</f>
        <v>0</v>
      </c>
      <c r="DB20" s="133" t="n">
        <f aca="false">IF(OR(DB$4="",$B20=""),0,SUMIF('DADOS BRUTOS'!$A$3:$A$500,$B20,'DADOS BRUTOS'!AB$3:AB$500)+IF($C20="",0,SUMIF('DADOS BRUTOS'!$A$3:$A$500,$C20,'DADOS BRUTOS'!AB$3:AB$500)))</f>
        <v>0</v>
      </c>
      <c r="DC20" s="133" t="n">
        <f aca="false">IF(OR(DC$4="",$B20=""),0,SUMIF('DADOS BRUTOS'!$A$3:$A$500,$B20,'DADOS BRUTOS'!AC$3:AC$500)+IF($C20="",0,SUMIF('DADOS BRUTOS'!$A$3:$A$500,$C20,'DADOS BRUTOS'!AC$3:AC$500)))</f>
        <v>0</v>
      </c>
      <c r="DD20" s="133" t="n">
        <f aca="false">IF(OR(DD$4="",$B20=""),0,SUMIF('DADOS BRUTOS'!$A$3:$A$500,$B20,'DADOS BRUTOS'!AD$3:AD$500)+IF($C20="",0,SUMIF('DADOS BRUTOS'!$A$3:$A$500,$C20,'DADOS BRUTOS'!AD$3:AD$500)))</f>
        <v>20138.34</v>
      </c>
      <c r="DE20" s="133" t="n">
        <f aca="false">IF(OR(DE$4="",$B20=""),0,SUMIF('DADOS BRUTOS'!$A$3:$A$500,$B20,'DADOS BRUTOS'!AE$3:AE$500)+IF($C20="",0,SUMIF('DADOS BRUTOS'!$A$3:$A$500,$C20,'DADOS BRUTOS'!AE$3:AE$500)))</f>
        <v>304245.22</v>
      </c>
      <c r="DF20" s="133" t="n">
        <f aca="false">IF(OR(DF$4="",$B20=""),0,SUMIF('DADOS BRUTOS'!$A$3:$A$500,$B20,'DADOS BRUTOS'!AF$3:AF$500)+IF($C20="",0,SUMIF('DADOS BRUTOS'!$A$3:$A$500,$C20,'DADOS BRUTOS'!AF$3:AF$500)))</f>
        <v>700460.71</v>
      </c>
      <c r="DG20" s="133" t="n">
        <f aca="false">IF(OR(DG$4="",$B20=""),0,SUMIF('DADOS BRUTOS'!$A$3:$A$500,$B20,'DADOS BRUTOS'!AG$3:AG$500)+IF($C20="",0,SUMIF('DADOS BRUTOS'!$A$3:$A$500,$C20,'DADOS BRUTOS'!AG$3:AG$500)))</f>
        <v>1455797.59</v>
      </c>
      <c r="DH20" s="133" t="n">
        <f aca="false">IF(OR(DH$4="",$B20=""),0,SUMIF('DADOS BRUTOS'!$A$3:$A$500,$B20,'DADOS BRUTOS'!AH$3:AH$500)+IF($C20="",0,SUMIF('DADOS BRUTOS'!$A$3:$A$500,$C20,'DADOS BRUTOS'!AH$3:AH$500)))</f>
        <v>480698.83</v>
      </c>
      <c r="DI20" s="133" t="n">
        <f aca="false">IF(OR(DI$4="",$B20=""),0,SUMIF('DADOS BRUTOS'!$A$3:$A$500,$B20,'DADOS BRUTOS'!AI$3:AI$500)+IF($C20="",0,SUMIF('DADOS BRUTOS'!$A$3:$A$500,$C20,'DADOS BRUTOS'!AI$3:AI$500)))</f>
        <v>50605.81</v>
      </c>
      <c r="DJ20" s="133" t="n">
        <f aca="false">IF(OR(DJ$4="",$B20=""),0,SUMIF('DADOS BRUTOS'!$A$3:$A$500,$B20,'DADOS BRUTOS'!AJ$3:AJ$500)+IF($C20="",0,SUMIF('DADOS BRUTOS'!$A$3:$A$500,$C20,'DADOS BRUTOS'!AJ$3:AJ$500)))</f>
        <v>8834.66</v>
      </c>
      <c r="DK20" s="133" t="n">
        <f aca="false">IF(OR(DK$4="",$B20=""),0,SUMIF('DADOS BRUTOS'!$A$3:$A$500,$B20,'DADOS BRUTOS'!AK$3:AK$500)+IF($C20="",0,SUMIF('DADOS BRUTOS'!$A$3:$A$500,$C20,'DADOS BRUTOS'!AK$3:AK$500)))</f>
        <v>0</v>
      </c>
      <c r="DL20" s="133" t="n">
        <f aca="false">IF(OR(DL$4="",$B20=""),0,SUMIF('DADOS BRUTOS'!$A$3:$A$500,$B20,'DADOS BRUTOS'!AL$3:AL$500)+IF($C20="",0,SUMIF('DADOS BRUTOS'!$A$3:$A$500,$C20,'DADOS BRUTOS'!AL$3:AL$500)))</f>
        <v>19943.08</v>
      </c>
      <c r="DM20" s="133" t="n">
        <f aca="false">IF(OR(DM$4="",$B20=""),0,SUMIF('DADOS BRUTOS'!$A$3:$A$500,$B20,'DADOS BRUTOS'!AM$3:AM$500)+IF($C20="",0,SUMIF('DADOS BRUTOS'!$A$3:$A$500,$C20,'DADOS BRUTOS'!AM$3:AM$500)))</f>
        <v>22778.61</v>
      </c>
      <c r="DN20" s="133" t="n">
        <f aca="false">IF(OR(DN$4="",$B20=""),0,SUMIF('DADOS BRUTOS'!$A$3:$A$500,$B20,'DADOS BRUTOS'!AN$3:AN$500)+IF($C20="",0,SUMIF('DADOS BRUTOS'!$A$3:$A$500,$C20,'DADOS BRUTOS'!AN$3:AN$500)))</f>
        <v>2356.48</v>
      </c>
      <c r="DO20" s="133" t="n">
        <f aca="false">IF(OR(DO$4="",$B20=""),0,SUMIF('DADOS BRUTOS'!$A$3:$A$500,$B20,'DADOS BRUTOS'!AO$3:AO$500)+IF($C20="",0,SUMIF('DADOS BRUTOS'!$A$3:$A$500,$C20,'DADOS BRUTOS'!AO$3:AO$500)))</f>
        <v>2007.28</v>
      </c>
      <c r="DP20" s="133" t="n">
        <f aca="false">IF(OR(DP$4="",$B20=""),0,SUMIF('DADOS BRUTOS'!$A$3:$A$500,$B20,'DADOS BRUTOS'!AP$3:AP$500)+IF($C20="",0,SUMIF('DADOS BRUTOS'!$A$3:$A$500,$C20,'DADOS BRUTOS'!AP$3:AP$500)))</f>
        <v>0</v>
      </c>
      <c r="DQ20" s="133" t="n">
        <f aca="false">IF(OR(DQ$4="",$B20=""),0,SUMIF('DADOS BRUTOS'!$A$3:$A$500,$B20,'DADOS BRUTOS'!AQ$3:AQ$500)+IF($C20="",0,SUMIF('DADOS BRUTOS'!$A$3:$A$500,$C20,'DADOS BRUTOS'!AQ$3:AQ$500)))</f>
        <v>0</v>
      </c>
      <c r="DR20" s="133" t="n">
        <f aca="false">IF(OR(DR$4="",$B20=""),0,SUMIF('DADOS BRUTOS'!$A$3:$A$500,$B20,'DADOS BRUTOS'!AR$3:AR$500)+IF($C20="",0,SUMIF('DADOS BRUTOS'!$A$3:$A$500,$C20,'DADOS BRUTOS'!AR$3:AR$500)))</f>
        <v>0</v>
      </c>
      <c r="DS20" s="133" t="n">
        <f aca="false">IF(OR(DS$4="",$B20=""),0,SUMIF('DADOS BRUTOS'!$A$3:$A$500,$B20,'DADOS BRUTOS'!AS$3:AS$500)+IF($C20="",0,SUMIF('DADOS BRUTOS'!$A$3:$A$500,$C20,'DADOS BRUTOS'!AS$3:AS$500)))</f>
        <v>0</v>
      </c>
      <c r="DT20" s="133" t="n">
        <f aca="false">IF(OR(DT$4="",$B20=""),0,SUMIF('DADOS BRUTOS'!$A$3:$A$500,$B20,'DADOS BRUTOS'!AT$3:AT$500)+IF($C20="",0,SUMIF('DADOS BRUTOS'!$A$3:$A$500,$C20,'DADOS BRUTOS'!AT$3:AT$500)))</f>
        <v>0</v>
      </c>
      <c r="DU20" s="133" t="n">
        <f aca="false">IF(OR(DU$4="",$B20=""),0,SUMIF('DADOS BRUTOS'!$A$3:$A$500,$B20,'DADOS BRUTOS'!AU$3:AU$500)+IF($C20="",0,SUMIF('DADOS BRUTOS'!$A$3:$A$500,$C20,'DADOS BRUTOS'!AU$3:AU$500)))</f>
        <v>0</v>
      </c>
      <c r="DV20" s="133" t="n">
        <f aca="false">IF(OR(DV$4="",$B20=""),0,SUMIF('DADOS BRUTOS'!$A$3:$A$500,$B20,'DADOS BRUTOS'!AV$3:AV$500)+IF($C20="",0,SUMIF('DADOS BRUTOS'!$A$3:$A$500,$C20,'DADOS BRUTOS'!AV$3:AV$500)))</f>
        <v>0</v>
      </c>
      <c r="DW20" s="133" t="n">
        <f aca="false">IF(OR(DW$4="",$B20=""),0,SUMIF('DADOS BRUTOS'!$A$3:$A$500,$B20,'DADOS BRUTOS'!AW$3:AW$500)+IF($C20="",0,SUMIF('DADOS BRUTOS'!$A$3:$A$500,$C20,'DADOS BRUTOS'!AW$3:AW$500)))</f>
        <v>0</v>
      </c>
      <c r="DX20" s="133" t="n">
        <f aca="false">IF(OR(DX$4="",$B20=""),0,SUMIF('DADOS BRUTOS'!$A$3:$A$500,$B20,'DADOS BRUTOS'!AX$3:AX$500)+IF($C20="",0,SUMIF('DADOS BRUTOS'!$A$3:$A$500,$C20,'DADOS BRUTOS'!AX$3:AX$500)))</f>
        <v>0</v>
      </c>
      <c r="DY20" s="133" t="n">
        <f aca="false">IF(OR(DY$4="",$B20=""),0,SUMIF('DADOS BRUTOS'!$A$3:$A$500,$B20,'DADOS BRUTOS'!AY$3:AY$500)+IF($C20="",0,SUMIF('DADOS BRUTOS'!$A$3:$A$500,$C20,'DADOS BRUTOS'!AY$3:AY$500)))</f>
        <v>0</v>
      </c>
      <c r="DZ20" s="133" t="n">
        <f aca="false">IF(OR(DZ$4="",$B20=""),0,SUMIF('DADOS BRUTOS'!$A$3:$A$500,$B20,'DADOS BRUTOS'!AZ$3:AZ$500)+IF($C20="",0,SUMIF('DADOS BRUTOS'!$A$3:$A$500,$C20,'DADOS BRUTOS'!AZ$3:AZ$500)))</f>
        <v>0</v>
      </c>
      <c r="EA20" s="133" t="n">
        <f aca="false">IF(OR(EA$4="",$B20=""),0,SUMIF('DADOS BRUTOS'!$A$3:$A$500,$B20,'DADOS BRUTOS'!BA$3:BA$500)+IF($C20="",0,SUMIF('DADOS BRUTOS'!$A$3:$A$500,$C20,'DADOS BRUTOS'!BA$3:BA$500)))</f>
        <v>0</v>
      </c>
      <c r="EB20" s="133" t="n">
        <f aca="false">IF(OR(EB$4="",$B20=""),0,SUMIF('DADOS BRUTOS'!$A$3:$A$500,$B20,'DADOS BRUTOS'!BB$3:BB$500)+IF($C20="",0,SUMIF('DADOS BRUTOS'!$A$3:$A$500,$C20,'DADOS BRUTOS'!BB$3:BB$500)))</f>
        <v>0</v>
      </c>
      <c r="EC20" s="133" t="n">
        <f aca="false">IF(OR(EC$4="",$B20=""),0,SUMIF('DADOS BRUTOS'!$A$3:$A$500,$B20,'DADOS BRUTOS'!BC$3:BC$500)+IF($C20="",0,SUMIF('DADOS BRUTOS'!$A$3:$A$500,$C20,'DADOS BRUTOS'!BC$3:BC$500)))</f>
        <v>0</v>
      </c>
      <c r="ED20" s="133" t="n">
        <f aca="false">IF(OR(ED$4="",$B20=""),0,SUMIF('DADOS BRUTOS'!$A$3:$A$500,$B20,'DADOS BRUTOS'!BD$3:BD$500)+IF($C20="",0,SUMIF('DADOS BRUTOS'!$A$3:$A$500,$C20,'DADOS BRUTOS'!BD$3:BD$500)))</f>
        <v>0</v>
      </c>
      <c r="EE20" s="133" t="n">
        <f aca="false">IF(OR(EE$4="",$B20=""),0,SUMIF('DADOS BRUTOS'!$A$3:$A$500,$B20,'DADOS BRUTOS'!BE$3:BE$500)+IF($C20="",0,SUMIF('DADOS BRUTOS'!$A$3:$A$500,$C20,'DADOS BRUTOS'!BE$3:BE$500)))</f>
        <v>3768.88</v>
      </c>
      <c r="EF20" s="133" t="n">
        <f aca="false">IF(OR(EF$4="",$B20=""),0,SUMIF('DADOS BRUTOS'!$A$3:$A$500,$B20,'DADOS BRUTOS'!BF$3:BF$500)+IF($C20="",0,SUMIF('DADOS BRUTOS'!$A$3:$A$500,$C20,'DADOS BRUTOS'!BF$3:BF$500)))</f>
        <v>0</v>
      </c>
      <c r="EG20" s="133" t="n">
        <f aca="false">IF(OR(EG$4="",$B20=""),0,SUMIF('DADOS BRUTOS'!$A$3:$A$500,$B20,'DADOS BRUTOS'!BG$3:BG$500)+IF($C20="",0,SUMIF('DADOS BRUTOS'!$A$3:$A$500,$C20,'DADOS BRUTOS'!BG$3:BG$500)))</f>
        <v>0</v>
      </c>
      <c r="EH20" s="133" t="n">
        <f aca="false">IF(OR(EH$4="",$B20=""),0,SUMIF('DADOS BRUTOS'!$A$3:$A$500,$B20,'DADOS BRUTOS'!BH$3:BH$500)+IF($C20="",0,SUMIF('DADOS BRUTOS'!$A$3:$A$500,$C20,'DADOS BRUTOS'!BH$3:BH$500)))</f>
        <v>0</v>
      </c>
      <c r="EI20" s="133" t="n">
        <f aca="false">IF(OR(EI$4="",$B20=""),0,SUMIF('DADOS BRUTOS'!$A$3:$A$500,$B20,'DADOS BRUTOS'!BI$3:BI$500)+IF($C20="",0,SUMIF('DADOS BRUTOS'!$A$3:$A$500,$C20,'DADOS BRUTOS'!BI$3:BI$500)))</f>
        <v>0</v>
      </c>
      <c r="EJ20" s="133" t="n">
        <f aca="false">IF(OR(EJ$4="",$B20=""),0,SUMIF('DADOS BRUTOS'!$A$3:$A$500,$B20,'DADOS BRUTOS'!BJ$3:BJ$500)+IF($C20="",0,SUMIF('DADOS BRUTOS'!$A$3:$A$500,$C20,'DADOS BRUTOS'!BJ$3:BJ$500)))</f>
        <v>0</v>
      </c>
      <c r="EK20" s="133" t="n">
        <f aca="false">IF(OR(EK$4="",$B20=""),0,SUMIF('DADOS BRUTOS'!$A$3:$A$500,$B20,'DADOS BRUTOS'!BK$3:BK$500)+IF($C20="",0,SUMIF('DADOS BRUTOS'!$A$3:$A$500,$C20,'DADOS BRUTOS'!BK$3:BK$500)))</f>
        <v>0</v>
      </c>
      <c r="EL20" s="133" t="n">
        <f aca="false">IF(OR(EL$4="",$B20=""),0,SUMIF('DADOS BRUTOS'!$A$3:$A$500,$B20,'DADOS BRUTOS'!BL$3:BL$500)+IF($C20="",0,SUMIF('DADOS BRUTOS'!$A$3:$A$500,$C20,'DADOS BRUTOS'!BL$3:BL$500)))</f>
        <v>0</v>
      </c>
      <c r="EM20" s="133" t="n">
        <f aca="false">IF(OR(EM$4="",$B20=""),0,SUMIF('DADOS BRUTOS'!$A$3:$A$500,$B20,'DADOS BRUTOS'!BM$3:BM$500)+IF($C20="",0,SUMIF('DADOS BRUTOS'!$A$3:$A$500,$C20,'DADOS BRUTOS'!BM$3:BM$500)))</f>
        <v>0</v>
      </c>
      <c r="EN20" s="133" t="n">
        <f aca="false">IF(OR(EN$4="",$B20=""),0,SUMIF('DADOS BRUTOS'!$A$3:$A$500,$B20,'DADOS BRUTOS'!BN$3:BN$500)+IF($C20="",0,SUMIF('DADOS BRUTOS'!$A$3:$A$500,$C20,'DADOS BRUTOS'!BN$3:BN$500)))</f>
        <v>0</v>
      </c>
      <c r="EO20" s="133" t="n">
        <f aca="false">IF(OR(EO$4="",$B20=""),0,SUMIF('DADOS BRUTOS'!$A$3:$A$500,$B20,'DADOS BRUTOS'!BO$3:BO$500)+IF($C20="",0,SUMIF('DADOS BRUTOS'!$A$3:$A$500,$C20,'DADOS BRUTOS'!BO$3:BO$500)))</f>
        <v>0</v>
      </c>
      <c r="EP20" s="133" t="n">
        <f aca="false">IF(OR(EP$4="",$B20=""),0,SUMIF('DADOS BRUTOS'!$A$3:$A$500,$B20,'DADOS BRUTOS'!BP$3:BP$500)+IF($C20="",0,SUMIF('DADOS BRUTOS'!$A$3:$A$500,$C20,'DADOS BRUTOS'!BP$3:BP$500)))</f>
        <v>0</v>
      </c>
      <c r="EQ20" s="133" t="n">
        <f aca="false">IF(OR(EQ$4="",$B20=""),0,SUMIF('DADOS BRUTOS'!$A$3:$A$500,$B20,'DADOS BRUTOS'!BQ$3:BQ$500)+IF($C20="",0,SUMIF('DADOS BRUTOS'!$A$3:$A$500,$C20,'DADOS BRUTOS'!BQ$3:BQ$500)))</f>
        <v>0</v>
      </c>
      <c r="ER20" s="133" t="n">
        <f aca="false">IF(OR(ER$4="",$B20=""),0,SUMIF('DADOS BRUTOS'!$A$3:$A$500,$B20,'DADOS BRUTOS'!BR$3:BR$500)+IF($C20="",0,SUMIF('DADOS BRUTOS'!$A$3:$A$500,$C20,'DADOS BRUTOS'!BR$3:BR$500)))</f>
        <v>0</v>
      </c>
      <c r="ES20" s="133" t="n">
        <f aca="false">IF(OR(ES$4="",$B20=""),0,SUMIF('DADOS BRUTOS'!$A$3:$A$500,$B20,'DADOS BRUTOS'!BS$3:BS$500)+IF($C20="",0,SUMIF('DADOS BRUTOS'!$A$3:$A$500,$C20,'DADOS BRUTOS'!BS$3:BS$500)))</f>
        <v>0</v>
      </c>
      <c r="ET20" s="133" t="n">
        <f aca="false">IF(OR(ET$4="",$B20=""),0,SUMIF('DADOS BRUTOS'!$A$3:$A$500,$B20,'DADOS BRUTOS'!BT$3:BT$500)+IF($C20="",0,SUMIF('DADOS BRUTOS'!$A$3:$A$500,$C20,'DADOS BRUTOS'!BT$3:BT$500)))</f>
        <v>0</v>
      </c>
      <c r="EU20" s="133" t="n">
        <f aca="false">IF(OR(EU$4="",$B20=""),0,SUMIF('DADOS BRUTOS'!$A$3:$A$500,$B20,'DADOS BRUTOS'!BU$3:BU$500)+IF($C20="",0,SUMIF('DADOS BRUTOS'!$A$3:$A$500,$C20,'DADOS BRUTOS'!BU$3:BU$500)))</f>
        <v>0</v>
      </c>
      <c r="EV20" s="133" t="n">
        <f aca="false">IF(OR(EV$4="",$B20=""),0,SUMIF('DADOS BRUTOS'!$A$3:$A$500,$B20,'DADOS BRUTOS'!BV$3:BV$500)+IF($C20="",0,SUMIF('DADOS BRUTOS'!$A$3:$A$500,$C20,'DADOS BRUTOS'!BV$3:BV$500)))</f>
        <v>0</v>
      </c>
      <c r="EW20" s="133" t="n">
        <f aca="false">IF(OR(EW$4="",$B20=""),0,SUMIF('DADOS BRUTOS'!$A$3:$A$500,$B20,'DADOS BRUTOS'!BW$3:BW$500)+IF($C20="",0,SUMIF('DADOS BRUTOS'!$A$3:$A$500,$C20,'DADOS BRUTOS'!BW$3:BW$500)))</f>
        <v>0</v>
      </c>
      <c r="EX20" s="133" t="n">
        <f aca="false">IF(OR(EX$4="",$B20=""),0,SUMIF('DADOS BRUTOS'!$A$3:$A$500,$B20,'DADOS BRUTOS'!BX$3:BX$500)+IF($C20="",0,SUMIF('DADOS BRUTOS'!$A$3:$A$500,$C20,'DADOS BRUTOS'!BX$3:BX$500)))</f>
        <v>0</v>
      </c>
      <c r="EY20" s="133" t="n">
        <f aca="false">IF(OR(EY$4="",$B20=""),0,SUMIF('DADOS BRUTOS'!$A$3:$A$500,$B20,'DADOS BRUTOS'!BY$3:BY$500)+IF($C20="",0,SUMIF('DADOS BRUTOS'!$A$3:$A$500,$C20,'DADOS BRUTOS'!BY$3:BY$500)))</f>
        <v>0</v>
      </c>
      <c r="EZ20" s="133" t="n">
        <f aca="false">IF(OR(EZ$4="",$B20=""),0,SUMIF('DADOS BRUTOS'!$A$3:$A$500,$B20,'DADOS BRUTOS'!BZ$3:BZ$500)+IF($C20="",0,SUMIF('DADOS BRUTOS'!$A$3:$A$500,$C20,'DADOS BRUTOS'!BZ$3:BZ$500)))</f>
        <v>0</v>
      </c>
      <c r="FA20" s="133" t="n">
        <f aca="false">IF(OR(FA$4="",$B20=""),0,SUMIF('DADOS BRUTOS'!$A$3:$A$500,$B20,'DADOS BRUTOS'!CA$3:CA$500)+IF($C20="",0,SUMIF('DADOS BRUTOS'!$A$3:$A$500,$C20,'DADOS BRUTOS'!CA$3:CA$500)))</f>
        <v>0</v>
      </c>
      <c r="FB20" s="133" t="n">
        <f aca="false">IF(OR(FB$4="",$B20=""),0,SUMIF('DADOS BRUTOS'!$A$3:$A$500,$B20,'DADOS BRUTOS'!CB$3:CB$500)+IF($C20="",0,SUMIF('DADOS BRUTOS'!$A$3:$A$500,$C20,'DADOS BRUTOS'!CB$3:CB$500)))</f>
        <v>0</v>
      </c>
      <c r="FC20" s="133" t="n">
        <f aca="false">IF(OR(FC$4="",$B20=""),0,SUMIF('DADOS BRUTOS'!$A$3:$A$500,$B20,'DADOS BRUTOS'!CC$3:CC$500)+IF($C20="",0,SUMIF('DADOS BRUTOS'!$A$3:$A$500,$C20,'DADOS BRUTOS'!CC$3:CC$500)))</f>
        <v>0</v>
      </c>
      <c r="FD20" s="133" t="n">
        <f aca="false">IF(OR(FD$4="",$B20=""),0,SUMIF('DADOS BRUTOS'!$A$3:$A$500,$B20,'DADOS BRUTOS'!CD$3:CD$500)+IF($C20="",0,SUMIF('DADOS BRUTOS'!$A$3:$A$500,$C20,'DADOS BRUTOS'!CD$3:CD$500)))</f>
        <v>0</v>
      </c>
      <c r="FE20" s="133" t="n">
        <f aca="false">IF(OR(FE$4="",$B20=""),0,SUMIF('DADOS BRUTOS'!$A$3:$A$500,$B20,'DADOS BRUTOS'!CE$3:CE$500)+IF($C20="",0,SUMIF('DADOS BRUTOS'!$A$3:$A$500,$C20,'DADOS BRUTOS'!CE$3:CE$500)))</f>
        <v>0</v>
      </c>
      <c r="FF20" s="133" t="n">
        <f aca="false">IF(OR(FF$4="",$B20=""),0,SUMIF('DADOS BRUTOS'!$A$3:$A$500,$B20,'DADOS BRUTOS'!CF$3:CF$500)+IF($C20="",0,SUMIF('DADOS BRUTOS'!$A$3:$A$500,$C20,'DADOS BRUTOS'!CF$3:CF$500)))</f>
        <v>0</v>
      </c>
      <c r="FG20" s="133" t="n">
        <f aca="false">IF(OR(FG$4="",$B20=""),0,SUMIF('DADOS BRUTOS'!$A$3:$A$500,$B20,'DADOS BRUTOS'!CG$3:CG$500)+IF($C20="",0,SUMIF('DADOS BRUTOS'!$A$3:$A$500,$C20,'DADOS BRUTOS'!CG$3:CG$500)))</f>
        <v>0</v>
      </c>
      <c r="FH20" s="133" t="n">
        <f aca="false">IF(OR(FH$4="",$B20=""),0,SUMIF('DADOS BRUTOS'!$A$3:$A$500,$B20,'DADOS BRUTOS'!CH$3:CH$500)+IF($C20="",0,SUMIF('DADOS BRUTOS'!$A$3:$A$500,$C20,'DADOS BRUTOS'!CH$3:CH$500)))</f>
        <v>0</v>
      </c>
      <c r="FI20" s="133" t="n">
        <f aca="false">IF(OR(FI$4="",$B20=""),0,SUMIF('DADOS BRUTOS'!$A$3:$A$500,$B20,'DADOS BRUTOS'!CI$3:CI$500)+IF($C20="",0,SUMIF('DADOS BRUTOS'!$A$3:$A$500,$C20,'DADOS BRUTOS'!CI$3:CI$500)))</f>
        <v>0</v>
      </c>
      <c r="FJ20" s="133" t="n">
        <f aca="false">IF(OR(FJ$4="",$B20=""),0,SUMIF('DADOS BRUTOS'!$A$3:$A$500,$B20,'DADOS BRUTOS'!CJ$3:CJ$500)+IF($C20="",0,SUMIF('DADOS BRUTOS'!$A$3:$A$500,$C20,'DADOS BRUTOS'!CJ$3:CJ$500)))</f>
        <v>0</v>
      </c>
      <c r="FK20" s="133" t="n">
        <f aca="false">IF(OR(FK$4="",$B20=""),0,SUMIF('DADOS BRUTOS'!$A$3:$A$500,$B20,'DADOS BRUTOS'!CK$3:CK$500)+IF($C20="",0,SUMIF('DADOS BRUTOS'!$A$3:$A$500,$C20,'DADOS BRUTOS'!CK$3:CK$500)))</f>
        <v>0</v>
      </c>
      <c r="FL20" s="133" t="n">
        <f aca="false">IF(OR(FL$4="",$B20=""),0,SUMIF('DADOS BRUTOS'!$A$3:$A$500,$B20,'DADOS BRUTOS'!CL$3:CL$500)+IF($C20="",0,SUMIF('DADOS BRUTOS'!$A$3:$A$500,$C20,'DADOS BRUTOS'!CL$3:CL$500)))</f>
        <v>0</v>
      </c>
      <c r="FM20" s="133" t="n">
        <f aca="false">IF(OR(FM$4="",$B20=""),0,SUMIF('DADOS BRUTOS'!$A$3:$A$500,$B20,'DADOS BRUTOS'!CM$3:CM$500)+IF($C20="",0,SUMIF('DADOS BRUTOS'!$A$3:$A$500,$C20,'DADOS BRUTOS'!CM$3:CM$500)))</f>
        <v>0</v>
      </c>
      <c r="FN20" s="133" t="n">
        <f aca="false">IF(OR(FN$4="",$B20=""),0,SUMIF('DADOS BRUTOS'!$A$3:$A$500,$B20,'DADOS BRUTOS'!CN$3:CN$500)+IF($C20="",0,SUMIF('DADOS BRUTOS'!$A$3:$A$500,$C20,'DADOS BRUTOS'!CN$3:CN$500)))</f>
        <v>0</v>
      </c>
      <c r="FO20" s="133" t="n">
        <f aca="false">IF(OR(FO$4="",$B20=""),0,SUMIF('DADOS BRUTOS'!$A$3:$A$500,$B20,'DADOS BRUTOS'!CO$3:CO$500)+IF($C20="",0,SUMIF('DADOS BRUTOS'!$A$3:$A$500,$C20,'DADOS BRUTOS'!CO$3:CO$500)))</f>
        <v>0</v>
      </c>
      <c r="FP20" s="133" t="n">
        <f aca="false">IF(OR(FP$4="",$B20=""),0,SUMIF('DADOS BRUTOS'!$A$3:$A$500,$B20,'DADOS BRUTOS'!CP$3:CP$500)+IF($C20="",0,SUMIF('DADOS BRUTOS'!$A$3:$A$500,$C20,'DADOS BRUTOS'!CP$3:CP$500)))</f>
        <v>0</v>
      </c>
      <c r="FQ20" s="133" t="n">
        <f aca="false">IF(OR(FQ$4="",$B20=""),0,SUMIF('DADOS BRUTOS'!$A$3:$A$500,$B20,'DADOS BRUTOS'!CQ$3:CQ$500)+IF($C20="",0,SUMIF('DADOS BRUTOS'!$A$3:$A$500,$C20,'DADOS BRUTOS'!CQ$3:CQ$500)))</f>
        <v>0</v>
      </c>
      <c r="FR20" s="133" t="n">
        <f aca="false">IF(OR(FR$4="",$B20=""),0,SUMIF('DADOS BRUTOS'!$A$3:$A$500,$B20,'DADOS BRUTOS'!CR$3:CR$500)+IF($C20="",0,SUMIF('DADOS BRUTOS'!$A$3:$A$500,$C20,'DADOS BRUTOS'!CR$3:CR$500)))</f>
        <v>0</v>
      </c>
      <c r="FS20" s="133" t="n">
        <f aca="false">IF(OR(FS$4="",$B20=""),0,SUMIF('DADOS BRUTOS'!$A$3:$A$500,$B20,'DADOS BRUTOS'!CS$3:CS$500)+IF($C20="",0,SUMIF('DADOS BRUTOS'!$A$3:$A$500,$C20,'DADOS BRUTOS'!CS$3:CS$500)))</f>
        <v>0</v>
      </c>
      <c r="FT20" s="133" t="n">
        <f aca="false">IF(OR(FT$4="",$B20=""),0,SUMIF('DADOS BRUTOS'!$A$3:$A$500,$B20,'DADOS BRUTOS'!CT$3:CT$500)+IF($C20="",0,SUMIF('DADOS BRUTOS'!$A$3:$A$500,$C20,'DADOS BRUTOS'!CT$3:CT$500)))</f>
        <v>0</v>
      </c>
      <c r="FU20" s="133" t="n">
        <f aca="false">IF(OR(FU$4="",$B20=""),0,SUMIF('DADOS BRUTOS'!$A$3:$A$500,$B20,'DADOS BRUTOS'!CU$3:CU$500)+IF($C20="",0,SUMIF('DADOS BRUTOS'!$A$3:$A$500,$C20,'DADOS BRUTOS'!CU$3:CU$500)))</f>
        <v>0</v>
      </c>
      <c r="FV20" s="133" t="n">
        <f aca="false">IF(OR(FV$4="",$B20=""),0,SUMIF('DADOS BRUTOS'!$A$3:$A$500,$B20,'DADOS BRUTOS'!CV$3:CV$500)+IF($C20="",0,SUMIF('DADOS BRUTOS'!$A$3:$A$500,$C20,'DADOS BRUTOS'!CV$3:CV$500)))</f>
        <v>0</v>
      </c>
      <c r="FW20" s="133" t="n">
        <f aca="false">IF(OR(FW$4="",$B20=""),0,SUMIF('DADOS BRUTOS'!$A$3:$A$500,$B20,'DADOS BRUTOS'!CW$3:CW$500)+IF($C20="",0,SUMIF('DADOS BRUTOS'!$A$3:$A$500,$C20,'DADOS BRUTOS'!CW$3:CW$500)))</f>
        <v>0</v>
      </c>
      <c r="FX20" s="133" t="n">
        <f aca="false">IF(OR(FX$4="",$B20=""),0,SUMIF('DADOS BRUTOS'!$A$3:$A$500,$B20,'DADOS BRUTOS'!CX$3:CX$500)+IF($C20="",0,SUMIF('DADOS BRUTOS'!$A$3:$A$500,$C20,'DADOS BRUTOS'!CX$3:CX$500)))</f>
        <v>0</v>
      </c>
      <c r="FY20" s="133" t="n">
        <f aca="false">IF(OR(FY$4="",$B20=""),0,SUMIF('DADOS BRUTOS'!$A$3:$A$500,$B20,'DADOS BRUTOS'!CY$3:CY$500)+IF($C20="",0,SUMIF('DADOS BRUTOS'!$A$3:$A$500,$C20,'DADOS BRUTOS'!CY$3:CY$500)))</f>
        <v>0</v>
      </c>
      <c r="FZ20" s="133" t="n">
        <f aca="false">IF(OR(FZ$4="",$B20=""),0,SUMIF('DADOS BRUTOS'!$A$3:$A$500,$B20,'DADOS BRUTOS'!CZ$3:CZ$500)+IF($C20="",0,SUMIF('DADOS BRUTOS'!$A$3:$A$500,$C20,'DADOS BRUTOS'!CZ$3:CZ$500)))</f>
        <v>0</v>
      </c>
      <c r="GA20" s="133" t="n">
        <f aca="false">IF(OR(GA$4="",$B20=""),0,SUMIF('DADOS BRUTOS'!$A$3:$A$500,$B20,'DADOS BRUTOS'!DA$3:DA$500)+IF($C20="",0,SUMIF('DADOS BRUTOS'!$A$3:$A$500,$C20,'DADOS BRUTOS'!DA$3:DA$500)))</f>
        <v>0</v>
      </c>
      <c r="GB20" s="133" t="n">
        <f aca="false">IF(OR(GB$4="",$B20=""),0,SUMIF('DADOS BRUTOS'!$A$3:$A$500,$B20,'DADOS BRUTOS'!DB$3:DB$500)+IF($C20="",0,SUMIF('DADOS BRUTOS'!$A$3:$A$500,$C20,'DADOS BRUTOS'!DB$3:DB$500)))</f>
        <v>0</v>
      </c>
      <c r="GC20" s="133" t="n">
        <f aca="false">IF(OR(GC$4="",$B20=""),0,SUMIF('DADOS BRUTOS'!$A$3:$A$500,$B20,'DADOS BRUTOS'!DC$3:DC$500)+IF($C20="",0,SUMIF('DADOS BRUTOS'!$A$3:$A$500,$C20,'DADOS BRUTOS'!DC$3:DC$500)))</f>
        <v>0</v>
      </c>
      <c r="GD20" s="133" t="n">
        <f aca="false">IF(OR(GD$4="",$B20=""),0,SUMIF('DADOS BRUTOS'!$A$3:$A$500,$B20,'DADOS BRUTOS'!DD$3:DD$500)+IF($C20="",0,SUMIF('DADOS BRUTOS'!$A$3:$A$500,$C20,'DADOS BRUTOS'!DD$3:DD$500)))</f>
        <v>0</v>
      </c>
      <c r="GE20" s="133" t="n">
        <f aca="false">IF(OR(GE$4="",$B20=""),0,SUMIF('DADOS BRUTOS'!$A$3:$A$500,$B20,'DADOS BRUTOS'!DE$3:DE$500)+IF($C20="",0,SUMIF('DADOS BRUTOS'!$A$3:$A$500,$C20,'DADOS BRUTOS'!DE$3:DE$500)))</f>
        <v>0</v>
      </c>
      <c r="GF20" s="133" t="n">
        <f aca="false">IF(OR(GF$4="",$B20=""),0,SUMIF('DADOS BRUTOS'!$A$3:$A$500,$B20,'DADOS BRUTOS'!DF$3:DF$500)+IF($C20="",0,SUMIF('DADOS BRUTOS'!$A$3:$A$500,$C20,'DADOS BRUTOS'!DF$3:DF$500)))</f>
        <v>0</v>
      </c>
      <c r="GG20" s="133" t="n">
        <f aca="false">IF(OR(GG$4="",$B20=""),0,SUMIF('DADOS BRUTOS'!$A$3:$A$500,$B20,'DADOS BRUTOS'!DG$3:DG$500)+IF($C20="",0,SUMIF('DADOS BRUTOS'!$A$3:$A$500,$C20,'DADOS BRUTOS'!DG$3:DG$500)))</f>
        <v>0</v>
      </c>
      <c r="GH20" s="133" t="n">
        <f aca="false">IF(OR(GH$4="",$B20=""),0,SUMIF('DADOS BRUTOS'!$A$3:$A$500,$B20,'DADOS BRUTOS'!DH$3:DH$500)+IF($C20="",0,SUMIF('DADOS BRUTOS'!$A$3:$A$500,$C20,'DADOS BRUTOS'!DH$3:DH$500)))</f>
        <v>0</v>
      </c>
      <c r="GI20" s="133" t="n">
        <f aca="false">IF(OR(GI$4="",$B20=""),0,SUMIF('DADOS BRUTOS'!$A$3:$A$500,$B20,'DADOS BRUTOS'!DI$3:DI$500)+IF($C20="",0,SUMIF('DADOS BRUTOS'!$A$3:$A$500,$C20,'DADOS BRUTOS'!DI$3:DI$500)))</f>
        <v>0</v>
      </c>
      <c r="GJ20" s="133" t="n">
        <f aca="false">IF(OR(GJ$4="",$B20=""),0,SUMIF('DADOS BRUTOS'!$A$3:$A$500,$B20,'DADOS BRUTOS'!DJ$3:DJ$500)+IF($C20="",0,SUMIF('DADOS BRUTOS'!$A$3:$A$500,$C20,'DADOS BRUTOS'!DJ$3:DJ$500)))</f>
        <v>0</v>
      </c>
      <c r="GK20" s="133" t="n">
        <f aca="false">IF(OR(GK$4="",$B20=""),0,SUMIF('DADOS BRUTOS'!$A$3:$A$500,$B20,'DADOS BRUTOS'!DK$3:DK$500)+IF($C20="",0,SUMIF('DADOS BRUTOS'!$A$3:$A$500,$C20,'DADOS BRUTOS'!DK$3:DK$500)))</f>
        <v>0</v>
      </c>
      <c r="GL20" s="133" t="n">
        <f aca="false">IF(OR(GL$4="",$B20=""),0,SUMIF('DADOS BRUTOS'!$A$3:$A$500,$B20,'DADOS BRUTOS'!DL$3:DL$500)+IF($C20="",0,SUMIF('DADOS BRUTOS'!$A$3:$A$500,$C20,'DADOS BRUTOS'!DL$3:DL$500)))</f>
        <v>0</v>
      </c>
      <c r="GM20" s="133" t="n">
        <f aca="false">IF(OR(GM$4="",$B20=""),0,SUMIF('DADOS BRUTOS'!$A$3:$A$500,$B20,'DADOS BRUTOS'!DM$3:DM$500)+IF($C20="",0,SUMIF('DADOS BRUTOS'!$A$3:$A$500,$C20,'DADOS BRUTOS'!DM$3:DM$500)))</f>
        <v>0</v>
      </c>
      <c r="GN20" s="133" t="n">
        <f aca="false">IF(OR(GN$4="",$B20=""),0,SUMIF('DADOS BRUTOS'!$A$3:$A$500,$B20,'DADOS BRUTOS'!DN$3:DN$500)+IF($C20="",0,SUMIF('DADOS BRUTOS'!$A$3:$A$500,$C20,'DADOS BRUTOS'!DN$3:DN$500)))</f>
        <v>0</v>
      </c>
      <c r="GO20" s="133" t="n">
        <f aca="false">IF(OR(GO$4="",$B20=""),0,SUMIF('DADOS BRUTOS'!$A$3:$A$500,$B20,'DADOS BRUTOS'!DO$3:DO$500)+IF($C20="",0,SUMIF('DADOS BRUTOS'!$A$3:$A$500,$C20,'DADOS BRUTOS'!DO$3:DO$500)))</f>
        <v>0</v>
      </c>
      <c r="GP20" s="133" t="n">
        <f aca="false">IF(OR(GP$4="",$B20=""),0,SUMIF('DADOS BRUTOS'!$A$3:$A$500,$B20,'DADOS BRUTOS'!DP$3:DP$500)+IF($C20="",0,SUMIF('DADOS BRUTOS'!$A$3:$A$500,$C20,'DADOS BRUTOS'!DP$3:DP$500)))</f>
        <v>0</v>
      </c>
      <c r="GQ20" s="133" t="n">
        <f aca="false">IF(OR(GQ$4="",$B20=""),0,SUMIF('DADOS BRUTOS'!$A$3:$A$500,$B20,'DADOS BRUTOS'!DQ$3:DQ$500)+IF($C20="",0,SUMIF('DADOS BRUTOS'!$A$3:$A$500,$C20,'DADOS BRUTOS'!DQ$3:DQ$500)))</f>
        <v>0</v>
      </c>
      <c r="GR20" s="133" t="n">
        <f aca="false">IF(OR(GR$4="",$B20=""),0,SUMIF('DADOS BRUTOS'!$A$3:$A$500,$B20,'DADOS BRUTOS'!DR$3:DR$500)+IF($C20="",0,SUMIF('DADOS BRUTOS'!$A$3:$A$500,$C20,'DADOS BRUTOS'!DR$3:DR$500)))</f>
        <v>0</v>
      </c>
      <c r="GS20" s="133" t="n">
        <f aca="false">IF(OR(GS$4="",$B20=""),0,SUMIF('DADOS BRUTOS'!$A$3:$A$500,$B20,'DADOS BRUTOS'!DS$3:DS$500)+IF($C20="",0,SUMIF('DADOS BRUTOS'!$A$3:$A$500,$C20,'DADOS BRUTOS'!DS$3:DS$500)))</f>
        <v>0</v>
      </c>
      <c r="GT20" s="133" t="n">
        <f aca="false">IF(OR(GT$4="",$B20=""),0,SUMIF('DADOS BRUTOS'!$A$3:$A$500,$B20,'DADOS BRUTOS'!DT$3:DT$500)+IF($C20="",0,SUMIF('DADOS BRUTOS'!$A$3:$A$500,$C20,'DADOS BRUTOS'!DT$3:DT$500)))</f>
        <v>0</v>
      </c>
      <c r="GU20" s="133" t="n">
        <f aca="false">IF(OR(GU$4="",$B20=""),0,SUMIF('DADOS BRUTOS'!$A$3:$A$500,$B20,'DADOS BRUTOS'!DU$3:DU$500)+IF($C20="",0,SUMIF('DADOS BRUTOS'!$A$3:$A$500,$C20,'DADOS BRUTOS'!DU$3:DU$500)))</f>
        <v>0</v>
      </c>
      <c r="GV20" s="133" t="n">
        <f aca="false">IF(OR(GV$4="",$B20=""),0,SUMIF('DADOS BRUTOS'!$A$3:$A$500,$B20,'DADOS BRUTOS'!DV$3:DV$500)+IF($C20="",0,SUMIF('DADOS BRUTOS'!$A$3:$A$500,$C20,'DADOS BRUTOS'!DV$3:DV$500)))</f>
        <v>0</v>
      </c>
      <c r="GW20" s="133" t="n">
        <f aca="false">IF(OR(GW$4="",$B20=""),0,SUMIF('DADOS BRUTOS'!$A$3:$A$500,$B20,'DADOS BRUTOS'!DW$3:DW$500)+IF($C20="",0,SUMIF('DADOS BRUTOS'!$A$3:$A$500,$C20,'DADOS BRUTOS'!DW$3:DW$500)))</f>
        <v>0</v>
      </c>
      <c r="GX20" s="133" t="n">
        <f aca="false">IF(OR(GX$4="",$B20=""),0,SUMIF('DADOS BRUTOS'!$A$3:$A$500,$B20,'DADOS BRUTOS'!DX$3:DX$500)+IF($C20="",0,SUMIF('DADOS BRUTOS'!$A$3:$A$500,$C20,'DADOS BRUTOS'!DX$3:DX$500)))</f>
        <v>0</v>
      </c>
      <c r="GY20" s="133" t="n">
        <f aca="false">IF(OR(GY$4="",$B20=""),0,SUMIF('DADOS BRUTOS'!$A$3:$A$500,$B20,'DADOS BRUTOS'!DY$3:DY$500)+IF($C20="",0,SUMIF('DADOS BRUTOS'!$A$3:$A$500,$C20,'DADOS BRUTOS'!DY$3:DY$500)))</f>
        <v>0</v>
      </c>
      <c r="GZ20" s="133" t="n">
        <f aca="false">IF(OR(GZ$4="",$B20=""),0,SUMIF('DADOS BRUTOS'!$A$3:$A$500,$B20,'DADOS BRUTOS'!DZ$3:DZ$500)+IF($C20="",0,SUMIF('DADOS BRUTOS'!$A$3:$A$500,$C20,'DADOS BRUTOS'!DZ$3:DZ$500)))</f>
        <v>0</v>
      </c>
      <c r="HA20" s="133" t="n">
        <f aca="false">IF(OR(HA$4="",$B20=""),0,SUMIF('DADOS BRUTOS'!$A$3:$A$500,$B20,'DADOS BRUTOS'!EA$3:EA$500)+IF($C20="",0,SUMIF('DADOS BRUTOS'!$A$3:$A$500,$C20,'DADOS BRUTOS'!EA$3:EA$500)))</f>
        <v>0</v>
      </c>
      <c r="HB20" s="133" t="n">
        <f aca="false">IF(OR(HB$4="",$B20=""),0,SUMIF('DADOS BRUTOS'!$A$3:$A$500,$B20,'DADOS BRUTOS'!EB$3:EB$500)+IF($C20="",0,SUMIF('DADOS BRUTOS'!$A$3:$A$500,$C20,'DADOS BRUTOS'!EB$3:EB$500)))</f>
        <v>0</v>
      </c>
      <c r="HC20" s="133" t="n">
        <f aca="false">IF(OR(HC$4="",$B20=""),0,SUMIF('DADOS BRUTOS'!$A$3:$A$500,$B20,'DADOS BRUTOS'!EC$3:EC$500)+IF($C20="",0,SUMIF('DADOS BRUTOS'!$A$3:$A$500,$C20,'DADOS BRUTOS'!EC$3:EC$500)))</f>
        <v>0</v>
      </c>
      <c r="HD20" s="133" t="n">
        <f aca="false">IF(OR(HD$4="",$B20=""),0,SUMIF('DADOS BRUTOS'!$A$3:$A$500,$B20,'DADOS BRUTOS'!ED$3:ED$500)+IF($C20="",0,SUMIF('DADOS BRUTOS'!$A$3:$A$500,$C20,'DADOS BRUTOS'!ED$3:ED$500)))</f>
        <v>0</v>
      </c>
      <c r="HE20" s="133" t="n">
        <f aca="false">IF(OR(HE$4="",$B20=""),0,SUMIF('DADOS BRUTOS'!$A$3:$A$500,$B20,'DADOS BRUTOS'!EE$3:EE$500)+IF($C20="",0,SUMIF('DADOS BRUTOS'!$A$3:$A$500,$C20,'DADOS BRUTOS'!EE$3:EE$500)))</f>
        <v>0</v>
      </c>
      <c r="HF20" s="133" t="n">
        <f aca="false">IF(OR(HF$4="",$B20=""),0,SUMIF('DADOS BRUTOS'!$A$3:$A$500,$B20,'DADOS BRUTOS'!EF$3:EF$500)+IF($C20="",0,SUMIF('DADOS BRUTOS'!$A$3:$A$500,$C20,'DADOS BRUTOS'!EF$3:EF$500)))</f>
        <v>0</v>
      </c>
      <c r="HG20" s="133" t="n">
        <f aca="false">IF(OR(HG$4="",$B20=""),0,SUMIF('DADOS BRUTOS'!$A$3:$A$500,$B20,'DADOS BRUTOS'!EG$3:EG$500)+IF($C20="",0,SUMIF('DADOS BRUTOS'!$A$3:$A$500,$C20,'DADOS BRUTOS'!EG$3:EG$500)))</f>
        <v>0</v>
      </c>
      <c r="HH20" s="133" t="n">
        <f aca="false">IF(OR(HH$4="",$B20=""),0,SUMIF('DADOS BRUTOS'!$A$3:$A$500,$B20,'DADOS BRUTOS'!EH$3:EH$500)+IF($C20="",0,SUMIF('DADOS BRUTOS'!$A$3:$A$500,$C20,'DADOS BRUTOS'!EH$3:EH$500)))</f>
        <v>0</v>
      </c>
      <c r="HI20" s="133" t="n">
        <f aca="false">IF(OR(HI$4="",$B20=""),0,SUMIF('DADOS BRUTOS'!$A$3:$A$500,$B20,'DADOS BRUTOS'!EI$3:EI$500)+IF($C20="",0,SUMIF('DADOS BRUTOS'!$A$3:$A$500,$C20,'DADOS BRUTOS'!EI$3:EI$500)))</f>
        <v>0</v>
      </c>
      <c r="HJ20" s="133" t="n">
        <f aca="false">IF(OR(HJ$4="",$B20=""),0,SUMIF('DADOS BRUTOS'!$A$3:$A$500,$B20,'DADOS BRUTOS'!EJ$3:EJ$500)+IF($C20="",0,SUMIF('DADOS BRUTOS'!$A$3:$A$500,$C20,'DADOS BRUTOS'!EJ$3:EJ$500)))</f>
        <v>0</v>
      </c>
      <c r="HK20" s="133" t="n">
        <f aca="false">IF(OR(HK$4="",$B20=""),0,SUMIF('DADOS BRUTOS'!$A$3:$A$500,$B20,'DADOS BRUTOS'!EK$3:EK$500)+IF($C20="",0,SUMIF('DADOS BRUTOS'!$A$3:$A$500,$C20,'DADOS BRUTOS'!EK$3:EK$500)))</f>
        <v>0</v>
      </c>
      <c r="HL20" s="133" t="n">
        <f aca="false">IF(OR(HL$4="",$B20=""),0,SUMIF('DADOS BRUTOS'!$A$3:$A$500,$B20,'DADOS BRUTOS'!EL$3:EL$500)+IF($C20="",0,SUMIF('DADOS BRUTOS'!$A$3:$A$500,$C20,'DADOS BRUTOS'!EL$3:EL$500)))</f>
        <v>0</v>
      </c>
      <c r="HM20" s="133" t="n">
        <f aca="false">IF(OR(HM$4="",$B20=""),0,SUMIF('DADOS BRUTOS'!$A$3:$A$500,$B20,'DADOS BRUTOS'!EM$3:EM$500)+IF($C20="",0,SUMIF('DADOS BRUTOS'!$A$3:$A$500,$C20,'DADOS BRUTOS'!EM$3:EM$500)))</f>
        <v>0</v>
      </c>
      <c r="HN20" s="133" t="n">
        <f aca="false">IF(OR(HN$4="",$B20=""),0,SUMIF('DADOS BRUTOS'!$A$3:$A$500,$B20,'DADOS BRUTOS'!EN$3:EN$500)+IF($C20="",0,SUMIF('DADOS BRUTOS'!$A$3:$A$500,$C20,'DADOS BRUTOS'!EN$3:EN$500)))</f>
        <v>0</v>
      </c>
      <c r="HO20" s="133" t="n">
        <f aca="false">IF(OR(HO$4="",$B20=""),0,SUMIF('DADOS BRUTOS'!$A$3:$A$500,$B20,'DADOS BRUTOS'!EO$3:EO$500)+IF($C20="",0,SUMIF('DADOS BRUTOS'!$A$3:$A$500,$C20,'DADOS BRUTOS'!EO$3:EO$500)))</f>
        <v>0</v>
      </c>
      <c r="HP20" s="133" t="n">
        <f aca="false">IF(OR(HP$4="",$B20=""),0,SUMIF('DADOS BRUTOS'!$A$3:$A$500,$B20,'DADOS BRUTOS'!EP$3:EP$500)+IF($C20="",0,SUMIF('DADOS BRUTOS'!$A$3:$A$500,$C20,'DADOS BRUTOS'!EP$3:EP$500)))</f>
        <v>0</v>
      </c>
      <c r="HQ20" s="133" t="n">
        <f aca="false">IF(OR(HQ$4="",$B20=""),0,SUMIF('DADOS BRUTOS'!$A$3:$A$500,$B20,'DADOS BRUTOS'!EQ$3:EQ$500)+IF($C20="",0,SUMIF('DADOS BRUTOS'!$A$3:$A$500,$C20,'DADOS BRUTOS'!EQ$3:EQ$500)))</f>
        <v>0</v>
      </c>
      <c r="HR20" s="133" t="n">
        <f aca="false">IF(OR(HR$4="",$B20=""),0,SUMIF('DADOS BRUTOS'!$A$3:$A$500,$B20,'DADOS BRUTOS'!ER$3:ER$500)+IF($C20="",0,SUMIF('DADOS BRUTOS'!$A$3:$A$500,$C20,'DADOS BRUTOS'!ER$3:ER$500)))</f>
        <v>0</v>
      </c>
      <c r="HS20" s="133" t="n">
        <f aca="false">IF(OR(HS$4="",$B20=""),0,SUMIF('DADOS BRUTOS'!$A$3:$A$500,$B20,'DADOS BRUTOS'!ES$3:ES$500)+IF($C20="",0,SUMIF('DADOS BRUTOS'!$A$3:$A$500,$C20,'DADOS BRUTOS'!ES$3:ES$500)))</f>
        <v>0</v>
      </c>
      <c r="HT20" s="133" t="n">
        <f aca="false">IF(OR(HT$4="",$B20=""),0,SUMIF('DADOS BRUTOS'!$A$3:$A$500,$B20,'DADOS BRUTOS'!ET$3:ET$500)+IF($C20="",0,SUMIF('DADOS BRUTOS'!$A$3:$A$500,$C20,'DADOS BRUTOS'!ET$3:ET$500)))</f>
        <v>0</v>
      </c>
      <c r="HU20" s="133" t="n">
        <f aca="false">IF(OR(HU$4="",$B20=""),0,SUMIF('DADOS BRUTOS'!$A$3:$A$500,$B20,'DADOS BRUTOS'!EU$3:EU$500)+IF($C20="",0,SUMIF('DADOS BRUTOS'!$A$3:$A$500,$C20,'DADOS BRUTOS'!EU$3:EU$500)))</f>
        <v>0</v>
      </c>
      <c r="HV20" s="133" t="n">
        <f aca="false">IF(OR(HV$4="",$B20=""),0,SUMIF('DADOS BRUTOS'!$A$3:$A$500,$B20,'DADOS BRUTOS'!EV$3:EV$500)+IF($C20="",0,SUMIF('DADOS BRUTOS'!$A$3:$A$500,$C20,'DADOS BRUTOS'!EV$3:EV$500)))</f>
        <v>0</v>
      </c>
      <c r="HW20" s="133" t="n">
        <f aca="false">IF(OR(HW$4="",$B20=""),0,SUMIF('DADOS BRUTOS'!$A$3:$A$500,$B20,'DADOS BRUTOS'!EW$3:EW$500)+IF($C20="",0,SUMIF('DADOS BRUTOS'!$A$3:$A$500,$C20,'DADOS BRUTOS'!EW$3:EW$500)))</f>
        <v>0</v>
      </c>
      <c r="HX20" s="133" t="n">
        <f aca="false">IF(OR(HX$4="",$B20=""),0,SUMIF('DADOS BRUTOS'!$A$3:$A$500,$B20,'DADOS BRUTOS'!EX$3:EX$500)+IF($C20="",0,SUMIF('DADOS BRUTOS'!$A$3:$A$500,$C20,'DADOS BRUTOS'!EX$3:EX$500)))</f>
        <v>0</v>
      </c>
      <c r="HY20" s="133" t="n">
        <f aca="false">IF(OR(HY$4="",$B20=""),0,SUMIF('DADOS BRUTOS'!$A$3:$A$500,$B20,'DADOS BRUTOS'!EY$3:EY$500)+IF($C20="",0,SUMIF('DADOS BRUTOS'!$A$3:$A$500,$C20,'DADOS BRUTOS'!EY$3:EY$500)))</f>
        <v>0</v>
      </c>
      <c r="HZ20" s="133" t="n">
        <f aca="false">IF(OR(HZ$4="",$B20=""),0,SUMIF('DADOS BRUTOS'!$A$3:$A$500,$B20,'DADOS BRUTOS'!EZ$3:EZ$500)+IF($C20="",0,SUMIF('DADOS BRUTOS'!$A$3:$A$500,$C20,'DADOS BRUTOS'!EZ$3:EZ$500)))</f>
        <v>0</v>
      </c>
      <c r="IA20" s="133" t="n">
        <f aca="false">IF(OR(IA$4="",$B20=""),0,SUMIF('DADOS BRUTOS'!$A$3:$A$500,$B20,'DADOS BRUTOS'!FA$3:FA$500)+IF($C20="",0,SUMIF('DADOS BRUTOS'!$A$3:$A$500,$C20,'DADOS BRUTOS'!FA$3:FA$500)))</f>
        <v>0</v>
      </c>
      <c r="IB20" s="133" t="n">
        <f aca="false">IF(OR(IB$4="",$B20=""),0,SUMIF('DADOS BRUTOS'!$A$3:$A$500,$B20,'DADOS BRUTOS'!FB$3:FB$500)+IF($C20="",0,SUMIF('DADOS BRUTOS'!$A$3:$A$500,$C20,'DADOS BRUTOS'!FB$3:FB$500)))</f>
        <v>0</v>
      </c>
      <c r="IC20" s="133" t="n">
        <f aca="false">IF(OR(IC$4="",$B20=""),0,SUMIF('DADOS BRUTOS'!$A$3:$A$500,$B20,'DADOS BRUTOS'!FC$3:FC$500)+IF($C20="",0,SUMIF('DADOS BRUTOS'!$A$3:$A$500,$C20,'DADOS BRUTOS'!FC$3:FC$500)))</f>
        <v>0</v>
      </c>
      <c r="ID20" s="133" t="n">
        <f aca="false">IF(OR(ID$4="",$B20=""),0,SUMIF('DADOS BRUTOS'!$A$3:$A$500,$B20,'DADOS BRUTOS'!FD$3:FD$500)+IF($C20="",0,SUMIF('DADOS BRUTOS'!$A$3:$A$500,$C20,'DADOS BRUTOS'!FD$3:FD$500)))</f>
        <v>0</v>
      </c>
      <c r="IE20" s="133" t="n">
        <f aca="false">IF(OR(IE$4="",$B20=""),0,SUMIF('DADOS BRUTOS'!$A$3:$A$500,$B20,'DADOS BRUTOS'!FE$3:FE$500)+IF($C20="",0,SUMIF('DADOS BRUTOS'!$A$3:$A$500,$C20,'DADOS BRUTOS'!FE$3:FE$500)))</f>
        <v>0</v>
      </c>
      <c r="IF20" s="133" t="n">
        <f aca="false">IF(OR(IF$4="",$B20=""),0,SUMIF('DADOS BRUTOS'!$A$3:$A$500,$B20,'DADOS BRUTOS'!FF$3:FF$500)+IF($C20="",0,SUMIF('DADOS BRUTOS'!$A$3:$A$500,$C20,'DADOS BRUTOS'!FF$3:FF$500)))</f>
        <v>0</v>
      </c>
      <c r="IG20" s="133" t="n">
        <f aca="false">IF(OR(IG$4="",$B20=""),0,SUMIF('DADOS BRUTOS'!$A$3:$A$500,$B20,'DADOS BRUTOS'!FG$3:FG$500)+IF($C20="",0,SUMIF('DADOS BRUTOS'!$A$3:$A$500,$C20,'DADOS BRUTOS'!FG$3:FG$500)))</f>
        <v>0</v>
      </c>
      <c r="IH20" s="133" t="n">
        <f aca="false">IF(OR(IH$4="",$B20=""),0,SUMIF('DADOS BRUTOS'!$A$3:$A$500,$B20,'DADOS BRUTOS'!FH$3:FH$500)+IF($C20="",0,SUMIF('DADOS BRUTOS'!$A$3:$A$500,$C20,'DADOS BRUTOS'!FH$3:FH$500)))</f>
        <v>0</v>
      </c>
      <c r="II20" s="133" t="n">
        <f aca="false">IF(OR(II$4="",$B20=""),0,SUMIF('DADOS BRUTOS'!$A$3:$A$500,$B20,'DADOS BRUTOS'!FI$3:FI$500)+IF($C20="",0,SUMIF('DADOS BRUTOS'!$A$3:$A$500,$C20,'DADOS BRUTOS'!FI$3:FI$500)))</f>
        <v>0</v>
      </c>
      <c r="IJ20" s="133" t="n">
        <f aca="false">IF(OR(IJ$4="",$B20=""),0,SUMIF('DADOS BRUTOS'!$A$3:$A$500,$B20,'DADOS BRUTOS'!FJ$3:FJ$500)+IF($C20="",0,SUMIF('DADOS BRUTOS'!$A$3:$A$500,$C20,'DADOS BRUTOS'!FJ$3:FJ$500)))</f>
        <v>0</v>
      </c>
      <c r="IK20" s="133" t="n">
        <f aca="false">IF(OR(IK$4="",$B20=""),0,SUMIF('DADOS BRUTOS'!$A$3:$A$500,$B20,'DADOS BRUTOS'!FK$3:FK$500)+IF($C20="",0,SUMIF('DADOS BRUTOS'!$A$3:$A$500,$C20,'DADOS BRUTOS'!FK$3:FK$500)))</f>
        <v>0</v>
      </c>
      <c r="IL20" s="133" t="n">
        <f aca="false">IF(OR(IL$4="",$B20=""),0,SUMIF('DADOS BRUTOS'!$A$3:$A$500,$B20,'DADOS BRUTOS'!FL$3:FL$500)+IF($C20="",0,SUMIF('DADOS BRUTOS'!$A$3:$A$500,$C20,'DADOS BRUTOS'!FL$3:FL$500)))</f>
        <v>0</v>
      </c>
      <c r="IM20" s="133" t="n">
        <f aca="false">IF(OR(IM$4="",$B20=""),0,SUMIF('DADOS BRUTOS'!$A$3:$A$500,$B20,'DADOS BRUTOS'!FM$3:FM$500)+IF($C20="",0,SUMIF('DADOS BRUTOS'!$A$3:$A$500,$C20,'DADOS BRUTOS'!FM$3:FM$500)))</f>
        <v>0</v>
      </c>
      <c r="IN20" s="133" t="n">
        <f aca="false">IF(OR(IN$4="",$B20=""),0,SUMIF('DADOS BRUTOS'!$A$3:$A$500,$B20,'DADOS BRUTOS'!FN$3:FN$500)+IF($C20="",0,SUMIF('DADOS BRUTOS'!$A$3:$A$500,$C20,'DADOS BRUTOS'!FN$3:FN$500)))</f>
        <v>0</v>
      </c>
      <c r="IO20" s="133" t="n">
        <f aca="false">IF(OR(IO$4="",$B20=""),0,SUMIF('DADOS BRUTOS'!$A$3:$A$500,$B20,'DADOS BRUTOS'!FO$3:FO$500)+IF($C20="",0,SUMIF('DADOS BRUTOS'!$A$3:$A$500,$C20,'DADOS BRUTOS'!FO$3:FO$500)))</f>
        <v>0</v>
      </c>
      <c r="IP20" s="133" t="n">
        <f aca="false">IF(OR(IP$4="",$B20=""),0,SUMIF('DADOS BRUTOS'!$A$3:$A$500,$B20,'DADOS BRUTOS'!FP$3:FP$500)+IF($C20="",0,SUMIF('DADOS BRUTOS'!$A$3:$A$500,$C20,'DADOS BRUTOS'!FP$3:FP$500)))</f>
        <v>0</v>
      </c>
      <c r="IQ20" s="133" t="n">
        <f aca="false">IF(OR(IQ$4="",$B20=""),0,SUMIF('DADOS BRUTOS'!$A$3:$A$500,$B20,'DADOS BRUTOS'!FQ$3:FQ$500)+IF($C20="",0,SUMIF('DADOS BRUTOS'!$A$3:$A$500,$C20,'DADOS BRUTOS'!FQ$3:FQ$500)))</f>
        <v>0</v>
      </c>
      <c r="IR20" s="133" t="n">
        <f aca="false">IF(OR(IR$4="",$B20=""),0,SUMIF('DADOS BRUTOS'!$A$3:$A$500,$B20,'DADOS BRUTOS'!FR$3:FR$500)+IF($C20="",0,SUMIF('DADOS BRUTOS'!$A$3:$A$500,$C20,'DADOS BRUTOS'!FR$3:FR$500)))</f>
        <v>0</v>
      </c>
      <c r="IS20" s="133" t="n">
        <f aca="false">IF(OR(IS$4="",$B20=""),0,SUMIF('DADOS BRUTOS'!$A$3:$A$500,$B20,'DADOS BRUTOS'!FS$3:FS$500)+IF($C20="",0,SUMIF('DADOS BRUTOS'!$A$3:$A$500,$C20,'DADOS BRUTOS'!FS$3:FS$500)))</f>
        <v>0</v>
      </c>
      <c r="IT20" s="133" t="n">
        <f aca="false">IF(OR(IT$4="",$B20=""),0,SUMIF('DADOS BRUTOS'!$A$3:$A$500,$B20,'DADOS BRUTOS'!FT$3:FT$500)+IF($C20="",0,SUMIF('DADOS BRUTOS'!$A$3:$A$500,$C20,'DADOS BRUTOS'!FT$3:FT$500)))</f>
        <v>0</v>
      </c>
      <c r="IU20" s="133" t="n">
        <f aca="false">IF(OR(IU$4="",$B20=""),0,SUMIF('DADOS BRUTOS'!$A$3:$A$500,$B20,'DADOS BRUTOS'!FU$3:FU$500)+IF($C20="",0,SUMIF('DADOS BRUTOS'!$A$3:$A$500,$C20,'DADOS BRUTOS'!FU$3:FU$500)))</f>
        <v>0</v>
      </c>
      <c r="IV20" s="133" t="n">
        <f aca="false">IF(OR(IV$4="",$B20=""),0,SUMIF('DADOS BRUTOS'!$A$3:$A$500,$B20,'DADOS BRUTOS'!FV$3:FV$500)+IF($C20="",0,SUMIF('DADOS BRUTOS'!$A$3:$A$500,$C20,'DADOS BRUTOS'!FV$3:FV$500)))</f>
        <v>0</v>
      </c>
      <c r="IW20" s="133" t="n">
        <f aca="false">IF(OR(IW$4="",$B20=""),0,SUMIF('DADOS BRUTOS'!$A$3:$A$500,$B20,'DADOS BRUTOS'!FW$3:FW$500)+IF($C20="",0,SUMIF('DADOS BRUTOS'!$A$3:$A$500,$C20,'DADOS BRUTOS'!FW$3:FW$500)))</f>
        <v>0</v>
      </c>
      <c r="IX20" s="133" t="n">
        <f aca="false">IF(OR(IX$4="",$B20=""),0,SUMIF('DADOS BRUTOS'!$A$3:$A$500,$B20,'DADOS BRUTOS'!FX$3:FX$500)+IF($C20="",0,SUMIF('DADOS BRUTOS'!$A$3:$A$500,$C20,'DADOS BRUTOS'!FX$3:FX$500)))</f>
        <v>0</v>
      </c>
      <c r="IY20" s="133" t="n">
        <f aca="false">IF(OR(IY$4="",$B20=""),0,SUMIF('DADOS BRUTOS'!$A$3:$A$500,$B20,'DADOS BRUTOS'!FY$3:FY$500)+IF($C20="",0,SUMIF('DADOS BRUTOS'!$A$3:$A$500,$C20,'DADOS BRUTOS'!FY$3:FY$500)))</f>
        <v>0</v>
      </c>
      <c r="IZ20" s="133" t="n">
        <f aca="false">IF(OR(IZ$4="",$B20=""),0,SUMIF('DADOS BRUTOS'!$A$3:$A$500,$B20,'DADOS BRUTOS'!FZ$3:FZ$500)+IF($C20="",0,SUMIF('DADOS BRUTOS'!$A$3:$A$500,$C20,'DADOS BRUTOS'!FZ$3:FZ$500)))</f>
        <v>0</v>
      </c>
      <c r="JA20" s="133" t="n">
        <f aca="false">IF(OR(JA$4="",$B20=""),0,SUMIF('DADOS BRUTOS'!$A$3:$A$500,$B20,'DADOS BRUTOS'!GA$3:GA$500)+IF($C20="",0,SUMIF('DADOS BRUTOS'!$A$3:$A$500,$C20,'DADOS BRUTOS'!GA$3:GA$500)))</f>
        <v>0</v>
      </c>
      <c r="JB20" s="133" t="n">
        <f aca="false">IF(OR(JB$4="",$B20=""),0,SUMIF('DADOS BRUTOS'!$A$3:$A$500,$B20,'DADOS BRUTOS'!GB$3:GB$500)+IF($C20="",0,SUMIF('DADOS BRUTOS'!$A$3:$A$500,$C20,'DADOS BRUTOS'!GB$3:GB$500)))</f>
        <v>0</v>
      </c>
      <c r="JC20" s="133" t="n">
        <f aca="false">IF(OR(JC$4="",$B20=""),0,SUMIF('DADOS BRUTOS'!$A$3:$A$500,$B20,'DADOS BRUTOS'!GC$3:GC$500)+IF($C20="",0,SUMIF('DADOS BRUTOS'!$A$3:$A$500,$C20,'DADOS BRUTOS'!GC$3:GC$500)))</f>
        <v>0</v>
      </c>
      <c r="JD20" s="133" t="n">
        <f aca="false">IF(OR(JD$4="",$B20=""),0,SUMIF('DADOS BRUTOS'!$A$3:$A$500,$B20,'DADOS BRUTOS'!GD$3:GD$500)+IF($C20="",0,SUMIF('DADOS BRUTOS'!$A$3:$A$500,$C20,'DADOS BRUTOS'!GD$3:GD$500)))</f>
        <v>0</v>
      </c>
      <c r="JE20" s="133" t="n">
        <f aca="false">IF(OR(JE$4="",$B20=""),0,SUMIF('DADOS BRUTOS'!$A$3:$A$500,$B20,'DADOS BRUTOS'!GE$3:GE$500)+IF($C20="",0,SUMIF('DADOS BRUTOS'!$A$3:$A$500,$C20,'DADOS BRUTOS'!GE$3:GE$500)))</f>
        <v>0</v>
      </c>
      <c r="JF20" s="133" t="n">
        <f aca="false">IF(OR(JF$4="",$B20=""),0,SUMIF('DADOS BRUTOS'!$A$3:$A$500,$B20,'DADOS BRUTOS'!GF$3:GF$500)+IF($C20="",0,SUMIF('DADOS BRUTOS'!$A$3:$A$500,$C20,'DADOS BRUTOS'!GF$3:GF$500)))</f>
        <v>0</v>
      </c>
      <c r="JG20" s="133" t="n">
        <f aca="false">IF(OR(JG$4="",$B20=""),0,SUMIF('DADOS BRUTOS'!$A$3:$A$500,$B20,'DADOS BRUTOS'!GG$3:GG$500)+IF($C20="",0,SUMIF('DADOS BRUTOS'!$A$3:$A$500,$C20,'DADOS BRUTOS'!GG$3:GG$500)))</f>
        <v>0</v>
      </c>
      <c r="JH20" s="133" t="n">
        <f aca="false">IF(OR(JH$4="",$B20=""),0,SUMIF('DADOS BRUTOS'!$A$3:$A$500,$B20,'DADOS BRUTOS'!GH$3:GH$500)+IF($C20="",0,SUMIF('DADOS BRUTOS'!$A$3:$A$500,$C20,'DADOS BRUTOS'!GH$3:GH$500)))</f>
        <v>0</v>
      </c>
      <c r="JI20" s="133" t="n">
        <f aca="false">IF(OR(JI$4="",$B20=""),0,SUMIF('DADOS BRUTOS'!$A$3:$A$500,$B20,'DADOS BRUTOS'!GI$3:GI$500)+IF($C20="",0,SUMIF('DADOS BRUTOS'!$A$3:$A$500,$C20,'DADOS BRUTOS'!GI$3:GI$500)))</f>
        <v>0</v>
      </c>
      <c r="JJ20" s="133" t="n">
        <f aca="false">IF(OR(JJ$4="",$B20=""),0,SUMIF('DADOS BRUTOS'!$A$3:$A$500,$B20,'DADOS BRUTOS'!GJ$3:GJ$500)+IF($C20="",0,SUMIF('DADOS BRUTOS'!$A$3:$A$500,$C20,'DADOS BRUTOS'!GJ$3:GJ$500)))</f>
        <v>0</v>
      </c>
      <c r="JK20" s="133" t="n">
        <f aca="false">IF(OR(JK$4="",$B20=""),0,SUMIF('DADOS BRUTOS'!$A$3:$A$500,$B20,'DADOS BRUTOS'!GK$3:GK$500)+IF($C20="",0,SUMIF('DADOS BRUTOS'!$A$3:$A$500,$C20,'DADOS BRUTOS'!GK$3:GK$500)))</f>
        <v>0</v>
      </c>
      <c r="JL20" s="133" t="n">
        <f aca="false">IF(OR(JL$4="",$B20=""),0,SUMIF('DADOS BRUTOS'!$A$3:$A$500,$B20,'DADOS BRUTOS'!GL$3:GL$500)+IF($C20="",0,SUMIF('DADOS BRUTOS'!$A$3:$A$500,$C20,'DADOS BRUTOS'!GL$3:GL$500)))</f>
        <v>0</v>
      </c>
      <c r="JM20" s="133" t="n">
        <f aca="false">IF(OR(JM$4="",$B20=""),0,SUMIF('DADOS BRUTOS'!$A$3:$A$500,$B20,'DADOS BRUTOS'!GM$3:GM$500)+IF($C20="",0,SUMIF('DADOS BRUTOS'!$A$3:$A$500,$C20,'DADOS BRUTOS'!GM$3:GM$500)))</f>
        <v>0</v>
      </c>
      <c r="JN20" s="133" t="n">
        <f aca="false">IF(OR(JN$4="",$B20=""),0,SUMIF('DADOS BRUTOS'!$A$3:$A$500,$B20,'DADOS BRUTOS'!GN$3:GN$500)+IF($C20="",0,SUMIF('DADOS BRUTOS'!$A$3:$A$500,$C20,'DADOS BRUTOS'!GN$3:GN$500)))</f>
        <v>0</v>
      </c>
      <c r="JO20" s="133" t="n">
        <f aca="false">IF(OR(JO$4="",$B20=""),0,SUMIF('DADOS BRUTOS'!$A$3:$A$500,$B20,'DADOS BRUTOS'!GO$3:GO$500)+IF($C20="",0,SUMIF('DADOS BRUTOS'!$A$3:$A$500,$C20,'DADOS BRUTOS'!GO$3:GO$500)))</f>
        <v>0</v>
      </c>
      <c r="JP20" s="133" t="n">
        <f aca="false">IF(OR(JP$4="",$B20=""),0,SUMIF('DADOS BRUTOS'!$A$3:$A$500,$B20,'DADOS BRUTOS'!GP$3:GP$500)+IF($C20="",0,SUMIF('DADOS BRUTOS'!$A$3:$A$500,$C20,'DADOS BRUTOS'!GP$3:GP$500)))</f>
        <v>0</v>
      </c>
      <c r="JQ20" s="133" t="n">
        <f aca="false">IF(OR(JQ$4="",$B20=""),0,SUMIF('DADOS BRUTOS'!$A$3:$A$500,$B20,'DADOS BRUTOS'!GQ$3:GQ$500)+IF($C20="",0,SUMIF('DADOS BRUTOS'!$A$3:$A$500,$C20,'DADOS BRUTOS'!GQ$3:GQ$500)))</f>
        <v>0</v>
      </c>
      <c r="JR20" s="133" t="n">
        <f aca="false">IF(OR(JR$4="",$B20=""),0,SUMIF('DADOS BRUTOS'!$A$3:$A$500,$B20,'DADOS BRUTOS'!GR$3:GR$500)+IF($C20="",0,SUMIF('DADOS BRUTOS'!$A$3:$A$500,$C20,'DADOS BRUTOS'!GR$3:GR$500)))</f>
        <v>0</v>
      </c>
      <c r="JS20" s="133" t="n">
        <f aca="false">IF(OR(JS$4="",$B20=""),0,SUMIF('DADOS BRUTOS'!$A$3:$A$500,$B20,'DADOS BRUTOS'!GS$3:GS$500)+IF($C20="",0,SUMIF('DADOS BRUTOS'!$A$3:$A$500,$C20,'DADOS BRUTOS'!GS$3:GS$500)))</f>
        <v>0</v>
      </c>
    </row>
    <row r="21" customFormat="false" ht="15" hidden="false" customHeight="false" outlineLevel="0" collapsed="false">
      <c r="A21" s="57" t="str">
        <f aca="false">'VALOR POR PL'!D27</f>
        <v>ESTRUTURA EM CONCRETO ARMADO</v>
      </c>
      <c r="B21" s="55" t="s">
        <v>76</v>
      </c>
      <c r="C21" s="55" t="s">
        <v>2875</v>
      </c>
      <c r="D21" s="50" t="n">
        <f aca="false">SUMIF($CB$4:$JS$4,"&lt;="&amp;D$4,$CB21:$JS21)</f>
        <v>0</v>
      </c>
      <c r="E21" s="50" t="n">
        <f aca="false">SUMIF($CB$4:$JS$4,E$4,$CB21:$JS21)</f>
        <v>0</v>
      </c>
      <c r="F21" s="50" t="n">
        <f aca="false">SUMIF($CB$4:$JS$4,F$4,$CB21:$JS21)</f>
        <v>0</v>
      </c>
      <c r="G21" s="50" t="n">
        <f aca="false">SUMIF($CB$4:$JS$4,G$4,$CB21:$JS21)</f>
        <v>0</v>
      </c>
      <c r="H21" s="50" t="n">
        <f aca="false">SUMIF($CB$4:$JS$4,H$4,$CB21:$JS21)</f>
        <v>0</v>
      </c>
      <c r="I21" s="50" t="n">
        <f aca="false">SUMIF($CB$4:$JS$4,I$4,$CB21:$JS21)</f>
        <v>0</v>
      </c>
      <c r="J21" s="50" t="n">
        <f aca="false">SUMIF($CB$4:$JS$4,J$4,$CB21:$JS21)</f>
        <v>0</v>
      </c>
      <c r="K21" s="50" t="n">
        <f aca="false">SUMIF($CB$4:$JS$4,K$4,$CB21:$JS21)</f>
        <v>0</v>
      </c>
      <c r="L21" s="50" t="n">
        <f aca="false">SUMIF($CB$4:$JS$4,L$4,$CB21:$JS21)</f>
        <v>0</v>
      </c>
      <c r="M21" s="50" t="n">
        <f aca="false">SUMIF($CB$4:$JS$4,M$4,$CB21:$JS21)</f>
        <v>0</v>
      </c>
      <c r="N21" s="50" t="n">
        <f aca="false">SUMIF($CB$4:$JS$4,N$4,$CB21:$JS21)</f>
        <v>0</v>
      </c>
      <c r="O21" s="50" t="n">
        <f aca="false">SUMIF($CB$4:$JS$4,O$4,$CB21:$JS21)</f>
        <v>0</v>
      </c>
      <c r="P21" s="50" t="n">
        <f aca="false">SUMIF($CB$4:$JS$4,P$4,$CB21:$JS21)</f>
        <v>0</v>
      </c>
      <c r="Q21" s="50" t="n">
        <f aca="false">SUMIF($CB$4:$JS$4,Q$4,$CB21:$JS21)</f>
        <v>0</v>
      </c>
      <c r="R21" s="50" t="n">
        <f aca="false">SUMIF($CB$4:$JS$4,R$4,$CB21:$JS21)</f>
        <v>0</v>
      </c>
      <c r="S21" s="50" t="n">
        <f aca="false">SUMIF($CB$4:$JS$4,S$4,$CB21:$JS21)</f>
        <v>0</v>
      </c>
      <c r="T21" s="50" t="n">
        <f aca="false">SUMIF($CB$4:$JS$4,T$4,$CB21:$JS21)</f>
        <v>0</v>
      </c>
      <c r="U21" s="50" t="n">
        <f aca="false">SUMIF($CB$4:$JS$4,U$4,$CB21:$JS21)</f>
        <v>22233.82</v>
      </c>
      <c r="V21" s="50" t="n">
        <f aca="false">SUMIF($CB$4:$JS$4,V$4,$CB21:$JS21)</f>
        <v>49774.54</v>
      </c>
      <c r="W21" s="50" t="n">
        <f aca="false">SUMIF($CB$4:$JS$4,W$4,$CB21:$JS21)</f>
        <v>269581.19</v>
      </c>
      <c r="X21" s="50" t="n">
        <f aca="false">SUMIF($CB$4:$JS$4,X$4,$CB21:$JS21)</f>
        <v>650557.02</v>
      </c>
      <c r="Y21" s="50" t="n">
        <f aca="false">SUMIF($CB$4:$JS$4,Y$4,$CB21:$JS21)</f>
        <v>1415388.68</v>
      </c>
      <c r="Z21" s="50" t="n">
        <f aca="false">SUMIF($CB$4:$JS$4,Z$4,$CB21:$JS21)</f>
        <v>1153768.07</v>
      </c>
      <c r="AA21" s="50" t="n">
        <f aca="false">SUMIF($CB$4:$JS$4,AA$4,$CB21:$JS21)</f>
        <v>184443.09</v>
      </c>
      <c r="AB21" s="50" t="n">
        <f aca="false">SUMIF($CB$4:$JS$4,AB$4,$CB21:$JS21)</f>
        <v>23141.5</v>
      </c>
      <c r="AC21" s="50" t="n">
        <f aca="false">SUMIF($CB$4:$JS$4,AC$4,$CB21:$JS21)</f>
        <v>529800</v>
      </c>
      <c r="AD21" s="50" t="n">
        <f aca="false">SUMIF($CB$4:$JS$4,AD$4,$CB21:$JS21)</f>
        <v>0</v>
      </c>
      <c r="AE21" s="50" t="n">
        <f aca="false">SUMIF($CB$4:$JS$4,AE$4,$CB21:$JS21)</f>
        <v>8355.27</v>
      </c>
      <c r="AF21" s="50" t="n">
        <f aca="false">SUMIF($CB$4:$JS$4,AF$4,$CB21:$JS21)</f>
        <v>0</v>
      </c>
      <c r="AG21" s="50" t="n">
        <f aca="false">SUMIF($CB$4:$JS$4,AG$4,$CB21:$JS21)</f>
        <v>0</v>
      </c>
      <c r="AH21" s="50" t="n">
        <f aca="false">SUMIF($CB$4:$JS$4,AH$4,$CB21:$JS21)</f>
        <v>0</v>
      </c>
      <c r="AI21" s="50" t="n">
        <f aca="false">SUMIF($CB$4:$JS$4,AI$4,$CB21:$JS21)</f>
        <v>0</v>
      </c>
      <c r="AJ21" s="50" t="n">
        <f aca="false">SUMIF($CB$4:$JS$4,AJ$4,$CB21:$JS21)</f>
        <v>0</v>
      </c>
      <c r="AK21" s="50" t="n">
        <f aca="false">SUMIF($CB$4:$JS$4,AK$4,$CB21:$JS21)</f>
        <v>0</v>
      </c>
      <c r="AL21" s="50" t="n">
        <f aca="false">SUMIF($CB$4:$JS$4,AL$4,$CB21:$JS21)</f>
        <v>0</v>
      </c>
      <c r="AM21" s="50" t="n">
        <f aca="false">SUMIF($CB$4:$JS$4,AM$4,$CB21:$JS21)</f>
        <v>0</v>
      </c>
      <c r="AN21" s="50" t="n">
        <f aca="false">SUMIF($CB$4:$JS$4,AN$4,$CB21:$JS21)</f>
        <v>0</v>
      </c>
      <c r="AO21" s="50" t="n">
        <f aca="false">SUMIF($CB$4:$JS$4,AO$4,$CB21:$JS21)</f>
        <v>0</v>
      </c>
      <c r="AP21" s="50" t="n">
        <f aca="false">SUMIF($CB$4:$JS$4,AP$4,$CB21:$JS21)</f>
        <v>0</v>
      </c>
      <c r="AQ21" s="50" t="n">
        <f aca="false">SUMIF($CB$4:$JS$4,AQ$4,$CB21:$JS21)</f>
        <v>0</v>
      </c>
      <c r="AR21" s="50" t="n">
        <f aca="false">SUMIF($CB$4:$JS$4,AR$4,$CB21:$JS21)</f>
        <v>0</v>
      </c>
      <c r="AS21" s="50" t="n">
        <f aca="false">SUMIF($CB$4:$JS$4,AS$4,$CB21:$JS21)</f>
        <v>0</v>
      </c>
      <c r="AT21" s="50" t="n">
        <f aca="false">SUMIF($CB$4:$JS$4,AT$4,$CB21:$JS21)</f>
        <v>0</v>
      </c>
      <c r="AU21" s="50" t="n">
        <f aca="false">SUMIF($CB$4:$JS$4,AU$4,$CB21:$JS21)</f>
        <v>23975.79</v>
      </c>
      <c r="AV21" s="50" t="n">
        <f aca="false">SUMIF($CB$4:$JS$4,AV$4,$CB21:$JS21)</f>
        <v>0</v>
      </c>
      <c r="AW21" s="50" t="n">
        <f aca="false">SUMIF($CB$4:$JS$4,AW$4,$CB21:$JS21)</f>
        <v>0</v>
      </c>
      <c r="AX21" s="50" t="n">
        <f aca="false">SUMIF($CB$4:$JS$4,AX$4,$CB21:$JS21)</f>
        <v>0</v>
      </c>
      <c r="AY21" s="50" t="n">
        <f aca="false">SUMIF($CB$4:$JS$4,AY$4,$CB21:$JS21)</f>
        <v>227.52</v>
      </c>
      <c r="AZ21" s="50" t="n">
        <f aca="false">SUMIF($CB$4:$JS$4,AZ$4,$CB21:$JS21)</f>
        <v>0</v>
      </c>
      <c r="BA21" s="50" t="n">
        <f aca="false">SUMIF($CB$4:$JS$4,BA$4,$CB21:$JS21)</f>
        <v>0</v>
      </c>
      <c r="BB21" s="50" t="n">
        <f aca="false">SUMIF($CB$4:$JS$4,BB$4,$CB21:$JS21)</f>
        <v>4394.69</v>
      </c>
      <c r="BC21" s="50" t="n">
        <f aca="false">SUMIF($CB$4:$JS$4,BC$4,$CB21:$JS21)</f>
        <v>0</v>
      </c>
      <c r="BD21" s="50" t="n">
        <f aca="false">SUMIF($CB$4:$JS$4,BD$4,$CB21:$JS21)</f>
        <v>0</v>
      </c>
      <c r="BE21" s="50" t="n">
        <f aca="false">SUMIF($CB$4:$JS$4,BE$4,$CB21:$JS21)</f>
        <v>0</v>
      </c>
      <c r="BF21" s="50" t="n">
        <f aca="false">SUMIF($CB$4:$JS$4,BF$4,$CB21:$JS21)</f>
        <v>0</v>
      </c>
      <c r="BG21" s="50" t="n">
        <f aca="false">SUMIF($CB$4:$JS$4,BG$4,$CB21:$JS21)</f>
        <v>0</v>
      </c>
      <c r="BH21" s="50" t="n">
        <f aca="false">SUMIF($CB$4:$JS$4,BH$4,$CB21:$JS21)</f>
        <v>0</v>
      </c>
      <c r="BI21" s="50" t="n">
        <f aca="false">SUMIF($CB$4:$JS$4,BI$4,$CB21:$JS21)</f>
        <v>0</v>
      </c>
      <c r="BJ21" s="50" t="n">
        <f aca="false">SUMIF($CB$4:$JS$4,BJ$4,$CB21:$JS21)</f>
        <v>0</v>
      </c>
      <c r="BK21" s="50" t="n">
        <f aca="false">SUMIF($CB$4:$JS$4,BK$4,$CB21:$JS21)</f>
        <v>0</v>
      </c>
      <c r="BL21" s="50" t="n">
        <f aca="false">SUMIF($CB$4:$JS$4,BL$4,$CB21:$JS21)</f>
        <v>0</v>
      </c>
      <c r="BM21" s="50" t="n">
        <f aca="false">SUMIF($CB$4:$JS$4,BM$4,$CB21:$JS21)</f>
        <v>0</v>
      </c>
      <c r="BN21" s="50" t="n">
        <f aca="false">SUMIF($CB$4:$JS$4,BN$4,$CB21:$JS21)</f>
        <v>0</v>
      </c>
      <c r="BO21" s="50" t="n">
        <f aca="false">SUMIF($CB$4:$JS$4,BO$4,$CB21:$JS21)</f>
        <v>0</v>
      </c>
      <c r="BP21" s="50" t="n">
        <f aca="false">SUMIF($CB$4:$JS$4,BP$4,$CB21:$JS21)</f>
        <v>0</v>
      </c>
      <c r="BQ21" s="50" t="n">
        <f aca="false">SUMIF($CB$4:$JS$4,BQ$4,$CB21:$JS21)</f>
        <v>0</v>
      </c>
      <c r="BR21" s="50" t="n">
        <f aca="false">SUMIF($CB$4:$JS$4,BR$4,$CB21:$JS21)</f>
        <v>0</v>
      </c>
      <c r="BS21" s="50" t="n">
        <f aca="false">SUMIF($CB$4:$JS$4,BS$4,$CB21:$JS21)</f>
        <v>0</v>
      </c>
      <c r="BT21" s="50" t="n">
        <f aca="false">SUMIF($CB$4:$JS$4,BT$4,$CB21:$JS21)</f>
        <v>0</v>
      </c>
      <c r="BU21" s="50" t="n">
        <f aca="false">SUMIF($CB$4:$JS$4,BU$4,$CB21:$JS21)</f>
        <v>0</v>
      </c>
      <c r="BV21" s="50" t="n">
        <f aca="false">SUMIF($CB$4:$JS$4,BV$4,$CB21:$JS21)</f>
        <v>0</v>
      </c>
      <c r="BW21" s="50" t="n">
        <f aca="false">SUMIF($CB$4:$JS$4,BW$4,$CB21:$JS21)</f>
        <v>0</v>
      </c>
      <c r="BX21" s="50" t="n">
        <f aca="false">SUMIF($CB$4:$JS$4,"&gt;"&amp;'VALOR POR PL'!$P$8,$CB21:$JS21)</f>
        <v>0</v>
      </c>
      <c r="BY21" s="50" t="n">
        <f aca="false">SUM($CB21:$JS21)</f>
        <v>4335641.18</v>
      </c>
      <c r="BZ21" s="45" t="n">
        <f aca="false">SUMPRODUCT(($CB$4:$JS$4&lt;&gt;"")*($CB$4:$JS$4&lt;=$D$4),$CB21:$JS21,$CB$1:$JS$1)</f>
        <v>0</v>
      </c>
      <c r="CB21" s="133" t="n">
        <f aca="false">IF(OR(CB$4="",$B21=""),0,SUMIF('DADOS BRUTOS'!$A$3:$A$500,$B21,'DADOS BRUTOS'!B$3:B$500)+IF($C21="",0,SUMIF('DADOS BRUTOS'!$A$3:$A$500,$C21,'DADOS BRUTOS'!B$3:B$500)))</f>
        <v>0</v>
      </c>
      <c r="CC21" s="133" t="n">
        <f aca="false">IF(OR(CC$4="",$B21=""),0,SUMIF('DADOS BRUTOS'!$A$3:$A$500,$B21,'DADOS BRUTOS'!C$3:C$500)+IF($C21="",0,SUMIF('DADOS BRUTOS'!$A$3:$A$500,$C21,'DADOS BRUTOS'!C$3:C$500)))</f>
        <v>0</v>
      </c>
      <c r="CD21" s="133" t="n">
        <f aca="false">IF(OR(CD$4="",$B21=""),0,SUMIF('DADOS BRUTOS'!$A$3:$A$500,$B21,'DADOS BRUTOS'!D$3:D$500)+IF($C21="",0,SUMIF('DADOS BRUTOS'!$A$3:$A$500,$C21,'DADOS BRUTOS'!D$3:D$500)))</f>
        <v>0</v>
      </c>
      <c r="CE21" s="133" t="n">
        <f aca="false">IF(OR(CE$4="",$B21=""),0,SUMIF('DADOS BRUTOS'!$A$3:$A$500,$B21,'DADOS BRUTOS'!E$3:E$500)+IF($C21="",0,SUMIF('DADOS BRUTOS'!$A$3:$A$500,$C21,'DADOS BRUTOS'!E$3:E$500)))</f>
        <v>0</v>
      </c>
      <c r="CF21" s="133" t="n">
        <f aca="false">IF(OR(CF$4="",$B21=""),0,SUMIF('DADOS BRUTOS'!$A$3:$A$500,$B21,'DADOS BRUTOS'!F$3:F$500)+IF($C21="",0,SUMIF('DADOS BRUTOS'!$A$3:$A$500,$C21,'DADOS BRUTOS'!F$3:F$500)))</f>
        <v>0</v>
      </c>
      <c r="CG21" s="133" t="n">
        <f aca="false">IF(OR(CG$4="",$B21=""),0,SUMIF('DADOS BRUTOS'!$A$3:$A$500,$B21,'DADOS BRUTOS'!G$3:G$500)+IF($C21="",0,SUMIF('DADOS BRUTOS'!$A$3:$A$500,$C21,'DADOS BRUTOS'!G$3:G$500)))</f>
        <v>0</v>
      </c>
      <c r="CH21" s="133" t="n">
        <f aca="false">IF(OR(CH$4="",$B21=""),0,SUMIF('DADOS BRUTOS'!$A$3:$A$500,$B21,'DADOS BRUTOS'!H$3:H$500)+IF($C21="",0,SUMIF('DADOS BRUTOS'!$A$3:$A$500,$C21,'DADOS BRUTOS'!H$3:H$500)))</f>
        <v>0</v>
      </c>
      <c r="CI21" s="133" t="n">
        <f aca="false">IF(OR(CI$4="",$B21=""),0,SUMIF('DADOS BRUTOS'!$A$3:$A$500,$B21,'DADOS BRUTOS'!I$3:I$500)+IF($C21="",0,SUMIF('DADOS BRUTOS'!$A$3:$A$500,$C21,'DADOS BRUTOS'!I$3:I$500)))</f>
        <v>0</v>
      </c>
      <c r="CJ21" s="133" t="n">
        <f aca="false">IF(OR(CJ$4="",$B21=""),0,SUMIF('DADOS BRUTOS'!$A$3:$A$500,$B21,'DADOS BRUTOS'!J$3:J$500)+IF($C21="",0,SUMIF('DADOS BRUTOS'!$A$3:$A$500,$C21,'DADOS BRUTOS'!J$3:J$500)))</f>
        <v>0</v>
      </c>
      <c r="CK21" s="133" t="n">
        <f aca="false">IF(OR(CK$4="",$B21=""),0,SUMIF('DADOS BRUTOS'!$A$3:$A$500,$B21,'DADOS BRUTOS'!K$3:K$500)+IF($C21="",0,SUMIF('DADOS BRUTOS'!$A$3:$A$500,$C21,'DADOS BRUTOS'!K$3:K$500)))</f>
        <v>0</v>
      </c>
      <c r="CL21" s="133" t="n">
        <f aca="false">IF(OR(CL$4="",$B21=""),0,SUMIF('DADOS BRUTOS'!$A$3:$A$500,$B21,'DADOS BRUTOS'!L$3:L$500)+IF($C21="",0,SUMIF('DADOS BRUTOS'!$A$3:$A$500,$C21,'DADOS BRUTOS'!L$3:L$500)))</f>
        <v>0</v>
      </c>
      <c r="CM21" s="133" t="n">
        <f aca="false">IF(OR(CM$4="",$B21=""),0,SUMIF('DADOS BRUTOS'!$A$3:$A$500,$B21,'DADOS BRUTOS'!M$3:M$500)+IF($C21="",0,SUMIF('DADOS BRUTOS'!$A$3:$A$500,$C21,'DADOS BRUTOS'!M$3:M$500)))</f>
        <v>0</v>
      </c>
      <c r="CN21" s="133" t="n">
        <f aca="false">IF(OR(CN$4="",$B21=""),0,SUMIF('DADOS BRUTOS'!$A$3:$A$500,$B21,'DADOS BRUTOS'!N$3:N$500)+IF($C21="",0,SUMIF('DADOS BRUTOS'!$A$3:$A$500,$C21,'DADOS BRUTOS'!N$3:N$500)))</f>
        <v>0</v>
      </c>
      <c r="CO21" s="133" t="n">
        <f aca="false">IF(OR(CO$4="",$B21=""),0,SUMIF('DADOS BRUTOS'!$A$3:$A$500,$B21,'DADOS BRUTOS'!O$3:O$500)+IF($C21="",0,SUMIF('DADOS BRUTOS'!$A$3:$A$500,$C21,'DADOS BRUTOS'!O$3:O$500)))</f>
        <v>0</v>
      </c>
      <c r="CP21" s="133" t="n">
        <f aca="false">IF(OR(CP$4="",$B21=""),0,SUMIF('DADOS BRUTOS'!$A$3:$A$500,$B21,'DADOS BRUTOS'!P$3:P$500)+IF($C21="",0,SUMIF('DADOS BRUTOS'!$A$3:$A$500,$C21,'DADOS BRUTOS'!P$3:P$500)))</f>
        <v>0</v>
      </c>
      <c r="CQ21" s="133" t="n">
        <f aca="false">IF(OR(CQ$4="",$B21=""),0,SUMIF('DADOS BRUTOS'!$A$3:$A$500,$B21,'DADOS BRUTOS'!Q$3:Q$500)+IF($C21="",0,SUMIF('DADOS BRUTOS'!$A$3:$A$500,$C21,'DADOS BRUTOS'!Q$3:Q$500)))</f>
        <v>0</v>
      </c>
      <c r="CR21" s="133" t="n">
        <f aca="false">IF(OR(CR$4="",$B21=""),0,SUMIF('DADOS BRUTOS'!$A$3:$A$500,$B21,'DADOS BRUTOS'!R$3:R$500)+IF($C21="",0,SUMIF('DADOS BRUTOS'!$A$3:$A$500,$C21,'DADOS BRUTOS'!R$3:R$500)))</f>
        <v>0</v>
      </c>
      <c r="CS21" s="133" t="n">
        <f aca="false">IF(OR(CS$4="",$B21=""),0,SUMIF('DADOS BRUTOS'!$A$3:$A$500,$B21,'DADOS BRUTOS'!S$3:S$500)+IF($C21="",0,SUMIF('DADOS BRUTOS'!$A$3:$A$500,$C21,'DADOS BRUTOS'!S$3:S$500)))</f>
        <v>0</v>
      </c>
      <c r="CT21" s="133" t="n">
        <f aca="false">IF(OR(CT$4="",$B21=""),0,SUMIF('DADOS BRUTOS'!$A$3:$A$500,$B21,'DADOS BRUTOS'!T$3:T$500)+IF($C21="",0,SUMIF('DADOS BRUTOS'!$A$3:$A$500,$C21,'DADOS BRUTOS'!T$3:T$500)))</f>
        <v>0</v>
      </c>
      <c r="CU21" s="133" t="n">
        <f aca="false">IF(OR(CU$4="",$B21=""),0,SUMIF('DADOS BRUTOS'!$A$3:$A$500,$B21,'DADOS BRUTOS'!U$3:U$500)+IF($C21="",0,SUMIF('DADOS BRUTOS'!$A$3:$A$500,$C21,'DADOS BRUTOS'!U$3:U$500)))</f>
        <v>0</v>
      </c>
      <c r="CV21" s="133" t="n">
        <f aca="false">IF(OR(CV$4="",$B21=""),0,SUMIF('DADOS BRUTOS'!$A$3:$A$500,$B21,'DADOS BRUTOS'!V$3:V$500)+IF($C21="",0,SUMIF('DADOS BRUTOS'!$A$3:$A$500,$C21,'DADOS BRUTOS'!V$3:V$500)))</f>
        <v>0</v>
      </c>
      <c r="CW21" s="133" t="n">
        <f aca="false">IF(OR(CW$4="",$B21=""),0,SUMIF('DADOS BRUTOS'!$A$3:$A$500,$B21,'DADOS BRUTOS'!W$3:W$500)+IF($C21="",0,SUMIF('DADOS BRUTOS'!$A$3:$A$500,$C21,'DADOS BRUTOS'!W$3:W$500)))</f>
        <v>0</v>
      </c>
      <c r="CX21" s="133" t="n">
        <f aca="false">IF(OR(CX$4="",$B21=""),0,SUMIF('DADOS BRUTOS'!$A$3:$A$500,$B21,'DADOS BRUTOS'!X$3:X$500)+IF($C21="",0,SUMIF('DADOS BRUTOS'!$A$3:$A$500,$C21,'DADOS BRUTOS'!X$3:X$500)))</f>
        <v>0</v>
      </c>
      <c r="CY21" s="133" t="n">
        <f aca="false">IF(OR(CY$4="",$B21=""),0,SUMIF('DADOS BRUTOS'!$A$3:$A$500,$B21,'DADOS BRUTOS'!Y$3:Y$500)+IF($C21="",0,SUMIF('DADOS BRUTOS'!$A$3:$A$500,$C21,'DADOS BRUTOS'!Y$3:Y$500)))</f>
        <v>0</v>
      </c>
      <c r="CZ21" s="133" t="n">
        <f aca="false">IF(OR(CZ$4="",$B21=""),0,SUMIF('DADOS BRUTOS'!$A$3:$A$500,$B21,'DADOS BRUTOS'!Z$3:Z$500)+IF($C21="",0,SUMIF('DADOS BRUTOS'!$A$3:$A$500,$C21,'DADOS BRUTOS'!Z$3:Z$500)))</f>
        <v>0</v>
      </c>
      <c r="DA21" s="133" t="n">
        <f aca="false">IF(OR(DA$4="",$B21=""),0,SUMIF('DADOS BRUTOS'!$A$3:$A$500,$B21,'DADOS BRUTOS'!AA$3:AA$500)+IF($C21="",0,SUMIF('DADOS BRUTOS'!$A$3:$A$500,$C21,'DADOS BRUTOS'!AA$3:AA$500)))</f>
        <v>0</v>
      </c>
      <c r="DB21" s="133" t="n">
        <f aca="false">IF(OR(DB$4="",$B21=""),0,SUMIF('DADOS BRUTOS'!$A$3:$A$500,$B21,'DADOS BRUTOS'!AB$3:AB$500)+IF($C21="",0,SUMIF('DADOS BRUTOS'!$A$3:$A$500,$C21,'DADOS BRUTOS'!AB$3:AB$500)))</f>
        <v>0</v>
      </c>
      <c r="DC21" s="133" t="n">
        <f aca="false">IF(OR(DC$4="",$B21=""),0,SUMIF('DADOS BRUTOS'!$A$3:$A$500,$B21,'DADOS BRUTOS'!AC$3:AC$500)+IF($C21="",0,SUMIF('DADOS BRUTOS'!$A$3:$A$500,$C21,'DADOS BRUTOS'!AC$3:AC$500)))</f>
        <v>0</v>
      </c>
      <c r="DD21" s="133" t="n">
        <f aca="false">IF(OR(DD$4="",$B21=""),0,SUMIF('DADOS BRUTOS'!$A$3:$A$500,$B21,'DADOS BRUTOS'!AD$3:AD$500)+IF($C21="",0,SUMIF('DADOS BRUTOS'!$A$3:$A$500,$C21,'DADOS BRUTOS'!AD$3:AD$500)))</f>
        <v>0</v>
      </c>
      <c r="DE21" s="133" t="n">
        <f aca="false">IF(OR(DE$4="",$B21=""),0,SUMIF('DADOS BRUTOS'!$A$3:$A$500,$B21,'DADOS BRUTOS'!AE$3:AE$500)+IF($C21="",0,SUMIF('DADOS BRUTOS'!$A$3:$A$500,$C21,'DADOS BRUTOS'!AE$3:AE$500)))</f>
        <v>22233.82</v>
      </c>
      <c r="DF21" s="133" t="n">
        <f aca="false">IF(OR(DF$4="",$B21=""),0,SUMIF('DADOS BRUTOS'!$A$3:$A$500,$B21,'DADOS BRUTOS'!AF$3:AF$500)+IF($C21="",0,SUMIF('DADOS BRUTOS'!$A$3:$A$500,$C21,'DADOS BRUTOS'!AF$3:AF$500)))</f>
        <v>49774.54</v>
      </c>
      <c r="DG21" s="133" t="n">
        <f aca="false">IF(OR(DG$4="",$B21=""),0,SUMIF('DADOS BRUTOS'!$A$3:$A$500,$B21,'DADOS BRUTOS'!AG$3:AG$500)+IF($C21="",0,SUMIF('DADOS BRUTOS'!$A$3:$A$500,$C21,'DADOS BRUTOS'!AG$3:AG$500)))</f>
        <v>269581.19</v>
      </c>
      <c r="DH21" s="133" t="n">
        <f aca="false">IF(OR(DH$4="",$B21=""),0,SUMIF('DADOS BRUTOS'!$A$3:$A$500,$B21,'DADOS BRUTOS'!AH$3:AH$500)+IF($C21="",0,SUMIF('DADOS BRUTOS'!$A$3:$A$500,$C21,'DADOS BRUTOS'!AH$3:AH$500)))</f>
        <v>650557.02</v>
      </c>
      <c r="DI21" s="133" t="n">
        <f aca="false">IF(OR(DI$4="",$B21=""),0,SUMIF('DADOS BRUTOS'!$A$3:$A$500,$B21,'DADOS BRUTOS'!AI$3:AI$500)+IF($C21="",0,SUMIF('DADOS BRUTOS'!$A$3:$A$500,$C21,'DADOS BRUTOS'!AI$3:AI$500)))</f>
        <v>1415388.68</v>
      </c>
      <c r="DJ21" s="133" t="n">
        <f aca="false">IF(OR(DJ$4="",$B21=""),0,SUMIF('DADOS BRUTOS'!$A$3:$A$500,$B21,'DADOS BRUTOS'!AJ$3:AJ$500)+IF($C21="",0,SUMIF('DADOS BRUTOS'!$A$3:$A$500,$C21,'DADOS BRUTOS'!AJ$3:AJ$500)))</f>
        <v>1153768.07</v>
      </c>
      <c r="DK21" s="133" t="n">
        <f aca="false">IF(OR(DK$4="",$B21=""),0,SUMIF('DADOS BRUTOS'!$A$3:$A$500,$B21,'DADOS BRUTOS'!AK$3:AK$500)+IF($C21="",0,SUMIF('DADOS BRUTOS'!$A$3:$A$500,$C21,'DADOS BRUTOS'!AK$3:AK$500)))</f>
        <v>184443.09</v>
      </c>
      <c r="DL21" s="133" t="n">
        <f aca="false">IF(OR(DL$4="",$B21=""),0,SUMIF('DADOS BRUTOS'!$A$3:$A$500,$B21,'DADOS BRUTOS'!AL$3:AL$500)+IF($C21="",0,SUMIF('DADOS BRUTOS'!$A$3:$A$500,$C21,'DADOS BRUTOS'!AL$3:AL$500)))</f>
        <v>23141.5</v>
      </c>
      <c r="DM21" s="133" t="n">
        <f aca="false">IF(OR(DM$4="",$B21=""),0,SUMIF('DADOS BRUTOS'!$A$3:$A$500,$B21,'DADOS BRUTOS'!AM$3:AM$500)+IF($C21="",0,SUMIF('DADOS BRUTOS'!$A$3:$A$500,$C21,'DADOS BRUTOS'!AM$3:AM$500)))</f>
        <v>529800</v>
      </c>
      <c r="DN21" s="133" t="n">
        <f aca="false">IF(OR(DN$4="",$B21=""),0,SUMIF('DADOS BRUTOS'!$A$3:$A$500,$B21,'DADOS BRUTOS'!AN$3:AN$500)+IF($C21="",0,SUMIF('DADOS BRUTOS'!$A$3:$A$500,$C21,'DADOS BRUTOS'!AN$3:AN$500)))</f>
        <v>0</v>
      </c>
      <c r="DO21" s="133" t="n">
        <f aca="false">IF(OR(DO$4="",$B21=""),0,SUMIF('DADOS BRUTOS'!$A$3:$A$500,$B21,'DADOS BRUTOS'!AO$3:AO$500)+IF($C21="",0,SUMIF('DADOS BRUTOS'!$A$3:$A$500,$C21,'DADOS BRUTOS'!AO$3:AO$500)))</f>
        <v>8355.27</v>
      </c>
      <c r="DP21" s="133" t="n">
        <f aca="false">IF(OR(DP$4="",$B21=""),0,SUMIF('DADOS BRUTOS'!$A$3:$A$500,$B21,'DADOS BRUTOS'!AP$3:AP$500)+IF($C21="",0,SUMIF('DADOS BRUTOS'!$A$3:$A$500,$C21,'DADOS BRUTOS'!AP$3:AP$500)))</f>
        <v>0</v>
      </c>
      <c r="DQ21" s="133" t="n">
        <f aca="false">IF(OR(DQ$4="",$B21=""),0,SUMIF('DADOS BRUTOS'!$A$3:$A$500,$B21,'DADOS BRUTOS'!AQ$3:AQ$500)+IF($C21="",0,SUMIF('DADOS BRUTOS'!$A$3:$A$500,$C21,'DADOS BRUTOS'!AQ$3:AQ$500)))</f>
        <v>0</v>
      </c>
      <c r="DR21" s="133" t="n">
        <f aca="false">IF(OR(DR$4="",$B21=""),0,SUMIF('DADOS BRUTOS'!$A$3:$A$500,$B21,'DADOS BRUTOS'!AR$3:AR$500)+IF($C21="",0,SUMIF('DADOS BRUTOS'!$A$3:$A$500,$C21,'DADOS BRUTOS'!AR$3:AR$500)))</f>
        <v>0</v>
      </c>
      <c r="DS21" s="133" t="n">
        <f aca="false">IF(OR(DS$4="",$B21=""),0,SUMIF('DADOS BRUTOS'!$A$3:$A$500,$B21,'DADOS BRUTOS'!AS$3:AS$500)+IF($C21="",0,SUMIF('DADOS BRUTOS'!$A$3:$A$500,$C21,'DADOS BRUTOS'!AS$3:AS$500)))</f>
        <v>0</v>
      </c>
      <c r="DT21" s="133" t="n">
        <f aca="false">IF(OR(DT$4="",$B21=""),0,SUMIF('DADOS BRUTOS'!$A$3:$A$500,$B21,'DADOS BRUTOS'!AT$3:AT$500)+IF($C21="",0,SUMIF('DADOS BRUTOS'!$A$3:$A$500,$C21,'DADOS BRUTOS'!AT$3:AT$500)))</f>
        <v>0</v>
      </c>
      <c r="DU21" s="133" t="n">
        <f aca="false">IF(OR(DU$4="",$B21=""),0,SUMIF('DADOS BRUTOS'!$A$3:$A$500,$B21,'DADOS BRUTOS'!AU$3:AU$500)+IF($C21="",0,SUMIF('DADOS BRUTOS'!$A$3:$A$500,$C21,'DADOS BRUTOS'!AU$3:AU$500)))</f>
        <v>0</v>
      </c>
      <c r="DV21" s="133" t="n">
        <f aca="false">IF(OR(DV$4="",$B21=""),0,SUMIF('DADOS BRUTOS'!$A$3:$A$500,$B21,'DADOS BRUTOS'!AV$3:AV$500)+IF($C21="",0,SUMIF('DADOS BRUTOS'!$A$3:$A$500,$C21,'DADOS BRUTOS'!AV$3:AV$500)))</f>
        <v>0</v>
      </c>
      <c r="DW21" s="133" t="n">
        <f aca="false">IF(OR(DW$4="",$B21=""),0,SUMIF('DADOS BRUTOS'!$A$3:$A$500,$B21,'DADOS BRUTOS'!AW$3:AW$500)+IF($C21="",0,SUMIF('DADOS BRUTOS'!$A$3:$A$500,$C21,'DADOS BRUTOS'!AW$3:AW$500)))</f>
        <v>0</v>
      </c>
      <c r="DX21" s="133" t="n">
        <f aca="false">IF(OR(DX$4="",$B21=""),0,SUMIF('DADOS BRUTOS'!$A$3:$A$500,$B21,'DADOS BRUTOS'!AX$3:AX$500)+IF($C21="",0,SUMIF('DADOS BRUTOS'!$A$3:$A$500,$C21,'DADOS BRUTOS'!AX$3:AX$500)))</f>
        <v>0</v>
      </c>
      <c r="DY21" s="133" t="n">
        <f aca="false">IF(OR(DY$4="",$B21=""),0,SUMIF('DADOS BRUTOS'!$A$3:$A$500,$B21,'DADOS BRUTOS'!AY$3:AY$500)+IF($C21="",0,SUMIF('DADOS BRUTOS'!$A$3:$A$500,$C21,'DADOS BRUTOS'!AY$3:AY$500)))</f>
        <v>0</v>
      </c>
      <c r="DZ21" s="133" t="n">
        <f aca="false">IF(OR(DZ$4="",$B21=""),0,SUMIF('DADOS BRUTOS'!$A$3:$A$500,$B21,'DADOS BRUTOS'!AZ$3:AZ$500)+IF($C21="",0,SUMIF('DADOS BRUTOS'!$A$3:$A$500,$C21,'DADOS BRUTOS'!AZ$3:AZ$500)))</f>
        <v>0</v>
      </c>
      <c r="EA21" s="133" t="n">
        <f aca="false">IF(OR(EA$4="",$B21=""),0,SUMIF('DADOS BRUTOS'!$A$3:$A$500,$B21,'DADOS BRUTOS'!BA$3:BA$500)+IF($C21="",0,SUMIF('DADOS BRUTOS'!$A$3:$A$500,$C21,'DADOS BRUTOS'!BA$3:BA$500)))</f>
        <v>0</v>
      </c>
      <c r="EB21" s="133" t="n">
        <f aca="false">IF(OR(EB$4="",$B21=""),0,SUMIF('DADOS BRUTOS'!$A$3:$A$500,$B21,'DADOS BRUTOS'!BB$3:BB$500)+IF($C21="",0,SUMIF('DADOS BRUTOS'!$A$3:$A$500,$C21,'DADOS BRUTOS'!BB$3:BB$500)))</f>
        <v>0</v>
      </c>
      <c r="EC21" s="133" t="n">
        <f aca="false">IF(OR(EC$4="",$B21=""),0,SUMIF('DADOS BRUTOS'!$A$3:$A$500,$B21,'DADOS BRUTOS'!BC$3:BC$500)+IF($C21="",0,SUMIF('DADOS BRUTOS'!$A$3:$A$500,$C21,'DADOS BRUTOS'!BC$3:BC$500)))</f>
        <v>0</v>
      </c>
      <c r="ED21" s="133" t="n">
        <f aca="false">IF(OR(ED$4="",$B21=""),0,SUMIF('DADOS BRUTOS'!$A$3:$A$500,$B21,'DADOS BRUTOS'!BD$3:BD$500)+IF($C21="",0,SUMIF('DADOS BRUTOS'!$A$3:$A$500,$C21,'DADOS BRUTOS'!BD$3:BD$500)))</f>
        <v>0</v>
      </c>
      <c r="EE21" s="133" t="n">
        <f aca="false">IF(OR(EE$4="",$B21=""),0,SUMIF('DADOS BRUTOS'!$A$3:$A$500,$B21,'DADOS BRUTOS'!BE$3:BE$500)+IF($C21="",0,SUMIF('DADOS BRUTOS'!$A$3:$A$500,$C21,'DADOS BRUTOS'!BE$3:BE$500)))</f>
        <v>23975.79</v>
      </c>
      <c r="EF21" s="133" t="n">
        <f aca="false">IF(OR(EF$4="",$B21=""),0,SUMIF('DADOS BRUTOS'!$A$3:$A$500,$B21,'DADOS BRUTOS'!BF$3:BF$500)+IF($C21="",0,SUMIF('DADOS BRUTOS'!$A$3:$A$500,$C21,'DADOS BRUTOS'!BF$3:BF$500)))</f>
        <v>0</v>
      </c>
      <c r="EG21" s="133" t="n">
        <f aca="false">IF(OR(EG$4="",$B21=""),0,SUMIF('DADOS BRUTOS'!$A$3:$A$500,$B21,'DADOS BRUTOS'!BG$3:BG$500)+IF($C21="",0,SUMIF('DADOS BRUTOS'!$A$3:$A$500,$C21,'DADOS BRUTOS'!BG$3:BG$500)))</f>
        <v>0</v>
      </c>
      <c r="EH21" s="133" t="n">
        <f aca="false">IF(OR(EH$4="",$B21=""),0,SUMIF('DADOS BRUTOS'!$A$3:$A$500,$B21,'DADOS BRUTOS'!BH$3:BH$500)+IF($C21="",0,SUMIF('DADOS BRUTOS'!$A$3:$A$500,$C21,'DADOS BRUTOS'!BH$3:BH$500)))</f>
        <v>0</v>
      </c>
      <c r="EI21" s="133" t="n">
        <f aca="false">IF(OR(EI$4="",$B21=""),0,SUMIF('DADOS BRUTOS'!$A$3:$A$500,$B21,'DADOS BRUTOS'!BI$3:BI$500)+IF($C21="",0,SUMIF('DADOS BRUTOS'!$A$3:$A$500,$C21,'DADOS BRUTOS'!BI$3:BI$500)))</f>
        <v>227.52</v>
      </c>
      <c r="EJ21" s="133" t="n">
        <f aca="false">IF(OR(EJ$4="",$B21=""),0,SUMIF('DADOS BRUTOS'!$A$3:$A$500,$B21,'DADOS BRUTOS'!BJ$3:BJ$500)+IF($C21="",0,SUMIF('DADOS BRUTOS'!$A$3:$A$500,$C21,'DADOS BRUTOS'!BJ$3:BJ$500)))</f>
        <v>0</v>
      </c>
      <c r="EK21" s="133" t="n">
        <f aca="false">IF(OR(EK$4="",$B21=""),0,SUMIF('DADOS BRUTOS'!$A$3:$A$500,$B21,'DADOS BRUTOS'!BK$3:BK$500)+IF($C21="",0,SUMIF('DADOS BRUTOS'!$A$3:$A$500,$C21,'DADOS BRUTOS'!BK$3:BK$500)))</f>
        <v>0</v>
      </c>
      <c r="EL21" s="133" t="n">
        <f aca="false">IF(OR(EL$4="",$B21=""),0,SUMIF('DADOS BRUTOS'!$A$3:$A$500,$B21,'DADOS BRUTOS'!BL$3:BL$500)+IF($C21="",0,SUMIF('DADOS BRUTOS'!$A$3:$A$500,$C21,'DADOS BRUTOS'!BL$3:BL$500)))</f>
        <v>4394.69</v>
      </c>
      <c r="EM21" s="133" t="n">
        <f aca="false">IF(OR(EM$4="",$B21=""),0,SUMIF('DADOS BRUTOS'!$A$3:$A$500,$B21,'DADOS BRUTOS'!BM$3:BM$500)+IF($C21="",0,SUMIF('DADOS BRUTOS'!$A$3:$A$500,$C21,'DADOS BRUTOS'!BM$3:BM$500)))</f>
        <v>0</v>
      </c>
      <c r="EN21" s="133" t="n">
        <f aca="false">IF(OR(EN$4="",$B21=""),0,SUMIF('DADOS BRUTOS'!$A$3:$A$500,$B21,'DADOS BRUTOS'!BN$3:BN$500)+IF($C21="",0,SUMIF('DADOS BRUTOS'!$A$3:$A$500,$C21,'DADOS BRUTOS'!BN$3:BN$500)))</f>
        <v>0</v>
      </c>
      <c r="EO21" s="133" t="n">
        <f aca="false">IF(OR(EO$4="",$B21=""),0,SUMIF('DADOS BRUTOS'!$A$3:$A$500,$B21,'DADOS BRUTOS'!BO$3:BO$500)+IF($C21="",0,SUMIF('DADOS BRUTOS'!$A$3:$A$500,$C21,'DADOS BRUTOS'!BO$3:BO$500)))</f>
        <v>0</v>
      </c>
      <c r="EP21" s="133" t="n">
        <f aca="false">IF(OR(EP$4="",$B21=""),0,SUMIF('DADOS BRUTOS'!$A$3:$A$500,$B21,'DADOS BRUTOS'!BP$3:BP$500)+IF($C21="",0,SUMIF('DADOS BRUTOS'!$A$3:$A$500,$C21,'DADOS BRUTOS'!BP$3:BP$500)))</f>
        <v>0</v>
      </c>
      <c r="EQ21" s="133" t="n">
        <f aca="false">IF(OR(EQ$4="",$B21=""),0,SUMIF('DADOS BRUTOS'!$A$3:$A$500,$B21,'DADOS BRUTOS'!BQ$3:BQ$500)+IF($C21="",0,SUMIF('DADOS BRUTOS'!$A$3:$A$500,$C21,'DADOS BRUTOS'!BQ$3:BQ$500)))</f>
        <v>0</v>
      </c>
      <c r="ER21" s="133" t="n">
        <f aca="false">IF(OR(ER$4="",$B21=""),0,SUMIF('DADOS BRUTOS'!$A$3:$A$500,$B21,'DADOS BRUTOS'!BR$3:BR$500)+IF($C21="",0,SUMIF('DADOS BRUTOS'!$A$3:$A$500,$C21,'DADOS BRUTOS'!BR$3:BR$500)))</f>
        <v>0</v>
      </c>
      <c r="ES21" s="133" t="n">
        <f aca="false">IF(OR(ES$4="",$B21=""),0,SUMIF('DADOS BRUTOS'!$A$3:$A$500,$B21,'DADOS BRUTOS'!BS$3:BS$500)+IF($C21="",0,SUMIF('DADOS BRUTOS'!$A$3:$A$500,$C21,'DADOS BRUTOS'!BS$3:BS$500)))</f>
        <v>0</v>
      </c>
      <c r="ET21" s="133" t="n">
        <f aca="false">IF(OR(ET$4="",$B21=""),0,SUMIF('DADOS BRUTOS'!$A$3:$A$500,$B21,'DADOS BRUTOS'!BT$3:BT$500)+IF($C21="",0,SUMIF('DADOS BRUTOS'!$A$3:$A$500,$C21,'DADOS BRUTOS'!BT$3:BT$500)))</f>
        <v>0</v>
      </c>
      <c r="EU21" s="133" t="n">
        <f aca="false">IF(OR(EU$4="",$B21=""),0,SUMIF('DADOS BRUTOS'!$A$3:$A$500,$B21,'DADOS BRUTOS'!BU$3:BU$500)+IF($C21="",0,SUMIF('DADOS BRUTOS'!$A$3:$A$500,$C21,'DADOS BRUTOS'!BU$3:BU$500)))</f>
        <v>0</v>
      </c>
      <c r="EV21" s="133" t="n">
        <f aca="false">IF(OR(EV$4="",$B21=""),0,SUMIF('DADOS BRUTOS'!$A$3:$A$500,$B21,'DADOS BRUTOS'!BV$3:BV$500)+IF($C21="",0,SUMIF('DADOS BRUTOS'!$A$3:$A$500,$C21,'DADOS BRUTOS'!BV$3:BV$500)))</f>
        <v>0</v>
      </c>
      <c r="EW21" s="133" t="n">
        <f aca="false">IF(OR(EW$4="",$B21=""),0,SUMIF('DADOS BRUTOS'!$A$3:$A$500,$B21,'DADOS BRUTOS'!BW$3:BW$500)+IF($C21="",0,SUMIF('DADOS BRUTOS'!$A$3:$A$500,$C21,'DADOS BRUTOS'!BW$3:BW$500)))</f>
        <v>0</v>
      </c>
      <c r="EX21" s="133" t="n">
        <f aca="false">IF(OR(EX$4="",$B21=""),0,SUMIF('DADOS BRUTOS'!$A$3:$A$500,$B21,'DADOS BRUTOS'!BX$3:BX$500)+IF($C21="",0,SUMIF('DADOS BRUTOS'!$A$3:$A$500,$C21,'DADOS BRUTOS'!BX$3:BX$500)))</f>
        <v>0</v>
      </c>
      <c r="EY21" s="133" t="n">
        <f aca="false">IF(OR(EY$4="",$B21=""),0,SUMIF('DADOS BRUTOS'!$A$3:$A$500,$B21,'DADOS BRUTOS'!BY$3:BY$500)+IF($C21="",0,SUMIF('DADOS BRUTOS'!$A$3:$A$500,$C21,'DADOS BRUTOS'!BY$3:BY$500)))</f>
        <v>0</v>
      </c>
      <c r="EZ21" s="133" t="n">
        <f aca="false">IF(OR(EZ$4="",$B21=""),0,SUMIF('DADOS BRUTOS'!$A$3:$A$500,$B21,'DADOS BRUTOS'!BZ$3:BZ$500)+IF($C21="",0,SUMIF('DADOS BRUTOS'!$A$3:$A$500,$C21,'DADOS BRUTOS'!BZ$3:BZ$500)))</f>
        <v>0</v>
      </c>
      <c r="FA21" s="133" t="n">
        <f aca="false">IF(OR(FA$4="",$B21=""),0,SUMIF('DADOS BRUTOS'!$A$3:$A$500,$B21,'DADOS BRUTOS'!CA$3:CA$500)+IF($C21="",0,SUMIF('DADOS BRUTOS'!$A$3:$A$500,$C21,'DADOS BRUTOS'!CA$3:CA$500)))</f>
        <v>0</v>
      </c>
      <c r="FB21" s="133" t="n">
        <f aca="false">IF(OR(FB$4="",$B21=""),0,SUMIF('DADOS BRUTOS'!$A$3:$A$500,$B21,'DADOS BRUTOS'!CB$3:CB$500)+IF($C21="",0,SUMIF('DADOS BRUTOS'!$A$3:$A$500,$C21,'DADOS BRUTOS'!CB$3:CB$500)))</f>
        <v>0</v>
      </c>
      <c r="FC21" s="133" t="n">
        <f aca="false">IF(OR(FC$4="",$B21=""),0,SUMIF('DADOS BRUTOS'!$A$3:$A$500,$B21,'DADOS BRUTOS'!CC$3:CC$500)+IF($C21="",0,SUMIF('DADOS BRUTOS'!$A$3:$A$500,$C21,'DADOS BRUTOS'!CC$3:CC$500)))</f>
        <v>0</v>
      </c>
      <c r="FD21" s="133" t="n">
        <f aca="false">IF(OR(FD$4="",$B21=""),0,SUMIF('DADOS BRUTOS'!$A$3:$A$500,$B21,'DADOS BRUTOS'!CD$3:CD$500)+IF($C21="",0,SUMIF('DADOS BRUTOS'!$A$3:$A$500,$C21,'DADOS BRUTOS'!CD$3:CD$500)))</f>
        <v>0</v>
      </c>
      <c r="FE21" s="133" t="n">
        <f aca="false">IF(OR(FE$4="",$B21=""),0,SUMIF('DADOS BRUTOS'!$A$3:$A$500,$B21,'DADOS BRUTOS'!CE$3:CE$500)+IF($C21="",0,SUMIF('DADOS BRUTOS'!$A$3:$A$500,$C21,'DADOS BRUTOS'!CE$3:CE$500)))</f>
        <v>0</v>
      </c>
      <c r="FF21" s="133" t="n">
        <f aca="false">IF(OR(FF$4="",$B21=""),0,SUMIF('DADOS BRUTOS'!$A$3:$A$500,$B21,'DADOS BRUTOS'!CF$3:CF$500)+IF($C21="",0,SUMIF('DADOS BRUTOS'!$A$3:$A$500,$C21,'DADOS BRUTOS'!CF$3:CF$500)))</f>
        <v>0</v>
      </c>
      <c r="FG21" s="133" t="n">
        <f aca="false">IF(OR(FG$4="",$B21=""),0,SUMIF('DADOS BRUTOS'!$A$3:$A$500,$B21,'DADOS BRUTOS'!CG$3:CG$500)+IF($C21="",0,SUMIF('DADOS BRUTOS'!$A$3:$A$500,$C21,'DADOS BRUTOS'!CG$3:CG$500)))</f>
        <v>0</v>
      </c>
      <c r="FH21" s="133" t="n">
        <f aca="false">IF(OR(FH$4="",$B21=""),0,SUMIF('DADOS BRUTOS'!$A$3:$A$500,$B21,'DADOS BRUTOS'!CH$3:CH$500)+IF($C21="",0,SUMIF('DADOS BRUTOS'!$A$3:$A$500,$C21,'DADOS BRUTOS'!CH$3:CH$500)))</f>
        <v>0</v>
      </c>
      <c r="FI21" s="133" t="n">
        <f aca="false">IF(OR(FI$4="",$B21=""),0,SUMIF('DADOS BRUTOS'!$A$3:$A$500,$B21,'DADOS BRUTOS'!CI$3:CI$500)+IF($C21="",0,SUMIF('DADOS BRUTOS'!$A$3:$A$500,$C21,'DADOS BRUTOS'!CI$3:CI$500)))</f>
        <v>0</v>
      </c>
      <c r="FJ21" s="133" t="n">
        <f aca="false">IF(OR(FJ$4="",$B21=""),0,SUMIF('DADOS BRUTOS'!$A$3:$A$500,$B21,'DADOS BRUTOS'!CJ$3:CJ$500)+IF($C21="",0,SUMIF('DADOS BRUTOS'!$A$3:$A$500,$C21,'DADOS BRUTOS'!CJ$3:CJ$500)))</f>
        <v>0</v>
      </c>
      <c r="FK21" s="133" t="n">
        <f aca="false">IF(OR(FK$4="",$B21=""),0,SUMIF('DADOS BRUTOS'!$A$3:$A$500,$B21,'DADOS BRUTOS'!CK$3:CK$500)+IF($C21="",0,SUMIF('DADOS BRUTOS'!$A$3:$A$500,$C21,'DADOS BRUTOS'!CK$3:CK$500)))</f>
        <v>0</v>
      </c>
      <c r="FL21" s="133" t="n">
        <f aca="false">IF(OR(FL$4="",$B21=""),0,SUMIF('DADOS BRUTOS'!$A$3:$A$500,$B21,'DADOS BRUTOS'!CL$3:CL$500)+IF($C21="",0,SUMIF('DADOS BRUTOS'!$A$3:$A$500,$C21,'DADOS BRUTOS'!CL$3:CL$500)))</f>
        <v>0</v>
      </c>
      <c r="FM21" s="133" t="n">
        <f aca="false">IF(OR(FM$4="",$B21=""),0,SUMIF('DADOS BRUTOS'!$A$3:$A$500,$B21,'DADOS BRUTOS'!CM$3:CM$500)+IF($C21="",0,SUMIF('DADOS BRUTOS'!$A$3:$A$500,$C21,'DADOS BRUTOS'!CM$3:CM$500)))</f>
        <v>0</v>
      </c>
      <c r="FN21" s="133" t="n">
        <f aca="false">IF(OR(FN$4="",$B21=""),0,SUMIF('DADOS BRUTOS'!$A$3:$A$500,$B21,'DADOS BRUTOS'!CN$3:CN$500)+IF($C21="",0,SUMIF('DADOS BRUTOS'!$A$3:$A$500,$C21,'DADOS BRUTOS'!CN$3:CN$500)))</f>
        <v>0</v>
      </c>
      <c r="FO21" s="133" t="n">
        <f aca="false">IF(OR(FO$4="",$B21=""),0,SUMIF('DADOS BRUTOS'!$A$3:$A$500,$B21,'DADOS BRUTOS'!CO$3:CO$500)+IF($C21="",0,SUMIF('DADOS BRUTOS'!$A$3:$A$500,$C21,'DADOS BRUTOS'!CO$3:CO$500)))</f>
        <v>0</v>
      </c>
      <c r="FP21" s="133" t="n">
        <f aca="false">IF(OR(FP$4="",$B21=""),0,SUMIF('DADOS BRUTOS'!$A$3:$A$500,$B21,'DADOS BRUTOS'!CP$3:CP$500)+IF($C21="",0,SUMIF('DADOS BRUTOS'!$A$3:$A$500,$C21,'DADOS BRUTOS'!CP$3:CP$500)))</f>
        <v>0</v>
      </c>
      <c r="FQ21" s="133" t="n">
        <f aca="false">IF(OR(FQ$4="",$B21=""),0,SUMIF('DADOS BRUTOS'!$A$3:$A$500,$B21,'DADOS BRUTOS'!CQ$3:CQ$500)+IF($C21="",0,SUMIF('DADOS BRUTOS'!$A$3:$A$500,$C21,'DADOS BRUTOS'!CQ$3:CQ$500)))</f>
        <v>0</v>
      </c>
      <c r="FR21" s="133" t="n">
        <f aca="false">IF(OR(FR$4="",$B21=""),0,SUMIF('DADOS BRUTOS'!$A$3:$A$500,$B21,'DADOS BRUTOS'!CR$3:CR$500)+IF($C21="",0,SUMIF('DADOS BRUTOS'!$A$3:$A$500,$C21,'DADOS BRUTOS'!CR$3:CR$500)))</f>
        <v>0</v>
      </c>
      <c r="FS21" s="133" t="n">
        <f aca="false">IF(OR(FS$4="",$B21=""),0,SUMIF('DADOS BRUTOS'!$A$3:$A$500,$B21,'DADOS BRUTOS'!CS$3:CS$500)+IF($C21="",0,SUMIF('DADOS BRUTOS'!$A$3:$A$500,$C21,'DADOS BRUTOS'!CS$3:CS$500)))</f>
        <v>0</v>
      </c>
      <c r="FT21" s="133" t="n">
        <f aca="false">IF(OR(FT$4="",$B21=""),0,SUMIF('DADOS BRUTOS'!$A$3:$A$500,$B21,'DADOS BRUTOS'!CT$3:CT$500)+IF($C21="",0,SUMIF('DADOS BRUTOS'!$A$3:$A$500,$C21,'DADOS BRUTOS'!CT$3:CT$500)))</f>
        <v>0</v>
      </c>
      <c r="FU21" s="133" t="n">
        <f aca="false">IF(OR(FU$4="",$B21=""),0,SUMIF('DADOS BRUTOS'!$A$3:$A$500,$B21,'DADOS BRUTOS'!CU$3:CU$500)+IF($C21="",0,SUMIF('DADOS BRUTOS'!$A$3:$A$500,$C21,'DADOS BRUTOS'!CU$3:CU$500)))</f>
        <v>0</v>
      </c>
      <c r="FV21" s="133" t="n">
        <f aca="false">IF(OR(FV$4="",$B21=""),0,SUMIF('DADOS BRUTOS'!$A$3:$A$500,$B21,'DADOS BRUTOS'!CV$3:CV$500)+IF($C21="",0,SUMIF('DADOS BRUTOS'!$A$3:$A$500,$C21,'DADOS BRUTOS'!CV$3:CV$500)))</f>
        <v>0</v>
      </c>
      <c r="FW21" s="133" t="n">
        <f aca="false">IF(OR(FW$4="",$B21=""),0,SUMIF('DADOS BRUTOS'!$A$3:$A$500,$B21,'DADOS BRUTOS'!CW$3:CW$500)+IF($C21="",0,SUMIF('DADOS BRUTOS'!$A$3:$A$500,$C21,'DADOS BRUTOS'!CW$3:CW$500)))</f>
        <v>0</v>
      </c>
      <c r="FX21" s="133" t="n">
        <f aca="false">IF(OR(FX$4="",$B21=""),0,SUMIF('DADOS BRUTOS'!$A$3:$A$500,$B21,'DADOS BRUTOS'!CX$3:CX$500)+IF($C21="",0,SUMIF('DADOS BRUTOS'!$A$3:$A$500,$C21,'DADOS BRUTOS'!CX$3:CX$500)))</f>
        <v>0</v>
      </c>
      <c r="FY21" s="133" t="n">
        <f aca="false">IF(OR(FY$4="",$B21=""),0,SUMIF('DADOS BRUTOS'!$A$3:$A$500,$B21,'DADOS BRUTOS'!CY$3:CY$500)+IF($C21="",0,SUMIF('DADOS BRUTOS'!$A$3:$A$500,$C21,'DADOS BRUTOS'!CY$3:CY$500)))</f>
        <v>0</v>
      </c>
      <c r="FZ21" s="133" t="n">
        <f aca="false">IF(OR(FZ$4="",$B21=""),0,SUMIF('DADOS BRUTOS'!$A$3:$A$500,$B21,'DADOS BRUTOS'!CZ$3:CZ$500)+IF($C21="",0,SUMIF('DADOS BRUTOS'!$A$3:$A$500,$C21,'DADOS BRUTOS'!CZ$3:CZ$500)))</f>
        <v>0</v>
      </c>
      <c r="GA21" s="133" t="n">
        <f aca="false">IF(OR(GA$4="",$B21=""),0,SUMIF('DADOS BRUTOS'!$A$3:$A$500,$B21,'DADOS BRUTOS'!DA$3:DA$500)+IF($C21="",0,SUMIF('DADOS BRUTOS'!$A$3:$A$500,$C21,'DADOS BRUTOS'!DA$3:DA$500)))</f>
        <v>0</v>
      </c>
      <c r="GB21" s="133" t="n">
        <f aca="false">IF(OR(GB$4="",$B21=""),0,SUMIF('DADOS BRUTOS'!$A$3:$A$500,$B21,'DADOS BRUTOS'!DB$3:DB$500)+IF($C21="",0,SUMIF('DADOS BRUTOS'!$A$3:$A$500,$C21,'DADOS BRUTOS'!DB$3:DB$500)))</f>
        <v>0</v>
      </c>
      <c r="GC21" s="133" t="n">
        <f aca="false">IF(OR(GC$4="",$B21=""),0,SUMIF('DADOS BRUTOS'!$A$3:$A$500,$B21,'DADOS BRUTOS'!DC$3:DC$500)+IF($C21="",0,SUMIF('DADOS BRUTOS'!$A$3:$A$500,$C21,'DADOS BRUTOS'!DC$3:DC$500)))</f>
        <v>0</v>
      </c>
      <c r="GD21" s="133" t="n">
        <f aca="false">IF(OR(GD$4="",$B21=""),0,SUMIF('DADOS BRUTOS'!$A$3:$A$500,$B21,'DADOS BRUTOS'!DD$3:DD$500)+IF($C21="",0,SUMIF('DADOS BRUTOS'!$A$3:$A$500,$C21,'DADOS BRUTOS'!DD$3:DD$500)))</f>
        <v>0</v>
      </c>
      <c r="GE21" s="133" t="n">
        <f aca="false">IF(OR(GE$4="",$B21=""),0,SUMIF('DADOS BRUTOS'!$A$3:$A$500,$B21,'DADOS BRUTOS'!DE$3:DE$500)+IF($C21="",0,SUMIF('DADOS BRUTOS'!$A$3:$A$500,$C21,'DADOS BRUTOS'!DE$3:DE$500)))</f>
        <v>0</v>
      </c>
      <c r="GF21" s="133" t="n">
        <f aca="false">IF(OR(GF$4="",$B21=""),0,SUMIF('DADOS BRUTOS'!$A$3:$A$500,$B21,'DADOS BRUTOS'!DF$3:DF$500)+IF($C21="",0,SUMIF('DADOS BRUTOS'!$A$3:$A$500,$C21,'DADOS BRUTOS'!DF$3:DF$500)))</f>
        <v>0</v>
      </c>
      <c r="GG21" s="133" t="n">
        <f aca="false">IF(OR(GG$4="",$B21=""),0,SUMIF('DADOS BRUTOS'!$A$3:$A$500,$B21,'DADOS BRUTOS'!DG$3:DG$500)+IF($C21="",0,SUMIF('DADOS BRUTOS'!$A$3:$A$500,$C21,'DADOS BRUTOS'!DG$3:DG$500)))</f>
        <v>0</v>
      </c>
      <c r="GH21" s="133" t="n">
        <f aca="false">IF(OR(GH$4="",$B21=""),0,SUMIF('DADOS BRUTOS'!$A$3:$A$500,$B21,'DADOS BRUTOS'!DH$3:DH$500)+IF($C21="",0,SUMIF('DADOS BRUTOS'!$A$3:$A$500,$C21,'DADOS BRUTOS'!DH$3:DH$500)))</f>
        <v>0</v>
      </c>
      <c r="GI21" s="133" t="n">
        <f aca="false">IF(OR(GI$4="",$B21=""),0,SUMIF('DADOS BRUTOS'!$A$3:$A$500,$B21,'DADOS BRUTOS'!DI$3:DI$500)+IF($C21="",0,SUMIF('DADOS BRUTOS'!$A$3:$A$500,$C21,'DADOS BRUTOS'!DI$3:DI$500)))</f>
        <v>0</v>
      </c>
      <c r="GJ21" s="133" t="n">
        <f aca="false">IF(OR(GJ$4="",$B21=""),0,SUMIF('DADOS BRUTOS'!$A$3:$A$500,$B21,'DADOS BRUTOS'!DJ$3:DJ$500)+IF($C21="",0,SUMIF('DADOS BRUTOS'!$A$3:$A$500,$C21,'DADOS BRUTOS'!DJ$3:DJ$500)))</f>
        <v>0</v>
      </c>
      <c r="GK21" s="133" t="n">
        <f aca="false">IF(OR(GK$4="",$B21=""),0,SUMIF('DADOS BRUTOS'!$A$3:$A$500,$B21,'DADOS BRUTOS'!DK$3:DK$500)+IF($C21="",0,SUMIF('DADOS BRUTOS'!$A$3:$A$500,$C21,'DADOS BRUTOS'!DK$3:DK$500)))</f>
        <v>0</v>
      </c>
      <c r="GL21" s="133" t="n">
        <f aca="false">IF(OR(GL$4="",$B21=""),0,SUMIF('DADOS BRUTOS'!$A$3:$A$500,$B21,'DADOS BRUTOS'!DL$3:DL$500)+IF($C21="",0,SUMIF('DADOS BRUTOS'!$A$3:$A$500,$C21,'DADOS BRUTOS'!DL$3:DL$500)))</f>
        <v>0</v>
      </c>
      <c r="GM21" s="133" t="n">
        <f aca="false">IF(OR(GM$4="",$B21=""),0,SUMIF('DADOS BRUTOS'!$A$3:$A$500,$B21,'DADOS BRUTOS'!DM$3:DM$500)+IF($C21="",0,SUMIF('DADOS BRUTOS'!$A$3:$A$500,$C21,'DADOS BRUTOS'!DM$3:DM$500)))</f>
        <v>0</v>
      </c>
      <c r="GN21" s="133" t="n">
        <f aca="false">IF(OR(GN$4="",$B21=""),0,SUMIF('DADOS BRUTOS'!$A$3:$A$500,$B21,'DADOS BRUTOS'!DN$3:DN$500)+IF($C21="",0,SUMIF('DADOS BRUTOS'!$A$3:$A$500,$C21,'DADOS BRUTOS'!DN$3:DN$500)))</f>
        <v>0</v>
      </c>
      <c r="GO21" s="133" t="n">
        <f aca="false">IF(OR(GO$4="",$B21=""),0,SUMIF('DADOS BRUTOS'!$A$3:$A$500,$B21,'DADOS BRUTOS'!DO$3:DO$500)+IF($C21="",0,SUMIF('DADOS BRUTOS'!$A$3:$A$500,$C21,'DADOS BRUTOS'!DO$3:DO$500)))</f>
        <v>0</v>
      </c>
      <c r="GP21" s="133" t="n">
        <f aca="false">IF(OR(GP$4="",$B21=""),0,SUMIF('DADOS BRUTOS'!$A$3:$A$500,$B21,'DADOS BRUTOS'!DP$3:DP$500)+IF($C21="",0,SUMIF('DADOS BRUTOS'!$A$3:$A$500,$C21,'DADOS BRUTOS'!DP$3:DP$500)))</f>
        <v>0</v>
      </c>
      <c r="GQ21" s="133" t="n">
        <f aca="false">IF(OR(GQ$4="",$B21=""),0,SUMIF('DADOS BRUTOS'!$A$3:$A$500,$B21,'DADOS BRUTOS'!DQ$3:DQ$500)+IF($C21="",0,SUMIF('DADOS BRUTOS'!$A$3:$A$500,$C21,'DADOS BRUTOS'!DQ$3:DQ$500)))</f>
        <v>0</v>
      </c>
      <c r="GR21" s="133" t="n">
        <f aca="false">IF(OR(GR$4="",$B21=""),0,SUMIF('DADOS BRUTOS'!$A$3:$A$500,$B21,'DADOS BRUTOS'!DR$3:DR$500)+IF($C21="",0,SUMIF('DADOS BRUTOS'!$A$3:$A$500,$C21,'DADOS BRUTOS'!DR$3:DR$500)))</f>
        <v>0</v>
      </c>
      <c r="GS21" s="133" t="n">
        <f aca="false">IF(OR(GS$4="",$B21=""),0,SUMIF('DADOS BRUTOS'!$A$3:$A$500,$B21,'DADOS BRUTOS'!DS$3:DS$500)+IF($C21="",0,SUMIF('DADOS BRUTOS'!$A$3:$A$500,$C21,'DADOS BRUTOS'!DS$3:DS$500)))</f>
        <v>0</v>
      </c>
      <c r="GT21" s="133" t="n">
        <f aca="false">IF(OR(GT$4="",$B21=""),0,SUMIF('DADOS BRUTOS'!$A$3:$A$500,$B21,'DADOS BRUTOS'!DT$3:DT$500)+IF($C21="",0,SUMIF('DADOS BRUTOS'!$A$3:$A$500,$C21,'DADOS BRUTOS'!DT$3:DT$500)))</f>
        <v>0</v>
      </c>
      <c r="GU21" s="133" t="n">
        <f aca="false">IF(OR(GU$4="",$B21=""),0,SUMIF('DADOS BRUTOS'!$A$3:$A$500,$B21,'DADOS BRUTOS'!DU$3:DU$500)+IF($C21="",0,SUMIF('DADOS BRUTOS'!$A$3:$A$500,$C21,'DADOS BRUTOS'!DU$3:DU$500)))</f>
        <v>0</v>
      </c>
      <c r="GV21" s="133" t="n">
        <f aca="false">IF(OR(GV$4="",$B21=""),0,SUMIF('DADOS BRUTOS'!$A$3:$A$500,$B21,'DADOS BRUTOS'!DV$3:DV$500)+IF($C21="",0,SUMIF('DADOS BRUTOS'!$A$3:$A$500,$C21,'DADOS BRUTOS'!DV$3:DV$500)))</f>
        <v>0</v>
      </c>
      <c r="GW21" s="133" t="n">
        <f aca="false">IF(OR(GW$4="",$B21=""),0,SUMIF('DADOS BRUTOS'!$A$3:$A$500,$B21,'DADOS BRUTOS'!DW$3:DW$500)+IF($C21="",0,SUMIF('DADOS BRUTOS'!$A$3:$A$500,$C21,'DADOS BRUTOS'!DW$3:DW$500)))</f>
        <v>0</v>
      </c>
      <c r="GX21" s="133" t="n">
        <f aca="false">IF(OR(GX$4="",$B21=""),0,SUMIF('DADOS BRUTOS'!$A$3:$A$500,$B21,'DADOS BRUTOS'!DX$3:DX$500)+IF($C21="",0,SUMIF('DADOS BRUTOS'!$A$3:$A$500,$C21,'DADOS BRUTOS'!DX$3:DX$500)))</f>
        <v>0</v>
      </c>
      <c r="GY21" s="133" t="n">
        <f aca="false">IF(OR(GY$4="",$B21=""),0,SUMIF('DADOS BRUTOS'!$A$3:$A$500,$B21,'DADOS BRUTOS'!DY$3:DY$500)+IF($C21="",0,SUMIF('DADOS BRUTOS'!$A$3:$A$500,$C21,'DADOS BRUTOS'!DY$3:DY$500)))</f>
        <v>0</v>
      </c>
      <c r="GZ21" s="133" t="n">
        <f aca="false">IF(OR(GZ$4="",$B21=""),0,SUMIF('DADOS BRUTOS'!$A$3:$A$500,$B21,'DADOS BRUTOS'!DZ$3:DZ$500)+IF($C21="",0,SUMIF('DADOS BRUTOS'!$A$3:$A$500,$C21,'DADOS BRUTOS'!DZ$3:DZ$500)))</f>
        <v>0</v>
      </c>
      <c r="HA21" s="133" t="n">
        <f aca="false">IF(OR(HA$4="",$B21=""),0,SUMIF('DADOS BRUTOS'!$A$3:$A$500,$B21,'DADOS BRUTOS'!EA$3:EA$500)+IF($C21="",0,SUMIF('DADOS BRUTOS'!$A$3:$A$500,$C21,'DADOS BRUTOS'!EA$3:EA$500)))</f>
        <v>0</v>
      </c>
      <c r="HB21" s="133" t="n">
        <f aca="false">IF(OR(HB$4="",$B21=""),0,SUMIF('DADOS BRUTOS'!$A$3:$A$500,$B21,'DADOS BRUTOS'!EB$3:EB$500)+IF($C21="",0,SUMIF('DADOS BRUTOS'!$A$3:$A$500,$C21,'DADOS BRUTOS'!EB$3:EB$500)))</f>
        <v>0</v>
      </c>
      <c r="HC21" s="133" t="n">
        <f aca="false">IF(OR(HC$4="",$B21=""),0,SUMIF('DADOS BRUTOS'!$A$3:$A$500,$B21,'DADOS BRUTOS'!EC$3:EC$500)+IF($C21="",0,SUMIF('DADOS BRUTOS'!$A$3:$A$500,$C21,'DADOS BRUTOS'!EC$3:EC$500)))</f>
        <v>0</v>
      </c>
      <c r="HD21" s="133" t="n">
        <f aca="false">IF(OR(HD$4="",$B21=""),0,SUMIF('DADOS BRUTOS'!$A$3:$A$500,$B21,'DADOS BRUTOS'!ED$3:ED$500)+IF($C21="",0,SUMIF('DADOS BRUTOS'!$A$3:$A$500,$C21,'DADOS BRUTOS'!ED$3:ED$500)))</f>
        <v>0</v>
      </c>
      <c r="HE21" s="133" t="n">
        <f aca="false">IF(OR(HE$4="",$B21=""),0,SUMIF('DADOS BRUTOS'!$A$3:$A$500,$B21,'DADOS BRUTOS'!EE$3:EE$500)+IF($C21="",0,SUMIF('DADOS BRUTOS'!$A$3:$A$500,$C21,'DADOS BRUTOS'!EE$3:EE$500)))</f>
        <v>0</v>
      </c>
      <c r="HF21" s="133" t="n">
        <f aca="false">IF(OR(HF$4="",$B21=""),0,SUMIF('DADOS BRUTOS'!$A$3:$A$500,$B21,'DADOS BRUTOS'!EF$3:EF$500)+IF($C21="",0,SUMIF('DADOS BRUTOS'!$A$3:$A$500,$C21,'DADOS BRUTOS'!EF$3:EF$500)))</f>
        <v>0</v>
      </c>
      <c r="HG21" s="133" t="n">
        <f aca="false">IF(OR(HG$4="",$B21=""),0,SUMIF('DADOS BRUTOS'!$A$3:$A$500,$B21,'DADOS BRUTOS'!EG$3:EG$500)+IF($C21="",0,SUMIF('DADOS BRUTOS'!$A$3:$A$500,$C21,'DADOS BRUTOS'!EG$3:EG$500)))</f>
        <v>0</v>
      </c>
      <c r="HH21" s="133" t="n">
        <f aca="false">IF(OR(HH$4="",$B21=""),0,SUMIF('DADOS BRUTOS'!$A$3:$A$500,$B21,'DADOS BRUTOS'!EH$3:EH$500)+IF($C21="",0,SUMIF('DADOS BRUTOS'!$A$3:$A$500,$C21,'DADOS BRUTOS'!EH$3:EH$500)))</f>
        <v>0</v>
      </c>
      <c r="HI21" s="133" t="n">
        <f aca="false">IF(OR(HI$4="",$B21=""),0,SUMIF('DADOS BRUTOS'!$A$3:$A$500,$B21,'DADOS BRUTOS'!EI$3:EI$500)+IF($C21="",0,SUMIF('DADOS BRUTOS'!$A$3:$A$500,$C21,'DADOS BRUTOS'!EI$3:EI$500)))</f>
        <v>0</v>
      </c>
      <c r="HJ21" s="133" t="n">
        <f aca="false">IF(OR(HJ$4="",$B21=""),0,SUMIF('DADOS BRUTOS'!$A$3:$A$500,$B21,'DADOS BRUTOS'!EJ$3:EJ$500)+IF($C21="",0,SUMIF('DADOS BRUTOS'!$A$3:$A$500,$C21,'DADOS BRUTOS'!EJ$3:EJ$500)))</f>
        <v>0</v>
      </c>
      <c r="HK21" s="133" t="n">
        <f aca="false">IF(OR(HK$4="",$B21=""),0,SUMIF('DADOS BRUTOS'!$A$3:$A$500,$B21,'DADOS BRUTOS'!EK$3:EK$500)+IF($C21="",0,SUMIF('DADOS BRUTOS'!$A$3:$A$500,$C21,'DADOS BRUTOS'!EK$3:EK$500)))</f>
        <v>0</v>
      </c>
      <c r="HL21" s="133" t="n">
        <f aca="false">IF(OR(HL$4="",$B21=""),0,SUMIF('DADOS BRUTOS'!$A$3:$A$500,$B21,'DADOS BRUTOS'!EL$3:EL$500)+IF($C21="",0,SUMIF('DADOS BRUTOS'!$A$3:$A$500,$C21,'DADOS BRUTOS'!EL$3:EL$500)))</f>
        <v>0</v>
      </c>
      <c r="HM21" s="133" t="n">
        <f aca="false">IF(OR(HM$4="",$B21=""),0,SUMIF('DADOS BRUTOS'!$A$3:$A$500,$B21,'DADOS BRUTOS'!EM$3:EM$500)+IF($C21="",0,SUMIF('DADOS BRUTOS'!$A$3:$A$500,$C21,'DADOS BRUTOS'!EM$3:EM$500)))</f>
        <v>0</v>
      </c>
      <c r="HN21" s="133" t="n">
        <f aca="false">IF(OR(HN$4="",$B21=""),0,SUMIF('DADOS BRUTOS'!$A$3:$A$500,$B21,'DADOS BRUTOS'!EN$3:EN$500)+IF($C21="",0,SUMIF('DADOS BRUTOS'!$A$3:$A$500,$C21,'DADOS BRUTOS'!EN$3:EN$500)))</f>
        <v>0</v>
      </c>
      <c r="HO21" s="133" t="n">
        <f aca="false">IF(OR(HO$4="",$B21=""),0,SUMIF('DADOS BRUTOS'!$A$3:$A$500,$B21,'DADOS BRUTOS'!EO$3:EO$500)+IF($C21="",0,SUMIF('DADOS BRUTOS'!$A$3:$A$500,$C21,'DADOS BRUTOS'!EO$3:EO$500)))</f>
        <v>0</v>
      </c>
      <c r="HP21" s="133" t="n">
        <f aca="false">IF(OR(HP$4="",$B21=""),0,SUMIF('DADOS BRUTOS'!$A$3:$A$500,$B21,'DADOS BRUTOS'!EP$3:EP$500)+IF($C21="",0,SUMIF('DADOS BRUTOS'!$A$3:$A$500,$C21,'DADOS BRUTOS'!EP$3:EP$500)))</f>
        <v>0</v>
      </c>
      <c r="HQ21" s="133" t="n">
        <f aca="false">IF(OR(HQ$4="",$B21=""),0,SUMIF('DADOS BRUTOS'!$A$3:$A$500,$B21,'DADOS BRUTOS'!EQ$3:EQ$500)+IF($C21="",0,SUMIF('DADOS BRUTOS'!$A$3:$A$500,$C21,'DADOS BRUTOS'!EQ$3:EQ$500)))</f>
        <v>0</v>
      </c>
      <c r="HR21" s="133" t="n">
        <f aca="false">IF(OR(HR$4="",$B21=""),0,SUMIF('DADOS BRUTOS'!$A$3:$A$500,$B21,'DADOS BRUTOS'!ER$3:ER$500)+IF($C21="",0,SUMIF('DADOS BRUTOS'!$A$3:$A$500,$C21,'DADOS BRUTOS'!ER$3:ER$500)))</f>
        <v>0</v>
      </c>
      <c r="HS21" s="133" t="n">
        <f aca="false">IF(OR(HS$4="",$B21=""),0,SUMIF('DADOS BRUTOS'!$A$3:$A$500,$B21,'DADOS BRUTOS'!ES$3:ES$500)+IF($C21="",0,SUMIF('DADOS BRUTOS'!$A$3:$A$500,$C21,'DADOS BRUTOS'!ES$3:ES$500)))</f>
        <v>0</v>
      </c>
      <c r="HT21" s="133" t="n">
        <f aca="false">IF(OR(HT$4="",$B21=""),0,SUMIF('DADOS BRUTOS'!$A$3:$A$500,$B21,'DADOS BRUTOS'!ET$3:ET$500)+IF($C21="",0,SUMIF('DADOS BRUTOS'!$A$3:$A$500,$C21,'DADOS BRUTOS'!ET$3:ET$500)))</f>
        <v>0</v>
      </c>
      <c r="HU21" s="133" t="n">
        <f aca="false">IF(OR(HU$4="",$B21=""),0,SUMIF('DADOS BRUTOS'!$A$3:$A$500,$B21,'DADOS BRUTOS'!EU$3:EU$500)+IF($C21="",0,SUMIF('DADOS BRUTOS'!$A$3:$A$500,$C21,'DADOS BRUTOS'!EU$3:EU$500)))</f>
        <v>0</v>
      </c>
      <c r="HV21" s="133" t="n">
        <f aca="false">IF(OR(HV$4="",$B21=""),0,SUMIF('DADOS BRUTOS'!$A$3:$A$500,$B21,'DADOS BRUTOS'!EV$3:EV$500)+IF($C21="",0,SUMIF('DADOS BRUTOS'!$A$3:$A$500,$C21,'DADOS BRUTOS'!EV$3:EV$500)))</f>
        <v>0</v>
      </c>
      <c r="HW21" s="133" t="n">
        <f aca="false">IF(OR(HW$4="",$B21=""),0,SUMIF('DADOS BRUTOS'!$A$3:$A$500,$B21,'DADOS BRUTOS'!EW$3:EW$500)+IF($C21="",0,SUMIF('DADOS BRUTOS'!$A$3:$A$500,$C21,'DADOS BRUTOS'!EW$3:EW$500)))</f>
        <v>0</v>
      </c>
      <c r="HX21" s="133" t="n">
        <f aca="false">IF(OR(HX$4="",$B21=""),0,SUMIF('DADOS BRUTOS'!$A$3:$A$500,$B21,'DADOS BRUTOS'!EX$3:EX$500)+IF($C21="",0,SUMIF('DADOS BRUTOS'!$A$3:$A$500,$C21,'DADOS BRUTOS'!EX$3:EX$500)))</f>
        <v>0</v>
      </c>
      <c r="HY21" s="133" t="n">
        <f aca="false">IF(OR(HY$4="",$B21=""),0,SUMIF('DADOS BRUTOS'!$A$3:$A$500,$B21,'DADOS BRUTOS'!EY$3:EY$500)+IF($C21="",0,SUMIF('DADOS BRUTOS'!$A$3:$A$500,$C21,'DADOS BRUTOS'!EY$3:EY$500)))</f>
        <v>0</v>
      </c>
      <c r="HZ21" s="133" t="n">
        <f aca="false">IF(OR(HZ$4="",$B21=""),0,SUMIF('DADOS BRUTOS'!$A$3:$A$500,$B21,'DADOS BRUTOS'!EZ$3:EZ$500)+IF($C21="",0,SUMIF('DADOS BRUTOS'!$A$3:$A$500,$C21,'DADOS BRUTOS'!EZ$3:EZ$500)))</f>
        <v>0</v>
      </c>
      <c r="IA21" s="133" t="n">
        <f aca="false">IF(OR(IA$4="",$B21=""),0,SUMIF('DADOS BRUTOS'!$A$3:$A$500,$B21,'DADOS BRUTOS'!FA$3:FA$500)+IF($C21="",0,SUMIF('DADOS BRUTOS'!$A$3:$A$500,$C21,'DADOS BRUTOS'!FA$3:FA$500)))</f>
        <v>0</v>
      </c>
      <c r="IB21" s="133" t="n">
        <f aca="false">IF(OR(IB$4="",$B21=""),0,SUMIF('DADOS BRUTOS'!$A$3:$A$500,$B21,'DADOS BRUTOS'!FB$3:FB$500)+IF($C21="",0,SUMIF('DADOS BRUTOS'!$A$3:$A$500,$C21,'DADOS BRUTOS'!FB$3:FB$500)))</f>
        <v>0</v>
      </c>
      <c r="IC21" s="133" t="n">
        <f aca="false">IF(OR(IC$4="",$B21=""),0,SUMIF('DADOS BRUTOS'!$A$3:$A$500,$B21,'DADOS BRUTOS'!FC$3:FC$500)+IF($C21="",0,SUMIF('DADOS BRUTOS'!$A$3:$A$500,$C21,'DADOS BRUTOS'!FC$3:FC$500)))</f>
        <v>0</v>
      </c>
      <c r="ID21" s="133" t="n">
        <f aca="false">IF(OR(ID$4="",$B21=""),0,SUMIF('DADOS BRUTOS'!$A$3:$A$500,$B21,'DADOS BRUTOS'!FD$3:FD$500)+IF($C21="",0,SUMIF('DADOS BRUTOS'!$A$3:$A$500,$C21,'DADOS BRUTOS'!FD$3:FD$500)))</f>
        <v>0</v>
      </c>
      <c r="IE21" s="133" t="n">
        <f aca="false">IF(OR(IE$4="",$B21=""),0,SUMIF('DADOS BRUTOS'!$A$3:$A$500,$B21,'DADOS BRUTOS'!FE$3:FE$500)+IF($C21="",0,SUMIF('DADOS BRUTOS'!$A$3:$A$500,$C21,'DADOS BRUTOS'!FE$3:FE$500)))</f>
        <v>0</v>
      </c>
      <c r="IF21" s="133" t="n">
        <f aca="false">IF(OR(IF$4="",$B21=""),0,SUMIF('DADOS BRUTOS'!$A$3:$A$500,$B21,'DADOS BRUTOS'!FF$3:FF$500)+IF($C21="",0,SUMIF('DADOS BRUTOS'!$A$3:$A$500,$C21,'DADOS BRUTOS'!FF$3:FF$500)))</f>
        <v>0</v>
      </c>
      <c r="IG21" s="133" t="n">
        <f aca="false">IF(OR(IG$4="",$B21=""),0,SUMIF('DADOS BRUTOS'!$A$3:$A$500,$B21,'DADOS BRUTOS'!FG$3:FG$500)+IF($C21="",0,SUMIF('DADOS BRUTOS'!$A$3:$A$500,$C21,'DADOS BRUTOS'!FG$3:FG$500)))</f>
        <v>0</v>
      </c>
      <c r="IH21" s="133" t="n">
        <f aca="false">IF(OR(IH$4="",$B21=""),0,SUMIF('DADOS BRUTOS'!$A$3:$A$500,$B21,'DADOS BRUTOS'!FH$3:FH$500)+IF($C21="",0,SUMIF('DADOS BRUTOS'!$A$3:$A$500,$C21,'DADOS BRUTOS'!FH$3:FH$500)))</f>
        <v>0</v>
      </c>
      <c r="II21" s="133" t="n">
        <f aca="false">IF(OR(II$4="",$B21=""),0,SUMIF('DADOS BRUTOS'!$A$3:$A$500,$B21,'DADOS BRUTOS'!FI$3:FI$500)+IF($C21="",0,SUMIF('DADOS BRUTOS'!$A$3:$A$500,$C21,'DADOS BRUTOS'!FI$3:FI$500)))</f>
        <v>0</v>
      </c>
      <c r="IJ21" s="133" t="n">
        <f aca="false">IF(OR(IJ$4="",$B21=""),0,SUMIF('DADOS BRUTOS'!$A$3:$A$500,$B21,'DADOS BRUTOS'!FJ$3:FJ$500)+IF($C21="",0,SUMIF('DADOS BRUTOS'!$A$3:$A$500,$C21,'DADOS BRUTOS'!FJ$3:FJ$500)))</f>
        <v>0</v>
      </c>
      <c r="IK21" s="133" t="n">
        <f aca="false">IF(OR(IK$4="",$B21=""),0,SUMIF('DADOS BRUTOS'!$A$3:$A$500,$B21,'DADOS BRUTOS'!FK$3:FK$500)+IF($C21="",0,SUMIF('DADOS BRUTOS'!$A$3:$A$500,$C21,'DADOS BRUTOS'!FK$3:FK$500)))</f>
        <v>0</v>
      </c>
      <c r="IL21" s="133" t="n">
        <f aca="false">IF(OR(IL$4="",$B21=""),0,SUMIF('DADOS BRUTOS'!$A$3:$A$500,$B21,'DADOS BRUTOS'!FL$3:FL$500)+IF($C21="",0,SUMIF('DADOS BRUTOS'!$A$3:$A$500,$C21,'DADOS BRUTOS'!FL$3:FL$500)))</f>
        <v>0</v>
      </c>
      <c r="IM21" s="133" t="n">
        <f aca="false">IF(OR(IM$4="",$B21=""),0,SUMIF('DADOS BRUTOS'!$A$3:$A$500,$B21,'DADOS BRUTOS'!FM$3:FM$500)+IF($C21="",0,SUMIF('DADOS BRUTOS'!$A$3:$A$500,$C21,'DADOS BRUTOS'!FM$3:FM$500)))</f>
        <v>0</v>
      </c>
      <c r="IN21" s="133" t="n">
        <f aca="false">IF(OR(IN$4="",$B21=""),0,SUMIF('DADOS BRUTOS'!$A$3:$A$500,$B21,'DADOS BRUTOS'!FN$3:FN$500)+IF($C21="",0,SUMIF('DADOS BRUTOS'!$A$3:$A$500,$C21,'DADOS BRUTOS'!FN$3:FN$500)))</f>
        <v>0</v>
      </c>
      <c r="IO21" s="133" t="n">
        <f aca="false">IF(OR(IO$4="",$B21=""),0,SUMIF('DADOS BRUTOS'!$A$3:$A$500,$B21,'DADOS BRUTOS'!FO$3:FO$500)+IF($C21="",0,SUMIF('DADOS BRUTOS'!$A$3:$A$500,$C21,'DADOS BRUTOS'!FO$3:FO$500)))</f>
        <v>0</v>
      </c>
      <c r="IP21" s="133" t="n">
        <f aca="false">IF(OR(IP$4="",$B21=""),0,SUMIF('DADOS BRUTOS'!$A$3:$A$500,$B21,'DADOS BRUTOS'!FP$3:FP$500)+IF($C21="",0,SUMIF('DADOS BRUTOS'!$A$3:$A$500,$C21,'DADOS BRUTOS'!FP$3:FP$500)))</f>
        <v>0</v>
      </c>
      <c r="IQ21" s="133" t="n">
        <f aca="false">IF(OR(IQ$4="",$B21=""),0,SUMIF('DADOS BRUTOS'!$A$3:$A$500,$B21,'DADOS BRUTOS'!FQ$3:FQ$500)+IF($C21="",0,SUMIF('DADOS BRUTOS'!$A$3:$A$500,$C21,'DADOS BRUTOS'!FQ$3:FQ$500)))</f>
        <v>0</v>
      </c>
      <c r="IR21" s="133" t="n">
        <f aca="false">IF(OR(IR$4="",$B21=""),0,SUMIF('DADOS BRUTOS'!$A$3:$A$500,$B21,'DADOS BRUTOS'!FR$3:FR$500)+IF($C21="",0,SUMIF('DADOS BRUTOS'!$A$3:$A$500,$C21,'DADOS BRUTOS'!FR$3:FR$500)))</f>
        <v>0</v>
      </c>
      <c r="IS21" s="133" t="n">
        <f aca="false">IF(OR(IS$4="",$B21=""),0,SUMIF('DADOS BRUTOS'!$A$3:$A$500,$B21,'DADOS BRUTOS'!FS$3:FS$500)+IF($C21="",0,SUMIF('DADOS BRUTOS'!$A$3:$A$500,$C21,'DADOS BRUTOS'!FS$3:FS$500)))</f>
        <v>0</v>
      </c>
      <c r="IT21" s="133" t="n">
        <f aca="false">IF(OR(IT$4="",$B21=""),0,SUMIF('DADOS BRUTOS'!$A$3:$A$500,$B21,'DADOS BRUTOS'!FT$3:FT$500)+IF($C21="",0,SUMIF('DADOS BRUTOS'!$A$3:$A$500,$C21,'DADOS BRUTOS'!FT$3:FT$500)))</f>
        <v>0</v>
      </c>
      <c r="IU21" s="133" t="n">
        <f aca="false">IF(OR(IU$4="",$B21=""),0,SUMIF('DADOS BRUTOS'!$A$3:$A$500,$B21,'DADOS BRUTOS'!FU$3:FU$500)+IF($C21="",0,SUMIF('DADOS BRUTOS'!$A$3:$A$500,$C21,'DADOS BRUTOS'!FU$3:FU$500)))</f>
        <v>0</v>
      </c>
      <c r="IV21" s="133" t="n">
        <f aca="false">IF(OR(IV$4="",$B21=""),0,SUMIF('DADOS BRUTOS'!$A$3:$A$500,$B21,'DADOS BRUTOS'!FV$3:FV$500)+IF($C21="",0,SUMIF('DADOS BRUTOS'!$A$3:$A$500,$C21,'DADOS BRUTOS'!FV$3:FV$500)))</f>
        <v>0</v>
      </c>
      <c r="IW21" s="133" t="n">
        <f aca="false">IF(OR(IW$4="",$B21=""),0,SUMIF('DADOS BRUTOS'!$A$3:$A$500,$B21,'DADOS BRUTOS'!FW$3:FW$500)+IF($C21="",0,SUMIF('DADOS BRUTOS'!$A$3:$A$500,$C21,'DADOS BRUTOS'!FW$3:FW$500)))</f>
        <v>0</v>
      </c>
      <c r="IX21" s="133" t="n">
        <f aca="false">IF(OR(IX$4="",$B21=""),0,SUMIF('DADOS BRUTOS'!$A$3:$A$500,$B21,'DADOS BRUTOS'!FX$3:FX$500)+IF($C21="",0,SUMIF('DADOS BRUTOS'!$A$3:$A$500,$C21,'DADOS BRUTOS'!FX$3:FX$500)))</f>
        <v>0</v>
      </c>
      <c r="IY21" s="133" t="n">
        <f aca="false">IF(OR(IY$4="",$B21=""),0,SUMIF('DADOS BRUTOS'!$A$3:$A$500,$B21,'DADOS BRUTOS'!FY$3:FY$500)+IF($C21="",0,SUMIF('DADOS BRUTOS'!$A$3:$A$500,$C21,'DADOS BRUTOS'!FY$3:FY$500)))</f>
        <v>0</v>
      </c>
      <c r="IZ21" s="133" t="n">
        <f aca="false">IF(OR(IZ$4="",$B21=""),0,SUMIF('DADOS BRUTOS'!$A$3:$A$500,$B21,'DADOS BRUTOS'!FZ$3:FZ$500)+IF($C21="",0,SUMIF('DADOS BRUTOS'!$A$3:$A$500,$C21,'DADOS BRUTOS'!FZ$3:FZ$500)))</f>
        <v>0</v>
      </c>
      <c r="JA21" s="133" t="n">
        <f aca="false">IF(OR(JA$4="",$B21=""),0,SUMIF('DADOS BRUTOS'!$A$3:$A$500,$B21,'DADOS BRUTOS'!GA$3:GA$500)+IF($C21="",0,SUMIF('DADOS BRUTOS'!$A$3:$A$500,$C21,'DADOS BRUTOS'!GA$3:GA$500)))</f>
        <v>0</v>
      </c>
      <c r="JB21" s="133" t="n">
        <f aca="false">IF(OR(JB$4="",$B21=""),0,SUMIF('DADOS BRUTOS'!$A$3:$A$500,$B21,'DADOS BRUTOS'!GB$3:GB$500)+IF($C21="",0,SUMIF('DADOS BRUTOS'!$A$3:$A$500,$C21,'DADOS BRUTOS'!GB$3:GB$500)))</f>
        <v>0</v>
      </c>
      <c r="JC21" s="133" t="n">
        <f aca="false">IF(OR(JC$4="",$B21=""),0,SUMIF('DADOS BRUTOS'!$A$3:$A$500,$B21,'DADOS BRUTOS'!GC$3:GC$500)+IF($C21="",0,SUMIF('DADOS BRUTOS'!$A$3:$A$500,$C21,'DADOS BRUTOS'!GC$3:GC$500)))</f>
        <v>0</v>
      </c>
      <c r="JD21" s="133" t="n">
        <f aca="false">IF(OR(JD$4="",$B21=""),0,SUMIF('DADOS BRUTOS'!$A$3:$A$500,$B21,'DADOS BRUTOS'!GD$3:GD$500)+IF($C21="",0,SUMIF('DADOS BRUTOS'!$A$3:$A$500,$C21,'DADOS BRUTOS'!GD$3:GD$500)))</f>
        <v>0</v>
      </c>
      <c r="JE21" s="133" t="n">
        <f aca="false">IF(OR(JE$4="",$B21=""),0,SUMIF('DADOS BRUTOS'!$A$3:$A$500,$B21,'DADOS BRUTOS'!GE$3:GE$500)+IF($C21="",0,SUMIF('DADOS BRUTOS'!$A$3:$A$500,$C21,'DADOS BRUTOS'!GE$3:GE$500)))</f>
        <v>0</v>
      </c>
      <c r="JF21" s="133" t="n">
        <f aca="false">IF(OR(JF$4="",$B21=""),0,SUMIF('DADOS BRUTOS'!$A$3:$A$500,$B21,'DADOS BRUTOS'!GF$3:GF$500)+IF($C21="",0,SUMIF('DADOS BRUTOS'!$A$3:$A$500,$C21,'DADOS BRUTOS'!GF$3:GF$500)))</f>
        <v>0</v>
      </c>
      <c r="JG21" s="133" t="n">
        <f aca="false">IF(OR(JG$4="",$B21=""),0,SUMIF('DADOS BRUTOS'!$A$3:$A$500,$B21,'DADOS BRUTOS'!GG$3:GG$500)+IF($C21="",0,SUMIF('DADOS BRUTOS'!$A$3:$A$500,$C21,'DADOS BRUTOS'!GG$3:GG$500)))</f>
        <v>0</v>
      </c>
      <c r="JH21" s="133" t="n">
        <f aca="false">IF(OR(JH$4="",$B21=""),0,SUMIF('DADOS BRUTOS'!$A$3:$A$500,$B21,'DADOS BRUTOS'!GH$3:GH$500)+IF($C21="",0,SUMIF('DADOS BRUTOS'!$A$3:$A$500,$C21,'DADOS BRUTOS'!GH$3:GH$500)))</f>
        <v>0</v>
      </c>
      <c r="JI21" s="133" t="n">
        <f aca="false">IF(OR(JI$4="",$B21=""),0,SUMIF('DADOS BRUTOS'!$A$3:$A$500,$B21,'DADOS BRUTOS'!GI$3:GI$500)+IF($C21="",0,SUMIF('DADOS BRUTOS'!$A$3:$A$500,$C21,'DADOS BRUTOS'!GI$3:GI$500)))</f>
        <v>0</v>
      </c>
      <c r="JJ21" s="133" t="n">
        <f aca="false">IF(OR(JJ$4="",$B21=""),0,SUMIF('DADOS BRUTOS'!$A$3:$A$500,$B21,'DADOS BRUTOS'!GJ$3:GJ$500)+IF($C21="",0,SUMIF('DADOS BRUTOS'!$A$3:$A$500,$C21,'DADOS BRUTOS'!GJ$3:GJ$500)))</f>
        <v>0</v>
      </c>
      <c r="JK21" s="133" t="n">
        <f aca="false">IF(OR(JK$4="",$B21=""),0,SUMIF('DADOS BRUTOS'!$A$3:$A$500,$B21,'DADOS BRUTOS'!GK$3:GK$500)+IF($C21="",0,SUMIF('DADOS BRUTOS'!$A$3:$A$500,$C21,'DADOS BRUTOS'!GK$3:GK$500)))</f>
        <v>0</v>
      </c>
      <c r="JL21" s="133" t="n">
        <f aca="false">IF(OR(JL$4="",$B21=""),0,SUMIF('DADOS BRUTOS'!$A$3:$A$500,$B21,'DADOS BRUTOS'!GL$3:GL$500)+IF($C21="",0,SUMIF('DADOS BRUTOS'!$A$3:$A$500,$C21,'DADOS BRUTOS'!GL$3:GL$500)))</f>
        <v>0</v>
      </c>
      <c r="JM21" s="133" t="n">
        <f aca="false">IF(OR(JM$4="",$B21=""),0,SUMIF('DADOS BRUTOS'!$A$3:$A$500,$B21,'DADOS BRUTOS'!GM$3:GM$500)+IF($C21="",0,SUMIF('DADOS BRUTOS'!$A$3:$A$500,$C21,'DADOS BRUTOS'!GM$3:GM$500)))</f>
        <v>0</v>
      </c>
      <c r="JN21" s="133" t="n">
        <f aca="false">IF(OR(JN$4="",$B21=""),0,SUMIF('DADOS BRUTOS'!$A$3:$A$500,$B21,'DADOS BRUTOS'!GN$3:GN$500)+IF($C21="",0,SUMIF('DADOS BRUTOS'!$A$3:$A$500,$C21,'DADOS BRUTOS'!GN$3:GN$500)))</f>
        <v>0</v>
      </c>
      <c r="JO21" s="133" t="n">
        <f aca="false">IF(OR(JO$4="",$B21=""),0,SUMIF('DADOS BRUTOS'!$A$3:$A$500,$B21,'DADOS BRUTOS'!GO$3:GO$500)+IF($C21="",0,SUMIF('DADOS BRUTOS'!$A$3:$A$500,$C21,'DADOS BRUTOS'!GO$3:GO$500)))</f>
        <v>0</v>
      </c>
      <c r="JP21" s="133" t="n">
        <f aca="false">IF(OR(JP$4="",$B21=""),0,SUMIF('DADOS BRUTOS'!$A$3:$A$500,$B21,'DADOS BRUTOS'!GP$3:GP$500)+IF($C21="",0,SUMIF('DADOS BRUTOS'!$A$3:$A$500,$C21,'DADOS BRUTOS'!GP$3:GP$500)))</f>
        <v>0</v>
      </c>
      <c r="JQ21" s="133" t="n">
        <f aca="false">IF(OR(JQ$4="",$B21=""),0,SUMIF('DADOS BRUTOS'!$A$3:$A$500,$B21,'DADOS BRUTOS'!GQ$3:GQ$500)+IF($C21="",0,SUMIF('DADOS BRUTOS'!$A$3:$A$500,$C21,'DADOS BRUTOS'!GQ$3:GQ$500)))</f>
        <v>0</v>
      </c>
      <c r="JR21" s="133" t="n">
        <f aca="false">IF(OR(JR$4="",$B21=""),0,SUMIF('DADOS BRUTOS'!$A$3:$A$500,$B21,'DADOS BRUTOS'!GR$3:GR$500)+IF($C21="",0,SUMIF('DADOS BRUTOS'!$A$3:$A$500,$C21,'DADOS BRUTOS'!GR$3:GR$500)))</f>
        <v>0</v>
      </c>
      <c r="JS21" s="133" t="n">
        <f aca="false">IF(OR(JS$4="",$B21=""),0,SUMIF('DADOS BRUTOS'!$A$3:$A$500,$B21,'DADOS BRUTOS'!GS$3:GS$500)+IF($C21="",0,SUMIF('DADOS BRUTOS'!$A$3:$A$500,$C21,'DADOS BRUTOS'!GS$3:GS$500)))</f>
        <v>0</v>
      </c>
    </row>
    <row r="22" customFormat="false" ht="15" hidden="false" customHeight="false" outlineLevel="0" collapsed="false">
      <c r="A22" s="57" t="str">
        <f aca="false">'VALOR POR PL'!D28</f>
        <v>ALVENARIA</v>
      </c>
      <c r="B22" s="55" t="s">
        <v>168</v>
      </c>
      <c r="C22" s="55"/>
      <c r="D22" s="50" t="n">
        <f aca="false">SUMIF($CB$4:$JS$4,"&lt;="&amp;D$4,$CB22:$JS22)</f>
        <v>0</v>
      </c>
      <c r="E22" s="50" t="n">
        <f aca="false">SUMIF($CB$4:$JS$4,E$4,$CB22:$JS22)</f>
        <v>0</v>
      </c>
      <c r="F22" s="50" t="n">
        <f aca="false">SUMIF($CB$4:$JS$4,F$4,$CB22:$JS22)</f>
        <v>0</v>
      </c>
      <c r="G22" s="50" t="n">
        <f aca="false">SUMIF($CB$4:$JS$4,G$4,$CB22:$JS22)</f>
        <v>0</v>
      </c>
      <c r="H22" s="50" t="n">
        <f aca="false">SUMIF($CB$4:$JS$4,H$4,$CB22:$JS22)</f>
        <v>0</v>
      </c>
      <c r="I22" s="50" t="n">
        <f aca="false">SUMIF($CB$4:$JS$4,I$4,$CB22:$JS22)</f>
        <v>0</v>
      </c>
      <c r="J22" s="50" t="n">
        <f aca="false">SUMIF($CB$4:$JS$4,J$4,$CB22:$JS22)</f>
        <v>0</v>
      </c>
      <c r="K22" s="50" t="n">
        <f aca="false">SUMIF($CB$4:$JS$4,K$4,$CB22:$JS22)</f>
        <v>0</v>
      </c>
      <c r="L22" s="50" t="n">
        <f aca="false">SUMIF($CB$4:$JS$4,L$4,$CB22:$JS22)</f>
        <v>0</v>
      </c>
      <c r="M22" s="50" t="n">
        <f aca="false">SUMIF($CB$4:$JS$4,M$4,$CB22:$JS22)</f>
        <v>0</v>
      </c>
      <c r="N22" s="50" t="n">
        <f aca="false">SUMIF($CB$4:$JS$4,N$4,$CB22:$JS22)</f>
        <v>0</v>
      </c>
      <c r="O22" s="50" t="n">
        <f aca="false">SUMIF($CB$4:$JS$4,O$4,$CB22:$JS22)</f>
        <v>0</v>
      </c>
      <c r="P22" s="50" t="n">
        <f aca="false">SUMIF($CB$4:$JS$4,P$4,$CB22:$JS22)</f>
        <v>0</v>
      </c>
      <c r="Q22" s="50" t="n">
        <f aca="false">SUMIF($CB$4:$JS$4,Q$4,$CB22:$JS22)</f>
        <v>0</v>
      </c>
      <c r="R22" s="50" t="n">
        <f aca="false">SUMIF($CB$4:$JS$4,R$4,$CB22:$JS22)</f>
        <v>0</v>
      </c>
      <c r="S22" s="50" t="n">
        <f aca="false">SUMIF($CB$4:$JS$4,S$4,$CB22:$JS22)</f>
        <v>0</v>
      </c>
      <c r="T22" s="50" t="n">
        <f aca="false">SUMIF($CB$4:$JS$4,T$4,$CB22:$JS22)</f>
        <v>0</v>
      </c>
      <c r="U22" s="50" t="n">
        <f aca="false">SUMIF($CB$4:$JS$4,U$4,$CB22:$JS22)</f>
        <v>0</v>
      </c>
      <c r="V22" s="50" t="n">
        <f aca="false">SUMIF($CB$4:$JS$4,V$4,$CB22:$JS22)</f>
        <v>0</v>
      </c>
      <c r="W22" s="50" t="n">
        <f aca="false">SUMIF($CB$4:$JS$4,W$4,$CB22:$JS22)</f>
        <v>0</v>
      </c>
      <c r="X22" s="50" t="n">
        <f aca="false">SUMIF($CB$4:$JS$4,X$4,$CB22:$JS22)</f>
        <v>0</v>
      </c>
      <c r="Y22" s="50" t="n">
        <f aca="false">SUMIF($CB$4:$JS$4,Y$4,$CB22:$JS22)</f>
        <v>0</v>
      </c>
      <c r="Z22" s="50" t="n">
        <f aca="false">SUMIF($CB$4:$JS$4,Z$4,$CB22:$JS22)</f>
        <v>0</v>
      </c>
      <c r="AA22" s="50" t="n">
        <f aca="false">SUMIF($CB$4:$JS$4,AA$4,$CB22:$JS22)</f>
        <v>0</v>
      </c>
      <c r="AB22" s="50" t="n">
        <f aca="false">SUMIF($CB$4:$JS$4,AB$4,$CB22:$JS22)</f>
        <v>0</v>
      </c>
      <c r="AC22" s="50" t="n">
        <f aca="false">SUMIF($CB$4:$JS$4,AC$4,$CB22:$JS22)</f>
        <v>0</v>
      </c>
      <c r="AD22" s="50" t="n">
        <f aca="false">SUMIF($CB$4:$JS$4,AD$4,$CB22:$JS22)</f>
        <v>0</v>
      </c>
      <c r="AE22" s="50" t="n">
        <f aca="false">SUMIF($CB$4:$JS$4,AE$4,$CB22:$JS22)</f>
        <v>0</v>
      </c>
      <c r="AF22" s="50" t="n">
        <f aca="false">SUMIF($CB$4:$JS$4,AF$4,$CB22:$JS22)</f>
        <v>0</v>
      </c>
      <c r="AG22" s="50" t="n">
        <f aca="false">SUMIF($CB$4:$JS$4,AG$4,$CB22:$JS22)</f>
        <v>0</v>
      </c>
      <c r="AH22" s="50" t="n">
        <f aca="false">SUMIF($CB$4:$JS$4,AH$4,$CB22:$JS22)</f>
        <v>0</v>
      </c>
      <c r="AI22" s="50" t="n">
        <f aca="false">SUMIF($CB$4:$JS$4,AI$4,$CB22:$JS22)</f>
        <v>0</v>
      </c>
      <c r="AJ22" s="50" t="n">
        <f aca="false">SUMIF($CB$4:$JS$4,AJ$4,$CB22:$JS22)</f>
        <v>0</v>
      </c>
      <c r="AK22" s="50" t="n">
        <f aca="false">SUMIF($CB$4:$JS$4,AK$4,$CB22:$JS22)</f>
        <v>0</v>
      </c>
      <c r="AL22" s="50" t="n">
        <f aca="false">SUMIF($CB$4:$JS$4,AL$4,$CB22:$JS22)</f>
        <v>0</v>
      </c>
      <c r="AM22" s="50" t="n">
        <f aca="false">SUMIF($CB$4:$JS$4,AM$4,$CB22:$JS22)</f>
        <v>0</v>
      </c>
      <c r="AN22" s="50" t="n">
        <f aca="false">SUMIF($CB$4:$JS$4,AN$4,$CB22:$JS22)</f>
        <v>0</v>
      </c>
      <c r="AO22" s="50" t="n">
        <f aca="false">SUMIF($CB$4:$JS$4,AO$4,$CB22:$JS22)</f>
        <v>0</v>
      </c>
      <c r="AP22" s="50" t="n">
        <f aca="false">SUMIF($CB$4:$JS$4,AP$4,$CB22:$JS22)</f>
        <v>0</v>
      </c>
      <c r="AQ22" s="50" t="n">
        <f aca="false">SUMIF($CB$4:$JS$4,AQ$4,$CB22:$JS22)</f>
        <v>0</v>
      </c>
      <c r="AR22" s="50" t="n">
        <f aca="false">SUMIF($CB$4:$JS$4,AR$4,$CB22:$JS22)</f>
        <v>0</v>
      </c>
      <c r="AS22" s="50" t="n">
        <f aca="false">SUMIF($CB$4:$JS$4,AS$4,$CB22:$JS22)</f>
        <v>0</v>
      </c>
      <c r="AT22" s="50" t="n">
        <f aca="false">SUMIF($CB$4:$JS$4,AT$4,$CB22:$JS22)</f>
        <v>0</v>
      </c>
      <c r="AU22" s="50" t="n">
        <f aca="false">SUMIF($CB$4:$JS$4,AU$4,$CB22:$JS22)</f>
        <v>0</v>
      </c>
      <c r="AV22" s="50" t="n">
        <f aca="false">SUMIF($CB$4:$JS$4,AV$4,$CB22:$JS22)</f>
        <v>0</v>
      </c>
      <c r="AW22" s="50" t="n">
        <f aca="false">SUMIF($CB$4:$JS$4,AW$4,$CB22:$JS22)</f>
        <v>0</v>
      </c>
      <c r="AX22" s="50" t="n">
        <f aca="false">SUMIF($CB$4:$JS$4,AX$4,$CB22:$JS22)</f>
        <v>0</v>
      </c>
      <c r="AY22" s="50" t="n">
        <f aca="false">SUMIF($CB$4:$JS$4,AY$4,$CB22:$JS22)</f>
        <v>0</v>
      </c>
      <c r="AZ22" s="50" t="n">
        <f aca="false">SUMIF($CB$4:$JS$4,AZ$4,$CB22:$JS22)</f>
        <v>0</v>
      </c>
      <c r="BA22" s="50" t="n">
        <f aca="false">SUMIF($CB$4:$JS$4,BA$4,$CB22:$JS22)</f>
        <v>0</v>
      </c>
      <c r="BB22" s="50" t="n">
        <f aca="false">SUMIF($CB$4:$JS$4,BB$4,$CB22:$JS22)</f>
        <v>0</v>
      </c>
      <c r="BC22" s="50" t="n">
        <f aca="false">SUMIF($CB$4:$JS$4,BC$4,$CB22:$JS22)</f>
        <v>0</v>
      </c>
      <c r="BD22" s="50" t="n">
        <f aca="false">SUMIF($CB$4:$JS$4,BD$4,$CB22:$JS22)</f>
        <v>0</v>
      </c>
      <c r="BE22" s="50" t="n">
        <f aca="false">SUMIF($CB$4:$JS$4,BE$4,$CB22:$JS22)</f>
        <v>0</v>
      </c>
      <c r="BF22" s="50" t="n">
        <f aca="false">SUMIF($CB$4:$JS$4,BF$4,$CB22:$JS22)</f>
        <v>0</v>
      </c>
      <c r="BG22" s="50" t="n">
        <f aca="false">SUMIF($CB$4:$JS$4,BG$4,$CB22:$JS22)</f>
        <v>0</v>
      </c>
      <c r="BH22" s="50" t="n">
        <f aca="false">SUMIF($CB$4:$JS$4,BH$4,$CB22:$JS22)</f>
        <v>0</v>
      </c>
      <c r="BI22" s="50" t="n">
        <f aca="false">SUMIF($CB$4:$JS$4,BI$4,$CB22:$JS22)</f>
        <v>0</v>
      </c>
      <c r="BJ22" s="50" t="n">
        <f aca="false">SUMIF($CB$4:$JS$4,BJ$4,$CB22:$JS22)</f>
        <v>0</v>
      </c>
      <c r="BK22" s="50" t="n">
        <f aca="false">SUMIF($CB$4:$JS$4,BK$4,$CB22:$JS22)</f>
        <v>0</v>
      </c>
      <c r="BL22" s="50" t="n">
        <f aca="false">SUMIF($CB$4:$JS$4,BL$4,$CB22:$JS22)</f>
        <v>0</v>
      </c>
      <c r="BM22" s="50" t="n">
        <f aca="false">SUMIF($CB$4:$JS$4,BM$4,$CB22:$JS22)</f>
        <v>0</v>
      </c>
      <c r="BN22" s="50" t="n">
        <f aca="false">SUMIF($CB$4:$JS$4,BN$4,$CB22:$JS22)</f>
        <v>0</v>
      </c>
      <c r="BO22" s="50" t="n">
        <f aca="false">SUMIF($CB$4:$JS$4,BO$4,$CB22:$JS22)</f>
        <v>0</v>
      </c>
      <c r="BP22" s="50" t="n">
        <f aca="false">SUMIF($CB$4:$JS$4,BP$4,$CB22:$JS22)</f>
        <v>0</v>
      </c>
      <c r="BQ22" s="50" t="n">
        <f aca="false">SUMIF($CB$4:$JS$4,BQ$4,$CB22:$JS22)</f>
        <v>0</v>
      </c>
      <c r="BR22" s="50" t="n">
        <f aca="false">SUMIF($CB$4:$JS$4,BR$4,$CB22:$JS22)</f>
        <v>0</v>
      </c>
      <c r="BS22" s="50" t="n">
        <f aca="false">SUMIF($CB$4:$JS$4,BS$4,$CB22:$JS22)</f>
        <v>0</v>
      </c>
      <c r="BT22" s="50" t="n">
        <f aca="false">SUMIF($CB$4:$JS$4,BT$4,$CB22:$JS22)</f>
        <v>0</v>
      </c>
      <c r="BU22" s="50" t="n">
        <f aca="false">SUMIF($CB$4:$JS$4,BU$4,$CB22:$JS22)</f>
        <v>0</v>
      </c>
      <c r="BV22" s="50" t="n">
        <f aca="false">SUMIF($CB$4:$JS$4,BV$4,$CB22:$JS22)</f>
        <v>0</v>
      </c>
      <c r="BW22" s="50" t="n">
        <f aca="false">SUMIF($CB$4:$JS$4,BW$4,$CB22:$JS22)</f>
        <v>0</v>
      </c>
      <c r="BX22" s="50" t="n">
        <f aca="false">SUMIF($CB$4:$JS$4,"&gt;"&amp;'VALOR POR PL'!$P$8,$CB22:$JS22)</f>
        <v>0</v>
      </c>
      <c r="BY22" s="50" t="n">
        <f aca="false">SUM($CB22:$JS22)</f>
        <v>0</v>
      </c>
      <c r="BZ22" s="45" t="n">
        <f aca="false">SUMPRODUCT(($CB$4:$JS$4&lt;&gt;"")*($CB$4:$JS$4&lt;=$D$4),$CB22:$JS22,$CB$1:$JS$1)</f>
        <v>0</v>
      </c>
      <c r="CB22" s="133" t="n">
        <f aca="false">IF(OR(CB$4="",$B22=""),0,SUMIF('DADOS BRUTOS'!$A$3:$A$500,$B22,'DADOS BRUTOS'!B$3:B$500)+IF($C22="",0,SUMIF('DADOS BRUTOS'!$A$3:$A$500,$C22,'DADOS BRUTOS'!B$3:B$500)))</f>
        <v>0</v>
      </c>
      <c r="CC22" s="133" t="n">
        <f aca="false">IF(OR(CC$4="",$B22=""),0,SUMIF('DADOS BRUTOS'!$A$3:$A$500,$B22,'DADOS BRUTOS'!C$3:C$500)+IF($C22="",0,SUMIF('DADOS BRUTOS'!$A$3:$A$500,$C22,'DADOS BRUTOS'!C$3:C$500)))</f>
        <v>0</v>
      </c>
      <c r="CD22" s="133" t="n">
        <f aca="false">IF(OR(CD$4="",$B22=""),0,SUMIF('DADOS BRUTOS'!$A$3:$A$500,$B22,'DADOS BRUTOS'!D$3:D$500)+IF($C22="",0,SUMIF('DADOS BRUTOS'!$A$3:$A$500,$C22,'DADOS BRUTOS'!D$3:D$500)))</f>
        <v>0</v>
      </c>
      <c r="CE22" s="133" t="n">
        <f aca="false">IF(OR(CE$4="",$B22=""),0,SUMIF('DADOS BRUTOS'!$A$3:$A$500,$B22,'DADOS BRUTOS'!E$3:E$500)+IF($C22="",0,SUMIF('DADOS BRUTOS'!$A$3:$A$500,$C22,'DADOS BRUTOS'!E$3:E$500)))</f>
        <v>0</v>
      </c>
      <c r="CF22" s="133" t="n">
        <f aca="false">IF(OR(CF$4="",$B22=""),0,SUMIF('DADOS BRUTOS'!$A$3:$A$500,$B22,'DADOS BRUTOS'!F$3:F$500)+IF($C22="",0,SUMIF('DADOS BRUTOS'!$A$3:$A$500,$C22,'DADOS BRUTOS'!F$3:F$500)))</f>
        <v>0</v>
      </c>
      <c r="CG22" s="133" t="n">
        <f aca="false">IF(OR(CG$4="",$B22=""),0,SUMIF('DADOS BRUTOS'!$A$3:$A$500,$B22,'DADOS BRUTOS'!G$3:G$500)+IF($C22="",0,SUMIF('DADOS BRUTOS'!$A$3:$A$500,$C22,'DADOS BRUTOS'!G$3:G$500)))</f>
        <v>0</v>
      </c>
      <c r="CH22" s="133" t="n">
        <f aca="false">IF(OR(CH$4="",$B22=""),0,SUMIF('DADOS BRUTOS'!$A$3:$A$500,$B22,'DADOS BRUTOS'!H$3:H$500)+IF($C22="",0,SUMIF('DADOS BRUTOS'!$A$3:$A$500,$C22,'DADOS BRUTOS'!H$3:H$500)))</f>
        <v>0</v>
      </c>
      <c r="CI22" s="133" t="n">
        <f aca="false">IF(OR(CI$4="",$B22=""),0,SUMIF('DADOS BRUTOS'!$A$3:$A$500,$B22,'DADOS BRUTOS'!I$3:I$500)+IF($C22="",0,SUMIF('DADOS BRUTOS'!$A$3:$A$500,$C22,'DADOS BRUTOS'!I$3:I$500)))</f>
        <v>0</v>
      </c>
      <c r="CJ22" s="133" t="n">
        <f aca="false">IF(OR(CJ$4="",$B22=""),0,SUMIF('DADOS BRUTOS'!$A$3:$A$500,$B22,'DADOS BRUTOS'!J$3:J$500)+IF($C22="",0,SUMIF('DADOS BRUTOS'!$A$3:$A$500,$C22,'DADOS BRUTOS'!J$3:J$500)))</f>
        <v>0</v>
      </c>
      <c r="CK22" s="133" t="n">
        <f aca="false">IF(OR(CK$4="",$B22=""),0,SUMIF('DADOS BRUTOS'!$A$3:$A$500,$B22,'DADOS BRUTOS'!K$3:K$500)+IF($C22="",0,SUMIF('DADOS BRUTOS'!$A$3:$A$500,$C22,'DADOS BRUTOS'!K$3:K$500)))</f>
        <v>0</v>
      </c>
      <c r="CL22" s="133" t="n">
        <f aca="false">IF(OR(CL$4="",$B22=""),0,SUMIF('DADOS BRUTOS'!$A$3:$A$500,$B22,'DADOS BRUTOS'!L$3:L$500)+IF($C22="",0,SUMIF('DADOS BRUTOS'!$A$3:$A$500,$C22,'DADOS BRUTOS'!L$3:L$500)))</f>
        <v>0</v>
      </c>
      <c r="CM22" s="133" t="n">
        <f aca="false">IF(OR(CM$4="",$B22=""),0,SUMIF('DADOS BRUTOS'!$A$3:$A$500,$B22,'DADOS BRUTOS'!M$3:M$500)+IF($C22="",0,SUMIF('DADOS BRUTOS'!$A$3:$A$500,$C22,'DADOS BRUTOS'!M$3:M$500)))</f>
        <v>0</v>
      </c>
      <c r="CN22" s="133" t="n">
        <f aca="false">IF(OR(CN$4="",$B22=""),0,SUMIF('DADOS BRUTOS'!$A$3:$A$500,$B22,'DADOS BRUTOS'!N$3:N$500)+IF($C22="",0,SUMIF('DADOS BRUTOS'!$A$3:$A$500,$C22,'DADOS BRUTOS'!N$3:N$500)))</f>
        <v>0</v>
      </c>
      <c r="CO22" s="133" t="n">
        <f aca="false">IF(OR(CO$4="",$B22=""),0,SUMIF('DADOS BRUTOS'!$A$3:$A$500,$B22,'DADOS BRUTOS'!O$3:O$500)+IF($C22="",0,SUMIF('DADOS BRUTOS'!$A$3:$A$500,$C22,'DADOS BRUTOS'!O$3:O$500)))</f>
        <v>0</v>
      </c>
      <c r="CP22" s="133" t="n">
        <f aca="false">IF(OR(CP$4="",$B22=""),0,SUMIF('DADOS BRUTOS'!$A$3:$A$500,$B22,'DADOS BRUTOS'!P$3:P$500)+IF($C22="",0,SUMIF('DADOS BRUTOS'!$A$3:$A$500,$C22,'DADOS BRUTOS'!P$3:P$500)))</f>
        <v>0</v>
      </c>
      <c r="CQ22" s="133" t="n">
        <f aca="false">IF(OR(CQ$4="",$B22=""),0,SUMIF('DADOS BRUTOS'!$A$3:$A$500,$B22,'DADOS BRUTOS'!Q$3:Q$500)+IF($C22="",0,SUMIF('DADOS BRUTOS'!$A$3:$A$500,$C22,'DADOS BRUTOS'!Q$3:Q$500)))</f>
        <v>0</v>
      </c>
      <c r="CR22" s="133" t="n">
        <f aca="false">IF(OR(CR$4="",$B22=""),0,SUMIF('DADOS BRUTOS'!$A$3:$A$500,$B22,'DADOS BRUTOS'!R$3:R$500)+IF($C22="",0,SUMIF('DADOS BRUTOS'!$A$3:$A$500,$C22,'DADOS BRUTOS'!R$3:R$500)))</f>
        <v>0</v>
      </c>
      <c r="CS22" s="133" t="n">
        <f aca="false">IF(OR(CS$4="",$B22=""),0,SUMIF('DADOS BRUTOS'!$A$3:$A$500,$B22,'DADOS BRUTOS'!S$3:S$500)+IF($C22="",0,SUMIF('DADOS BRUTOS'!$A$3:$A$500,$C22,'DADOS BRUTOS'!S$3:S$500)))</f>
        <v>0</v>
      </c>
      <c r="CT22" s="133" t="n">
        <f aca="false">IF(OR(CT$4="",$B22=""),0,SUMIF('DADOS BRUTOS'!$A$3:$A$500,$B22,'DADOS BRUTOS'!T$3:T$500)+IF($C22="",0,SUMIF('DADOS BRUTOS'!$A$3:$A$500,$C22,'DADOS BRUTOS'!T$3:T$500)))</f>
        <v>0</v>
      </c>
      <c r="CU22" s="133" t="n">
        <f aca="false">IF(OR(CU$4="",$B22=""),0,SUMIF('DADOS BRUTOS'!$A$3:$A$500,$B22,'DADOS BRUTOS'!U$3:U$500)+IF($C22="",0,SUMIF('DADOS BRUTOS'!$A$3:$A$500,$C22,'DADOS BRUTOS'!U$3:U$500)))</f>
        <v>0</v>
      </c>
      <c r="CV22" s="133" t="n">
        <f aca="false">IF(OR(CV$4="",$B22=""),0,SUMIF('DADOS BRUTOS'!$A$3:$A$500,$B22,'DADOS BRUTOS'!V$3:V$500)+IF($C22="",0,SUMIF('DADOS BRUTOS'!$A$3:$A$500,$C22,'DADOS BRUTOS'!V$3:V$500)))</f>
        <v>0</v>
      </c>
      <c r="CW22" s="133" t="n">
        <f aca="false">IF(OR(CW$4="",$B22=""),0,SUMIF('DADOS BRUTOS'!$A$3:$A$500,$B22,'DADOS BRUTOS'!W$3:W$500)+IF($C22="",0,SUMIF('DADOS BRUTOS'!$A$3:$A$500,$C22,'DADOS BRUTOS'!W$3:W$500)))</f>
        <v>0</v>
      </c>
      <c r="CX22" s="133" t="n">
        <f aca="false">IF(OR(CX$4="",$B22=""),0,SUMIF('DADOS BRUTOS'!$A$3:$A$500,$B22,'DADOS BRUTOS'!X$3:X$500)+IF($C22="",0,SUMIF('DADOS BRUTOS'!$A$3:$A$500,$C22,'DADOS BRUTOS'!X$3:X$500)))</f>
        <v>0</v>
      </c>
      <c r="CY22" s="133" t="n">
        <f aca="false">IF(OR(CY$4="",$B22=""),0,SUMIF('DADOS BRUTOS'!$A$3:$A$500,$B22,'DADOS BRUTOS'!Y$3:Y$500)+IF($C22="",0,SUMIF('DADOS BRUTOS'!$A$3:$A$500,$C22,'DADOS BRUTOS'!Y$3:Y$500)))</f>
        <v>0</v>
      </c>
      <c r="CZ22" s="133" t="n">
        <f aca="false">IF(OR(CZ$4="",$B22=""),0,SUMIF('DADOS BRUTOS'!$A$3:$A$500,$B22,'DADOS BRUTOS'!Z$3:Z$500)+IF($C22="",0,SUMIF('DADOS BRUTOS'!$A$3:$A$500,$C22,'DADOS BRUTOS'!Z$3:Z$500)))</f>
        <v>0</v>
      </c>
      <c r="DA22" s="133" t="n">
        <f aca="false">IF(OR(DA$4="",$B22=""),0,SUMIF('DADOS BRUTOS'!$A$3:$A$500,$B22,'DADOS BRUTOS'!AA$3:AA$500)+IF($C22="",0,SUMIF('DADOS BRUTOS'!$A$3:$A$500,$C22,'DADOS BRUTOS'!AA$3:AA$500)))</f>
        <v>0</v>
      </c>
      <c r="DB22" s="133" t="n">
        <f aca="false">IF(OR(DB$4="",$B22=""),0,SUMIF('DADOS BRUTOS'!$A$3:$A$500,$B22,'DADOS BRUTOS'!AB$3:AB$500)+IF($C22="",0,SUMIF('DADOS BRUTOS'!$A$3:$A$500,$C22,'DADOS BRUTOS'!AB$3:AB$500)))</f>
        <v>0</v>
      </c>
      <c r="DC22" s="133" t="n">
        <f aca="false">IF(OR(DC$4="",$B22=""),0,SUMIF('DADOS BRUTOS'!$A$3:$A$500,$B22,'DADOS BRUTOS'!AC$3:AC$500)+IF($C22="",0,SUMIF('DADOS BRUTOS'!$A$3:$A$500,$C22,'DADOS BRUTOS'!AC$3:AC$500)))</f>
        <v>0</v>
      </c>
      <c r="DD22" s="133" t="n">
        <f aca="false">IF(OR(DD$4="",$B22=""),0,SUMIF('DADOS BRUTOS'!$A$3:$A$500,$B22,'DADOS BRUTOS'!AD$3:AD$500)+IF($C22="",0,SUMIF('DADOS BRUTOS'!$A$3:$A$500,$C22,'DADOS BRUTOS'!AD$3:AD$500)))</f>
        <v>0</v>
      </c>
      <c r="DE22" s="133" t="n">
        <f aca="false">IF(OR(DE$4="",$B22=""),0,SUMIF('DADOS BRUTOS'!$A$3:$A$500,$B22,'DADOS BRUTOS'!AE$3:AE$500)+IF($C22="",0,SUMIF('DADOS BRUTOS'!$A$3:$A$500,$C22,'DADOS BRUTOS'!AE$3:AE$500)))</f>
        <v>0</v>
      </c>
      <c r="DF22" s="133" t="n">
        <f aca="false">IF(OR(DF$4="",$B22=""),0,SUMIF('DADOS BRUTOS'!$A$3:$A$500,$B22,'DADOS BRUTOS'!AF$3:AF$500)+IF($C22="",0,SUMIF('DADOS BRUTOS'!$A$3:$A$500,$C22,'DADOS BRUTOS'!AF$3:AF$500)))</f>
        <v>0</v>
      </c>
      <c r="DG22" s="133" t="n">
        <f aca="false">IF(OR(DG$4="",$B22=""),0,SUMIF('DADOS BRUTOS'!$A$3:$A$500,$B22,'DADOS BRUTOS'!AG$3:AG$500)+IF($C22="",0,SUMIF('DADOS BRUTOS'!$A$3:$A$500,$C22,'DADOS BRUTOS'!AG$3:AG$500)))</f>
        <v>0</v>
      </c>
      <c r="DH22" s="133" t="n">
        <f aca="false">IF(OR(DH$4="",$B22=""),0,SUMIF('DADOS BRUTOS'!$A$3:$A$500,$B22,'DADOS BRUTOS'!AH$3:AH$500)+IF($C22="",0,SUMIF('DADOS BRUTOS'!$A$3:$A$500,$C22,'DADOS BRUTOS'!AH$3:AH$500)))</f>
        <v>0</v>
      </c>
      <c r="DI22" s="133" t="n">
        <f aca="false">IF(OR(DI$4="",$B22=""),0,SUMIF('DADOS BRUTOS'!$A$3:$A$500,$B22,'DADOS BRUTOS'!AI$3:AI$500)+IF($C22="",0,SUMIF('DADOS BRUTOS'!$A$3:$A$500,$C22,'DADOS BRUTOS'!AI$3:AI$500)))</f>
        <v>0</v>
      </c>
      <c r="DJ22" s="133" t="n">
        <f aca="false">IF(OR(DJ$4="",$B22=""),0,SUMIF('DADOS BRUTOS'!$A$3:$A$500,$B22,'DADOS BRUTOS'!AJ$3:AJ$500)+IF($C22="",0,SUMIF('DADOS BRUTOS'!$A$3:$A$500,$C22,'DADOS BRUTOS'!AJ$3:AJ$500)))</f>
        <v>0</v>
      </c>
      <c r="DK22" s="133" t="n">
        <f aca="false">IF(OR(DK$4="",$B22=""),0,SUMIF('DADOS BRUTOS'!$A$3:$A$500,$B22,'DADOS BRUTOS'!AK$3:AK$500)+IF($C22="",0,SUMIF('DADOS BRUTOS'!$A$3:$A$500,$C22,'DADOS BRUTOS'!AK$3:AK$500)))</f>
        <v>0</v>
      </c>
      <c r="DL22" s="133" t="n">
        <f aca="false">IF(OR(DL$4="",$B22=""),0,SUMIF('DADOS BRUTOS'!$A$3:$A$500,$B22,'DADOS BRUTOS'!AL$3:AL$500)+IF($C22="",0,SUMIF('DADOS BRUTOS'!$A$3:$A$500,$C22,'DADOS BRUTOS'!AL$3:AL$500)))</f>
        <v>0</v>
      </c>
      <c r="DM22" s="133" t="n">
        <f aca="false">IF(OR(DM$4="",$B22=""),0,SUMIF('DADOS BRUTOS'!$A$3:$A$500,$B22,'DADOS BRUTOS'!AM$3:AM$500)+IF($C22="",0,SUMIF('DADOS BRUTOS'!$A$3:$A$500,$C22,'DADOS BRUTOS'!AM$3:AM$500)))</f>
        <v>0</v>
      </c>
      <c r="DN22" s="133" t="n">
        <f aca="false">IF(OR(DN$4="",$B22=""),0,SUMIF('DADOS BRUTOS'!$A$3:$A$500,$B22,'DADOS BRUTOS'!AN$3:AN$500)+IF($C22="",0,SUMIF('DADOS BRUTOS'!$A$3:$A$500,$C22,'DADOS BRUTOS'!AN$3:AN$500)))</f>
        <v>0</v>
      </c>
      <c r="DO22" s="133" t="n">
        <f aca="false">IF(OR(DO$4="",$B22=""),0,SUMIF('DADOS BRUTOS'!$A$3:$A$500,$B22,'DADOS BRUTOS'!AO$3:AO$500)+IF($C22="",0,SUMIF('DADOS BRUTOS'!$A$3:$A$500,$C22,'DADOS BRUTOS'!AO$3:AO$500)))</f>
        <v>0</v>
      </c>
      <c r="DP22" s="133" t="n">
        <f aca="false">IF(OR(DP$4="",$B22=""),0,SUMIF('DADOS BRUTOS'!$A$3:$A$500,$B22,'DADOS BRUTOS'!AP$3:AP$500)+IF($C22="",0,SUMIF('DADOS BRUTOS'!$A$3:$A$500,$C22,'DADOS BRUTOS'!AP$3:AP$500)))</f>
        <v>0</v>
      </c>
      <c r="DQ22" s="133" t="n">
        <f aca="false">IF(OR(DQ$4="",$B22=""),0,SUMIF('DADOS BRUTOS'!$A$3:$A$500,$B22,'DADOS BRUTOS'!AQ$3:AQ$500)+IF($C22="",0,SUMIF('DADOS BRUTOS'!$A$3:$A$500,$C22,'DADOS BRUTOS'!AQ$3:AQ$500)))</f>
        <v>0</v>
      </c>
      <c r="DR22" s="133" t="n">
        <f aca="false">IF(OR(DR$4="",$B22=""),0,SUMIF('DADOS BRUTOS'!$A$3:$A$500,$B22,'DADOS BRUTOS'!AR$3:AR$500)+IF($C22="",0,SUMIF('DADOS BRUTOS'!$A$3:$A$500,$C22,'DADOS BRUTOS'!AR$3:AR$500)))</f>
        <v>0</v>
      </c>
      <c r="DS22" s="133" t="n">
        <f aca="false">IF(OR(DS$4="",$B22=""),0,SUMIF('DADOS BRUTOS'!$A$3:$A$500,$B22,'DADOS BRUTOS'!AS$3:AS$500)+IF($C22="",0,SUMIF('DADOS BRUTOS'!$A$3:$A$500,$C22,'DADOS BRUTOS'!AS$3:AS$500)))</f>
        <v>0</v>
      </c>
      <c r="DT22" s="133" t="n">
        <f aca="false">IF(OR(DT$4="",$B22=""),0,SUMIF('DADOS BRUTOS'!$A$3:$A$500,$B22,'DADOS BRUTOS'!AT$3:AT$500)+IF($C22="",0,SUMIF('DADOS BRUTOS'!$A$3:$A$500,$C22,'DADOS BRUTOS'!AT$3:AT$500)))</f>
        <v>0</v>
      </c>
      <c r="DU22" s="133" t="n">
        <f aca="false">IF(OR(DU$4="",$B22=""),0,SUMIF('DADOS BRUTOS'!$A$3:$A$500,$B22,'DADOS BRUTOS'!AU$3:AU$500)+IF($C22="",0,SUMIF('DADOS BRUTOS'!$A$3:$A$500,$C22,'DADOS BRUTOS'!AU$3:AU$500)))</f>
        <v>0</v>
      </c>
      <c r="DV22" s="133" t="n">
        <f aca="false">IF(OR(DV$4="",$B22=""),0,SUMIF('DADOS BRUTOS'!$A$3:$A$500,$B22,'DADOS BRUTOS'!AV$3:AV$500)+IF($C22="",0,SUMIF('DADOS BRUTOS'!$A$3:$A$500,$C22,'DADOS BRUTOS'!AV$3:AV$500)))</f>
        <v>0</v>
      </c>
      <c r="DW22" s="133" t="n">
        <f aca="false">IF(OR(DW$4="",$B22=""),0,SUMIF('DADOS BRUTOS'!$A$3:$A$500,$B22,'DADOS BRUTOS'!AW$3:AW$500)+IF($C22="",0,SUMIF('DADOS BRUTOS'!$A$3:$A$500,$C22,'DADOS BRUTOS'!AW$3:AW$500)))</f>
        <v>0</v>
      </c>
      <c r="DX22" s="133" t="n">
        <f aca="false">IF(OR(DX$4="",$B22=""),0,SUMIF('DADOS BRUTOS'!$A$3:$A$500,$B22,'DADOS BRUTOS'!AX$3:AX$500)+IF($C22="",0,SUMIF('DADOS BRUTOS'!$A$3:$A$500,$C22,'DADOS BRUTOS'!AX$3:AX$500)))</f>
        <v>0</v>
      </c>
      <c r="DY22" s="133" t="n">
        <f aca="false">IF(OR(DY$4="",$B22=""),0,SUMIF('DADOS BRUTOS'!$A$3:$A$500,$B22,'DADOS BRUTOS'!AY$3:AY$500)+IF($C22="",0,SUMIF('DADOS BRUTOS'!$A$3:$A$500,$C22,'DADOS BRUTOS'!AY$3:AY$500)))</f>
        <v>0</v>
      </c>
      <c r="DZ22" s="133" t="n">
        <f aca="false">IF(OR(DZ$4="",$B22=""),0,SUMIF('DADOS BRUTOS'!$A$3:$A$500,$B22,'DADOS BRUTOS'!AZ$3:AZ$500)+IF($C22="",0,SUMIF('DADOS BRUTOS'!$A$3:$A$500,$C22,'DADOS BRUTOS'!AZ$3:AZ$500)))</f>
        <v>0</v>
      </c>
      <c r="EA22" s="133" t="n">
        <f aca="false">IF(OR(EA$4="",$B22=""),0,SUMIF('DADOS BRUTOS'!$A$3:$A$500,$B22,'DADOS BRUTOS'!BA$3:BA$500)+IF($C22="",0,SUMIF('DADOS BRUTOS'!$A$3:$A$500,$C22,'DADOS BRUTOS'!BA$3:BA$500)))</f>
        <v>0</v>
      </c>
      <c r="EB22" s="133" t="n">
        <f aca="false">IF(OR(EB$4="",$B22=""),0,SUMIF('DADOS BRUTOS'!$A$3:$A$500,$B22,'DADOS BRUTOS'!BB$3:BB$500)+IF($C22="",0,SUMIF('DADOS BRUTOS'!$A$3:$A$500,$C22,'DADOS BRUTOS'!BB$3:BB$500)))</f>
        <v>0</v>
      </c>
      <c r="EC22" s="133" t="n">
        <f aca="false">IF(OR(EC$4="",$B22=""),0,SUMIF('DADOS BRUTOS'!$A$3:$A$500,$B22,'DADOS BRUTOS'!BC$3:BC$500)+IF($C22="",0,SUMIF('DADOS BRUTOS'!$A$3:$A$500,$C22,'DADOS BRUTOS'!BC$3:BC$500)))</f>
        <v>0</v>
      </c>
      <c r="ED22" s="133" t="n">
        <f aca="false">IF(OR(ED$4="",$B22=""),0,SUMIF('DADOS BRUTOS'!$A$3:$A$500,$B22,'DADOS BRUTOS'!BD$3:BD$500)+IF($C22="",0,SUMIF('DADOS BRUTOS'!$A$3:$A$500,$C22,'DADOS BRUTOS'!BD$3:BD$500)))</f>
        <v>0</v>
      </c>
      <c r="EE22" s="133" t="n">
        <f aca="false">IF(OR(EE$4="",$B22=""),0,SUMIF('DADOS BRUTOS'!$A$3:$A$500,$B22,'DADOS BRUTOS'!BE$3:BE$500)+IF($C22="",0,SUMIF('DADOS BRUTOS'!$A$3:$A$500,$C22,'DADOS BRUTOS'!BE$3:BE$500)))</f>
        <v>0</v>
      </c>
      <c r="EF22" s="133" t="n">
        <f aca="false">IF(OR(EF$4="",$B22=""),0,SUMIF('DADOS BRUTOS'!$A$3:$A$500,$B22,'DADOS BRUTOS'!BF$3:BF$500)+IF($C22="",0,SUMIF('DADOS BRUTOS'!$A$3:$A$500,$C22,'DADOS BRUTOS'!BF$3:BF$500)))</f>
        <v>0</v>
      </c>
      <c r="EG22" s="133" t="n">
        <f aca="false">IF(OR(EG$4="",$B22=""),0,SUMIF('DADOS BRUTOS'!$A$3:$A$500,$B22,'DADOS BRUTOS'!BG$3:BG$500)+IF($C22="",0,SUMIF('DADOS BRUTOS'!$A$3:$A$500,$C22,'DADOS BRUTOS'!BG$3:BG$500)))</f>
        <v>0</v>
      </c>
      <c r="EH22" s="133" t="n">
        <f aca="false">IF(OR(EH$4="",$B22=""),0,SUMIF('DADOS BRUTOS'!$A$3:$A$500,$B22,'DADOS BRUTOS'!BH$3:BH$500)+IF($C22="",0,SUMIF('DADOS BRUTOS'!$A$3:$A$500,$C22,'DADOS BRUTOS'!BH$3:BH$500)))</f>
        <v>0</v>
      </c>
      <c r="EI22" s="133" t="n">
        <f aca="false">IF(OR(EI$4="",$B22=""),0,SUMIF('DADOS BRUTOS'!$A$3:$A$500,$B22,'DADOS BRUTOS'!BI$3:BI$500)+IF($C22="",0,SUMIF('DADOS BRUTOS'!$A$3:$A$500,$C22,'DADOS BRUTOS'!BI$3:BI$500)))</f>
        <v>0</v>
      </c>
      <c r="EJ22" s="133" t="n">
        <f aca="false">IF(OR(EJ$4="",$B22=""),0,SUMIF('DADOS BRUTOS'!$A$3:$A$500,$B22,'DADOS BRUTOS'!BJ$3:BJ$500)+IF($C22="",0,SUMIF('DADOS BRUTOS'!$A$3:$A$500,$C22,'DADOS BRUTOS'!BJ$3:BJ$500)))</f>
        <v>0</v>
      </c>
      <c r="EK22" s="133" t="n">
        <f aca="false">IF(OR(EK$4="",$B22=""),0,SUMIF('DADOS BRUTOS'!$A$3:$A$500,$B22,'DADOS BRUTOS'!BK$3:BK$500)+IF($C22="",0,SUMIF('DADOS BRUTOS'!$A$3:$A$500,$C22,'DADOS BRUTOS'!BK$3:BK$500)))</f>
        <v>0</v>
      </c>
      <c r="EL22" s="133" t="n">
        <f aca="false">IF(OR(EL$4="",$B22=""),0,SUMIF('DADOS BRUTOS'!$A$3:$A$500,$B22,'DADOS BRUTOS'!BL$3:BL$500)+IF($C22="",0,SUMIF('DADOS BRUTOS'!$A$3:$A$500,$C22,'DADOS BRUTOS'!BL$3:BL$500)))</f>
        <v>0</v>
      </c>
      <c r="EM22" s="133" t="n">
        <f aca="false">IF(OR(EM$4="",$B22=""),0,SUMIF('DADOS BRUTOS'!$A$3:$A$500,$B22,'DADOS BRUTOS'!BM$3:BM$500)+IF($C22="",0,SUMIF('DADOS BRUTOS'!$A$3:$A$500,$C22,'DADOS BRUTOS'!BM$3:BM$500)))</f>
        <v>0</v>
      </c>
      <c r="EN22" s="133" t="n">
        <f aca="false">IF(OR(EN$4="",$B22=""),0,SUMIF('DADOS BRUTOS'!$A$3:$A$500,$B22,'DADOS BRUTOS'!BN$3:BN$500)+IF($C22="",0,SUMIF('DADOS BRUTOS'!$A$3:$A$500,$C22,'DADOS BRUTOS'!BN$3:BN$500)))</f>
        <v>0</v>
      </c>
      <c r="EO22" s="133" t="n">
        <f aca="false">IF(OR(EO$4="",$B22=""),0,SUMIF('DADOS BRUTOS'!$A$3:$A$500,$B22,'DADOS BRUTOS'!BO$3:BO$500)+IF($C22="",0,SUMIF('DADOS BRUTOS'!$A$3:$A$500,$C22,'DADOS BRUTOS'!BO$3:BO$500)))</f>
        <v>0</v>
      </c>
      <c r="EP22" s="133" t="n">
        <f aca="false">IF(OR(EP$4="",$B22=""),0,SUMIF('DADOS BRUTOS'!$A$3:$A$500,$B22,'DADOS BRUTOS'!BP$3:BP$500)+IF($C22="",0,SUMIF('DADOS BRUTOS'!$A$3:$A$500,$C22,'DADOS BRUTOS'!BP$3:BP$500)))</f>
        <v>0</v>
      </c>
      <c r="EQ22" s="133" t="n">
        <f aca="false">IF(OR(EQ$4="",$B22=""),0,SUMIF('DADOS BRUTOS'!$A$3:$A$500,$B22,'DADOS BRUTOS'!BQ$3:BQ$500)+IF($C22="",0,SUMIF('DADOS BRUTOS'!$A$3:$A$500,$C22,'DADOS BRUTOS'!BQ$3:BQ$500)))</f>
        <v>0</v>
      </c>
      <c r="ER22" s="133" t="n">
        <f aca="false">IF(OR(ER$4="",$B22=""),0,SUMIF('DADOS BRUTOS'!$A$3:$A$500,$B22,'DADOS BRUTOS'!BR$3:BR$500)+IF($C22="",0,SUMIF('DADOS BRUTOS'!$A$3:$A$500,$C22,'DADOS BRUTOS'!BR$3:BR$500)))</f>
        <v>0</v>
      </c>
      <c r="ES22" s="133" t="n">
        <f aca="false">IF(OR(ES$4="",$B22=""),0,SUMIF('DADOS BRUTOS'!$A$3:$A$500,$B22,'DADOS BRUTOS'!BS$3:BS$500)+IF($C22="",0,SUMIF('DADOS BRUTOS'!$A$3:$A$500,$C22,'DADOS BRUTOS'!BS$3:BS$500)))</f>
        <v>0</v>
      </c>
      <c r="ET22" s="133" t="n">
        <f aca="false">IF(OR(ET$4="",$B22=""),0,SUMIF('DADOS BRUTOS'!$A$3:$A$500,$B22,'DADOS BRUTOS'!BT$3:BT$500)+IF($C22="",0,SUMIF('DADOS BRUTOS'!$A$3:$A$500,$C22,'DADOS BRUTOS'!BT$3:BT$500)))</f>
        <v>0</v>
      </c>
      <c r="EU22" s="133" t="n">
        <f aca="false">IF(OR(EU$4="",$B22=""),0,SUMIF('DADOS BRUTOS'!$A$3:$A$500,$B22,'DADOS BRUTOS'!BU$3:BU$500)+IF($C22="",0,SUMIF('DADOS BRUTOS'!$A$3:$A$500,$C22,'DADOS BRUTOS'!BU$3:BU$500)))</f>
        <v>0</v>
      </c>
      <c r="EV22" s="133" t="n">
        <f aca="false">IF(OR(EV$4="",$B22=""),0,SUMIF('DADOS BRUTOS'!$A$3:$A$500,$B22,'DADOS BRUTOS'!BV$3:BV$500)+IF($C22="",0,SUMIF('DADOS BRUTOS'!$A$3:$A$500,$C22,'DADOS BRUTOS'!BV$3:BV$500)))</f>
        <v>0</v>
      </c>
      <c r="EW22" s="133" t="n">
        <f aca="false">IF(OR(EW$4="",$B22=""),0,SUMIF('DADOS BRUTOS'!$A$3:$A$500,$B22,'DADOS BRUTOS'!BW$3:BW$500)+IF($C22="",0,SUMIF('DADOS BRUTOS'!$A$3:$A$500,$C22,'DADOS BRUTOS'!BW$3:BW$500)))</f>
        <v>0</v>
      </c>
      <c r="EX22" s="133" t="n">
        <f aca="false">IF(OR(EX$4="",$B22=""),0,SUMIF('DADOS BRUTOS'!$A$3:$A$500,$B22,'DADOS BRUTOS'!BX$3:BX$500)+IF($C22="",0,SUMIF('DADOS BRUTOS'!$A$3:$A$500,$C22,'DADOS BRUTOS'!BX$3:BX$500)))</f>
        <v>0</v>
      </c>
      <c r="EY22" s="133" t="n">
        <f aca="false">IF(OR(EY$4="",$B22=""),0,SUMIF('DADOS BRUTOS'!$A$3:$A$500,$B22,'DADOS BRUTOS'!BY$3:BY$500)+IF($C22="",0,SUMIF('DADOS BRUTOS'!$A$3:$A$500,$C22,'DADOS BRUTOS'!BY$3:BY$500)))</f>
        <v>0</v>
      </c>
      <c r="EZ22" s="133" t="n">
        <f aca="false">IF(OR(EZ$4="",$B22=""),0,SUMIF('DADOS BRUTOS'!$A$3:$A$500,$B22,'DADOS BRUTOS'!BZ$3:BZ$500)+IF($C22="",0,SUMIF('DADOS BRUTOS'!$A$3:$A$500,$C22,'DADOS BRUTOS'!BZ$3:BZ$500)))</f>
        <v>0</v>
      </c>
      <c r="FA22" s="133" t="n">
        <f aca="false">IF(OR(FA$4="",$B22=""),0,SUMIF('DADOS BRUTOS'!$A$3:$A$500,$B22,'DADOS BRUTOS'!CA$3:CA$500)+IF($C22="",0,SUMIF('DADOS BRUTOS'!$A$3:$A$500,$C22,'DADOS BRUTOS'!CA$3:CA$500)))</f>
        <v>0</v>
      </c>
      <c r="FB22" s="133" t="n">
        <f aca="false">IF(OR(FB$4="",$B22=""),0,SUMIF('DADOS BRUTOS'!$A$3:$A$500,$B22,'DADOS BRUTOS'!CB$3:CB$500)+IF($C22="",0,SUMIF('DADOS BRUTOS'!$A$3:$A$500,$C22,'DADOS BRUTOS'!CB$3:CB$500)))</f>
        <v>0</v>
      </c>
      <c r="FC22" s="133" t="n">
        <f aca="false">IF(OR(FC$4="",$B22=""),0,SUMIF('DADOS BRUTOS'!$A$3:$A$500,$B22,'DADOS BRUTOS'!CC$3:CC$500)+IF($C22="",0,SUMIF('DADOS BRUTOS'!$A$3:$A$500,$C22,'DADOS BRUTOS'!CC$3:CC$500)))</f>
        <v>0</v>
      </c>
      <c r="FD22" s="133" t="n">
        <f aca="false">IF(OR(FD$4="",$B22=""),0,SUMIF('DADOS BRUTOS'!$A$3:$A$500,$B22,'DADOS BRUTOS'!CD$3:CD$500)+IF($C22="",0,SUMIF('DADOS BRUTOS'!$A$3:$A$500,$C22,'DADOS BRUTOS'!CD$3:CD$500)))</f>
        <v>0</v>
      </c>
      <c r="FE22" s="133" t="n">
        <f aca="false">IF(OR(FE$4="",$B22=""),0,SUMIF('DADOS BRUTOS'!$A$3:$A$500,$B22,'DADOS BRUTOS'!CE$3:CE$500)+IF($C22="",0,SUMIF('DADOS BRUTOS'!$A$3:$A$500,$C22,'DADOS BRUTOS'!CE$3:CE$500)))</f>
        <v>0</v>
      </c>
      <c r="FF22" s="133" t="n">
        <f aca="false">IF(OR(FF$4="",$B22=""),0,SUMIF('DADOS BRUTOS'!$A$3:$A$500,$B22,'DADOS BRUTOS'!CF$3:CF$500)+IF($C22="",0,SUMIF('DADOS BRUTOS'!$A$3:$A$500,$C22,'DADOS BRUTOS'!CF$3:CF$500)))</f>
        <v>0</v>
      </c>
      <c r="FG22" s="133" t="n">
        <f aca="false">IF(OR(FG$4="",$B22=""),0,SUMIF('DADOS BRUTOS'!$A$3:$A$500,$B22,'DADOS BRUTOS'!CG$3:CG$500)+IF($C22="",0,SUMIF('DADOS BRUTOS'!$A$3:$A$500,$C22,'DADOS BRUTOS'!CG$3:CG$500)))</f>
        <v>0</v>
      </c>
      <c r="FH22" s="133" t="n">
        <f aca="false">IF(OR(FH$4="",$B22=""),0,SUMIF('DADOS BRUTOS'!$A$3:$A$500,$B22,'DADOS BRUTOS'!CH$3:CH$500)+IF($C22="",0,SUMIF('DADOS BRUTOS'!$A$3:$A$500,$C22,'DADOS BRUTOS'!CH$3:CH$500)))</f>
        <v>0</v>
      </c>
      <c r="FI22" s="133" t="n">
        <f aca="false">IF(OR(FI$4="",$B22=""),0,SUMIF('DADOS BRUTOS'!$A$3:$A$500,$B22,'DADOS BRUTOS'!CI$3:CI$500)+IF($C22="",0,SUMIF('DADOS BRUTOS'!$A$3:$A$500,$C22,'DADOS BRUTOS'!CI$3:CI$500)))</f>
        <v>0</v>
      </c>
      <c r="FJ22" s="133" t="n">
        <f aca="false">IF(OR(FJ$4="",$B22=""),0,SUMIF('DADOS BRUTOS'!$A$3:$A$500,$B22,'DADOS BRUTOS'!CJ$3:CJ$500)+IF($C22="",0,SUMIF('DADOS BRUTOS'!$A$3:$A$500,$C22,'DADOS BRUTOS'!CJ$3:CJ$500)))</f>
        <v>0</v>
      </c>
      <c r="FK22" s="133" t="n">
        <f aca="false">IF(OR(FK$4="",$B22=""),0,SUMIF('DADOS BRUTOS'!$A$3:$A$500,$B22,'DADOS BRUTOS'!CK$3:CK$500)+IF($C22="",0,SUMIF('DADOS BRUTOS'!$A$3:$A$500,$C22,'DADOS BRUTOS'!CK$3:CK$500)))</f>
        <v>0</v>
      </c>
      <c r="FL22" s="133" t="n">
        <f aca="false">IF(OR(FL$4="",$B22=""),0,SUMIF('DADOS BRUTOS'!$A$3:$A$500,$B22,'DADOS BRUTOS'!CL$3:CL$500)+IF($C22="",0,SUMIF('DADOS BRUTOS'!$A$3:$A$500,$C22,'DADOS BRUTOS'!CL$3:CL$500)))</f>
        <v>0</v>
      </c>
      <c r="FM22" s="133" t="n">
        <f aca="false">IF(OR(FM$4="",$B22=""),0,SUMIF('DADOS BRUTOS'!$A$3:$A$500,$B22,'DADOS BRUTOS'!CM$3:CM$500)+IF($C22="",0,SUMIF('DADOS BRUTOS'!$A$3:$A$500,$C22,'DADOS BRUTOS'!CM$3:CM$500)))</f>
        <v>0</v>
      </c>
      <c r="FN22" s="133" t="n">
        <f aca="false">IF(OR(FN$4="",$B22=""),0,SUMIF('DADOS BRUTOS'!$A$3:$A$500,$B22,'DADOS BRUTOS'!CN$3:CN$500)+IF($C22="",0,SUMIF('DADOS BRUTOS'!$A$3:$A$500,$C22,'DADOS BRUTOS'!CN$3:CN$500)))</f>
        <v>0</v>
      </c>
      <c r="FO22" s="133" t="n">
        <f aca="false">IF(OR(FO$4="",$B22=""),0,SUMIF('DADOS BRUTOS'!$A$3:$A$500,$B22,'DADOS BRUTOS'!CO$3:CO$500)+IF($C22="",0,SUMIF('DADOS BRUTOS'!$A$3:$A$500,$C22,'DADOS BRUTOS'!CO$3:CO$500)))</f>
        <v>0</v>
      </c>
      <c r="FP22" s="133" t="n">
        <f aca="false">IF(OR(FP$4="",$B22=""),0,SUMIF('DADOS BRUTOS'!$A$3:$A$500,$B22,'DADOS BRUTOS'!CP$3:CP$500)+IF($C22="",0,SUMIF('DADOS BRUTOS'!$A$3:$A$500,$C22,'DADOS BRUTOS'!CP$3:CP$500)))</f>
        <v>0</v>
      </c>
      <c r="FQ22" s="133" t="n">
        <f aca="false">IF(OR(FQ$4="",$B22=""),0,SUMIF('DADOS BRUTOS'!$A$3:$A$500,$B22,'DADOS BRUTOS'!CQ$3:CQ$500)+IF($C22="",0,SUMIF('DADOS BRUTOS'!$A$3:$A$500,$C22,'DADOS BRUTOS'!CQ$3:CQ$500)))</f>
        <v>0</v>
      </c>
      <c r="FR22" s="133" t="n">
        <f aca="false">IF(OR(FR$4="",$B22=""),0,SUMIF('DADOS BRUTOS'!$A$3:$A$500,$B22,'DADOS BRUTOS'!CR$3:CR$500)+IF($C22="",0,SUMIF('DADOS BRUTOS'!$A$3:$A$500,$C22,'DADOS BRUTOS'!CR$3:CR$500)))</f>
        <v>0</v>
      </c>
      <c r="FS22" s="133" t="n">
        <f aca="false">IF(OR(FS$4="",$B22=""),0,SUMIF('DADOS BRUTOS'!$A$3:$A$500,$B22,'DADOS BRUTOS'!CS$3:CS$500)+IF($C22="",0,SUMIF('DADOS BRUTOS'!$A$3:$A$500,$C22,'DADOS BRUTOS'!CS$3:CS$500)))</f>
        <v>0</v>
      </c>
      <c r="FT22" s="133" t="n">
        <f aca="false">IF(OR(FT$4="",$B22=""),0,SUMIF('DADOS BRUTOS'!$A$3:$A$500,$B22,'DADOS BRUTOS'!CT$3:CT$500)+IF($C22="",0,SUMIF('DADOS BRUTOS'!$A$3:$A$500,$C22,'DADOS BRUTOS'!CT$3:CT$500)))</f>
        <v>0</v>
      </c>
      <c r="FU22" s="133" t="n">
        <f aca="false">IF(OR(FU$4="",$B22=""),0,SUMIF('DADOS BRUTOS'!$A$3:$A$500,$B22,'DADOS BRUTOS'!CU$3:CU$500)+IF($C22="",0,SUMIF('DADOS BRUTOS'!$A$3:$A$500,$C22,'DADOS BRUTOS'!CU$3:CU$500)))</f>
        <v>0</v>
      </c>
      <c r="FV22" s="133" t="n">
        <f aca="false">IF(OR(FV$4="",$B22=""),0,SUMIF('DADOS BRUTOS'!$A$3:$A$500,$B22,'DADOS BRUTOS'!CV$3:CV$500)+IF($C22="",0,SUMIF('DADOS BRUTOS'!$A$3:$A$500,$C22,'DADOS BRUTOS'!CV$3:CV$500)))</f>
        <v>0</v>
      </c>
      <c r="FW22" s="133" t="n">
        <f aca="false">IF(OR(FW$4="",$B22=""),0,SUMIF('DADOS BRUTOS'!$A$3:$A$500,$B22,'DADOS BRUTOS'!CW$3:CW$500)+IF($C22="",0,SUMIF('DADOS BRUTOS'!$A$3:$A$500,$C22,'DADOS BRUTOS'!CW$3:CW$500)))</f>
        <v>0</v>
      </c>
      <c r="FX22" s="133" t="n">
        <f aca="false">IF(OR(FX$4="",$B22=""),0,SUMIF('DADOS BRUTOS'!$A$3:$A$500,$B22,'DADOS BRUTOS'!CX$3:CX$500)+IF($C22="",0,SUMIF('DADOS BRUTOS'!$A$3:$A$500,$C22,'DADOS BRUTOS'!CX$3:CX$500)))</f>
        <v>0</v>
      </c>
      <c r="FY22" s="133" t="n">
        <f aca="false">IF(OR(FY$4="",$B22=""),0,SUMIF('DADOS BRUTOS'!$A$3:$A$500,$B22,'DADOS BRUTOS'!CY$3:CY$500)+IF($C22="",0,SUMIF('DADOS BRUTOS'!$A$3:$A$500,$C22,'DADOS BRUTOS'!CY$3:CY$500)))</f>
        <v>0</v>
      </c>
      <c r="FZ22" s="133" t="n">
        <f aca="false">IF(OR(FZ$4="",$B22=""),0,SUMIF('DADOS BRUTOS'!$A$3:$A$500,$B22,'DADOS BRUTOS'!CZ$3:CZ$500)+IF($C22="",0,SUMIF('DADOS BRUTOS'!$A$3:$A$500,$C22,'DADOS BRUTOS'!CZ$3:CZ$500)))</f>
        <v>0</v>
      </c>
      <c r="GA22" s="133" t="n">
        <f aca="false">IF(OR(GA$4="",$B22=""),0,SUMIF('DADOS BRUTOS'!$A$3:$A$500,$B22,'DADOS BRUTOS'!DA$3:DA$500)+IF($C22="",0,SUMIF('DADOS BRUTOS'!$A$3:$A$500,$C22,'DADOS BRUTOS'!DA$3:DA$500)))</f>
        <v>0</v>
      </c>
      <c r="GB22" s="133" t="n">
        <f aca="false">IF(OR(GB$4="",$B22=""),0,SUMIF('DADOS BRUTOS'!$A$3:$A$500,$B22,'DADOS BRUTOS'!DB$3:DB$500)+IF($C22="",0,SUMIF('DADOS BRUTOS'!$A$3:$A$500,$C22,'DADOS BRUTOS'!DB$3:DB$500)))</f>
        <v>0</v>
      </c>
      <c r="GC22" s="133" t="n">
        <f aca="false">IF(OR(GC$4="",$B22=""),0,SUMIF('DADOS BRUTOS'!$A$3:$A$500,$B22,'DADOS BRUTOS'!DC$3:DC$500)+IF($C22="",0,SUMIF('DADOS BRUTOS'!$A$3:$A$500,$C22,'DADOS BRUTOS'!DC$3:DC$500)))</f>
        <v>0</v>
      </c>
      <c r="GD22" s="133" t="n">
        <f aca="false">IF(OR(GD$4="",$B22=""),0,SUMIF('DADOS BRUTOS'!$A$3:$A$500,$B22,'DADOS BRUTOS'!DD$3:DD$500)+IF($C22="",0,SUMIF('DADOS BRUTOS'!$A$3:$A$500,$C22,'DADOS BRUTOS'!DD$3:DD$500)))</f>
        <v>0</v>
      </c>
      <c r="GE22" s="133" t="n">
        <f aca="false">IF(OR(GE$4="",$B22=""),0,SUMIF('DADOS BRUTOS'!$A$3:$A$500,$B22,'DADOS BRUTOS'!DE$3:DE$500)+IF($C22="",0,SUMIF('DADOS BRUTOS'!$A$3:$A$500,$C22,'DADOS BRUTOS'!DE$3:DE$500)))</f>
        <v>0</v>
      </c>
      <c r="GF22" s="133" t="n">
        <f aca="false">IF(OR(GF$4="",$B22=""),0,SUMIF('DADOS BRUTOS'!$A$3:$A$500,$B22,'DADOS BRUTOS'!DF$3:DF$500)+IF($C22="",0,SUMIF('DADOS BRUTOS'!$A$3:$A$500,$C22,'DADOS BRUTOS'!DF$3:DF$500)))</f>
        <v>0</v>
      </c>
      <c r="GG22" s="133" t="n">
        <f aca="false">IF(OR(GG$4="",$B22=""),0,SUMIF('DADOS BRUTOS'!$A$3:$A$500,$B22,'DADOS BRUTOS'!DG$3:DG$500)+IF($C22="",0,SUMIF('DADOS BRUTOS'!$A$3:$A$500,$C22,'DADOS BRUTOS'!DG$3:DG$500)))</f>
        <v>0</v>
      </c>
      <c r="GH22" s="133" t="n">
        <f aca="false">IF(OR(GH$4="",$B22=""),0,SUMIF('DADOS BRUTOS'!$A$3:$A$500,$B22,'DADOS BRUTOS'!DH$3:DH$500)+IF($C22="",0,SUMIF('DADOS BRUTOS'!$A$3:$A$500,$C22,'DADOS BRUTOS'!DH$3:DH$500)))</f>
        <v>0</v>
      </c>
      <c r="GI22" s="133" t="n">
        <f aca="false">IF(OR(GI$4="",$B22=""),0,SUMIF('DADOS BRUTOS'!$A$3:$A$500,$B22,'DADOS BRUTOS'!DI$3:DI$500)+IF($C22="",0,SUMIF('DADOS BRUTOS'!$A$3:$A$500,$C22,'DADOS BRUTOS'!DI$3:DI$500)))</f>
        <v>0</v>
      </c>
      <c r="GJ22" s="133" t="n">
        <f aca="false">IF(OR(GJ$4="",$B22=""),0,SUMIF('DADOS BRUTOS'!$A$3:$A$500,$B22,'DADOS BRUTOS'!DJ$3:DJ$500)+IF($C22="",0,SUMIF('DADOS BRUTOS'!$A$3:$A$500,$C22,'DADOS BRUTOS'!DJ$3:DJ$500)))</f>
        <v>0</v>
      </c>
      <c r="GK22" s="133" t="n">
        <f aca="false">IF(OR(GK$4="",$B22=""),0,SUMIF('DADOS BRUTOS'!$A$3:$A$500,$B22,'DADOS BRUTOS'!DK$3:DK$500)+IF($C22="",0,SUMIF('DADOS BRUTOS'!$A$3:$A$500,$C22,'DADOS BRUTOS'!DK$3:DK$500)))</f>
        <v>0</v>
      </c>
      <c r="GL22" s="133" t="n">
        <f aca="false">IF(OR(GL$4="",$B22=""),0,SUMIF('DADOS BRUTOS'!$A$3:$A$500,$B22,'DADOS BRUTOS'!DL$3:DL$500)+IF($C22="",0,SUMIF('DADOS BRUTOS'!$A$3:$A$500,$C22,'DADOS BRUTOS'!DL$3:DL$500)))</f>
        <v>0</v>
      </c>
      <c r="GM22" s="133" t="n">
        <f aca="false">IF(OR(GM$4="",$B22=""),0,SUMIF('DADOS BRUTOS'!$A$3:$A$500,$B22,'DADOS BRUTOS'!DM$3:DM$500)+IF($C22="",0,SUMIF('DADOS BRUTOS'!$A$3:$A$500,$C22,'DADOS BRUTOS'!DM$3:DM$500)))</f>
        <v>0</v>
      </c>
      <c r="GN22" s="133" t="n">
        <f aca="false">IF(OR(GN$4="",$B22=""),0,SUMIF('DADOS BRUTOS'!$A$3:$A$500,$B22,'DADOS BRUTOS'!DN$3:DN$500)+IF($C22="",0,SUMIF('DADOS BRUTOS'!$A$3:$A$500,$C22,'DADOS BRUTOS'!DN$3:DN$500)))</f>
        <v>0</v>
      </c>
      <c r="GO22" s="133" t="n">
        <f aca="false">IF(OR(GO$4="",$B22=""),0,SUMIF('DADOS BRUTOS'!$A$3:$A$500,$B22,'DADOS BRUTOS'!DO$3:DO$500)+IF($C22="",0,SUMIF('DADOS BRUTOS'!$A$3:$A$500,$C22,'DADOS BRUTOS'!DO$3:DO$500)))</f>
        <v>0</v>
      </c>
      <c r="GP22" s="133" t="n">
        <f aca="false">IF(OR(GP$4="",$B22=""),0,SUMIF('DADOS BRUTOS'!$A$3:$A$500,$B22,'DADOS BRUTOS'!DP$3:DP$500)+IF($C22="",0,SUMIF('DADOS BRUTOS'!$A$3:$A$500,$C22,'DADOS BRUTOS'!DP$3:DP$500)))</f>
        <v>0</v>
      </c>
      <c r="GQ22" s="133" t="n">
        <f aca="false">IF(OR(GQ$4="",$B22=""),0,SUMIF('DADOS BRUTOS'!$A$3:$A$500,$B22,'DADOS BRUTOS'!DQ$3:DQ$500)+IF($C22="",0,SUMIF('DADOS BRUTOS'!$A$3:$A$500,$C22,'DADOS BRUTOS'!DQ$3:DQ$500)))</f>
        <v>0</v>
      </c>
      <c r="GR22" s="133" t="n">
        <f aca="false">IF(OR(GR$4="",$B22=""),0,SUMIF('DADOS BRUTOS'!$A$3:$A$500,$B22,'DADOS BRUTOS'!DR$3:DR$500)+IF($C22="",0,SUMIF('DADOS BRUTOS'!$A$3:$A$500,$C22,'DADOS BRUTOS'!DR$3:DR$500)))</f>
        <v>0</v>
      </c>
      <c r="GS22" s="133" t="n">
        <f aca="false">IF(OR(GS$4="",$B22=""),0,SUMIF('DADOS BRUTOS'!$A$3:$A$500,$B22,'DADOS BRUTOS'!DS$3:DS$500)+IF($C22="",0,SUMIF('DADOS BRUTOS'!$A$3:$A$500,$C22,'DADOS BRUTOS'!DS$3:DS$500)))</f>
        <v>0</v>
      </c>
      <c r="GT22" s="133" t="n">
        <f aca="false">IF(OR(GT$4="",$B22=""),0,SUMIF('DADOS BRUTOS'!$A$3:$A$500,$B22,'DADOS BRUTOS'!DT$3:DT$500)+IF($C22="",0,SUMIF('DADOS BRUTOS'!$A$3:$A$500,$C22,'DADOS BRUTOS'!DT$3:DT$500)))</f>
        <v>0</v>
      </c>
      <c r="GU22" s="133" t="n">
        <f aca="false">IF(OR(GU$4="",$B22=""),0,SUMIF('DADOS BRUTOS'!$A$3:$A$500,$B22,'DADOS BRUTOS'!DU$3:DU$500)+IF($C22="",0,SUMIF('DADOS BRUTOS'!$A$3:$A$500,$C22,'DADOS BRUTOS'!DU$3:DU$500)))</f>
        <v>0</v>
      </c>
      <c r="GV22" s="133" t="n">
        <f aca="false">IF(OR(GV$4="",$B22=""),0,SUMIF('DADOS BRUTOS'!$A$3:$A$500,$B22,'DADOS BRUTOS'!DV$3:DV$500)+IF($C22="",0,SUMIF('DADOS BRUTOS'!$A$3:$A$500,$C22,'DADOS BRUTOS'!DV$3:DV$500)))</f>
        <v>0</v>
      </c>
      <c r="GW22" s="133" t="n">
        <f aca="false">IF(OR(GW$4="",$B22=""),0,SUMIF('DADOS BRUTOS'!$A$3:$A$500,$B22,'DADOS BRUTOS'!DW$3:DW$500)+IF($C22="",0,SUMIF('DADOS BRUTOS'!$A$3:$A$500,$C22,'DADOS BRUTOS'!DW$3:DW$500)))</f>
        <v>0</v>
      </c>
      <c r="GX22" s="133" t="n">
        <f aca="false">IF(OR(GX$4="",$B22=""),0,SUMIF('DADOS BRUTOS'!$A$3:$A$500,$B22,'DADOS BRUTOS'!DX$3:DX$500)+IF($C22="",0,SUMIF('DADOS BRUTOS'!$A$3:$A$500,$C22,'DADOS BRUTOS'!DX$3:DX$500)))</f>
        <v>0</v>
      </c>
      <c r="GY22" s="133" t="n">
        <f aca="false">IF(OR(GY$4="",$B22=""),0,SUMIF('DADOS BRUTOS'!$A$3:$A$500,$B22,'DADOS BRUTOS'!DY$3:DY$500)+IF($C22="",0,SUMIF('DADOS BRUTOS'!$A$3:$A$500,$C22,'DADOS BRUTOS'!DY$3:DY$500)))</f>
        <v>0</v>
      </c>
      <c r="GZ22" s="133" t="n">
        <f aca="false">IF(OR(GZ$4="",$B22=""),0,SUMIF('DADOS BRUTOS'!$A$3:$A$500,$B22,'DADOS BRUTOS'!DZ$3:DZ$500)+IF($C22="",0,SUMIF('DADOS BRUTOS'!$A$3:$A$500,$C22,'DADOS BRUTOS'!DZ$3:DZ$500)))</f>
        <v>0</v>
      </c>
      <c r="HA22" s="133" t="n">
        <f aca="false">IF(OR(HA$4="",$B22=""),0,SUMIF('DADOS BRUTOS'!$A$3:$A$500,$B22,'DADOS BRUTOS'!EA$3:EA$500)+IF($C22="",0,SUMIF('DADOS BRUTOS'!$A$3:$A$500,$C22,'DADOS BRUTOS'!EA$3:EA$500)))</f>
        <v>0</v>
      </c>
      <c r="HB22" s="133" t="n">
        <f aca="false">IF(OR(HB$4="",$B22=""),0,SUMIF('DADOS BRUTOS'!$A$3:$A$500,$B22,'DADOS BRUTOS'!EB$3:EB$500)+IF($C22="",0,SUMIF('DADOS BRUTOS'!$A$3:$A$500,$C22,'DADOS BRUTOS'!EB$3:EB$500)))</f>
        <v>0</v>
      </c>
      <c r="HC22" s="133" t="n">
        <f aca="false">IF(OR(HC$4="",$B22=""),0,SUMIF('DADOS BRUTOS'!$A$3:$A$500,$B22,'DADOS BRUTOS'!EC$3:EC$500)+IF($C22="",0,SUMIF('DADOS BRUTOS'!$A$3:$A$500,$C22,'DADOS BRUTOS'!EC$3:EC$500)))</f>
        <v>0</v>
      </c>
      <c r="HD22" s="133" t="n">
        <f aca="false">IF(OR(HD$4="",$B22=""),0,SUMIF('DADOS BRUTOS'!$A$3:$A$500,$B22,'DADOS BRUTOS'!ED$3:ED$500)+IF($C22="",0,SUMIF('DADOS BRUTOS'!$A$3:$A$500,$C22,'DADOS BRUTOS'!ED$3:ED$500)))</f>
        <v>0</v>
      </c>
      <c r="HE22" s="133" t="n">
        <f aca="false">IF(OR(HE$4="",$B22=""),0,SUMIF('DADOS BRUTOS'!$A$3:$A$500,$B22,'DADOS BRUTOS'!EE$3:EE$500)+IF($C22="",0,SUMIF('DADOS BRUTOS'!$A$3:$A$500,$C22,'DADOS BRUTOS'!EE$3:EE$500)))</f>
        <v>0</v>
      </c>
      <c r="HF22" s="133" t="n">
        <f aca="false">IF(OR(HF$4="",$B22=""),0,SUMIF('DADOS BRUTOS'!$A$3:$A$500,$B22,'DADOS BRUTOS'!EF$3:EF$500)+IF($C22="",0,SUMIF('DADOS BRUTOS'!$A$3:$A$500,$C22,'DADOS BRUTOS'!EF$3:EF$500)))</f>
        <v>0</v>
      </c>
      <c r="HG22" s="133" t="n">
        <f aca="false">IF(OR(HG$4="",$B22=""),0,SUMIF('DADOS BRUTOS'!$A$3:$A$500,$B22,'DADOS BRUTOS'!EG$3:EG$500)+IF($C22="",0,SUMIF('DADOS BRUTOS'!$A$3:$A$500,$C22,'DADOS BRUTOS'!EG$3:EG$500)))</f>
        <v>0</v>
      </c>
      <c r="HH22" s="133" t="n">
        <f aca="false">IF(OR(HH$4="",$B22=""),0,SUMIF('DADOS BRUTOS'!$A$3:$A$500,$B22,'DADOS BRUTOS'!EH$3:EH$500)+IF($C22="",0,SUMIF('DADOS BRUTOS'!$A$3:$A$500,$C22,'DADOS BRUTOS'!EH$3:EH$500)))</f>
        <v>0</v>
      </c>
      <c r="HI22" s="133" t="n">
        <f aca="false">IF(OR(HI$4="",$B22=""),0,SUMIF('DADOS BRUTOS'!$A$3:$A$500,$B22,'DADOS BRUTOS'!EI$3:EI$500)+IF($C22="",0,SUMIF('DADOS BRUTOS'!$A$3:$A$500,$C22,'DADOS BRUTOS'!EI$3:EI$500)))</f>
        <v>0</v>
      </c>
      <c r="HJ22" s="133" t="n">
        <f aca="false">IF(OR(HJ$4="",$B22=""),0,SUMIF('DADOS BRUTOS'!$A$3:$A$500,$B22,'DADOS BRUTOS'!EJ$3:EJ$500)+IF($C22="",0,SUMIF('DADOS BRUTOS'!$A$3:$A$500,$C22,'DADOS BRUTOS'!EJ$3:EJ$500)))</f>
        <v>0</v>
      </c>
      <c r="HK22" s="133" t="n">
        <f aca="false">IF(OR(HK$4="",$B22=""),0,SUMIF('DADOS BRUTOS'!$A$3:$A$500,$B22,'DADOS BRUTOS'!EK$3:EK$500)+IF($C22="",0,SUMIF('DADOS BRUTOS'!$A$3:$A$500,$C22,'DADOS BRUTOS'!EK$3:EK$500)))</f>
        <v>0</v>
      </c>
      <c r="HL22" s="133" t="n">
        <f aca="false">IF(OR(HL$4="",$B22=""),0,SUMIF('DADOS BRUTOS'!$A$3:$A$500,$B22,'DADOS BRUTOS'!EL$3:EL$500)+IF($C22="",0,SUMIF('DADOS BRUTOS'!$A$3:$A$500,$C22,'DADOS BRUTOS'!EL$3:EL$500)))</f>
        <v>0</v>
      </c>
      <c r="HM22" s="133" t="n">
        <f aca="false">IF(OR(HM$4="",$B22=""),0,SUMIF('DADOS BRUTOS'!$A$3:$A$500,$B22,'DADOS BRUTOS'!EM$3:EM$500)+IF($C22="",0,SUMIF('DADOS BRUTOS'!$A$3:$A$500,$C22,'DADOS BRUTOS'!EM$3:EM$500)))</f>
        <v>0</v>
      </c>
      <c r="HN22" s="133" t="n">
        <f aca="false">IF(OR(HN$4="",$B22=""),0,SUMIF('DADOS BRUTOS'!$A$3:$A$500,$B22,'DADOS BRUTOS'!EN$3:EN$500)+IF($C22="",0,SUMIF('DADOS BRUTOS'!$A$3:$A$500,$C22,'DADOS BRUTOS'!EN$3:EN$500)))</f>
        <v>0</v>
      </c>
      <c r="HO22" s="133" t="n">
        <f aca="false">IF(OR(HO$4="",$B22=""),0,SUMIF('DADOS BRUTOS'!$A$3:$A$500,$B22,'DADOS BRUTOS'!EO$3:EO$500)+IF($C22="",0,SUMIF('DADOS BRUTOS'!$A$3:$A$500,$C22,'DADOS BRUTOS'!EO$3:EO$500)))</f>
        <v>0</v>
      </c>
      <c r="HP22" s="133" t="n">
        <f aca="false">IF(OR(HP$4="",$B22=""),0,SUMIF('DADOS BRUTOS'!$A$3:$A$500,$B22,'DADOS BRUTOS'!EP$3:EP$500)+IF($C22="",0,SUMIF('DADOS BRUTOS'!$A$3:$A$500,$C22,'DADOS BRUTOS'!EP$3:EP$500)))</f>
        <v>0</v>
      </c>
      <c r="HQ22" s="133" t="n">
        <f aca="false">IF(OR(HQ$4="",$B22=""),0,SUMIF('DADOS BRUTOS'!$A$3:$A$500,$B22,'DADOS BRUTOS'!EQ$3:EQ$500)+IF($C22="",0,SUMIF('DADOS BRUTOS'!$A$3:$A$500,$C22,'DADOS BRUTOS'!EQ$3:EQ$500)))</f>
        <v>0</v>
      </c>
      <c r="HR22" s="133" t="n">
        <f aca="false">IF(OR(HR$4="",$B22=""),0,SUMIF('DADOS BRUTOS'!$A$3:$A$500,$B22,'DADOS BRUTOS'!ER$3:ER$500)+IF($C22="",0,SUMIF('DADOS BRUTOS'!$A$3:$A$500,$C22,'DADOS BRUTOS'!ER$3:ER$500)))</f>
        <v>0</v>
      </c>
      <c r="HS22" s="133" t="n">
        <f aca="false">IF(OR(HS$4="",$B22=""),0,SUMIF('DADOS BRUTOS'!$A$3:$A$500,$B22,'DADOS BRUTOS'!ES$3:ES$500)+IF($C22="",0,SUMIF('DADOS BRUTOS'!$A$3:$A$500,$C22,'DADOS BRUTOS'!ES$3:ES$500)))</f>
        <v>0</v>
      </c>
      <c r="HT22" s="133" t="n">
        <f aca="false">IF(OR(HT$4="",$B22=""),0,SUMIF('DADOS BRUTOS'!$A$3:$A$500,$B22,'DADOS BRUTOS'!ET$3:ET$500)+IF($C22="",0,SUMIF('DADOS BRUTOS'!$A$3:$A$500,$C22,'DADOS BRUTOS'!ET$3:ET$500)))</f>
        <v>0</v>
      </c>
      <c r="HU22" s="133" t="n">
        <f aca="false">IF(OR(HU$4="",$B22=""),0,SUMIF('DADOS BRUTOS'!$A$3:$A$500,$B22,'DADOS BRUTOS'!EU$3:EU$500)+IF($C22="",0,SUMIF('DADOS BRUTOS'!$A$3:$A$500,$C22,'DADOS BRUTOS'!EU$3:EU$500)))</f>
        <v>0</v>
      </c>
      <c r="HV22" s="133" t="n">
        <f aca="false">IF(OR(HV$4="",$B22=""),0,SUMIF('DADOS BRUTOS'!$A$3:$A$500,$B22,'DADOS BRUTOS'!EV$3:EV$500)+IF($C22="",0,SUMIF('DADOS BRUTOS'!$A$3:$A$500,$C22,'DADOS BRUTOS'!EV$3:EV$500)))</f>
        <v>0</v>
      </c>
      <c r="HW22" s="133" t="n">
        <f aca="false">IF(OR(HW$4="",$B22=""),0,SUMIF('DADOS BRUTOS'!$A$3:$A$500,$B22,'DADOS BRUTOS'!EW$3:EW$500)+IF($C22="",0,SUMIF('DADOS BRUTOS'!$A$3:$A$500,$C22,'DADOS BRUTOS'!EW$3:EW$500)))</f>
        <v>0</v>
      </c>
      <c r="HX22" s="133" t="n">
        <f aca="false">IF(OR(HX$4="",$B22=""),0,SUMIF('DADOS BRUTOS'!$A$3:$A$500,$B22,'DADOS BRUTOS'!EX$3:EX$500)+IF($C22="",0,SUMIF('DADOS BRUTOS'!$A$3:$A$500,$C22,'DADOS BRUTOS'!EX$3:EX$500)))</f>
        <v>0</v>
      </c>
      <c r="HY22" s="133" t="n">
        <f aca="false">IF(OR(HY$4="",$B22=""),0,SUMIF('DADOS BRUTOS'!$A$3:$A$500,$B22,'DADOS BRUTOS'!EY$3:EY$500)+IF($C22="",0,SUMIF('DADOS BRUTOS'!$A$3:$A$500,$C22,'DADOS BRUTOS'!EY$3:EY$500)))</f>
        <v>0</v>
      </c>
      <c r="HZ22" s="133" t="n">
        <f aca="false">IF(OR(HZ$4="",$B22=""),0,SUMIF('DADOS BRUTOS'!$A$3:$A$500,$B22,'DADOS BRUTOS'!EZ$3:EZ$500)+IF($C22="",0,SUMIF('DADOS BRUTOS'!$A$3:$A$500,$C22,'DADOS BRUTOS'!EZ$3:EZ$500)))</f>
        <v>0</v>
      </c>
      <c r="IA22" s="133" t="n">
        <f aca="false">IF(OR(IA$4="",$B22=""),0,SUMIF('DADOS BRUTOS'!$A$3:$A$500,$B22,'DADOS BRUTOS'!FA$3:FA$500)+IF($C22="",0,SUMIF('DADOS BRUTOS'!$A$3:$A$500,$C22,'DADOS BRUTOS'!FA$3:FA$500)))</f>
        <v>0</v>
      </c>
      <c r="IB22" s="133" t="n">
        <f aca="false">IF(OR(IB$4="",$B22=""),0,SUMIF('DADOS BRUTOS'!$A$3:$A$500,$B22,'DADOS BRUTOS'!FB$3:FB$500)+IF($C22="",0,SUMIF('DADOS BRUTOS'!$A$3:$A$500,$C22,'DADOS BRUTOS'!FB$3:FB$500)))</f>
        <v>0</v>
      </c>
      <c r="IC22" s="133" t="n">
        <f aca="false">IF(OR(IC$4="",$B22=""),0,SUMIF('DADOS BRUTOS'!$A$3:$A$500,$B22,'DADOS BRUTOS'!FC$3:FC$500)+IF($C22="",0,SUMIF('DADOS BRUTOS'!$A$3:$A$500,$C22,'DADOS BRUTOS'!FC$3:FC$500)))</f>
        <v>0</v>
      </c>
      <c r="ID22" s="133" t="n">
        <f aca="false">IF(OR(ID$4="",$B22=""),0,SUMIF('DADOS BRUTOS'!$A$3:$A$500,$B22,'DADOS BRUTOS'!FD$3:FD$500)+IF($C22="",0,SUMIF('DADOS BRUTOS'!$A$3:$A$500,$C22,'DADOS BRUTOS'!FD$3:FD$500)))</f>
        <v>0</v>
      </c>
      <c r="IE22" s="133" t="n">
        <f aca="false">IF(OR(IE$4="",$B22=""),0,SUMIF('DADOS BRUTOS'!$A$3:$A$500,$B22,'DADOS BRUTOS'!FE$3:FE$500)+IF($C22="",0,SUMIF('DADOS BRUTOS'!$A$3:$A$500,$C22,'DADOS BRUTOS'!FE$3:FE$500)))</f>
        <v>0</v>
      </c>
      <c r="IF22" s="133" t="n">
        <f aca="false">IF(OR(IF$4="",$B22=""),0,SUMIF('DADOS BRUTOS'!$A$3:$A$500,$B22,'DADOS BRUTOS'!FF$3:FF$500)+IF($C22="",0,SUMIF('DADOS BRUTOS'!$A$3:$A$500,$C22,'DADOS BRUTOS'!FF$3:FF$500)))</f>
        <v>0</v>
      </c>
      <c r="IG22" s="133" t="n">
        <f aca="false">IF(OR(IG$4="",$B22=""),0,SUMIF('DADOS BRUTOS'!$A$3:$A$500,$B22,'DADOS BRUTOS'!FG$3:FG$500)+IF($C22="",0,SUMIF('DADOS BRUTOS'!$A$3:$A$500,$C22,'DADOS BRUTOS'!FG$3:FG$500)))</f>
        <v>0</v>
      </c>
      <c r="IH22" s="133" t="n">
        <f aca="false">IF(OR(IH$4="",$B22=""),0,SUMIF('DADOS BRUTOS'!$A$3:$A$500,$B22,'DADOS BRUTOS'!FH$3:FH$500)+IF($C22="",0,SUMIF('DADOS BRUTOS'!$A$3:$A$500,$C22,'DADOS BRUTOS'!FH$3:FH$500)))</f>
        <v>0</v>
      </c>
      <c r="II22" s="133" t="n">
        <f aca="false">IF(OR(II$4="",$B22=""),0,SUMIF('DADOS BRUTOS'!$A$3:$A$500,$B22,'DADOS BRUTOS'!FI$3:FI$500)+IF($C22="",0,SUMIF('DADOS BRUTOS'!$A$3:$A$500,$C22,'DADOS BRUTOS'!FI$3:FI$500)))</f>
        <v>0</v>
      </c>
      <c r="IJ22" s="133" t="n">
        <f aca="false">IF(OR(IJ$4="",$B22=""),0,SUMIF('DADOS BRUTOS'!$A$3:$A$500,$B22,'DADOS BRUTOS'!FJ$3:FJ$500)+IF($C22="",0,SUMIF('DADOS BRUTOS'!$A$3:$A$500,$C22,'DADOS BRUTOS'!FJ$3:FJ$500)))</f>
        <v>0</v>
      </c>
      <c r="IK22" s="133" t="n">
        <f aca="false">IF(OR(IK$4="",$B22=""),0,SUMIF('DADOS BRUTOS'!$A$3:$A$500,$B22,'DADOS BRUTOS'!FK$3:FK$500)+IF($C22="",0,SUMIF('DADOS BRUTOS'!$A$3:$A$500,$C22,'DADOS BRUTOS'!FK$3:FK$500)))</f>
        <v>0</v>
      </c>
      <c r="IL22" s="133" t="n">
        <f aca="false">IF(OR(IL$4="",$B22=""),0,SUMIF('DADOS BRUTOS'!$A$3:$A$500,$B22,'DADOS BRUTOS'!FL$3:FL$500)+IF($C22="",0,SUMIF('DADOS BRUTOS'!$A$3:$A$500,$C22,'DADOS BRUTOS'!FL$3:FL$500)))</f>
        <v>0</v>
      </c>
      <c r="IM22" s="133" t="n">
        <f aca="false">IF(OR(IM$4="",$B22=""),0,SUMIF('DADOS BRUTOS'!$A$3:$A$500,$B22,'DADOS BRUTOS'!FM$3:FM$500)+IF($C22="",0,SUMIF('DADOS BRUTOS'!$A$3:$A$500,$C22,'DADOS BRUTOS'!FM$3:FM$500)))</f>
        <v>0</v>
      </c>
      <c r="IN22" s="133" t="n">
        <f aca="false">IF(OR(IN$4="",$B22=""),0,SUMIF('DADOS BRUTOS'!$A$3:$A$500,$B22,'DADOS BRUTOS'!FN$3:FN$500)+IF($C22="",0,SUMIF('DADOS BRUTOS'!$A$3:$A$500,$C22,'DADOS BRUTOS'!FN$3:FN$500)))</f>
        <v>0</v>
      </c>
      <c r="IO22" s="133" t="n">
        <f aca="false">IF(OR(IO$4="",$B22=""),0,SUMIF('DADOS BRUTOS'!$A$3:$A$500,$B22,'DADOS BRUTOS'!FO$3:FO$500)+IF($C22="",0,SUMIF('DADOS BRUTOS'!$A$3:$A$500,$C22,'DADOS BRUTOS'!FO$3:FO$500)))</f>
        <v>0</v>
      </c>
      <c r="IP22" s="133" t="n">
        <f aca="false">IF(OR(IP$4="",$B22=""),0,SUMIF('DADOS BRUTOS'!$A$3:$A$500,$B22,'DADOS BRUTOS'!FP$3:FP$500)+IF($C22="",0,SUMIF('DADOS BRUTOS'!$A$3:$A$500,$C22,'DADOS BRUTOS'!FP$3:FP$500)))</f>
        <v>0</v>
      </c>
      <c r="IQ22" s="133" t="n">
        <f aca="false">IF(OR(IQ$4="",$B22=""),0,SUMIF('DADOS BRUTOS'!$A$3:$A$500,$B22,'DADOS BRUTOS'!FQ$3:FQ$500)+IF($C22="",0,SUMIF('DADOS BRUTOS'!$A$3:$A$500,$C22,'DADOS BRUTOS'!FQ$3:FQ$500)))</f>
        <v>0</v>
      </c>
      <c r="IR22" s="133" t="n">
        <f aca="false">IF(OR(IR$4="",$B22=""),0,SUMIF('DADOS BRUTOS'!$A$3:$A$500,$B22,'DADOS BRUTOS'!FR$3:FR$500)+IF($C22="",0,SUMIF('DADOS BRUTOS'!$A$3:$A$500,$C22,'DADOS BRUTOS'!FR$3:FR$500)))</f>
        <v>0</v>
      </c>
      <c r="IS22" s="133" t="n">
        <f aca="false">IF(OR(IS$4="",$B22=""),0,SUMIF('DADOS BRUTOS'!$A$3:$A$500,$B22,'DADOS BRUTOS'!FS$3:FS$500)+IF($C22="",0,SUMIF('DADOS BRUTOS'!$A$3:$A$500,$C22,'DADOS BRUTOS'!FS$3:FS$500)))</f>
        <v>0</v>
      </c>
      <c r="IT22" s="133" t="n">
        <f aca="false">IF(OR(IT$4="",$B22=""),0,SUMIF('DADOS BRUTOS'!$A$3:$A$500,$B22,'DADOS BRUTOS'!FT$3:FT$500)+IF($C22="",0,SUMIF('DADOS BRUTOS'!$A$3:$A$500,$C22,'DADOS BRUTOS'!FT$3:FT$500)))</f>
        <v>0</v>
      </c>
      <c r="IU22" s="133" t="n">
        <f aca="false">IF(OR(IU$4="",$B22=""),0,SUMIF('DADOS BRUTOS'!$A$3:$A$500,$B22,'DADOS BRUTOS'!FU$3:FU$500)+IF($C22="",0,SUMIF('DADOS BRUTOS'!$A$3:$A$500,$C22,'DADOS BRUTOS'!FU$3:FU$500)))</f>
        <v>0</v>
      </c>
      <c r="IV22" s="133" t="n">
        <f aca="false">IF(OR(IV$4="",$B22=""),0,SUMIF('DADOS BRUTOS'!$A$3:$A$500,$B22,'DADOS BRUTOS'!FV$3:FV$500)+IF($C22="",0,SUMIF('DADOS BRUTOS'!$A$3:$A$500,$C22,'DADOS BRUTOS'!FV$3:FV$500)))</f>
        <v>0</v>
      </c>
      <c r="IW22" s="133" t="n">
        <f aca="false">IF(OR(IW$4="",$B22=""),0,SUMIF('DADOS BRUTOS'!$A$3:$A$500,$B22,'DADOS BRUTOS'!FW$3:FW$500)+IF($C22="",0,SUMIF('DADOS BRUTOS'!$A$3:$A$500,$C22,'DADOS BRUTOS'!FW$3:FW$500)))</f>
        <v>0</v>
      </c>
      <c r="IX22" s="133" t="n">
        <f aca="false">IF(OR(IX$4="",$B22=""),0,SUMIF('DADOS BRUTOS'!$A$3:$A$500,$B22,'DADOS BRUTOS'!FX$3:FX$500)+IF($C22="",0,SUMIF('DADOS BRUTOS'!$A$3:$A$500,$C22,'DADOS BRUTOS'!FX$3:FX$500)))</f>
        <v>0</v>
      </c>
      <c r="IY22" s="133" t="n">
        <f aca="false">IF(OR(IY$4="",$B22=""),0,SUMIF('DADOS BRUTOS'!$A$3:$A$500,$B22,'DADOS BRUTOS'!FY$3:FY$500)+IF($C22="",0,SUMIF('DADOS BRUTOS'!$A$3:$A$500,$C22,'DADOS BRUTOS'!FY$3:FY$500)))</f>
        <v>0</v>
      </c>
      <c r="IZ22" s="133" t="n">
        <f aca="false">IF(OR(IZ$4="",$B22=""),0,SUMIF('DADOS BRUTOS'!$A$3:$A$500,$B22,'DADOS BRUTOS'!FZ$3:FZ$500)+IF($C22="",0,SUMIF('DADOS BRUTOS'!$A$3:$A$500,$C22,'DADOS BRUTOS'!FZ$3:FZ$500)))</f>
        <v>0</v>
      </c>
      <c r="JA22" s="133" t="n">
        <f aca="false">IF(OR(JA$4="",$B22=""),0,SUMIF('DADOS BRUTOS'!$A$3:$A$500,$B22,'DADOS BRUTOS'!GA$3:GA$500)+IF($C22="",0,SUMIF('DADOS BRUTOS'!$A$3:$A$500,$C22,'DADOS BRUTOS'!GA$3:GA$500)))</f>
        <v>0</v>
      </c>
      <c r="JB22" s="133" t="n">
        <f aca="false">IF(OR(JB$4="",$B22=""),0,SUMIF('DADOS BRUTOS'!$A$3:$A$500,$B22,'DADOS BRUTOS'!GB$3:GB$500)+IF($C22="",0,SUMIF('DADOS BRUTOS'!$A$3:$A$500,$C22,'DADOS BRUTOS'!GB$3:GB$500)))</f>
        <v>0</v>
      </c>
      <c r="JC22" s="133" t="n">
        <f aca="false">IF(OR(JC$4="",$B22=""),0,SUMIF('DADOS BRUTOS'!$A$3:$A$500,$B22,'DADOS BRUTOS'!GC$3:GC$500)+IF($C22="",0,SUMIF('DADOS BRUTOS'!$A$3:$A$500,$C22,'DADOS BRUTOS'!GC$3:GC$500)))</f>
        <v>0</v>
      </c>
      <c r="JD22" s="133" t="n">
        <f aca="false">IF(OR(JD$4="",$B22=""),0,SUMIF('DADOS BRUTOS'!$A$3:$A$500,$B22,'DADOS BRUTOS'!GD$3:GD$500)+IF($C22="",0,SUMIF('DADOS BRUTOS'!$A$3:$A$500,$C22,'DADOS BRUTOS'!GD$3:GD$500)))</f>
        <v>0</v>
      </c>
      <c r="JE22" s="133" t="n">
        <f aca="false">IF(OR(JE$4="",$B22=""),0,SUMIF('DADOS BRUTOS'!$A$3:$A$500,$B22,'DADOS BRUTOS'!GE$3:GE$500)+IF($C22="",0,SUMIF('DADOS BRUTOS'!$A$3:$A$500,$C22,'DADOS BRUTOS'!GE$3:GE$500)))</f>
        <v>0</v>
      </c>
      <c r="JF22" s="133" t="n">
        <f aca="false">IF(OR(JF$4="",$B22=""),0,SUMIF('DADOS BRUTOS'!$A$3:$A$500,$B22,'DADOS BRUTOS'!GF$3:GF$500)+IF($C22="",0,SUMIF('DADOS BRUTOS'!$A$3:$A$500,$C22,'DADOS BRUTOS'!GF$3:GF$500)))</f>
        <v>0</v>
      </c>
      <c r="JG22" s="133" t="n">
        <f aca="false">IF(OR(JG$4="",$B22=""),0,SUMIF('DADOS BRUTOS'!$A$3:$A$500,$B22,'DADOS BRUTOS'!GG$3:GG$500)+IF($C22="",0,SUMIF('DADOS BRUTOS'!$A$3:$A$500,$C22,'DADOS BRUTOS'!GG$3:GG$500)))</f>
        <v>0</v>
      </c>
      <c r="JH22" s="133" t="n">
        <f aca="false">IF(OR(JH$4="",$B22=""),0,SUMIF('DADOS BRUTOS'!$A$3:$A$500,$B22,'DADOS BRUTOS'!GH$3:GH$500)+IF($C22="",0,SUMIF('DADOS BRUTOS'!$A$3:$A$500,$C22,'DADOS BRUTOS'!GH$3:GH$500)))</f>
        <v>0</v>
      </c>
      <c r="JI22" s="133" t="n">
        <f aca="false">IF(OR(JI$4="",$B22=""),0,SUMIF('DADOS BRUTOS'!$A$3:$A$500,$B22,'DADOS BRUTOS'!GI$3:GI$500)+IF($C22="",0,SUMIF('DADOS BRUTOS'!$A$3:$A$500,$C22,'DADOS BRUTOS'!GI$3:GI$500)))</f>
        <v>0</v>
      </c>
      <c r="JJ22" s="133" t="n">
        <f aca="false">IF(OR(JJ$4="",$B22=""),0,SUMIF('DADOS BRUTOS'!$A$3:$A$500,$B22,'DADOS BRUTOS'!GJ$3:GJ$500)+IF($C22="",0,SUMIF('DADOS BRUTOS'!$A$3:$A$500,$C22,'DADOS BRUTOS'!GJ$3:GJ$500)))</f>
        <v>0</v>
      </c>
      <c r="JK22" s="133" t="n">
        <f aca="false">IF(OR(JK$4="",$B22=""),0,SUMIF('DADOS BRUTOS'!$A$3:$A$500,$B22,'DADOS BRUTOS'!GK$3:GK$500)+IF($C22="",0,SUMIF('DADOS BRUTOS'!$A$3:$A$500,$C22,'DADOS BRUTOS'!GK$3:GK$500)))</f>
        <v>0</v>
      </c>
      <c r="JL22" s="133" t="n">
        <f aca="false">IF(OR(JL$4="",$B22=""),0,SUMIF('DADOS BRUTOS'!$A$3:$A$500,$B22,'DADOS BRUTOS'!GL$3:GL$500)+IF($C22="",0,SUMIF('DADOS BRUTOS'!$A$3:$A$500,$C22,'DADOS BRUTOS'!GL$3:GL$500)))</f>
        <v>0</v>
      </c>
      <c r="JM22" s="133" t="n">
        <f aca="false">IF(OR(JM$4="",$B22=""),0,SUMIF('DADOS BRUTOS'!$A$3:$A$500,$B22,'DADOS BRUTOS'!GM$3:GM$500)+IF($C22="",0,SUMIF('DADOS BRUTOS'!$A$3:$A$500,$C22,'DADOS BRUTOS'!GM$3:GM$500)))</f>
        <v>0</v>
      </c>
      <c r="JN22" s="133" t="n">
        <f aca="false">IF(OR(JN$4="",$B22=""),0,SUMIF('DADOS BRUTOS'!$A$3:$A$500,$B22,'DADOS BRUTOS'!GN$3:GN$500)+IF($C22="",0,SUMIF('DADOS BRUTOS'!$A$3:$A$500,$C22,'DADOS BRUTOS'!GN$3:GN$500)))</f>
        <v>0</v>
      </c>
      <c r="JO22" s="133" t="n">
        <f aca="false">IF(OR(JO$4="",$B22=""),0,SUMIF('DADOS BRUTOS'!$A$3:$A$500,$B22,'DADOS BRUTOS'!GO$3:GO$500)+IF($C22="",0,SUMIF('DADOS BRUTOS'!$A$3:$A$500,$C22,'DADOS BRUTOS'!GO$3:GO$500)))</f>
        <v>0</v>
      </c>
      <c r="JP22" s="133" t="n">
        <f aca="false">IF(OR(JP$4="",$B22=""),0,SUMIF('DADOS BRUTOS'!$A$3:$A$500,$B22,'DADOS BRUTOS'!GP$3:GP$500)+IF($C22="",0,SUMIF('DADOS BRUTOS'!$A$3:$A$500,$C22,'DADOS BRUTOS'!GP$3:GP$500)))</f>
        <v>0</v>
      </c>
      <c r="JQ22" s="133" t="n">
        <f aca="false">IF(OR(JQ$4="",$B22=""),0,SUMIF('DADOS BRUTOS'!$A$3:$A$500,$B22,'DADOS BRUTOS'!GQ$3:GQ$500)+IF($C22="",0,SUMIF('DADOS BRUTOS'!$A$3:$A$500,$C22,'DADOS BRUTOS'!GQ$3:GQ$500)))</f>
        <v>0</v>
      </c>
      <c r="JR22" s="133" t="n">
        <f aca="false">IF(OR(JR$4="",$B22=""),0,SUMIF('DADOS BRUTOS'!$A$3:$A$500,$B22,'DADOS BRUTOS'!GR$3:GR$500)+IF($C22="",0,SUMIF('DADOS BRUTOS'!$A$3:$A$500,$C22,'DADOS BRUTOS'!GR$3:GR$500)))</f>
        <v>0</v>
      </c>
      <c r="JS22" s="133" t="n">
        <f aca="false">IF(OR(JS$4="",$B22=""),0,SUMIF('DADOS BRUTOS'!$A$3:$A$500,$B22,'DADOS BRUTOS'!GS$3:GS$500)+IF($C22="",0,SUMIF('DADOS BRUTOS'!$A$3:$A$500,$C22,'DADOS BRUTOS'!GS$3:GS$500)))</f>
        <v>0</v>
      </c>
    </row>
    <row r="23" customFormat="false" ht="15" hidden="false" customHeight="false" outlineLevel="0" collapsed="false">
      <c r="A23" s="57" t="str">
        <f aca="false">'VALOR POR PL'!D29</f>
        <v>IMPERMEABILIZAÇÃO</v>
      </c>
      <c r="B23" s="55" t="s">
        <v>171</v>
      </c>
      <c r="C23" s="55"/>
      <c r="D23" s="50" t="n">
        <f aca="false">SUMIF($CB$4:$JS$4,"&lt;="&amp;D$4,$CB23:$JS23)</f>
        <v>0</v>
      </c>
      <c r="E23" s="50" t="n">
        <f aca="false">SUMIF($CB$4:$JS$4,E$4,$CB23:$JS23)</f>
        <v>0</v>
      </c>
      <c r="F23" s="50" t="n">
        <f aca="false">SUMIF($CB$4:$JS$4,F$4,$CB23:$JS23)</f>
        <v>0</v>
      </c>
      <c r="G23" s="50" t="n">
        <f aca="false">SUMIF($CB$4:$JS$4,G$4,$CB23:$JS23)</f>
        <v>0</v>
      </c>
      <c r="H23" s="50" t="n">
        <f aca="false">SUMIF($CB$4:$JS$4,H$4,$CB23:$JS23)</f>
        <v>0</v>
      </c>
      <c r="I23" s="50" t="n">
        <f aca="false">SUMIF($CB$4:$JS$4,I$4,$CB23:$JS23)</f>
        <v>0</v>
      </c>
      <c r="J23" s="50" t="n">
        <f aca="false">SUMIF($CB$4:$JS$4,J$4,$CB23:$JS23)</f>
        <v>0</v>
      </c>
      <c r="K23" s="50" t="n">
        <f aca="false">SUMIF($CB$4:$JS$4,K$4,$CB23:$JS23)</f>
        <v>0</v>
      </c>
      <c r="L23" s="50" t="n">
        <f aca="false">SUMIF($CB$4:$JS$4,L$4,$CB23:$JS23)</f>
        <v>0</v>
      </c>
      <c r="M23" s="50" t="n">
        <f aca="false">SUMIF($CB$4:$JS$4,M$4,$CB23:$JS23)</f>
        <v>0</v>
      </c>
      <c r="N23" s="50" t="n">
        <f aca="false">SUMIF($CB$4:$JS$4,N$4,$CB23:$JS23)</f>
        <v>0</v>
      </c>
      <c r="O23" s="50" t="n">
        <f aca="false">SUMIF($CB$4:$JS$4,O$4,$CB23:$JS23)</f>
        <v>0</v>
      </c>
      <c r="P23" s="50" t="n">
        <f aca="false">SUMIF($CB$4:$JS$4,P$4,$CB23:$JS23)</f>
        <v>0</v>
      </c>
      <c r="Q23" s="50" t="n">
        <f aca="false">SUMIF($CB$4:$JS$4,Q$4,$CB23:$JS23)</f>
        <v>0</v>
      </c>
      <c r="R23" s="50" t="n">
        <f aca="false">SUMIF($CB$4:$JS$4,R$4,$CB23:$JS23)</f>
        <v>0</v>
      </c>
      <c r="S23" s="50" t="n">
        <f aca="false">SUMIF($CB$4:$JS$4,S$4,$CB23:$JS23)</f>
        <v>0</v>
      </c>
      <c r="T23" s="50" t="n">
        <f aca="false">SUMIF($CB$4:$JS$4,T$4,$CB23:$JS23)</f>
        <v>0</v>
      </c>
      <c r="U23" s="50" t="n">
        <f aca="false">SUMIF($CB$4:$JS$4,U$4,$CB23:$JS23)</f>
        <v>0</v>
      </c>
      <c r="V23" s="50" t="n">
        <f aca="false">SUMIF($CB$4:$JS$4,V$4,$CB23:$JS23)</f>
        <v>0</v>
      </c>
      <c r="W23" s="50" t="n">
        <f aca="false">SUMIF($CB$4:$JS$4,W$4,$CB23:$JS23)</f>
        <v>0</v>
      </c>
      <c r="X23" s="50" t="n">
        <f aca="false">SUMIF($CB$4:$JS$4,X$4,$CB23:$JS23)</f>
        <v>0</v>
      </c>
      <c r="Y23" s="50" t="n">
        <f aca="false">SUMIF($CB$4:$JS$4,Y$4,$CB23:$JS23)</f>
        <v>0</v>
      </c>
      <c r="Z23" s="50" t="n">
        <f aca="false">SUMIF($CB$4:$JS$4,Z$4,$CB23:$JS23)</f>
        <v>0</v>
      </c>
      <c r="AA23" s="50" t="n">
        <f aca="false">SUMIF($CB$4:$JS$4,AA$4,$CB23:$JS23)</f>
        <v>0</v>
      </c>
      <c r="AB23" s="50" t="n">
        <f aca="false">SUMIF($CB$4:$JS$4,AB$4,$CB23:$JS23)</f>
        <v>0</v>
      </c>
      <c r="AC23" s="50" t="n">
        <f aca="false">SUMIF($CB$4:$JS$4,AC$4,$CB23:$JS23)</f>
        <v>0</v>
      </c>
      <c r="AD23" s="50" t="n">
        <f aca="false">SUMIF($CB$4:$JS$4,AD$4,$CB23:$JS23)</f>
        <v>0</v>
      </c>
      <c r="AE23" s="50" t="n">
        <f aca="false">SUMIF($CB$4:$JS$4,AE$4,$CB23:$JS23)</f>
        <v>0</v>
      </c>
      <c r="AF23" s="50" t="n">
        <f aca="false">SUMIF($CB$4:$JS$4,AF$4,$CB23:$JS23)</f>
        <v>0</v>
      </c>
      <c r="AG23" s="50" t="n">
        <f aca="false">SUMIF($CB$4:$JS$4,AG$4,$CB23:$JS23)</f>
        <v>0</v>
      </c>
      <c r="AH23" s="50" t="n">
        <f aca="false">SUMIF($CB$4:$JS$4,AH$4,$CB23:$JS23)</f>
        <v>0</v>
      </c>
      <c r="AI23" s="50" t="n">
        <f aca="false">SUMIF($CB$4:$JS$4,AI$4,$CB23:$JS23)</f>
        <v>0</v>
      </c>
      <c r="AJ23" s="50" t="n">
        <f aca="false">SUMIF($CB$4:$JS$4,AJ$4,$CB23:$JS23)</f>
        <v>0</v>
      </c>
      <c r="AK23" s="50" t="n">
        <f aca="false">SUMIF($CB$4:$JS$4,AK$4,$CB23:$JS23)</f>
        <v>0</v>
      </c>
      <c r="AL23" s="50" t="n">
        <f aca="false">SUMIF($CB$4:$JS$4,AL$4,$CB23:$JS23)</f>
        <v>0</v>
      </c>
      <c r="AM23" s="50" t="n">
        <f aca="false">SUMIF($CB$4:$JS$4,AM$4,$CB23:$JS23)</f>
        <v>0</v>
      </c>
      <c r="AN23" s="50" t="n">
        <f aca="false">SUMIF($CB$4:$JS$4,AN$4,$CB23:$JS23)</f>
        <v>0</v>
      </c>
      <c r="AO23" s="50" t="n">
        <f aca="false">SUMIF($CB$4:$JS$4,AO$4,$CB23:$JS23)</f>
        <v>0</v>
      </c>
      <c r="AP23" s="50" t="n">
        <f aca="false">SUMIF($CB$4:$JS$4,AP$4,$CB23:$JS23)</f>
        <v>0</v>
      </c>
      <c r="AQ23" s="50" t="n">
        <f aca="false">SUMIF($CB$4:$JS$4,AQ$4,$CB23:$JS23)</f>
        <v>0</v>
      </c>
      <c r="AR23" s="50" t="n">
        <f aca="false">SUMIF($CB$4:$JS$4,AR$4,$CB23:$JS23)</f>
        <v>0</v>
      </c>
      <c r="AS23" s="50" t="n">
        <f aca="false">SUMIF($CB$4:$JS$4,AS$4,$CB23:$JS23)</f>
        <v>0</v>
      </c>
      <c r="AT23" s="50" t="n">
        <f aca="false">SUMIF($CB$4:$JS$4,AT$4,$CB23:$JS23)</f>
        <v>0</v>
      </c>
      <c r="AU23" s="50" t="n">
        <f aca="false">SUMIF($CB$4:$JS$4,AU$4,$CB23:$JS23)</f>
        <v>0</v>
      </c>
      <c r="AV23" s="50" t="n">
        <f aca="false">SUMIF($CB$4:$JS$4,AV$4,$CB23:$JS23)</f>
        <v>0</v>
      </c>
      <c r="AW23" s="50" t="n">
        <f aca="false">SUMIF($CB$4:$JS$4,AW$4,$CB23:$JS23)</f>
        <v>0</v>
      </c>
      <c r="AX23" s="50" t="n">
        <f aca="false">SUMIF($CB$4:$JS$4,AX$4,$CB23:$JS23)</f>
        <v>0</v>
      </c>
      <c r="AY23" s="50" t="n">
        <f aca="false">SUMIF($CB$4:$JS$4,AY$4,$CB23:$JS23)</f>
        <v>0</v>
      </c>
      <c r="AZ23" s="50" t="n">
        <f aca="false">SUMIF($CB$4:$JS$4,AZ$4,$CB23:$JS23)</f>
        <v>0</v>
      </c>
      <c r="BA23" s="50" t="n">
        <f aca="false">SUMIF($CB$4:$JS$4,BA$4,$CB23:$JS23)</f>
        <v>0</v>
      </c>
      <c r="BB23" s="50" t="n">
        <f aca="false">SUMIF($CB$4:$JS$4,BB$4,$CB23:$JS23)</f>
        <v>0</v>
      </c>
      <c r="BC23" s="50" t="n">
        <f aca="false">SUMIF($CB$4:$JS$4,BC$4,$CB23:$JS23)</f>
        <v>0</v>
      </c>
      <c r="BD23" s="50" t="n">
        <f aca="false">SUMIF($CB$4:$JS$4,BD$4,$CB23:$JS23)</f>
        <v>0</v>
      </c>
      <c r="BE23" s="50" t="n">
        <f aca="false">SUMIF($CB$4:$JS$4,BE$4,$CB23:$JS23)</f>
        <v>0</v>
      </c>
      <c r="BF23" s="50" t="n">
        <f aca="false">SUMIF($CB$4:$JS$4,BF$4,$CB23:$JS23)</f>
        <v>0</v>
      </c>
      <c r="BG23" s="50" t="n">
        <f aca="false">SUMIF($CB$4:$JS$4,BG$4,$CB23:$JS23)</f>
        <v>0</v>
      </c>
      <c r="BH23" s="50" t="n">
        <f aca="false">SUMIF($CB$4:$JS$4,BH$4,$CB23:$JS23)</f>
        <v>0</v>
      </c>
      <c r="BI23" s="50" t="n">
        <f aca="false">SUMIF($CB$4:$JS$4,BI$4,$CB23:$JS23)</f>
        <v>0</v>
      </c>
      <c r="BJ23" s="50" t="n">
        <f aca="false">SUMIF($CB$4:$JS$4,BJ$4,$CB23:$JS23)</f>
        <v>0</v>
      </c>
      <c r="BK23" s="50" t="n">
        <f aca="false">SUMIF($CB$4:$JS$4,BK$4,$CB23:$JS23)</f>
        <v>0</v>
      </c>
      <c r="BL23" s="50" t="n">
        <f aca="false">SUMIF($CB$4:$JS$4,BL$4,$CB23:$JS23)</f>
        <v>0</v>
      </c>
      <c r="BM23" s="50" t="n">
        <f aca="false">SUMIF($CB$4:$JS$4,BM$4,$CB23:$JS23)</f>
        <v>0</v>
      </c>
      <c r="BN23" s="50" t="n">
        <f aca="false">SUMIF($CB$4:$JS$4,BN$4,$CB23:$JS23)</f>
        <v>0</v>
      </c>
      <c r="BO23" s="50" t="n">
        <f aca="false">SUMIF($CB$4:$JS$4,BO$4,$CB23:$JS23)</f>
        <v>0</v>
      </c>
      <c r="BP23" s="50" t="n">
        <f aca="false">SUMIF($CB$4:$JS$4,BP$4,$CB23:$JS23)</f>
        <v>0</v>
      </c>
      <c r="BQ23" s="50" t="n">
        <f aca="false">SUMIF($CB$4:$JS$4,BQ$4,$CB23:$JS23)</f>
        <v>0</v>
      </c>
      <c r="BR23" s="50" t="n">
        <f aca="false">SUMIF($CB$4:$JS$4,BR$4,$CB23:$JS23)</f>
        <v>0</v>
      </c>
      <c r="BS23" s="50" t="n">
        <f aca="false">SUMIF($CB$4:$JS$4,BS$4,$CB23:$JS23)</f>
        <v>0</v>
      </c>
      <c r="BT23" s="50" t="n">
        <f aca="false">SUMIF($CB$4:$JS$4,BT$4,$CB23:$JS23)</f>
        <v>0</v>
      </c>
      <c r="BU23" s="50" t="n">
        <f aca="false">SUMIF($CB$4:$JS$4,BU$4,$CB23:$JS23)</f>
        <v>0</v>
      </c>
      <c r="BV23" s="50" t="n">
        <f aca="false">SUMIF($CB$4:$JS$4,BV$4,$CB23:$JS23)</f>
        <v>0</v>
      </c>
      <c r="BW23" s="50" t="n">
        <f aca="false">SUMIF($CB$4:$JS$4,BW$4,$CB23:$JS23)</f>
        <v>0</v>
      </c>
      <c r="BX23" s="50" t="n">
        <f aca="false">SUMIF($CB$4:$JS$4,"&gt;"&amp;'VALOR POR PL'!$P$8,$CB23:$JS23)</f>
        <v>0</v>
      </c>
      <c r="BY23" s="50" t="n">
        <f aca="false">SUM($CB23:$JS23)</f>
        <v>0</v>
      </c>
      <c r="BZ23" s="45" t="n">
        <f aca="false">SUMPRODUCT(($CB$4:$JS$4&lt;&gt;"")*($CB$4:$JS$4&lt;=$D$4),$CB23:$JS23,$CB$1:$JS$1)</f>
        <v>0</v>
      </c>
      <c r="CB23" s="133" t="n">
        <f aca="false">IF(OR(CB$4="",$B23=""),0,SUMIF('DADOS BRUTOS'!$A$3:$A$500,$B23,'DADOS BRUTOS'!B$3:B$500)+IF($C23="",0,SUMIF('DADOS BRUTOS'!$A$3:$A$500,$C23,'DADOS BRUTOS'!B$3:B$500)))</f>
        <v>0</v>
      </c>
      <c r="CC23" s="133" t="n">
        <f aca="false">IF(OR(CC$4="",$B23=""),0,SUMIF('DADOS BRUTOS'!$A$3:$A$500,$B23,'DADOS BRUTOS'!C$3:C$500)+IF($C23="",0,SUMIF('DADOS BRUTOS'!$A$3:$A$500,$C23,'DADOS BRUTOS'!C$3:C$500)))</f>
        <v>0</v>
      </c>
      <c r="CD23" s="133" t="n">
        <f aca="false">IF(OR(CD$4="",$B23=""),0,SUMIF('DADOS BRUTOS'!$A$3:$A$500,$B23,'DADOS BRUTOS'!D$3:D$500)+IF($C23="",0,SUMIF('DADOS BRUTOS'!$A$3:$A$500,$C23,'DADOS BRUTOS'!D$3:D$500)))</f>
        <v>0</v>
      </c>
      <c r="CE23" s="133" t="n">
        <f aca="false">IF(OR(CE$4="",$B23=""),0,SUMIF('DADOS BRUTOS'!$A$3:$A$500,$B23,'DADOS BRUTOS'!E$3:E$500)+IF($C23="",0,SUMIF('DADOS BRUTOS'!$A$3:$A$500,$C23,'DADOS BRUTOS'!E$3:E$500)))</f>
        <v>0</v>
      </c>
      <c r="CF23" s="133" t="n">
        <f aca="false">IF(OR(CF$4="",$B23=""),0,SUMIF('DADOS BRUTOS'!$A$3:$A$500,$B23,'DADOS BRUTOS'!F$3:F$500)+IF($C23="",0,SUMIF('DADOS BRUTOS'!$A$3:$A$500,$C23,'DADOS BRUTOS'!F$3:F$500)))</f>
        <v>0</v>
      </c>
      <c r="CG23" s="133" t="n">
        <f aca="false">IF(OR(CG$4="",$B23=""),0,SUMIF('DADOS BRUTOS'!$A$3:$A$500,$B23,'DADOS BRUTOS'!G$3:G$500)+IF($C23="",0,SUMIF('DADOS BRUTOS'!$A$3:$A$500,$C23,'DADOS BRUTOS'!G$3:G$500)))</f>
        <v>0</v>
      </c>
      <c r="CH23" s="133" t="n">
        <f aca="false">IF(OR(CH$4="",$B23=""),0,SUMIF('DADOS BRUTOS'!$A$3:$A$500,$B23,'DADOS BRUTOS'!H$3:H$500)+IF($C23="",0,SUMIF('DADOS BRUTOS'!$A$3:$A$500,$C23,'DADOS BRUTOS'!H$3:H$500)))</f>
        <v>0</v>
      </c>
      <c r="CI23" s="133" t="n">
        <f aca="false">IF(OR(CI$4="",$B23=""),0,SUMIF('DADOS BRUTOS'!$A$3:$A$500,$B23,'DADOS BRUTOS'!I$3:I$500)+IF($C23="",0,SUMIF('DADOS BRUTOS'!$A$3:$A$500,$C23,'DADOS BRUTOS'!I$3:I$500)))</f>
        <v>0</v>
      </c>
      <c r="CJ23" s="133" t="n">
        <f aca="false">IF(OR(CJ$4="",$B23=""),0,SUMIF('DADOS BRUTOS'!$A$3:$A$500,$B23,'DADOS BRUTOS'!J$3:J$500)+IF($C23="",0,SUMIF('DADOS BRUTOS'!$A$3:$A$500,$C23,'DADOS BRUTOS'!J$3:J$500)))</f>
        <v>0</v>
      </c>
      <c r="CK23" s="133" t="n">
        <f aca="false">IF(OR(CK$4="",$B23=""),0,SUMIF('DADOS BRUTOS'!$A$3:$A$500,$B23,'DADOS BRUTOS'!K$3:K$500)+IF($C23="",0,SUMIF('DADOS BRUTOS'!$A$3:$A$500,$C23,'DADOS BRUTOS'!K$3:K$500)))</f>
        <v>0</v>
      </c>
      <c r="CL23" s="133" t="n">
        <f aca="false">IF(OR(CL$4="",$B23=""),0,SUMIF('DADOS BRUTOS'!$A$3:$A$500,$B23,'DADOS BRUTOS'!L$3:L$500)+IF($C23="",0,SUMIF('DADOS BRUTOS'!$A$3:$A$500,$C23,'DADOS BRUTOS'!L$3:L$500)))</f>
        <v>0</v>
      </c>
      <c r="CM23" s="133" t="n">
        <f aca="false">IF(OR(CM$4="",$B23=""),0,SUMIF('DADOS BRUTOS'!$A$3:$A$500,$B23,'DADOS BRUTOS'!M$3:M$500)+IF($C23="",0,SUMIF('DADOS BRUTOS'!$A$3:$A$500,$C23,'DADOS BRUTOS'!M$3:M$500)))</f>
        <v>0</v>
      </c>
      <c r="CN23" s="133" t="n">
        <f aca="false">IF(OR(CN$4="",$B23=""),0,SUMIF('DADOS BRUTOS'!$A$3:$A$500,$B23,'DADOS BRUTOS'!N$3:N$500)+IF($C23="",0,SUMIF('DADOS BRUTOS'!$A$3:$A$500,$C23,'DADOS BRUTOS'!N$3:N$500)))</f>
        <v>0</v>
      </c>
      <c r="CO23" s="133" t="n">
        <f aca="false">IF(OR(CO$4="",$B23=""),0,SUMIF('DADOS BRUTOS'!$A$3:$A$500,$B23,'DADOS BRUTOS'!O$3:O$500)+IF($C23="",0,SUMIF('DADOS BRUTOS'!$A$3:$A$500,$C23,'DADOS BRUTOS'!O$3:O$500)))</f>
        <v>0</v>
      </c>
      <c r="CP23" s="133" t="n">
        <f aca="false">IF(OR(CP$4="",$B23=""),0,SUMIF('DADOS BRUTOS'!$A$3:$A$500,$B23,'DADOS BRUTOS'!P$3:P$500)+IF($C23="",0,SUMIF('DADOS BRUTOS'!$A$3:$A$500,$C23,'DADOS BRUTOS'!P$3:P$500)))</f>
        <v>0</v>
      </c>
      <c r="CQ23" s="133" t="n">
        <f aca="false">IF(OR(CQ$4="",$B23=""),0,SUMIF('DADOS BRUTOS'!$A$3:$A$500,$B23,'DADOS BRUTOS'!Q$3:Q$500)+IF($C23="",0,SUMIF('DADOS BRUTOS'!$A$3:$A$500,$C23,'DADOS BRUTOS'!Q$3:Q$500)))</f>
        <v>0</v>
      </c>
      <c r="CR23" s="133" t="n">
        <f aca="false">IF(OR(CR$4="",$B23=""),0,SUMIF('DADOS BRUTOS'!$A$3:$A$500,$B23,'DADOS BRUTOS'!R$3:R$500)+IF($C23="",0,SUMIF('DADOS BRUTOS'!$A$3:$A$500,$C23,'DADOS BRUTOS'!R$3:R$500)))</f>
        <v>0</v>
      </c>
      <c r="CS23" s="133" t="n">
        <f aca="false">IF(OR(CS$4="",$B23=""),0,SUMIF('DADOS BRUTOS'!$A$3:$A$500,$B23,'DADOS BRUTOS'!S$3:S$500)+IF($C23="",0,SUMIF('DADOS BRUTOS'!$A$3:$A$500,$C23,'DADOS BRUTOS'!S$3:S$500)))</f>
        <v>0</v>
      </c>
      <c r="CT23" s="133" t="n">
        <f aca="false">IF(OR(CT$4="",$B23=""),0,SUMIF('DADOS BRUTOS'!$A$3:$A$500,$B23,'DADOS BRUTOS'!T$3:T$500)+IF($C23="",0,SUMIF('DADOS BRUTOS'!$A$3:$A$500,$C23,'DADOS BRUTOS'!T$3:T$500)))</f>
        <v>0</v>
      </c>
      <c r="CU23" s="133" t="n">
        <f aca="false">IF(OR(CU$4="",$B23=""),0,SUMIF('DADOS BRUTOS'!$A$3:$A$500,$B23,'DADOS BRUTOS'!U$3:U$500)+IF($C23="",0,SUMIF('DADOS BRUTOS'!$A$3:$A$500,$C23,'DADOS BRUTOS'!U$3:U$500)))</f>
        <v>0</v>
      </c>
      <c r="CV23" s="133" t="n">
        <f aca="false">IF(OR(CV$4="",$B23=""),0,SUMIF('DADOS BRUTOS'!$A$3:$A$500,$B23,'DADOS BRUTOS'!V$3:V$500)+IF($C23="",0,SUMIF('DADOS BRUTOS'!$A$3:$A$500,$C23,'DADOS BRUTOS'!V$3:V$500)))</f>
        <v>0</v>
      </c>
      <c r="CW23" s="133" t="n">
        <f aca="false">IF(OR(CW$4="",$B23=""),0,SUMIF('DADOS BRUTOS'!$A$3:$A$500,$B23,'DADOS BRUTOS'!W$3:W$500)+IF($C23="",0,SUMIF('DADOS BRUTOS'!$A$3:$A$500,$C23,'DADOS BRUTOS'!W$3:W$500)))</f>
        <v>0</v>
      </c>
      <c r="CX23" s="133" t="n">
        <f aca="false">IF(OR(CX$4="",$B23=""),0,SUMIF('DADOS BRUTOS'!$A$3:$A$500,$B23,'DADOS BRUTOS'!X$3:X$500)+IF($C23="",0,SUMIF('DADOS BRUTOS'!$A$3:$A$500,$C23,'DADOS BRUTOS'!X$3:X$500)))</f>
        <v>0</v>
      </c>
      <c r="CY23" s="133" t="n">
        <f aca="false">IF(OR(CY$4="",$B23=""),0,SUMIF('DADOS BRUTOS'!$A$3:$A$500,$B23,'DADOS BRUTOS'!Y$3:Y$500)+IF($C23="",0,SUMIF('DADOS BRUTOS'!$A$3:$A$500,$C23,'DADOS BRUTOS'!Y$3:Y$500)))</f>
        <v>0</v>
      </c>
      <c r="CZ23" s="133" t="n">
        <f aca="false">IF(OR(CZ$4="",$B23=""),0,SUMIF('DADOS BRUTOS'!$A$3:$A$500,$B23,'DADOS BRUTOS'!Z$3:Z$500)+IF($C23="",0,SUMIF('DADOS BRUTOS'!$A$3:$A$500,$C23,'DADOS BRUTOS'!Z$3:Z$500)))</f>
        <v>0</v>
      </c>
      <c r="DA23" s="133" t="n">
        <f aca="false">IF(OR(DA$4="",$B23=""),0,SUMIF('DADOS BRUTOS'!$A$3:$A$500,$B23,'DADOS BRUTOS'!AA$3:AA$500)+IF($C23="",0,SUMIF('DADOS BRUTOS'!$A$3:$A$500,$C23,'DADOS BRUTOS'!AA$3:AA$500)))</f>
        <v>0</v>
      </c>
      <c r="DB23" s="133" t="n">
        <f aca="false">IF(OR(DB$4="",$B23=""),0,SUMIF('DADOS BRUTOS'!$A$3:$A$500,$B23,'DADOS BRUTOS'!AB$3:AB$500)+IF($C23="",0,SUMIF('DADOS BRUTOS'!$A$3:$A$500,$C23,'DADOS BRUTOS'!AB$3:AB$500)))</f>
        <v>0</v>
      </c>
      <c r="DC23" s="133" t="n">
        <f aca="false">IF(OR(DC$4="",$B23=""),0,SUMIF('DADOS BRUTOS'!$A$3:$A$500,$B23,'DADOS BRUTOS'!AC$3:AC$500)+IF($C23="",0,SUMIF('DADOS BRUTOS'!$A$3:$A$500,$C23,'DADOS BRUTOS'!AC$3:AC$500)))</f>
        <v>0</v>
      </c>
      <c r="DD23" s="133" t="n">
        <f aca="false">IF(OR(DD$4="",$B23=""),0,SUMIF('DADOS BRUTOS'!$A$3:$A$500,$B23,'DADOS BRUTOS'!AD$3:AD$500)+IF($C23="",0,SUMIF('DADOS BRUTOS'!$A$3:$A$500,$C23,'DADOS BRUTOS'!AD$3:AD$500)))</f>
        <v>0</v>
      </c>
      <c r="DE23" s="133" t="n">
        <f aca="false">IF(OR(DE$4="",$B23=""),0,SUMIF('DADOS BRUTOS'!$A$3:$A$500,$B23,'DADOS BRUTOS'!AE$3:AE$500)+IF($C23="",0,SUMIF('DADOS BRUTOS'!$A$3:$A$500,$C23,'DADOS BRUTOS'!AE$3:AE$500)))</f>
        <v>0</v>
      </c>
      <c r="DF23" s="133" t="n">
        <f aca="false">IF(OR(DF$4="",$B23=""),0,SUMIF('DADOS BRUTOS'!$A$3:$A$500,$B23,'DADOS BRUTOS'!AF$3:AF$500)+IF($C23="",0,SUMIF('DADOS BRUTOS'!$A$3:$A$500,$C23,'DADOS BRUTOS'!AF$3:AF$500)))</f>
        <v>0</v>
      </c>
      <c r="DG23" s="133" t="n">
        <f aca="false">IF(OR(DG$4="",$B23=""),0,SUMIF('DADOS BRUTOS'!$A$3:$A$500,$B23,'DADOS BRUTOS'!AG$3:AG$500)+IF($C23="",0,SUMIF('DADOS BRUTOS'!$A$3:$A$500,$C23,'DADOS BRUTOS'!AG$3:AG$500)))</f>
        <v>0</v>
      </c>
      <c r="DH23" s="133" t="n">
        <f aca="false">IF(OR(DH$4="",$B23=""),0,SUMIF('DADOS BRUTOS'!$A$3:$A$500,$B23,'DADOS BRUTOS'!AH$3:AH$500)+IF($C23="",0,SUMIF('DADOS BRUTOS'!$A$3:$A$500,$C23,'DADOS BRUTOS'!AH$3:AH$500)))</f>
        <v>0</v>
      </c>
      <c r="DI23" s="133" t="n">
        <f aca="false">IF(OR(DI$4="",$B23=""),0,SUMIF('DADOS BRUTOS'!$A$3:$A$500,$B23,'DADOS BRUTOS'!AI$3:AI$500)+IF($C23="",0,SUMIF('DADOS BRUTOS'!$A$3:$A$500,$C23,'DADOS BRUTOS'!AI$3:AI$500)))</f>
        <v>0</v>
      </c>
      <c r="DJ23" s="133" t="n">
        <f aca="false">IF(OR(DJ$4="",$B23=""),0,SUMIF('DADOS BRUTOS'!$A$3:$A$500,$B23,'DADOS BRUTOS'!AJ$3:AJ$500)+IF($C23="",0,SUMIF('DADOS BRUTOS'!$A$3:$A$500,$C23,'DADOS BRUTOS'!AJ$3:AJ$500)))</f>
        <v>0</v>
      </c>
      <c r="DK23" s="133" t="n">
        <f aca="false">IF(OR(DK$4="",$B23=""),0,SUMIF('DADOS BRUTOS'!$A$3:$A$500,$B23,'DADOS BRUTOS'!AK$3:AK$500)+IF($C23="",0,SUMIF('DADOS BRUTOS'!$A$3:$A$500,$C23,'DADOS BRUTOS'!AK$3:AK$500)))</f>
        <v>0</v>
      </c>
      <c r="DL23" s="133" t="n">
        <f aca="false">IF(OR(DL$4="",$B23=""),0,SUMIF('DADOS BRUTOS'!$A$3:$A$500,$B23,'DADOS BRUTOS'!AL$3:AL$500)+IF($C23="",0,SUMIF('DADOS BRUTOS'!$A$3:$A$500,$C23,'DADOS BRUTOS'!AL$3:AL$500)))</f>
        <v>0</v>
      </c>
      <c r="DM23" s="133" t="n">
        <f aca="false">IF(OR(DM$4="",$B23=""),0,SUMIF('DADOS BRUTOS'!$A$3:$A$500,$B23,'DADOS BRUTOS'!AM$3:AM$500)+IF($C23="",0,SUMIF('DADOS BRUTOS'!$A$3:$A$500,$C23,'DADOS BRUTOS'!AM$3:AM$500)))</f>
        <v>0</v>
      </c>
      <c r="DN23" s="133" t="n">
        <f aca="false">IF(OR(DN$4="",$B23=""),0,SUMIF('DADOS BRUTOS'!$A$3:$A$500,$B23,'DADOS BRUTOS'!AN$3:AN$500)+IF($C23="",0,SUMIF('DADOS BRUTOS'!$A$3:$A$500,$C23,'DADOS BRUTOS'!AN$3:AN$500)))</f>
        <v>0</v>
      </c>
      <c r="DO23" s="133" t="n">
        <f aca="false">IF(OR(DO$4="",$B23=""),0,SUMIF('DADOS BRUTOS'!$A$3:$A$500,$B23,'DADOS BRUTOS'!AO$3:AO$500)+IF($C23="",0,SUMIF('DADOS BRUTOS'!$A$3:$A$500,$C23,'DADOS BRUTOS'!AO$3:AO$500)))</f>
        <v>0</v>
      </c>
      <c r="DP23" s="133" t="n">
        <f aca="false">IF(OR(DP$4="",$B23=""),0,SUMIF('DADOS BRUTOS'!$A$3:$A$500,$B23,'DADOS BRUTOS'!AP$3:AP$500)+IF($C23="",0,SUMIF('DADOS BRUTOS'!$A$3:$A$500,$C23,'DADOS BRUTOS'!AP$3:AP$500)))</f>
        <v>0</v>
      </c>
      <c r="DQ23" s="133" t="n">
        <f aca="false">IF(OR(DQ$4="",$B23=""),0,SUMIF('DADOS BRUTOS'!$A$3:$A$500,$B23,'DADOS BRUTOS'!AQ$3:AQ$500)+IF($C23="",0,SUMIF('DADOS BRUTOS'!$A$3:$A$500,$C23,'DADOS BRUTOS'!AQ$3:AQ$500)))</f>
        <v>0</v>
      </c>
      <c r="DR23" s="133" t="n">
        <f aca="false">IF(OR(DR$4="",$B23=""),0,SUMIF('DADOS BRUTOS'!$A$3:$A$500,$B23,'DADOS BRUTOS'!AR$3:AR$500)+IF($C23="",0,SUMIF('DADOS BRUTOS'!$A$3:$A$500,$C23,'DADOS BRUTOS'!AR$3:AR$500)))</f>
        <v>0</v>
      </c>
      <c r="DS23" s="133" t="n">
        <f aca="false">IF(OR(DS$4="",$B23=""),0,SUMIF('DADOS BRUTOS'!$A$3:$A$500,$B23,'DADOS BRUTOS'!AS$3:AS$500)+IF($C23="",0,SUMIF('DADOS BRUTOS'!$A$3:$A$500,$C23,'DADOS BRUTOS'!AS$3:AS$500)))</f>
        <v>0</v>
      </c>
      <c r="DT23" s="133" t="n">
        <f aca="false">IF(OR(DT$4="",$B23=""),0,SUMIF('DADOS BRUTOS'!$A$3:$A$500,$B23,'DADOS BRUTOS'!AT$3:AT$500)+IF($C23="",0,SUMIF('DADOS BRUTOS'!$A$3:$A$500,$C23,'DADOS BRUTOS'!AT$3:AT$500)))</f>
        <v>0</v>
      </c>
      <c r="DU23" s="133" t="n">
        <f aca="false">IF(OR(DU$4="",$B23=""),0,SUMIF('DADOS BRUTOS'!$A$3:$A$500,$B23,'DADOS BRUTOS'!AU$3:AU$500)+IF($C23="",0,SUMIF('DADOS BRUTOS'!$A$3:$A$500,$C23,'DADOS BRUTOS'!AU$3:AU$500)))</f>
        <v>0</v>
      </c>
      <c r="DV23" s="133" t="n">
        <f aca="false">IF(OR(DV$4="",$B23=""),0,SUMIF('DADOS BRUTOS'!$A$3:$A$500,$B23,'DADOS BRUTOS'!AV$3:AV$500)+IF($C23="",0,SUMIF('DADOS BRUTOS'!$A$3:$A$500,$C23,'DADOS BRUTOS'!AV$3:AV$500)))</f>
        <v>0</v>
      </c>
      <c r="DW23" s="133" t="n">
        <f aca="false">IF(OR(DW$4="",$B23=""),0,SUMIF('DADOS BRUTOS'!$A$3:$A$500,$B23,'DADOS BRUTOS'!AW$3:AW$500)+IF($C23="",0,SUMIF('DADOS BRUTOS'!$A$3:$A$500,$C23,'DADOS BRUTOS'!AW$3:AW$500)))</f>
        <v>0</v>
      </c>
      <c r="DX23" s="133" t="n">
        <f aca="false">IF(OR(DX$4="",$B23=""),0,SUMIF('DADOS BRUTOS'!$A$3:$A$500,$B23,'DADOS BRUTOS'!AX$3:AX$500)+IF($C23="",0,SUMIF('DADOS BRUTOS'!$A$3:$A$500,$C23,'DADOS BRUTOS'!AX$3:AX$500)))</f>
        <v>0</v>
      </c>
      <c r="DY23" s="133" t="n">
        <f aca="false">IF(OR(DY$4="",$B23=""),0,SUMIF('DADOS BRUTOS'!$A$3:$A$500,$B23,'DADOS BRUTOS'!AY$3:AY$500)+IF($C23="",0,SUMIF('DADOS BRUTOS'!$A$3:$A$500,$C23,'DADOS BRUTOS'!AY$3:AY$500)))</f>
        <v>0</v>
      </c>
      <c r="DZ23" s="133" t="n">
        <f aca="false">IF(OR(DZ$4="",$B23=""),0,SUMIF('DADOS BRUTOS'!$A$3:$A$500,$B23,'DADOS BRUTOS'!AZ$3:AZ$500)+IF($C23="",0,SUMIF('DADOS BRUTOS'!$A$3:$A$500,$C23,'DADOS BRUTOS'!AZ$3:AZ$500)))</f>
        <v>0</v>
      </c>
      <c r="EA23" s="133" t="n">
        <f aca="false">IF(OR(EA$4="",$B23=""),0,SUMIF('DADOS BRUTOS'!$A$3:$A$500,$B23,'DADOS BRUTOS'!BA$3:BA$500)+IF($C23="",0,SUMIF('DADOS BRUTOS'!$A$3:$A$500,$C23,'DADOS BRUTOS'!BA$3:BA$500)))</f>
        <v>0</v>
      </c>
      <c r="EB23" s="133" t="n">
        <f aca="false">IF(OR(EB$4="",$B23=""),0,SUMIF('DADOS BRUTOS'!$A$3:$A$500,$B23,'DADOS BRUTOS'!BB$3:BB$500)+IF($C23="",0,SUMIF('DADOS BRUTOS'!$A$3:$A$500,$C23,'DADOS BRUTOS'!BB$3:BB$500)))</f>
        <v>0</v>
      </c>
      <c r="EC23" s="133" t="n">
        <f aca="false">IF(OR(EC$4="",$B23=""),0,SUMIF('DADOS BRUTOS'!$A$3:$A$500,$B23,'DADOS BRUTOS'!BC$3:BC$500)+IF($C23="",0,SUMIF('DADOS BRUTOS'!$A$3:$A$500,$C23,'DADOS BRUTOS'!BC$3:BC$500)))</f>
        <v>0</v>
      </c>
      <c r="ED23" s="133" t="n">
        <f aca="false">IF(OR(ED$4="",$B23=""),0,SUMIF('DADOS BRUTOS'!$A$3:$A$500,$B23,'DADOS BRUTOS'!BD$3:BD$500)+IF($C23="",0,SUMIF('DADOS BRUTOS'!$A$3:$A$500,$C23,'DADOS BRUTOS'!BD$3:BD$500)))</f>
        <v>0</v>
      </c>
      <c r="EE23" s="133" t="n">
        <f aca="false">IF(OR(EE$4="",$B23=""),0,SUMIF('DADOS BRUTOS'!$A$3:$A$500,$B23,'DADOS BRUTOS'!BE$3:BE$500)+IF($C23="",0,SUMIF('DADOS BRUTOS'!$A$3:$A$500,$C23,'DADOS BRUTOS'!BE$3:BE$500)))</f>
        <v>0</v>
      </c>
      <c r="EF23" s="133" t="n">
        <f aca="false">IF(OR(EF$4="",$B23=""),0,SUMIF('DADOS BRUTOS'!$A$3:$A$500,$B23,'DADOS BRUTOS'!BF$3:BF$500)+IF($C23="",0,SUMIF('DADOS BRUTOS'!$A$3:$A$500,$C23,'DADOS BRUTOS'!BF$3:BF$500)))</f>
        <v>0</v>
      </c>
      <c r="EG23" s="133" t="n">
        <f aca="false">IF(OR(EG$4="",$B23=""),0,SUMIF('DADOS BRUTOS'!$A$3:$A$500,$B23,'DADOS BRUTOS'!BG$3:BG$500)+IF($C23="",0,SUMIF('DADOS BRUTOS'!$A$3:$A$500,$C23,'DADOS BRUTOS'!BG$3:BG$500)))</f>
        <v>0</v>
      </c>
      <c r="EH23" s="133" t="n">
        <f aca="false">IF(OR(EH$4="",$B23=""),0,SUMIF('DADOS BRUTOS'!$A$3:$A$500,$B23,'DADOS BRUTOS'!BH$3:BH$500)+IF($C23="",0,SUMIF('DADOS BRUTOS'!$A$3:$A$500,$C23,'DADOS BRUTOS'!BH$3:BH$500)))</f>
        <v>0</v>
      </c>
      <c r="EI23" s="133" t="n">
        <f aca="false">IF(OR(EI$4="",$B23=""),0,SUMIF('DADOS BRUTOS'!$A$3:$A$500,$B23,'DADOS BRUTOS'!BI$3:BI$500)+IF($C23="",0,SUMIF('DADOS BRUTOS'!$A$3:$A$500,$C23,'DADOS BRUTOS'!BI$3:BI$500)))</f>
        <v>0</v>
      </c>
      <c r="EJ23" s="133" t="n">
        <f aca="false">IF(OR(EJ$4="",$B23=""),0,SUMIF('DADOS BRUTOS'!$A$3:$A$500,$B23,'DADOS BRUTOS'!BJ$3:BJ$500)+IF($C23="",0,SUMIF('DADOS BRUTOS'!$A$3:$A$500,$C23,'DADOS BRUTOS'!BJ$3:BJ$500)))</f>
        <v>0</v>
      </c>
      <c r="EK23" s="133" t="n">
        <f aca="false">IF(OR(EK$4="",$B23=""),0,SUMIF('DADOS BRUTOS'!$A$3:$A$500,$B23,'DADOS BRUTOS'!BK$3:BK$500)+IF($C23="",0,SUMIF('DADOS BRUTOS'!$A$3:$A$500,$C23,'DADOS BRUTOS'!BK$3:BK$500)))</f>
        <v>0</v>
      </c>
      <c r="EL23" s="133" t="n">
        <f aca="false">IF(OR(EL$4="",$B23=""),0,SUMIF('DADOS BRUTOS'!$A$3:$A$500,$B23,'DADOS BRUTOS'!BL$3:BL$500)+IF($C23="",0,SUMIF('DADOS BRUTOS'!$A$3:$A$500,$C23,'DADOS BRUTOS'!BL$3:BL$500)))</f>
        <v>0</v>
      </c>
      <c r="EM23" s="133" t="n">
        <f aca="false">IF(OR(EM$4="",$B23=""),0,SUMIF('DADOS BRUTOS'!$A$3:$A$500,$B23,'DADOS BRUTOS'!BM$3:BM$500)+IF($C23="",0,SUMIF('DADOS BRUTOS'!$A$3:$A$500,$C23,'DADOS BRUTOS'!BM$3:BM$500)))</f>
        <v>0</v>
      </c>
      <c r="EN23" s="133" t="n">
        <f aca="false">IF(OR(EN$4="",$B23=""),0,SUMIF('DADOS BRUTOS'!$A$3:$A$500,$B23,'DADOS BRUTOS'!BN$3:BN$500)+IF($C23="",0,SUMIF('DADOS BRUTOS'!$A$3:$A$500,$C23,'DADOS BRUTOS'!BN$3:BN$500)))</f>
        <v>0</v>
      </c>
      <c r="EO23" s="133" t="n">
        <f aca="false">IF(OR(EO$4="",$B23=""),0,SUMIF('DADOS BRUTOS'!$A$3:$A$500,$B23,'DADOS BRUTOS'!BO$3:BO$500)+IF($C23="",0,SUMIF('DADOS BRUTOS'!$A$3:$A$500,$C23,'DADOS BRUTOS'!BO$3:BO$500)))</f>
        <v>0</v>
      </c>
      <c r="EP23" s="133" t="n">
        <f aca="false">IF(OR(EP$4="",$B23=""),0,SUMIF('DADOS BRUTOS'!$A$3:$A$500,$B23,'DADOS BRUTOS'!BP$3:BP$500)+IF($C23="",0,SUMIF('DADOS BRUTOS'!$A$3:$A$500,$C23,'DADOS BRUTOS'!BP$3:BP$500)))</f>
        <v>0</v>
      </c>
      <c r="EQ23" s="133" t="n">
        <f aca="false">IF(OR(EQ$4="",$B23=""),0,SUMIF('DADOS BRUTOS'!$A$3:$A$500,$B23,'DADOS BRUTOS'!BQ$3:BQ$500)+IF($C23="",0,SUMIF('DADOS BRUTOS'!$A$3:$A$500,$C23,'DADOS BRUTOS'!BQ$3:BQ$500)))</f>
        <v>0</v>
      </c>
      <c r="ER23" s="133" t="n">
        <f aca="false">IF(OR(ER$4="",$B23=""),0,SUMIF('DADOS BRUTOS'!$A$3:$A$500,$B23,'DADOS BRUTOS'!BR$3:BR$500)+IF($C23="",0,SUMIF('DADOS BRUTOS'!$A$3:$A$500,$C23,'DADOS BRUTOS'!BR$3:BR$500)))</f>
        <v>0</v>
      </c>
      <c r="ES23" s="133" t="n">
        <f aca="false">IF(OR(ES$4="",$B23=""),0,SUMIF('DADOS BRUTOS'!$A$3:$A$500,$B23,'DADOS BRUTOS'!BS$3:BS$500)+IF($C23="",0,SUMIF('DADOS BRUTOS'!$A$3:$A$500,$C23,'DADOS BRUTOS'!BS$3:BS$500)))</f>
        <v>0</v>
      </c>
      <c r="ET23" s="133" t="n">
        <f aca="false">IF(OR(ET$4="",$B23=""),0,SUMIF('DADOS BRUTOS'!$A$3:$A$500,$B23,'DADOS BRUTOS'!BT$3:BT$500)+IF($C23="",0,SUMIF('DADOS BRUTOS'!$A$3:$A$500,$C23,'DADOS BRUTOS'!BT$3:BT$500)))</f>
        <v>0</v>
      </c>
      <c r="EU23" s="133" t="n">
        <f aca="false">IF(OR(EU$4="",$B23=""),0,SUMIF('DADOS BRUTOS'!$A$3:$A$500,$B23,'DADOS BRUTOS'!BU$3:BU$500)+IF($C23="",0,SUMIF('DADOS BRUTOS'!$A$3:$A$500,$C23,'DADOS BRUTOS'!BU$3:BU$500)))</f>
        <v>0</v>
      </c>
      <c r="EV23" s="133" t="n">
        <f aca="false">IF(OR(EV$4="",$B23=""),0,SUMIF('DADOS BRUTOS'!$A$3:$A$500,$B23,'DADOS BRUTOS'!BV$3:BV$500)+IF($C23="",0,SUMIF('DADOS BRUTOS'!$A$3:$A$500,$C23,'DADOS BRUTOS'!BV$3:BV$500)))</f>
        <v>0</v>
      </c>
      <c r="EW23" s="133" t="n">
        <f aca="false">IF(OR(EW$4="",$B23=""),0,SUMIF('DADOS BRUTOS'!$A$3:$A$500,$B23,'DADOS BRUTOS'!BW$3:BW$500)+IF($C23="",0,SUMIF('DADOS BRUTOS'!$A$3:$A$500,$C23,'DADOS BRUTOS'!BW$3:BW$500)))</f>
        <v>0</v>
      </c>
      <c r="EX23" s="133" t="n">
        <f aca="false">IF(OR(EX$4="",$B23=""),0,SUMIF('DADOS BRUTOS'!$A$3:$A$500,$B23,'DADOS BRUTOS'!BX$3:BX$500)+IF($C23="",0,SUMIF('DADOS BRUTOS'!$A$3:$A$500,$C23,'DADOS BRUTOS'!BX$3:BX$500)))</f>
        <v>0</v>
      </c>
      <c r="EY23" s="133" t="n">
        <f aca="false">IF(OR(EY$4="",$B23=""),0,SUMIF('DADOS BRUTOS'!$A$3:$A$500,$B23,'DADOS BRUTOS'!BY$3:BY$500)+IF($C23="",0,SUMIF('DADOS BRUTOS'!$A$3:$A$500,$C23,'DADOS BRUTOS'!BY$3:BY$500)))</f>
        <v>0</v>
      </c>
      <c r="EZ23" s="133" t="n">
        <f aca="false">IF(OR(EZ$4="",$B23=""),0,SUMIF('DADOS BRUTOS'!$A$3:$A$500,$B23,'DADOS BRUTOS'!BZ$3:BZ$500)+IF($C23="",0,SUMIF('DADOS BRUTOS'!$A$3:$A$500,$C23,'DADOS BRUTOS'!BZ$3:BZ$500)))</f>
        <v>0</v>
      </c>
      <c r="FA23" s="133" t="n">
        <f aca="false">IF(OR(FA$4="",$B23=""),0,SUMIF('DADOS BRUTOS'!$A$3:$A$500,$B23,'DADOS BRUTOS'!CA$3:CA$500)+IF($C23="",0,SUMIF('DADOS BRUTOS'!$A$3:$A$500,$C23,'DADOS BRUTOS'!CA$3:CA$500)))</f>
        <v>0</v>
      </c>
      <c r="FB23" s="133" t="n">
        <f aca="false">IF(OR(FB$4="",$B23=""),0,SUMIF('DADOS BRUTOS'!$A$3:$A$500,$B23,'DADOS BRUTOS'!CB$3:CB$500)+IF($C23="",0,SUMIF('DADOS BRUTOS'!$A$3:$A$500,$C23,'DADOS BRUTOS'!CB$3:CB$500)))</f>
        <v>0</v>
      </c>
      <c r="FC23" s="133" t="n">
        <f aca="false">IF(OR(FC$4="",$B23=""),0,SUMIF('DADOS BRUTOS'!$A$3:$A$500,$B23,'DADOS BRUTOS'!CC$3:CC$500)+IF($C23="",0,SUMIF('DADOS BRUTOS'!$A$3:$A$500,$C23,'DADOS BRUTOS'!CC$3:CC$500)))</f>
        <v>0</v>
      </c>
      <c r="FD23" s="133" t="n">
        <f aca="false">IF(OR(FD$4="",$B23=""),0,SUMIF('DADOS BRUTOS'!$A$3:$A$500,$B23,'DADOS BRUTOS'!CD$3:CD$500)+IF($C23="",0,SUMIF('DADOS BRUTOS'!$A$3:$A$500,$C23,'DADOS BRUTOS'!CD$3:CD$500)))</f>
        <v>0</v>
      </c>
      <c r="FE23" s="133" t="n">
        <f aca="false">IF(OR(FE$4="",$B23=""),0,SUMIF('DADOS BRUTOS'!$A$3:$A$500,$B23,'DADOS BRUTOS'!CE$3:CE$500)+IF($C23="",0,SUMIF('DADOS BRUTOS'!$A$3:$A$500,$C23,'DADOS BRUTOS'!CE$3:CE$500)))</f>
        <v>0</v>
      </c>
      <c r="FF23" s="133" t="n">
        <f aca="false">IF(OR(FF$4="",$B23=""),0,SUMIF('DADOS BRUTOS'!$A$3:$A$500,$B23,'DADOS BRUTOS'!CF$3:CF$500)+IF($C23="",0,SUMIF('DADOS BRUTOS'!$A$3:$A$500,$C23,'DADOS BRUTOS'!CF$3:CF$500)))</f>
        <v>0</v>
      </c>
      <c r="FG23" s="133" t="n">
        <f aca="false">IF(OR(FG$4="",$B23=""),0,SUMIF('DADOS BRUTOS'!$A$3:$A$500,$B23,'DADOS BRUTOS'!CG$3:CG$500)+IF($C23="",0,SUMIF('DADOS BRUTOS'!$A$3:$A$500,$C23,'DADOS BRUTOS'!CG$3:CG$500)))</f>
        <v>0</v>
      </c>
      <c r="FH23" s="133" t="n">
        <f aca="false">IF(OR(FH$4="",$B23=""),0,SUMIF('DADOS BRUTOS'!$A$3:$A$500,$B23,'DADOS BRUTOS'!CH$3:CH$500)+IF($C23="",0,SUMIF('DADOS BRUTOS'!$A$3:$A$500,$C23,'DADOS BRUTOS'!CH$3:CH$500)))</f>
        <v>0</v>
      </c>
      <c r="FI23" s="133" t="n">
        <f aca="false">IF(OR(FI$4="",$B23=""),0,SUMIF('DADOS BRUTOS'!$A$3:$A$500,$B23,'DADOS BRUTOS'!CI$3:CI$500)+IF($C23="",0,SUMIF('DADOS BRUTOS'!$A$3:$A$500,$C23,'DADOS BRUTOS'!CI$3:CI$500)))</f>
        <v>0</v>
      </c>
      <c r="FJ23" s="133" t="n">
        <f aca="false">IF(OR(FJ$4="",$B23=""),0,SUMIF('DADOS BRUTOS'!$A$3:$A$500,$B23,'DADOS BRUTOS'!CJ$3:CJ$500)+IF($C23="",0,SUMIF('DADOS BRUTOS'!$A$3:$A$500,$C23,'DADOS BRUTOS'!CJ$3:CJ$500)))</f>
        <v>0</v>
      </c>
      <c r="FK23" s="133" t="n">
        <f aca="false">IF(OR(FK$4="",$B23=""),0,SUMIF('DADOS BRUTOS'!$A$3:$A$500,$B23,'DADOS BRUTOS'!CK$3:CK$500)+IF($C23="",0,SUMIF('DADOS BRUTOS'!$A$3:$A$500,$C23,'DADOS BRUTOS'!CK$3:CK$500)))</f>
        <v>0</v>
      </c>
      <c r="FL23" s="133" t="n">
        <f aca="false">IF(OR(FL$4="",$B23=""),0,SUMIF('DADOS BRUTOS'!$A$3:$A$500,$B23,'DADOS BRUTOS'!CL$3:CL$500)+IF($C23="",0,SUMIF('DADOS BRUTOS'!$A$3:$A$500,$C23,'DADOS BRUTOS'!CL$3:CL$500)))</f>
        <v>0</v>
      </c>
      <c r="FM23" s="133" t="n">
        <f aca="false">IF(OR(FM$4="",$B23=""),0,SUMIF('DADOS BRUTOS'!$A$3:$A$500,$B23,'DADOS BRUTOS'!CM$3:CM$500)+IF($C23="",0,SUMIF('DADOS BRUTOS'!$A$3:$A$500,$C23,'DADOS BRUTOS'!CM$3:CM$500)))</f>
        <v>0</v>
      </c>
      <c r="FN23" s="133" t="n">
        <f aca="false">IF(OR(FN$4="",$B23=""),0,SUMIF('DADOS BRUTOS'!$A$3:$A$500,$B23,'DADOS BRUTOS'!CN$3:CN$500)+IF($C23="",0,SUMIF('DADOS BRUTOS'!$A$3:$A$500,$C23,'DADOS BRUTOS'!CN$3:CN$500)))</f>
        <v>0</v>
      </c>
      <c r="FO23" s="133" t="n">
        <f aca="false">IF(OR(FO$4="",$B23=""),0,SUMIF('DADOS BRUTOS'!$A$3:$A$500,$B23,'DADOS BRUTOS'!CO$3:CO$500)+IF($C23="",0,SUMIF('DADOS BRUTOS'!$A$3:$A$500,$C23,'DADOS BRUTOS'!CO$3:CO$500)))</f>
        <v>0</v>
      </c>
      <c r="FP23" s="133" t="n">
        <f aca="false">IF(OR(FP$4="",$B23=""),0,SUMIF('DADOS BRUTOS'!$A$3:$A$500,$B23,'DADOS BRUTOS'!CP$3:CP$500)+IF($C23="",0,SUMIF('DADOS BRUTOS'!$A$3:$A$500,$C23,'DADOS BRUTOS'!CP$3:CP$500)))</f>
        <v>0</v>
      </c>
      <c r="FQ23" s="133" t="n">
        <f aca="false">IF(OR(FQ$4="",$B23=""),0,SUMIF('DADOS BRUTOS'!$A$3:$A$500,$B23,'DADOS BRUTOS'!CQ$3:CQ$500)+IF($C23="",0,SUMIF('DADOS BRUTOS'!$A$3:$A$500,$C23,'DADOS BRUTOS'!CQ$3:CQ$500)))</f>
        <v>0</v>
      </c>
      <c r="FR23" s="133" t="n">
        <f aca="false">IF(OR(FR$4="",$B23=""),0,SUMIF('DADOS BRUTOS'!$A$3:$A$500,$B23,'DADOS BRUTOS'!CR$3:CR$500)+IF($C23="",0,SUMIF('DADOS BRUTOS'!$A$3:$A$500,$C23,'DADOS BRUTOS'!CR$3:CR$500)))</f>
        <v>0</v>
      </c>
      <c r="FS23" s="133" t="n">
        <f aca="false">IF(OR(FS$4="",$B23=""),0,SUMIF('DADOS BRUTOS'!$A$3:$A$500,$B23,'DADOS BRUTOS'!CS$3:CS$500)+IF($C23="",0,SUMIF('DADOS BRUTOS'!$A$3:$A$500,$C23,'DADOS BRUTOS'!CS$3:CS$500)))</f>
        <v>0</v>
      </c>
      <c r="FT23" s="133" t="n">
        <f aca="false">IF(OR(FT$4="",$B23=""),0,SUMIF('DADOS BRUTOS'!$A$3:$A$500,$B23,'DADOS BRUTOS'!CT$3:CT$500)+IF($C23="",0,SUMIF('DADOS BRUTOS'!$A$3:$A$500,$C23,'DADOS BRUTOS'!CT$3:CT$500)))</f>
        <v>0</v>
      </c>
      <c r="FU23" s="133" t="n">
        <f aca="false">IF(OR(FU$4="",$B23=""),0,SUMIF('DADOS BRUTOS'!$A$3:$A$500,$B23,'DADOS BRUTOS'!CU$3:CU$500)+IF($C23="",0,SUMIF('DADOS BRUTOS'!$A$3:$A$500,$C23,'DADOS BRUTOS'!CU$3:CU$500)))</f>
        <v>0</v>
      </c>
      <c r="FV23" s="133" t="n">
        <f aca="false">IF(OR(FV$4="",$B23=""),0,SUMIF('DADOS BRUTOS'!$A$3:$A$500,$B23,'DADOS BRUTOS'!CV$3:CV$500)+IF($C23="",0,SUMIF('DADOS BRUTOS'!$A$3:$A$500,$C23,'DADOS BRUTOS'!CV$3:CV$500)))</f>
        <v>0</v>
      </c>
      <c r="FW23" s="133" t="n">
        <f aca="false">IF(OR(FW$4="",$B23=""),0,SUMIF('DADOS BRUTOS'!$A$3:$A$500,$B23,'DADOS BRUTOS'!CW$3:CW$500)+IF($C23="",0,SUMIF('DADOS BRUTOS'!$A$3:$A$500,$C23,'DADOS BRUTOS'!CW$3:CW$500)))</f>
        <v>0</v>
      </c>
      <c r="FX23" s="133" t="n">
        <f aca="false">IF(OR(FX$4="",$B23=""),0,SUMIF('DADOS BRUTOS'!$A$3:$A$500,$B23,'DADOS BRUTOS'!CX$3:CX$500)+IF($C23="",0,SUMIF('DADOS BRUTOS'!$A$3:$A$500,$C23,'DADOS BRUTOS'!CX$3:CX$500)))</f>
        <v>0</v>
      </c>
      <c r="FY23" s="133" t="n">
        <f aca="false">IF(OR(FY$4="",$B23=""),0,SUMIF('DADOS BRUTOS'!$A$3:$A$500,$B23,'DADOS BRUTOS'!CY$3:CY$500)+IF($C23="",0,SUMIF('DADOS BRUTOS'!$A$3:$A$500,$C23,'DADOS BRUTOS'!CY$3:CY$500)))</f>
        <v>0</v>
      </c>
      <c r="FZ23" s="133" t="n">
        <f aca="false">IF(OR(FZ$4="",$B23=""),0,SUMIF('DADOS BRUTOS'!$A$3:$A$500,$B23,'DADOS BRUTOS'!CZ$3:CZ$500)+IF($C23="",0,SUMIF('DADOS BRUTOS'!$A$3:$A$500,$C23,'DADOS BRUTOS'!CZ$3:CZ$500)))</f>
        <v>0</v>
      </c>
      <c r="GA23" s="133" t="n">
        <f aca="false">IF(OR(GA$4="",$B23=""),0,SUMIF('DADOS BRUTOS'!$A$3:$A$500,$B23,'DADOS BRUTOS'!DA$3:DA$500)+IF($C23="",0,SUMIF('DADOS BRUTOS'!$A$3:$A$500,$C23,'DADOS BRUTOS'!DA$3:DA$500)))</f>
        <v>0</v>
      </c>
      <c r="GB23" s="133" t="n">
        <f aca="false">IF(OR(GB$4="",$B23=""),0,SUMIF('DADOS BRUTOS'!$A$3:$A$500,$B23,'DADOS BRUTOS'!DB$3:DB$500)+IF($C23="",0,SUMIF('DADOS BRUTOS'!$A$3:$A$500,$C23,'DADOS BRUTOS'!DB$3:DB$500)))</f>
        <v>0</v>
      </c>
      <c r="GC23" s="133" t="n">
        <f aca="false">IF(OR(GC$4="",$B23=""),0,SUMIF('DADOS BRUTOS'!$A$3:$A$500,$B23,'DADOS BRUTOS'!DC$3:DC$500)+IF($C23="",0,SUMIF('DADOS BRUTOS'!$A$3:$A$500,$C23,'DADOS BRUTOS'!DC$3:DC$500)))</f>
        <v>0</v>
      </c>
      <c r="GD23" s="133" t="n">
        <f aca="false">IF(OR(GD$4="",$B23=""),0,SUMIF('DADOS BRUTOS'!$A$3:$A$500,$B23,'DADOS BRUTOS'!DD$3:DD$500)+IF($C23="",0,SUMIF('DADOS BRUTOS'!$A$3:$A$500,$C23,'DADOS BRUTOS'!DD$3:DD$500)))</f>
        <v>0</v>
      </c>
      <c r="GE23" s="133" t="n">
        <f aca="false">IF(OR(GE$4="",$B23=""),0,SUMIF('DADOS BRUTOS'!$A$3:$A$500,$B23,'DADOS BRUTOS'!DE$3:DE$500)+IF($C23="",0,SUMIF('DADOS BRUTOS'!$A$3:$A$500,$C23,'DADOS BRUTOS'!DE$3:DE$500)))</f>
        <v>0</v>
      </c>
      <c r="GF23" s="133" t="n">
        <f aca="false">IF(OR(GF$4="",$B23=""),0,SUMIF('DADOS BRUTOS'!$A$3:$A$500,$B23,'DADOS BRUTOS'!DF$3:DF$500)+IF($C23="",0,SUMIF('DADOS BRUTOS'!$A$3:$A$500,$C23,'DADOS BRUTOS'!DF$3:DF$500)))</f>
        <v>0</v>
      </c>
      <c r="GG23" s="133" t="n">
        <f aca="false">IF(OR(GG$4="",$B23=""),0,SUMIF('DADOS BRUTOS'!$A$3:$A$500,$B23,'DADOS BRUTOS'!DG$3:DG$500)+IF($C23="",0,SUMIF('DADOS BRUTOS'!$A$3:$A$500,$C23,'DADOS BRUTOS'!DG$3:DG$500)))</f>
        <v>0</v>
      </c>
      <c r="GH23" s="133" t="n">
        <f aca="false">IF(OR(GH$4="",$B23=""),0,SUMIF('DADOS BRUTOS'!$A$3:$A$500,$B23,'DADOS BRUTOS'!DH$3:DH$500)+IF($C23="",0,SUMIF('DADOS BRUTOS'!$A$3:$A$500,$C23,'DADOS BRUTOS'!DH$3:DH$500)))</f>
        <v>0</v>
      </c>
      <c r="GI23" s="133" t="n">
        <f aca="false">IF(OR(GI$4="",$B23=""),0,SUMIF('DADOS BRUTOS'!$A$3:$A$500,$B23,'DADOS BRUTOS'!DI$3:DI$500)+IF($C23="",0,SUMIF('DADOS BRUTOS'!$A$3:$A$500,$C23,'DADOS BRUTOS'!DI$3:DI$500)))</f>
        <v>0</v>
      </c>
      <c r="GJ23" s="133" t="n">
        <f aca="false">IF(OR(GJ$4="",$B23=""),0,SUMIF('DADOS BRUTOS'!$A$3:$A$500,$B23,'DADOS BRUTOS'!DJ$3:DJ$500)+IF($C23="",0,SUMIF('DADOS BRUTOS'!$A$3:$A$500,$C23,'DADOS BRUTOS'!DJ$3:DJ$500)))</f>
        <v>0</v>
      </c>
      <c r="GK23" s="133" t="n">
        <f aca="false">IF(OR(GK$4="",$B23=""),0,SUMIF('DADOS BRUTOS'!$A$3:$A$500,$B23,'DADOS BRUTOS'!DK$3:DK$500)+IF($C23="",0,SUMIF('DADOS BRUTOS'!$A$3:$A$500,$C23,'DADOS BRUTOS'!DK$3:DK$500)))</f>
        <v>0</v>
      </c>
      <c r="GL23" s="133" t="n">
        <f aca="false">IF(OR(GL$4="",$B23=""),0,SUMIF('DADOS BRUTOS'!$A$3:$A$500,$B23,'DADOS BRUTOS'!DL$3:DL$500)+IF($C23="",0,SUMIF('DADOS BRUTOS'!$A$3:$A$500,$C23,'DADOS BRUTOS'!DL$3:DL$500)))</f>
        <v>0</v>
      </c>
      <c r="GM23" s="133" t="n">
        <f aca="false">IF(OR(GM$4="",$B23=""),0,SUMIF('DADOS BRUTOS'!$A$3:$A$500,$B23,'DADOS BRUTOS'!DM$3:DM$500)+IF($C23="",0,SUMIF('DADOS BRUTOS'!$A$3:$A$500,$C23,'DADOS BRUTOS'!DM$3:DM$500)))</f>
        <v>0</v>
      </c>
      <c r="GN23" s="133" t="n">
        <f aca="false">IF(OR(GN$4="",$B23=""),0,SUMIF('DADOS BRUTOS'!$A$3:$A$500,$B23,'DADOS BRUTOS'!DN$3:DN$500)+IF($C23="",0,SUMIF('DADOS BRUTOS'!$A$3:$A$500,$C23,'DADOS BRUTOS'!DN$3:DN$500)))</f>
        <v>0</v>
      </c>
      <c r="GO23" s="133" t="n">
        <f aca="false">IF(OR(GO$4="",$B23=""),0,SUMIF('DADOS BRUTOS'!$A$3:$A$500,$B23,'DADOS BRUTOS'!DO$3:DO$500)+IF($C23="",0,SUMIF('DADOS BRUTOS'!$A$3:$A$500,$C23,'DADOS BRUTOS'!DO$3:DO$500)))</f>
        <v>0</v>
      </c>
      <c r="GP23" s="133" t="n">
        <f aca="false">IF(OR(GP$4="",$B23=""),0,SUMIF('DADOS BRUTOS'!$A$3:$A$500,$B23,'DADOS BRUTOS'!DP$3:DP$500)+IF($C23="",0,SUMIF('DADOS BRUTOS'!$A$3:$A$500,$C23,'DADOS BRUTOS'!DP$3:DP$500)))</f>
        <v>0</v>
      </c>
      <c r="GQ23" s="133" t="n">
        <f aca="false">IF(OR(GQ$4="",$B23=""),0,SUMIF('DADOS BRUTOS'!$A$3:$A$500,$B23,'DADOS BRUTOS'!DQ$3:DQ$500)+IF($C23="",0,SUMIF('DADOS BRUTOS'!$A$3:$A$500,$C23,'DADOS BRUTOS'!DQ$3:DQ$500)))</f>
        <v>0</v>
      </c>
      <c r="GR23" s="133" t="n">
        <f aca="false">IF(OR(GR$4="",$B23=""),0,SUMIF('DADOS BRUTOS'!$A$3:$A$500,$B23,'DADOS BRUTOS'!DR$3:DR$500)+IF($C23="",0,SUMIF('DADOS BRUTOS'!$A$3:$A$500,$C23,'DADOS BRUTOS'!DR$3:DR$500)))</f>
        <v>0</v>
      </c>
      <c r="GS23" s="133" t="n">
        <f aca="false">IF(OR(GS$4="",$B23=""),0,SUMIF('DADOS BRUTOS'!$A$3:$A$500,$B23,'DADOS BRUTOS'!DS$3:DS$500)+IF($C23="",0,SUMIF('DADOS BRUTOS'!$A$3:$A$500,$C23,'DADOS BRUTOS'!DS$3:DS$500)))</f>
        <v>0</v>
      </c>
      <c r="GT23" s="133" t="n">
        <f aca="false">IF(OR(GT$4="",$B23=""),0,SUMIF('DADOS BRUTOS'!$A$3:$A$500,$B23,'DADOS BRUTOS'!DT$3:DT$500)+IF($C23="",0,SUMIF('DADOS BRUTOS'!$A$3:$A$500,$C23,'DADOS BRUTOS'!DT$3:DT$500)))</f>
        <v>0</v>
      </c>
      <c r="GU23" s="133" t="n">
        <f aca="false">IF(OR(GU$4="",$B23=""),0,SUMIF('DADOS BRUTOS'!$A$3:$A$500,$B23,'DADOS BRUTOS'!DU$3:DU$500)+IF($C23="",0,SUMIF('DADOS BRUTOS'!$A$3:$A$500,$C23,'DADOS BRUTOS'!DU$3:DU$500)))</f>
        <v>0</v>
      </c>
      <c r="GV23" s="133" t="n">
        <f aca="false">IF(OR(GV$4="",$B23=""),0,SUMIF('DADOS BRUTOS'!$A$3:$A$500,$B23,'DADOS BRUTOS'!DV$3:DV$500)+IF($C23="",0,SUMIF('DADOS BRUTOS'!$A$3:$A$500,$C23,'DADOS BRUTOS'!DV$3:DV$500)))</f>
        <v>0</v>
      </c>
      <c r="GW23" s="133" t="n">
        <f aca="false">IF(OR(GW$4="",$B23=""),0,SUMIF('DADOS BRUTOS'!$A$3:$A$500,$B23,'DADOS BRUTOS'!DW$3:DW$500)+IF($C23="",0,SUMIF('DADOS BRUTOS'!$A$3:$A$500,$C23,'DADOS BRUTOS'!DW$3:DW$500)))</f>
        <v>0</v>
      </c>
      <c r="GX23" s="133" t="n">
        <f aca="false">IF(OR(GX$4="",$B23=""),0,SUMIF('DADOS BRUTOS'!$A$3:$A$500,$B23,'DADOS BRUTOS'!DX$3:DX$500)+IF($C23="",0,SUMIF('DADOS BRUTOS'!$A$3:$A$500,$C23,'DADOS BRUTOS'!DX$3:DX$500)))</f>
        <v>0</v>
      </c>
      <c r="GY23" s="133" t="n">
        <f aca="false">IF(OR(GY$4="",$B23=""),0,SUMIF('DADOS BRUTOS'!$A$3:$A$500,$B23,'DADOS BRUTOS'!DY$3:DY$500)+IF($C23="",0,SUMIF('DADOS BRUTOS'!$A$3:$A$500,$C23,'DADOS BRUTOS'!DY$3:DY$500)))</f>
        <v>0</v>
      </c>
      <c r="GZ23" s="133" t="n">
        <f aca="false">IF(OR(GZ$4="",$B23=""),0,SUMIF('DADOS BRUTOS'!$A$3:$A$500,$B23,'DADOS BRUTOS'!DZ$3:DZ$500)+IF($C23="",0,SUMIF('DADOS BRUTOS'!$A$3:$A$500,$C23,'DADOS BRUTOS'!DZ$3:DZ$500)))</f>
        <v>0</v>
      </c>
      <c r="HA23" s="133" t="n">
        <f aca="false">IF(OR(HA$4="",$B23=""),0,SUMIF('DADOS BRUTOS'!$A$3:$A$500,$B23,'DADOS BRUTOS'!EA$3:EA$500)+IF($C23="",0,SUMIF('DADOS BRUTOS'!$A$3:$A$500,$C23,'DADOS BRUTOS'!EA$3:EA$500)))</f>
        <v>0</v>
      </c>
      <c r="HB23" s="133" t="n">
        <f aca="false">IF(OR(HB$4="",$B23=""),0,SUMIF('DADOS BRUTOS'!$A$3:$A$500,$B23,'DADOS BRUTOS'!EB$3:EB$500)+IF($C23="",0,SUMIF('DADOS BRUTOS'!$A$3:$A$500,$C23,'DADOS BRUTOS'!EB$3:EB$500)))</f>
        <v>0</v>
      </c>
      <c r="HC23" s="133" t="n">
        <f aca="false">IF(OR(HC$4="",$B23=""),0,SUMIF('DADOS BRUTOS'!$A$3:$A$500,$B23,'DADOS BRUTOS'!EC$3:EC$500)+IF($C23="",0,SUMIF('DADOS BRUTOS'!$A$3:$A$500,$C23,'DADOS BRUTOS'!EC$3:EC$500)))</f>
        <v>0</v>
      </c>
      <c r="HD23" s="133" t="n">
        <f aca="false">IF(OR(HD$4="",$B23=""),0,SUMIF('DADOS BRUTOS'!$A$3:$A$500,$B23,'DADOS BRUTOS'!ED$3:ED$500)+IF($C23="",0,SUMIF('DADOS BRUTOS'!$A$3:$A$500,$C23,'DADOS BRUTOS'!ED$3:ED$500)))</f>
        <v>0</v>
      </c>
      <c r="HE23" s="133" t="n">
        <f aca="false">IF(OR(HE$4="",$B23=""),0,SUMIF('DADOS BRUTOS'!$A$3:$A$500,$B23,'DADOS BRUTOS'!EE$3:EE$500)+IF($C23="",0,SUMIF('DADOS BRUTOS'!$A$3:$A$500,$C23,'DADOS BRUTOS'!EE$3:EE$500)))</f>
        <v>0</v>
      </c>
      <c r="HF23" s="133" t="n">
        <f aca="false">IF(OR(HF$4="",$B23=""),0,SUMIF('DADOS BRUTOS'!$A$3:$A$500,$B23,'DADOS BRUTOS'!EF$3:EF$500)+IF($C23="",0,SUMIF('DADOS BRUTOS'!$A$3:$A$500,$C23,'DADOS BRUTOS'!EF$3:EF$500)))</f>
        <v>0</v>
      </c>
      <c r="HG23" s="133" t="n">
        <f aca="false">IF(OR(HG$4="",$B23=""),0,SUMIF('DADOS BRUTOS'!$A$3:$A$500,$B23,'DADOS BRUTOS'!EG$3:EG$500)+IF($C23="",0,SUMIF('DADOS BRUTOS'!$A$3:$A$500,$C23,'DADOS BRUTOS'!EG$3:EG$500)))</f>
        <v>0</v>
      </c>
      <c r="HH23" s="133" t="n">
        <f aca="false">IF(OR(HH$4="",$B23=""),0,SUMIF('DADOS BRUTOS'!$A$3:$A$500,$B23,'DADOS BRUTOS'!EH$3:EH$500)+IF($C23="",0,SUMIF('DADOS BRUTOS'!$A$3:$A$500,$C23,'DADOS BRUTOS'!EH$3:EH$500)))</f>
        <v>0</v>
      </c>
      <c r="HI23" s="133" t="n">
        <f aca="false">IF(OR(HI$4="",$B23=""),0,SUMIF('DADOS BRUTOS'!$A$3:$A$500,$B23,'DADOS BRUTOS'!EI$3:EI$500)+IF($C23="",0,SUMIF('DADOS BRUTOS'!$A$3:$A$500,$C23,'DADOS BRUTOS'!EI$3:EI$500)))</f>
        <v>0</v>
      </c>
      <c r="HJ23" s="133" t="n">
        <f aca="false">IF(OR(HJ$4="",$B23=""),0,SUMIF('DADOS BRUTOS'!$A$3:$A$500,$B23,'DADOS BRUTOS'!EJ$3:EJ$500)+IF($C23="",0,SUMIF('DADOS BRUTOS'!$A$3:$A$500,$C23,'DADOS BRUTOS'!EJ$3:EJ$500)))</f>
        <v>0</v>
      </c>
      <c r="HK23" s="133" t="n">
        <f aca="false">IF(OR(HK$4="",$B23=""),0,SUMIF('DADOS BRUTOS'!$A$3:$A$500,$B23,'DADOS BRUTOS'!EK$3:EK$500)+IF($C23="",0,SUMIF('DADOS BRUTOS'!$A$3:$A$500,$C23,'DADOS BRUTOS'!EK$3:EK$500)))</f>
        <v>0</v>
      </c>
      <c r="HL23" s="133" t="n">
        <f aca="false">IF(OR(HL$4="",$B23=""),0,SUMIF('DADOS BRUTOS'!$A$3:$A$500,$B23,'DADOS BRUTOS'!EL$3:EL$500)+IF($C23="",0,SUMIF('DADOS BRUTOS'!$A$3:$A$500,$C23,'DADOS BRUTOS'!EL$3:EL$500)))</f>
        <v>0</v>
      </c>
      <c r="HM23" s="133" t="n">
        <f aca="false">IF(OR(HM$4="",$B23=""),0,SUMIF('DADOS BRUTOS'!$A$3:$A$500,$B23,'DADOS BRUTOS'!EM$3:EM$500)+IF($C23="",0,SUMIF('DADOS BRUTOS'!$A$3:$A$500,$C23,'DADOS BRUTOS'!EM$3:EM$500)))</f>
        <v>0</v>
      </c>
      <c r="HN23" s="133" t="n">
        <f aca="false">IF(OR(HN$4="",$B23=""),0,SUMIF('DADOS BRUTOS'!$A$3:$A$500,$B23,'DADOS BRUTOS'!EN$3:EN$500)+IF($C23="",0,SUMIF('DADOS BRUTOS'!$A$3:$A$500,$C23,'DADOS BRUTOS'!EN$3:EN$500)))</f>
        <v>0</v>
      </c>
      <c r="HO23" s="133" t="n">
        <f aca="false">IF(OR(HO$4="",$B23=""),0,SUMIF('DADOS BRUTOS'!$A$3:$A$500,$B23,'DADOS BRUTOS'!EO$3:EO$500)+IF($C23="",0,SUMIF('DADOS BRUTOS'!$A$3:$A$500,$C23,'DADOS BRUTOS'!EO$3:EO$500)))</f>
        <v>0</v>
      </c>
      <c r="HP23" s="133" t="n">
        <f aca="false">IF(OR(HP$4="",$B23=""),0,SUMIF('DADOS BRUTOS'!$A$3:$A$500,$B23,'DADOS BRUTOS'!EP$3:EP$500)+IF($C23="",0,SUMIF('DADOS BRUTOS'!$A$3:$A$500,$C23,'DADOS BRUTOS'!EP$3:EP$500)))</f>
        <v>0</v>
      </c>
      <c r="HQ23" s="133" t="n">
        <f aca="false">IF(OR(HQ$4="",$B23=""),0,SUMIF('DADOS BRUTOS'!$A$3:$A$500,$B23,'DADOS BRUTOS'!EQ$3:EQ$500)+IF($C23="",0,SUMIF('DADOS BRUTOS'!$A$3:$A$500,$C23,'DADOS BRUTOS'!EQ$3:EQ$500)))</f>
        <v>0</v>
      </c>
      <c r="HR23" s="133" t="n">
        <f aca="false">IF(OR(HR$4="",$B23=""),0,SUMIF('DADOS BRUTOS'!$A$3:$A$500,$B23,'DADOS BRUTOS'!ER$3:ER$500)+IF($C23="",0,SUMIF('DADOS BRUTOS'!$A$3:$A$500,$C23,'DADOS BRUTOS'!ER$3:ER$500)))</f>
        <v>0</v>
      </c>
      <c r="HS23" s="133" t="n">
        <f aca="false">IF(OR(HS$4="",$B23=""),0,SUMIF('DADOS BRUTOS'!$A$3:$A$500,$B23,'DADOS BRUTOS'!ES$3:ES$500)+IF($C23="",0,SUMIF('DADOS BRUTOS'!$A$3:$A$500,$C23,'DADOS BRUTOS'!ES$3:ES$500)))</f>
        <v>0</v>
      </c>
      <c r="HT23" s="133" t="n">
        <f aca="false">IF(OR(HT$4="",$B23=""),0,SUMIF('DADOS BRUTOS'!$A$3:$A$500,$B23,'DADOS BRUTOS'!ET$3:ET$500)+IF($C23="",0,SUMIF('DADOS BRUTOS'!$A$3:$A$500,$C23,'DADOS BRUTOS'!ET$3:ET$500)))</f>
        <v>0</v>
      </c>
      <c r="HU23" s="133" t="n">
        <f aca="false">IF(OR(HU$4="",$B23=""),0,SUMIF('DADOS BRUTOS'!$A$3:$A$500,$B23,'DADOS BRUTOS'!EU$3:EU$500)+IF($C23="",0,SUMIF('DADOS BRUTOS'!$A$3:$A$500,$C23,'DADOS BRUTOS'!EU$3:EU$500)))</f>
        <v>0</v>
      </c>
      <c r="HV23" s="133" t="n">
        <f aca="false">IF(OR(HV$4="",$B23=""),0,SUMIF('DADOS BRUTOS'!$A$3:$A$500,$B23,'DADOS BRUTOS'!EV$3:EV$500)+IF($C23="",0,SUMIF('DADOS BRUTOS'!$A$3:$A$500,$C23,'DADOS BRUTOS'!EV$3:EV$500)))</f>
        <v>0</v>
      </c>
      <c r="HW23" s="133" t="n">
        <f aca="false">IF(OR(HW$4="",$B23=""),0,SUMIF('DADOS BRUTOS'!$A$3:$A$500,$B23,'DADOS BRUTOS'!EW$3:EW$500)+IF($C23="",0,SUMIF('DADOS BRUTOS'!$A$3:$A$500,$C23,'DADOS BRUTOS'!EW$3:EW$500)))</f>
        <v>0</v>
      </c>
      <c r="HX23" s="133" t="n">
        <f aca="false">IF(OR(HX$4="",$B23=""),0,SUMIF('DADOS BRUTOS'!$A$3:$A$500,$B23,'DADOS BRUTOS'!EX$3:EX$500)+IF($C23="",0,SUMIF('DADOS BRUTOS'!$A$3:$A$500,$C23,'DADOS BRUTOS'!EX$3:EX$500)))</f>
        <v>0</v>
      </c>
      <c r="HY23" s="133" t="n">
        <f aca="false">IF(OR(HY$4="",$B23=""),0,SUMIF('DADOS BRUTOS'!$A$3:$A$500,$B23,'DADOS BRUTOS'!EY$3:EY$500)+IF($C23="",0,SUMIF('DADOS BRUTOS'!$A$3:$A$500,$C23,'DADOS BRUTOS'!EY$3:EY$500)))</f>
        <v>0</v>
      </c>
      <c r="HZ23" s="133" t="n">
        <f aca="false">IF(OR(HZ$4="",$B23=""),0,SUMIF('DADOS BRUTOS'!$A$3:$A$500,$B23,'DADOS BRUTOS'!EZ$3:EZ$500)+IF($C23="",0,SUMIF('DADOS BRUTOS'!$A$3:$A$500,$C23,'DADOS BRUTOS'!EZ$3:EZ$500)))</f>
        <v>0</v>
      </c>
      <c r="IA23" s="133" t="n">
        <f aca="false">IF(OR(IA$4="",$B23=""),0,SUMIF('DADOS BRUTOS'!$A$3:$A$500,$B23,'DADOS BRUTOS'!FA$3:FA$500)+IF($C23="",0,SUMIF('DADOS BRUTOS'!$A$3:$A$500,$C23,'DADOS BRUTOS'!FA$3:FA$500)))</f>
        <v>0</v>
      </c>
      <c r="IB23" s="133" t="n">
        <f aca="false">IF(OR(IB$4="",$B23=""),0,SUMIF('DADOS BRUTOS'!$A$3:$A$500,$B23,'DADOS BRUTOS'!FB$3:FB$500)+IF($C23="",0,SUMIF('DADOS BRUTOS'!$A$3:$A$500,$C23,'DADOS BRUTOS'!FB$3:FB$500)))</f>
        <v>0</v>
      </c>
      <c r="IC23" s="133" t="n">
        <f aca="false">IF(OR(IC$4="",$B23=""),0,SUMIF('DADOS BRUTOS'!$A$3:$A$500,$B23,'DADOS BRUTOS'!FC$3:FC$500)+IF($C23="",0,SUMIF('DADOS BRUTOS'!$A$3:$A$500,$C23,'DADOS BRUTOS'!FC$3:FC$500)))</f>
        <v>0</v>
      </c>
      <c r="ID23" s="133" t="n">
        <f aca="false">IF(OR(ID$4="",$B23=""),0,SUMIF('DADOS BRUTOS'!$A$3:$A$500,$B23,'DADOS BRUTOS'!FD$3:FD$500)+IF($C23="",0,SUMIF('DADOS BRUTOS'!$A$3:$A$500,$C23,'DADOS BRUTOS'!FD$3:FD$500)))</f>
        <v>0</v>
      </c>
      <c r="IE23" s="133" t="n">
        <f aca="false">IF(OR(IE$4="",$B23=""),0,SUMIF('DADOS BRUTOS'!$A$3:$A$500,$B23,'DADOS BRUTOS'!FE$3:FE$500)+IF($C23="",0,SUMIF('DADOS BRUTOS'!$A$3:$A$500,$C23,'DADOS BRUTOS'!FE$3:FE$500)))</f>
        <v>0</v>
      </c>
      <c r="IF23" s="133" t="n">
        <f aca="false">IF(OR(IF$4="",$B23=""),0,SUMIF('DADOS BRUTOS'!$A$3:$A$500,$B23,'DADOS BRUTOS'!FF$3:FF$500)+IF($C23="",0,SUMIF('DADOS BRUTOS'!$A$3:$A$500,$C23,'DADOS BRUTOS'!FF$3:FF$500)))</f>
        <v>0</v>
      </c>
      <c r="IG23" s="133" t="n">
        <f aca="false">IF(OR(IG$4="",$B23=""),0,SUMIF('DADOS BRUTOS'!$A$3:$A$500,$B23,'DADOS BRUTOS'!FG$3:FG$500)+IF($C23="",0,SUMIF('DADOS BRUTOS'!$A$3:$A$500,$C23,'DADOS BRUTOS'!FG$3:FG$500)))</f>
        <v>0</v>
      </c>
      <c r="IH23" s="133" t="n">
        <f aca="false">IF(OR(IH$4="",$B23=""),0,SUMIF('DADOS BRUTOS'!$A$3:$A$500,$B23,'DADOS BRUTOS'!FH$3:FH$500)+IF($C23="",0,SUMIF('DADOS BRUTOS'!$A$3:$A$500,$C23,'DADOS BRUTOS'!FH$3:FH$500)))</f>
        <v>0</v>
      </c>
      <c r="II23" s="133" t="n">
        <f aca="false">IF(OR(II$4="",$B23=""),0,SUMIF('DADOS BRUTOS'!$A$3:$A$500,$B23,'DADOS BRUTOS'!FI$3:FI$500)+IF($C23="",0,SUMIF('DADOS BRUTOS'!$A$3:$A$500,$C23,'DADOS BRUTOS'!FI$3:FI$500)))</f>
        <v>0</v>
      </c>
      <c r="IJ23" s="133" t="n">
        <f aca="false">IF(OR(IJ$4="",$B23=""),0,SUMIF('DADOS BRUTOS'!$A$3:$A$500,$B23,'DADOS BRUTOS'!FJ$3:FJ$500)+IF($C23="",0,SUMIF('DADOS BRUTOS'!$A$3:$A$500,$C23,'DADOS BRUTOS'!FJ$3:FJ$500)))</f>
        <v>0</v>
      </c>
      <c r="IK23" s="133" t="n">
        <f aca="false">IF(OR(IK$4="",$B23=""),0,SUMIF('DADOS BRUTOS'!$A$3:$A$500,$B23,'DADOS BRUTOS'!FK$3:FK$500)+IF($C23="",0,SUMIF('DADOS BRUTOS'!$A$3:$A$500,$C23,'DADOS BRUTOS'!FK$3:FK$500)))</f>
        <v>0</v>
      </c>
      <c r="IL23" s="133" t="n">
        <f aca="false">IF(OR(IL$4="",$B23=""),0,SUMIF('DADOS BRUTOS'!$A$3:$A$500,$B23,'DADOS BRUTOS'!FL$3:FL$500)+IF($C23="",0,SUMIF('DADOS BRUTOS'!$A$3:$A$500,$C23,'DADOS BRUTOS'!FL$3:FL$500)))</f>
        <v>0</v>
      </c>
      <c r="IM23" s="133" t="n">
        <f aca="false">IF(OR(IM$4="",$B23=""),0,SUMIF('DADOS BRUTOS'!$A$3:$A$500,$B23,'DADOS BRUTOS'!FM$3:FM$500)+IF($C23="",0,SUMIF('DADOS BRUTOS'!$A$3:$A$500,$C23,'DADOS BRUTOS'!FM$3:FM$500)))</f>
        <v>0</v>
      </c>
      <c r="IN23" s="133" t="n">
        <f aca="false">IF(OR(IN$4="",$B23=""),0,SUMIF('DADOS BRUTOS'!$A$3:$A$500,$B23,'DADOS BRUTOS'!FN$3:FN$500)+IF($C23="",0,SUMIF('DADOS BRUTOS'!$A$3:$A$500,$C23,'DADOS BRUTOS'!FN$3:FN$500)))</f>
        <v>0</v>
      </c>
      <c r="IO23" s="133" t="n">
        <f aca="false">IF(OR(IO$4="",$B23=""),0,SUMIF('DADOS BRUTOS'!$A$3:$A$500,$B23,'DADOS BRUTOS'!FO$3:FO$500)+IF($C23="",0,SUMIF('DADOS BRUTOS'!$A$3:$A$500,$C23,'DADOS BRUTOS'!FO$3:FO$500)))</f>
        <v>0</v>
      </c>
      <c r="IP23" s="133" t="n">
        <f aca="false">IF(OR(IP$4="",$B23=""),0,SUMIF('DADOS BRUTOS'!$A$3:$A$500,$B23,'DADOS BRUTOS'!FP$3:FP$500)+IF($C23="",0,SUMIF('DADOS BRUTOS'!$A$3:$A$500,$C23,'DADOS BRUTOS'!FP$3:FP$500)))</f>
        <v>0</v>
      </c>
      <c r="IQ23" s="133" t="n">
        <f aca="false">IF(OR(IQ$4="",$B23=""),0,SUMIF('DADOS BRUTOS'!$A$3:$A$500,$B23,'DADOS BRUTOS'!FQ$3:FQ$500)+IF($C23="",0,SUMIF('DADOS BRUTOS'!$A$3:$A$500,$C23,'DADOS BRUTOS'!FQ$3:FQ$500)))</f>
        <v>0</v>
      </c>
      <c r="IR23" s="133" t="n">
        <f aca="false">IF(OR(IR$4="",$B23=""),0,SUMIF('DADOS BRUTOS'!$A$3:$A$500,$B23,'DADOS BRUTOS'!FR$3:FR$500)+IF($C23="",0,SUMIF('DADOS BRUTOS'!$A$3:$A$500,$C23,'DADOS BRUTOS'!FR$3:FR$500)))</f>
        <v>0</v>
      </c>
      <c r="IS23" s="133" t="n">
        <f aca="false">IF(OR(IS$4="",$B23=""),0,SUMIF('DADOS BRUTOS'!$A$3:$A$500,$B23,'DADOS BRUTOS'!FS$3:FS$500)+IF($C23="",0,SUMIF('DADOS BRUTOS'!$A$3:$A$500,$C23,'DADOS BRUTOS'!FS$3:FS$500)))</f>
        <v>0</v>
      </c>
      <c r="IT23" s="133" t="n">
        <f aca="false">IF(OR(IT$4="",$B23=""),0,SUMIF('DADOS BRUTOS'!$A$3:$A$500,$B23,'DADOS BRUTOS'!FT$3:FT$500)+IF($C23="",0,SUMIF('DADOS BRUTOS'!$A$3:$A$500,$C23,'DADOS BRUTOS'!FT$3:FT$500)))</f>
        <v>0</v>
      </c>
      <c r="IU23" s="133" t="n">
        <f aca="false">IF(OR(IU$4="",$B23=""),0,SUMIF('DADOS BRUTOS'!$A$3:$A$500,$B23,'DADOS BRUTOS'!FU$3:FU$500)+IF($C23="",0,SUMIF('DADOS BRUTOS'!$A$3:$A$500,$C23,'DADOS BRUTOS'!FU$3:FU$500)))</f>
        <v>0</v>
      </c>
      <c r="IV23" s="133" t="n">
        <f aca="false">IF(OR(IV$4="",$B23=""),0,SUMIF('DADOS BRUTOS'!$A$3:$A$500,$B23,'DADOS BRUTOS'!FV$3:FV$500)+IF($C23="",0,SUMIF('DADOS BRUTOS'!$A$3:$A$500,$C23,'DADOS BRUTOS'!FV$3:FV$500)))</f>
        <v>0</v>
      </c>
      <c r="IW23" s="133" t="n">
        <f aca="false">IF(OR(IW$4="",$B23=""),0,SUMIF('DADOS BRUTOS'!$A$3:$A$500,$B23,'DADOS BRUTOS'!FW$3:FW$500)+IF($C23="",0,SUMIF('DADOS BRUTOS'!$A$3:$A$500,$C23,'DADOS BRUTOS'!FW$3:FW$500)))</f>
        <v>0</v>
      </c>
      <c r="IX23" s="133" t="n">
        <f aca="false">IF(OR(IX$4="",$B23=""),0,SUMIF('DADOS BRUTOS'!$A$3:$A$500,$B23,'DADOS BRUTOS'!FX$3:FX$500)+IF($C23="",0,SUMIF('DADOS BRUTOS'!$A$3:$A$500,$C23,'DADOS BRUTOS'!FX$3:FX$500)))</f>
        <v>0</v>
      </c>
      <c r="IY23" s="133" t="n">
        <f aca="false">IF(OR(IY$4="",$B23=""),0,SUMIF('DADOS BRUTOS'!$A$3:$A$500,$B23,'DADOS BRUTOS'!FY$3:FY$500)+IF($C23="",0,SUMIF('DADOS BRUTOS'!$A$3:$A$500,$C23,'DADOS BRUTOS'!FY$3:FY$500)))</f>
        <v>0</v>
      </c>
      <c r="IZ23" s="133" t="n">
        <f aca="false">IF(OR(IZ$4="",$B23=""),0,SUMIF('DADOS BRUTOS'!$A$3:$A$500,$B23,'DADOS BRUTOS'!FZ$3:FZ$500)+IF($C23="",0,SUMIF('DADOS BRUTOS'!$A$3:$A$500,$C23,'DADOS BRUTOS'!FZ$3:FZ$500)))</f>
        <v>0</v>
      </c>
      <c r="JA23" s="133" t="n">
        <f aca="false">IF(OR(JA$4="",$B23=""),0,SUMIF('DADOS BRUTOS'!$A$3:$A$500,$B23,'DADOS BRUTOS'!GA$3:GA$500)+IF($C23="",0,SUMIF('DADOS BRUTOS'!$A$3:$A$500,$C23,'DADOS BRUTOS'!GA$3:GA$500)))</f>
        <v>0</v>
      </c>
      <c r="JB23" s="133" t="n">
        <f aca="false">IF(OR(JB$4="",$B23=""),0,SUMIF('DADOS BRUTOS'!$A$3:$A$500,$B23,'DADOS BRUTOS'!GB$3:GB$500)+IF($C23="",0,SUMIF('DADOS BRUTOS'!$A$3:$A$500,$C23,'DADOS BRUTOS'!GB$3:GB$500)))</f>
        <v>0</v>
      </c>
      <c r="JC23" s="133" t="n">
        <f aca="false">IF(OR(JC$4="",$B23=""),0,SUMIF('DADOS BRUTOS'!$A$3:$A$500,$B23,'DADOS BRUTOS'!GC$3:GC$500)+IF($C23="",0,SUMIF('DADOS BRUTOS'!$A$3:$A$500,$C23,'DADOS BRUTOS'!GC$3:GC$500)))</f>
        <v>0</v>
      </c>
      <c r="JD23" s="133" t="n">
        <f aca="false">IF(OR(JD$4="",$B23=""),0,SUMIF('DADOS BRUTOS'!$A$3:$A$500,$B23,'DADOS BRUTOS'!GD$3:GD$500)+IF($C23="",0,SUMIF('DADOS BRUTOS'!$A$3:$A$500,$C23,'DADOS BRUTOS'!GD$3:GD$500)))</f>
        <v>0</v>
      </c>
      <c r="JE23" s="133" t="n">
        <f aca="false">IF(OR(JE$4="",$B23=""),0,SUMIF('DADOS BRUTOS'!$A$3:$A$500,$B23,'DADOS BRUTOS'!GE$3:GE$500)+IF($C23="",0,SUMIF('DADOS BRUTOS'!$A$3:$A$500,$C23,'DADOS BRUTOS'!GE$3:GE$500)))</f>
        <v>0</v>
      </c>
      <c r="JF23" s="133" t="n">
        <f aca="false">IF(OR(JF$4="",$B23=""),0,SUMIF('DADOS BRUTOS'!$A$3:$A$500,$B23,'DADOS BRUTOS'!GF$3:GF$500)+IF($C23="",0,SUMIF('DADOS BRUTOS'!$A$3:$A$500,$C23,'DADOS BRUTOS'!GF$3:GF$500)))</f>
        <v>0</v>
      </c>
      <c r="JG23" s="133" t="n">
        <f aca="false">IF(OR(JG$4="",$B23=""),0,SUMIF('DADOS BRUTOS'!$A$3:$A$500,$B23,'DADOS BRUTOS'!GG$3:GG$500)+IF($C23="",0,SUMIF('DADOS BRUTOS'!$A$3:$A$500,$C23,'DADOS BRUTOS'!GG$3:GG$500)))</f>
        <v>0</v>
      </c>
      <c r="JH23" s="133" t="n">
        <f aca="false">IF(OR(JH$4="",$B23=""),0,SUMIF('DADOS BRUTOS'!$A$3:$A$500,$B23,'DADOS BRUTOS'!GH$3:GH$500)+IF($C23="",0,SUMIF('DADOS BRUTOS'!$A$3:$A$500,$C23,'DADOS BRUTOS'!GH$3:GH$500)))</f>
        <v>0</v>
      </c>
      <c r="JI23" s="133" t="n">
        <f aca="false">IF(OR(JI$4="",$B23=""),0,SUMIF('DADOS BRUTOS'!$A$3:$A$500,$B23,'DADOS BRUTOS'!GI$3:GI$500)+IF($C23="",0,SUMIF('DADOS BRUTOS'!$A$3:$A$500,$C23,'DADOS BRUTOS'!GI$3:GI$500)))</f>
        <v>0</v>
      </c>
      <c r="JJ23" s="133" t="n">
        <f aca="false">IF(OR(JJ$4="",$B23=""),0,SUMIF('DADOS BRUTOS'!$A$3:$A$500,$B23,'DADOS BRUTOS'!GJ$3:GJ$500)+IF($C23="",0,SUMIF('DADOS BRUTOS'!$A$3:$A$500,$C23,'DADOS BRUTOS'!GJ$3:GJ$500)))</f>
        <v>0</v>
      </c>
      <c r="JK23" s="133" t="n">
        <f aca="false">IF(OR(JK$4="",$B23=""),0,SUMIF('DADOS BRUTOS'!$A$3:$A$500,$B23,'DADOS BRUTOS'!GK$3:GK$500)+IF($C23="",0,SUMIF('DADOS BRUTOS'!$A$3:$A$500,$C23,'DADOS BRUTOS'!GK$3:GK$500)))</f>
        <v>0</v>
      </c>
      <c r="JL23" s="133" t="n">
        <f aca="false">IF(OR(JL$4="",$B23=""),0,SUMIF('DADOS BRUTOS'!$A$3:$A$500,$B23,'DADOS BRUTOS'!GL$3:GL$500)+IF($C23="",0,SUMIF('DADOS BRUTOS'!$A$3:$A$500,$C23,'DADOS BRUTOS'!GL$3:GL$500)))</f>
        <v>0</v>
      </c>
      <c r="JM23" s="133" t="n">
        <f aca="false">IF(OR(JM$4="",$B23=""),0,SUMIF('DADOS BRUTOS'!$A$3:$A$500,$B23,'DADOS BRUTOS'!GM$3:GM$500)+IF($C23="",0,SUMIF('DADOS BRUTOS'!$A$3:$A$500,$C23,'DADOS BRUTOS'!GM$3:GM$500)))</f>
        <v>0</v>
      </c>
      <c r="JN23" s="133" t="n">
        <f aca="false">IF(OR(JN$4="",$B23=""),0,SUMIF('DADOS BRUTOS'!$A$3:$A$500,$B23,'DADOS BRUTOS'!GN$3:GN$500)+IF($C23="",0,SUMIF('DADOS BRUTOS'!$A$3:$A$500,$C23,'DADOS BRUTOS'!GN$3:GN$500)))</f>
        <v>0</v>
      </c>
      <c r="JO23" s="133" t="n">
        <f aca="false">IF(OR(JO$4="",$B23=""),0,SUMIF('DADOS BRUTOS'!$A$3:$A$500,$B23,'DADOS BRUTOS'!GO$3:GO$500)+IF($C23="",0,SUMIF('DADOS BRUTOS'!$A$3:$A$500,$C23,'DADOS BRUTOS'!GO$3:GO$500)))</f>
        <v>0</v>
      </c>
      <c r="JP23" s="133" t="n">
        <f aca="false">IF(OR(JP$4="",$B23=""),0,SUMIF('DADOS BRUTOS'!$A$3:$A$500,$B23,'DADOS BRUTOS'!GP$3:GP$500)+IF($C23="",0,SUMIF('DADOS BRUTOS'!$A$3:$A$500,$C23,'DADOS BRUTOS'!GP$3:GP$500)))</f>
        <v>0</v>
      </c>
      <c r="JQ23" s="133" t="n">
        <f aca="false">IF(OR(JQ$4="",$B23=""),0,SUMIF('DADOS BRUTOS'!$A$3:$A$500,$B23,'DADOS BRUTOS'!GQ$3:GQ$500)+IF($C23="",0,SUMIF('DADOS BRUTOS'!$A$3:$A$500,$C23,'DADOS BRUTOS'!GQ$3:GQ$500)))</f>
        <v>0</v>
      </c>
      <c r="JR23" s="133" t="n">
        <f aca="false">IF(OR(JR$4="",$B23=""),0,SUMIF('DADOS BRUTOS'!$A$3:$A$500,$B23,'DADOS BRUTOS'!GR$3:GR$500)+IF($C23="",0,SUMIF('DADOS BRUTOS'!$A$3:$A$500,$C23,'DADOS BRUTOS'!GR$3:GR$500)))</f>
        <v>0</v>
      </c>
      <c r="JS23" s="133" t="n">
        <f aca="false">IF(OR(JS$4="",$B23=""),0,SUMIF('DADOS BRUTOS'!$A$3:$A$500,$B23,'DADOS BRUTOS'!GS$3:GS$500)+IF($C23="",0,SUMIF('DADOS BRUTOS'!$A$3:$A$500,$C23,'DADOS BRUTOS'!GS$3:GS$500)))</f>
        <v>0</v>
      </c>
    </row>
    <row r="24" customFormat="false" ht="15" hidden="false" customHeight="false" outlineLevel="0" collapsed="false">
      <c r="A24" s="57" t="str">
        <f aca="false">'VALOR POR PL'!D30</f>
        <v>INSTALAÇÕES ELÉTRICAS</v>
      </c>
      <c r="B24" s="55" t="s">
        <v>77</v>
      </c>
      <c r="C24" s="55"/>
      <c r="D24" s="50" t="n">
        <f aca="false">SUMIF($CB$4:$JS$4,"&lt;="&amp;D$4,$CB24:$JS24)</f>
        <v>0</v>
      </c>
      <c r="E24" s="50" t="n">
        <f aca="false">SUMIF($CB$4:$JS$4,E$4,$CB24:$JS24)</f>
        <v>0</v>
      </c>
      <c r="F24" s="50" t="n">
        <f aca="false">SUMIF($CB$4:$JS$4,F$4,$CB24:$JS24)</f>
        <v>0</v>
      </c>
      <c r="G24" s="50" t="n">
        <f aca="false">SUMIF($CB$4:$JS$4,G$4,$CB24:$JS24)</f>
        <v>0</v>
      </c>
      <c r="H24" s="50" t="n">
        <f aca="false">SUMIF($CB$4:$JS$4,H$4,$CB24:$JS24)</f>
        <v>0</v>
      </c>
      <c r="I24" s="50" t="n">
        <f aca="false">SUMIF($CB$4:$JS$4,I$4,$CB24:$JS24)</f>
        <v>0</v>
      </c>
      <c r="J24" s="50" t="n">
        <f aca="false">SUMIF($CB$4:$JS$4,J$4,$CB24:$JS24)</f>
        <v>0</v>
      </c>
      <c r="K24" s="50" t="n">
        <f aca="false">SUMIF($CB$4:$JS$4,K$4,$CB24:$JS24)</f>
        <v>0</v>
      </c>
      <c r="L24" s="50" t="n">
        <f aca="false">SUMIF($CB$4:$JS$4,L$4,$CB24:$JS24)</f>
        <v>0</v>
      </c>
      <c r="M24" s="50" t="n">
        <f aca="false">SUMIF($CB$4:$JS$4,M$4,$CB24:$JS24)</f>
        <v>0</v>
      </c>
      <c r="N24" s="50" t="n">
        <f aca="false">SUMIF($CB$4:$JS$4,N$4,$CB24:$JS24)</f>
        <v>2235.2</v>
      </c>
      <c r="O24" s="50" t="n">
        <f aca="false">SUMIF($CB$4:$JS$4,O$4,$CB24:$JS24)</f>
        <v>0</v>
      </c>
      <c r="P24" s="50" t="n">
        <f aca="false">SUMIF($CB$4:$JS$4,P$4,$CB24:$JS24)</f>
        <v>0</v>
      </c>
      <c r="Q24" s="50" t="n">
        <f aca="false">SUMIF($CB$4:$JS$4,Q$4,$CB24:$JS24)</f>
        <v>0</v>
      </c>
      <c r="R24" s="50" t="n">
        <f aca="false">SUMIF($CB$4:$JS$4,R$4,$CB24:$JS24)</f>
        <v>0</v>
      </c>
      <c r="S24" s="50" t="n">
        <f aca="false">SUMIF($CB$4:$JS$4,S$4,$CB24:$JS24)</f>
        <v>0</v>
      </c>
      <c r="T24" s="50" t="n">
        <f aca="false">SUMIF($CB$4:$JS$4,T$4,$CB24:$JS24)</f>
        <v>209001.57</v>
      </c>
      <c r="U24" s="50" t="n">
        <f aca="false">SUMIF($CB$4:$JS$4,U$4,$CB24:$JS24)</f>
        <v>3214.66</v>
      </c>
      <c r="V24" s="50" t="n">
        <f aca="false">SUMIF($CB$4:$JS$4,V$4,$CB24:$JS24)</f>
        <v>94109.06</v>
      </c>
      <c r="W24" s="50" t="n">
        <f aca="false">SUMIF($CB$4:$JS$4,W$4,$CB24:$JS24)</f>
        <v>6139.34</v>
      </c>
      <c r="X24" s="50" t="n">
        <f aca="false">SUMIF($CB$4:$JS$4,X$4,$CB24:$JS24)</f>
        <v>6662.65</v>
      </c>
      <c r="Y24" s="50" t="n">
        <f aca="false">SUMIF($CB$4:$JS$4,Y$4,$CB24:$JS24)</f>
        <v>4679.03</v>
      </c>
      <c r="Z24" s="50" t="n">
        <f aca="false">SUMIF($CB$4:$JS$4,Z$4,$CB24:$JS24)</f>
        <v>0</v>
      </c>
      <c r="AA24" s="50" t="n">
        <f aca="false">SUMIF($CB$4:$JS$4,AA$4,$CB24:$JS24)</f>
        <v>0</v>
      </c>
      <c r="AB24" s="50" t="n">
        <f aca="false">SUMIF($CB$4:$JS$4,AB$4,$CB24:$JS24)</f>
        <v>0</v>
      </c>
      <c r="AC24" s="50" t="n">
        <f aca="false">SUMIF($CB$4:$JS$4,AC$4,$CB24:$JS24)</f>
        <v>0</v>
      </c>
      <c r="AD24" s="50" t="n">
        <f aca="false">SUMIF($CB$4:$JS$4,AD$4,$CB24:$JS24)</f>
        <v>0</v>
      </c>
      <c r="AE24" s="50" t="n">
        <f aca="false">SUMIF($CB$4:$JS$4,AE$4,$CB24:$JS24)</f>
        <v>0</v>
      </c>
      <c r="AF24" s="50" t="n">
        <f aca="false">SUMIF($CB$4:$JS$4,AF$4,$CB24:$JS24)</f>
        <v>0</v>
      </c>
      <c r="AG24" s="50" t="n">
        <f aca="false">SUMIF($CB$4:$JS$4,AG$4,$CB24:$JS24)</f>
        <v>0</v>
      </c>
      <c r="AH24" s="50" t="n">
        <f aca="false">SUMIF($CB$4:$JS$4,AH$4,$CB24:$JS24)</f>
        <v>0</v>
      </c>
      <c r="AI24" s="50" t="n">
        <f aca="false">SUMIF($CB$4:$JS$4,AI$4,$CB24:$JS24)</f>
        <v>0</v>
      </c>
      <c r="AJ24" s="50" t="n">
        <f aca="false">SUMIF($CB$4:$JS$4,AJ$4,$CB24:$JS24)</f>
        <v>0</v>
      </c>
      <c r="AK24" s="50" t="n">
        <f aca="false">SUMIF($CB$4:$JS$4,AK$4,$CB24:$JS24)</f>
        <v>0</v>
      </c>
      <c r="AL24" s="50" t="n">
        <f aca="false">SUMIF($CB$4:$JS$4,AL$4,$CB24:$JS24)</f>
        <v>0</v>
      </c>
      <c r="AM24" s="50" t="n">
        <f aca="false">SUMIF($CB$4:$JS$4,AM$4,$CB24:$JS24)</f>
        <v>0</v>
      </c>
      <c r="AN24" s="50" t="n">
        <f aca="false">SUMIF($CB$4:$JS$4,AN$4,$CB24:$JS24)</f>
        <v>0</v>
      </c>
      <c r="AO24" s="50" t="n">
        <f aca="false">SUMIF($CB$4:$JS$4,AO$4,$CB24:$JS24)</f>
        <v>0</v>
      </c>
      <c r="AP24" s="50" t="n">
        <f aca="false">SUMIF($CB$4:$JS$4,AP$4,$CB24:$JS24)</f>
        <v>0</v>
      </c>
      <c r="AQ24" s="50" t="n">
        <f aca="false">SUMIF($CB$4:$JS$4,AQ$4,$CB24:$JS24)</f>
        <v>0</v>
      </c>
      <c r="AR24" s="50" t="n">
        <f aca="false">SUMIF($CB$4:$JS$4,AR$4,$CB24:$JS24)</f>
        <v>0</v>
      </c>
      <c r="AS24" s="50" t="n">
        <f aca="false">SUMIF($CB$4:$JS$4,AS$4,$CB24:$JS24)</f>
        <v>0</v>
      </c>
      <c r="AT24" s="50" t="n">
        <f aca="false">SUMIF($CB$4:$JS$4,AT$4,$CB24:$JS24)</f>
        <v>0</v>
      </c>
      <c r="AU24" s="50" t="n">
        <f aca="false">SUMIF($CB$4:$JS$4,AU$4,$CB24:$JS24)</f>
        <v>0</v>
      </c>
      <c r="AV24" s="50" t="n">
        <f aca="false">SUMIF($CB$4:$JS$4,AV$4,$CB24:$JS24)</f>
        <v>0</v>
      </c>
      <c r="AW24" s="50" t="n">
        <f aca="false">SUMIF($CB$4:$JS$4,AW$4,$CB24:$JS24)</f>
        <v>0</v>
      </c>
      <c r="AX24" s="50" t="n">
        <f aca="false">SUMIF($CB$4:$JS$4,AX$4,$CB24:$JS24)</f>
        <v>0</v>
      </c>
      <c r="AY24" s="50" t="n">
        <f aca="false">SUMIF($CB$4:$JS$4,AY$4,$CB24:$JS24)</f>
        <v>0</v>
      </c>
      <c r="AZ24" s="50" t="n">
        <f aca="false">SUMIF($CB$4:$JS$4,AZ$4,$CB24:$JS24)</f>
        <v>0</v>
      </c>
      <c r="BA24" s="50" t="n">
        <f aca="false">SUMIF($CB$4:$JS$4,BA$4,$CB24:$JS24)</f>
        <v>0</v>
      </c>
      <c r="BB24" s="50" t="n">
        <f aca="false">SUMIF($CB$4:$JS$4,BB$4,$CB24:$JS24)</f>
        <v>0</v>
      </c>
      <c r="BC24" s="50" t="n">
        <f aca="false">SUMIF($CB$4:$JS$4,BC$4,$CB24:$JS24)</f>
        <v>0</v>
      </c>
      <c r="BD24" s="50" t="n">
        <f aca="false">SUMIF($CB$4:$JS$4,BD$4,$CB24:$JS24)</f>
        <v>0</v>
      </c>
      <c r="BE24" s="50" t="n">
        <f aca="false">SUMIF($CB$4:$JS$4,BE$4,$CB24:$JS24)</f>
        <v>0</v>
      </c>
      <c r="BF24" s="50" t="n">
        <f aca="false">SUMIF($CB$4:$JS$4,BF$4,$CB24:$JS24)</f>
        <v>0</v>
      </c>
      <c r="BG24" s="50" t="n">
        <f aca="false">SUMIF($CB$4:$JS$4,BG$4,$CB24:$JS24)</f>
        <v>0</v>
      </c>
      <c r="BH24" s="50" t="n">
        <f aca="false">SUMIF($CB$4:$JS$4,BH$4,$CB24:$JS24)</f>
        <v>0</v>
      </c>
      <c r="BI24" s="50" t="n">
        <f aca="false">SUMIF($CB$4:$JS$4,BI$4,$CB24:$JS24)</f>
        <v>0</v>
      </c>
      <c r="BJ24" s="50" t="n">
        <f aca="false">SUMIF($CB$4:$JS$4,BJ$4,$CB24:$JS24)</f>
        <v>0</v>
      </c>
      <c r="BK24" s="50" t="n">
        <f aca="false">SUMIF($CB$4:$JS$4,BK$4,$CB24:$JS24)</f>
        <v>0</v>
      </c>
      <c r="BL24" s="50" t="n">
        <f aca="false">SUMIF($CB$4:$JS$4,BL$4,$CB24:$JS24)</f>
        <v>0</v>
      </c>
      <c r="BM24" s="50" t="n">
        <f aca="false">SUMIF($CB$4:$JS$4,BM$4,$CB24:$JS24)</f>
        <v>0</v>
      </c>
      <c r="BN24" s="50" t="n">
        <f aca="false">SUMIF($CB$4:$JS$4,BN$4,$CB24:$JS24)</f>
        <v>0</v>
      </c>
      <c r="BO24" s="50" t="n">
        <f aca="false">SUMIF($CB$4:$JS$4,BO$4,$CB24:$JS24)</f>
        <v>0</v>
      </c>
      <c r="BP24" s="50" t="n">
        <f aca="false">SUMIF($CB$4:$JS$4,BP$4,$CB24:$JS24)</f>
        <v>0</v>
      </c>
      <c r="BQ24" s="50" t="n">
        <f aca="false">SUMIF($CB$4:$JS$4,BQ$4,$CB24:$JS24)</f>
        <v>0</v>
      </c>
      <c r="BR24" s="50" t="n">
        <f aca="false">SUMIF($CB$4:$JS$4,BR$4,$CB24:$JS24)</f>
        <v>0</v>
      </c>
      <c r="BS24" s="50" t="n">
        <f aca="false">SUMIF($CB$4:$JS$4,BS$4,$CB24:$JS24)</f>
        <v>0</v>
      </c>
      <c r="BT24" s="50" t="n">
        <f aca="false">SUMIF($CB$4:$JS$4,BT$4,$CB24:$JS24)</f>
        <v>0</v>
      </c>
      <c r="BU24" s="50" t="n">
        <f aca="false">SUMIF($CB$4:$JS$4,BU$4,$CB24:$JS24)</f>
        <v>0</v>
      </c>
      <c r="BV24" s="50" t="n">
        <f aca="false">SUMIF($CB$4:$JS$4,BV$4,$CB24:$JS24)</f>
        <v>0</v>
      </c>
      <c r="BW24" s="50" t="n">
        <f aca="false">SUMIF($CB$4:$JS$4,BW$4,$CB24:$JS24)</f>
        <v>0</v>
      </c>
      <c r="BX24" s="50" t="n">
        <f aca="false">SUMIF($CB$4:$JS$4,"&gt;"&amp;'VALOR POR PL'!$P$8,$CB24:$JS24)</f>
        <v>0</v>
      </c>
      <c r="BY24" s="50" t="n">
        <f aca="false">SUM($CB24:$JS24)</f>
        <v>326041.51</v>
      </c>
      <c r="BZ24" s="45" t="n">
        <f aca="false">SUMPRODUCT(($CB$4:$JS$4&lt;&gt;"")*($CB$4:$JS$4&lt;=$D$4),$CB24:$JS24,$CB$1:$JS$1)</f>
        <v>0</v>
      </c>
      <c r="CB24" s="133" t="n">
        <f aca="false">IF(OR(CB$4="",$B24=""),0,SUMIF('DADOS BRUTOS'!$A$3:$A$500,$B24,'DADOS BRUTOS'!B$3:B$500)+IF($C24="",0,SUMIF('DADOS BRUTOS'!$A$3:$A$500,$C24,'DADOS BRUTOS'!B$3:B$500)))</f>
        <v>0</v>
      </c>
      <c r="CC24" s="133" t="n">
        <f aca="false">IF(OR(CC$4="",$B24=""),0,SUMIF('DADOS BRUTOS'!$A$3:$A$500,$B24,'DADOS BRUTOS'!C$3:C$500)+IF($C24="",0,SUMIF('DADOS BRUTOS'!$A$3:$A$500,$C24,'DADOS BRUTOS'!C$3:C$500)))</f>
        <v>0</v>
      </c>
      <c r="CD24" s="133" t="n">
        <f aca="false">IF(OR(CD$4="",$B24=""),0,SUMIF('DADOS BRUTOS'!$A$3:$A$500,$B24,'DADOS BRUTOS'!D$3:D$500)+IF($C24="",0,SUMIF('DADOS BRUTOS'!$A$3:$A$500,$C24,'DADOS BRUTOS'!D$3:D$500)))</f>
        <v>0</v>
      </c>
      <c r="CE24" s="133" t="n">
        <f aca="false">IF(OR(CE$4="",$B24=""),0,SUMIF('DADOS BRUTOS'!$A$3:$A$500,$B24,'DADOS BRUTOS'!E$3:E$500)+IF($C24="",0,SUMIF('DADOS BRUTOS'!$A$3:$A$500,$C24,'DADOS BRUTOS'!E$3:E$500)))</f>
        <v>0</v>
      </c>
      <c r="CF24" s="133" t="n">
        <f aca="false">IF(OR(CF$4="",$B24=""),0,SUMIF('DADOS BRUTOS'!$A$3:$A$500,$B24,'DADOS BRUTOS'!F$3:F$500)+IF($C24="",0,SUMIF('DADOS BRUTOS'!$A$3:$A$500,$C24,'DADOS BRUTOS'!F$3:F$500)))</f>
        <v>0</v>
      </c>
      <c r="CG24" s="133" t="n">
        <f aca="false">IF(OR(CG$4="",$B24=""),0,SUMIF('DADOS BRUTOS'!$A$3:$A$500,$B24,'DADOS BRUTOS'!G$3:G$500)+IF($C24="",0,SUMIF('DADOS BRUTOS'!$A$3:$A$500,$C24,'DADOS BRUTOS'!G$3:G$500)))</f>
        <v>0</v>
      </c>
      <c r="CH24" s="133" t="n">
        <f aca="false">IF(OR(CH$4="",$B24=""),0,SUMIF('DADOS BRUTOS'!$A$3:$A$500,$B24,'DADOS BRUTOS'!H$3:H$500)+IF($C24="",0,SUMIF('DADOS BRUTOS'!$A$3:$A$500,$C24,'DADOS BRUTOS'!H$3:H$500)))</f>
        <v>0</v>
      </c>
      <c r="CI24" s="133" t="n">
        <f aca="false">IF(OR(CI$4="",$B24=""),0,SUMIF('DADOS BRUTOS'!$A$3:$A$500,$B24,'DADOS BRUTOS'!I$3:I$500)+IF($C24="",0,SUMIF('DADOS BRUTOS'!$A$3:$A$500,$C24,'DADOS BRUTOS'!I$3:I$500)))</f>
        <v>0</v>
      </c>
      <c r="CJ24" s="133" t="n">
        <f aca="false">IF(OR(CJ$4="",$B24=""),0,SUMIF('DADOS BRUTOS'!$A$3:$A$500,$B24,'DADOS BRUTOS'!J$3:J$500)+IF($C24="",0,SUMIF('DADOS BRUTOS'!$A$3:$A$500,$C24,'DADOS BRUTOS'!J$3:J$500)))</f>
        <v>0</v>
      </c>
      <c r="CK24" s="133" t="n">
        <f aca="false">IF(OR(CK$4="",$B24=""),0,SUMIF('DADOS BRUTOS'!$A$3:$A$500,$B24,'DADOS BRUTOS'!K$3:K$500)+IF($C24="",0,SUMIF('DADOS BRUTOS'!$A$3:$A$500,$C24,'DADOS BRUTOS'!K$3:K$500)))</f>
        <v>0</v>
      </c>
      <c r="CL24" s="133" t="n">
        <f aca="false">IF(OR(CL$4="",$B24=""),0,SUMIF('DADOS BRUTOS'!$A$3:$A$500,$B24,'DADOS BRUTOS'!L$3:L$500)+IF($C24="",0,SUMIF('DADOS BRUTOS'!$A$3:$A$500,$C24,'DADOS BRUTOS'!L$3:L$500)))</f>
        <v>0</v>
      </c>
      <c r="CM24" s="133" t="n">
        <f aca="false">IF(OR(CM$4="",$B24=""),0,SUMIF('DADOS BRUTOS'!$A$3:$A$500,$B24,'DADOS BRUTOS'!M$3:M$500)+IF($C24="",0,SUMIF('DADOS BRUTOS'!$A$3:$A$500,$C24,'DADOS BRUTOS'!M$3:M$500)))</f>
        <v>0</v>
      </c>
      <c r="CN24" s="133" t="n">
        <f aca="false">IF(OR(CN$4="",$B24=""),0,SUMIF('DADOS BRUTOS'!$A$3:$A$500,$B24,'DADOS BRUTOS'!N$3:N$500)+IF($C24="",0,SUMIF('DADOS BRUTOS'!$A$3:$A$500,$C24,'DADOS BRUTOS'!N$3:N$500)))</f>
        <v>0</v>
      </c>
      <c r="CO24" s="133" t="n">
        <f aca="false">IF(OR(CO$4="",$B24=""),0,SUMIF('DADOS BRUTOS'!$A$3:$A$500,$B24,'DADOS BRUTOS'!O$3:O$500)+IF($C24="",0,SUMIF('DADOS BRUTOS'!$A$3:$A$500,$C24,'DADOS BRUTOS'!O$3:O$500)))</f>
        <v>0</v>
      </c>
      <c r="CP24" s="133" t="n">
        <f aca="false">IF(OR(CP$4="",$B24=""),0,SUMIF('DADOS BRUTOS'!$A$3:$A$500,$B24,'DADOS BRUTOS'!P$3:P$500)+IF($C24="",0,SUMIF('DADOS BRUTOS'!$A$3:$A$500,$C24,'DADOS BRUTOS'!P$3:P$500)))</f>
        <v>0</v>
      </c>
      <c r="CQ24" s="133" t="n">
        <f aca="false">IF(OR(CQ$4="",$B24=""),0,SUMIF('DADOS BRUTOS'!$A$3:$A$500,$B24,'DADOS BRUTOS'!Q$3:Q$500)+IF($C24="",0,SUMIF('DADOS BRUTOS'!$A$3:$A$500,$C24,'DADOS BRUTOS'!Q$3:Q$500)))</f>
        <v>0</v>
      </c>
      <c r="CR24" s="133" t="n">
        <f aca="false">IF(OR(CR$4="",$B24=""),0,SUMIF('DADOS BRUTOS'!$A$3:$A$500,$B24,'DADOS BRUTOS'!R$3:R$500)+IF($C24="",0,SUMIF('DADOS BRUTOS'!$A$3:$A$500,$C24,'DADOS BRUTOS'!R$3:R$500)))</f>
        <v>0</v>
      </c>
      <c r="CS24" s="133" t="n">
        <f aca="false">IF(OR(CS$4="",$B24=""),0,SUMIF('DADOS BRUTOS'!$A$3:$A$500,$B24,'DADOS BRUTOS'!S$3:S$500)+IF($C24="",0,SUMIF('DADOS BRUTOS'!$A$3:$A$500,$C24,'DADOS BRUTOS'!S$3:S$500)))</f>
        <v>0</v>
      </c>
      <c r="CT24" s="133" t="n">
        <f aca="false">IF(OR(CT$4="",$B24=""),0,SUMIF('DADOS BRUTOS'!$A$3:$A$500,$B24,'DADOS BRUTOS'!T$3:T$500)+IF($C24="",0,SUMIF('DADOS BRUTOS'!$A$3:$A$500,$C24,'DADOS BRUTOS'!T$3:T$500)))</f>
        <v>0</v>
      </c>
      <c r="CU24" s="133" t="n">
        <f aca="false">IF(OR(CU$4="",$B24=""),0,SUMIF('DADOS BRUTOS'!$A$3:$A$500,$B24,'DADOS BRUTOS'!U$3:U$500)+IF($C24="",0,SUMIF('DADOS BRUTOS'!$A$3:$A$500,$C24,'DADOS BRUTOS'!U$3:U$500)))</f>
        <v>0</v>
      </c>
      <c r="CV24" s="133" t="n">
        <f aca="false">IF(OR(CV$4="",$B24=""),0,SUMIF('DADOS BRUTOS'!$A$3:$A$500,$B24,'DADOS BRUTOS'!V$3:V$500)+IF($C24="",0,SUMIF('DADOS BRUTOS'!$A$3:$A$500,$C24,'DADOS BRUTOS'!V$3:V$500)))</f>
        <v>0</v>
      </c>
      <c r="CW24" s="133" t="n">
        <f aca="false">IF(OR(CW$4="",$B24=""),0,SUMIF('DADOS BRUTOS'!$A$3:$A$500,$B24,'DADOS BRUTOS'!W$3:W$500)+IF($C24="",0,SUMIF('DADOS BRUTOS'!$A$3:$A$500,$C24,'DADOS BRUTOS'!W$3:W$500)))</f>
        <v>0</v>
      </c>
      <c r="CX24" s="133" t="n">
        <f aca="false">IF(OR(CX$4="",$B24=""),0,SUMIF('DADOS BRUTOS'!$A$3:$A$500,$B24,'DADOS BRUTOS'!X$3:X$500)+IF($C24="",0,SUMIF('DADOS BRUTOS'!$A$3:$A$500,$C24,'DADOS BRUTOS'!X$3:X$500)))</f>
        <v>2235.2</v>
      </c>
      <c r="CY24" s="133" t="n">
        <f aca="false">IF(OR(CY$4="",$B24=""),0,SUMIF('DADOS BRUTOS'!$A$3:$A$500,$B24,'DADOS BRUTOS'!Y$3:Y$500)+IF($C24="",0,SUMIF('DADOS BRUTOS'!$A$3:$A$500,$C24,'DADOS BRUTOS'!Y$3:Y$500)))</f>
        <v>0</v>
      </c>
      <c r="CZ24" s="133" t="n">
        <f aca="false">IF(OR(CZ$4="",$B24=""),0,SUMIF('DADOS BRUTOS'!$A$3:$A$500,$B24,'DADOS BRUTOS'!Z$3:Z$500)+IF($C24="",0,SUMIF('DADOS BRUTOS'!$A$3:$A$500,$C24,'DADOS BRUTOS'!Z$3:Z$500)))</f>
        <v>0</v>
      </c>
      <c r="DA24" s="133" t="n">
        <f aca="false">IF(OR(DA$4="",$B24=""),0,SUMIF('DADOS BRUTOS'!$A$3:$A$500,$B24,'DADOS BRUTOS'!AA$3:AA$500)+IF($C24="",0,SUMIF('DADOS BRUTOS'!$A$3:$A$500,$C24,'DADOS BRUTOS'!AA$3:AA$500)))</f>
        <v>0</v>
      </c>
      <c r="DB24" s="133" t="n">
        <f aca="false">IF(OR(DB$4="",$B24=""),0,SUMIF('DADOS BRUTOS'!$A$3:$A$500,$B24,'DADOS BRUTOS'!AB$3:AB$500)+IF($C24="",0,SUMIF('DADOS BRUTOS'!$A$3:$A$500,$C24,'DADOS BRUTOS'!AB$3:AB$500)))</f>
        <v>0</v>
      </c>
      <c r="DC24" s="133" t="n">
        <f aca="false">IF(OR(DC$4="",$B24=""),0,SUMIF('DADOS BRUTOS'!$A$3:$A$500,$B24,'DADOS BRUTOS'!AC$3:AC$500)+IF($C24="",0,SUMIF('DADOS BRUTOS'!$A$3:$A$500,$C24,'DADOS BRUTOS'!AC$3:AC$500)))</f>
        <v>0</v>
      </c>
      <c r="DD24" s="133" t="n">
        <f aca="false">IF(OR(DD$4="",$B24=""),0,SUMIF('DADOS BRUTOS'!$A$3:$A$500,$B24,'DADOS BRUTOS'!AD$3:AD$500)+IF($C24="",0,SUMIF('DADOS BRUTOS'!$A$3:$A$500,$C24,'DADOS BRUTOS'!AD$3:AD$500)))</f>
        <v>209001.57</v>
      </c>
      <c r="DE24" s="133" t="n">
        <f aca="false">IF(OR(DE$4="",$B24=""),0,SUMIF('DADOS BRUTOS'!$A$3:$A$500,$B24,'DADOS BRUTOS'!AE$3:AE$500)+IF($C24="",0,SUMIF('DADOS BRUTOS'!$A$3:$A$500,$C24,'DADOS BRUTOS'!AE$3:AE$500)))</f>
        <v>3214.66</v>
      </c>
      <c r="DF24" s="133" t="n">
        <f aca="false">IF(OR(DF$4="",$B24=""),0,SUMIF('DADOS BRUTOS'!$A$3:$A$500,$B24,'DADOS BRUTOS'!AF$3:AF$500)+IF($C24="",0,SUMIF('DADOS BRUTOS'!$A$3:$A$500,$C24,'DADOS BRUTOS'!AF$3:AF$500)))</f>
        <v>94109.06</v>
      </c>
      <c r="DG24" s="133" t="n">
        <f aca="false">IF(OR(DG$4="",$B24=""),0,SUMIF('DADOS BRUTOS'!$A$3:$A$500,$B24,'DADOS BRUTOS'!AG$3:AG$500)+IF($C24="",0,SUMIF('DADOS BRUTOS'!$A$3:$A$500,$C24,'DADOS BRUTOS'!AG$3:AG$500)))</f>
        <v>6139.34</v>
      </c>
      <c r="DH24" s="133" t="n">
        <f aca="false">IF(OR(DH$4="",$B24=""),0,SUMIF('DADOS BRUTOS'!$A$3:$A$500,$B24,'DADOS BRUTOS'!AH$3:AH$500)+IF($C24="",0,SUMIF('DADOS BRUTOS'!$A$3:$A$500,$C24,'DADOS BRUTOS'!AH$3:AH$500)))</f>
        <v>6662.65</v>
      </c>
      <c r="DI24" s="133" t="n">
        <f aca="false">IF(OR(DI$4="",$B24=""),0,SUMIF('DADOS BRUTOS'!$A$3:$A$500,$B24,'DADOS BRUTOS'!AI$3:AI$500)+IF($C24="",0,SUMIF('DADOS BRUTOS'!$A$3:$A$500,$C24,'DADOS BRUTOS'!AI$3:AI$500)))</f>
        <v>4679.03</v>
      </c>
      <c r="DJ24" s="133" t="n">
        <f aca="false">IF(OR(DJ$4="",$B24=""),0,SUMIF('DADOS BRUTOS'!$A$3:$A$500,$B24,'DADOS BRUTOS'!AJ$3:AJ$500)+IF($C24="",0,SUMIF('DADOS BRUTOS'!$A$3:$A$500,$C24,'DADOS BRUTOS'!AJ$3:AJ$500)))</f>
        <v>0</v>
      </c>
      <c r="DK24" s="133" t="n">
        <f aca="false">IF(OR(DK$4="",$B24=""),0,SUMIF('DADOS BRUTOS'!$A$3:$A$500,$B24,'DADOS BRUTOS'!AK$3:AK$500)+IF($C24="",0,SUMIF('DADOS BRUTOS'!$A$3:$A$500,$C24,'DADOS BRUTOS'!AK$3:AK$500)))</f>
        <v>0</v>
      </c>
      <c r="DL24" s="133" t="n">
        <f aca="false">IF(OR(DL$4="",$B24=""),0,SUMIF('DADOS BRUTOS'!$A$3:$A$500,$B24,'DADOS BRUTOS'!AL$3:AL$500)+IF($C24="",0,SUMIF('DADOS BRUTOS'!$A$3:$A$500,$C24,'DADOS BRUTOS'!AL$3:AL$500)))</f>
        <v>0</v>
      </c>
      <c r="DM24" s="133" t="n">
        <f aca="false">IF(OR(DM$4="",$B24=""),0,SUMIF('DADOS BRUTOS'!$A$3:$A$500,$B24,'DADOS BRUTOS'!AM$3:AM$500)+IF($C24="",0,SUMIF('DADOS BRUTOS'!$A$3:$A$500,$C24,'DADOS BRUTOS'!AM$3:AM$500)))</f>
        <v>0</v>
      </c>
      <c r="DN24" s="133" t="n">
        <f aca="false">IF(OR(DN$4="",$B24=""),0,SUMIF('DADOS BRUTOS'!$A$3:$A$500,$B24,'DADOS BRUTOS'!AN$3:AN$500)+IF($C24="",0,SUMIF('DADOS BRUTOS'!$A$3:$A$500,$C24,'DADOS BRUTOS'!AN$3:AN$500)))</f>
        <v>0</v>
      </c>
      <c r="DO24" s="133" t="n">
        <f aca="false">IF(OR(DO$4="",$B24=""),0,SUMIF('DADOS BRUTOS'!$A$3:$A$500,$B24,'DADOS BRUTOS'!AO$3:AO$500)+IF($C24="",0,SUMIF('DADOS BRUTOS'!$A$3:$A$500,$C24,'DADOS BRUTOS'!AO$3:AO$500)))</f>
        <v>0</v>
      </c>
      <c r="DP24" s="133" t="n">
        <f aca="false">IF(OR(DP$4="",$B24=""),0,SUMIF('DADOS BRUTOS'!$A$3:$A$500,$B24,'DADOS BRUTOS'!AP$3:AP$500)+IF($C24="",0,SUMIF('DADOS BRUTOS'!$A$3:$A$500,$C24,'DADOS BRUTOS'!AP$3:AP$500)))</f>
        <v>0</v>
      </c>
      <c r="DQ24" s="133" t="n">
        <f aca="false">IF(OR(DQ$4="",$B24=""),0,SUMIF('DADOS BRUTOS'!$A$3:$A$500,$B24,'DADOS BRUTOS'!AQ$3:AQ$500)+IF($C24="",0,SUMIF('DADOS BRUTOS'!$A$3:$A$500,$C24,'DADOS BRUTOS'!AQ$3:AQ$500)))</f>
        <v>0</v>
      </c>
      <c r="DR24" s="133" t="n">
        <f aca="false">IF(OR(DR$4="",$B24=""),0,SUMIF('DADOS BRUTOS'!$A$3:$A$500,$B24,'DADOS BRUTOS'!AR$3:AR$500)+IF($C24="",0,SUMIF('DADOS BRUTOS'!$A$3:$A$500,$C24,'DADOS BRUTOS'!AR$3:AR$500)))</f>
        <v>0</v>
      </c>
      <c r="DS24" s="133" t="n">
        <f aca="false">IF(OR(DS$4="",$B24=""),0,SUMIF('DADOS BRUTOS'!$A$3:$A$500,$B24,'DADOS BRUTOS'!AS$3:AS$500)+IF($C24="",0,SUMIF('DADOS BRUTOS'!$A$3:$A$500,$C24,'DADOS BRUTOS'!AS$3:AS$500)))</f>
        <v>0</v>
      </c>
      <c r="DT24" s="133" t="n">
        <f aca="false">IF(OR(DT$4="",$B24=""),0,SUMIF('DADOS BRUTOS'!$A$3:$A$500,$B24,'DADOS BRUTOS'!AT$3:AT$500)+IF($C24="",0,SUMIF('DADOS BRUTOS'!$A$3:$A$500,$C24,'DADOS BRUTOS'!AT$3:AT$500)))</f>
        <v>0</v>
      </c>
      <c r="DU24" s="133" t="n">
        <f aca="false">IF(OR(DU$4="",$B24=""),0,SUMIF('DADOS BRUTOS'!$A$3:$A$500,$B24,'DADOS BRUTOS'!AU$3:AU$500)+IF($C24="",0,SUMIF('DADOS BRUTOS'!$A$3:$A$500,$C24,'DADOS BRUTOS'!AU$3:AU$500)))</f>
        <v>0</v>
      </c>
      <c r="DV24" s="133" t="n">
        <f aca="false">IF(OR(DV$4="",$B24=""),0,SUMIF('DADOS BRUTOS'!$A$3:$A$500,$B24,'DADOS BRUTOS'!AV$3:AV$500)+IF($C24="",0,SUMIF('DADOS BRUTOS'!$A$3:$A$500,$C24,'DADOS BRUTOS'!AV$3:AV$500)))</f>
        <v>0</v>
      </c>
      <c r="DW24" s="133" t="n">
        <f aca="false">IF(OR(DW$4="",$B24=""),0,SUMIF('DADOS BRUTOS'!$A$3:$A$500,$B24,'DADOS BRUTOS'!AW$3:AW$500)+IF($C24="",0,SUMIF('DADOS BRUTOS'!$A$3:$A$500,$C24,'DADOS BRUTOS'!AW$3:AW$500)))</f>
        <v>0</v>
      </c>
      <c r="DX24" s="133" t="n">
        <f aca="false">IF(OR(DX$4="",$B24=""),0,SUMIF('DADOS BRUTOS'!$A$3:$A$500,$B24,'DADOS BRUTOS'!AX$3:AX$500)+IF($C24="",0,SUMIF('DADOS BRUTOS'!$A$3:$A$500,$C24,'DADOS BRUTOS'!AX$3:AX$500)))</f>
        <v>0</v>
      </c>
      <c r="DY24" s="133" t="n">
        <f aca="false">IF(OR(DY$4="",$B24=""),0,SUMIF('DADOS BRUTOS'!$A$3:$A$500,$B24,'DADOS BRUTOS'!AY$3:AY$500)+IF($C24="",0,SUMIF('DADOS BRUTOS'!$A$3:$A$500,$C24,'DADOS BRUTOS'!AY$3:AY$500)))</f>
        <v>0</v>
      </c>
      <c r="DZ24" s="133" t="n">
        <f aca="false">IF(OR(DZ$4="",$B24=""),0,SUMIF('DADOS BRUTOS'!$A$3:$A$500,$B24,'DADOS BRUTOS'!AZ$3:AZ$500)+IF($C24="",0,SUMIF('DADOS BRUTOS'!$A$3:$A$500,$C24,'DADOS BRUTOS'!AZ$3:AZ$500)))</f>
        <v>0</v>
      </c>
      <c r="EA24" s="133" t="n">
        <f aca="false">IF(OR(EA$4="",$B24=""),0,SUMIF('DADOS BRUTOS'!$A$3:$A$500,$B24,'DADOS BRUTOS'!BA$3:BA$500)+IF($C24="",0,SUMIF('DADOS BRUTOS'!$A$3:$A$500,$C24,'DADOS BRUTOS'!BA$3:BA$500)))</f>
        <v>0</v>
      </c>
      <c r="EB24" s="133" t="n">
        <f aca="false">IF(OR(EB$4="",$B24=""),0,SUMIF('DADOS BRUTOS'!$A$3:$A$500,$B24,'DADOS BRUTOS'!BB$3:BB$500)+IF($C24="",0,SUMIF('DADOS BRUTOS'!$A$3:$A$500,$C24,'DADOS BRUTOS'!BB$3:BB$500)))</f>
        <v>0</v>
      </c>
      <c r="EC24" s="133" t="n">
        <f aca="false">IF(OR(EC$4="",$B24=""),0,SUMIF('DADOS BRUTOS'!$A$3:$A$500,$B24,'DADOS BRUTOS'!BC$3:BC$500)+IF($C24="",0,SUMIF('DADOS BRUTOS'!$A$3:$A$500,$C24,'DADOS BRUTOS'!BC$3:BC$500)))</f>
        <v>0</v>
      </c>
      <c r="ED24" s="133" t="n">
        <f aca="false">IF(OR(ED$4="",$B24=""),0,SUMIF('DADOS BRUTOS'!$A$3:$A$500,$B24,'DADOS BRUTOS'!BD$3:BD$500)+IF($C24="",0,SUMIF('DADOS BRUTOS'!$A$3:$A$500,$C24,'DADOS BRUTOS'!BD$3:BD$500)))</f>
        <v>0</v>
      </c>
      <c r="EE24" s="133" t="n">
        <f aca="false">IF(OR(EE$4="",$B24=""),0,SUMIF('DADOS BRUTOS'!$A$3:$A$500,$B24,'DADOS BRUTOS'!BE$3:BE$500)+IF($C24="",0,SUMIF('DADOS BRUTOS'!$A$3:$A$500,$C24,'DADOS BRUTOS'!BE$3:BE$500)))</f>
        <v>0</v>
      </c>
      <c r="EF24" s="133" t="n">
        <f aca="false">IF(OR(EF$4="",$B24=""),0,SUMIF('DADOS BRUTOS'!$A$3:$A$500,$B24,'DADOS BRUTOS'!BF$3:BF$500)+IF($C24="",0,SUMIF('DADOS BRUTOS'!$A$3:$A$500,$C24,'DADOS BRUTOS'!BF$3:BF$500)))</f>
        <v>0</v>
      </c>
      <c r="EG24" s="133" t="n">
        <f aca="false">IF(OR(EG$4="",$B24=""),0,SUMIF('DADOS BRUTOS'!$A$3:$A$500,$B24,'DADOS BRUTOS'!BG$3:BG$500)+IF($C24="",0,SUMIF('DADOS BRUTOS'!$A$3:$A$500,$C24,'DADOS BRUTOS'!BG$3:BG$500)))</f>
        <v>0</v>
      </c>
      <c r="EH24" s="133" t="n">
        <f aca="false">IF(OR(EH$4="",$B24=""),0,SUMIF('DADOS BRUTOS'!$A$3:$A$500,$B24,'DADOS BRUTOS'!BH$3:BH$500)+IF($C24="",0,SUMIF('DADOS BRUTOS'!$A$3:$A$500,$C24,'DADOS BRUTOS'!BH$3:BH$500)))</f>
        <v>0</v>
      </c>
      <c r="EI24" s="133" t="n">
        <f aca="false">IF(OR(EI$4="",$B24=""),0,SUMIF('DADOS BRUTOS'!$A$3:$A$500,$B24,'DADOS BRUTOS'!BI$3:BI$500)+IF($C24="",0,SUMIF('DADOS BRUTOS'!$A$3:$A$500,$C24,'DADOS BRUTOS'!BI$3:BI$500)))</f>
        <v>0</v>
      </c>
      <c r="EJ24" s="133" t="n">
        <f aca="false">IF(OR(EJ$4="",$B24=""),0,SUMIF('DADOS BRUTOS'!$A$3:$A$500,$B24,'DADOS BRUTOS'!BJ$3:BJ$500)+IF($C24="",0,SUMIF('DADOS BRUTOS'!$A$3:$A$500,$C24,'DADOS BRUTOS'!BJ$3:BJ$500)))</f>
        <v>0</v>
      </c>
      <c r="EK24" s="133" t="n">
        <f aca="false">IF(OR(EK$4="",$B24=""),0,SUMIF('DADOS BRUTOS'!$A$3:$A$500,$B24,'DADOS BRUTOS'!BK$3:BK$500)+IF($C24="",0,SUMIF('DADOS BRUTOS'!$A$3:$A$500,$C24,'DADOS BRUTOS'!BK$3:BK$500)))</f>
        <v>0</v>
      </c>
      <c r="EL24" s="133" t="n">
        <f aca="false">IF(OR(EL$4="",$B24=""),0,SUMIF('DADOS BRUTOS'!$A$3:$A$500,$B24,'DADOS BRUTOS'!BL$3:BL$500)+IF($C24="",0,SUMIF('DADOS BRUTOS'!$A$3:$A$500,$C24,'DADOS BRUTOS'!BL$3:BL$500)))</f>
        <v>0</v>
      </c>
      <c r="EM24" s="133" t="n">
        <f aca="false">IF(OR(EM$4="",$B24=""),0,SUMIF('DADOS BRUTOS'!$A$3:$A$500,$B24,'DADOS BRUTOS'!BM$3:BM$500)+IF($C24="",0,SUMIF('DADOS BRUTOS'!$A$3:$A$500,$C24,'DADOS BRUTOS'!BM$3:BM$500)))</f>
        <v>0</v>
      </c>
      <c r="EN24" s="133" t="n">
        <f aca="false">IF(OR(EN$4="",$B24=""),0,SUMIF('DADOS BRUTOS'!$A$3:$A$500,$B24,'DADOS BRUTOS'!BN$3:BN$500)+IF($C24="",0,SUMIF('DADOS BRUTOS'!$A$3:$A$500,$C24,'DADOS BRUTOS'!BN$3:BN$500)))</f>
        <v>0</v>
      </c>
      <c r="EO24" s="133" t="n">
        <f aca="false">IF(OR(EO$4="",$B24=""),0,SUMIF('DADOS BRUTOS'!$A$3:$A$500,$B24,'DADOS BRUTOS'!BO$3:BO$500)+IF($C24="",0,SUMIF('DADOS BRUTOS'!$A$3:$A$500,$C24,'DADOS BRUTOS'!BO$3:BO$500)))</f>
        <v>0</v>
      </c>
      <c r="EP24" s="133" t="n">
        <f aca="false">IF(OR(EP$4="",$B24=""),0,SUMIF('DADOS BRUTOS'!$A$3:$A$500,$B24,'DADOS BRUTOS'!BP$3:BP$500)+IF($C24="",0,SUMIF('DADOS BRUTOS'!$A$3:$A$500,$C24,'DADOS BRUTOS'!BP$3:BP$500)))</f>
        <v>0</v>
      </c>
      <c r="EQ24" s="133" t="n">
        <f aca="false">IF(OR(EQ$4="",$B24=""),0,SUMIF('DADOS BRUTOS'!$A$3:$A$500,$B24,'DADOS BRUTOS'!BQ$3:BQ$500)+IF($C24="",0,SUMIF('DADOS BRUTOS'!$A$3:$A$500,$C24,'DADOS BRUTOS'!BQ$3:BQ$500)))</f>
        <v>0</v>
      </c>
      <c r="ER24" s="133" t="n">
        <f aca="false">IF(OR(ER$4="",$B24=""),0,SUMIF('DADOS BRUTOS'!$A$3:$A$500,$B24,'DADOS BRUTOS'!BR$3:BR$500)+IF($C24="",0,SUMIF('DADOS BRUTOS'!$A$3:$A$500,$C24,'DADOS BRUTOS'!BR$3:BR$500)))</f>
        <v>0</v>
      </c>
      <c r="ES24" s="133" t="n">
        <f aca="false">IF(OR(ES$4="",$B24=""),0,SUMIF('DADOS BRUTOS'!$A$3:$A$500,$B24,'DADOS BRUTOS'!BS$3:BS$500)+IF($C24="",0,SUMIF('DADOS BRUTOS'!$A$3:$A$500,$C24,'DADOS BRUTOS'!BS$3:BS$500)))</f>
        <v>0</v>
      </c>
      <c r="ET24" s="133" t="n">
        <f aca="false">IF(OR(ET$4="",$B24=""),0,SUMIF('DADOS BRUTOS'!$A$3:$A$500,$B24,'DADOS BRUTOS'!BT$3:BT$500)+IF($C24="",0,SUMIF('DADOS BRUTOS'!$A$3:$A$500,$C24,'DADOS BRUTOS'!BT$3:BT$500)))</f>
        <v>0</v>
      </c>
      <c r="EU24" s="133" t="n">
        <f aca="false">IF(OR(EU$4="",$B24=""),0,SUMIF('DADOS BRUTOS'!$A$3:$A$500,$B24,'DADOS BRUTOS'!BU$3:BU$500)+IF($C24="",0,SUMIF('DADOS BRUTOS'!$A$3:$A$500,$C24,'DADOS BRUTOS'!BU$3:BU$500)))</f>
        <v>0</v>
      </c>
      <c r="EV24" s="133" t="n">
        <f aca="false">IF(OR(EV$4="",$B24=""),0,SUMIF('DADOS BRUTOS'!$A$3:$A$500,$B24,'DADOS BRUTOS'!BV$3:BV$500)+IF($C24="",0,SUMIF('DADOS BRUTOS'!$A$3:$A$500,$C24,'DADOS BRUTOS'!BV$3:BV$500)))</f>
        <v>0</v>
      </c>
      <c r="EW24" s="133" t="n">
        <f aca="false">IF(OR(EW$4="",$B24=""),0,SUMIF('DADOS BRUTOS'!$A$3:$A$500,$B24,'DADOS BRUTOS'!BW$3:BW$500)+IF($C24="",0,SUMIF('DADOS BRUTOS'!$A$3:$A$500,$C24,'DADOS BRUTOS'!BW$3:BW$500)))</f>
        <v>0</v>
      </c>
      <c r="EX24" s="133" t="n">
        <f aca="false">IF(OR(EX$4="",$B24=""),0,SUMIF('DADOS BRUTOS'!$A$3:$A$500,$B24,'DADOS BRUTOS'!BX$3:BX$500)+IF($C24="",0,SUMIF('DADOS BRUTOS'!$A$3:$A$500,$C24,'DADOS BRUTOS'!BX$3:BX$500)))</f>
        <v>0</v>
      </c>
      <c r="EY24" s="133" t="n">
        <f aca="false">IF(OR(EY$4="",$B24=""),0,SUMIF('DADOS BRUTOS'!$A$3:$A$500,$B24,'DADOS BRUTOS'!BY$3:BY$500)+IF($C24="",0,SUMIF('DADOS BRUTOS'!$A$3:$A$500,$C24,'DADOS BRUTOS'!BY$3:BY$500)))</f>
        <v>0</v>
      </c>
      <c r="EZ24" s="133" t="n">
        <f aca="false">IF(OR(EZ$4="",$B24=""),0,SUMIF('DADOS BRUTOS'!$A$3:$A$500,$B24,'DADOS BRUTOS'!BZ$3:BZ$500)+IF($C24="",0,SUMIF('DADOS BRUTOS'!$A$3:$A$500,$C24,'DADOS BRUTOS'!BZ$3:BZ$500)))</f>
        <v>0</v>
      </c>
      <c r="FA24" s="133" t="n">
        <f aca="false">IF(OR(FA$4="",$B24=""),0,SUMIF('DADOS BRUTOS'!$A$3:$A$500,$B24,'DADOS BRUTOS'!CA$3:CA$500)+IF($C24="",0,SUMIF('DADOS BRUTOS'!$A$3:$A$500,$C24,'DADOS BRUTOS'!CA$3:CA$500)))</f>
        <v>0</v>
      </c>
      <c r="FB24" s="133" t="n">
        <f aca="false">IF(OR(FB$4="",$B24=""),0,SUMIF('DADOS BRUTOS'!$A$3:$A$500,$B24,'DADOS BRUTOS'!CB$3:CB$500)+IF($C24="",0,SUMIF('DADOS BRUTOS'!$A$3:$A$500,$C24,'DADOS BRUTOS'!CB$3:CB$500)))</f>
        <v>0</v>
      </c>
      <c r="FC24" s="133" t="n">
        <f aca="false">IF(OR(FC$4="",$B24=""),0,SUMIF('DADOS BRUTOS'!$A$3:$A$500,$B24,'DADOS BRUTOS'!CC$3:CC$500)+IF($C24="",0,SUMIF('DADOS BRUTOS'!$A$3:$A$500,$C24,'DADOS BRUTOS'!CC$3:CC$500)))</f>
        <v>0</v>
      </c>
      <c r="FD24" s="133" t="n">
        <f aca="false">IF(OR(FD$4="",$B24=""),0,SUMIF('DADOS BRUTOS'!$A$3:$A$500,$B24,'DADOS BRUTOS'!CD$3:CD$500)+IF($C24="",0,SUMIF('DADOS BRUTOS'!$A$3:$A$500,$C24,'DADOS BRUTOS'!CD$3:CD$500)))</f>
        <v>0</v>
      </c>
      <c r="FE24" s="133" t="n">
        <f aca="false">IF(OR(FE$4="",$B24=""),0,SUMIF('DADOS BRUTOS'!$A$3:$A$500,$B24,'DADOS BRUTOS'!CE$3:CE$500)+IF($C24="",0,SUMIF('DADOS BRUTOS'!$A$3:$A$500,$C24,'DADOS BRUTOS'!CE$3:CE$500)))</f>
        <v>0</v>
      </c>
      <c r="FF24" s="133" t="n">
        <f aca="false">IF(OR(FF$4="",$B24=""),0,SUMIF('DADOS BRUTOS'!$A$3:$A$500,$B24,'DADOS BRUTOS'!CF$3:CF$500)+IF($C24="",0,SUMIF('DADOS BRUTOS'!$A$3:$A$500,$C24,'DADOS BRUTOS'!CF$3:CF$500)))</f>
        <v>0</v>
      </c>
      <c r="FG24" s="133" t="n">
        <f aca="false">IF(OR(FG$4="",$B24=""),0,SUMIF('DADOS BRUTOS'!$A$3:$A$500,$B24,'DADOS BRUTOS'!CG$3:CG$500)+IF($C24="",0,SUMIF('DADOS BRUTOS'!$A$3:$A$500,$C24,'DADOS BRUTOS'!CG$3:CG$500)))</f>
        <v>0</v>
      </c>
      <c r="FH24" s="133" t="n">
        <f aca="false">IF(OR(FH$4="",$B24=""),0,SUMIF('DADOS BRUTOS'!$A$3:$A$500,$B24,'DADOS BRUTOS'!CH$3:CH$500)+IF($C24="",0,SUMIF('DADOS BRUTOS'!$A$3:$A$500,$C24,'DADOS BRUTOS'!CH$3:CH$500)))</f>
        <v>0</v>
      </c>
      <c r="FI24" s="133" t="n">
        <f aca="false">IF(OR(FI$4="",$B24=""),0,SUMIF('DADOS BRUTOS'!$A$3:$A$500,$B24,'DADOS BRUTOS'!CI$3:CI$500)+IF($C24="",0,SUMIF('DADOS BRUTOS'!$A$3:$A$500,$C24,'DADOS BRUTOS'!CI$3:CI$500)))</f>
        <v>0</v>
      </c>
      <c r="FJ24" s="133" t="n">
        <f aca="false">IF(OR(FJ$4="",$B24=""),0,SUMIF('DADOS BRUTOS'!$A$3:$A$500,$B24,'DADOS BRUTOS'!CJ$3:CJ$500)+IF($C24="",0,SUMIF('DADOS BRUTOS'!$A$3:$A$500,$C24,'DADOS BRUTOS'!CJ$3:CJ$500)))</f>
        <v>0</v>
      </c>
      <c r="FK24" s="133" t="n">
        <f aca="false">IF(OR(FK$4="",$B24=""),0,SUMIF('DADOS BRUTOS'!$A$3:$A$500,$B24,'DADOS BRUTOS'!CK$3:CK$500)+IF($C24="",0,SUMIF('DADOS BRUTOS'!$A$3:$A$500,$C24,'DADOS BRUTOS'!CK$3:CK$500)))</f>
        <v>0</v>
      </c>
      <c r="FL24" s="133" t="n">
        <f aca="false">IF(OR(FL$4="",$B24=""),0,SUMIF('DADOS BRUTOS'!$A$3:$A$500,$B24,'DADOS BRUTOS'!CL$3:CL$500)+IF($C24="",0,SUMIF('DADOS BRUTOS'!$A$3:$A$500,$C24,'DADOS BRUTOS'!CL$3:CL$500)))</f>
        <v>0</v>
      </c>
      <c r="FM24" s="133" t="n">
        <f aca="false">IF(OR(FM$4="",$B24=""),0,SUMIF('DADOS BRUTOS'!$A$3:$A$500,$B24,'DADOS BRUTOS'!CM$3:CM$500)+IF($C24="",0,SUMIF('DADOS BRUTOS'!$A$3:$A$500,$C24,'DADOS BRUTOS'!CM$3:CM$500)))</f>
        <v>0</v>
      </c>
      <c r="FN24" s="133" t="n">
        <f aca="false">IF(OR(FN$4="",$B24=""),0,SUMIF('DADOS BRUTOS'!$A$3:$A$500,$B24,'DADOS BRUTOS'!CN$3:CN$500)+IF($C24="",0,SUMIF('DADOS BRUTOS'!$A$3:$A$500,$C24,'DADOS BRUTOS'!CN$3:CN$500)))</f>
        <v>0</v>
      </c>
      <c r="FO24" s="133" t="n">
        <f aca="false">IF(OR(FO$4="",$B24=""),0,SUMIF('DADOS BRUTOS'!$A$3:$A$500,$B24,'DADOS BRUTOS'!CO$3:CO$500)+IF($C24="",0,SUMIF('DADOS BRUTOS'!$A$3:$A$500,$C24,'DADOS BRUTOS'!CO$3:CO$500)))</f>
        <v>0</v>
      </c>
      <c r="FP24" s="133" t="n">
        <f aca="false">IF(OR(FP$4="",$B24=""),0,SUMIF('DADOS BRUTOS'!$A$3:$A$500,$B24,'DADOS BRUTOS'!CP$3:CP$500)+IF($C24="",0,SUMIF('DADOS BRUTOS'!$A$3:$A$500,$C24,'DADOS BRUTOS'!CP$3:CP$500)))</f>
        <v>0</v>
      </c>
      <c r="FQ24" s="133" t="n">
        <f aca="false">IF(OR(FQ$4="",$B24=""),0,SUMIF('DADOS BRUTOS'!$A$3:$A$500,$B24,'DADOS BRUTOS'!CQ$3:CQ$500)+IF($C24="",0,SUMIF('DADOS BRUTOS'!$A$3:$A$500,$C24,'DADOS BRUTOS'!CQ$3:CQ$500)))</f>
        <v>0</v>
      </c>
      <c r="FR24" s="133" t="n">
        <f aca="false">IF(OR(FR$4="",$B24=""),0,SUMIF('DADOS BRUTOS'!$A$3:$A$500,$B24,'DADOS BRUTOS'!CR$3:CR$500)+IF($C24="",0,SUMIF('DADOS BRUTOS'!$A$3:$A$500,$C24,'DADOS BRUTOS'!CR$3:CR$500)))</f>
        <v>0</v>
      </c>
      <c r="FS24" s="133" t="n">
        <f aca="false">IF(OR(FS$4="",$B24=""),0,SUMIF('DADOS BRUTOS'!$A$3:$A$500,$B24,'DADOS BRUTOS'!CS$3:CS$500)+IF($C24="",0,SUMIF('DADOS BRUTOS'!$A$3:$A$500,$C24,'DADOS BRUTOS'!CS$3:CS$500)))</f>
        <v>0</v>
      </c>
      <c r="FT24" s="133" t="n">
        <f aca="false">IF(OR(FT$4="",$B24=""),0,SUMIF('DADOS BRUTOS'!$A$3:$A$500,$B24,'DADOS BRUTOS'!CT$3:CT$500)+IF($C24="",0,SUMIF('DADOS BRUTOS'!$A$3:$A$500,$C24,'DADOS BRUTOS'!CT$3:CT$500)))</f>
        <v>0</v>
      </c>
      <c r="FU24" s="133" t="n">
        <f aca="false">IF(OR(FU$4="",$B24=""),0,SUMIF('DADOS BRUTOS'!$A$3:$A$500,$B24,'DADOS BRUTOS'!CU$3:CU$500)+IF($C24="",0,SUMIF('DADOS BRUTOS'!$A$3:$A$500,$C24,'DADOS BRUTOS'!CU$3:CU$500)))</f>
        <v>0</v>
      </c>
      <c r="FV24" s="133" t="n">
        <f aca="false">IF(OR(FV$4="",$B24=""),0,SUMIF('DADOS BRUTOS'!$A$3:$A$500,$B24,'DADOS BRUTOS'!CV$3:CV$500)+IF($C24="",0,SUMIF('DADOS BRUTOS'!$A$3:$A$500,$C24,'DADOS BRUTOS'!CV$3:CV$500)))</f>
        <v>0</v>
      </c>
      <c r="FW24" s="133" t="n">
        <f aca="false">IF(OR(FW$4="",$B24=""),0,SUMIF('DADOS BRUTOS'!$A$3:$A$500,$B24,'DADOS BRUTOS'!CW$3:CW$500)+IF($C24="",0,SUMIF('DADOS BRUTOS'!$A$3:$A$500,$C24,'DADOS BRUTOS'!CW$3:CW$500)))</f>
        <v>0</v>
      </c>
      <c r="FX24" s="133" t="n">
        <f aca="false">IF(OR(FX$4="",$B24=""),0,SUMIF('DADOS BRUTOS'!$A$3:$A$500,$B24,'DADOS BRUTOS'!CX$3:CX$500)+IF($C24="",0,SUMIF('DADOS BRUTOS'!$A$3:$A$500,$C24,'DADOS BRUTOS'!CX$3:CX$500)))</f>
        <v>0</v>
      </c>
      <c r="FY24" s="133" t="n">
        <f aca="false">IF(OR(FY$4="",$B24=""),0,SUMIF('DADOS BRUTOS'!$A$3:$A$500,$B24,'DADOS BRUTOS'!CY$3:CY$500)+IF($C24="",0,SUMIF('DADOS BRUTOS'!$A$3:$A$500,$C24,'DADOS BRUTOS'!CY$3:CY$500)))</f>
        <v>0</v>
      </c>
      <c r="FZ24" s="133" t="n">
        <f aca="false">IF(OR(FZ$4="",$B24=""),0,SUMIF('DADOS BRUTOS'!$A$3:$A$500,$B24,'DADOS BRUTOS'!CZ$3:CZ$500)+IF($C24="",0,SUMIF('DADOS BRUTOS'!$A$3:$A$500,$C24,'DADOS BRUTOS'!CZ$3:CZ$500)))</f>
        <v>0</v>
      </c>
      <c r="GA24" s="133" t="n">
        <f aca="false">IF(OR(GA$4="",$B24=""),0,SUMIF('DADOS BRUTOS'!$A$3:$A$500,$B24,'DADOS BRUTOS'!DA$3:DA$500)+IF($C24="",0,SUMIF('DADOS BRUTOS'!$A$3:$A$500,$C24,'DADOS BRUTOS'!DA$3:DA$500)))</f>
        <v>0</v>
      </c>
      <c r="GB24" s="133" t="n">
        <f aca="false">IF(OR(GB$4="",$B24=""),0,SUMIF('DADOS BRUTOS'!$A$3:$A$500,$B24,'DADOS BRUTOS'!DB$3:DB$500)+IF($C24="",0,SUMIF('DADOS BRUTOS'!$A$3:$A$500,$C24,'DADOS BRUTOS'!DB$3:DB$500)))</f>
        <v>0</v>
      </c>
      <c r="GC24" s="133" t="n">
        <f aca="false">IF(OR(GC$4="",$B24=""),0,SUMIF('DADOS BRUTOS'!$A$3:$A$500,$B24,'DADOS BRUTOS'!DC$3:DC$500)+IF($C24="",0,SUMIF('DADOS BRUTOS'!$A$3:$A$500,$C24,'DADOS BRUTOS'!DC$3:DC$500)))</f>
        <v>0</v>
      </c>
      <c r="GD24" s="133" t="n">
        <f aca="false">IF(OR(GD$4="",$B24=""),0,SUMIF('DADOS BRUTOS'!$A$3:$A$500,$B24,'DADOS BRUTOS'!DD$3:DD$500)+IF($C24="",0,SUMIF('DADOS BRUTOS'!$A$3:$A$500,$C24,'DADOS BRUTOS'!DD$3:DD$500)))</f>
        <v>0</v>
      </c>
      <c r="GE24" s="133" t="n">
        <f aca="false">IF(OR(GE$4="",$B24=""),0,SUMIF('DADOS BRUTOS'!$A$3:$A$500,$B24,'DADOS BRUTOS'!DE$3:DE$500)+IF($C24="",0,SUMIF('DADOS BRUTOS'!$A$3:$A$500,$C24,'DADOS BRUTOS'!DE$3:DE$500)))</f>
        <v>0</v>
      </c>
      <c r="GF24" s="133" t="n">
        <f aca="false">IF(OR(GF$4="",$B24=""),0,SUMIF('DADOS BRUTOS'!$A$3:$A$500,$B24,'DADOS BRUTOS'!DF$3:DF$500)+IF($C24="",0,SUMIF('DADOS BRUTOS'!$A$3:$A$500,$C24,'DADOS BRUTOS'!DF$3:DF$500)))</f>
        <v>0</v>
      </c>
      <c r="GG24" s="133" t="n">
        <f aca="false">IF(OR(GG$4="",$B24=""),0,SUMIF('DADOS BRUTOS'!$A$3:$A$500,$B24,'DADOS BRUTOS'!DG$3:DG$500)+IF($C24="",0,SUMIF('DADOS BRUTOS'!$A$3:$A$500,$C24,'DADOS BRUTOS'!DG$3:DG$500)))</f>
        <v>0</v>
      </c>
      <c r="GH24" s="133" t="n">
        <f aca="false">IF(OR(GH$4="",$B24=""),0,SUMIF('DADOS BRUTOS'!$A$3:$A$500,$B24,'DADOS BRUTOS'!DH$3:DH$500)+IF($C24="",0,SUMIF('DADOS BRUTOS'!$A$3:$A$500,$C24,'DADOS BRUTOS'!DH$3:DH$500)))</f>
        <v>0</v>
      </c>
      <c r="GI24" s="133" t="n">
        <f aca="false">IF(OR(GI$4="",$B24=""),0,SUMIF('DADOS BRUTOS'!$A$3:$A$500,$B24,'DADOS BRUTOS'!DI$3:DI$500)+IF($C24="",0,SUMIF('DADOS BRUTOS'!$A$3:$A$500,$C24,'DADOS BRUTOS'!DI$3:DI$500)))</f>
        <v>0</v>
      </c>
      <c r="GJ24" s="133" t="n">
        <f aca="false">IF(OR(GJ$4="",$B24=""),0,SUMIF('DADOS BRUTOS'!$A$3:$A$500,$B24,'DADOS BRUTOS'!DJ$3:DJ$500)+IF($C24="",0,SUMIF('DADOS BRUTOS'!$A$3:$A$500,$C24,'DADOS BRUTOS'!DJ$3:DJ$500)))</f>
        <v>0</v>
      </c>
      <c r="GK24" s="133" t="n">
        <f aca="false">IF(OR(GK$4="",$B24=""),0,SUMIF('DADOS BRUTOS'!$A$3:$A$500,$B24,'DADOS BRUTOS'!DK$3:DK$500)+IF($C24="",0,SUMIF('DADOS BRUTOS'!$A$3:$A$500,$C24,'DADOS BRUTOS'!DK$3:DK$500)))</f>
        <v>0</v>
      </c>
      <c r="GL24" s="133" t="n">
        <f aca="false">IF(OR(GL$4="",$B24=""),0,SUMIF('DADOS BRUTOS'!$A$3:$A$500,$B24,'DADOS BRUTOS'!DL$3:DL$500)+IF($C24="",0,SUMIF('DADOS BRUTOS'!$A$3:$A$500,$C24,'DADOS BRUTOS'!DL$3:DL$500)))</f>
        <v>0</v>
      </c>
      <c r="GM24" s="133" t="n">
        <f aca="false">IF(OR(GM$4="",$B24=""),0,SUMIF('DADOS BRUTOS'!$A$3:$A$500,$B24,'DADOS BRUTOS'!DM$3:DM$500)+IF($C24="",0,SUMIF('DADOS BRUTOS'!$A$3:$A$500,$C24,'DADOS BRUTOS'!DM$3:DM$500)))</f>
        <v>0</v>
      </c>
      <c r="GN24" s="133" t="n">
        <f aca="false">IF(OR(GN$4="",$B24=""),0,SUMIF('DADOS BRUTOS'!$A$3:$A$500,$B24,'DADOS BRUTOS'!DN$3:DN$500)+IF($C24="",0,SUMIF('DADOS BRUTOS'!$A$3:$A$500,$C24,'DADOS BRUTOS'!DN$3:DN$500)))</f>
        <v>0</v>
      </c>
      <c r="GO24" s="133" t="n">
        <f aca="false">IF(OR(GO$4="",$B24=""),0,SUMIF('DADOS BRUTOS'!$A$3:$A$500,$B24,'DADOS BRUTOS'!DO$3:DO$500)+IF($C24="",0,SUMIF('DADOS BRUTOS'!$A$3:$A$500,$C24,'DADOS BRUTOS'!DO$3:DO$500)))</f>
        <v>0</v>
      </c>
      <c r="GP24" s="133" t="n">
        <f aca="false">IF(OR(GP$4="",$B24=""),0,SUMIF('DADOS BRUTOS'!$A$3:$A$500,$B24,'DADOS BRUTOS'!DP$3:DP$500)+IF($C24="",0,SUMIF('DADOS BRUTOS'!$A$3:$A$500,$C24,'DADOS BRUTOS'!DP$3:DP$500)))</f>
        <v>0</v>
      </c>
      <c r="GQ24" s="133" t="n">
        <f aca="false">IF(OR(GQ$4="",$B24=""),0,SUMIF('DADOS BRUTOS'!$A$3:$A$500,$B24,'DADOS BRUTOS'!DQ$3:DQ$500)+IF($C24="",0,SUMIF('DADOS BRUTOS'!$A$3:$A$500,$C24,'DADOS BRUTOS'!DQ$3:DQ$500)))</f>
        <v>0</v>
      </c>
      <c r="GR24" s="133" t="n">
        <f aca="false">IF(OR(GR$4="",$B24=""),0,SUMIF('DADOS BRUTOS'!$A$3:$A$500,$B24,'DADOS BRUTOS'!DR$3:DR$500)+IF($C24="",0,SUMIF('DADOS BRUTOS'!$A$3:$A$500,$C24,'DADOS BRUTOS'!DR$3:DR$500)))</f>
        <v>0</v>
      </c>
      <c r="GS24" s="133" t="n">
        <f aca="false">IF(OR(GS$4="",$B24=""),0,SUMIF('DADOS BRUTOS'!$A$3:$A$500,$B24,'DADOS BRUTOS'!DS$3:DS$500)+IF($C24="",0,SUMIF('DADOS BRUTOS'!$A$3:$A$500,$C24,'DADOS BRUTOS'!DS$3:DS$500)))</f>
        <v>0</v>
      </c>
      <c r="GT24" s="133" t="n">
        <f aca="false">IF(OR(GT$4="",$B24=""),0,SUMIF('DADOS BRUTOS'!$A$3:$A$500,$B24,'DADOS BRUTOS'!DT$3:DT$500)+IF($C24="",0,SUMIF('DADOS BRUTOS'!$A$3:$A$500,$C24,'DADOS BRUTOS'!DT$3:DT$500)))</f>
        <v>0</v>
      </c>
      <c r="GU24" s="133" t="n">
        <f aca="false">IF(OR(GU$4="",$B24=""),0,SUMIF('DADOS BRUTOS'!$A$3:$A$500,$B24,'DADOS BRUTOS'!DU$3:DU$500)+IF($C24="",0,SUMIF('DADOS BRUTOS'!$A$3:$A$500,$C24,'DADOS BRUTOS'!DU$3:DU$500)))</f>
        <v>0</v>
      </c>
      <c r="GV24" s="133" t="n">
        <f aca="false">IF(OR(GV$4="",$B24=""),0,SUMIF('DADOS BRUTOS'!$A$3:$A$500,$B24,'DADOS BRUTOS'!DV$3:DV$500)+IF($C24="",0,SUMIF('DADOS BRUTOS'!$A$3:$A$500,$C24,'DADOS BRUTOS'!DV$3:DV$500)))</f>
        <v>0</v>
      </c>
      <c r="GW24" s="133" t="n">
        <f aca="false">IF(OR(GW$4="",$B24=""),0,SUMIF('DADOS BRUTOS'!$A$3:$A$500,$B24,'DADOS BRUTOS'!DW$3:DW$500)+IF($C24="",0,SUMIF('DADOS BRUTOS'!$A$3:$A$500,$C24,'DADOS BRUTOS'!DW$3:DW$500)))</f>
        <v>0</v>
      </c>
      <c r="GX24" s="133" t="n">
        <f aca="false">IF(OR(GX$4="",$B24=""),0,SUMIF('DADOS BRUTOS'!$A$3:$A$500,$B24,'DADOS BRUTOS'!DX$3:DX$500)+IF($C24="",0,SUMIF('DADOS BRUTOS'!$A$3:$A$500,$C24,'DADOS BRUTOS'!DX$3:DX$500)))</f>
        <v>0</v>
      </c>
      <c r="GY24" s="133" t="n">
        <f aca="false">IF(OR(GY$4="",$B24=""),0,SUMIF('DADOS BRUTOS'!$A$3:$A$500,$B24,'DADOS BRUTOS'!DY$3:DY$500)+IF($C24="",0,SUMIF('DADOS BRUTOS'!$A$3:$A$500,$C24,'DADOS BRUTOS'!DY$3:DY$500)))</f>
        <v>0</v>
      </c>
      <c r="GZ24" s="133" t="n">
        <f aca="false">IF(OR(GZ$4="",$B24=""),0,SUMIF('DADOS BRUTOS'!$A$3:$A$500,$B24,'DADOS BRUTOS'!DZ$3:DZ$500)+IF($C24="",0,SUMIF('DADOS BRUTOS'!$A$3:$A$500,$C24,'DADOS BRUTOS'!DZ$3:DZ$500)))</f>
        <v>0</v>
      </c>
      <c r="HA24" s="133" t="n">
        <f aca="false">IF(OR(HA$4="",$B24=""),0,SUMIF('DADOS BRUTOS'!$A$3:$A$500,$B24,'DADOS BRUTOS'!EA$3:EA$500)+IF($C24="",0,SUMIF('DADOS BRUTOS'!$A$3:$A$500,$C24,'DADOS BRUTOS'!EA$3:EA$500)))</f>
        <v>0</v>
      </c>
      <c r="HB24" s="133" t="n">
        <f aca="false">IF(OR(HB$4="",$B24=""),0,SUMIF('DADOS BRUTOS'!$A$3:$A$500,$B24,'DADOS BRUTOS'!EB$3:EB$500)+IF($C24="",0,SUMIF('DADOS BRUTOS'!$A$3:$A$500,$C24,'DADOS BRUTOS'!EB$3:EB$500)))</f>
        <v>0</v>
      </c>
      <c r="HC24" s="133" t="n">
        <f aca="false">IF(OR(HC$4="",$B24=""),0,SUMIF('DADOS BRUTOS'!$A$3:$A$500,$B24,'DADOS BRUTOS'!EC$3:EC$500)+IF($C24="",0,SUMIF('DADOS BRUTOS'!$A$3:$A$500,$C24,'DADOS BRUTOS'!EC$3:EC$500)))</f>
        <v>0</v>
      </c>
      <c r="HD24" s="133" t="n">
        <f aca="false">IF(OR(HD$4="",$B24=""),0,SUMIF('DADOS BRUTOS'!$A$3:$A$500,$B24,'DADOS BRUTOS'!ED$3:ED$500)+IF($C24="",0,SUMIF('DADOS BRUTOS'!$A$3:$A$500,$C24,'DADOS BRUTOS'!ED$3:ED$500)))</f>
        <v>0</v>
      </c>
      <c r="HE24" s="133" t="n">
        <f aca="false">IF(OR(HE$4="",$B24=""),0,SUMIF('DADOS BRUTOS'!$A$3:$A$500,$B24,'DADOS BRUTOS'!EE$3:EE$500)+IF($C24="",0,SUMIF('DADOS BRUTOS'!$A$3:$A$500,$C24,'DADOS BRUTOS'!EE$3:EE$500)))</f>
        <v>0</v>
      </c>
      <c r="HF24" s="133" t="n">
        <f aca="false">IF(OR(HF$4="",$B24=""),0,SUMIF('DADOS BRUTOS'!$A$3:$A$500,$B24,'DADOS BRUTOS'!EF$3:EF$500)+IF($C24="",0,SUMIF('DADOS BRUTOS'!$A$3:$A$500,$C24,'DADOS BRUTOS'!EF$3:EF$500)))</f>
        <v>0</v>
      </c>
      <c r="HG24" s="133" t="n">
        <f aca="false">IF(OR(HG$4="",$B24=""),0,SUMIF('DADOS BRUTOS'!$A$3:$A$500,$B24,'DADOS BRUTOS'!EG$3:EG$500)+IF($C24="",0,SUMIF('DADOS BRUTOS'!$A$3:$A$500,$C24,'DADOS BRUTOS'!EG$3:EG$500)))</f>
        <v>0</v>
      </c>
      <c r="HH24" s="133" t="n">
        <f aca="false">IF(OR(HH$4="",$B24=""),0,SUMIF('DADOS BRUTOS'!$A$3:$A$500,$B24,'DADOS BRUTOS'!EH$3:EH$500)+IF($C24="",0,SUMIF('DADOS BRUTOS'!$A$3:$A$500,$C24,'DADOS BRUTOS'!EH$3:EH$500)))</f>
        <v>0</v>
      </c>
      <c r="HI24" s="133" t="n">
        <f aca="false">IF(OR(HI$4="",$B24=""),0,SUMIF('DADOS BRUTOS'!$A$3:$A$500,$B24,'DADOS BRUTOS'!EI$3:EI$500)+IF($C24="",0,SUMIF('DADOS BRUTOS'!$A$3:$A$500,$C24,'DADOS BRUTOS'!EI$3:EI$500)))</f>
        <v>0</v>
      </c>
      <c r="HJ24" s="133" t="n">
        <f aca="false">IF(OR(HJ$4="",$B24=""),0,SUMIF('DADOS BRUTOS'!$A$3:$A$500,$B24,'DADOS BRUTOS'!EJ$3:EJ$500)+IF($C24="",0,SUMIF('DADOS BRUTOS'!$A$3:$A$500,$C24,'DADOS BRUTOS'!EJ$3:EJ$500)))</f>
        <v>0</v>
      </c>
      <c r="HK24" s="133" t="n">
        <f aca="false">IF(OR(HK$4="",$B24=""),0,SUMIF('DADOS BRUTOS'!$A$3:$A$500,$B24,'DADOS BRUTOS'!EK$3:EK$500)+IF($C24="",0,SUMIF('DADOS BRUTOS'!$A$3:$A$500,$C24,'DADOS BRUTOS'!EK$3:EK$500)))</f>
        <v>0</v>
      </c>
      <c r="HL24" s="133" t="n">
        <f aca="false">IF(OR(HL$4="",$B24=""),0,SUMIF('DADOS BRUTOS'!$A$3:$A$500,$B24,'DADOS BRUTOS'!EL$3:EL$500)+IF($C24="",0,SUMIF('DADOS BRUTOS'!$A$3:$A$500,$C24,'DADOS BRUTOS'!EL$3:EL$500)))</f>
        <v>0</v>
      </c>
      <c r="HM24" s="133" t="n">
        <f aca="false">IF(OR(HM$4="",$B24=""),0,SUMIF('DADOS BRUTOS'!$A$3:$A$500,$B24,'DADOS BRUTOS'!EM$3:EM$500)+IF($C24="",0,SUMIF('DADOS BRUTOS'!$A$3:$A$500,$C24,'DADOS BRUTOS'!EM$3:EM$500)))</f>
        <v>0</v>
      </c>
      <c r="HN24" s="133" t="n">
        <f aca="false">IF(OR(HN$4="",$B24=""),0,SUMIF('DADOS BRUTOS'!$A$3:$A$500,$B24,'DADOS BRUTOS'!EN$3:EN$500)+IF($C24="",0,SUMIF('DADOS BRUTOS'!$A$3:$A$500,$C24,'DADOS BRUTOS'!EN$3:EN$500)))</f>
        <v>0</v>
      </c>
      <c r="HO24" s="133" t="n">
        <f aca="false">IF(OR(HO$4="",$B24=""),0,SUMIF('DADOS BRUTOS'!$A$3:$A$500,$B24,'DADOS BRUTOS'!EO$3:EO$500)+IF($C24="",0,SUMIF('DADOS BRUTOS'!$A$3:$A$500,$C24,'DADOS BRUTOS'!EO$3:EO$500)))</f>
        <v>0</v>
      </c>
      <c r="HP24" s="133" t="n">
        <f aca="false">IF(OR(HP$4="",$B24=""),0,SUMIF('DADOS BRUTOS'!$A$3:$A$500,$B24,'DADOS BRUTOS'!EP$3:EP$500)+IF($C24="",0,SUMIF('DADOS BRUTOS'!$A$3:$A$500,$C24,'DADOS BRUTOS'!EP$3:EP$500)))</f>
        <v>0</v>
      </c>
      <c r="HQ24" s="133" t="n">
        <f aca="false">IF(OR(HQ$4="",$B24=""),0,SUMIF('DADOS BRUTOS'!$A$3:$A$500,$B24,'DADOS BRUTOS'!EQ$3:EQ$500)+IF($C24="",0,SUMIF('DADOS BRUTOS'!$A$3:$A$500,$C24,'DADOS BRUTOS'!EQ$3:EQ$500)))</f>
        <v>0</v>
      </c>
      <c r="HR24" s="133" t="n">
        <f aca="false">IF(OR(HR$4="",$B24=""),0,SUMIF('DADOS BRUTOS'!$A$3:$A$500,$B24,'DADOS BRUTOS'!ER$3:ER$500)+IF($C24="",0,SUMIF('DADOS BRUTOS'!$A$3:$A$500,$C24,'DADOS BRUTOS'!ER$3:ER$500)))</f>
        <v>0</v>
      </c>
      <c r="HS24" s="133" t="n">
        <f aca="false">IF(OR(HS$4="",$B24=""),0,SUMIF('DADOS BRUTOS'!$A$3:$A$500,$B24,'DADOS BRUTOS'!ES$3:ES$500)+IF($C24="",0,SUMIF('DADOS BRUTOS'!$A$3:$A$500,$C24,'DADOS BRUTOS'!ES$3:ES$500)))</f>
        <v>0</v>
      </c>
      <c r="HT24" s="133" t="n">
        <f aca="false">IF(OR(HT$4="",$B24=""),0,SUMIF('DADOS BRUTOS'!$A$3:$A$500,$B24,'DADOS BRUTOS'!ET$3:ET$500)+IF($C24="",0,SUMIF('DADOS BRUTOS'!$A$3:$A$500,$C24,'DADOS BRUTOS'!ET$3:ET$500)))</f>
        <v>0</v>
      </c>
      <c r="HU24" s="133" t="n">
        <f aca="false">IF(OR(HU$4="",$B24=""),0,SUMIF('DADOS BRUTOS'!$A$3:$A$500,$B24,'DADOS BRUTOS'!EU$3:EU$500)+IF($C24="",0,SUMIF('DADOS BRUTOS'!$A$3:$A$500,$C24,'DADOS BRUTOS'!EU$3:EU$500)))</f>
        <v>0</v>
      </c>
      <c r="HV24" s="133" t="n">
        <f aca="false">IF(OR(HV$4="",$B24=""),0,SUMIF('DADOS BRUTOS'!$A$3:$A$500,$B24,'DADOS BRUTOS'!EV$3:EV$500)+IF($C24="",0,SUMIF('DADOS BRUTOS'!$A$3:$A$500,$C24,'DADOS BRUTOS'!EV$3:EV$500)))</f>
        <v>0</v>
      </c>
      <c r="HW24" s="133" t="n">
        <f aca="false">IF(OR(HW$4="",$B24=""),0,SUMIF('DADOS BRUTOS'!$A$3:$A$500,$B24,'DADOS BRUTOS'!EW$3:EW$500)+IF($C24="",0,SUMIF('DADOS BRUTOS'!$A$3:$A$500,$C24,'DADOS BRUTOS'!EW$3:EW$500)))</f>
        <v>0</v>
      </c>
      <c r="HX24" s="133" t="n">
        <f aca="false">IF(OR(HX$4="",$B24=""),0,SUMIF('DADOS BRUTOS'!$A$3:$A$500,$B24,'DADOS BRUTOS'!EX$3:EX$500)+IF($C24="",0,SUMIF('DADOS BRUTOS'!$A$3:$A$500,$C24,'DADOS BRUTOS'!EX$3:EX$500)))</f>
        <v>0</v>
      </c>
      <c r="HY24" s="133" t="n">
        <f aca="false">IF(OR(HY$4="",$B24=""),0,SUMIF('DADOS BRUTOS'!$A$3:$A$500,$B24,'DADOS BRUTOS'!EY$3:EY$500)+IF($C24="",0,SUMIF('DADOS BRUTOS'!$A$3:$A$500,$C24,'DADOS BRUTOS'!EY$3:EY$500)))</f>
        <v>0</v>
      </c>
      <c r="HZ24" s="133" t="n">
        <f aca="false">IF(OR(HZ$4="",$B24=""),0,SUMIF('DADOS BRUTOS'!$A$3:$A$500,$B24,'DADOS BRUTOS'!EZ$3:EZ$500)+IF($C24="",0,SUMIF('DADOS BRUTOS'!$A$3:$A$500,$C24,'DADOS BRUTOS'!EZ$3:EZ$500)))</f>
        <v>0</v>
      </c>
      <c r="IA24" s="133" t="n">
        <f aca="false">IF(OR(IA$4="",$B24=""),0,SUMIF('DADOS BRUTOS'!$A$3:$A$500,$B24,'DADOS BRUTOS'!FA$3:FA$500)+IF($C24="",0,SUMIF('DADOS BRUTOS'!$A$3:$A$500,$C24,'DADOS BRUTOS'!FA$3:FA$500)))</f>
        <v>0</v>
      </c>
      <c r="IB24" s="133" t="n">
        <f aca="false">IF(OR(IB$4="",$B24=""),0,SUMIF('DADOS BRUTOS'!$A$3:$A$500,$B24,'DADOS BRUTOS'!FB$3:FB$500)+IF($C24="",0,SUMIF('DADOS BRUTOS'!$A$3:$A$500,$C24,'DADOS BRUTOS'!FB$3:FB$500)))</f>
        <v>0</v>
      </c>
      <c r="IC24" s="133" t="n">
        <f aca="false">IF(OR(IC$4="",$B24=""),0,SUMIF('DADOS BRUTOS'!$A$3:$A$500,$B24,'DADOS BRUTOS'!FC$3:FC$500)+IF($C24="",0,SUMIF('DADOS BRUTOS'!$A$3:$A$500,$C24,'DADOS BRUTOS'!FC$3:FC$500)))</f>
        <v>0</v>
      </c>
      <c r="ID24" s="133" t="n">
        <f aca="false">IF(OR(ID$4="",$B24=""),0,SUMIF('DADOS BRUTOS'!$A$3:$A$500,$B24,'DADOS BRUTOS'!FD$3:FD$500)+IF($C24="",0,SUMIF('DADOS BRUTOS'!$A$3:$A$500,$C24,'DADOS BRUTOS'!FD$3:FD$500)))</f>
        <v>0</v>
      </c>
      <c r="IE24" s="133" t="n">
        <f aca="false">IF(OR(IE$4="",$B24=""),0,SUMIF('DADOS BRUTOS'!$A$3:$A$500,$B24,'DADOS BRUTOS'!FE$3:FE$500)+IF($C24="",0,SUMIF('DADOS BRUTOS'!$A$3:$A$500,$C24,'DADOS BRUTOS'!FE$3:FE$500)))</f>
        <v>0</v>
      </c>
      <c r="IF24" s="133" t="n">
        <f aca="false">IF(OR(IF$4="",$B24=""),0,SUMIF('DADOS BRUTOS'!$A$3:$A$500,$B24,'DADOS BRUTOS'!FF$3:FF$500)+IF($C24="",0,SUMIF('DADOS BRUTOS'!$A$3:$A$500,$C24,'DADOS BRUTOS'!FF$3:FF$500)))</f>
        <v>0</v>
      </c>
      <c r="IG24" s="133" t="n">
        <f aca="false">IF(OR(IG$4="",$B24=""),0,SUMIF('DADOS BRUTOS'!$A$3:$A$500,$B24,'DADOS BRUTOS'!FG$3:FG$500)+IF($C24="",0,SUMIF('DADOS BRUTOS'!$A$3:$A$500,$C24,'DADOS BRUTOS'!FG$3:FG$500)))</f>
        <v>0</v>
      </c>
      <c r="IH24" s="133" t="n">
        <f aca="false">IF(OR(IH$4="",$B24=""),0,SUMIF('DADOS BRUTOS'!$A$3:$A$500,$B24,'DADOS BRUTOS'!FH$3:FH$500)+IF($C24="",0,SUMIF('DADOS BRUTOS'!$A$3:$A$500,$C24,'DADOS BRUTOS'!FH$3:FH$500)))</f>
        <v>0</v>
      </c>
      <c r="II24" s="133" t="n">
        <f aca="false">IF(OR(II$4="",$B24=""),0,SUMIF('DADOS BRUTOS'!$A$3:$A$500,$B24,'DADOS BRUTOS'!FI$3:FI$500)+IF($C24="",0,SUMIF('DADOS BRUTOS'!$A$3:$A$500,$C24,'DADOS BRUTOS'!FI$3:FI$500)))</f>
        <v>0</v>
      </c>
      <c r="IJ24" s="133" t="n">
        <f aca="false">IF(OR(IJ$4="",$B24=""),0,SUMIF('DADOS BRUTOS'!$A$3:$A$500,$B24,'DADOS BRUTOS'!FJ$3:FJ$500)+IF($C24="",0,SUMIF('DADOS BRUTOS'!$A$3:$A$500,$C24,'DADOS BRUTOS'!FJ$3:FJ$500)))</f>
        <v>0</v>
      </c>
      <c r="IK24" s="133" t="n">
        <f aca="false">IF(OR(IK$4="",$B24=""),0,SUMIF('DADOS BRUTOS'!$A$3:$A$500,$B24,'DADOS BRUTOS'!FK$3:FK$500)+IF($C24="",0,SUMIF('DADOS BRUTOS'!$A$3:$A$500,$C24,'DADOS BRUTOS'!FK$3:FK$500)))</f>
        <v>0</v>
      </c>
      <c r="IL24" s="133" t="n">
        <f aca="false">IF(OR(IL$4="",$B24=""),0,SUMIF('DADOS BRUTOS'!$A$3:$A$500,$B24,'DADOS BRUTOS'!FL$3:FL$500)+IF($C24="",0,SUMIF('DADOS BRUTOS'!$A$3:$A$500,$C24,'DADOS BRUTOS'!FL$3:FL$500)))</f>
        <v>0</v>
      </c>
      <c r="IM24" s="133" t="n">
        <f aca="false">IF(OR(IM$4="",$B24=""),0,SUMIF('DADOS BRUTOS'!$A$3:$A$500,$B24,'DADOS BRUTOS'!FM$3:FM$500)+IF($C24="",0,SUMIF('DADOS BRUTOS'!$A$3:$A$500,$C24,'DADOS BRUTOS'!FM$3:FM$500)))</f>
        <v>0</v>
      </c>
      <c r="IN24" s="133" t="n">
        <f aca="false">IF(OR(IN$4="",$B24=""),0,SUMIF('DADOS BRUTOS'!$A$3:$A$500,$B24,'DADOS BRUTOS'!FN$3:FN$500)+IF($C24="",0,SUMIF('DADOS BRUTOS'!$A$3:$A$500,$C24,'DADOS BRUTOS'!FN$3:FN$500)))</f>
        <v>0</v>
      </c>
      <c r="IO24" s="133" t="n">
        <f aca="false">IF(OR(IO$4="",$B24=""),0,SUMIF('DADOS BRUTOS'!$A$3:$A$500,$B24,'DADOS BRUTOS'!FO$3:FO$500)+IF($C24="",0,SUMIF('DADOS BRUTOS'!$A$3:$A$500,$C24,'DADOS BRUTOS'!FO$3:FO$500)))</f>
        <v>0</v>
      </c>
      <c r="IP24" s="133" t="n">
        <f aca="false">IF(OR(IP$4="",$B24=""),0,SUMIF('DADOS BRUTOS'!$A$3:$A$500,$B24,'DADOS BRUTOS'!FP$3:FP$500)+IF($C24="",0,SUMIF('DADOS BRUTOS'!$A$3:$A$500,$C24,'DADOS BRUTOS'!FP$3:FP$500)))</f>
        <v>0</v>
      </c>
      <c r="IQ24" s="133" t="n">
        <f aca="false">IF(OR(IQ$4="",$B24=""),0,SUMIF('DADOS BRUTOS'!$A$3:$A$500,$B24,'DADOS BRUTOS'!FQ$3:FQ$500)+IF($C24="",0,SUMIF('DADOS BRUTOS'!$A$3:$A$500,$C24,'DADOS BRUTOS'!FQ$3:FQ$500)))</f>
        <v>0</v>
      </c>
      <c r="IR24" s="133" t="n">
        <f aca="false">IF(OR(IR$4="",$B24=""),0,SUMIF('DADOS BRUTOS'!$A$3:$A$500,$B24,'DADOS BRUTOS'!FR$3:FR$500)+IF($C24="",0,SUMIF('DADOS BRUTOS'!$A$3:$A$500,$C24,'DADOS BRUTOS'!FR$3:FR$500)))</f>
        <v>0</v>
      </c>
      <c r="IS24" s="133" t="n">
        <f aca="false">IF(OR(IS$4="",$B24=""),0,SUMIF('DADOS BRUTOS'!$A$3:$A$500,$B24,'DADOS BRUTOS'!FS$3:FS$500)+IF($C24="",0,SUMIF('DADOS BRUTOS'!$A$3:$A$500,$C24,'DADOS BRUTOS'!FS$3:FS$500)))</f>
        <v>0</v>
      </c>
      <c r="IT24" s="133" t="n">
        <f aca="false">IF(OR(IT$4="",$B24=""),0,SUMIF('DADOS BRUTOS'!$A$3:$A$500,$B24,'DADOS BRUTOS'!FT$3:FT$500)+IF($C24="",0,SUMIF('DADOS BRUTOS'!$A$3:$A$500,$C24,'DADOS BRUTOS'!FT$3:FT$500)))</f>
        <v>0</v>
      </c>
      <c r="IU24" s="133" t="n">
        <f aca="false">IF(OR(IU$4="",$B24=""),0,SUMIF('DADOS BRUTOS'!$A$3:$A$500,$B24,'DADOS BRUTOS'!FU$3:FU$500)+IF($C24="",0,SUMIF('DADOS BRUTOS'!$A$3:$A$500,$C24,'DADOS BRUTOS'!FU$3:FU$500)))</f>
        <v>0</v>
      </c>
      <c r="IV24" s="133" t="n">
        <f aca="false">IF(OR(IV$4="",$B24=""),0,SUMIF('DADOS BRUTOS'!$A$3:$A$500,$B24,'DADOS BRUTOS'!FV$3:FV$500)+IF($C24="",0,SUMIF('DADOS BRUTOS'!$A$3:$A$500,$C24,'DADOS BRUTOS'!FV$3:FV$500)))</f>
        <v>0</v>
      </c>
      <c r="IW24" s="133" t="n">
        <f aca="false">IF(OR(IW$4="",$B24=""),0,SUMIF('DADOS BRUTOS'!$A$3:$A$500,$B24,'DADOS BRUTOS'!FW$3:FW$500)+IF($C24="",0,SUMIF('DADOS BRUTOS'!$A$3:$A$500,$C24,'DADOS BRUTOS'!FW$3:FW$500)))</f>
        <v>0</v>
      </c>
      <c r="IX24" s="133" t="n">
        <f aca="false">IF(OR(IX$4="",$B24=""),0,SUMIF('DADOS BRUTOS'!$A$3:$A$500,$B24,'DADOS BRUTOS'!FX$3:FX$500)+IF($C24="",0,SUMIF('DADOS BRUTOS'!$A$3:$A$500,$C24,'DADOS BRUTOS'!FX$3:FX$500)))</f>
        <v>0</v>
      </c>
      <c r="IY24" s="133" t="n">
        <f aca="false">IF(OR(IY$4="",$B24=""),0,SUMIF('DADOS BRUTOS'!$A$3:$A$500,$B24,'DADOS BRUTOS'!FY$3:FY$500)+IF($C24="",0,SUMIF('DADOS BRUTOS'!$A$3:$A$500,$C24,'DADOS BRUTOS'!FY$3:FY$500)))</f>
        <v>0</v>
      </c>
      <c r="IZ24" s="133" t="n">
        <f aca="false">IF(OR(IZ$4="",$B24=""),0,SUMIF('DADOS BRUTOS'!$A$3:$A$500,$B24,'DADOS BRUTOS'!FZ$3:FZ$500)+IF($C24="",0,SUMIF('DADOS BRUTOS'!$A$3:$A$500,$C24,'DADOS BRUTOS'!FZ$3:FZ$500)))</f>
        <v>0</v>
      </c>
      <c r="JA24" s="133" t="n">
        <f aca="false">IF(OR(JA$4="",$B24=""),0,SUMIF('DADOS BRUTOS'!$A$3:$A$500,$B24,'DADOS BRUTOS'!GA$3:GA$500)+IF($C24="",0,SUMIF('DADOS BRUTOS'!$A$3:$A$500,$C24,'DADOS BRUTOS'!GA$3:GA$500)))</f>
        <v>0</v>
      </c>
      <c r="JB24" s="133" t="n">
        <f aca="false">IF(OR(JB$4="",$B24=""),0,SUMIF('DADOS BRUTOS'!$A$3:$A$500,$B24,'DADOS BRUTOS'!GB$3:GB$500)+IF($C24="",0,SUMIF('DADOS BRUTOS'!$A$3:$A$500,$C24,'DADOS BRUTOS'!GB$3:GB$500)))</f>
        <v>0</v>
      </c>
      <c r="JC24" s="133" t="n">
        <f aca="false">IF(OR(JC$4="",$B24=""),0,SUMIF('DADOS BRUTOS'!$A$3:$A$500,$B24,'DADOS BRUTOS'!GC$3:GC$500)+IF($C24="",0,SUMIF('DADOS BRUTOS'!$A$3:$A$500,$C24,'DADOS BRUTOS'!GC$3:GC$500)))</f>
        <v>0</v>
      </c>
      <c r="JD24" s="133" t="n">
        <f aca="false">IF(OR(JD$4="",$B24=""),0,SUMIF('DADOS BRUTOS'!$A$3:$A$500,$B24,'DADOS BRUTOS'!GD$3:GD$500)+IF($C24="",0,SUMIF('DADOS BRUTOS'!$A$3:$A$500,$C24,'DADOS BRUTOS'!GD$3:GD$500)))</f>
        <v>0</v>
      </c>
      <c r="JE24" s="133" t="n">
        <f aca="false">IF(OR(JE$4="",$B24=""),0,SUMIF('DADOS BRUTOS'!$A$3:$A$500,$B24,'DADOS BRUTOS'!GE$3:GE$500)+IF($C24="",0,SUMIF('DADOS BRUTOS'!$A$3:$A$500,$C24,'DADOS BRUTOS'!GE$3:GE$500)))</f>
        <v>0</v>
      </c>
      <c r="JF24" s="133" t="n">
        <f aca="false">IF(OR(JF$4="",$B24=""),0,SUMIF('DADOS BRUTOS'!$A$3:$A$500,$B24,'DADOS BRUTOS'!GF$3:GF$500)+IF($C24="",0,SUMIF('DADOS BRUTOS'!$A$3:$A$500,$C24,'DADOS BRUTOS'!GF$3:GF$500)))</f>
        <v>0</v>
      </c>
      <c r="JG24" s="133" t="n">
        <f aca="false">IF(OR(JG$4="",$B24=""),0,SUMIF('DADOS BRUTOS'!$A$3:$A$500,$B24,'DADOS BRUTOS'!GG$3:GG$500)+IF($C24="",0,SUMIF('DADOS BRUTOS'!$A$3:$A$500,$C24,'DADOS BRUTOS'!GG$3:GG$500)))</f>
        <v>0</v>
      </c>
      <c r="JH24" s="133" t="n">
        <f aca="false">IF(OR(JH$4="",$B24=""),0,SUMIF('DADOS BRUTOS'!$A$3:$A$500,$B24,'DADOS BRUTOS'!GH$3:GH$500)+IF($C24="",0,SUMIF('DADOS BRUTOS'!$A$3:$A$500,$C24,'DADOS BRUTOS'!GH$3:GH$500)))</f>
        <v>0</v>
      </c>
      <c r="JI24" s="133" t="n">
        <f aca="false">IF(OR(JI$4="",$B24=""),0,SUMIF('DADOS BRUTOS'!$A$3:$A$500,$B24,'DADOS BRUTOS'!GI$3:GI$500)+IF($C24="",0,SUMIF('DADOS BRUTOS'!$A$3:$A$500,$C24,'DADOS BRUTOS'!GI$3:GI$500)))</f>
        <v>0</v>
      </c>
      <c r="JJ24" s="133" t="n">
        <f aca="false">IF(OR(JJ$4="",$B24=""),0,SUMIF('DADOS BRUTOS'!$A$3:$A$500,$B24,'DADOS BRUTOS'!GJ$3:GJ$500)+IF($C24="",0,SUMIF('DADOS BRUTOS'!$A$3:$A$500,$C24,'DADOS BRUTOS'!GJ$3:GJ$500)))</f>
        <v>0</v>
      </c>
      <c r="JK24" s="133" t="n">
        <f aca="false">IF(OR(JK$4="",$B24=""),0,SUMIF('DADOS BRUTOS'!$A$3:$A$500,$B24,'DADOS BRUTOS'!GK$3:GK$500)+IF($C24="",0,SUMIF('DADOS BRUTOS'!$A$3:$A$500,$C24,'DADOS BRUTOS'!GK$3:GK$500)))</f>
        <v>0</v>
      </c>
      <c r="JL24" s="133" t="n">
        <f aca="false">IF(OR(JL$4="",$B24=""),0,SUMIF('DADOS BRUTOS'!$A$3:$A$500,$B24,'DADOS BRUTOS'!GL$3:GL$500)+IF($C24="",0,SUMIF('DADOS BRUTOS'!$A$3:$A$500,$C24,'DADOS BRUTOS'!GL$3:GL$500)))</f>
        <v>0</v>
      </c>
      <c r="JM24" s="133" t="n">
        <f aca="false">IF(OR(JM$4="",$B24=""),0,SUMIF('DADOS BRUTOS'!$A$3:$A$500,$B24,'DADOS BRUTOS'!GM$3:GM$500)+IF($C24="",0,SUMIF('DADOS BRUTOS'!$A$3:$A$500,$C24,'DADOS BRUTOS'!GM$3:GM$500)))</f>
        <v>0</v>
      </c>
      <c r="JN24" s="133" t="n">
        <f aca="false">IF(OR(JN$4="",$B24=""),0,SUMIF('DADOS BRUTOS'!$A$3:$A$500,$B24,'DADOS BRUTOS'!GN$3:GN$500)+IF($C24="",0,SUMIF('DADOS BRUTOS'!$A$3:$A$500,$C24,'DADOS BRUTOS'!GN$3:GN$500)))</f>
        <v>0</v>
      </c>
      <c r="JO24" s="133" t="n">
        <f aca="false">IF(OR(JO$4="",$B24=""),0,SUMIF('DADOS BRUTOS'!$A$3:$A$500,$B24,'DADOS BRUTOS'!GO$3:GO$500)+IF($C24="",0,SUMIF('DADOS BRUTOS'!$A$3:$A$500,$C24,'DADOS BRUTOS'!GO$3:GO$500)))</f>
        <v>0</v>
      </c>
      <c r="JP24" s="133" t="n">
        <f aca="false">IF(OR(JP$4="",$B24=""),0,SUMIF('DADOS BRUTOS'!$A$3:$A$500,$B24,'DADOS BRUTOS'!GP$3:GP$500)+IF($C24="",0,SUMIF('DADOS BRUTOS'!$A$3:$A$500,$C24,'DADOS BRUTOS'!GP$3:GP$500)))</f>
        <v>0</v>
      </c>
      <c r="JQ24" s="133" t="n">
        <f aca="false">IF(OR(JQ$4="",$B24=""),0,SUMIF('DADOS BRUTOS'!$A$3:$A$500,$B24,'DADOS BRUTOS'!GQ$3:GQ$500)+IF($C24="",0,SUMIF('DADOS BRUTOS'!$A$3:$A$500,$C24,'DADOS BRUTOS'!GQ$3:GQ$500)))</f>
        <v>0</v>
      </c>
      <c r="JR24" s="133" t="n">
        <f aca="false">IF(OR(JR$4="",$B24=""),0,SUMIF('DADOS BRUTOS'!$A$3:$A$500,$B24,'DADOS BRUTOS'!GR$3:GR$500)+IF($C24="",0,SUMIF('DADOS BRUTOS'!$A$3:$A$500,$C24,'DADOS BRUTOS'!GR$3:GR$500)))</f>
        <v>0</v>
      </c>
      <c r="JS24" s="133" t="n">
        <f aca="false">IF(OR(JS$4="",$B24=""),0,SUMIF('DADOS BRUTOS'!$A$3:$A$500,$B24,'DADOS BRUTOS'!GS$3:GS$500)+IF($C24="",0,SUMIF('DADOS BRUTOS'!$A$3:$A$500,$C24,'DADOS BRUTOS'!GS$3:GS$500)))</f>
        <v>0</v>
      </c>
    </row>
    <row r="25" customFormat="false" ht="15" hidden="false" customHeight="false" outlineLevel="0" collapsed="false">
      <c r="A25" s="57" t="str">
        <f aca="false">'VALOR POR PL'!D31</f>
        <v>INSTALAÇÕES HIDROSANITÁRIAS</v>
      </c>
      <c r="B25" s="55" t="s">
        <v>177</v>
      </c>
      <c r="C25" s="55"/>
      <c r="D25" s="50" t="n">
        <f aca="false">SUMIF($CB$4:$JS$4,"&lt;="&amp;D$4,$CB25:$JS25)</f>
        <v>0</v>
      </c>
      <c r="E25" s="50" t="n">
        <f aca="false">SUMIF($CB$4:$JS$4,E$4,$CB25:$JS25)</f>
        <v>0</v>
      </c>
      <c r="F25" s="50" t="n">
        <f aca="false">SUMIF($CB$4:$JS$4,F$4,$CB25:$JS25)</f>
        <v>0</v>
      </c>
      <c r="G25" s="50" t="n">
        <f aca="false">SUMIF($CB$4:$JS$4,G$4,$CB25:$JS25)</f>
        <v>0</v>
      </c>
      <c r="H25" s="50" t="n">
        <f aca="false">SUMIF($CB$4:$JS$4,H$4,$CB25:$JS25)</f>
        <v>0</v>
      </c>
      <c r="I25" s="50" t="n">
        <f aca="false">SUMIF($CB$4:$JS$4,I$4,$CB25:$JS25)</f>
        <v>0</v>
      </c>
      <c r="J25" s="50" t="n">
        <f aca="false">SUMIF($CB$4:$JS$4,J$4,$CB25:$JS25)</f>
        <v>0</v>
      </c>
      <c r="K25" s="50" t="n">
        <f aca="false">SUMIF($CB$4:$JS$4,K$4,$CB25:$JS25)</f>
        <v>0</v>
      </c>
      <c r="L25" s="50" t="n">
        <f aca="false">SUMIF($CB$4:$JS$4,L$4,$CB25:$JS25)</f>
        <v>0</v>
      </c>
      <c r="M25" s="50" t="n">
        <f aca="false">SUMIF($CB$4:$JS$4,M$4,$CB25:$JS25)</f>
        <v>0</v>
      </c>
      <c r="N25" s="50" t="n">
        <f aca="false">SUMIF($CB$4:$JS$4,N$4,$CB25:$JS25)</f>
        <v>0</v>
      </c>
      <c r="O25" s="50" t="n">
        <f aca="false">SUMIF($CB$4:$JS$4,O$4,$CB25:$JS25)</f>
        <v>0</v>
      </c>
      <c r="P25" s="50" t="n">
        <f aca="false">SUMIF($CB$4:$JS$4,P$4,$CB25:$JS25)</f>
        <v>0</v>
      </c>
      <c r="Q25" s="50" t="n">
        <f aca="false">SUMIF($CB$4:$JS$4,Q$4,$CB25:$JS25)</f>
        <v>0</v>
      </c>
      <c r="R25" s="50" t="n">
        <f aca="false">SUMIF($CB$4:$JS$4,R$4,$CB25:$JS25)</f>
        <v>0</v>
      </c>
      <c r="S25" s="50" t="n">
        <f aca="false">SUMIF($CB$4:$JS$4,S$4,$CB25:$JS25)</f>
        <v>0</v>
      </c>
      <c r="T25" s="50" t="n">
        <f aca="false">SUMIF($CB$4:$JS$4,T$4,$CB25:$JS25)</f>
        <v>0</v>
      </c>
      <c r="U25" s="50" t="n">
        <f aca="false">SUMIF($CB$4:$JS$4,U$4,$CB25:$JS25)</f>
        <v>0</v>
      </c>
      <c r="V25" s="50" t="n">
        <f aca="false">SUMIF($CB$4:$JS$4,V$4,$CB25:$JS25)</f>
        <v>0</v>
      </c>
      <c r="W25" s="50" t="n">
        <f aca="false">SUMIF($CB$4:$JS$4,W$4,$CB25:$JS25)</f>
        <v>0</v>
      </c>
      <c r="X25" s="50" t="n">
        <f aca="false">SUMIF($CB$4:$JS$4,X$4,$CB25:$JS25)</f>
        <v>0</v>
      </c>
      <c r="Y25" s="50" t="n">
        <f aca="false">SUMIF($CB$4:$JS$4,Y$4,$CB25:$JS25)</f>
        <v>0</v>
      </c>
      <c r="Z25" s="50" t="n">
        <f aca="false">SUMIF($CB$4:$JS$4,Z$4,$CB25:$JS25)</f>
        <v>0</v>
      </c>
      <c r="AA25" s="50" t="n">
        <f aca="false">SUMIF($CB$4:$JS$4,AA$4,$CB25:$JS25)</f>
        <v>0</v>
      </c>
      <c r="AB25" s="50" t="n">
        <f aca="false">SUMIF($CB$4:$JS$4,AB$4,$CB25:$JS25)</f>
        <v>0</v>
      </c>
      <c r="AC25" s="50" t="n">
        <f aca="false">SUMIF($CB$4:$JS$4,AC$4,$CB25:$JS25)</f>
        <v>0</v>
      </c>
      <c r="AD25" s="50" t="n">
        <f aca="false">SUMIF($CB$4:$JS$4,AD$4,$CB25:$JS25)</f>
        <v>0</v>
      </c>
      <c r="AE25" s="50" t="n">
        <f aca="false">SUMIF($CB$4:$JS$4,AE$4,$CB25:$JS25)</f>
        <v>0</v>
      </c>
      <c r="AF25" s="50" t="n">
        <f aca="false">SUMIF($CB$4:$JS$4,AF$4,$CB25:$JS25)</f>
        <v>0</v>
      </c>
      <c r="AG25" s="50" t="n">
        <f aca="false">SUMIF($CB$4:$JS$4,AG$4,$CB25:$JS25)</f>
        <v>0</v>
      </c>
      <c r="AH25" s="50" t="n">
        <f aca="false">SUMIF($CB$4:$JS$4,AH$4,$CB25:$JS25)</f>
        <v>0</v>
      </c>
      <c r="AI25" s="50" t="n">
        <f aca="false">SUMIF($CB$4:$JS$4,AI$4,$CB25:$JS25)</f>
        <v>0</v>
      </c>
      <c r="AJ25" s="50" t="n">
        <f aca="false">SUMIF($CB$4:$JS$4,AJ$4,$CB25:$JS25)</f>
        <v>0</v>
      </c>
      <c r="AK25" s="50" t="n">
        <f aca="false">SUMIF($CB$4:$JS$4,AK$4,$CB25:$JS25)</f>
        <v>0</v>
      </c>
      <c r="AL25" s="50" t="n">
        <f aca="false">SUMIF($CB$4:$JS$4,AL$4,$CB25:$JS25)</f>
        <v>0</v>
      </c>
      <c r="AM25" s="50" t="n">
        <f aca="false">SUMIF($CB$4:$JS$4,AM$4,$CB25:$JS25)</f>
        <v>0</v>
      </c>
      <c r="AN25" s="50" t="n">
        <f aca="false">SUMIF($CB$4:$JS$4,AN$4,$CB25:$JS25)</f>
        <v>0</v>
      </c>
      <c r="AO25" s="50" t="n">
        <f aca="false">SUMIF($CB$4:$JS$4,AO$4,$CB25:$JS25)</f>
        <v>0</v>
      </c>
      <c r="AP25" s="50" t="n">
        <f aca="false">SUMIF($CB$4:$JS$4,AP$4,$CB25:$JS25)</f>
        <v>0</v>
      </c>
      <c r="AQ25" s="50" t="n">
        <f aca="false">SUMIF($CB$4:$JS$4,AQ$4,$CB25:$JS25)</f>
        <v>0</v>
      </c>
      <c r="AR25" s="50" t="n">
        <f aca="false">SUMIF($CB$4:$JS$4,AR$4,$CB25:$JS25)</f>
        <v>0</v>
      </c>
      <c r="AS25" s="50" t="n">
        <f aca="false">SUMIF($CB$4:$JS$4,AS$4,$CB25:$JS25)</f>
        <v>0</v>
      </c>
      <c r="AT25" s="50" t="n">
        <f aca="false">SUMIF($CB$4:$JS$4,AT$4,$CB25:$JS25)</f>
        <v>0</v>
      </c>
      <c r="AU25" s="50" t="n">
        <f aca="false">SUMIF($CB$4:$JS$4,AU$4,$CB25:$JS25)</f>
        <v>0</v>
      </c>
      <c r="AV25" s="50" t="n">
        <f aca="false">SUMIF($CB$4:$JS$4,AV$4,$CB25:$JS25)</f>
        <v>0</v>
      </c>
      <c r="AW25" s="50" t="n">
        <f aca="false">SUMIF($CB$4:$JS$4,AW$4,$CB25:$JS25)</f>
        <v>0</v>
      </c>
      <c r="AX25" s="50" t="n">
        <f aca="false">SUMIF($CB$4:$JS$4,AX$4,$CB25:$JS25)</f>
        <v>0</v>
      </c>
      <c r="AY25" s="50" t="n">
        <f aca="false">SUMIF($CB$4:$JS$4,AY$4,$CB25:$JS25)</f>
        <v>0</v>
      </c>
      <c r="AZ25" s="50" t="n">
        <f aca="false">SUMIF($CB$4:$JS$4,AZ$4,$CB25:$JS25)</f>
        <v>0</v>
      </c>
      <c r="BA25" s="50" t="n">
        <f aca="false">SUMIF($CB$4:$JS$4,BA$4,$CB25:$JS25)</f>
        <v>0</v>
      </c>
      <c r="BB25" s="50" t="n">
        <f aca="false">SUMIF($CB$4:$JS$4,BB$4,$CB25:$JS25)</f>
        <v>0</v>
      </c>
      <c r="BC25" s="50" t="n">
        <f aca="false">SUMIF($CB$4:$JS$4,BC$4,$CB25:$JS25)</f>
        <v>0</v>
      </c>
      <c r="BD25" s="50" t="n">
        <f aca="false">SUMIF($CB$4:$JS$4,BD$4,$CB25:$JS25)</f>
        <v>0</v>
      </c>
      <c r="BE25" s="50" t="n">
        <f aca="false">SUMIF($CB$4:$JS$4,BE$4,$CB25:$JS25)</f>
        <v>0</v>
      </c>
      <c r="BF25" s="50" t="n">
        <f aca="false">SUMIF($CB$4:$JS$4,BF$4,$CB25:$JS25)</f>
        <v>0</v>
      </c>
      <c r="BG25" s="50" t="n">
        <f aca="false">SUMIF($CB$4:$JS$4,BG$4,$CB25:$JS25)</f>
        <v>0</v>
      </c>
      <c r="BH25" s="50" t="n">
        <f aca="false">SUMIF($CB$4:$JS$4,BH$4,$CB25:$JS25)</f>
        <v>0</v>
      </c>
      <c r="BI25" s="50" t="n">
        <f aca="false">SUMIF($CB$4:$JS$4,BI$4,$CB25:$JS25)</f>
        <v>0</v>
      </c>
      <c r="BJ25" s="50" t="n">
        <f aca="false">SUMIF($CB$4:$JS$4,BJ$4,$CB25:$JS25)</f>
        <v>0</v>
      </c>
      <c r="BK25" s="50" t="n">
        <f aca="false">SUMIF($CB$4:$JS$4,BK$4,$CB25:$JS25)</f>
        <v>0</v>
      </c>
      <c r="BL25" s="50" t="n">
        <f aca="false">SUMIF($CB$4:$JS$4,BL$4,$CB25:$JS25)</f>
        <v>0</v>
      </c>
      <c r="BM25" s="50" t="n">
        <f aca="false">SUMIF($CB$4:$JS$4,BM$4,$CB25:$JS25)</f>
        <v>0</v>
      </c>
      <c r="BN25" s="50" t="n">
        <f aca="false">SUMIF($CB$4:$JS$4,BN$4,$CB25:$JS25)</f>
        <v>0</v>
      </c>
      <c r="BO25" s="50" t="n">
        <f aca="false">SUMIF($CB$4:$JS$4,BO$4,$CB25:$JS25)</f>
        <v>0</v>
      </c>
      <c r="BP25" s="50" t="n">
        <f aca="false">SUMIF($CB$4:$JS$4,BP$4,$CB25:$JS25)</f>
        <v>0</v>
      </c>
      <c r="BQ25" s="50" t="n">
        <f aca="false">SUMIF($CB$4:$JS$4,BQ$4,$CB25:$JS25)</f>
        <v>0</v>
      </c>
      <c r="BR25" s="50" t="n">
        <f aca="false">SUMIF($CB$4:$JS$4,BR$4,$CB25:$JS25)</f>
        <v>0</v>
      </c>
      <c r="BS25" s="50" t="n">
        <f aca="false">SUMIF($CB$4:$JS$4,BS$4,$CB25:$JS25)</f>
        <v>0</v>
      </c>
      <c r="BT25" s="50" t="n">
        <f aca="false">SUMIF($CB$4:$JS$4,BT$4,$CB25:$JS25)</f>
        <v>0</v>
      </c>
      <c r="BU25" s="50" t="n">
        <f aca="false">SUMIF($CB$4:$JS$4,BU$4,$CB25:$JS25)</f>
        <v>0</v>
      </c>
      <c r="BV25" s="50" t="n">
        <f aca="false">SUMIF($CB$4:$JS$4,BV$4,$CB25:$JS25)</f>
        <v>0</v>
      </c>
      <c r="BW25" s="50" t="n">
        <f aca="false">SUMIF($CB$4:$JS$4,BW$4,$CB25:$JS25)</f>
        <v>0</v>
      </c>
      <c r="BX25" s="50" t="n">
        <f aca="false">SUMIF($CB$4:$JS$4,"&gt;"&amp;'VALOR POR PL'!$P$8,$CB25:$JS25)</f>
        <v>0</v>
      </c>
      <c r="BY25" s="50" t="n">
        <f aca="false">SUM($CB25:$JS25)</f>
        <v>0</v>
      </c>
      <c r="BZ25" s="45" t="n">
        <f aca="false">SUMPRODUCT(($CB$4:$JS$4&lt;&gt;"")*($CB$4:$JS$4&lt;=$D$4),$CB25:$JS25,$CB$1:$JS$1)</f>
        <v>0</v>
      </c>
      <c r="CB25" s="133" t="n">
        <f aca="false">IF(OR(CB$4="",$B25=""),0,SUMIF('DADOS BRUTOS'!$A$3:$A$500,$B25,'DADOS BRUTOS'!B$3:B$500)+IF($C25="",0,SUMIF('DADOS BRUTOS'!$A$3:$A$500,$C25,'DADOS BRUTOS'!B$3:B$500)))</f>
        <v>0</v>
      </c>
      <c r="CC25" s="133" t="n">
        <f aca="false">IF(OR(CC$4="",$B25=""),0,SUMIF('DADOS BRUTOS'!$A$3:$A$500,$B25,'DADOS BRUTOS'!C$3:C$500)+IF($C25="",0,SUMIF('DADOS BRUTOS'!$A$3:$A$500,$C25,'DADOS BRUTOS'!C$3:C$500)))</f>
        <v>0</v>
      </c>
      <c r="CD25" s="133" t="n">
        <f aca="false">IF(OR(CD$4="",$B25=""),0,SUMIF('DADOS BRUTOS'!$A$3:$A$500,$B25,'DADOS BRUTOS'!D$3:D$500)+IF($C25="",0,SUMIF('DADOS BRUTOS'!$A$3:$A$500,$C25,'DADOS BRUTOS'!D$3:D$500)))</f>
        <v>0</v>
      </c>
      <c r="CE25" s="133" t="n">
        <f aca="false">IF(OR(CE$4="",$B25=""),0,SUMIF('DADOS BRUTOS'!$A$3:$A$500,$B25,'DADOS BRUTOS'!E$3:E$500)+IF($C25="",0,SUMIF('DADOS BRUTOS'!$A$3:$A$500,$C25,'DADOS BRUTOS'!E$3:E$500)))</f>
        <v>0</v>
      </c>
      <c r="CF25" s="133" t="n">
        <f aca="false">IF(OR(CF$4="",$B25=""),0,SUMIF('DADOS BRUTOS'!$A$3:$A$500,$B25,'DADOS BRUTOS'!F$3:F$500)+IF($C25="",0,SUMIF('DADOS BRUTOS'!$A$3:$A$500,$C25,'DADOS BRUTOS'!F$3:F$500)))</f>
        <v>0</v>
      </c>
      <c r="CG25" s="133" t="n">
        <f aca="false">IF(OR(CG$4="",$B25=""),0,SUMIF('DADOS BRUTOS'!$A$3:$A$500,$B25,'DADOS BRUTOS'!G$3:G$500)+IF($C25="",0,SUMIF('DADOS BRUTOS'!$A$3:$A$500,$C25,'DADOS BRUTOS'!G$3:G$500)))</f>
        <v>0</v>
      </c>
      <c r="CH25" s="133" t="n">
        <f aca="false">IF(OR(CH$4="",$B25=""),0,SUMIF('DADOS BRUTOS'!$A$3:$A$500,$B25,'DADOS BRUTOS'!H$3:H$500)+IF($C25="",0,SUMIF('DADOS BRUTOS'!$A$3:$A$500,$C25,'DADOS BRUTOS'!H$3:H$500)))</f>
        <v>0</v>
      </c>
      <c r="CI25" s="133" t="n">
        <f aca="false">IF(OR(CI$4="",$B25=""),0,SUMIF('DADOS BRUTOS'!$A$3:$A$500,$B25,'DADOS BRUTOS'!I$3:I$500)+IF($C25="",0,SUMIF('DADOS BRUTOS'!$A$3:$A$500,$C25,'DADOS BRUTOS'!I$3:I$500)))</f>
        <v>0</v>
      </c>
      <c r="CJ25" s="133" t="n">
        <f aca="false">IF(OR(CJ$4="",$B25=""),0,SUMIF('DADOS BRUTOS'!$A$3:$A$500,$B25,'DADOS BRUTOS'!J$3:J$500)+IF($C25="",0,SUMIF('DADOS BRUTOS'!$A$3:$A$500,$C25,'DADOS BRUTOS'!J$3:J$500)))</f>
        <v>0</v>
      </c>
      <c r="CK25" s="133" t="n">
        <f aca="false">IF(OR(CK$4="",$B25=""),0,SUMIF('DADOS BRUTOS'!$A$3:$A$500,$B25,'DADOS BRUTOS'!K$3:K$500)+IF($C25="",0,SUMIF('DADOS BRUTOS'!$A$3:$A$500,$C25,'DADOS BRUTOS'!K$3:K$500)))</f>
        <v>0</v>
      </c>
      <c r="CL25" s="133" t="n">
        <f aca="false">IF(OR(CL$4="",$B25=""),0,SUMIF('DADOS BRUTOS'!$A$3:$A$500,$B25,'DADOS BRUTOS'!L$3:L$500)+IF($C25="",0,SUMIF('DADOS BRUTOS'!$A$3:$A$500,$C25,'DADOS BRUTOS'!L$3:L$500)))</f>
        <v>0</v>
      </c>
      <c r="CM25" s="133" t="n">
        <f aca="false">IF(OR(CM$4="",$B25=""),0,SUMIF('DADOS BRUTOS'!$A$3:$A$500,$B25,'DADOS BRUTOS'!M$3:M$500)+IF($C25="",0,SUMIF('DADOS BRUTOS'!$A$3:$A$500,$C25,'DADOS BRUTOS'!M$3:M$500)))</f>
        <v>0</v>
      </c>
      <c r="CN25" s="133" t="n">
        <f aca="false">IF(OR(CN$4="",$B25=""),0,SUMIF('DADOS BRUTOS'!$A$3:$A$500,$B25,'DADOS BRUTOS'!N$3:N$500)+IF($C25="",0,SUMIF('DADOS BRUTOS'!$A$3:$A$500,$C25,'DADOS BRUTOS'!N$3:N$500)))</f>
        <v>0</v>
      </c>
      <c r="CO25" s="133" t="n">
        <f aca="false">IF(OR(CO$4="",$B25=""),0,SUMIF('DADOS BRUTOS'!$A$3:$A$500,$B25,'DADOS BRUTOS'!O$3:O$500)+IF($C25="",0,SUMIF('DADOS BRUTOS'!$A$3:$A$500,$C25,'DADOS BRUTOS'!O$3:O$500)))</f>
        <v>0</v>
      </c>
      <c r="CP25" s="133" t="n">
        <f aca="false">IF(OR(CP$4="",$B25=""),0,SUMIF('DADOS BRUTOS'!$A$3:$A$500,$B25,'DADOS BRUTOS'!P$3:P$500)+IF($C25="",0,SUMIF('DADOS BRUTOS'!$A$3:$A$500,$C25,'DADOS BRUTOS'!P$3:P$500)))</f>
        <v>0</v>
      </c>
      <c r="CQ25" s="133" t="n">
        <f aca="false">IF(OR(CQ$4="",$B25=""),0,SUMIF('DADOS BRUTOS'!$A$3:$A$500,$B25,'DADOS BRUTOS'!Q$3:Q$500)+IF($C25="",0,SUMIF('DADOS BRUTOS'!$A$3:$A$500,$C25,'DADOS BRUTOS'!Q$3:Q$500)))</f>
        <v>0</v>
      </c>
      <c r="CR25" s="133" t="n">
        <f aca="false">IF(OR(CR$4="",$B25=""),0,SUMIF('DADOS BRUTOS'!$A$3:$A$500,$B25,'DADOS BRUTOS'!R$3:R$500)+IF($C25="",0,SUMIF('DADOS BRUTOS'!$A$3:$A$500,$C25,'DADOS BRUTOS'!R$3:R$500)))</f>
        <v>0</v>
      </c>
      <c r="CS25" s="133" t="n">
        <f aca="false">IF(OR(CS$4="",$B25=""),0,SUMIF('DADOS BRUTOS'!$A$3:$A$500,$B25,'DADOS BRUTOS'!S$3:S$500)+IF($C25="",0,SUMIF('DADOS BRUTOS'!$A$3:$A$500,$C25,'DADOS BRUTOS'!S$3:S$500)))</f>
        <v>0</v>
      </c>
      <c r="CT25" s="133" t="n">
        <f aca="false">IF(OR(CT$4="",$B25=""),0,SUMIF('DADOS BRUTOS'!$A$3:$A$500,$B25,'DADOS BRUTOS'!T$3:T$500)+IF($C25="",0,SUMIF('DADOS BRUTOS'!$A$3:$A$500,$C25,'DADOS BRUTOS'!T$3:T$500)))</f>
        <v>0</v>
      </c>
      <c r="CU25" s="133" t="n">
        <f aca="false">IF(OR(CU$4="",$B25=""),0,SUMIF('DADOS BRUTOS'!$A$3:$A$500,$B25,'DADOS BRUTOS'!U$3:U$500)+IF($C25="",0,SUMIF('DADOS BRUTOS'!$A$3:$A$500,$C25,'DADOS BRUTOS'!U$3:U$500)))</f>
        <v>0</v>
      </c>
      <c r="CV25" s="133" t="n">
        <f aca="false">IF(OR(CV$4="",$B25=""),0,SUMIF('DADOS BRUTOS'!$A$3:$A$500,$B25,'DADOS BRUTOS'!V$3:V$500)+IF($C25="",0,SUMIF('DADOS BRUTOS'!$A$3:$A$500,$C25,'DADOS BRUTOS'!V$3:V$500)))</f>
        <v>0</v>
      </c>
      <c r="CW25" s="133" t="n">
        <f aca="false">IF(OR(CW$4="",$B25=""),0,SUMIF('DADOS BRUTOS'!$A$3:$A$500,$B25,'DADOS BRUTOS'!W$3:W$500)+IF($C25="",0,SUMIF('DADOS BRUTOS'!$A$3:$A$500,$C25,'DADOS BRUTOS'!W$3:W$500)))</f>
        <v>0</v>
      </c>
      <c r="CX25" s="133" t="n">
        <f aca="false">IF(OR(CX$4="",$B25=""),0,SUMIF('DADOS BRUTOS'!$A$3:$A$500,$B25,'DADOS BRUTOS'!X$3:X$500)+IF($C25="",0,SUMIF('DADOS BRUTOS'!$A$3:$A$500,$C25,'DADOS BRUTOS'!X$3:X$500)))</f>
        <v>0</v>
      </c>
      <c r="CY25" s="133" t="n">
        <f aca="false">IF(OR(CY$4="",$B25=""),0,SUMIF('DADOS BRUTOS'!$A$3:$A$500,$B25,'DADOS BRUTOS'!Y$3:Y$500)+IF($C25="",0,SUMIF('DADOS BRUTOS'!$A$3:$A$500,$C25,'DADOS BRUTOS'!Y$3:Y$500)))</f>
        <v>0</v>
      </c>
      <c r="CZ25" s="133" t="n">
        <f aca="false">IF(OR(CZ$4="",$B25=""),0,SUMIF('DADOS BRUTOS'!$A$3:$A$500,$B25,'DADOS BRUTOS'!Z$3:Z$500)+IF($C25="",0,SUMIF('DADOS BRUTOS'!$A$3:$A$500,$C25,'DADOS BRUTOS'!Z$3:Z$500)))</f>
        <v>0</v>
      </c>
      <c r="DA25" s="133" t="n">
        <f aca="false">IF(OR(DA$4="",$B25=""),0,SUMIF('DADOS BRUTOS'!$A$3:$A$500,$B25,'DADOS BRUTOS'!AA$3:AA$500)+IF($C25="",0,SUMIF('DADOS BRUTOS'!$A$3:$A$500,$C25,'DADOS BRUTOS'!AA$3:AA$500)))</f>
        <v>0</v>
      </c>
      <c r="DB25" s="133" t="n">
        <f aca="false">IF(OR(DB$4="",$B25=""),0,SUMIF('DADOS BRUTOS'!$A$3:$A$500,$B25,'DADOS BRUTOS'!AB$3:AB$500)+IF($C25="",0,SUMIF('DADOS BRUTOS'!$A$3:$A$500,$C25,'DADOS BRUTOS'!AB$3:AB$500)))</f>
        <v>0</v>
      </c>
      <c r="DC25" s="133" t="n">
        <f aca="false">IF(OR(DC$4="",$B25=""),0,SUMIF('DADOS BRUTOS'!$A$3:$A$500,$B25,'DADOS BRUTOS'!AC$3:AC$500)+IF($C25="",0,SUMIF('DADOS BRUTOS'!$A$3:$A$500,$C25,'DADOS BRUTOS'!AC$3:AC$500)))</f>
        <v>0</v>
      </c>
      <c r="DD25" s="133" t="n">
        <f aca="false">IF(OR(DD$4="",$B25=""),0,SUMIF('DADOS BRUTOS'!$A$3:$A$500,$B25,'DADOS BRUTOS'!AD$3:AD$500)+IF($C25="",0,SUMIF('DADOS BRUTOS'!$A$3:$A$500,$C25,'DADOS BRUTOS'!AD$3:AD$500)))</f>
        <v>0</v>
      </c>
      <c r="DE25" s="133" t="n">
        <f aca="false">IF(OR(DE$4="",$B25=""),0,SUMIF('DADOS BRUTOS'!$A$3:$A$500,$B25,'DADOS BRUTOS'!AE$3:AE$500)+IF($C25="",0,SUMIF('DADOS BRUTOS'!$A$3:$A$500,$C25,'DADOS BRUTOS'!AE$3:AE$500)))</f>
        <v>0</v>
      </c>
      <c r="DF25" s="133" t="n">
        <f aca="false">IF(OR(DF$4="",$B25=""),0,SUMIF('DADOS BRUTOS'!$A$3:$A$500,$B25,'DADOS BRUTOS'!AF$3:AF$500)+IF($C25="",0,SUMIF('DADOS BRUTOS'!$A$3:$A$500,$C25,'DADOS BRUTOS'!AF$3:AF$500)))</f>
        <v>0</v>
      </c>
      <c r="DG25" s="133" t="n">
        <f aca="false">IF(OR(DG$4="",$B25=""),0,SUMIF('DADOS BRUTOS'!$A$3:$A$500,$B25,'DADOS BRUTOS'!AG$3:AG$500)+IF($C25="",0,SUMIF('DADOS BRUTOS'!$A$3:$A$500,$C25,'DADOS BRUTOS'!AG$3:AG$500)))</f>
        <v>0</v>
      </c>
      <c r="DH25" s="133" t="n">
        <f aca="false">IF(OR(DH$4="",$B25=""),0,SUMIF('DADOS BRUTOS'!$A$3:$A$500,$B25,'DADOS BRUTOS'!AH$3:AH$500)+IF($C25="",0,SUMIF('DADOS BRUTOS'!$A$3:$A$500,$C25,'DADOS BRUTOS'!AH$3:AH$500)))</f>
        <v>0</v>
      </c>
      <c r="DI25" s="133" t="n">
        <f aca="false">IF(OR(DI$4="",$B25=""),0,SUMIF('DADOS BRUTOS'!$A$3:$A$500,$B25,'DADOS BRUTOS'!AI$3:AI$500)+IF($C25="",0,SUMIF('DADOS BRUTOS'!$A$3:$A$500,$C25,'DADOS BRUTOS'!AI$3:AI$500)))</f>
        <v>0</v>
      </c>
      <c r="DJ25" s="133" t="n">
        <f aca="false">IF(OR(DJ$4="",$B25=""),0,SUMIF('DADOS BRUTOS'!$A$3:$A$500,$B25,'DADOS BRUTOS'!AJ$3:AJ$500)+IF($C25="",0,SUMIF('DADOS BRUTOS'!$A$3:$A$500,$C25,'DADOS BRUTOS'!AJ$3:AJ$500)))</f>
        <v>0</v>
      </c>
      <c r="DK25" s="133" t="n">
        <f aca="false">IF(OR(DK$4="",$B25=""),0,SUMIF('DADOS BRUTOS'!$A$3:$A$500,$B25,'DADOS BRUTOS'!AK$3:AK$500)+IF($C25="",0,SUMIF('DADOS BRUTOS'!$A$3:$A$500,$C25,'DADOS BRUTOS'!AK$3:AK$500)))</f>
        <v>0</v>
      </c>
      <c r="DL25" s="133" t="n">
        <f aca="false">IF(OR(DL$4="",$B25=""),0,SUMIF('DADOS BRUTOS'!$A$3:$A$500,$B25,'DADOS BRUTOS'!AL$3:AL$500)+IF($C25="",0,SUMIF('DADOS BRUTOS'!$A$3:$A$500,$C25,'DADOS BRUTOS'!AL$3:AL$500)))</f>
        <v>0</v>
      </c>
      <c r="DM25" s="133" t="n">
        <f aca="false">IF(OR(DM$4="",$B25=""),0,SUMIF('DADOS BRUTOS'!$A$3:$A$500,$B25,'DADOS BRUTOS'!AM$3:AM$500)+IF($C25="",0,SUMIF('DADOS BRUTOS'!$A$3:$A$500,$C25,'DADOS BRUTOS'!AM$3:AM$500)))</f>
        <v>0</v>
      </c>
      <c r="DN25" s="133" t="n">
        <f aca="false">IF(OR(DN$4="",$B25=""),0,SUMIF('DADOS BRUTOS'!$A$3:$A$500,$B25,'DADOS BRUTOS'!AN$3:AN$500)+IF($C25="",0,SUMIF('DADOS BRUTOS'!$A$3:$A$500,$C25,'DADOS BRUTOS'!AN$3:AN$500)))</f>
        <v>0</v>
      </c>
      <c r="DO25" s="133" t="n">
        <f aca="false">IF(OR(DO$4="",$B25=""),0,SUMIF('DADOS BRUTOS'!$A$3:$A$500,$B25,'DADOS BRUTOS'!AO$3:AO$500)+IF($C25="",0,SUMIF('DADOS BRUTOS'!$A$3:$A$500,$C25,'DADOS BRUTOS'!AO$3:AO$500)))</f>
        <v>0</v>
      </c>
      <c r="DP25" s="133" t="n">
        <f aca="false">IF(OR(DP$4="",$B25=""),0,SUMIF('DADOS BRUTOS'!$A$3:$A$500,$B25,'DADOS BRUTOS'!AP$3:AP$500)+IF($C25="",0,SUMIF('DADOS BRUTOS'!$A$3:$A$500,$C25,'DADOS BRUTOS'!AP$3:AP$500)))</f>
        <v>0</v>
      </c>
      <c r="DQ25" s="133" t="n">
        <f aca="false">IF(OR(DQ$4="",$B25=""),0,SUMIF('DADOS BRUTOS'!$A$3:$A$500,$B25,'DADOS BRUTOS'!AQ$3:AQ$500)+IF($C25="",0,SUMIF('DADOS BRUTOS'!$A$3:$A$500,$C25,'DADOS BRUTOS'!AQ$3:AQ$500)))</f>
        <v>0</v>
      </c>
      <c r="DR25" s="133" t="n">
        <f aca="false">IF(OR(DR$4="",$B25=""),0,SUMIF('DADOS BRUTOS'!$A$3:$A$500,$B25,'DADOS BRUTOS'!AR$3:AR$500)+IF($C25="",0,SUMIF('DADOS BRUTOS'!$A$3:$A$500,$C25,'DADOS BRUTOS'!AR$3:AR$500)))</f>
        <v>0</v>
      </c>
      <c r="DS25" s="133" t="n">
        <f aca="false">IF(OR(DS$4="",$B25=""),0,SUMIF('DADOS BRUTOS'!$A$3:$A$500,$B25,'DADOS BRUTOS'!AS$3:AS$500)+IF($C25="",0,SUMIF('DADOS BRUTOS'!$A$3:$A$500,$C25,'DADOS BRUTOS'!AS$3:AS$500)))</f>
        <v>0</v>
      </c>
      <c r="DT25" s="133" t="n">
        <f aca="false">IF(OR(DT$4="",$B25=""),0,SUMIF('DADOS BRUTOS'!$A$3:$A$500,$B25,'DADOS BRUTOS'!AT$3:AT$500)+IF($C25="",0,SUMIF('DADOS BRUTOS'!$A$3:$A$500,$C25,'DADOS BRUTOS'!AT$3:AT$500)))</f>
        <v>0</v>
      </c>
      <c r="DU25" s="133" t="n">
        <f aca="false">IF(OR(DU$4="",$B25=""),0,SUMIF('DADOS BRUTOS'!$A$3:$A$500,$B25,'DADOS BRUTOS'!AU$3:AU$500)+IF($C25="",0,SUMIF('DADOS BRUTOS'!$A$3:$A$500,$C25,'DADOS BRUTOS'!AU$3:AU$500)))</f>
        <v>0</v>
      </c>
      <c r="DV25" s="133" t="n">
        <f aca="false">IF(OR(DV$4="",$B25=""),0,SUMIF('DADOS BRUTOS'!$A$3:$A$500,$B25,'DADOS BRUTOS'!AV$3:AV$500)+IF($C25="",0,SUMIF('DADOS BRUTOS'!$A$3:$A$500,$C25,'DADOS BRUTOS'!AV$3:AV$500)))</f>
        <v>0</v>
      </c>
      <c r="DW25" s="133" t="n">
        <f aca="false">IF(OR(DW$4="",$B25=""),0,SUMIF('DADOS BRUTOS'!$A$3:$A$500,$B25,'DADOS BRUTOS'!AW$3:AW$500)+IF($C25="",0,SUMIF('DADOS BRUTOS'!$A$3:$A$500,$C25,'DADOS BRUTOS'!AW$3:AW$500)))</f>
        <v>0</v>
      </c>
      <c r="DX25" s="133" t="n">
        <f aca="false">IF(OR(DX$4="",$B25=""),0,SUMIF('DADOS BRUTOS'!$A$3:$A$500,$B25,'DADOS BRUTOS'!AX$3:AX$500)+IF($C25="",0,SUMIF('DADOS BRUTOS'!$A$3:$A$500,$C25,'DADOS BRUTOS'!AX$3:AX$500)))</f>
        <v>0</v>
      </c>
      <c r="DY25" s="133" t="n">
        <f aca="false">IF(OR(DY$4="",$B25=""),0,SUMIF('DADOS BRUTOS'!$A$3:$A$500,$B25,'DADOS BRUTOS'!AY$3:AY$500)+IF($C25="",0,SUMIF('DADOS BRUTOS'!$A$3:$A$500,$C25,'DADOS BRUTOS'!AY$3:AY$500)))</f>
        <v>0</v>
      </c>
      <c r="DZ25" s="133" t="n">
        <f aca="false">IF(OR(DZ$4="",$B25=""),0,SUMIF('DADOS BRUTOS'!$A$3:$A$500,$B25,'DADOS BRUTOS'!AZ$3:AZ$500)+IF($C25="",0,SUMIF('DADOS BRUTOS'!$A$3:$A$500,$C25,'DADOS BRUTOS'!AZ$3:AZ$500)))</f>
        <v>0</v>
      </c>
      <c r="EA25" s="133" t="n">
        <f aca="false">IF(OR(EA$4="",$B25=""),0,SUMIF('DADOS BRUTOS'!$A$3:$A$500,$B25,'DADOS BRUTOS'!BA$3:BA$500)+IF($C25="",0,SUMIF('DADOS BRUTOS'!$A$3:$A$500,$C25,'DADOS BRUTOS'!BA$3:BA$500)))</f>
        <v>0</v>
      </c>
      <c r="EB25" s="133" t="n">
        <f aca="false">IF(OR(EB$4="",$B25=""),0,SUMIF('DADOS BRUTOS'!$A$3:$A$500,$B25,'DADOS BRUTOS'!BB$3:BB$500)+IF($C25="",0,SUMIF('DADOS BRUTOS'!$A$3:$A$500,$C25,'DADOS BRUTOS'!BB$3:BB$500)))</f>
        <v>0</v>
      </c>
      <c r="EC25" s="133" t="n">
        <f aca="false">IF(OR(EC$4="",$B25=""),0,SUMIF('DADOS BRUTOS'!$A$3:$A$500,$B25,'DADOS BRUTOS'!BC$3:BC$500)+IF($C25="",0,SUMIF('DADOS BRUTOS'!$A$3:$A$500,$C25,'DADOS BRUTOS'!BC$3:BC$500)))</f>
        <v>0</v>
      </c>
      <c r="ED25" s="133" t="n">
        <f aca="false">IF(OR(ED$4="",$B25=""),0,SUMIF('DADOS BRUTOS'!$A$3:$A$500,$B25,'DADOS BRUTOS'!BD$3:BD$500)+IF($C25="",0,SUMIF('DADOS BRUTOS'!$A$3:$A$500,$C25,'DADOS BRUTOS'!BD$3:BD$500)))</f>
        <v>0</v>
      </c>
      <c r="EE25" s="133" t="n">
        <f aca="false">IF(OR(EE$4="",$B25=""),0,SUMIF('DADOS BRUTOS'!$A$3:$A$500,$B25,'DADOS BRUTOS'!BE$3:BE$500)+IF($C25="",0,SUMIF('DADOS BRUTOS'!$A$3:$A$500,$C25,'DADOS BRUTOS'!BE$3:BE$500)))</f>
        <v>0</v>
      </c>
      <c r="EF25" s="133" t="n">
        <f aca="false">IF(OR(EF$4="",$B25=""),0,SUMIF('DADOS BRUTOS'!$A$3:$A$500,$B25,'DADOS BRUTOS'!BF$3:BF$500)+IF($C25="",0,SUMIF('DADOS BRUTOS'!$A$3:$A$500,$C25,'DADOS BRUTOS'!BF$3:BF$500)))</f>
        <v>0</v>
      </c>
      <c r="EG25" s="133" t="n">
        <f aca="false">IF(OR(EG$4="",$B25=""),0,SUMIF('DADOS BRUTOS'!$A$3:$A$500,$B25,'DADOS BRUTOS'!BG$3:BG$500)+IF($C25="",0,SUMIF('DADOS BRUTOS'!$A$3:$A$500,$C25,'DADOS BRUTOS'!BG$3:BG$500)))</f>
        <v>0</v>
      </c>
      <c r="EH25" s="133" t="n">
        <f aca="false">IF(OR(EH$4="",$B25=""),0,SUMIF('DADOS BRUTOS'!$A$3:$A$500,$B25,'DADOS BRUTOS'!BH$3:BH$500)+IF($C25="",0,SUMIF('DADOS BRUTOS'!$A$3:$A$500,$C25,'DADOS BRUTOS'!BH$3:BH$500)))</f>
        <v>0</v>
      </c>
      <c r="EI25" s="133" t="n">
        <f aca="false">IF(OR(EI$4="",$B25=""),0,SUMIF('DADOS BRUTOS'!$A$3:$A$500,$B25,'DADOS BRUTOS'!BI$3:BI$500)+IF($C25="",0,SUMIF('DADOS BRUTOS'!$A$3:$A$500,$C25,'DADOS BRUTOS'!BI$3:BI$500)))</f>
        <v>0</v>
      </c>
      <c r="EJ25" s="133" t="n">
        <f aca="false">IF(OR(EJ$4="",$B25=""),0,SUMIF('DADOS BRUTOS'!$A$3:$A$500,$B25,'DADOS BRUTOS'!BJ$3:BJ$500)+IF($C25="",0,SUMIF('DADOS BRUTOS'!$A$3:$A$500,$C25,'DADOS BRUTOS'!BJ$3:BJ$500)))</f>
        <v>0</v>
      </c>
      <c r="EK25" s="133" t="n">
        <f aca="false">IF(OR(EK$4="",$B25=""),0,SUMIF('DADOS BRUTOS'!$A$3:$A$500,$B25,'DADOS BRUTOS'!BK$3:BK$500)+IF($C25="",0,SUMIF('DADOS BRUTOS'!$A$3:$A$500,$C25,'DADOS BRUTOS'!BK$3:BK$500)))</f>
        <v>0</v>
      </c>
      <c r="EL25" s="133" t="n">
        <f aca="false">IF(OR(EL$4="",$B25=""),0,SUMIF('DADOS BRUTOS'!$A$3:$A$500,$B25,'DADOS BRUTOS'!BL$3:BL$500)+IF($C25="",0,SUMIF('DADOS BRUTOS'!$A$3:$A$500,$C25,'DADOS BRUTOS'!BL$3:BL$500)))</f>
        <v>0</v>
      </c>
      <c r="EM25" s="133" t="n">
        <f aca="false">IF(OR(EM$4="",$B25=""),0,SUMIF('DADOS BRUTOS'!$A$3:$A$500,$B25,'DADOS BRUTOS'!BM$3:BM$500)+IF($C25="",0,SUMIF('DADOS BRUTOS'!$A$3:$A$500,$C25,'DADOS BRUTOS'!BM$3:BM$500)))</f>
        <v>0</v>
      </c>
      <c r="EN25" s="133" t="n">
        <f aca="false">IF(OR(EN$4="",$B25=""),0,SUMIF('DADOS BRUTOS'!$A$3:$A$500,$B25,'DADOS BRUTOS'!BN$3:BN$500)+IF($C25="",0,SUMIF('DADOS BRUTOS'!$A$3:$A$500,$C25,'DADOS BRUTOS'!BN$3:BN$500)))</f>
        <v>0</v>
      </c>
      <c r="EO25" s="133" t="n">
        <f aca="false">IF(OR(EO$4="",$B25=""),0,SUMIF('DADOS BRUTOS'!$A$3:$A$500,$B25,'DADOS BRUTOS'!BO$3:BO$500)+IF($C25="",0,SUMIF('DADOS BRUTOS'!$A$3:$A$500,$C25,'DADOS BRUTOS'!BO$3:BO$500)))</f>
        <v>0</v>
      </c>
      <c r="EP25" s="133" t="n">
        <f aca="false">IF(OR(EP$4="",$B25=""),0,SUMIF('DADOS BRUTOS'!$A$3:$A$500,$B25,'DADOS BRUTOS'!BP$3:BP$500)+IF($C25="",0,SUMIF('DADOS BRUTOS'!$A$3:$A$500,$C25,'DADOS BRUTOS'!BP$3:BP$500)))</f>
        <v>0</v>
      </c>
      <c r="EQ25" s="133" t="n">
        <f aca="false">IF(OR(EQ$4="",$B25=""),0,SUMIF('DADOS BRUTOS'!$A$3:$A$500,$B25,'DADOS BRUTOS'!BQ$3:BQ$500)+IF($C25="",0,SUMIF('DADOS BRUTOS'!$A$3:$A$500,$C25,'DADOS BRUTOS'!BQ$3:BQ$500)))</f>
        <v>0</v>
      </c>
      <c r="ER25" s="133" t="n">
        <f aca="false">IF(OR(ER$4="",$B25=""),0,SUMIF('DADOS BRUTOS'!$A$3:$A$500,$B25,'DADOS BRUTOS'!BR$3:BR$500)+IF($C25="",0,SUMIF('DADOS BRUTOS'!$A$3:$A$500,$C25,'DADOS BRUTOS'!BR$3:BR$500)))</f>
        <v>0</v>
      </c>
      <c r="ES25" s="133" t="n">
        <f aca="false">IF(OR(ES$4="",$B25=""),0,SUMIF('DADOS BRUTOS'!$A$3:$A$500,$B25,'DADOS BRUTOS'!BS$3:BS$500)+IF($C25="",0,SUMIF('DADOS BRUTOS'!$A$3:$A$500,$C25,'DADOS BRUTOS'!BS$3:BS$500)))</f>
        <v>0</v>
      </c>
      <c r="ET25" s="133" t="n">
        <f aca="false">IF(OR(ET$4="",$B25=""),0,SUMIF('DADOS BRUTOS'!$A$3:$A$500,$B25,'DADOS BRUTOS'!BT$3:BT$500)+IF($C25="",0,SUMIF('DADOS BRUTOS'!$A$3:$A$500,$C25,'DADOS BRUTOS'!BT$3:BT$500)))</f>
        <v>0</v>
      </c>
      <c r="EU25" s="133" t="n">
        <f aca="false">IF(OR(EU$4="",$B25=""),0,SUMIF('DADOS BRUTOS'!$A$3:$A$500,$B25,'DADOS BRUTOS'!BU$3:BU$500)+IF($C25="",0,SUMIF('DADOS BRUTOS'!$A$3:$A$500,$C25,'DADOS BRUTOS'!BU$3:BU$500)))</f>
        <v>0</v>
      </c>
      <c r="EV25" s="133" t="n">
        <f aca="false">IF(OR(EV$4="",$B25=""),0,SUMIF('DADOS BRUTOS'!$A$3:$A$500,$B25,'DADOS BRUTOS'!BV$3:BV$500)+IF($C25="",0,SUMIF('DADOS BRUTOS'!$A$3:$A$500,$C25,'DADOS BRUTOS'!BV$3:BV$500)))</f>
        <v>0</v>
      </c>
      <c r="EW25" s="133" t="n">
        <f aca="false">IF(OR(EW$4="",$B25=""),0,SUMIF('DADOS BRUTOS'!$A$3:$A$500,$B25,'DADOS BRUTOS'!BW$3:BW$500)+IF($C25="",0,SUMIF('DADOS BRUTOS'!$A$3:$A$500,$C25,'DADOS BRUTOS'!BW$3:BW$500)))</f>
        <v>0</v>
      </c>
      <c r="EX25" s="133" t="n">
        <f aca="false">IF(OR(EX$4="",$B25=""),0,SUMIF('DADOS BRUTOS'!$A$3:$A$500,$B25,'DADOS BRUTOS'!BX$3:BX$500)+IF($C25="",0,SUMIF('DADOS BRUTOS'!$A$3:$A$500,$C25,'DADOS BRUTOS'!BX$3:BX$500)))</f>
        <v>0</v>
      </c>
      <c r="EY25" s="133" t="n">
        <f aca="false">IF(OR(EY$4="",$B25=""),0,SUMIF('DADOS BRUTOS'!$A$3:$A$500,$B25,'DADOS BRUTOS'!BY$3:BY$500)+IF($C25="",0,SUMIF('DADOS BRUTOS'!$A$3:$A$500,$C25,'DADOS BRUTOS'!BY$3:BY$500)))</f>
        <v>0</v>
      </c>
      <c r="EZ25" s="133" t="n">
        <f aca="false">IF(OR(EZ$4="",$B25=""),0,SUMIF('DADOS BRUTOS'!$A$3:$A$500,$B25,'DADOS BRUTOS'!BZ$3:BZ$500)+IF($C25="",0,SUMIF('DADOS BRUTOS'!$A$3:$A$500,$C25,'DADOS BRUTOS'!BZ$3:BZ$500)))</f>
        <v>0</v>
      </c>
      <c r="FA25" s="133" t="n">
        <f aca="false">IF(OR(FA$4="",$B25=""),0,SUMIF('DADOS BRUTOS'!$A$3:$A$500,$B25,'DADOS BRUTOS'!CA$3:CA$500)+IF($C25="",0,SUMIF('DADOS BRUTOS'!$A$3:$A$500,$C25,'DADOS BRUTOS'!CA$3:CA$500)))</f>
        <v>0</v>
      </c>
      <c r="FB25" s="133" t="n">
        <f aca="false">IF(OR(FB$4="",$B25=""),0,SUMIF('DADOS BRUTOS'!$A$3:$A$500,$B25,'DADOS BRUTOS'!CB$3:CB$500)+IF($C25="",0,SUMIF('DADOS BRUTOS'!$A$3:$A$500,$C25,'DADOS BRUTOS'!CB$3:CB$500)))</f>
        <v>0</v>
      </c>
      <c r="FC25" s="133" t="n">
        <f aca="false">IF(OR(FC$4="",$B25=""),0,SUMIF('DADOS BRUTOS'!$A$3:$A$500,$B25,'DADOS BRUTOS'!CC$3:CC$500)+IF($C25="",0,SUMIF('DADOS BRUTOS'!$A$3:$A$500,$C25,'DADOS BRUTOS'!CC$3:CC$500)))</f>
        <v>0</v>
      </c>
      <c r="FD25" s="133" t="n">
        <f aca="false">IF(OR(FD$4="",$B25=""),0,SUMIF('DADOS BRUTOS'!$A$3:$A$500,$B25,'DADOS BRUTOS'!CD$3:CD$500)+IF($C25="",0,SUMIF('DADOS BRUTOS'!$A$3:$A$500,$C25,'DADOS BRUTOS'!CD$3:CD$500)))</f>
        <v>0</v>
      </c>
      <c r="FE25" s="133" t="n">
        <f aca="false">IF(OR(FE$4="",$B25=""),0,SUMIF('DADOS BRUTOS'!$A$3:$A$500,$B25,'DADOS BRUTOS'!CE$3:CE$500)+IF($C25="",0,SUMIF('DADOS BRUTOS'!$A$3:$A$500,$C25,'DADOS BRUTOS'!CE$3:CE$500)))</f>
        <v>0</v>
      </c>
      <c r="FF25" s="133" t="n">
        <f aca="false">IF(OR(FF$4="",$B25=""),0,SUMIF('DADOS BRUTOS'!$A$3:$A$500,$B25,'DADOS BRUTOS'!CF$3:CF$500)+IF($C25="",0,SUMIF('DADOS BRUTOS'!$A$3:$A$500,$C25,'DADOS BRUTOS'!CF$3:CF$500)))</f>
        <v>0</v>
      </c>
      <c r="FG25" s="133" t="n">
        <f aca="false">IF(OR(FG$4="",$B25=""),0,SUMIF('DADOS BRUTOS'!$A$3:$A$500,$B25,'DADOS BRUTOS'!CG$3:CG$500)+IF($C25="",0,SUMIF('DADOS BRUTOS'!$A$3:$A$500,$C25,'DADOS BRUTOS'!CG$3:CG$500)))</f>
        <v>0</v>
      </c>
      <c r="FH25" s="133" t="n">
        <f aca="false">IF(OR(FH$4="",$B25=""),0,SUMIF('DADOS BRUTOS'!$A$3:$A$500,$B25,'DADOS BRUTOS'!CH$3:CH$500)+IF($C25="",0,SUMIF('DADOS BRUTOS'!$A$3:$A$500,$C25,'DADOS BRUTOS'!CH$3:CH$500)))</f>
        <v>0</v>
      </c>
      <c r="FI25" s="133" t="n">
        <f aca="false">IF(OR(FI$4="",$B25=""),0,SUMIF('DADOS BRUTOS'!$A$3:$A$500,$B25,'DADOS BRUTOS'!CI$3:CI$500)+IF($C25="",0,SUMIF('DADOS BRUTOS'!$A$3:$A$500,$C25,'DADOS BRUTOS'!CI$3:CI$500)))</f>
        <v>0</v>
      </c>
      <c r="FJ25" s="133" t="n">
        <f aca="false">IF(OR(FJ$4="",$B25=""),0,SUMIF('DADOS BRUTOS'!$A$3:$A$500,$B25,'DADOS BRUTOS'!CJ$3:CJ$500)+IF($C25="",0,SUMIF('DADOS BRUTOS'!$A$3:$A$500,$C25,'DADOS BRUTOS'!CJ$3:CJ$500)))</f>
        <v>0</v>
      </c>
      <c r="FK25" s="133" t="n">
        <f aca="false">IF(OR(FK$4="",$B25=""),0,SUMIF('DADOS BRUTOS'!$A$3:$A$500,$B25,'DADOS BRUTOS'!CK$3:CK$500)+IF($C25="",0,SUMIF('DADOS BRUTOS'!$A$3:$A$500,$C25,'DADOS BRUTOS'!CK$3:CK$500)))</f>
        <v>0</v>
      </c>
      <c r="FL25" s="133" t="n">
        <f aca="false">IF(OR(FL$4="",$B25=""),0,SUMIF('DADOS BRUTOS'!$A$3:$A$500,$B25,'DADOS BRUTOS'!CL$3:CL$500)+IF($C25="",0,SUMIF('DADOS BRUTOS'!$A$3:$A$500,$C25,'DADOS BRUTOS'!CL$3:CL$500)))</f>
        <v>0</v>
      </c>
      <c r="FM25" s="133" t="n">
        <f aca="false">IF(OR(FM$4="",$B25=""),0,SUMIF('DADOS BRUTOS'!$A$3:$A$500,$B25,'DADOS BRUTOS'!CM$3:CM$500)+IF($C25="",0,SUMIF('DADOS BRUTOS'!$A$3:$A$500,$C25,'DADOS BRUTOS'!CM$3:CM$500)))</f>
        <v>0</v>
      </c>
      <c r="FN25" s="133" t="n">
        <f aca="false">IF(OR(FN$4="",$B25=""),0,SUMIF('DADOS BRUTOS'!$A$3:$A$500,$B25,'DADOS BRUTOS'!CN$3:CN$500)+IF($C25="",0,SUMIF('DADOS BRUTOS'!$A$3:$A$500,$C25,'DADOS BRUTOS'!CN$3:CN$500)))</f>
        <v>0</v>
      </c>
      <c r="FO25" s="133" t="n">
        <f aca="false">IF(OR(FO$4="",$B25=""),0,SUMIF('DADOS BRUTOS'!$A$3:$A$500,$B25,'DADOS BRUTOS'!CO$3:CO$500)+IF($C25="",0,SUMIF('DADOS BRUTOS'!$A$3:$A$500,$C25,'DADOS BRUTOS'!CO$3:CO$500)))</f>
        <v>0</v>
      </c>
      <c r="FP25" s="133" t="n">
        <f aca="false">IF(OR(FP$4="",$B25=""),0,SUMIF('DADOS BRUTOS'!$A$3:$A$500,$B25,'DADOS BRUTOS'!CP$3:CP$500)+IF($C25="",0,SUMIF('DADOS BRUTOS'!$A$3:$A$500,$C25,'DADOS BRUTOS'!CP$3:CP$500)))</f>
        <v>0</v>
      </c>
      <c r="FQ25" s="133" t="n">
        <f aca="false">IF(OR(FQ$4="",$B25=""),0,SUMIF('DADOS BRUTOS'!$A$3:$A$500,$B25,'DADOS BRUTOS'!CQ$3:CQ$500)+IF($C25="",0,SUMIF('DADOS BRUTOS'!$A$3:$A$500,$C25,'DADOS BRUTOS'!CQ$3:CQ$500)))</f>
        <v>0</v>
      </c>
      <c r="FR25" s="133" t="n">
        <f aca="false">IF(OR(FR$4="",$B25=""),0,SUMIF('DADOS BRUTOS'!$A$3:$A$500,$B25,'DADOS BRUTOS'!CR$3:CR$500)+IF($C25="",0,SUMIF('DADOS BRUTOS'!$A$3:$A$500,$C25,'DADOS BRUTOS'!CR$3:CR$500)))</f>
        <v>0</v>
      </c>
      <c r="FS25" s="133" t="n">
        <f aca="false">IF(OR(FS$4="",$B25=""),0,SUMIF('DADOS BRUTOS'!$A$3:$A$500,$B25,'DADOS BRUTOS'!CS$3:CS$500)+IF($C25="",0,SUMIF('DADOS BRUTOS'!$A$3:$A$500,$C25,'DADOS BRUTOS'!CS$3:CS$500)))</f>
        <v>0</v>
      </c>
      <c r="FT25" s="133" t="n">
        <f aca="false">IF(OR(FT$4="",$B25=""),0,SUMIF('DADOS BRUTOS'!$A$3:$A$500,$B25,'DADOS BRUTOS'!CT$3:CT$500)+IF($C25="",0,SUMIF('DADOS BRUTOS'!$A$3:$A$500,$C25,'DADOS BRUTOS'!CT$3:CT$500)))</f>
        <v>0</v>
      </c>
      <c r="FU25" s="133" t="n">
        <f aca="false">IF(OR(FU$4="",$B25=""),0,SUMIF('DADOS BRUTOS'!$A$3:$A$500,$B25,'DADOS BRUTOS'!CU$3:CU$500)+IF($C25="",0,SUMIF('DADOS BRUTOS'!$A$3:$A$500,$C25,'DADOS BRUTOS'!CU$3:CU$500)))</f>
        <v>0</v>
      </c>
      <c r="FV25" s="133" t="n">
        <f aca="false">IF(OR(FV$4="",$B25=""),0,SUMIF('DADOS BRUTOS'!$A$3:$A$500,$B25,'DADOS BRUTOS'!CV$3:CV$500)+IF($C25="",0,SUMIF('DADOS BRUTOS'!$A$3:$A$500,$C25,'DADOS BRUTOS'!CV$3:CV$500)))</f>
        <v>0</v>
      </c>
      <c r="FW25" s="133" t="n">
        <f aca="false">IF(OR(FW$4="",$B25=""),0,SUMIF('DADOS BRUTOS'!$A$3:$A$500,$B25,'DADOS BRUTOS'!CW$3:CW$500)+IF($C25="",0,SUMIF('DADOS BRUTOS'!$A$3:$A$500,$C25,'DADOS BRUTOS'!CW$3:CW$500)))</f>
        <v>0</v>
      </c>
      <c r="FX25" s="133" t="n">
        <f aca="false">IF(OR(FX$4="",$B25=""),0,SUMIF('DADOS BRUTOS'!$A$3:$A$500,$B25,'DADOS BRUTOS'!CX$3:CX$500)+IF($C25="",0,SUMIF('DADOS BRUTOS'!$A$3:$A$500,$C25,'DADOS BRUTOS'!CX$3:CX$500)))</f>
        <v>0</v>
      </c>
      <c r="FY25" s="133" t="n">
        <f aca="false">IF(OR(FY$4="",$B25=""),0,SUMIF('DADOS BRUTOS'!$A$3:$A$500,$B25,'DADOS BRUTOS'!CY$3:CY$500)+IF($C25="",0,SUMIF('DADOS BRUTOS'!$A$3:$A$500,$C25,'DADOS BRUTOS'!CY$3:CY$500)))</f>
        <v>0</v>
      </c>
      <c r="FZ25" s="133" t="n">
        <f aca="false">IF(OR(FZ$4="",$B25=""),0,SUMIF('DADOS BRUTOS'!$A$3:$A$500,$B25,'DADOS BRUTOS'!CZ$3:CZ$500)+IF($C25="",0,SUMIF('DADOS BRUTOS'!$A$3:$A$500,$C25,'DADOS BRUTOS'!CZ$3:CZ$500)))</f>
        <v>0</v>
      </c>
      <c r="GA25" s="133" t="n">
        <f aca="false">IF(OR(GA$4="",$B25=""),0,SUMIF('DADOS BRUTOS'!$A$3:$A$500,$B25,'DADOS BRUTOS'!DA$3:DA$500)+IF($C25="",0,SUMIF('DADOS BRUTOS'!$A$3:$A$500,$C25,'DADOS BRUTOS'!DA$3:DA$500)))</f>
        <v>0</v>
      </c>
      <c r="GB25" s="133" t="n">
        <f aca="false">IF(OR(GB$4="",$B25=""),0,SUMIF('DADOS BRUTOS'!$A$3:$A$500,$B25,'DADOS BRUTOS'!DB$3:DB$500)+IF($C25="",0,SUMIF('DADOS BRUTOS'!$A$3:$A$500,$C25,'DADOS BRUTOS'!DB$3:DB$500)))</f>
        <v>0</v>
      </c>
      <c r="GC25" s="133" t="n">
        <f aca="false">IF(OR(GC$4="",$B25=""),0,SUMIF('DADOS BRUTOS'!$A$3:$A$500,$B25,'DADOS BRUTOS'!DC$3:DC$500)+IF($C25="",0,SUMIF('DADOS BRUTOS'!$A$3:$A$500,$C25,'DADOS BRUTOS'!DC$3:DC$500)))</f>
        <v>0</v>
      </c>
      <c r="GD25" s="133" t="n">
        <f aca="false">IF(OR(GD$4="",$B25=""),0,SUMIF('DADOS BRUTOS'!$A$3:$A$500,$B25,'DADOS BRUTOS'!DD$3:DD$500)+IF($C25="",0,SUMIF('DADOS BRUTOS'!$A$3:$A$500,$C25,'DADOS BRUTOS'!DD$3:DD$500)))</f>
        <v>0</v>
      </c>
      <c r="GE25" s="133" t="n">
        <f aca="false">IF(OR(GE$4="",$B25=""),0,SUMIF('DADOS BRUTOS'!$A$3:$A$500,$B25,'DADOS BRUTOS'!DE$3:DE$500)+IF($C25="",0,SUMIF('DADOS BRUTOS'!$A$3:$A$500,$C25,'DADOS BRUTOS'!DE$3:DE$500)))</f>
        <v>0</v>
      </c>
      <c r="GF25" s="133" t="n">
        <f aca="false">IF(OR(GF$4="",$B25=""),0,SUMIF('DADOS BRUTOS'!$A$3:$A$500,$B25,'DADOS BRUTOS'!DF$3:DF$500)+IF($C25="",0,SUMIF('DADOS BRUTOS'!$A$3:$A$500,$C25,'DADOS BRUTOS'!DF$3:DF$500)))</f>
        <v>0</v>
      </c>
      <c r="GG25" s="133" t="n">
        <f aca="false">IF(OR(GG$4="",$B25=""),0,SUMIF('DADOS BRUTOS'!$A$3:$A$500,$B25,'DADOS BRUTOS'!DG$3:DG$500)+IF($C25="",0,SUMIF('DADOS BRUTOS'!$A$3:$A$500,$C25,'DADOS BRUTOS'!DG$3:DG$500)))</f>
        <v>0</v>
      </c>
      <c r="GH25" s="133" t="n">
        <f aca="false">IF(OR(GH$4="",$B25=""),0,SUMIF('DADOS BRUTOS'!$A$3:$A$500,$B25,'DADOS BRUTOS'!DH$3:DH$500)+IF($C25="",0,SUMIF('DADOS BRUTOS'!$A$3:$A$500,$C25,'DADOS BRUTOS'!DH$3:DH$500)))</f>
        <v>0</v>
      </c>
      <c r="GI25" s="133" t="n">
        <f aca="false">IF(OR(GI$4="",$B25=""),0,SUMIF('DADOS BRUTOS'!$A$3:$A$500,$B25,'DADOS BRUTOS'!DI$3:DI$500)+IF($C25="",0,SUMIF('DADOS BRUTOS'!$A$3:$A$500,$C25,'DADOS BRUTOS'!DI$3:DI$500)))</f>
        <v>0</v>
      </c>
      <c r="GJ25" s="133" t="n">
        <f aca="false">IF(OR(GJ$4="",$B25=""),0,SUMIF('DADOS BRUTOS'!$A$3:$A$500,$B25,'DADOS BRUTOS'!DJ$3:DJ$500)+IF($C25="",0,SUMIF('DADOS BRUTOS'!$A$3:$A$500,$C25,'DADOS BRUTOS'!DJ$3:DJ$500)))</f>
        <v>0</v>
      </c>
      <c r="GK25" s="133" t="n">
        <f aca="false">IF(OR(GK$4="",$B25=""),0,SUMIF('DADOS BRUTOS'!$A$3:$A$500,$B25,'DADOS BRUTOS'!DK$3:DK$500)+IF($C25="",0,SUMIF('DADOS BRUTOS'!$A$3:$A$500,$C25,'DADOS BRUTOS'!DK$3:DK$500)))</f>
        <v>0</v>
      </c>
      <c r="GL25" s="133" t="n">
        <f aca="false">IF(OR(GL$4="",$B25=""),0,SUMIF('DADOS BRUTOS'!$A$3:$A$500,$B25,'DADOS BRUTOS'!DL$3:DL$500)+IF($C25="",0,SUMIF('DADOS BRUTOS'!$A$3:$A$500,$C25,'DADOS BRUTOS'!DL$3:DL$500)))</f>
        <v>0</v>
      </c>
      <c r="GM25" s="133" t="n">
        <f aca="false">IF(OR(GM$4="",$B25=""),0,SUMIF('DADOS BRUTOS'!$A$3:$A$500,$B25,'DADOS BRUTOS'!DM$3:DM$500)+IF($C25="",0,SUMIF('DADOS BRUTOS'!$A$3:$A$500,$C25,'DADOS BRUTOS'!DM$3:DM$500)))</f>
        <v>0</v>
      </c>
      <c r="GN25" s="133" t="n">
        <f aca="false">IF(OR(GN$4="",$B25=""),0,SUMIF('DADOS BRUTOS'!$A$3:$A$500,$B25,'DADOS BRUTOS'!DN$3:DN$500)+IF($C25="",0,SUMIF('DADOS BRUTOS'!$A$3:$A$500,$C25,'DADOS BRUTOS'!DN$3:DN$500)))</f>
        <v>0</v>
      </c>
      <c r="GO25" s="133" t="n">
        <f aca="false">IF(OR(GO$4="",$B25=""),0,SUMIF('DADOS BRUTOS'!$A$3:$A$500,$B25,'DADOS BRUTOS'!DO$3:DO$500)+IF($C25="",0,SUMIF('DADOS BRUTOS'!$A$3:$A$500,$C25,'DADOS BRUTOS'!DO$3:DO$500)))</f>
        <v>0</v>
      </c>
      <c r="GP25" s="133" t="n">
        <f aca="false">IF(OR(GP$4="",$B25=""),0,SUMIF('DADOS BRUTOS'!$A$3:$A$500,$B25,'DADOS BRUTOS'!DP$3:DP$500)+IF($C25="",0,SUMIF('DADOS BRUTOS'!$A$3:$A$500,$C25,'DADOS BRUTOS'!DP$3:DP$500)))</f>
        <v>0</v>
      </c>
      <c r="GQ25" s="133" t="n">
        <f aca="false">IF(OR(GQ$4="",$B25=""),0,SUMIF('DADOS BRUTOS'!$A$3:$A$500,$B25,'DADOS BRUTOS'!DQ$3:DQ$500)+IF($C25="",0,SUMIF('DADOS BRUTOS'!$A$3:$A$500,$C25,'DADOS BRUTOS'!DQ$3:DQ$500)))</f>
        <v>0</v>
      </c>
      <c r="GR25" s="133" t="n">
        <f aca="false">IF(OR(GR$4="",$B25=""),0,SUMIF('DADOS BRUTOS'!$A$3:$A$500,$B25,'DADOS BRUTOS'!DR$3:DR$500)+IF($C25="",0,SUMIF('DADOS BRUTOS'!$A$3:$A$500,$C25,'DADOS BRUTOS'!DR$3:DR$500)))</f>
        <v>0</v>
      </c>
      <c r="GS25" s="133" t="n">
        <f aca="false">IF(OR(GS$4="",$B25=""),0,SUMIF('DADOS BRUTOS'!$A$3:$A$500,$B25,'DADOS BRUTOS'!DS$3:DS$500)+IF($C25="",0,SUMIF('DADOS BRUTOS'!$A$3:$A$500,$C25,'DADOS BRUTOS'!DS$3:DS$500)))</f>
        <v>0</v>
      </c>
      <c r="GT25" s="133" t="n">
        <f aca="false">IF(OR(GT$4="",$B25=""),0,SUMIF('DADOS BRUTOS'!$A$3:$A$500,$B25,'DADOS BRUTOS'!DT$3:DT$500)+IF($C25="",0,SUMIF('DADOS BRUTOS'!$A$3:$A$500,$C25,'DADOS BRUTOS'!DT$3:DT$500)))</f>
        <v>0</v>
      </c>
      <c r="GU25" s="133" t="n">
        <f aca="false">IF(OR(GU$4="",$B25=""),0,SUMIF('DADOS BRUTOS'!$A$3:$A$500,$B25,'DADOS BRUTOS'!DU$3:DU$500)+IF($C25="",0,SUMIF('DADOS BRUTOS'!$A$3:$A$500,$C25,'DADOS BRUTOS'!DU$3:DU$500)))</f>
        <v>0</v>
      </c>
      <c r="GV25" s="133" t="n">
        <f aca="false">IF(OR(GV$4="",$B25=""),0,SUMIF('DADOS BRUTOS'!$A$3:$A$500,$B25,'DADOS BRUTOS'!DV$3:DV$500)+IF($C25="",0,SUMIF('DADOS BRUTOS'!$A$3:$A$500,$C25,'DADOS BRUTOS'!DV$3:DV$500)))</f>
        <v>0</v>
      </c>
      <c r="GW25" s="133" t="n">
        <f aca="false">IF(OR(GW$4="",$B25=""),0,SUMIF('DADOS BRUTOS'!$A$3:$A$500,$B25,'DADOS BRUTOS'!DW$3:DW$500)+IF($C25="",0,SUMIF('DADOS BRUTOS'!$A$3:$A$500,$C25,'DADOS BRUTOS'!DW$3:DW$500)))</f>
        <v>0</v>
      </c>
      <c r="GX25" s="133" t="n">
        <f aca="false">IF(OR(GX$4="",$B25=""),0,SUMIF('DADOS BRUTOS'!$A$3:$A$500,$B25,'DADOS BRUTOS'!DX$3:DX$500)+IF($C25="",0,SUMIF('DADOS BRUTOS'!$A$3:$A$500,$C25,'DADOS BRUTOS'!DX$3:DX$500)))</f>
        <v>0</v>
      </c>
      <c r="GY25" s="133" t="n">
        <f aca="false">IF(OR(GY$4="",$B25=""),0,SUMIF('DADOS BRUTOS'!$A$3:$A$500,$B25,'DADOS BRUTOS'!DY$3:DY$500)+IF($C25="",0,SUMIF('DADOS BRUTOS'!$A$3:$A$500,$C25,'DADOS BRUTOS'!DY$3:DY$500)))</f>
        <v>0</v>
      </c>
      <c r="GZ25" s="133" t="n">
        <f aca="false">IF(OR(GZ$4="",$B25=""),0,SUMIF('DADOS BRUTOS'!$A$3:$A$500,$B25,'DADOS BRUTOS'!DZ$3:DZ$500)+IF($C25="",0,SUMIF('DADOS BRUTOS'!$A$3:$A$500,$C25,'DADOS BRUTOS'!DZ$3:DZ$500)))</f>
        <v>0</v>
      </c>
      <c r="HA25" s="133" t="n">
        <f aca="false">IF(OR(HA$4="",$B25=""),0,SUMIF('DADOS BRUTOS'!$A$3:$A$500,$B25,'DADOS BRUTOS'!EA$3:EA$500)+IF($C25="",0,SUMIF('DADOS BRUTOS'!$A$3:$A$500,$C25,'DADOS BRUTOS'!EA$3:EA$500)))</f>
        <v>0</v>
      </c>
      <c r="HB25" s="133" t="n">
        <f aca="false">IF(OR(HB$4="",$B25=""),0,SUMIF('DADOS BRUTOS'!$A$3:$A$500,$B25,'DADOS BRUTOS'!EB$3:EB$500)+IF($C25="",0,SUMIF('DADOS BRUTOS'!$A$3:$A$500,$C25,'DADOS BRUTOS'!EB$3:EB$500)))</f>
        <v>0</v>
      </c>
      <c r="HC25" s="133" t="n">
        <f aca="false">IF(OR(HC$4="",$B25=""),0,SUMIF('DADOS BRUTOS'!$A$3:$A$500,$B25,'DADOS BRUTOS'!EC$3:EC$500)+IF($C25="",0,SUMIF('DADOS BRUTOS'!$A$3:$A$500,$C25,'DADOS BRUTOS'!EC$3:EC$500)))</f>
        <v>0</v>
      </c>
      <c r="HD25" s="133" t="n">
        <f aca="false">IF(OR(HD$4="",$B25=""),0,SUMIF('DADOS BRUTOS'!$A$3:$A$500,$B25,'DADOS BRUTOS'!ED$3:ED$500)+IF($C25="",0,SUMIF('DADOS BRUTOS'!$A$3:$A$500,$C25,'DADOS BRUTOS'!ED$3:ED$500)))</f>
        <v>0</v>
      </c>
      <c r="HE25" s="133" t="n">
        <f aca="false">IF(OR(HE$4="",$B25=""),0,SUMIF('DADOS BRUTOS'!$A$3:$A$500,$B25,'DADOS BRUTOS'!EE$3:EE$500)+IF($C25="",0,SUMIF('DADOS BRUTOS'!$A$3:$A$500,$C25,'DADOS BRUTOS'!EE$3:EE$500)))</f>
        <v>0</v>
      </c>
      <c r="HF25" s="133" t="n">
        <f aca="false">IF(OR(HF$4="",$B25=""),0,SUMIF('DADOS BRUTOS'!$A$3:$A$500,$B25,'DADOS BRUTOS'!EF$3:EF$500)+IF($C25="",0,SUMIF('DADOS BRUTOS'!$A$3:$A$500,$C25,'DADOS BRUTOS'!EF$3:EF$500)))</f>
        <v>0</v>
      </c>
      <c r="HG25" s="133" t="n">
        <f aca="false">IF(OR(HG$4="",$B25=""),0,SUMIF('DADOS BRUTOS'!$A$3:$A$500,$B25,'DADOS BRUTOS'!EG$3:EG$500)+IF($C25="",0,SUMIF('DADOS BRUTOS'!$A$3:$A$500,$C25,'DADOS BRUTOS'!EG$3:EG$500)))</f>
        <v>0</v>
      </c>
      <c r="HH25" s="133" t="n">
        <f aca="false">IF(OR(HH$4="",$B25=""),0,SUMIF('DADOS BRUTOS'!$A$3:$A$500,$B25,'DADOS BRUTOS'!EH$3:EH$500)+IF($C25="",0,SUMIF('DADOS BRUTOS'!$A$3:$A$500,$C25,'DADOS BRUTOS'!EH$3:EH$500)))</f>
        <v>0</v>
      </c>
      <c r="HI25" s="133" t="n">
        <f aca="false">IF(OR(HI$4="",$B25=""),0,SUMIF('DADOS BRUTOS'!$A$3:$A$500,$B25,'DADOS BRUTOS'!EI$3:EI$500)+IF($C25="",0,SUMIF('DADOS BRUTOS'!$A$3:$A$500,$C25,'DADOS BRUTOS'!EI$3:EI$500)))</f>
        <v>0</v>
      </c>
      <c r="HJ25" s="133" t="n">
        <f aca="false">IF(OR(HJ$4="",$B25=""),0,SUMIF('DADOS BRUTOS'!$A$3:$A$500,$B25,'DADOS BRUTOS'!EJ$3:EJ$500)+IF($C25="",0,SUMIF('DADOS BRUTOS'!$A$3:$A$500,$C25,'DADOS BRUTOS'!EJ$3:EJ$500)))</f>
        <v>0</v>
      </c>
      <c r="HK25" s="133" t="n">
        <f aca="false">IF(OR(HK$4="",$B25=""),0,SUMIF('DADOS BRUTOS'!$A$3:$A$500,$B25,'DADOS BRUTOS'!EK$3:EK$500)+IF($C25="",0,SUMIF('DADOS BRUTOS'!$A$3:$A$500,$C25,'DADOS BRUTOS'!EK$3:EK$500)))</f>
        <v>0</v>
      </c>
      <c r="HL25" s="133" t="n">
        <f aca="false">IF(OR(HL$4="",$B25=""),0,SUMIF('DADOS BRUTOS'!$A$3:$A$500,$B25,'DADOS BRUTOS'!EL$3:EL$500)+IF($C25="",0,SUMIF('DADOS BRUTOS'!$A$3:$A$500,$C25,'DADOS BRUTOS'!EL$3:EL$500)))</f>
        <v>0</v>
      </c>
      <c r="HM25" s="133" t="n">
        <f aca="false">IF(OR(HM$4="",$B25=""),0,SUMIF('DADOS BRUTOS'!$A$3:$A$500,$B25,'DADOS BRUTOS'!EM$3:EM$500)+IF($C25="",0,SUMIF('DADOS BRUTOS'!$A$3:$A$500,$C25,'DADOS BRUTOS'!EM$3:EM$500)))</f>
        <v>0</v>
      </c>
      <c r="HN25" s="133" t="n">
        <f aca="false">IF(OR(HN$4="",$B25=""),0,SUMIF('DADOS BRUTOS'!$A$3:$A$500,$B25,'DADOS BRUTOS'!EN$3:EN$500)+IF($C25="",0,SUMIF('DADOS BRUTOS'!$A$3:$A$500,$C25,'DADOS BRUTOS'!EN$3:EN$500)))</f>
        <v>0</v>
      </c>
      <c r="HO25" s="133" t="n">
        <f aca="false">IF(OR(HO$4="",$B25=""),0,SUMIF('DADOS BRUTOS'!$A$3:$A$500,$B25,'DADOS BRUTOS'!EO$3:EO$500)+IF($C25="",0,SUMIF('DADOS BRUTOS'!$A$3:$A$500,$C25,'DADOS BRUTOS'!EO$3:EO$500)))</f>
        <v>0</v>
      </c>
      <c r="HP25" s="133" t="n">
        <f aca="false">IF(OR(HP$4="",$B25=""),0,SUMIF('DADOS BRUTOS'!$A$3:$A$500,$B25,'DADOS BRUTOS'!EP$3:EP$500)+IF($C25="",0,SUMIF('DADOS BRUTOS'!$A$3:$A$500,$C25,'DADOS BRUTOS'!EP$3:EP$500)))</f>
        <v>0</v>
      </c>
      <c r="HQ25" s="133" t="n">
        <f aca="false">IF(OR(HQ$4="",$B25=""),0,SUMIF('DADOS BRUTOS'!$A$3:$A$500,$B25,'DADOS BRUTOS'!EQ$3:EQ$500)+IF($C25="",0,SUMIF('DADOS BRUTOS'!$A$3:$A$500,$C25,'DADOS BRUTOS'!EQ$3:EQ$500)))</f>
        <v>0</v>
      </c>
      <c r="HR25" s="133" t="n">
        <f aca="false">IF(OR(HR$4="",$B25=""),0,SUMIF('DADOS BRUTOS'!$A$3:$A$500,$B25,'DADOS BRUTOS'!ER$3:ER$500)+IF($C25="",0,SUMIF('DADOS BRUTOS'!$A$3:$A$500,$C25,'DADOS BRUTOS'!ER$3:ER$500)))</f>
        <v>0</v>
      </c>
      <c r="HS25" s="133" t="n">
        <f aca="false">IF(OR(HS$4="",$B25=""),0,SUMIF('DADOS BRUTOS'!$A$3:$A$500,$B25,'DADOS BRUTOS'!ES$3:ES$500)+IF($C25="",0,SUMIF('DADOS BRUTOS'!$A$3:$A$500,$C25,'DADOS BRUTOS'!ES$3:ES$500)))</f>
        <v>0</v>
      </c>
      <c r="HT25" s="133" t="n">
        <f aca="false">IF(OR(HT$4="",$B25=""),0,SUMIF('DADOS BRUTOS'!$A$3:$A$500,$B25,'DADOS BRUTOS'!ET$3:ET$500)+IF($C25="",0,SUMIF('DADOS BRUTOS'!$A$3:$A$500,$C25,'DADOS BRUTOS'!ET$3:ET$500)))</f>
        <v>0</v>
      </c>
      <c r="HU25" s="133" t="n">
        <f aca="false">IF(OR(HU$4="",$B25=""),0,SUMIF('DADOS BRUTOS'!$A$3:$A$500,$B25,'DADOS BRUTOS'!EU$3:EU$500)+IF($C25="",0,SUMIF('DADOS BRUTOS'!$A$3:$A$500,$C25,'DADOS BRUTOS'!EU$3:EU$500)))</f>
        <v>0</v>
      </c>
      <c r="HV25" s="133" t="n">
        <f aca="false">IF(OR(HV$4="",$B25=""),0,SUMIF('DADOS BRUTOS'!$A$3:$A$500,$B25,'DADOS BRUTOS'!EV$3:EV$500)+IF($C25="",0,SUMIF('DADOS BRUTOS'!$A$3:$A$500,$C25,'DADOS BRUTOS'!EV$3:EV$500)))</f>
        <v>0</v>
      </c>
      <c r="HW25" s="133" t="n">
        <f aca="false">IF(OR(HW$4="",$B25=""),0,SUMIF('DADOS BRUTOS'!$A$3:$A$500,$B25,'DADOS BRUTOS'!EW$3:EW$500)+IF($C25="",0,SUMIF('DADOS BRUTOS'!$A$3:$A$500,$C25,'DADOS BRUTOS'!EW$3:EW$500)))</f>
        <v>0</v>
      </c>
      <c r="HX25" s="133" t="n">
        <f aca="false">IF(OR(HX$4="",$B25=""),0,SUMIF('DADOS BRUTOS'!$A$3:$A$500,$B25,'DADOS BRUTOS'!EX$3:EX$500)+IF($C25="",0,SUMIF('DADOS BRUTOS'!$A$3:$A$500,$C25,'DADOS BRUTOS'!EX$3:EX$500)))</f>
        <v>0</v>
      </c>
      <c r="HY25" s="133" t="n">
        <f aca="false">IF(OR(HY$4="",$B25=""),0,SUMIF('DADOS BRUTOS'!$A$3:$A$500,$B25,'DADOS BRUTOS'!EY$3:EY$500)+IF($C25="",0,SUMIF('DADOS BRUTOS'!$A$3:$A$500,$C25,'DADOS BRUTOS'!EY$3:EY$500)))</f>
        <v>0</v>
      </c>
      <c r="HZ25" s="133" t="n">
        <f aca="false">IF(OR(HZ$4="",$B25=""),0,SUMIF('DADOS BRUTOS'!$A$3:$A$500,$B25,'DADOS BRUTOS'!EZ$3:EZ$500)+IF($C25="",0,SUMIF('DADOS BRUTOS'!$A$3:$A$500,$C25,'DADOS BRUTOS'!EZ$3:EZ$500)))</f>
        <v>0</v>
      </c>
      <c r="IA25" s="133" t="n">
        <f aca="false">IF(OR(IA$4="",$B25=""),0,SUMIF('DADOS BRUTOS'!$A$3:$A$500,$B25,'DADOS BRUTOS'!FA$3:FA$500)+IF($C25="",0,SUMIF('DADOS BRUTOS'!$A$3:$A$500,$C25,'DADOS BRUTOS'!FA$3:FA$500)))</f>
        <v>0</v>
      </c>
      <c r="IB25" s="133" t="n">
        <f aca="false">IF(OR(IB$4="",$B25=""),0,SUMIF('DADOS BRUTOS'!$A$3:$A$500,$B25,'DADOS BRUTOS'!FB$3:FB$500)+IF($C25="",0,SUMIF('DADOS BRUTOS'!$A$3:$A$500,$C25,'DADOS BRUTOS'!FB$3:FB$500)))</f>
        <v>0</v>
      </c>
      <c r="IC25" s="133" t="n">
        <f aca="false">IF(OR(IC$4="",$B25=""),0,SUMIF('DADOS BRUTOS'!$A$3:$A$500,$B25,'DADOS BRUTOS'!FC$3:FC$500)+IF($C25="",0,SUMIF('DADOS BRUTOS'!$A$3:$A$500,$C25,'DADOS BRUTOS'!FC$3:FC$500)))</f>
        <v>0</v>
      </c>
      <c r="ID25" s="133" t="n">
        <f aca="false">IF(OR(ID$4="",$B25=""),0,SUMIF('DADOS BRUTOS'!$A$3:$A$500,$B25,'DADOS BRUTOS'!FD$3:FD$500)+IF($C25="",0,SUMIF('DADOS BRUTOS'!$A$3:$A$500,$C25,'DADOS BRUTOS'!FD$3:FD$500)))</f>
        <v>0</v>
      </c>
      <c r="IE25" s="133" t="n">
        <f aca="false">IF(OR(IE$4="",$B25=""),0,SUMIF('DADOS BRUTOS'!$A$3:$A$500,$B25,'DADOS BRUTOS'!FE$3:FE$500)+IF($C25="",0,SUMIF('DADOS BRUTOS'!$A$3:$A$500,$C25,'DADOS BRUTOS'!FE$3:FE$500)))</f>
        <v>0</v>
      </c>
      <c r="IF25" s="133" t="n">
        <f aca="false">IF(OR(IF$4="",$B25=""),0,SUMIF('DADOS BRUTOS'!$A$3:$A$500,$B25,'DADOS BRUTOS'!FF$3:FF$500)+IF($C25="",0,SUMIF('DADOS BRUTOS'!$A$3:$A$500,$C25,'DADOS BRUTOS'!FF$3:FF$500)))</f>
        <v>0</v>
      </c>
      <c r="IG25" s="133" t="n">
        <f aca="false">IF(OR(IG$4="",$B25=""),0,SUMIF('DADOS BRUTOS'!$A$3:$A$500,$B25,'DADOS BRUTOS'!FG$3:FG$500)+IF($C25="",0,SUMIF('DADOS BRUTOS'!$A$3:$A$500,$C25,'DADOS BRUTOS'!FG$3:FG$500)))</f>
        <v>0</v>
      </c>
      <c r="IH25" s="133" t="n">
        <f aca="false">IF(OR(IH$4="",$B25=""),0,SUMIF('DADOS BRUTOS'!$A$3:$A$500,$B25,'DADOS BRUTOS'!FH$3:FH$500)+IF($C25="",0,SUMIF('DADOS BRUTOS'!$A$3:$A$500,$C25,'DADOS BRUTOS'!FH$3:FH$500)))</f>
        <v>0</v>
      </c>
      <c r="II25" s="133" t="n">
        <f aca="false">IF(OR(II$4="",$B25=""),0,SUMIF('DADOS BRUTOS'!$A$3:$A$500,$B25,'DADOS BRUTOS'!FI$3:FI$500)+IF($C25="",0,SUMIF('DADOS BRUTOS'!$A$3:$A$500,$C25,'DADOS BRUTOS'!FI$3:FI$500)))</f>
        <v>0</v>
      </c>
      <c r="IJ25" s="133" t="n">
        <f aca="false">IF(OR(IJ$4="",$B25=""),0,SUMIF('DADOS BRUTOS'!$A$3:$A$500,$B25,'DADOS BRUTOS'!FJ$3:FJ$500)+IF($C25="",0,SUMIF('DADOS BRUTOS'!$A$3:$A$500,$C25,'DADOS BRUTOS'!FJ$3:FJ$500)))</f>
        <v>0</v>
      </c>
      <c r="IK25" s="133" t="n">
        <f aca="false">IF(OR(IK$4="",$B25=""),0,SUMIF('DADOS BRUTOS'!$A$3:$A$500,$B25,'DADOS BRUTOS'!FK$3:FK$500)+IF($C25="",0,SUMIF('DADOS BRUTOS'!$A$3:$A$500,$C25,'DADOS BRUTOS'!FK$3:FK$500)))</f>
        <v>0</v>
      </c>
      <c r="IL25" s="133" t="n">
        <f aca="false">IF(OR(IL$4="",$B25=""),0,SUMIF('DADOS BRUTOS'!$A$3:$A$500,$B25,'DADOS BRUTOS'!FL$3:FL$500)+IF($C25="",0,SUMIF('DADOS BRUTOS'!$A$3:$A$500,$C25,'DADOS BRUTOS'!FL$3:FL$500)))</f>
        <v>0</v>
      </c>
      <c r="IM25" s="133" t="n">
        <f aca="false">IF(OR(IM$4="",$B25=""),0,SUMIF('DADOS BRUTOS'!$A$3:$A$500,$B25,'DADOS BRUTOS'!FM$3:FM$500)+IF($C25="",0,SUMIF('DADOS BRUTOS'!$A$3:$A$500,$C25,'DADOS BRUTOS'!FM$3:FM$500)))</f>
        <v>0</v>
      </c>
      <c r="IN25" s="133" t="n">
        <f aca="false">IF(OR(IN$4="",$B25=""),0,SUMIF('DADOS BRUTOS'!$A$3:$A$500,$B25,'DADOS BRUTOS'!FN$3:FN$500)+IF($C25="",0,SUMIF('DADOS BRUTOS'!$A$3:$A$500,$C25,'DADOS BRUTOS'!FN$3:FN$500)))</f>
        <v>0</v>
      </c>
      <c r="IO25" s="133" t="n">
        <f aca="false">IF(OR(IO$4="",$B25=""),0,SUMIF('DADOS BRUTOS'!$A$3:$A$500,$B25,'DADOS BRUTOS'!FO$3:FO$500)+IF($C25="",0,SUMIF('DADOS BRUTOS'!$A$3:$A$500,$C25,'DADOS BRUTOS'!FO$3:FO$500)))</f>
        <v>0</v>
      </c>
      <c r="IP25" s="133" t="n">
        <f aca="false">IF(OR(IP$4="",$B25=""),0,SUMIF('DADOS BRUTOS'!$A$3:$A$500,$B25,'DADOS BRUTOS'!FP$3:FP$500)+IF($C25="",0,SUMIF('DADOS BRUTOS'!$A$3:$A$500,$C25,'DADOS BRUTOS'!FP$3:FP$500)))</f>
        <v>0</v>
      </c>
      <c r="IQ25" s="133" t="n">
        <f aca="false">IF(OR(IQ$4="",$B25=""),0,SUMIF('DADOS BRUTOS'!$A$3:$A$500,$B25,'DADOS BRUTOS'!FQ$3:FQ$500)+IF($C25="",0,SUMIF('DADOS BRUTOS'!$A$3:$A$500,$C25,'DADOS BRUTOS'!FQ$3:FQ$500)))</f>
        <v>0</v>
      </c>
      <c r="IR25" s="133" t="n">
        <f aca="false">IF(OR(IR$4="",$B25=""),0,SUMIF('DADOS BRUTOS'!$A$3:$A$500,$B25,'DADOS BRUTOS'!FR$3:FR$500)+IF($C25="",0,SUMIF('DADOS BRUTOS'!$A$3:$A$500,$C25,'DADOS BRUTOS'!FR$3:FR$500)))</f>
        <v>0</v>
      </c>
      <c r="IS25" s="133" t="n">
        <f aca="false">IF(OR(IS$4="",$B25=""),0,SUMIF('DADOS BRUTOS'!$A$3:$A$500,$B25,'DADOS BRUTOS'!FS$3:FS$500)+IF($C25="",0,SUMIF('DADOS BRUTOS'!$A$3:$A$500,$C25,'DADOS BRUTOS'!FS$3:FS$500)))</f>
        <v>0</v>
      </c>
      <c r="IT25" s="133" t="n">
        <f aca="false">IF(OR(IT$4="",$B25=""),0,SUMIF('DADOS BRUTOS'!$A$3:$A$500,$B25,'DADOS BRUTOS'!FT$3:FT$500)+IF($C25="",0,SUMIF('DADOS BRUTOS'!$A$3:$A$500,$C25,'DADOS BRUTOS'!FT$3:FT$500)))</f>
        <v>0</v>
      </c>
      <c r="IU25" s="133" t="n">
        <f aca="false">IF(OR(IU$4="",$B25=""),0,SUMIF('DADOS BRUTOS'!$A$3:$A$500,$B25,'DADOS BRUTOS'!FU$3:FU$500)+IF($C25="",0,SUMIF('DADOS BRUTOS'!$A$3:$A$500,$C25,'DADOS BRUTOS'!FU$3:FU$500)))</f>
        <v>0</v>
      </c>
      <c r="IV25" s="133" t="n">
        <f aca="false">IF(OR(IV$4="",$B25=""),0,SUMIF('DADOS BRUTOS'!$A$3:$A$500,$B25,'DADOS BRUTOS'!FV$3:FV$500)+IF($C25="",0,SUMIF('DADOS BRUTOS'!$A$3:$A$500,$C25,'DADOS BRUTOS'!FV$3:FV$500)))</f>
        <v>0</v>
      </c>
      <c r="IW25" s="133" t="n">
        <f aca="false">IF(OR(IW$4="",$B25=""),0,SUMIF('DADOS BRUTOS'!$A$3:$A$500,$B25,'DADOS BRUTOS'!FW$3:FW$500)+IF($C25="",0,SUMIF('DADOS BRUTOS'!$A$3:$A$500,$C25,'DADOS BRUTOS'!FW$3:FW$500)))</f>
        <v>0</v>
      </c>
      <c r="IX25" s="133" t="n">
        <f aca="false">IF(OR(IX$4="",$B25=""),0,SUMIF('DADOS BRUTOS'!$A$3:$A$500,$B25,'DADOS BRUTOS'!FX$3:FX$500)+IF($C25="",0,SUMIF('DADOS BRUTOS'!$A$3:$A$500,$C25,'DADOS BRUTOS'!FX$3:FX$500)))</f>
        <v>0</v>
      </c>
      <c r="IY25" s="133" t="n">
        <f aca="false">IF(OR(IY$4="",$B25=""),0,SUMIF('DADOS BRUTOS'!$A$3:$A$500,$B25,'DADOS BRUTOS'!FY$3:FY$500)+IF($C25="",0,SUMIF('DADOS BRUTOS'!$A$3:$A$500,$C25,'DADOS BRUTOS'!FY$3:FY$500)))</f>
        <v>0</v>
      </c>
      <c r="IZ25" s="133" t="n">
        <f aca="false">IF(OR(IZ$4="",$B25=""),0,SUMIF('DADOS BRUTOS'!$A$3:$A$500,$B25,'DADOS BRUTOS'!FZ$3:FZ$500)+IF($C25="",0,SUMIF('DADOS BRUTOS'!$A$3:$A$500,$C25,'DADOS BRUTOS'!FZ$3:FZ$500)))</f>
        <v>0</v>
      </c>
      <c r="JA25" s="133" t="n">
        <f aca="false">IF(OR(JA$4="",$B25=""),0,SUMIF('DADOS BRUTOS'!$A$3:$A$500,$B25,'DADOS BRUTOS'!GA$3:GA$500)+IF($C25="",0,SUMIF('DADOS BRUTOS'!$A$3:$A$500,$C25,'DADOS BRUTOS'!GA$3:GA$500)))</f>
        <v>0</v>
      </c>
      <c r="JB25" s="133" t="n">
        <f aca="false">IF(OR(JB$4="",$B25=""),0,SUMIF('DADOS BRUTOS'!$A$3:$A$500,$B25,'DADOS BRUTOS'!GB$3:GB$500)+IF($C25="",0,SUMIF('DADOS BRUTOS'!$A$3:$A$500,$C25,'DADOS BRUTOS'!GB$3:GB$500)))</f>
        <v>0</v>
      </c>
      <c r="JC25" s="133" t="n">
        <f aca="false">IF(OR(JC$4="",$B25=""),0,SUMIF('DADOS BRUTOS'!$A$3:$A$500,$B25,'DADOS BRUTOS'!GC$3:GC$500)+IF($C25="",0,SUMIF('DADOS BRUTOS'!$A$3:$A$500,$C25,'DADOS BRUTOS'!GC$3:GC$500)))</f>
        <v>0</v>
      </c>
      <c r="JD25" s="133" t="n">
        <f aca="false">IF(OR(JD$4="",$B25=""),0,SUMIF('DADOS BRUTOS'!$A$3:$A$500,$B25,'DADOS BRUTOS'!GD$3:GD$500)+IF($C25="",0,SUMIF('DADOS BRUTOS'!$A$3:$A$500,$C25,'DADOS BRUTOS'!GD$3:GD$500)))</f>
        <v>0</v>
      </c>
      <c r="JE25" s="133" t="n">
        <f aca="false">IF(OR(JE$4="",$B25=""),0,SUMIF('DADOS BRUTOS'!$A$3:$A$500,$B25,'DADOS BRUTOS'!GE$3:GE$500)+IF($C25="",0,SUMIF('DADOS BRUTOS'!$A$3:$A$500,$C25,'DADOS BRUTOS'!GE$3:GE$500)))</f>
        <v>0</v>
      </c>
      <c r="JF25" s="133" t="n">
        <f aca="false">IF(OR(JF$4="",$B25=""),0,SUMIF('DADOS BRUTOS'!$A$3:$A$500,$B25,'DADOS BRUTOS'!GF$3:GF$500)+IF($C25="",0,SUMIF('DADOS BRUTOS'!$A$3:$A$500,$C25,'DADOS BRUTOS'!GF$3:GF$500)))</f>
        <v>0</v>
      </c>
      <c r="JG25" s="133" t="n">
        <f aca="false">IF(OR(JG$4="",$B25=""),0,SUMIF('DADOS BRUTOS'!$A$3:$A$500,$B25,'DADOS BRUTOS'!GG$3:GG$500)+IF($C25="",0,SUMIF('DADOS BRUTOS'!$A$3:$A$500,$C25,'DADOS BRUTOS'!GG$3:GG$500)))</f>
        <v>0</v>
      </c>
      <c r="JH25" s="133" t="n">
        <f aca="false">IF(OR(JH$4="",$B25=""),0,SUMIF('DADOS BRUTOS'!$A$3:$A$500,$B25,'DADOS BRUTOS'!GH$3:GH$500)+IF($C25="",0,SUMIF('DADOS BRUTOS'!$A$3:$A$500,$C25,'DADOS BRUTOS'!GH$3:GH$500)))</f>
        <v>0</v>
      </c>
      <c r="JI25" s="133" t="n">
        <f aca="false">IF(OR(JI$4="",$B25=""),0,SUMIF('DADOS BRUTOS'!$A$3:$A$500,$B25,'DADOS BRUTOS'!GI$3:GI$500)+IF($C25="",0,SUMIF('DADOS BRUTOS'!$A$3:$A$500,$C25,'DADOS BRUTOS'!GI$3:GI$500)))</f>
        <v>0</v>
      </c>
      <c r="JJ25" s="133" t="n">
        <f aca="false">IF(OR(JJ$4="",$B25=""),0,SUMIF('DADOS BRUTOS'!$A$3:$A$500,$B25,'DADOS BRUTOS'!GJ$3:GJ$500)+IF($C25="",0,SUMIF('DADOS BRUTOS'!$A$3:$A$500,$C25,'DADOS BRUTOS'!GJ$3:GJ$500)))</f>
        <v>0</v>
      </c>
      <c r="JK25" s="133" t="n">
        <f aca="false">IF(OR(JK$4="",$B25=""),0,SUMIF('DADOS BRUTOS'!$A$3:$A$500,$B25,'DADOS BRUTOS'!GK$3:GK$500)+IF($C25="",0,SUMIF('DADOS BRUTOS'!$A$3:$A$500,$C25,'DADOS BRUTOS'!GK$3:GK$500)))</f>
        <v>0</v>
      </c>
      <c r="JL25" s="133" t="n">
        <f aca="false">IF(OR(JL$4="",$B25=""),0,SUMIF('DADOS BRUTOS'!$A$3:$A$500,$B25,'DADOS BRUTOS'!GL$3:GL$500)+IF($C25="",0,SUMIF('DADOS BRUTOS'!$A$3:$A$500,$C25,'DADOS BRUTOS'!GL$3:GL$500)))</f>
        <v>0</v>
      </c>
      <c r="JM25" s="133" t="n">
        <f aca="false">IF(OR(JM$4="",$B25=""),0,SUMIF('DADOS BRUTOS'!$A$3:$A$500,$B25,'DADOS BRUTOS'!GM$3:GM$500)+IF($C25="",0,SUMIF('DADOS BRUTOS'!$A$3:$A$500,$C25,'DADOS BRUTOS'!GM$3:GM$500)))</f>
        <v>0</v>
      </c>
      <c r="JN25" s="133" t="n">
        <f aca="false">IF(OR(JN$4="",$B25=""),0,SUMIF('DADOS BRUTOS'!$A$3:$A$500,$B25,'DADOS BRUTOS'!GN$3:GN$500)+IF($C25="",0,SUMIF('DADOS BRUTOS'!$A$3:$A$500,$C25,'DADOS BRUTOS'!GN$3:GN$500)))</f>
        <v>0</v>
      </c>
      <c r="JO25" s="133" t="n">
        <f aca="false">IF(OR(JO$4="",$B25=""),0,SUMIF('DADOS BRUTOS'!$A$3:$A$500,$B25,'DADOS BRUTOS'!GO$3:GO$500)+IF($C25="",0,SUMIF('DADOS BRUTOS'!$A$3:$A$500,$C25,'DADOS BRUTOS'!GO$3:GO$500)))</f>
        <v>0</v>
      </c>
      <c r="JP25" s="133" t="n">
        <f aca="false">IF(OR(JP$4="",$B25=""),0,SUMIF('DADOS BRUTOS'!$A$3:$A$500,$B25,'DADOS BRUTOS'!GP$3:GP$500)+IF($C25="",0,SUMIF('DADOS BRUTOS'!$A$3:$A$500,$C25,'DADOS BRUTOS'!GP$3:GP$500)))</f>
        <v>0</v>
      </c>
      <c r="JQ25" s="133" t="n">
        <f aca="false">IF(OR(JQ$4="",$B25=""),0,SUMIF('DADOS BRUTOS'!$A$3:$A$500,$B25,'DADOS BRUTOS'!GQ$3:GQ$500)+IF($C25="",0,SUMIF('DADOS BRUTOS'!$A$3:$A$500,$C25,'DADOS BRUTOS'!GQ$3:GQ$500)))</f>
        <v>0</v>
      </c>
      <c r="JR25" s="133" t="n">
        <f aca="false">IF(OR(JR$4="",$B25=""),0,SUMIF('DADOS BRUTOS'!$A$3:$A$500,$B25,'DADOS BRUTOS'!GR$3:GR$500)+IF($C25="",0,SUMIF('DADOS BRUTOS'!$A$3:$A$500,$C25,'DADOS BRUTOS'!GR$3:GR$500)))</f>
        <v>0</v>
      </c>
      <c r="JS25" s="133" t="n">
        <f aca="false">IF(OR(JS$4="",$B25=""),0,SUMIF('DADOS BRUTOS'!$A$3:$A$500,$B25,'DADOS BRUTOS'!GS$3:GS$500)+IF($C25="",0,SUMIF('DADOS BRUTOS'!$A$3:$A$500,$C25,'DADOS BRUTOS'!GS$3:GS$500)))</f>
        <v>0</v>
      </c>
    </row>
    <row r="26" customFormat="false" ht="15" hidden="false" customHeight="false" outlineLevel="0" collapsed="false">
      <c r="A26" s="57" t="str">
        <f aca="false">'VALOR POR PL'!D32</f>
        <v>INSTALAÇÕES COMBATE INCÊNDIO</v>
      </c>
      <c r="B26" s="55" t="s">
        <v>180</v>
      </c>
      <c r="C26" s="55"/>
      <c r="D26" s="50" t="n">
        <f aca="false">SUMIF($CB$4:$JS$4,"&lt;="&amp;D$4,$CB26:$JS26)</f>
        <v>0</v>
      </c>
      <c r="E26" s="50" t="n">
        <f aca="false">SUMIF($CB$4:$JS$4,E$4,$CB26:$JS26)</f>
        <v>0</v>
      </c>
      <c r="F26" s="50" t="n">
        <f aca="false">SUMIF($CB$4:$JS$4,F$4,$CB26:$JS26)</f>
        <v>0</v>
      </c>
      <c r="G26" s="50" t="n">
        <f aca="false">SUMIF($CB$4:$JS$4,G$4,$CB26:$JS26)</f>
        <v>0</v>
      </c>
      <c r="H26" s="50" t="n">
        <f aca="false">SUMIF($CB$4:$JS$4,H$4,$CB26:$JS26)</f>
        <v>0</v>
      </c>
      <c r="I26" s="50" t="n">
        <f aca="false">SUMIF($CB$4:$JS$4,I$4,$CB26:$JS26)</f>
        <v>0</v>
      </c>
      <c r="J26" s="50" t="n">
        <f aca="false">SUMIF($CB$4:$JS$4,J$4,$CB26:$JS26)</f>
        <v>0</v>
      </c>
      <c r="K26" s="50" t="n">
        <f aca="false">SUMIF($CB$4:$JS$4,K$4,$CB26:$JS26)</f>
        <v>0</v>
      </c>
      <c r="L26" s="50" t="n">
        <f aca="false">SUMIF($CB$4:$JS$4,L$4,$CB26:$JS26)</f>
        <v>0</v>
      </c>
      <c r="M26" s="50" t="n">
        <f aca="false">SUMIF($CB$4:$JS$4,M$4,$CB26:$JS26)</f>
        <v>0</v>
      </c>
      <c r="N26" s="50" t="n">
        <f aca="false">SUMIF($CB$4:$JS$4,N$4,$CB26:$JS26)</f>
        <v>0</v>
      </c>
      <c r="O26" s="50" t="n">
        <f aca="false">SUMIF($CB$4:$JS$4,O$4,$CB26:$JS26)</f>
        <v>0</v>
      </c>
      <c r="P26" s="50" t="n">
        <f aca="false">SUMIF($CB$4:$JS$4,P$4,$CB26:$JS26)</f>
        <v>0</v>
      </c>
      <c r="Q26" s="50" t="n">
        <f aca="false">SUMIF($CB$4:$JS$4,Q$4,$CB26:$JS26)</f>
        <v>0</v>
      </c>
      <c r="R26" s="50" t="n">
        <f aca="false">SUMIF($CB$4:$JS$4,R$4,$CB26:$JS26)</f>
        <v>0</v>
      </c>
      <c r="S26" s="50" t="n">
        <f aca="false">SUMIF($CB$4:$JS$4,S$4,$CB26:$JS26)</f>
        <v>0</v>
      </c>
      <c r="T26" s="50" t="n">
        <f aca="false">SUMIF($CB$4:$JS$4,T$4,$CB26:$JS26)</f>
        <v>0</v>
      </c>
      <c r="U26" s="50" t="n">
        <f aca="false">SUMIF($CB$4:$JS$4,U$4,$CB26:$JS26)</f>
        <v>0</v>
      </c>
      <c r="V26" s="50" t="n">
        <f aca="false">SUMIF($CB$4:$JS$4,V$4,$CB26:$JS26)</f>
        <v>0</v>
      </c>
      <c r="W26" s="50" t="n">
        <f aca="false">SUMIF($CB$4:$JS$4,W$4,$CB26:$JS26)</f>
        <v>0</v>
      </c>
      <c r="X26" s="50" t="n">
        <f aca="false">SUMIF($CB$4:$JS$4,X$4,$CB26:$JS26)</f>
        <v>0</v>
      </c>
      <c r="Y26" s="50" t="n">
        <f aca="false">SUMIF($CB$4:$JS$4,Y$4,$CB26:$JS26)</f>
        <v>0</v>
      </c>
      <c r="Z26" s="50" t="n">
        <f aca="false">SUMIF($CB$4:$JS$4,Z$4,$CB26:$JS26)</f>
        <v>0</v>
      </c>
      <c r="AA26" s="50" t="n">
        <f aca="false">SUMIF($CB$4:$JS$4,AA$4,$CB26:$JS26)</f>
        <v>0</v>
      </c>
      <c r="AB26" s="50" t="n">
        <f aca="false">SUMIF($CB$4:$JS$4,AB$4,$CB26:$JS26)</f>
        <v>0</v>
      </c>
      <c r="AC26" s="50" t="n">
        <f aca="false">SUMIF($CB$4:$JS$4,AC$4,$CB26:$JS26)</f>
        <v>0</v>
      </c>
      <c r="AD26" s="50" t="n">
        <f aca="false">SUMIF($CB$4:$JS$4,AD$4,$CB26:$JS26)</f>
        <v>0</v>
      </c>
      <c r="AE26" s="50" t="n">
        <f aca="false">SUMIF($CB$4:$JS$4,AE$4,$CB26:$JS26)</f>
        <v>0</v>
      </c>
      <c r="AF26" s="50" t="n">
        <f aca="false">SUMIF($CB$4:$JS$4,AF$4,$CB26:$JS26)</f>
        <v>0</v>
      </c>
      <c r="AG26" s="50" t="n">
        <f aca="false">SUMIF($CB$4:$JS$4,AG$4,$CB26:$JS26)</f>
        <v>0</v>
      </c>
      <c r="AH26" s="50" t="n">
        <f aca="false">SUMIF($CB$4:$JS$4,AH$4,$CB26:$JS26)</f>
        <v>0</v>
      </c>
      <c r="AI26" s="50" t="n">
        <f aca="false">SUMIF($CB$4:$JS$4,AI$4,$CB26:$JS26)</f>
        <v>0</v>
      </c>
      <c r="AJ26" s="50" t="n">
        <f aca="false">SUMIF($CB$4:$JS$4,AJ$4,$CB26:$JS26)</f>
        <v>0</v>
      </c>
      <c r="AK26" s="50" t="n">
        <f aca="false">SUMIF($CB$4:$JS$4,AK$4,$CB26:$JS26)</f>
        <v>0</v>
      </c>
      <c r="AL26" s="50" t="n">
        <f aca="false">SUMIF($CB$4:$JS$4,AL$4,$CB26:$JS26)</f>
        <v>0</v>
      </c>
      <c r="AM26" s="50" t="n">
        <f aca="false">SUMIF($CB$4:$JS$4,AM$4,$CB26:$JS26)</f>
        <v>0</v>
      </c>
      <c r="AN26" s="50" t="n">
        <f aca="false">SUMIF($CB$4:$JS$4,AN$4,$CB26:$JS26)</f>
        <v>0</v>
      </c>
      <c r="AO26" s="50" t="n">
        <f aca="false">SUMIF($CB$4:$JS$4,AO$4,$CB26:$JS26)</f>
        <v>0</v>
      </c>
      <c r="AP26" s="50" t="n">
        <f aca="false">SUMIF($CB$4:$JS$4,AP$4,$CB26:$JS26)</f>
        <v>0</v>
      </c>
      <c r="AQ26" s="50" t="n">
        <f aca="false">SUMIF($CB$4:$JS$4,AQ$4,$CB26:$JS26)</f>
        <v>0</v>
      </c>
      <c r="AR26" s="50" t="n">
        <f aca="false">SUMIF($CB$4:$JS$4,AR$4,$CB26:$JS26)</f>
        <v>0</v>
      </c>
      <c r="AS26" s="50" t="n">
        <f aca="false">SUMIF($CB$4:$JS$4,AS$4,$CB26:$JS26)</f>
        <v>0</v>
      </c>
      <c r="AT26" s="50" t="n">
        <f aca="false">SUMIF($CB$4:$JS$4,AT$4,$CB26:$JS26)</f>
        <v>0</v>
      </c>
      <c r="AU26" s="50" t="n">
        <f aca="false">SUMIF($CB$4:$JS$4,AU$4,$CB26:$JS26)</f>
        <v>0</v>
      </c>
      <c r="AV26" s="50" t="n">
        <f aca="false">SUMIF($CB$4:$JS$4,AV$4,$CB26:$JS26)</f>
        <v>0</v>
      </c>
      <c r="AW26" s="50" t="n">
        <f aca="false">SUMIF($CB$4:$JS$4,AW$4,$CB26:$JS26)</f>
        <v>0</v>
      </c>
      <c r="AX26" s="50" t="n">
        <f aca="false">SUMIF($CB$4:$JS$4,AX$4,$CB26:$JS26)</f>
        <v>0</v>
      </c>
      <c r="AY26" s="50" t="n">
        <f aca="false">SUMIF($CB$4:$JS$4,AY$4,$CB26:$JS26)</f>
        <v>0</v>
      </c>
      <c r="AZ26" s="50" t="n">
        <f aca="false">SUMIF($CB$4:$JS$4,AZ$4,$CB26:$JS26)</f>
        <v>0</v>
      </c>
      <c r="BA26" s="50" t="n">
        <f aca="false">SUMIF($CB$4:$JS$4,BA$4,$CB26:$JS26)</f>
        <v>0</v>
      </c>
      <c r="BB26" s="50" t="n">
        <f aca="false">SUMIF($CB$4:$JS$4,BB$4,$CB26:$JS26)</f>
        <v>0</v>
      </c>
      <c r="BC26" s="50" t="n">
        <f aca="false">SUMIF($CB$4:$JS$4,BC$4,$CB26:$JS26)</f>
        <v>0</v>
      </c>
      <c r="BD26" s="50" t="n">
        <f aca="false">SUMIF($CB$4:$JS$4,BD$4,$CB26:$JS26)</f>
        <v>0</v>
      </c>
      <c r="BE26" s="50" t="n">
        <f aca="false">SUMIF($CB$4:$JS$4,BE$4,$CB26:$JS26)</f>
        <v>0</v>
      </c>
      <c r="BF26" s="50" t="n">
        <f aca="false">SUMIF($CB$4:$JS$4,BF$4,$CB26:$JS26)</f>
        <v>0</v>
      </c>
      <c r="BG26" s="50" t="n">
        <f aca="false">SUMIF($CB$4:$JS$4,BG$4,$CB26:$JS26)</f>
        <v>0</v>
      </c>
      <c r="BH26" s="50" t="n">
        <f aca="false">SUMIF($CB$4:$JS$4,BH$4,$CB26:$JS26)</f>
        <v>0</v>
      </c>
      <c r="BI26" s="50" t="n">
        <f aca="false">SUMIF($CB$4:$JS$4,BI$4,$CB26:$JS26)</f>
        <v>0</v>
      </c>
      <c r="BJ26" s="50" t="n">
        <f aca="false">SUMIF($CB$4:$JS$4,BJ$4,$CB26:$JS26)</f>
        <v>0</v>
      </c>
      <c r="BK26" s="50" t="n">
        <f aca="false">SUMIF($CB$4:$JS$4,BK$4,$CB26:$JS26)</f>
        <v>0</v>
      </c>
      <c r="BL26" s="50" t="n">
        <f aca="false">SUMIF($CB$4:$JS$4,BL$4,$CB26:$JS26)</f>
        <v>0</v>
      </c>
      <c r="BM26" s="50" t="n">
        <f aca="false">SUMIF($CB$4:$JS$4,BM$4,$CB26:$JS26)</f>
        <v>0</v>
      </c>
      <c r="BN26" s="50" t="n">
        <f aca="false">SUMIF($CB$4:$JS$4,BN$4,$CB26:$JS26)</f>
        <v>0</v>
      </c>
      <c r="BO26" s="50" t="n">
        <f aca="false">SUMIF($CB$4:$JS$4,BO$4,$CB26:$JS26)</f>
        <v>0</v>
      </c>
      <c r="BP26" s="50" t="n">
        <f aca="false">SUMIF($CB$4:$JS$4,BP$4,$CB26:$JS26)</f>
        <v>0</v>
      </c>
      <c r="BQ26" s="50" t="n">
        <f aca="false">SUMIF($CB$4:$JS$4,BQ$4,$CB26:$JS26)</f>
        <v>0</v>
      </c>
      <c r="BR26" s="50" t="n">
        <f aca="false">SUMIF($CB$4:$JS$4,BR$4,$CB26:$JS26)</f>
        <v>0</v>
      </c>
      <c r="BS26" s="50" t="n">
        <f aca="false">SUMIF($CB$4:$JS$4,BS$4,$CB26:$JS26)</f>
        <v>0</v>
      </c>
      <c r="BT26" s="50" t="n">
        <f aca="false">SUMIF($CB$4:$JS$4,BT$4,$CB26:$JS26)</f>
        <v>0</v>
      </c>
      <c r="BU26" s="50" t="n">
        <f aca="false">SUMIF($CB$4:$JS$4,BU$4,$CB26:$JS26)</f>
        <v>0</v>
      </c>
      <c r="BV26" s="50" t="n">
        <f aca="false">SUMIF($CB$4:$JS$4,BV$4,$CB26:$JS26)</f>
        <v>0</v>
      </c>
      <c r="BW26" s="50" t="n">
        <f aca="false">SUMIF($CB$4:$JS$4,BW$4,$CB26:$JS26)</f>
        <v>0</v>
      </c>
      <c r="BX26" s="50" t="n">
        <f aca="false">SUMIF($CB$4:$JS$4,"&gt;"&amp;'VALOR POR PL'!$P$8,$CB26:$JS26)</f>
        <v>0</v>
      </c>
      <c r="BY26" s="50" t="n">
        <f aca="false">SUM($CB26:$JS26)</f>
        <v>0</v>
      </c>
      <c r="BZ26" s="45" t="n">
        <f aca="false">SUMPRODUCT(($CB$4:$JS$4&lt;&gt;"")*($CB$4:$JS$4&lt;=$D$4),$CB26:$JS26,$CB$1:$JS$1)</f>
        <v>0</v>
      </c>
      <c r="CB26" s="133" t="n">
        <f aca="false">IF(OR(CB$4="",$B26=""),0,SUMIF('DADOS BRUTOS'!$A$3:$A$500,$B26,'DADOS BRUTOS'!B$3:B$500)+IF($C26="",0,SUMIF('DADOS BRUTOS'!$A$3:$A$500,$C26,'DADOS BRUTOS'!B$3:B$500)))</f>
        <v>0</v>
      </c>
      <c r="CC26" s="133" t="n">
        <f aca="false">IF(OR(CC$4="",$B26=""),0,SUMIF('DADOS BRUTOS'!$A$3:$A$500,$B26,'DADOS BRUTOS'!C$3:C$500)+IF($C26="",0,SUMIF('DADOS BRUTOS'!$A$3:$A$500,$C26,'DADOS BRUTOS'!C$3:C$500)))</f>
        <v>0</v>
      </c>
      <c r="CD26" s="133" t="n">
        <f aca="false">IF(OR(CD$4="",$B26=""),0,SUMIF('DADOS BRUTOS'!$A$3:$A$500,$B26,'DADOS BRUTOS'!D$3:D$500)+IF($C26="",0,SUMIF('DADOS BRUTOS'!$A$3:$A$500,$C26,'DADOS BRUTOS'!D$3:D$500)))</f>
        <v>0</v>
      </c>
      <c r="CE26" s="133" t="n">
        <f aca="false">IF(OR(CE$4="",$B26=""),0,SUMIF('DADOS BRUTOS'!$A$3:$A$500,$B26,'DADOS BRUTOS'!E$3:E$500)+IF($C26="",0,SUMIF('DADOS BRUTOS'!$A$3:$A$500,$C26,'DADOS BRUTOS'!E$3:E$500)))</f>
        <v>0</v>
      </c>
      <c r="CF26" s="133" t="n">
        <f aca="false">IF(OR(CF$4="",$B26=""),0,SUMIF('DADOS BRUTOS'!$A$3:$A$500,$B26,'DADOS BRUTOS'!F$3:F$500)+IF($C26="",0,SUMIF('DADOS BRUTOS'!$A$3:$A$500,$C26,'DADOS BRUTOS'!F$3:F$500)))</f>
        <v>0</v>
      </c>
      <c r="CG26" s="133" t="n">
        <f aca="false">IF(OR(CG$4="",$B26=""),0,SUMIF('DADOS BRUTOS'!$A$3:$A$500,$B26,'DADOS BRUTOS'!G$3:G$500)+IF($C26="",0,SUMIF('DADOS BRUTOS'!$A$3:$A$500,$C26,'DADOS BRUTOS'!G$3:G$500)))</f>
        <v>0</v>
      </c>
      <c r="CH26" s="133" t="n">
        <f aca="false">IF(OR(CH$4="",$B26=""),0,SUMIF('DADOS BRUTOS'!$A$3:$A$500,$B26,'DADOS BRUTOS'!H$3:H$500)+IF($C26="",0,SUMIF('DADOS BRUTOS'!$A$3:$A$500,$C26,'DADOS BRUTOS'!H$3:H$500)))</f>
        <v>0</v>
      </c>
      <c r="CI26" s="133" t="n">
        <f aca="false">IF(OR(CI$4="",$B26=""),0,SUMIF('DADOS BRUTOS'!$A$3:$A$500,$B26,'DADOS BRUTOS'!I$3:I$500)+IF($C26="",0,SUMIF('DADOS BRUTOS'!$A$3:$A$500,$C26,'DADOS BRUTOS'!I$3:I$500)))</f>
        <v>0</v>
      </c>
      <c r="CJ26" s="133" t="n">
        <f aca="false">IF(OR(CJ$4="",$B26=""),0,SUMIF('DADOS BRUTOS'!$A$3:$A$500,$B26,'DADOS BRUTOS'!J$3:J$500)+IF($C26="",0,SUMIF('DADOS BRUTOS'!$A$3:$A$500,$C26,'DADOS BRUTOS'!J$3:J$500)))</f>
        <v>0</v>
      </c>
      <c r="CK26" s="133" t="n">
        <f aca="false">IF(OR(CK$4="",$B26=""),0,SUMIF('DADOS BRUTOS'!$A$3:$A$500,$B26,'DADOS BRUTOS'!K$3:K$500)+IF($C26="",0,SUMIF('DADOS BRUTOS'!$A$3:$A$500,$C26,'DADOS BRUTOS'!K$3:K$500)))</f>
        <v>0</v>
      </c>
      <c r="CL26" s="133" t="n">
        <f aca="false">IF(OR(CL$4="",$B26=""),0,SUMIF('DADOS BRUTOS'!$A$3:$A$500,$B26,'DADOS BRUTOS'!L$3:L$500)+IF($C26="",0,SUMIF('DADOS BRUTOS'!$A$3:$A$500,$C26,'DADOS BRUTOS'!L$3:L$500)))</f>
        <v>0</v>
      </c>
      <c r="CM26" s="133" t="n">
        <f aca="false">IF(OR(CM$4="",$B26=""),0,SUMIF('DADOS BRUTOS'!$A$3:$A$500,$B26,'DADOS BRUTOS'!M$3:M$500)+IF($C26="",0,SUMIF('DADOS BRUTOS'!$A$3:$A$500,$C26,'DADOS BRUTOS'!M$3:M$500)))</f>
        <v>0</v>
      </c>
      <c r="CN26" s="133" t="n">
        <f aca="false">IF(OR(CN$4="",$B26=""),0,SUMIF('DADOS BRUTOS'!$A$3:$A$500,$B26,'DADOS BRUTOS'!N$3:N$500)+IF($C26="",0,SUMIF('DADOS BRUTOS'!$A$3:$A$500,$C26,'DADOS BRUTOS'!N$3:N$500)))</f>
        <v>0</v>
      </c>
      <c r="CO26" s="133" t="n">
        <f aca="false">IF(OR(CO$4="",$B26=""),0,SUMIF('DADOS BRUTOS'!$A$3:$A$500,$B26,'DADOS BRUTOS'!O$3:O$500)+IF($C26="",0,SUMIF('DADOS BRUTOS'!$A$3:$A$500,$C26,'DADOS BRUTOS'!O$3:O$500)))</f>
        <v>0</v>
      </c>
      <c r="CP26" s="133" t="n">
        <f aca="false">IF(OR(CP$4="",$B26=""),0,SUMIF('DADOS BRUTOS'!$A$3:$A$500,$B26,'DADOS BRUTOS'!P$3:P$500)+IF($C26="",0,SUMIF('DADOS BRUTOS'!$A$3:$A$500,$C26,'DADOS BRUTOS'!P$3:P$500)))</f>
        <v>0</v>
      </c>
      <c r="CQ26" s="133" t="n">
        <f aca="false">IF(OR(CQ$4="",$B26=""),0,SUMIF('DADOS BRUTOS'!$A$3:$A$500,$B26,'DADOS BRUTOS'!Q$3:Q$500)+IF($C26="",0,SUMIF('DADOS BRUTOS'!$A$3:$A$500,$C26,'DADOS BRUTOS'!Q$3:Q$500)))</f>
        <v>0</v>
      </c>
      <c r="CR26" s="133" t="n">
        <f aca="false">IF(OR(CR$4="",$B26=""),0,SUMIF('DADOS BRUTOS'!$A$3:$A$500,$B26,'DADOS BRUTOS'!R$3:R$500)+IF($C26="",0,SUMIF('DADOS BRUTOS'!$A$3:$A$500,$C26,'DADOS BRUTOS'!R$3:R$500)))</f>
        <v>0</v>
      </c>
      <c r="CS26" s="133" t="n">
        <f aca="false">IF(OR(CS$4="",$B26=""),0,SUMIF('DADOS BRUTOS'!$A$3:$A$500,$B26,'DADOS BRUTOS'!S$3:S$500)+IF($C26="",0,SUMIF('DADOS BRUTOS'!$A$3:$A$500,$C26,'DADOS BRUTOS'!S$3:S$500)))</f>
        <v>0</v>
      </c>
      <c r="CT26" s="133" t="n">
        <f aca="false">IF(OR(CT$4="",$B26=""),0,SUMIF('DADOS BRUTOS'!$A$3:$A$500,$B26,'DADOS BRUTOS'!T$3:T$500)+IF($C26="",0,SUMIF('DADOS BRUTOS'!$A$3:$A$500,$C26,'DADOS BRUTOS'!T$3:T$500)))</f>
        <v>0</v>
      </c>
      <c r="CU26" s="133" t="n">
        <f aca="false">IF(OR(CU$4="",$B26=""),0,SUMIF('DADOS BRUTOS'!$A$3:$A$500,$B26,'DADOS BRUTOS'!U$3:U$500)+IF($C26="",0,SUMIF('DADOS BRUTOS'!$A$3:$A$500,$C26,'DADOS BRUTOS'!U$3:U$500)))</f>
        <v>0</v>
      </c>
      <c r="CV26" s="133" t="n">
        <f aca="false">IF(OR(CV$4="",$B26=""),0,SUMIF('DADOS BRUTOS'!$A$3:$A$500,$B26,'DADOS BRUTOS'!V$3:V$500)+IF($C26="",0,SUMIF('DADOS BRUTOS'!$A$3:$A$500,$C26,'DADOS BRUTOS'!V$3:V$500)))</f>
        <v>0</v>
      </c>
      <c r="CW26" s="133" t="n">
        <f aca="false">IF(OR(CW$4="",$B26=""),0,SUMIF('DADOS BRUTOS'!$A$3:$A$500,$B26,'DADOS BRUTOS'!W$3:W$500)+IF($C26="",0,SUMIF('DADOS BRUTOS'!$A$3:$A$500,$C26,'DADOS BRUTOS'!W$3:W$500)))</f>
        <v>0</v>
      </c>
      <c r="CX26" s="133" t="n">
        <f aca="false">IF(OR(CX$4="",$B26=""),0,SUMIF('DADOS BRUTOS'!$A$3:$A$500,$B26,'DADOS BRUTOS'!X$3:X$500)+IF($C26="",0,SUMIF('DADOS BRUTOS'!$A$3:$A$500,$C26,'DADOS BRUTOS'!X$3:X$500)))</f>
        <v>0</v>
      </c>
      <c r="CY26" s="133" t="n">
        <f aca="false">IF(OR(CY$4="",$B26=""),0,SUMIF('DADOS BRUTOS'!$A$3:$A$500,$B26,'DADOS BRUTOS'!Y$3:Y$500)+IF($C26="",0,SUMIF('DADOS BRUTOS'!$A$3:$A$500,$C26,'DADOS BRUTOS'!Y$3:Y$500)))</f>
        <v>0</v>
      </c>
      <c r="CZ26" s="133" t="n">
        <f aca="false">IF(OR(CZ$4="",$B26=""),0,SUMIF('DADOS BRUTOS'!$A$3:$A$500,$B26,'DADOS BRUTOS'!Z$3:Z$500)+IF($C26="",0,SUMIF('DADOS BRUTOS'!$A$3:$A$500,$C26,'DADOS BRUTOS'!Z$3:Z$500)))</f>
        <v>0</v>
      </c>
      <c r="DA26" s="133" t="n">
        <f aca="false">IF(OR(DA$4="",$B26=""),0,SUMIF('DADOS BRUTOS'!$A$3:$A$500,$B26,'DADOS BRUTOS'!AA$3:AA$500)+IF($C26="",0,SUMIF('DADOS BRUTOS'!$A$3:$A$500,$C26,'DADOS BRUTOS'!AA$3:AA$500)))</f>
        <v>0</v>
      </c>
      <c r="DB26" s="133" t="n">
        <f aca="false">IF(OR(DB$4="",$B26=""),0,SUMIF('DADOS BRUTOS'!$A$3:$A$500,$B26,'DADOS BRUTOS'!AB$3:AB$500)+IF($C26="",0,SUMIF('DADOS BRUTOS'!$A$3:$A$500,$C26,'DADOS BRUTOS'!AB$3:AB$500)))</f>
        <v>0</v>
      </c>
      <c r="DC26" s="133" t="n">
        <f aca="false">IF(OR(DC$4="",$B26=""),0,SUMIF('DADOS BRUTOS'!$A$3:$A$500,$B26,'DADOS BRUTOS'!AC$3:AC$500)+IF($C26="",0,SUMIF('DADOS BRUTOS'!$A$3:$A$500,$C26,'DADOS BRUTOS'!AC$3:AC$500)))</f>
        <v>0</v>
      </c>
      <c r="DD26" s="133" t="n">
        <f aca="false">IF(OR(DD$4="",$B26=""),0,SUMIF('DADOS BRUTOS'!$A$3:$A$500,$B26,'DADOS BRUTOS'!AD$3:AD$500)+IF($C26="",0,SUMIF('DADOS BRUTOS'!$A$3:$A$500,$C26,'DADOS BRUTOS'!AD$3:AD$500)))</f>
        <v>0</v>
      </c>
      <c r="DE26" s="133" t="n">
        <f aca="false">IF(OR(DE$4="",$B26=""),0,SUMIF('DADOS BRUTOS'!$A$3:$A$500,$B26,'DADOS BRUTOS'!AE$3:AE$500)+IF($C26="",0,SUMIF('DADOS BRUTOS'!$A$3:$A$500,$C26,'DADOS BRUTOS'!AE$3:AE$500)))</f>
        <v>0</v>
      </c>
      <c r="DF26" s="133" t="n">
        <f aca="false">IF(OR(DF$4="",$B26=""),0,SUMIF('DADOS BRUTOS'!$A$3:$A$500,$B26,'DADOS BRUTOS'!AF$3:AF$500)+IF($C26="",0,SUMIF('DADOS BRUTOS'!$A$3:$A$500,$C26,'DADOS BRUTOS'!AF$3:AF$500)))</f>
        <v>0</v>
      </c>
      <c r="DG26" s="133" t="n">
        <f aca="false">IF(OR(DG$4="",$B26=""),0,SUMIF('DADOS BRUTOS'!$A$3:$A$500,$B26,'DADOS BRUTOS'!AG$3:AG$500)+IF($C26="",0,SUMIF('DADOS BRUTOS'!$A$3:$A$500,$C26,'DADOS BRUTOS'!AG$3:AG$500)))</f>
        <v>0</v>
      </c>
      <c r="DH26" s="133" t="n">
        <f aca="false">IF(OR(DH$4="",$B26=""),0,SUMIF('DADOS BRUTOS'!$A$3:$A$500,$B26,'DADOS BRUTOS'!AH$3:AH$500)+IF($C26="",0,SUMIF('DADOS BRUTOS'!$A$3:$A$500,$C26,'DADOS BRUTOS'!AH$3:AH$500)))</f>
        <v>0</v>
      </c>
      <c r="DI26" s="133" t="n">
        <f aca="false">IF(OR(DI$4="",$B26=""),0,SUMIF('DADOS BRUTOS'!$A$3:$A$500,$B26,'DADOS BRUTOS'!AI$3:AI$500)+IF($C26="",0,SUMIF('DADOS BRUTOS'!$A$3:$A$500,$C26,'DADOS BRUTOS'!AI$3:AI$500)))</f>
        <v>0</v>
      </c>
      <c r="DJ26" s="133" t="n">
        <f aca="false">IF(OR(DJ$4="",$B26=""),0,SUMIF('DADOS BRUTOS'!$A$3:$A$500,$B26,'DADOS BRUTOS'!AJ$3:AJ$500)+IF($C26="",0,SUMIF('DADOS BRUTOS'!$A$3:$A$500,$C26,'DADOS BRUTOS'!AJ$3:AJ$500)))</f>
        <v>0</v>
      </c>
      <c r="DK26" s="133" t="n">
        <f aca="false">IF(OR(DK$4="",$B26=""),0,SUMIF('DADOS BRUTOS'!$A$3:$A$500,$B26,'DADOS BRUTOS'!AK$3:AK$500)+IF($C26="",0,SUMIF('DADOS BRUTOS'!$A$3:$A$500,$C26,'DADOS BRUTOS'!AK$3:AK$500)))</f>
        <v>0</v>
      </c>
      <c r="DL26" s="133" t="n">
        <f aca="false">IF(OR(DL$4="",$B26=""),0,SUMIF('DADOS BRUTOS'!$A$3:$A$500,$B26,'DADOS BRUTOS'!AL$3:AL$500)+IF($C26="",0,SUMIF('DADOS BRUTOS'!$A$3:$A$500,$C26,'DADOS BRUTOS'!AL$3:AL$500)))</f>
        <v>0</v>
      </c>
      <c r="DM26" s="133" t="n">
        <f aca="false">IF(OR(DM$4="",$B26=""),0,SUMIF('DADOS BRUTOS'!$A$3:$A$500,$B26,'DADOS BRUTOS'!AM$3:AM$500)+IF($C26="",0,SUMIF('DADOS BRUTOS'!$A$3:$A$500,$C26,'DADOS BRUTOS'!AM$3:AM$500)))</f>
        <v>0</v>
      </c>
      <c r="DN26" s="133" t="n">
        <f aca="false">IF(OR(DN$4="",$B26=""),0,SUMIF('DADOS BRUTOS'!$A$3:$A$500,$B26,'DADOS BRUTOS'!AN$3:AN$500)+IF($C26="",0,SUMIF('DADOS BRUTOS'!$A$3:$A$500,$C26,'DADOS BRUTOS'!AN$3:AN$500)))</f>
        <v>0</v>
      </c>
      <c r="DO26" s="133" t="n">
        <f aca="false">IF(OR(DO$4="",$B26=""),0,SUMIF('DADOS BRUTOS'!$A$3:$A$500,$B26,'DADOS BRUTOS'!AO$3:AO$500)+IF($C26="",0,SUMIF('DADOS BRUTOS'!$A$3:$A$500,$C26,'DADOS BRUTOS'!AO$3:AO$500)))</f>
        <v>0</v>
      </c>
      <c r="DP26" s="133" t="n">
        <f aca="false">IF(OR(DP$4="",$B26=""),0,SUMIF('DADOS BRUTOS'!$A$3:$A$500,$B26,'DADOS BRUTOS'!AP$3:AP$500)+IF($C26="",0,SUMIF('DADOS BRUTOS'!$A$3:$A$500,$C26,'DADOS BRUTOS'!AP$3:AP$500)))</f>
        <v>0</v>
      </c>
      <c r="DQ26" s="133" t="n">
        <f aca="false">IF(OR(DQ$4="",$B26=""),0,SUMIF('DADOS BRUTOS'!$A$3:$A$500,$B26,'DADOS BRUTOS'!AQ$3:AQ$500)+IF($C26="",0,SUMIF('DADOS BRUTOS'!$A$3:$A$500,$C26,'DADOS BRUTOS'!AQ$3:AQ$500)))</f>
        <v>0</v>
      </c>
      <c r="DR26" s="133" t="n">
        <f aca="false">IF(OR(DR$4="",$B26=""),0,SUMIF('DADOS BRUTOS'!$A$3:$A$500,$B26,'DADOS BRUTOS'!AR$3:AR$500)+IF($C26="",0,SUMIF('DADOS BRUTOS'!$A$3:$A$500,$C26,'DADOS BRUTOS'!AR$3:AR$500)))</f>
        <v>0</v>
      </c>
      <c r="DS26" s="133" t="n">
        <f aca="false">IF(OR(DS$4="",$B26=""),0,SUMIF('DADOS BRUTOS'!$A$3:$A$500,$B26,'DADOS BRUTOS'!AS$3:AS$500)+IF($C26="",0,SUMIF('DADOS BRUTOS'!$A$3:$A$500,$C26,'DADOS BRUTOS'!AS$3:AS$500)))</f>
        <v>0</v>
      </c>
      <c r="DT26" s="133" t="n">
        <f aca="false">IF(OR(DT$4="",$B26=""),0,SUMIF('DADOS BRUTOS'!$A$3:$A$500,$B26,'DADOS BRUTOS'!AT$3:AT$500)+IF($C26="",0,SUMIF('DADOS BRUTOS'!$A$3:$A$500,$C26,'DADOS BRUTOS'!AT$3:AT$500)))</f>
        <v>0</v>
      </c>
      <c r="DU26" s="133" t="n">
        <f aca="false">IF(OR(DU$4="",$B26=""),0,SUMIF('DADOS BRUTOS'!$A$3:$A$500,$B26,'DADOS BRUTOS'!AU$3:AU$500)+IF($C26="",0,SUMIF('DADOS BRUTOS'!$A$3:$A$500,$C26,'DADOS BRUTOS'!AU$3:AU$500)))</f>
        <v>0</v>
      </c>
      <c r="DV26" s="133" t="n">
        <f aca="false">IF(OR(DV$4="",$B26=""),0,SUMIF('DADOS BRUTOS'!$A$3:$A$500,$B26,'DADOS BRUTOS'!AV$3:AV$500)+IF($C26="",0,SUMIF('DADOS BRUTOS'!$A$3:$A$500,$C26,'DADOS BRUTOS'!AV$3:AV$500)))</f>
        <v>0</v>
      </c>
      <c r="DW26" s="133" t="n">
        <f aca="false">IF(OR(DW$4="",$B26=""),0,SUMIF('DADOS BRUTOS'!$A$3:$A$500,$B26,'DADOS BRUTOS'!AW$3:AW$500)+IF($C26="",0,SUMIF('DADOS BRUTOS'!$A$3:$A$500,$C26,'DADOS BRUTOS'!AW$3:AW$500)))</f>
        <v>0</v>
      </c>
      <c r="DX26" s="133" t="n">
        <f aca="false">IF(OR(DX$4="",$B26=""),0,SUMIF('DADOS BRUTOS'!$A$3:$A$500,$B26,'DADOS BRUTOS'!AX$3:AX$500)+IF($C26="",0,SUMIF('DADOS BRUTOS'!$A$3:$A$500,$C26,'DADOS BRUTOS'!AX$3:AX$500)))</f>
        <v>0</v>
      </c>
      <c r="DY26" s="133" t="n">
        <f aca="false">IF(OR(DY$4="",$B26=""),0,SUMIF('DADOS BRUTOS'!$A$3:$A$500,$B26,'DADOS BRUTOS'!AY$3:AY$500)+IF($C26="",0,SUMIF('DADOS BRUTOS'!$A$3:$A$500,$C26,'DADOS BRUTOS'!AY$3:AY$500)))</f>
        <v>0</v>
      </c>
      <c r="DZ26" s="133" t="n">
        <f aca="false">IF(OR(DZ$4="",$B26=""),0,SUMIF('DADOS BRUTOS'!$A$3:$A$500,$B26,'DADOS BRUTOS'!AZ$3:AZ$500)+IF($C26="",0,SUMIF('DADOS BRUTOS'!$A$3:$A$500,$C26,'DADOS BRUTOS'!AZ$3:AZ$500)))</f>
        <v>0</v>
      </c>
      <c r="EA26" s="133" t="n">
        <f aca="false">IF(OR(EA$4="",$B26=""),0,SUMIF('DADOS BRUTOS'!$A$3:$A$500,$B26,'DADOS BRUTOS'!BA$3:BA$500)+IF($C26="",0,SUMIF('DADOS BRUTOS'!$A$3:$A$500,$C26,'DADOS BRUTOS'!BA$3:BA$500)))</f>
        <v>0</v>
      </c>
      <c r="EB26" s="133" t="n">
        <f aca="false">IF(OR(EB$4="",$B26=""),0,SUMIF('DADOS BRUTOS'!$A$3:$A$500,$B26,'DADOS BRUTOS'!BB$3:BB$500)+IF($C26="",0,SUMIF('DADOS BRUTOS'!$A$3:$A$500,$C26,'DADOS BRUTOS'!BB$3:BB$500)))</f>
        <v>0</v>
      </c>
      <c r="EC26" s="133" t="n">
        <f aca="false">IF(OR(EC$4="",$B26=""),0,SUMIF('DADOS BRUTOS'!$A$3:$A$500,$B26,'DADOS BRUTOS'!BC$3:BC$500)+IF($C26="",0,SUMIF('DADOS BRUTOS'!$A$3:$A$500,$C26,'DADOS BRUTOS'!BC$3:BC$500)))</f>
        <v>0</v>
      </c>
      <c r="ED26" s="133" t="n">
        <f aca="false">IF(OR(ED$4="",$B26=""),0,SUMIF('DADOS BRUTOS'!$A$3:$A$500,$B26,'DADOS BRUTOS'!BD$3:BD$500)+IF($C26="",0,SUMIF('DADOS BRUTOS'!$A$3:$A$500,$C26,'DADOS BRUTOS'!BD$3:BD$500)))</f>
        <v>0</v>
      </c>
      <c r="EE26" s="133" t="n">
        <f aca="false">IF(OR(EE$4="",$B26=""),0,SUMIF('DADOS BRUTOS'!$A$3:$A$500,$B26,'DADOS BRUTOS'!BE$3:BE$500)+IF($C26="",0,SUMIF('DADOS BRUTOS'!$A$3:$A$500,$C26,'DADOS BRUTOS'!BE$3:BE$500)))</f>
        <v>0</v>
      </c>
      <c r="EF26" s="133" t="n">
        <f aca="false">IF(OR(EF$4="",$B26=""),0,SUMIF('DADOS BRUTOS'!$A$3:$A$500,$B26,'DADOS BRUTOS'!BF$3:BF$500)+IF($C26="",0,SUMIF('DADOS BRUTOS'!$A$3:$A$500,$C26,'DADOS BRUTOS'!BF$3:BF$500)))</f>
        <v>0</v>
      </c>
      <c r="EG26" s="133" t="n">
        <f aca="false">IF(OR(EG$4="",$B26=""),0,SUMIF('DADOS BRUTOS'!$A$3:$A$500,$B26,'DADOS BRUTOS'!BG$3:BG$500)+IF($C26="",0,SUMIF('DADOS BRUTOS'!$A$3:$A$500,$C26,'DADOS BRUTOS'!BG$3:BG$500)))</f>
        <v>0</v>
      </c>
      <c r="EH26" s="133" t="n">
        <f aca="false">IF(OR(EH$4="",$B26=""),0,SUMIF('DADOS BRUTOS'!$A$3:$A$500,$B26,'DADOS BRUTOS'!BH$3:BH$500)+IF($C26="",0,SUMIF('DADOS BRUTOS'!$A$3:$A$500,$C26,'DADOS BRUTOS'!BH$3:BH$500)))</f>
        <v>0</v>
      </c>
      <c r="EI26" s="133" t="n">
        <f aca="false">IF(OR(EI$4="",$B26=""),0,SUMIF('DADOS BRUTOS'!$A$3:$A$500,$B26,'DADOS BRUTOS'!BI$3:BI$500)+IF($C26="",0,SUMIF('DADOS BRUTOS'!$A$3:$A$500,$C26,'DADOS BRUTOS'!BI$3:BI$500)))</f>
        <v>0</v>
      </c>
      <c r="EJ26" s="133" t="n">
        <f aca="false">IF(OR(EJ$4="",$B26=""),0,SUMIF('DADOS BRUTOS'!$A$3:$A$500,$B26,'DADOS BRUTOS'!BJ$3:BJ$500)+IF($C26="",0,SUMIF('DADOS BRUTOS'!$A$3:$A$500,$C26,'DADOS BRUTOS'!BJ$3:BJ$500)))</f>
        <v>0</v>
      </c>
      <c r="EK26" s="133" t="n">
        <f aca="false">IF(OR(EK$4="",$B26=""),0,SUMIF('DADOS BRUTOS'!$A$3:$A$500,$B26,'DADOS BRUTOS'!BK$3:BK$500)+IF($C26="",0,SUMIF('DADOS BRUTOS'!$A$3:$A$500,$C26,'DADOS BRUTOS'!BK$3:BK$500)))</f>
        <v>0</v>
      </c>
      <c r="EL26" s="133" t="n">
        <f aca="false">IF(OR(EL$4="",$B26=""),0,SUMIF('DADOS BRUTOS'!$A$3:$A$500,$B26,'DADOS BRUTOS'!BL$3:BL$500)+IF($C26="",0,SUMIF('DADOS BRUTOS'!$A$3:$A$500,$C26,'DADOS BRUTOS'!BL$3:BL$500)))</f>
        <v>0</v>
      </c>
      <c r="EM26" s="133" t="n">
        <f aca="false">IF(OR(EM$4="",$B26=""),0,SUMIF('DADOS BRUTOS'!$A$3:$A$500,$B26,'DADOS BRUTOS'!BM$3:BM$500)+IF($C26="",0,SUMIF('DADOS BRUTOS'!$A$3:$A$500,$C26,'DADOS BRUTOS'!BM$3:BM$500)))</f>
        <v>0</v>
      </c>
      <c r="EN26" s="133" t="n">
        <f aca="false">IF(OR(EN$4="",$B26=""),0,SUMIF('DADOS BRUTOS'!$A$3:$A$500,$B26,'DADOS BRUTOS'!BN$3:BN$500)+IF($C26="",0,SUMIF('DADOS BRUTOS'!$A$3:$A$500,$C26,'DADOS BRUTOS'!BN$3:BN$500)))</f>
        <v>0</v>
      </c>
      <c r="EO26" s="133" t="n">
        <f aca="false">IF(OR(EO$4="",$B26=""),0,SUMIF('DADOS BRUTOS'!$A$3:$A$500,$B26,'DADOS BRUTOS'!BO$3:BO$500)+IF($C26="",0,SUMIF('DADOS BRUTOS'!$A$3:$A$500,$C26,'DADOS BRUTOS'!BO$3:BO$500)))</f>
        <v>0</v>
      </c>
      <c r="EP26" s="133" t="n">
        <f aca="false">IF(OR(EP$4="",$B26=""),0,SUMIF('DADOS BRUTOS'!$A$3:$A$500,$B26,'DADOS BRUTOS'!BP$3:BP$500)+IF($C26="",0,SUMIF('DADOS BRUTOS'!$A$3:$A$500,$C26,'DADOS BRUTOS'!BP$3:BP$500)))</f>
        <v>0</v>
      </c>
      <c r="EQ26" s="133" t="n">
        <f aca="false">IF(OR(EQ$4="",$B26=""),0,SUMIF('DADOS BRUTOS'!$A$3:$A$500,$B26,'DADOS BRUTOS'!BQ$3:BQ$500)+IF($C26="",0,SUMIF('DADOS BRUTOS'!$A$3:$A$500,$C26,'DADOS BRUTOS'!BQ$3:BQ$500)))</f>
        <v>0</v>
      </c>
      <c r="ER26" s="133" t="n">
        <f aca="false">IF(OR(ER$4="",$B26=""),0,SUMIF('DADOS BRUTOS'!$A$3:$A$500,$B26,'DADOS BRUTOS'!BR$3:BR$500)+IF($C26="",0,SUMIF('DADOS BRUTOS'!$A$3:$A$500,$C26,'DADOS BRUTOS'!BR$3:BR$500)))</f>
        <v>0</v>
      </c>
      <c r="ES26" s="133" t="n">
        <f aca="false">IF(OR(ES$4="",$B26=""),0,SUMIF('DADOS BRUTOS'!$A$3:$A$500,$B26,'DADOS BRUTOS'!BS$3:BS$500)+IF($C26="",0,SUMIF('DADOS BRUTOS'!$A$3:$A$500,$C26,'DADOS BRUTOS'!BS$3:BS$500)))</f>
        <v>0</v>
      </c>
      <c r="ET26" s="133" t="n">
        <f aca="false">IF(OR(ET$4="",$B26=""),0,SUMIF('DADOS BRUTOS'!$A$3:$A$500,$B26,'DADOS BRUTOS'!BT$3:BT$500)+IF($C26="",0,SUMIF('DADOS BRUTOS'!$A$3:$A$500,$C26,'DADOS BRUTOS'!BT$3:BT$500)))</f>
        <v>0</v>
      </c>
      <c r="EU26" s="133" t="n">
        <f aca="false">IF(OR(EU$4="",$B26=""),0,SUMIF('DADOS BRUTOS'!$A$3:$A$500,$B26,'DADOS BRUTOS'!BU$3:BU$500)+IF($C26="",0,SUMIF('DADOS BRUTOS'!$A$3:$A$500,$C26,'DADOS BRUTOS'!BU$3:BU$500)))</f>
        <v>0</v>
      </c>
      <c r="EV26" s="133" t="n">
        <f aca="false">IF(OR(EV$4="",$B26=""),0,SUMIF('DADOS BRUTOS'!$A$3:$A$500,$B26,'DADOS BRUTOS'!BV$3:BV$500)+IF($C26="",0,SUMIF('DADOS BRUTOS'!$A$3:$A$500,$C26,'DADOS BRUTOS'!BV$3:BV$500)))</f>
        <v>0</v>
      </c>
      <c r="EW26" s="133" t="n">
        <f aca="false">IF(OR(EW$4="",$B26=""),0,SUMIF('DADOS BRUTOS'!$A$3:$A$500,$B26,'DADOS BRUTOS'!BW$3:BW$500)+IF($C26="",0,SUMIF('DADOS BRUTOS'!$A$3:$A$500,$C26,'DADOS BRUTOS'!BW$3:BW$500)))</f>
        <v>0</v>
      </c>
      <c r="EX26" s="133" t="n">
        <f aca="false">IF(OR(EX$4="",$B26=""),0,SUMIF('DADOS BRUTOS'!$A$3:$A$500,$B26,'DADOS BRUTOS'!BX$3:BX$500)+IF($C26="",0,SUMIF('DADOS BRUTOS'!$A$3:$A$500,$C26,'DADOS BRUTOS'!BX$3:BX$500)))</f>
        <v>0</v>
      </c>
      <c r="EY26" s="133" t="n">
        <f aca="false">IF(OR(EY$4="",$B26=""),0,SUMIF('DADOS BRUTOS'!$A$3:$A$500,$B26,'DADOS BRUTOS'!BY$3:BY$500)+IF($C26="",0,SUMIF('DADOS BRUTOS'!$A$3:$A$500,$C26,'DADOS BRUTOS'!BY$3:BY$500)))</f>
        <v>0</v>
      </c>
      <c r="EZ26" s="133" t="n">
        <f aca="false">IF(OR(EZ$4="",$B26=""),0,SUMIF('DADOS BRUTOS'!$A$3:$A$500,$B26,'DADOS BRUTOS'!BZ$3:BZ$500)+IF($C26="",0,SUMIF('DADOS BRUTOS'!$A$3:$A$500,$C26,'DADOS BRUTOS'!BZ$3:BZ$500)))</f>
        <v>0</v>
      </c>
      <c r="FA26" s="133" t="n">
        <f aca="false">IF(OR(FA$4="",$B26=""),0,SUMIF('DADOS BRUTOS'!$A$3:$A$500,$B26,'DADOS BRUTOS'!CA$3:CA$500)+IF($C26="",0,SUMIF('DADOS BRUTOS'!$A$3:$A$500,$C26,'DADOS BRUTOS'!CA$3:CA$500)))</f>
        <v>0</v>
      </c>
      <c r="FB26" s="133" t="n">
        <f aca="false">IF(OR(FB$4="",$B26=""),0,SUMIF('DADOS BRUTOS'!$A$3:$A$500,$B26,'DADOS BRUTOS'!CB$3:CB$500)+IF($C26="",0,SUMIF('DADOS BRUTOS'!$A$3:$A$500,$C26,'DADOS BRUTOS'!CB$3:CB$500)))</f>
        <v>0</v>
      </c>
      <c r="FC26" s="133" t="n">
        <f aca="false">IF(OR(FC$4="",$B26=""),0,SUMIF('DADOS BRUTOS'!$A$3:$A$500,$B26,'DADOS BRUTOS'!CC$3:CC$500)+IF($C26="",0,SUMIF('DADOS BRUTOS'!$A$3:$A$500,$C26,'DADOS BRUTOS'!CC$3:CC$500)))</f>
        <v>0</v>
      </c>
      <c r="FD26" s="133" t="n">
        <f aca="false">IF(OR(FD$4="",$B26=""),0,SUMIF('DADOS BRUTOS'!$A$3:$A$500,$B26,'DADOS BRUTOS'!CD$3:CD$500)+IF($C26="",0,SUMIF('DADOS BRUTOS'!$A$3:$A$500,$C26,'DADOS BRUTOS'!CD$3:CD$500)))</f>
        <v>0</v>
      </c>
      <c r="FE26" s="133" t="n">
        <f aca="false">IF(OR(FE$4="",$B26=""),0,SUMIF('DADOS BRUTOS'!$A$3:$A$500,$B26,'DADOS BRUTOS'!CE$3:CE$500)+IF($C26="",0,SUMIF('DADOS BRUTOS'!$A$3:$A$500,$C26,'DADOS BRUTOS'!CE$3:CE$500)))</f>
        <v>0</v>
      </c>
      <c r="FF26" s="133" t="n">
        <f aca="false">IF(OR(FF$4="",$B26=""),0,SUMIF('DADOS BRUTOS'!$A$3:$A$500,$B26,'DADOS BRUTOS'!CF$3:CF$500)+IF($C26="",0,SUMIF('DADOS BRUTOS'!$A$3:$A$500,$C26,'DADOS BRUTOS'!CF$3:CF$500)))</f>
        <v>0</v>
      </c>
      <c r="FG26" s="133" t="n">
        <f aca="false">IF(OR(FG$4="",$B26=""),0,SUMIF('DADOS BRUTOS'!$A$3:$A$500,$B26,'DADOS BRUTOS'!CG$3:CG$500)+IF($C26="",0,SUMIF('DADOS BRUTOS'!$A$3:$A$500,$C26,'DADOS BRUTOS'!CG$3:CG$500)))</f>
        <v>0</v>
      </c>
      <c r="FH26" s="133" t="n">
        <f aca="false">IF(OR(FH$4="",$B26=""),0,SUMIF('DADOS BRUTOS'!$A$3:$A$500,$B26,'DADOS BRUTOS'!CH$3:CH$500)+IF($C26="",0,SUMIF('DADOS BRUTOS'!$A$3:$A$500,$C26,'DADOS BRUTOS'!CH$3:CH$500)))</f>
        <v>0</v>
      </c>
      <c r="FI26" s="133" t="n">
        <f aca="false">IF(OR(FI$4="",$B26=""),0,SUMIF('DADOS BRUTOS'!$A$3:$A$500,$B26,'DADOS BRUTOS'!CI$3:CI$500)+IF($C26="",0,SUMIF('DADOS BRUTOS'!$A$3:$A$500,$C26,'DADOS BRUTOS'!CI$3:CI$500)))</f>
        <v>0</v>
      </c>
      <c r="FJ26" s="133" t="n">
        <f aca="false">IF(OR(FJ$4="",$B26=""),0,SUMIF('DADOS BRUTOS'!$A$3:$A$500,$B26,'DADOS BRUTOS'!CJ$3:CJ$500)+IF($C26="",0,SUMIF('DADOS BRUTOS'!$A$3:$A$500,$C26,'DADOS BRUTOS'!CJ$3:CJ$500)))</f>
        <v>0</v>
      </c>
      <c r="FK26" s="133" t="n">
        <f aca="false">IF(OR(FK$4="",$B26=""),0,SUMIF('DADOS BRUTOS'!$A$3:$A$500,$B26,'DADOS BRUTOS'!CK$3:CK$500)+IF($C26="",0,SUMIF('DADOS BRUTOS'!$A$3:$A$500,$C26,'DADOS BRUTOS'!CK$3:CK$500)))</f>
        <v>0</v>
      </c>
      <c r="FL26" s="133" t="n">
        <f aca="false">IF(OR(FL$4="",$B26=""),0,SUMIF('DADOS BRUTOS'!$A$3:$A$500,$B26,'DADOS BRUTOS'!CL$3:CL$500)+IF($C26="",0,SUMIF('DADOS BRUTOS'!$A$3:$A$500,$C26,'DADOS BRUTOS'!CL$3:CL$500)))</f>
        <v>0</v>
      </c>
      <c r="FM26" s="133" t="n">
        <f aca="false">IF(OR(FM$4="",$B26=""),0,SUMIF('DADOS BRUTOS'!$A$3:$A$500,$B26,'DADOS BRUTOS'!CM$3:CM$500)+IF($C26="",0,SUMIF('DADOS BRUTOS'!$A$3:$A$500,$C26,'DADOS BRUTOS'!CM$3:CM$500)))</f>
        <v>0</v>
      </c>
      <c r="FN26" s="133" t="n">
        <f aca="false">IF(OR(FN$4="",$B26=""),0,SUMIF('DADOS BRUTOS'!$A$3:$A$500,$B26,'DADOS BRUTOS'!CN$3:CN$500)+IF($C26="",0,SUMIF('DADOS BRUTOS'!$A$3:$A$500,$C26,'DADOS BRUTOS'!CN$3:CN$500)))</f>
        <v>0</v>
      </c>
      <c r="FO26" s="133" t="n">
        <f aca="false">IF(OR(FO$4="",$B26=""),0,SUMIF('DADOS BRUTOS'!$A$3:$A$500,$B26,'DADOS BRUTOS'!CO$3:CO$500)+IF($C26="",0,SUMIF('DADOS BRUTOS'!$A$3:$A$500,$C26,'DADOS BRUTOS'!CO$3:CO$500)))</f>
        <v>0</v>
      </c>
      <c r="FP26" s="133" t="n">
        <f aca="false">IF(OR(FP$4="",$B26=""),0,SUMIF('DADOS BRUTOS'!$A$3:$A$500,$B26,'DADOS BRUTOS'!CP$3:CP$500)+IF($C26="",0,SUMIF('DADOS BRUTOS'!$A$3:$A$500,$C26,'DADOS BRUTOS'!CP$3:CP$500)))</f>
        <v>0</v>
      </c>
      <c r="FQ26" s="133" t="n">
        <f aca="false">IF(OR(FQ$4="",$B26=""),0,SUMIF('DADOS BRUTOS'!$A$3:$A$500,$B26,'DADOS BRUTOS'!CQ$3:CQ$500)+IF($C26="",0,SUMIF('DADOS BRUTOS'!$A$3:$A$500,$C26,'DADOS BRUTOS'!CQ$3:CQ$500)))</f>
        <v>0</v>
      </c>
      <c r="FR26" s="133" t="n">
        <f aca="false">IF(OR(FR$4="",$B26=""),0,SUMIF('DADOS BRUTOS'!$A$3:$A$500,$B26,'DADOS BRUTOS'!CR$3:CR$500)+IF($C26="",0,SUMIF('DADOS BRUTOS'!$A$3:$A$500,$C26,'DADOS BRUTOS'!CR$3:CR$500)))</f>
        <v>0</v>
      </c>
      <c r="FS26" s="133" t="n">
        <f aca="false">IF(OR(FS$4="",$B26=""),0,SUMIF('DADOS BRUTOS'!$A$3:$A$500,$B26,'DADOS BRUTOS'!CS$3:CS$500)+IF($C26="",0,SUMIF('DADOS BRUTOS'!$A$3:$A$500,$C26,'DADOS BRUTOS'!CS$3:CS$500)))</f>
        <v>0</v>
      </c>
      <c r="FT26" s="133" t="n">
        <f aca="false">IF(OR(FT$4="",$B26=""),0,SUMIF('DADOS BRUTOS'!$A$3:$A$500,$B26,'DADOS BRUTOS'!CT$3:CT$500)+IF($C26="",0,SUMIF('DADOS BRUTOS'!$A$3:$A$500,$C26,'DADOS BRUTOS'!CT$3:CT$500)))</f>
        <v>0</v>
      </c>
      <c r="FU26" s="133" t="n">
        <f aca="false">IF(OR(FU$4="",$B26=""),0,SUMIF('DADOS BRUTOS'!$A$3:$A$500,$B26,'DADOS BRUTOS'!CU$3:CU$500)+IF($C26="",0,SUMIF('DADOS BRUTOS'!$A$3:$A$500,$C26,'DADOS BRUTOS'!CU$3:CU$500)))</f>
        <v>0</v>
      </c>
      <c r="FV26" s="133" t="n">
        <f aca="false">IF(OR(FV$4="",$B26=""),0,SUMIF('DADOS BRUTOS'!$A$3:$A$500,$B26,'DADOS BRUTOS'!CV$3:CV$500)+IF($C26="",0,SUMIF('DADOS BRUTOS'!$A$3:$A$500,$C26,'DADOS BRUTOS'!CV$3:CV$500)))</f>
        <v>0</v>
      </c>
      <c r="FW26" s="133" t="n">
        <f aca="false">IF(OR(FW$4="",$B26=""),0,SUMIF('DADOS BRUTOS'!$A$3:$A$500,$B26,'DADOS BRUTOS'!CW$3:CW$500)+IF($C26="",0,SUMIF('DADOS BRUTOS'!$A$3:$A$500,$C26,'DADOS BRUTOS'!CW$3:CW$500)))</f>
        <v>0</v>
      </c>
      <c r="FX26" s="133" t="n">
        <f aca="false">IF(OR(FX$4="",$B26=""),0,SUMIF('DADOS BRUTOS'!$A$3:$A$500,$B26,'DADOS BRUTOS'!CX$3:CX$500)+IF($C26="",0,SUMIF('DADOS BRUTOS'!$A$3:$A$500,$C26,'DADOS BRUTOS'!CX$3:CX$500)))</f>
        <v>0</v>
      </c>
      <c r="FY26" s="133" t="n">
        <f aca="false">IF(OR(FY$4="",$B26=""),0,SUMIF('DADOS BRUTOS'!$A$3:$A$500,$B26,'DADOS BRUTOS'!CY$3:CY$500)+IF($C26="",0,SUMIF('DADOS BRUTOS'!$A$3:$A$500,$C26,'DADOS BRUTOS'!CY$3:CY$500)))</f>
        <v>0</v>
      </c>
      <c r="FZ26" s="133" t="n">
        <f aca="false">IF(OR(FZ$4="",$B26=""),0,SUMIF('DADOS BRUTOS'!$A$3:$A$500,$B26,'DADOS BRUTOS'!CZ$3:CZ$500)+IF($C26="",0,SUMIF('DADOS BRUTOS'!$A$3:$A$500,$C26,'DADOS BRUTOS'!CZ$3:CZ$500)))</f>
        <v>0</v>
      </c>
      <c r="GA26" s="133" t="n">
        <f aca="false">IF(OR(GA$4="",$B26=""),0,SUMIF('DADOS BRUTOS'!$A$3:$A$500,$B26,'DADOS BRUTOS'!DA$3:DA$500)+IF($C26="",0,SUMIF('DADOS BRUTOS'!$A$3:$A$500,$C26,'DADOS BRUTOS'!DA$3:DA$500)))</f>
        <v>0</v>
      </c>
      <c r="GB26" s="133" t="n">
        <f aca="false">IF(OR(GB$4="",$B26=""),0,SUMIF('DADOS BRUTOS'!$A$3:$A$500,$B26,'DADOS BRUTOS'!DB$3:DB$500)+IF($C26="",0,SUMIF('DADOS BRUTOS'!$A$3:$A$500,$C26,'DADOS BRUTOS'!DB$3:DB$500)))</f>
        <v>0</v>
      </c>
      <c r="GC26" s="133" t="n">
        <f aca="false">IF(OR(GC$4="",$B26=""),0,SUMIF('DADOS BRUTOS'!$A$3:$A$500,$B26,'DADOS BRUTOS'!DC$3:DC$500)+IF($C26="",0,SUMIF('DADOS BRUTOS'!$A$3:$A$500,$C26,'DADOS BRUTOS'!DC$3:DC$500)))</f>
        <v>0</v>
      </c>
      <c r="GD26" s="133" t="n">
        <f aca="false">IF(OR(GD$4="",$B26=""),0,SUMIF('DADOS BRUTOS'!$A$3:$A$500,$B26,'DADOS BRUTOS'!DD$3:DD$500)+IF($C26="",0,SUMIF('DADOS BRUTOS'!$A$3:$A$500,$C26,'DADOS BRUTOS'!DD$3:DD$500)))</f>
        <v>0</v>
      </c>
      <c r="GE26" s="133" t="n">
        <f aca="false">IF(OR(GE$4="",$B26=""),0,SUMIF('DADOS BRUTOS'!$A$3:$A$500,$B26,'DADOS BRUTOS'!DE$3:DE$500)+IF($C26="",0,SUMIF('DADOS BRUTOS'!$A$3:$A$500,$C26,'DADOS BRUTOS'!DE$3:DE$500)))</f>
        <v>0</v>
      </c>
      <c r="GF26" s="133" t="n">
        <f aca="false">IF(OR(GF$4="",$B26=""),0,SUMIF('DADOS BRUTOS'!$A$3:$A$500,$B26,'DADOS BRUTOS'!DF$3:DF$500)+IF($C26="",0,SUMIF('DADOS BRUTOS'!$A$3:$A$500,$C26,'DADOS BRUTOS'!DF$3:DF$500)))</f>
        <v>0</v>
      </c>
      <c r="GG26" s="133" t="n">
        <f aca="false">IF(OR(GG$4="",$B26=""),0,SUMIF('DADOS BRUTOS'!$A$3:$A$500,$B26,'DADOS BRUTOS'!DG$3:DG$500)+IF($C26="",0,SUMIF('DADOS BRUTOS'!$A$3:$A$500,$C26,'DADOS BRUTOS'!DG$3:DG$500)))</f>
        <v>0</v>
      </c>
      <c r="GH26" s="133" t="n">
        <f aca="false">IF(OR(GH$4="",$B26=""),0,SUMIF('DADOS BRUTOS'!$A$3:$A$500,$B26,'DADOS BRUTOS'!DH$3:DH$500)+IF($C26="",0,SUMIF('DADOS BRUTOS'!$A$3:$A$500,$C26,'DADOS BRUTOS'!DH$3:DH$500)))</f>
        <v>0</v>
      </c>
      <c r="GI26" s="133" t="n">
        <f aca="false">IF(OR(GI$4="",$B26=""),0,SUMIF('DADOS BRUTOS'!$A$3:$A$500,$B26,'DADOS BRUTOS'!DI$3:DI$500)+IF($C26="",0,SUMIF('DADOS BRUTOS'!$A$3:$A$500,$C26,'DADOS BRUTOS'!DI$3:DI$500)))</f>
        <v>0</v>
      </c>
      <c r="GJ26" s="133" t="n">
        <f aca="false">IF(OR(GJ$4="",$B26=""),0,SUMIF('DADOS BRUTOS'!$A$3:$A$500,$B26,'DADOS BRUTOS'!DJ$3:DJ$500)+IF($C26="",0,SUMIF('DADOS BRUTOS'!$A$3:$A$500,$C26,'DADOS BRUTOS'!DJ$3:DJ$500)))</f>
        <v>0</v>
      </c>
      <c r="GK26" s="133" t="n">
        <f aca="false">IF(OR(GK$4="",$B26=""),0,SUMIF('DADOS BRUTOS'!$A$3:$A$500,$B26,'DADOS BRUTOS'!DK$3:DK$500)+IF($C26="",0,SUMIF('DADOS BRUTOS'!$A$3:$A$500,$C26,'DADOS BRUTOS'!DK$3:DK$500)))</f>
        <v>0</v>
      </c>
      <c r="GL26" s="133" t="n">
        <f aca="false">IF(OR(GL$4="",$B26=""),0,SUMIF('DADOS BRUTOS'!$A$3:$A$500,$B26,'DADOS BRUTOS'!DL$3:DL$500)+IF($C26="",0,SUMIF('DADOS BRUTOS'!$A$3:$A$500,$C26,'DADOS BRUTOS'!DL$3:DL$500)))</f>
        <v>0</v>
      </c>
      <c r="GM26" s="133" t="n">
        <f aca="false">IF(OR(GM$4="",$B26=""),0,SUMIF('DADOS BRUTOS'!$A$3:$A$500,$B26,'DADOS BRUTOS'!DM$3:DM$500)+IF($C26="",0,SUMIF('DADOS BRUTOS'!$A$3:$A$500,$C26,'DADOS BRUTOS'!DM$3:DM$500)))</f>
        <v>0</v>
      </c>
      <c r="GN26" s="133" t="n">
        <f aca="false">IF(OR(GN$4="",$B26=""),0,SUMIF('DADOS BRUTOS'!$A$3:$A$500,$B26,'DADOS BRUTOS'!DN$3:DN$500)+IF($C26="",0,SUMIF('DADOS BRUTOS'!$A$3:$A$500,$C26,'DADOS BRUTOS'!DN$3:DN$500)))</f>
        <v>0</v>
      </c>
      <c r="GO26" s="133" t="n">
        <f aca="false">IF(OR(GO$4="",$B26=""),0,SUMIF('DADOS BRUTOS'!$A$3:$A$500,$B26,'DADOS BRUTOS'!DO$3:DO$500)+IF($C26="",0,SUMIF('DADOS BRUTOS'!$A$3:$A$500,$C26,'DADOS BRUTOS'!DO$3:DO$500)))</f>
        <v>0</v>
      </c>
      <c r="GP26" s="133" t="n">
        <f aca="false">IF(OR(GP$4="",$B26=""),0,SUMIF('DADOS BRUTOS'!$A$3:$A$500,$B26,'DADOS BRUTOS'!DP$3:DP$500)+IF($C26="",0,SUMIF('DADOS BRUTOS'!$A$3:$A$500,$C26,'DADOS BRUTOS'!DP$3:DP$500)))</f>
        <v>0</v>
      </c>
      <c r="GQ26" s="133" t="n">
        <f aca="false">IF(OR(GQ$4="",$B26=""),0,SUMIF('DADOS BRUTOS'!$A$3:$A$500,$B26,'DADOS BRUTOS'!DQ$3:DQ$500)+IF($C26="",0,SUMIF('DADOS BRUTOS'!$A$3:$A$500,$C26,'DADOS BRUTOS'!DQ$3:DQ$500)))</f>
        <v>0</v>
      </c>
      <c r="GR26" s="133" t="n">
        <f aca="false">IF(OR(GR$4="",$B26=""),0,SUMIF('DADOS BRUTOS'!$A$3:$A$500,$B26,'DADOS BRUTOS'!DR$3:DR$500)+IF($C26="",0,SUMIF('DADOS BRUTOS'!$A$3:$A$500,$C26,'DADOS BRUTOS'!DR$3:DR$500)))</f>
        <v>0</v>
      </c>
      <c r="GS26" s="133" t="n">
        <f aca="false">IF(OR(GS$4="",$B26=""),0,SUMIF('DADOS BRUTOS'!$A$3:$A$500,$B26,'DADOS BRUTOS'!DS$3:DS$500)+IF($C26="",0,SUMIF('DADOS BRUTOS'!$A$3:$A$500,$C26,'DADOS BRUTOS'!DS$3:DS$500)))</f>
        <v>0</v>
      </c>
      <c r="GT26" s="133" t="n">
        <f aca="false">IF(OR(GT$4="",$B26=""),0,SUMIF('DADOS BRUTOS'!$A$3:$A$500,$B26,'DADOS BRUTOS'!DT$3:DT$500)+IF($C26="",0,SUMIF('DADOS BRUTOS'!$A$3:$A$500,$C26,'DADOS BRUTOS'!DT$3:DT$500)))</f>
        <v>0</v>
      </c>
      <c r="GU26" s="133" t="n">
        <f aca="false">IF(OR(GU$4="",$B26=""),0,SUMIF('DADOS BRUTOS'!$A$3:$A$500,$B26,'DADOS BRUTOS'!DU$3:DU$500)+IF($C26="",0,SUMIF('DADOS BRUTOS'!$A$3:$A$500,$C26,'DADOS BRUTOS'!DU$3:DU$500)))</f>
        <v>0</v>
      </c>
      <c r="GV26" s="133" t="n">
        <f aca="false">IF(OR(GV$4="",$B26=""),0,SUMIF('DADOS BRUTOS'!$A$3:$A$500,$B26,'DADOS BRUTOS'!DV$3:DV$500)+IF($C26="",0,SUMIF('DADOS BRUTOS'!$A$3:$A$500,$C26,'DADOS BRUTOS'!DV$3:DV$500)))</f>
        <v>0</v>
      </c>
      <c r="GW26" s="133" t="n">
        <f aca="false">IF(OR(GW$4="",$B26=""),0,SUMIF('DADOS BRUTOS'!$A$3:$A$500,$B26,'DADOS BRUTOS'!DW$3:DW$500)+IF($C26="",0,SUMIF('DADOS BRUTOS'!$A$3:$A$500,$C26,'DADOS BRUTOS'!DW$3:DW$500)))</f>
        <v>0</v>
      </c>
      <c r="GX26" s="133" t="n">
        <f aca="false">IF(OR(GX$4="",$B26=""),0,SUMIF('DADOS BRUTOS'!$A$3:$A$500,$B26,'DADOS BRUTOS'!DX$3:DX$500)+IF($C26="",0,SUMIF('DADOS BRUTOS'!$A$3:$A$500,$C26,'DADOS BRUTOS'!DX$3:DX$500)))</f>
        <v>0</v>
      </c>
      <c r="GY26" s="133" t="n">
        <f aca="false">IF(OR(GY$4="",$B26=""),0,SUMIF('DADOS BRUTOS'!$A$3:$A$500,$B26,'DADOS BRUTOS'!DY$3:DY$500)+IF($C26="",0,SUMIF('DADOS BRUTOS'!$A$3:$A$500,$C26,'DADOS BRUTOS'!DY$3:DY$500)))</f>
        <v>0</v>
      </c>
      <c r="GZ26" s="133" t="n">
        <f aca="false">IF(OR(GZ$4="",$B26=""),0,SUMIF('DADOS BRUTOS'!$A$3:$A$500,$B26,'DADOS BRUTOS'!DZ$3:DZ$500)+IF($C26="",0,SUMIF('DADOS BRUTOS'!$A$3:$A$500,$C26,'DADOS BRUTOS'!DZ$3:DZ$500)))</f>
        <v>0</v>
      </c>
      <c r="HA26" s="133" t="n">
        <f aca="false">IF(OR(HA$4="",$B26=""),0,SUMIF('DADOS BRUTOS'!$A$3:$A$500,$B26,'DADOS BRUTOS'!EA$3:EA$500)+IF($C26="",0,SUMIF('DADOS BRUTOS'!$A$3:$A$500,$C26,'DADOS BRUTOS'!EA$3:EA$500)))</f>
        <v>0</v>
      </c>
      <c r="HB26" s="133" t="n">
        <f aca="false">IF(OR(HB$4="",$B26=""),0,SUMIF('DADOS BRUTOS'!$A$3:$A$500,$B26,'DADOS BRUTOS'!EB$3:EB$500)+IF($C26="",0,SUMIF('DADOS BRUTOS'!$A$3:$A$500,$C26,'DADOS BRUTOS'!EB$3:EB$500)))</f>
        <v>0</v>
      </c>
      <c r="HC26" s="133" t="n">
        <f aca="false">IF(OR(HC$4="",$B26=""),0,SUMIF('DADOS BRUTOS'!$A$3:$A$500,$B26,'DADOS BRUTOS'!EC$3:EC$500)+IF($C26="",0,SUMIF('DADOS BRUTOS'!$A$3:$A$500,$C26,'DADOS BRUTOS'!EC$3:EC$500)))</f>
        <v>0</v>
      </c>
      <c r="HD26" s="133" t="n">
        <f aca="false">IF(OR(HD$4="",$B26=""),0,SUMIF('DADOS BRUTOS'!$A$3:$A$500,$B26,'DADOS BRUTOS'!ED$3:ED$500)+IF($C26="",0,SUMIF('DADOS BRUTOS'!$A$3:$A$500,$C26,'DADOS BRUTOS'!ED$3:ED$500)))</f>
        <v>0</v>
      </c>
      <c r="HE26" s="133" t="n">
        <f aca="false">IF(OR(HE$4="",$B26=""),0,SUMIF('DADOS BRUTOS'!$A$3:$A$500,$B26,'DADOS BRUTOS'!EE$3:EE$500)+IF($C26="",0,SUMIF('DADOS BRUTOS'!$A$3:$A$500,$C26,'DADOS BRUTOS'!EE$3:EE$500)))</f>
        <v>0</v>
      </c>
      <c r="HF26" s="133" t="n">
        <f aca="false">IF(OR(HF$4="",$B26=""),0,SUMIF('DADOS BRUTOS'!$A$3:$A$500,$B26,'DADOS BRUTOS'!EF$3:EF$500)+IF($C26="",0,SUMIF('DADOS BRUTOS'!$A$3:$A$500,$C26,'DADOS BRUTOS'!EF$3:EF$500)))</f>
        <v>0</v>
      </c>
      <c r="HG26" s="133" t="n">
        <f aca="false">IF(OR(HG$4="",$B26=""),0,SUMIF('DADOS BRUTOS'!$A$3:$A$500,$B26,'DADOS BRUTOS'!EG$3:EG$500)+IF($C26="",0,SUMIF('DADOS BRUTOS'!$A$3:$A$500,$C26,'DADOS BRUTOS'!EG$3:EG$500)))</f>
        <v>0</v>
      </c>
      <c r="HH26" s="133" t="n">
        <f aca="false">IF(OR(HH$4="",$B26=""),0,SUMIF('DADOS BRUTOS'!$A$3:$A$500,$B26,'DADOS BRUTOS'!EH$3:EH$500)+IF($C26="",0,SUMIF('DADOS BRUTOS'!$A$3:$A$500,$C26,'DADOS BRUTOS'!EH$3:EH$500)))</f>
        <v>0</v>
      </c>
      <c r="HI26" s="133" t="n">
        <f aca="false">IF(OR(HI$4="",$B26=""),0,SUMIF('DADOS BRUTOS'!$A$3:$A$500,$B26,'DADOS BRUTOS'!EI$3:EI$500)+IF($C26="",0,SUMIF('DADOS BRUTOS'!$A$3:$A$500,$C26,'DADOS BRUTOS'!EI$3:EI$500)))</f>
        <v>0</v>
      </c>
      <c r="HJ26" s="133" t="n">
        <f aca="false">IF(OR(HJ$4="",$B26=""),0,SUMIF('DADOS BRUTOS'!$A$3:$A$500,$B26,'DADOS BRUTOS'!EJ$3:EJ$500)+IF($C26="",0,SUMIF('DADOS BRUTOS'!$A$3:$A$500,$C26,'DADOS BRUTOS'!EJ$3:EJ$500)))</f>
        <v>0</v>
      </c>
      <c r="HK26" s="133" t="n">
        <f aca="false">IF(OR(HK$4="",$B26=""),0,SUMIF('DADOS BRUTOS'!$A$3:$A$500,$B26,'DADOS BRUTOS'!EK$3:EK$500)+IF($C26="",0,SUMIF('DADOS BRUTOS'!$A$3:$A$500,$C26,'DADOS BRUTOS'!EK$3:EK$500)))</f>
        <v>0</v>
      </c>
      <c r="HL26" s="133" t="n">
        <f aca="false">IF(OR(HL$4="",$B26=""),0,SUMIF('DADOS BRUTOS'!$A$3:$A$500,$B26,'DADOS BRUTOS'!EL$3:EL$500)+IF($C26="",0,SUMIF('DADOS BRUTOS'!$A$3:$A$500,$C26,'DADOS BRUTOS'!EL$3:EL$500)))</f>
        <v>0</v>
      </c>
      <c r="HM26" s="133" t="n">
        <f aca="false">IF(OR(HM$4="",$B26=""),0,SUMIF('DADOS BRUTOS'!$A$3:$A$500,$B26,'DADOS BRUTOS'!EM$3:EM$500)+IF($C26="",0,SUMIF('DADOS BRUTOS'!$A$3:$A$500,$C26,'DADOS BRUTOS'!EM$3:EM$500)))</f>
        <v>0</v>
      </c>
      <c r="HN26" s="133" t="n">
        <f aca="false">IF(OR(HN$4="",$B26=""),0,SUMIF('DADOS BRUTOS'!$A$3:$A$500,$B26,'DADOS BRUTOS'!EN$3:EN$500)+IF($C26="",0,SUMIF('DADOS BRUTOS'!$A$3:$A$500,$C26,'DADOS BRUTOS'!EN$3:EN$500)))</f>
        <v>0</v>
      </c>
      <c r="HO26" s="133" t="n">
        <f aca="false">IF(OR(HO$4="",$B26=""),0,SUMIF('DADOS BRUTOS'!$A$3:$A$500,$B26,'DADOS BRUTOS'!EO$3:EO$500)+IF($C26="",0,SUMIF('DADOS BRUTOS'!$A$3:$A$500,$C26,'DADOS BRUTOS'!EO$3:EO$500)))</f>
        <v>0</v>
      </c>
      <c r="HP26" s="133" t="n">
        <f aca="false">IF(OR(HP$4="",$B26=""),0,SUMIF('DADOS BRUTOS'!$A$3:$A$500,$B26,'DADOS BRUTOS'!EP$3:EP$500)+IF($C26="",0,SUMIF('DADOS BRUTOS'!$A$3:$A$500,$C26,'DADOS BRUTOS'!EP$3:EP$500)))</f>
        <v>0</v>
      </c>
      <c r="HQ26" s="133" t="n">
        <f aca="false">IF(OR(HQ$4="",$B26=""),0,SUMIF('DADOS BRUTOS'!$A$3:$A$500,$B26,'DADOS BRUTOS'!EQ$3:EQ$500)+IF($C26="",0,SUMIF('DADOS BRUTOS'!$A$3:$A$500,$C26,'DADOS BRUTOS'!EQ$3:EQ$500)))</f>
        <v>0</v>
      </c>
      <c r="HR26" s="133" t="n">
        <f aca="false">IF(OR(HR$4="",$B26=""),0,SUMIF('DADOS BRUTOS'!$A$3:$A$500,$B26,'DADOS BRUTOS'!ER$3:ER$500)+IF($C26="",0,SUMIF('DADOS BRUTOS'!$A$3:$A$500,$C26,'DADOS BRUTOS'!ER$3:ER$500)))</f>
        <v>0</v>
      </c>
      <c r="HS26" s="133" t="n">
        <f aca="false">IF(OR(HS$4="",$B26=""),0,SUMIF('DADOS BRUTOS'!$A$3:$A$500,$B26,'DADOS BRUTOS'!ES$3:ES$500)+IF($C26="",0,SUMIF('DADOS BRUTOS'!$A$3:$A$500,$C26,'DADOS BRUTOS'!ES$3:ES$500)))</f>
        <v>0</v>
      </c>
      <c r="HT26" s="133" t="n">
        <f aca="false">IF(OR(HT$4="",$B26=""),0,SUMIF('DADOS BRUTOS'!$A$3:$A$500,$B26,'DADOS BRUTOS'!ET$3:ET$500)+IF($C26="",0,SUMIF('DADOS BRUTOS'!$A$3:$A$500,$C26,'DADOS BRUTOS'!ET$3:ET$500)))</f>
        <v>0</v>
      </c>
      <c r="HU26" s="133" t="n">
        <f aca="false">IF(OR(HU$4="",$B26=""),0,SUMIF('DADOS BRUTOS'!$A$3:$A$500,$B26,'DADOS BRUTOS'!EU$3:EU$500)+IF($C26="",0,SUMIF('DADOS BRUTOS'!$A$3:$A$500,$C26,'DADOS BRUTOS'!EU$3:EU$500)))</f>
        <v>0</v>
      </c>
      <c r="HV26" s="133" t="n">
        <f aca="false">IF(OR(HV$4="",$B26=""),0,SUMIF('DADOS BRUTOS'!$A$3:$A$500,$B26,'DADOS BRUTOS'!EV$3:EV$500)+IF($C26="",0,SUMIF('DADOS BRUTOS'!$A$3:$A$500,$C26,'DADOS BRUTOS'!EV$3:EV$500)))</f>
        <v>0</v>
      </c>
      <c r="HW26" s="133" t="n">
        <f aca="false">IF(OR(HW$4="",$B26=""),0,SUMIF('DADOS BRUTOS'!$A$3:$A$500,$B26,'DADOS BRUTOS'!EW$3:EW$500)+IF($C26="",0,SUMIF('DADOS BRUTOS'!$A$3:$A$500,$C26,'DADOS BRUTOS'!EW$3:EW$500)))</f>
        <v>0</v>
      </c>
      <c r="HX26" s="133" t="n">
        <f aca="false">IF(OR(HX$4="",$B26=""),0,SUMIF('DADOS BRUTOS'!$A$3:$A$500,$B26,'DADOS BRUTOS'!EX$3:EX$500)+IF($C26="",0,SUMIF('DADOS BRUTOS'!$A$3:$A$500,$C26,'DADOS BRUTOS'!EX$3:EX$500)))</f>
        <v>0</v>
      </c>
      <c r="HY26" s="133" t="n">
        <f aca="false">IF(OR(HY$4="",$B26=""),0,SUMIF('DADOS BRUTOS'!$A$3:$A$500,$B26,'DADOS BRUTOS'!EY$3:EY$500)+IF($C26="",0,SUMIF('DADOS BRUTOS'!$A$3:$A$500,$C26,'DADOS BRUTOS'!EY$3:EY$500)))</f>
        <v>0</v>
      </c>
      <c r="HZ26" s="133" t="n">
        <f aca="false">IF(OR(HZ$4="",$B26=""),0,SUMIF('DADOS BRUTOS'!$A$3:$A$500,$B26,'DADOS BRUTOS'!EZ$3:EZ$500)+IF($C26="",0,SUMIF('DADOS BRUTOS'!$A$3:$A$500,$C26,'DADOS BRUTOS'!EZ$3:EZ$500)))</f>
        <v>0</v>
      </c>
      <c r="IA26" s="133" t="n">
        <f aca="false">IF(OR(IA$4="",$B26=""),0,SUMIF('DADOS BRUTOS'!$A$3:$A$500,$B26,'DADOS BRUTOS'!FA$3:FA$500)+IF($C26="",0,SUMIF('DADOS BRUTOS'!$A$3:$A$500,$C26,'DADOS BRUTOS'!FA$3:FA$500)))</f>
        <v>0</v>
      </c>
      <c r="IB26" s="133" t="n">
        <f aca="false">IF(OR(IB$4="",$B26=""),0,SUMIF('DADOS BRUTOS'!$A$3:$A$500,$B26,'DADOS BRUTOS'!FB$3:FB$500)+IF($C26="",0,SUMIF('DADOS BRUTOS'!$A$3:$A$500,$C26,'DADOS BRUTOS'!FB$3:FB$500)))</f>
        <v>0</v>
      </c>
      <c r="IC26" s="133" t="n">
        <f aca="false">IF(OR(IC$4="",$B26=""),0,SUMIF('DADOS BRUTOS'!$A$3:$A$500,$B26,'DADOS BRUTOS'!FC$3:FC$500)+IF($C26="",0,SUMIF('DADOS BRUTOS'!$A$3:$A$500,$C26,'DADOS BRUTOS'!FC$3:FC$500)))</f>
        <v>0</v>
      </c>
      <c r="ID26" s="133" t="n">
        <f aca="false">IF(OR(ID$4="",$B26=""),0,SUMIF('DADOS BRUTOS'!$A$3:$A$500,$B26,'DADOS BRUTOS'!FD$3:FD$500)+IF($C26="",0,SUMIF('DADOS BRUTOS'!$A$3:$A$500,$C26,'DADOS BRUTOS'!FD$3:FD$500)))</f>
        <v>0</v>
      </c>
      <c r="IE26" s="133" t="n">
        <f aca="false">IF(OR(IE$4="",$B26=""),0,SUMIF('DADOS BRUTOS'!$A$3:$A$500,$B26,'DADOS BRUTOS'!FE$3:FE$500)+IF($C26="",0,SUMIF('DADOS BRUTOS'!$A$3:$A$500,$C26,'DADOS BRUTOS'!FE$3:FE$500)))</f>
        <v>0</v>
      </c>
      <c r="IF26" s="133" t="n">
        <f aca="false">IF(OR(IF$4="",$B26=""),0,SUMIF('DADOS BRUTOS'!$A$3:$A$500,$B26,'DADOS BRUTOS'!FF$3:FF$500)+IF($C26="",0,SUMIF('DADOS BRUTOS'!$A$3:$A$500,$C26,'DADOS BRUTOS'!FF$3:FF$500)))</f>
        <v>0</v>
      </c>
      <c r="IG26" s="133" t="n">
        <f aca="false">IF(OR(IG$4="",$B26=""),0,SUMIF('DADOS BRUTOS'!$A$3:$A$500,$B26,'DADOS BRUTOS'!FG$3:FG$500)+IF($C26="",0,SUMIF('DADOS BRUTOS'!$A$3:$A$500,$C26,'DADOS BRUTOS'!FG$3:FG$500)))</f>
        <v>0</v>
      </c>
      <c r="IH26" s="133" t="n">
        <f aca="false">IF(OR(IH$4="",$B26=""),0,SUMIF('DADOS BRUTOS'!$A$3:$A$500,$B26,'DADOS BRUTOS'!FH$3:FH$500)+IF($C26="",0,SUMIF('DADOS BRUTOS'!$A$3:$A$500,$C26,'DADOS BRUTOS'!FH$3:FH$500)))</f>
        <v>0</v>
      </c>
      <c r="II26" s="133" t="n">
        <f aca="false">IF(OR(II$4="",$B26=""),0,SUMIF('DADOS BRUTOS'!$A$3:$A$500,$B26,'DADOS BRUTOS'!FI$3:FI$500)+IF($C26="",0,SUMIF('DADOS BRUTOS'!$A$3:$A$500,$C26,'DADOS BRUTOS'!FI$3:FI$500)))</f>
        <v>0</v>
      </c>
      <c r="IJ26" s="133" t="n">
        <f aca="false">IF(OR(IJ$4="",$B26=""),0,SUMIF('DADOS BRUTOS'!$A$3:$A$500,$B26,'DADOS BRUTOS'!FJ$3:FJ$500)+IF($C26="",0,SUMIF('DADOS BRUTOS'!$A$3:$A$500,$C26,'DADOS BRUTOS'!FJ$3:FJ$500)))</f>
        <v>0</v>
      </c>
      <c r="IK26" s="133" t="n">
        <f aca="false">IF(OR(IK$4="",$B26=""),0,SUMIF('DADOS BRUTOS'!$A$3:$A$500,$B26,'DADOS BRUTOS'!FK$3:FK$500)+IF($C26="",0,SUMIF('DADOS BRUTOS'!$A$3:$A$500,$C26,'DADOS BRUTOS'!FK$3:FK$500)))</f>
        <v>0</v>
      </c>
      <c r="IL26" s="133" t="n">
        <f aca="false">IF(OR(IL$4="",$B26=""),0,SUMIF('DADOS BRUTOS'!$A$3:$A$500,$B26,'DADOS BRUTOS'!FL$3:FL$500)+IF($C26="",0,SUMIF('DADOS BRUTOS'!$A$3:$A$500,$C26,'DADOS BRUTOS'!FL$3:FL$500)))</f>
        <v>0</v>
      </c>
      <c r="IM26" s="133" t="n">
        <f aca="false">IF(OR(IM$4="",$B26=""),0,SUMIF('DADOS BRUTOS'!$A$3:$A$500,$B26,'DADOS BRUTOS'!FM$3:FM$500)+IF($C26="",0,SUMIF('DADOS BRUTOS'!$A$3:$A$500,$C26,'DADOS BRUTOS'!FM$3:FM$500)))</f>
        <v>0</v>
      </c>
      <c r="IN26" s="133" t="n">
        <f aca="false">IF(OR(IN$4="",$B26=""),0,SUMIF('DADOS BRUTOS'!$A$3:$A$500,$B26,'DADOS BRUTOS'!FN$3:FN$500)+IF($C26="",0,SUMIF('DADOS BRUTOS'!$A$3:$A$500,$C26,'DADOS BRUTOS'!FN$3:FN$500)))</f>
        <v>0</v>
      </c>
      <c r="IO26" s="133" t="n">
        <f aca="false">IF(OR(IO$4="",$B26=""),0,SUMIF('DADOS BRUTOS'!$A$3:$A$500,$B26,'DADOS BRUTOS'!FO$3:FO$500)+IF($C26="",0,SUMIF('DADOS BRUTOS'!$A$3:$A$500,$C26,'DADOS BRUTOS'!FO$3:FO$500)))</f>
        <v>0</v>
      </c>
      <c r="IP26" s="133" t="n">
        <f aca="false">IF(OR(IP$4="",$B26=""),0,SUMIF('DADOS BRUTOS'!$A$3:$A$500,$B26,'DADOS BRUTOS'!FP$3:FP$500)+IF($C26="",0,SUMIF('DADOS BRUTOS'!$A$3:$A$500,$C26,'DADOS BRUTOS'!FP$3:FP$500)))</f>
        <v>0</v>
      </c>
      <c r="IQ26" s="133" t="n">
        <f aca="false">IF(OR(IQ$4="",$B26=""),0,SUMIF('DADOS BRUTOS'!$A$3:$A$500,$B26,'DADOS BRUTOS'!FQ$3:FQ$500)+IF($C26="",0,SUMIF('DADOS BRUTOS'!$A$3:$A$500,$C26,'DADOS BRUTOS'!FQ$3:FQ$500)))</f>
        <v>0</v>
      </c>
      <c r="IR26" s="133" t="n">
        <f aca="false">IF(OR(IR$4="",$B26=""),0,SUMIF('DADOS BRUTOS'!$A$3:$A$500,$B26,'DADOS BRUTOS'!FR$3:FR$500)+IF($C26="",0,SUMIF('DADOS BRUTOS'!$A$3:$A$500,$C26,'DADOS BRUTOS'!FR$3:FR$500)))</f>
        <v>0</v>
      </c>
      <c r="IS26" s="133" t="n">
        <f aca="false">IF(OR(IS$4="",$B26=""),0,SUMIF('DADOS BRUTOS'!$A$3:$A$500,$B26,'DADOS BRUTOS'!FS$3:FS$500)+IF($C26="",0,SUMIF('DADOS BRUTOS'!$A$3:$A$500,$C26,'DADOS BRUTOS'!FS$3:FS$500)))</f>
        <v>0</v>
      </c>
      <c r="IT26" s="133" t="n">
        <f aca="false">IF(OR(IT$4="",$B26=""),0,SUMIF('DADOS BRUTOS'!$A$3:$A$500,$B26,'DADOS BRUTOS'!FT$3:FT$500)+IF($C26="",0,SUMIF('DADOS BRUTOS'!$A$3:$A$500,$C26,'DADOS BRUTOS'!FT$3:FT$500)))</f>
        <v>0</v>
      </c>
      <c r="IU26" s="133" t="n">
        <f aca="false">IF(OR(IU$4="",$B26=""),0,SUMIF('DADOS BRUTOS'!$A$3:$A$500,$B26,'DADOS BRUTOS'!FU$3:FU$500)+IF($C26="",0,SUMIF('DADOS BRUTOS'!$A$3:$A$500,$C26,'DADOS BRUTOS'!FU$3:FU$500)))</f>
        <v>0</v>
      </c>
      <c r="IV26" s="133" t="n">
        <f aca="false">IF(OR(IV$4="",$B26=""),0,SUMIF('DADOS BRUTOS'!$A$3:$A$500,$B26,'DADOS BRUTOS'!FV$3:FV$500)+IF($C26="",0,SUMIF('DADOS BRUTOS'!$A$3:$A$500,$C26,'DADOS BRUTOS'!FV$3:FV$500)))</f>
        <v>0</v>
      </c>
      <c r="IW26" s="133" t="n">
        <f aca="false">IF(OR(IW$4="",$B26=""),0,SUMIF('DADOS BRUTOS'!$A$3:$A$500,$B26,'DADOS BRUTOS'!FW$3:FW$500)+IF($C26="",0,SUMIF('DADOS BRUTOS'!$A$3:$A$500,$C26,'DADOS BRUTOS'!FW$3:FW$500)))</f>
        <v>0</v>
      </c>
      <c r="IX26" s="133" t="n">
        <f aca="false">IF(OR(IX$4="",$B26=""),0,SUMIF('DADOS BRUTOS'!$A$3:$A$500,$B26,'DADOS BRUTOS'!FX$3:FX$500)+IF($C26="",0,SUMIF('DADOS BRUTOS'!$A$3:$A$500,$C26,'DADOS BRUTOS'!FX$3:FX$500)))</f>
        <v>0</v>
      </c>
      <c r="IY26" s="133" t="n">
        <f aca="false">IF(OR(IY$4="",$B26=""),0,SUMIF('DADOS BRUTOS'!$A$3:$A$500,$B26,'DADOS BRUTOS'!FY$3:FY$500)+IF($C26="",0,SUMIF('DADOS BRUTOS'!$A$3:$A$500,$C26,'DADOS BRUTOS'!FY$3:FY$500)))</f>
        <v>0</v>
      </c>
      <c r="IZ26" s="133" t="n">
        <f aca="false">IF(OR(IZ$4="",$B26=""),0,SUMIF('DADOS BRUTOS'!$A$3:$A$500,$B26,'DADOS BRUTOS'!FZ$3:FZ$500)+IF($C26="",0,SUMIF('DADOS BRUTOS'!$A$3:$A$500,$C26,'DADOS BRUTOS'!FZ$3:FZ$500)))</f>
        <v>0</v>
      </c>
      <c r="JA26" s="133" t="n">
        <f aca="false">IF(OR(JA$4="",$B26=""),0,SUMIF('DADOS BRUTOS'!$A$3:$A$500,$B26,'DADOS BRUTOS'!GA$3:GA$500)+IF($C26="",0,SUMIF('DADOS BRUTOS'!$A$3:$A$500,$C26,'DADOS BRUTOS'!GA$3:GA$500)))</f>
        <v>0</v>
      </c>
      <c r="JB26" s="133" t="n">
        <f aca="false">IF(OR(JB$4="",$B26=""),0,SUMIF('DADOS BRUTOS'!$A$3:$A$500,$B26,'DADOS BRUTOS'!GB$3:GB$500)+IF($C26="",0,SUMIF('DADOS BRUTOS'!$A$3:$A$500,$C26,'DADOS BRUTOS'!GB$3:GB$500)))</f>
        <v>0</v>
      </c>
      <c r="JC26" s="133" t="n">
        <f aca="false">IF(OR(JC$4="",$B26=""),0,SUMIF('DADOS BRUTOS'!$A$3:$A$500,$B26,'DADOS BRUTOS'!GC$3:GC$500)+IF($C26="",0,SUMIF('DADOS BRUTOS'!$A$3:$A$500,$C26,'DADOS BRUTOS'!GC$3:GC$500)))</f>
        <v>0</v>
      </c>
      <c r="JD26" s="133" t="n">
        <f aca="false">IF(OR(JD$4="",$B26=""),0,SUMIF('DADOS BRUTOS'!$A$3:$A$500,$B26,'DADOS BRUTOS'!GD$3:GD$500)+IF($C26="",0,SUMIF('DADOS BRUTOS'!$A$3:$A$500,$C26,'DADOS BRUTOS'!GD$3:GD$500)))</f>
        <v>0</v>
      </c>
      <c r="JE26" s="133" t="n">
        <f aca="false">IF(OR(JE$4="",$B26=""),0,SUMIF('DADOS BRUTOS'!$A$3:$A$500,$B26,'DADOS BRUTOS'!GE$3:GE$500)+IF($C26="",0,SUMIF('DADOS BRUTOS'!$A$3:$A$500,$C26,'DADOS BRUTOS'!GE$3:GE$500)))</f>
        <v>0</v>
      </c>
      <c r="JF26" s="133" t="n">
        <f aca="false">IF(OR(JF$4="",$B26=""),0,SUMIF('DADOS BRUTOS'!$A$3:$A$500,$B26,'DADOS BRUTOS'!GF$3:GF$500)+IF($C26="",0,SUMIF('DADOS BRUTOS'!$A$3:$A$500,$C26,'DADOS BRUTOS'!GF$3:GF$500)))</f>
        <v>0</v>
      </c>
      <c r="JG26" s="133" t="n">
        <f aca="false">IF(OR(JG$4="",$B26=""),0,SUMIF('DADOS BRUTOS'!$A$3:$A$500,$B26,'DADOS BRUTOS'!GG$3:GG$500)+IF($C26="",0,SUMIF('DADOS BRUTOS'!$A$3:$A$500,$C26,'DADOS BRUTOS'!GG$3:GG$500)))</f>
        <v>0</v>
      </c>
      <c r="JH26" s="133" t="n">
        <f aca="false">IF(OR(JH$4="",$B26=""),0,SUMIF('DADOS BRUTOS'!$A$3:$A$500,$B26,'DADOS BRUTOS'!GH$3:GH$500)+IF($C26="",0,SUMIF('DADOS BRUTOS'!$A$3:$A$500,$C26,'DADOS BRUTOS'!GH$3:GH$500)))</f>
        <v>0</v>
      </c>
      <c r="JI26" s="133" t="n">
        <f aca="false">IF(OR(JI$4="",$B26=""),0,SUMIF('DADOS BRUTOS'!$A$3:$A$500,$B26,'DADOS BRUTOS'!GI$3:GI$500)+IF($C26="",0,SUMIF('DADOS BRUTOS'!$A$3:$A$500,$C26,'DADOS BRUTOS'!GI$3:GI$500)))</f>
        <v>0</v>
      </c>
      <c r="JJ26" s="133" t="n">
        <f aca="false">IF(OR(JJ$4="",$B26=""),0,SUMIF('DADOS BRUTOS'!$A$3:$A$500,$B26,'DADOS BRUTOS'!GJ$3:GJ$500)+IF($C26="",0,SUMIF('DADOS BRUTOS'!$A$3:$A$500,$C26,'DADOS BRUTOS'!GJ$3:GJ$500)))</f>
        <v>0</v>
      </c>
      <c r="JK26" s="133" t="n">
        <f aca="false">IF(OR(JK$4="",$B26=""),0,SUMIF('DADOS BRUTOS'!$A$3:$A$500,$B26,'DADOS BRUTOS'!GK$3:GK$500)+IF($C26="",0,SUMIF('DADOS BRUTOS'!$A$3:$A$500,$C26,'DADOS BRUTOS'!GK$3:GK$500)))</f>
        <v>0</v>
      </c>
      <c r="JL26" s="133" t="n">
        <f aca="false">IF(OR(JL$4="",$B26=""),0,SUMIF('DADOS BRUTOS'!$A$3:$A$500,$B26,'DADOS BRUTOS'!GL$3:GL$500)+IF($C26="",0,SUMIF('DADOS BRUTOS'!$A$3:$A$500,$C26,'DADOS BRUTOS'!GL$3:GL$500)))</f>
        <v>0</v>
      </c>
      <c r="JM26" s="133" t="n">
        <f aca="false">IF(OR(JM$4="",$B26=""),0,SUMIF('DADOS BRUTOS'!$A$3:$A$500,$B26,'DADOS BRUTOS'!GM$3:GM$500)+IF($C26="",0,SUMIF('DADOS BRUTOS'!$A$3:$A$500,$C26,'DADOS BRUTOS'!GM$3:GM$500)))</f>
        <v>0</v>
      </c>
      <c r="JN26" s="133" t="n">
        <f aca="false">IF(OR(JN$4="",$B26=""),0,SUMIF('DADOS BRUTOS'!$A$3:$A$500,$B26,'DADOS BRUTOS'!GN$3:GN$500)+IF($C26="",0,SUMIF('DADOS BRUTOS'!$A$3:$A$500,$C26,'DADOS BRUTOS'!GN$3:GN$500)))</f>
        <v>0</v>
      </c>
      <c r="JO26" s="133" t="n">
        <f aca="false">IF(OR(JO$4="",$B26=""),0,SUMIF('DADOS BRUTOS'!$A$3:$A$500,$B26,'DADOS BRUTOS'!GO$3:GO$500)+IF($C26="",0,SUMIF('DADOS BRUTOS'!$A$3:$A$500,$C26,'DADOS BRUTOS'!GO$3:GO$500)))</f>
        <v>0</v>
      </c>
      <c r="JP26" s="133" t="n">
        <f aca="false">IF(OR(JP$4="",$B26=""),0,SUMIF('DADOS BRUTOS'!$A$3:$A$500,$B26,'DADOS BRUTOS'!GP$3:GP$500)+IF($C26="",0,SUMIF('DADOS BRUTOS'!$A$3:$A$500,$C26,'DADOS BRUTOS'!GP$3:GP$500)))</f>
        <v>0</v>
      </c>
      <c r="JQ26" s="133" t="n">
        <f aca="false">IF(OR(JQ$4="",$B26=""),0,SUMIF('DADOS BRUTOS'!$A$3:$A$500,$B26,'DADOS BRUTOS'!GQ$3:GQ$500)+IF($C26="",0,SUMIF('DADOS BRUTOS'!$A$3:$A$500,$C26,'DADOS BRUTOS'!GQ$3:GQ$500)))</f>
        <v>0</v>
      </c>
      <c r="JR26" s="133" t="n">
        <f aca="false">IF(OR(JR$4="",$B26=""),0,SUMIF('DADOS BRUTOS'!$A$3:$A$500,$B26,'DADOS BRUTOS'!GR$3:GR$500)+IF($C26="",0,SUMIF('DADOS BRUTOS'!$A$3:$A$500,$C26,'DADOS BRUTOS'!GR$3:GR$500)))</f>
        <v>0</v>
      </c>
      <c r="JS26" s="133" t="n">
        <f aca="false">IF(OR(JS$4="",$B26=""),0,SUMIF('DADOS BRUTOS'!$A$3:$A$500,$B26,'DADOS BRUTOS'!GS$3:GS$500)+IF($C26="",0,SUMIF('DADOS BRUTOS'!$A$3:$A$500,$C26,'DADOS BRUTOS'!GS$3:GS$500)))</f>
        <v>0</v>
      </c>
    </row>
    <row r="27" customFormat="false" ht="15" hidden="false" customHeight="false" outlineLevel="0" collapsed="false">
      <c r="A27" s="57" t="str">
        <f aca="false">'VALOR POR PL'!D33</f>
        <v>INSTALAÇÕES ESPECIAIS</v>
      </c>
      <c r="B27" s="55" t="s">
        <v>183</v>
      </c>
      <c r="C27" s="55"/>
      <c r="D27" s="50" t="n">
        <f aca="false">SUMIF($CB$4:$JS$4,"&lt;="&amp;D$4,$CB27:$JS27)</f>
        <v>0</v>
      </c>
      <c r="E27" s="50" t="n">
        <f aca="false">SUMIF($CB$4:$JS$4,E$4,$CB27:$JS27)</f>
        <v>0</v>
      </c>
      <c r="F27" s="50" t="n">
        <f aca="false">SUMIF($CB$4:$JS$4,F$4,$CB27:$JS27)</f>
        <v>0</v>
      </c>
      <c r="G27" s="50" t="n">
        <f aca="false">SUMIF($CB$4:$JS$4,G$4,$CB27:$JS27)</f>
        <v>0</v>
      </c>
      <c r="H27" s="50" t="n">
        <f aca="false">SUMIF($CB$4:$JS$4,H$4,$CB27:$JS27)</f>
        <v>0</v>
      </c>
      <c r="I27" s="50" t="n">
        <f aca="false">SUMIF($CB$4:$JS$4,I$4,$CB27:$JS27)</f>
        <v>0</v>
      </c>
      <c r="J27" s="50" t="n">
        <f aca="false">SUMIF($CB$4:$JS$4,J$4,$CB27:$JS27)</f>
        <v>0</v>
      </c>
      <c r="K27" s="50" t="n">
        <f aca="false">SUMIF($CB$4:$JS$4,K$4,$CB27:$JS27)</f>
        <v>0</v>
      </c>
      <c r="L27" s="50" t="n">
        <f aca="false">SUMIF($CB$4:$JS$4,L$4,$CB27:$JS27)</f>
        <v>0</v>
      </c>
      <c r="M27" s="50" t="n">
        <f aca="false">SUMIF($CB$4:$JS$4,M$4,$CB27:$JS27)</f>
        <v>0</v>
      </c>
      <c r="N27" s="50" t="n">
        <f aca="false">SUMIF($CB$4:$JS$4,N$4,$CB27:$JS27)</f>
        <v>0</v>
      </c>
      <c r="O27" s="50" t="n">
        <f aca="false">SUMIF($CB$4:$JS$4,O$4,$CB27:$JS27)</f>
        <v>0</v>
      </c>
      <c r="P27" s="50" t="n">
        <f aca="false">SUMIF($CB$4:$JS$4,P$4,$CB27:$JS27)</f>
        <v>0</v>
      </c>
      <c r="Q27" s="50" t="n">
        <f aca="false">SUMIF($CB$4:$JS$4,Q$4,$CB27:$JS27)</f>
        <v>0</v>
      </c>
      <c r="R27" s="50" t="n">
        <f aca="false">SUMIF($CB$4:$JS$4,R$4,$CB27:$JS27)</f>
        <v>0</v>
      </c>
      <c r="S27" s="50" t="n">
        <f aca="false">SUMIF($CB$4:$JS$4,S$4,$CB27:$JS27)</f>
        <v>0</v>
      </c>
      <c r="T27" s="50" t="n">
        <f aca="false">SUMIF($CB$4:$JS$4,T$4,$CB27:$JS27)</f>
        <v>0</v>
      </c>
      <c r="U27" s="50" t="n">
        <f aca="false">SUMIF($CB$4:$JS$4,U$4,$CB27:$JS27)</f>
        <v>0</v>
      </c>
      <c r="V27" s="50" t="n">
        <f aca="false">SUMIF($CB$4:$JS$4,V$4,$CB27:$JS27)</f>
        <v>0</v>
      </c>
      <c r="W27" s="50" t="n">
        <f aca="false">SUMIF($CB$4:$JS$4,W$4,$CB27:$JS27)</f>
        <v>0</v>
      </c>
      <c r="X27" s="50" t="n">
        <f aca="false">SUMIF($CB$4:$JS$4,X$4,$CB27:$JS27)</f>
        <v>0</v>
      </c>
      <c r="Y27" s="50" t="n">
        <f aca="false">SUMIF($CB$4:$JS$4,Y$4,$CB27:$JS27)</f>
        <v>0</v>
      </c>
      <c r="Z27" s="50" t="n">
        <f aca="false">SUMIF($CB$4:$JS$4,Z$4,$CB27:$JS27)</f>
        <v>0</v>
      </c>
      <c r="AA27" s="50" t="n">
        <f aca="false">SUMIF($CB$4:$JS$4,AA$4,$CB27:$JS27)</f>
        <v>0</v>
      </c>
      <c r="AB27" s="50" t="n">
        <f aca="false">SUMIF($CB$4:$JS$4,AB$4,$CB27:$JS27)</f>
        <v>0</v>
      </c>
      <c r="AC27" s="50" t="n">
        <f aca="false">SUMIF($CB$4:$JS$4,AC$4,$CB27:$JS27)</f>
        <v>0</v>
      </c>
      <c r="AD27" s="50" t="n">
        <f aca="false">SUMIF($CB$4:$JS$4,AD$4,$CB27:$JS27)</f>
        <v>0</v>
      </c>
      <c r="AE27" s="50" t="n">
        <f aca="false">SUMIF($CB$4:$JS$4,AE$4,$CB27:$JS27)</f>
        <v>0</v>
      </c>
      <c r="AF27" s="50" t="n">
        <f aca="false">SUMIF($CB$4:$JS$4,AF$4,$CB27:$JS27)</f>
        <v>0</v>
      </c>
      <c r="AG27" s="50" t="n">
        <f aca="false">SUMIF($CB$4:$JS$4,AG$4,$CB27:$JS27)</f>
        <v>0</v>
      </c>
      <c r="AH27" s="50" t="n">
        <f aca="false">SUMIF($CB$4:$JS$4,AH$4,$CB27:$JS27)</f>
        <v>0</v>
      </c>
      <c r="AI27" s="50" t="n">
        <f aca="false">SUMIF($CB$4:$JS$4,AI$4,$CB27:$JS27)</f>
        <v>0</v>
      </c>
      <c r="AJ27" s="50" t="n">
        <f aca="false">SUMIF($CB$4:$JS$4,AJ$4,$CB27:$JS27)</f>
        <v>0</v>
      </c>
      <c r="AK27" s="50" t="n">
        <f aca="false">SUMIF($CB$4:$JS$4,AK$4,$CB27:$JS27)</f>
        <v>0</v>
      </c>
      <c r="AL27" s="50" t="n">
        <f aca="false">SUMIF($CB$4:$JS$4,AL$4,$CB27:$JS27)</f>
        <v>0</v>
      </c>
      <c r="AM27" s="50" t="n">
        <f aca="false">SUMIF($CB$4:$JS$4,AM$4,$CB27:$JS27)</f>
        <v>0</v>
      </c>
      <c r="AN27" s="50" t="n">
        <f aca="false">SUMIF($CB$4:$JS$4,AN$4,$CB27:$JS27)</f>
        <v>0</v>
      </c>
      <c r="AO27" s="50" t="n">
        <f aca="false">SUMIF($CB$4:$JS$4,AO$4,$CB27:$JS27)</f>
        <v>0</v>
      </c>
      <c r="AP27" s="50" t="n">
        <f aca="false">SUMIF($CB$4:$JS$4,AP$4,$CB27:$JS27)</f>
        <v>0</v>
      </c>
      <c r="AQ27" s="50" t="n">
        <f aca="false">SUMIF($CB$4:$JS$4,AQ$4,$CB27:$JS27)</f>
        <v>0</v>
      </c>
      <c r="AR27" s="50" t="n">
        <f aca="false">SUMIF($CB$4:$JS$4,AR$4,$CB27:$JS27)</f>
        <v>0</v>
      </c>
      <c r="AS27" s="50" t="n">
        <f aca="false">SUMIF($CB$4:$JS$4,AS$4,$CB27:$JS27)</f>
        <v>0</v>
      </c>
      <c r="AT27" s="50" t="n">
        <f aca="false">SUMIF($CB$4:$JS$4,AT$4,$CB27:$JS27)</f>
        <v>0</v>
      </c>
      <c r="AU27" s="50" t="n">
        <f aca="false">SUMIF($CB$4:$JS$4,AU$4,$CB27:$JS27)</f>
        <v>0</v>
      </c>
      <c r="AV27" s="50" t="n">
        <f aca="false">SUMIF($CB$4:$JS$4,AV$4,$CB27:$JS27)</f>
        <v>0</v>
      </c>
      <c r="AW27" s="50" t="n">
        <f aca="false">SUMIF($CB$4:$JS$4,AW$4,$CB27:$JS27)</f>
        <v>0</v>
      </c>
      <c r="AX27" s="50" t="n">
        <f aca="false">SUMIF($CB$4:$JS$4,AX$4,$CB27:$JS27)</f>
        <v>0</v>
      </c>
      <c r="AY27" s="50" t="n">
        <f aca="false">SUMIF($CB$4:$JS$4,AY$4,$CB27:$JS27)</f>
        <v>0</v>
      </c>
      <c r="AZ27" s="50" t="n">
        <f aca="false">SUMIF($CB$4:$JS$4,AZ$4,$CB27:$JS27)</f>
        <v>0</v>
      </c>
      <c r="BA27" s="50" t="n">
        <f aca="false">SUMIF($CB$4:$JS$4,BA$4,$CB27:$JS27)</f>
        <v>0</v>
      </c>
      <c r="BB27" s="50" t="n">
        <f aca="false">SUMIF($CB$4:$JS$4,BB$4,$CB27:$JS27)</f>
        <v>0</v>
      </c>
      <c r="BC27" s="50" t="n">
        <f aca="false">SUMIF($CB$4:$JS$4,BC$4,$CB27:$JS27)</f>
        <v>0</v>
      </c>
      <c r="BD27" s="50" t="n">
        <f aca="false">SUMIF($CB$4:$JS$4,BD$4,$CB27:$JS27)</f>
        <v>0</v>
      </c>
      <c r="BE27" s="50" t="n">
        <f aca="false">SUMIF($CB$4:$JS$4,BE$4,$CB27:$JS27)</f>
        <v>0</v>
      </c>
      <c r="BF27" s="50" t="n">
        <f aca="false">SUMIF($CB$4:$JS$4,BF$4,$CB27:$JS27)</f>
        <v>0</v>
      </c>
      <c r="BG27" s="50" t="n">
        <f aca="false">SUMIF($CB$4:$JS$4,BG$4,$CB27:$JS27)</f>
        <v>0</v>
      </c>
      <c r="BH27" s="50" t="n">
        <f aca="false">SUMIF($CB$4:$JS$4,BH$4,$CB27:$JS27)</f>
        <v>0</v>
      </c>
      <c r="BI27" s="50" t="n">
        <f aca="false">SUMIF($CB$4:$JS$4,BI$4,$CB27:$JS27)</f>
        <v>0</v>
      </c>
      <c r="BJ27" s="50" t="n">
        <f aca="false">SUMIF($CB$4:$JS$4,BJ$4,$CB27:$JS27)</f>
        <v>0</v>
      </c>
      <c r="BK27" s="50" t="n">
        <f aca="false">SUMIF($CB$4:$JS$4,BK$4,$CB27:$JS27)</f>
        <v>0</v>
      </c>
      <c r="BL27" s="50" t="n">
        <f aca="false">SUMIF($CB$4:$JS$4,BL$4,$CB27:$JS27)</f>
        <v>0</v>
      </c>
      <c r="BM27" s="50" t="n">
        <f aca="false">SUMIF($CB$4:$JS$4,BM$4,$CB27:$JS27)</f>
        <v>0</v>
      </c>
      <c r="BN27" s="50" t="n">
        <f aca="false">SUMIF($CB$4:$JS$4,BN$4,$CB27:$JS27)</f>
        <v>0</v>
      </c>
      <c r="BO27" s="50" t="n">
        <f aca="false">SUMIF($CB$4:$JS$4,BO$4,$CB27:$JS27)</f>
        <v>0</v>
      </c>
      <c r="BP27" s="50" t="n">
        <f aca="false">SUMIF($CB$4:$JS$4,BP$4,$CB27:$JS27)</f>
        <v>0</v>
      </c>
      <c r="BQ27" s="50" t="n">
        <f aca="false">SUMIF($CB$4:$JS$4,BQ$4,$CB27:$JS27)</f>
        <v>0</v>
      </c>
      <c r="BR27" s="50" t="n">
        <f aca="false">SUMIF($CB$4:$JS$4,BR$4,$CB27:$JS27)</f>
        <v>0</v>
      </c>
      <c r="BS27" s="50" t="n">
        <f aca="false">SUMIF($CB$4:$JS$4,BS$4,$CB27:$JS27)</f>
        <v>0</v>
      </c>
      <c r="BT27" s="50" t="n">
        <f aca="false">SUMIF($CB$4:$JS$4,BT$4,$CB27:$JS27)</f>
        <v>0</v>
      </c>
      <c r="BU27" s="50" t="n">
        <f aca="false">SUMIF($CB$4:$JS$4,BU$4,$CB27:$JS27)</f>
        <v>0</v>
      </c>
      <c r="BV27" s="50" t="n">
        <f aca="false">SUMIF($CB$4:$JS$4,BV$4,$CB27:$JS27)</f>
        <v>0</v>
      </c>
      <c r="BW27" s="50" t="n">
        <f aca="false">SUMIF($CB$4:$JS$4,BW$4,$CB27:$JS27)</f>
        <v>0</v>
      </c>
      <c r="BX27" s="50" t="n">
        <f aca="false">SUMIF($CB$4:$JS$4,"&gt;"&amp;'VALOR POR PL'!$P$8,$CB27:$JS27)</f>
        <v>0</v>
      </c>
      <c r="BY27" s="50" t="n">
        <f aca="false">SUM($CB27:$JS27)</f>
        <v>0</v>
      </c>
      <c r="BZ27" s="45" t="n">
        <f aca="false">SUMPRODUCT(($CB$4:$JS$4&lt;&gt;"")*($CB$4:$JS$4&lt;=$D$4),$CB27:$JS27,$CB$1:$JS$1)</f>
        <v>0</v>
      </c>
      <c r="CB27" s="133" t="n">
        <f aca="false">IF(OR(CB$4="",$B27=""),0,SUMIF('DADOS BRUTOS'!$A$3:$A$500,$B27,'DADOS BRUTOS'!B$3:B$500)+IF($C27="",0,SUMIF('DADOS BRUTOS'!$A$3:$A$500,$C27,'DADOS BRUTOS'!B$3:B$500)))</f>
        <v>0</v>
      </c>
      <c r="CC27" s="133" t="n">
        <f aca="false">IF(OR(CC$4="",$B27=""),0,SUMIF('DADOS BRUTOS'!$A$3:$A$500,$B27,'DADOS BRUTOS'!C$3:C$500)+IF($C27="",0,SUMIF('DADOS BRUTOS'!$A$3:$A$500,$C27,'DADOS BRUTOS'!C$3:C$500)))</f>
        <v>0</v>
      </c>
      <c r="CD27" s="133" t="n">
        <f aca="false">IF(OR(CD$4="",$B27=""),0,SUMIF('DADOS BRUTOS'!$A$3:$A$500,$B27,'DADOS BRUTOS'!D$3:D$500)+IF($C27="",0,SUMIF('DADOS BRUTOS'!$A$3:$A$500,$C27,'DADOS BRUTOS'!D$3:D$500)))</f>
        <v>0</v>
      </c>
      <c r="CE27" s="133" t="n">
        <f aca="false">IF(OR(CE$4="",$B27=""),0,SUMIF('DADOS BRUTOS'!$A$3:$A$500,$B27,'DADOS BRUTOS'!E$3:E$500)+IF($C27="",0,SUMIF('DADOS BRUTOS'!$A$3:$A$500,$C27,'DADOS BRUTOS'!E$3:E$500)))</f>
        <v>0</v>
      </c>
      <c r="CF27" s="133" t="n">
        <f aca="false">IF(OR(CF$4="",$B27=""),0,SUMIF('DADOS BRUTOS'!$A$3:$A$500,$B27,'DADOS BRUTOS'!F$3:F$500)+IF($C27="",0,SUMIF('DADOS BRUTOS'!$A$3:$A$500,$C27,'DADOS BRUTOS'!F$3:F$500)))</f>
        <v>0</v>
      </c>
      <c r="CG27" s="133" t="n">
        <f aca="false">IF(OR(CG$4="",$B27=""),0,SUMIF('DADOS BRUTOS'!$A$3:$A$500,$B27,'DADOS BRUTOS'!G$3:G$500)+IF($C27="",0,SUMIF('DADOS BRUTOS'!$A$3:$A$500,$C27,'DADOS BRUTOS'!G$3:G$500)))</f>
        <v>0</v>
      </c>
      <c r="CH27" s="133" t="n">
        <f aca="false">IF(OR(CH$4="",$B27=""),0,SUMIF('DADOS BRUTOS'!$A$3:$A$500,$B27,'DADOS BRUTOS'!H$3:H$500)+IF($C27="",0,SUMIF('DADOS BRUTOS'!$A$3:$A$500,$C27,'DADOS BRUTOS'!H$3:H$500)))</f>
        <v>0</v>
      </c>
      <c r="CI27" s="133" t="n">
        <f aca="false">IF(OR(CI$4="",$B27=""),0,SUMIF('DADOS BRUTOS'!$A$3:$A$500,$B27,'DADOS BRUTOS'!I$3:I$500)+IF($C27="",0,SUMIF('DADOS BRUTOS'!$A$3:$A$500,$C27,'DADOS BRUTOS'!I$3:I$500)))</f>
        <v>0</v>
      </c>
      <c r="CJ27" s="133" t="n">
        <f aca="false">IF(OR(CJ$4="",$B27=""),0,SUMIF('DADOS BRUTOS'!$A$3:$A$500,$B27,'DADOS BRUTOS'!J$3:J$500)+IF($C27="",0,SUMIF('DADOS BRUTOS'!$A$3:$A$500,$C27,'DADOS BRUTOS'!J$3:J$500)))</f>
        <v>0</v>
      </c>
      <c r="CK27" s="133" t="n">
        <f aca="false">IF(OR(CK$4="",$B27=""),0,SUMIF('DADOS BRUTOS'!$A$3:$A$500,$B27,'DADOS BRUTOS'!K$3:K$500)+IF($C27="",0,SUMIF('DADOS BRUTOS'!$A$3:$A$500,$C27,'DADOS BRUTOS'!K$3:K$500)))</f>
        <v>0</v>
      </c>
      <c r="CL27" s="133" t="n">
        <f aca="false">IF(OR(CL$4="",$B27=""),0,SUMIF('DADOS BRUTOS'!$A$3:$A$500,$B27,'DADOS BRUTOS'!L$3:L$500)+IF($C27="",0,SUMIF('DADOS BRUTOS'!$A$3:$A$500,$C27,'DADOS BRUTOS'!L$3:L$500)))</f>
        <v>0</v>
      </c>
      <c r="CM27" s="133" t="n">
        <f aca="false">IF(OR(CM$4="",$B27=""),0,SUMIF('DADOS BRUTOS'!$A$3:$A$500,$B27,'DADOS BRUTOS'!M$3:M$500)+IF($C27="",0,SUMIF('DADOS BRUTOS'!$A$3:$A$500,$C27,'DADOS BRUTOS'!M$3:M$500)))</f>
        <v>0</v>
      </c>
      <c r="CN27" s="133" t="n">
        <f aca="false">IF(OR(CN$4="",$B27=""),0,SUMIF('DADOS BRUTOS'!$A$3:$A$500,$B27,'DADOS BRUTOS'!N$3:N$500)+IF($C27="",0,SUMIF('DADOS BRUTOS'!$A$3:$A$500,$C27,'DADOS BRUTOS'!N$3:N$500)))</f>
        <v>0</v>
      </c>
      <c r="CO27" s="133" t="n">
        <f aca="false">IF(OR(CO$4="",$B27=""),0,SUMIF('DADOS BRUTOS'!$A$3:$A$500,$B27,'DADOS BRUTOS'!O$3:O$500)+IF($C27="",0,SUMIF('DADOS BRUTOS'!$A$3:$A$500,$C27,'DADOS BRUTOS'!O$3:O$500)))</f>
        <v>0</v>
      </c>
      <c r="CP27" s="133" t="n">
        <f aca="false">IF(OR(CP$4="",$B27=""),0,SUMIF('DADOS BRUTOS'!$A$3:$A$500,$B27,'DADOS BRUTOS'!P$3:P$500)+IF($C27="",0,SUMIF('DADOS BRUTOS'!$A$3:$A$500,$C27,'DADOS BRUTOS'!P$3:P$500)))</f>
        <v>0</v>
      </c>
      <c r="CQ27" s="133" t="n">
        <f aca="false">IF(OR(CQ$4="",$B27=""),0,SUMIF('DADOS BRUTOS'!$A$3:$A$500,$B27,'DADOS BRUTOS'!Q$3:Q$500)+IF($C27="",0,SUMIF('DADOS BRUTOS'!$A$3:$A$500,$C27,'DADOS BRUTOS'!Q$3:Q$500)))</f>
        <v>0</v>
      </c>
      <c r="CR27" s="133" t="n">
        <f aca="false">IF(OR(CR$4="",$B27=""),0,SUMIF('DADOS BRUTOS'!$A$3:$A$500,$B27,'DADOS BRUTOS'!R$3:R$500)+IF($C27="",0,SUMIF('DADOS BRUTOS'!$A$3:$A$500,$C27,'DADOS BRUTOS'!R$3:R$500)))</f>
        <v>0</v>
      </c>
      <c r="CS27" s="133" t="n">
        <f aca="false">IF(OR(CS$4="",$B27=""),0,SUMIF('DADOS BRUTOS'!$A$3:$A$500,$B27,'DADOS BRUTOS'!S$3:S$500)+IF($C27="",0,SUMIF('DADOS BRUTOS'!$A$3:$A$500,$C27,'DADOS BRUTOS'!S$3:S$500)))</f>
        <v>0</v>
      </c>
      <c r="CT27" s="133" t="n">
        <f aca="false">IF(OR(CT$4="",$B27=""),0,SUMIF('DADOS BRUTOS'!$A$3:$A$500,$B27,'DADOS BRUTOS'!T$3:T$500)+IF($C27="",0,SUMIF('DADOS BRUTOS'!$A$3:$A$500,$C27,'DADOS BRUTOS'!T$3:T$500)))</f>
        <v>0</v>
      </c>
      <c r="CU27" s="133" t="n">
        <f aca="false">IF(OR(CU$4="",$B27=""),0,SUMIF('DADOS BRUTOS'!$A$3:$A$500,$B27,'DADOS BRUTOS'!U$3:U$500)+IF($C27="",0,SUMIF('DADOS BRUTOS'!$A$3:$A$500,$C27,'DADOS BRUTOS'!U$3:U$500)))</f>
        <v>0</v>
      </c>
      <c r="CV27" s="133" t="n">
        <f aca="false">IF(OR(CV$4="",$B27=""),0,SUMIF('DADOS BRUTOS'!$A$3:$A$500,$B27,'DADOS BRUTOS'!V$3:V$500)+IF($C27="",0,SUMIF('DADOS BRUTOS'!$A$3:$A$500,$C27,'DADOS BRUTOS'!V$3:V$500)))</f>
        <v>0</v>
      </c>
      <c r="CW27" s="133" t="n">
        <f aca="false">IF(OR(CW$4="",$B27=""),0,SUMIF('DADOS BRUTOS'!$A$3:$A$500,$B27,'DADOS BRUTOS'!W$3:W$500)+IF($C27="",0,SUMIF('DADOS BRUTOS'!$A$3:$A$500,$C27,'DADOS BRUTOS'!W$3:W$500)))</f>
        <v>0</v>
      </c>
      <c r="CX27" s="133" t="n">
        <f aca="false">IF(OR(CX$4="",$B27=""),0,SUMIF('DADOS BRUTOS'!$A$3:$A$500,$B27,'DADOS BRUTOS'!X$3:X$500)+IF($C27="",0,SUMIF('DADOS BRUTOS'!$A$3:$A$500,$C27,'DADOS BRUTOS'!X$3:X$500)))</f>
        <v>0</v>
      </c>
      <c r="CY27" s="133" t="n">
        <f aca="false">IF(OR(CY$4="",$B27=""),0,SUMIF('DADOS BRUTOS'!$A$3:$A$500,$B27,'DADOS BRUTOS'!Y$3:Y$500)+IF($C27="",0,SUMIF('DADOS BRUTOS'!$A$3:$A$500,$C27,'DADOS BRUTOS'!Y$3:Y$500)))</f>
        <v>0</v>
      </c>
      <c r="CZ27" s="133" t="n">
        <f aca="false">IF(OR(CZ$4="",$B27=""),0,SUMIF('DADOS BRUTOS'!$A$3:$A$500,$B27,'DADOS BRUTOS'!Z$3:Z$500)+IF($C27="",0,SUMIF('DADOS BRUTOS'!$A$3:$A$500,$C27,'DADOS BRUTOS'!Z$3:Z$500)))</f>
        <v>0</v>
      </c>
      <c r="DA27" s="133" t="n">
        <f aca="false">IF(OR(DA$4="",$B27=""),0,SUMIF('DADOS BRUTOS'!$A$3:$A$500,$B27,'DADOS BRUTOS'!AA$3:AA$500)+IF($C27="",0,SUMIF('DADOS BRUTOS'!$A$3:$A$500,$C27,'DADOS BRUTOS'!AA$3:AA$500)))</f>
        <v>0</v>
      </c>
      <c r="DB27" s="133" t="n">
        <f aca="false">IF(OR(DB$4="",$B27=""),0,SUMIF('DADOS BRUTOS'!$A$3:$A$500,$B27,'DADOS BRUTOS'!AB$3:AB$500)+IF($C27="",0,SUMIF('DADOS BRUTOS'!$A$3:$A$500,$C27,'DADOS BRUTOS'!AB$3:AB$500)))</f>
        <v>0</v>
      </c>
      <c r="DC27" s="133" t="n">
        <f aca="false">IF(OR(DC$4="",$B27=""),0,SUMIF('DADOS BRUTOS'!$A$3:$A$500,$B27,'DADOS BRUTOS'!AC$3:AC$500)+IF($C27="",0,SUMIF('DADOS BRUTOS'!$A$3:$A$500,$C27,'DADOS BRUTOS'!AC$3:AC$500)))</f>
        <v>0</v>
      </c>
      <c r="DD27" s="133" t="n">
        <f aca="false">IF(OR(DD$4="",$B27=""),0,SUMIF('DADOS BRUTOS'!$A$3:$A$500,$B27,'DADOS BRUTOS'!AD$3:AD$500)+IF($C27="",0,SUMIF('DADOS BRUTOS'!$A$3:$A$500,$C27,'DADOS BRUTOS'!AD$3:AD$500)))</f>
        <v>0</v>
      </c>
      <c r="DE27" s="133" t="n">
        <f aca="false">IF(OR(DE$4="",$B27=""),0,SUMIF('DADOS BRUTOS'!$A$3:$A$500,$B27,'DADOS BRUTOS'!AE$3:AE$500)+IF($C27="",0,SUMIF('DADOS BRUTOS'!$A$3:$A$500,$C27,'DADOS BRUTOS'!AE$3:AE$500)))</f>
        <v>0</v>
      </c>
      <c r="DF27" s="133" t="n">
        <f aca="false">IF(OR(DF$4="",$B27=""),0,SUMIF('DADOS BRUTOS'!$A$3:$A$500,$B27,'DADOS BRUTOS'!AF$3:AF$500)+IF($C27="",0,SUMIF('DADOS BRUTOS'!$A$3:$A$500,$C27,'DADOS BRUTOS'!AF$3:AF$500)))</f>
        <v>0</v>
      </c>
      <c r="DG27" s="133" t="n">
        <f aca="false">IF(OR(DG$4="",$B27=""),0,SUMIF('DADOS BRUTOS'!$A$3:$A$500,$B27,'DADOS BRUTOS'!AG$3:AG$500)+IF($C27="",0,SUMIF('DADOS BRUTOS'!$A$3:$A$500,$C27,'DADOS BRUTOS'!AG$3:AG$500)))</f>
        <v>0</v>
      </c>
      <c r="DH27" s="133" t="n">
        <f aca="false">IF(OR(DH$4="",$B27=""),0,SUMIF('DADOS BRUTOS'!$A$3:$A$500,$B27,'DADOS BRUTOS'!AH$3:AH$500)+IF($C27="",0,SUMIF('DADOS BRUTOS'!$A$3:$A$500,$C27,'DADOS BRUTOS'!AH$3:AH$500)))</f>
        <v>0</v>
      </c>
      <c r="DI27" s="133" t="n">
        <f aca="false">IF(OR(DI$4="",$B27=""),0,SUMIF('DADOS BRUTOS'!$A$3:$A$500,$B27,'DADOS BRUTOS'!AI$3:AI$500)+IF($C27="",0,SUMIF('DADOS BRUTOS'!$A$3:$A$500,$C27,'DADOS BRUTOS'!AI$3:AI$500)))</f>
        <v>0</v>
      </c>
      <c r="DJ27" s="133" t="n">
        <f aca="false">IF(OR(DJ$4="",$B27=""),0,SUMIF('DADOS BRUTOS'!$A$3:$A$500,$B27,'DADOS BRUTOS'!AJ$3:AJ$500)+IF($C27="",0,SUMIF('DADOS BRUTOS'!$A$3:$A$500,$C27,'DADOS BRUTOS'!AJ$3:AJ$500)))</f>
        <v>0</v>
      </c>
      <c r="DK27" s="133" t="n">
        <f aca="false">IF(OR(DK$4="",$B27=""),0,SUMIF('DADOS BRUTOS'!$A$3:$A$500,$B27,'DADOS BRUTOS'!AK$3:AK$500)+IF($C27="",0,SUMIF('DADOS BRUTOS'!$A$3:$A$500,$C27,'DADOS BRUTOS'!AK$3:AK$500)))</f>
        <v>0</v>
      </c>
      <c r="DL27" s="133" t="n">
        <f aca="false">IF(OR(DL$4="",$B27=""),0,SUMIF('DADOS BRUTOS'!$A$3:$A$500,$B27,'DADOS BRUTOS'!AL$3:AL$500)+IF($C27="",0,SUMIF('DADOS BRUTOS'!$A$3:$A$500,$C27,'DADOS BRUTOS'!AL$3:AL$500)))</f>
        <v>0</v>
      </c>
      <c r="DM27" s="133" t="n">
        <f aca="false">IF(OR(DM$4="",$B27=""),0,SUMIF('DADOS BRUTOS'!$A$3:$A$500,$B27,'DADOS BRUTOS'!AM$3:AM$500)+IF($C27="",0,SUMIF('DADOS BRUTOS'!$A$3:$A$500,$C27,'DADOS BRUTOS'!AM$3:AM$500)))</f>
        <v>0</v>
      </c>
      <c r="DN27" s="133" t="n">
        <f aca="false">IF(OR(DN$4="",$B27=""),0,SUMIF('DADOS BRUTOS'!$A$3:$A$500,$B27,'DADOS BRUTOS'!AN$3:AN$500)+IF($C27="",0,SUMIF('DADOS BRUTOS'!$A$3:$A$500,$C27,'DADOS BRUTOS'!AN$3:AN$500)))</f>
        <v>0</v>
      </c>
      <c r="DO27" s="133" t="n">
        <f aca="false">IF(OR(DO$4="",$B27=""),0,SUMIF('DADOS BRUTOS'!$A$3:$A$500,$B27,'DADOS BRUTOS'!AO$3:AO$500)+IF($C27="",0,SUMIF('DADOS BRUTOS'!$A$3:$A$500,$C27,'DADOS BRUTOS'!AO$3:AO$500)))</f>
        <v>0</v>
      </c>
      <c r="DP27" s="133" t="n">
        <f aca="false">IF(OR(DP$4="",$B27=""),0,SUMIF('DADOS BRUTOS'!$A$3:$A$500,$B27,'DADOS BRUTOS'!AP$3:AP$500)+IF($C27="",0,SUMIF('DADOS BRUTOS'!$A$3:$A$500,$C27,'DADOS BRUTOS'!AP$3:AP$500)))</f>
        <v>0</v>
      </c>
      <c r="DQ27" s="133" t="n">
        <f aca="false">IF(OR(DQ$4="",$B27=""),0,SUMIF('DADOS BRUTOS'!$A$3:$A$500,$B27,'DADOS BRUTOS'!AQ$3:AQ$500)+IF($C27="",0,SUMIF('DADOS BRUTOS'!$A$3:$A$500,$C27,'DADOS BRUTOS'!AQ$3:AQ$500)))</f>
        <v>0</v>
      </c>
      <c r="DR27" s="133" t="n">
        <f aca="false">IF(OR(DR$4="",$B27=""),0,SUMIF('DADOS BRUTOS'!$A$3:$A$500,$B27,'DADOS BRUTOS'!AR$3:AR$500)+IF($C27="",0,SUMIF('DADOS BRUTOS'!$A$3:$A$500,$C27,'DADOS BRUTOS'!AR$3:AR$500)))</f>
        <v>0</v>
      </c>
      <c r="DS27" s="133" t="n">
        <f aca="false">IF(OR(DS$4="",$B27=""),0,SUMIF('DADOS BRUTOS'!$A$3:$A$500,$B27,'DADOS BRUTOS'!AS$3:AS$500)+IF($C27="",0,SUMIF('DADOS BRUTOS'!$A$3:$A$500,$C27,'DADOS BRUTOS'!AS$3:AS$500)))</f>
        <v>0</v>
      </c>
      <c r="DT27" s="133" t="n">
        <f aca="false">IF(OR(DT$4="",$B27=""),0,SUMIF('DADOS BRUTOS'!$A$3:$A$500,$B27,'DADOS BRUTOS'!AT$3:AT$500)+IF($C27="",0,SUMIF('DADOS BRUTOS'!$A$3:$A$500,$C27,'DADOS BRUTOS'!AT$3:AT$500)))</f>
        <v>0</v>
      </c>
      <c r="DU27" s="133" t="n">
        <f aca="false">IF(OR(DU$4="",$B27=""),0,SUMIF('DADOS BRUTOS'!$A$3:$A$500,$B27,'DADOS BRUTOS'!AU$3:AU$500)+IF($C27="",0,SUMIF('DADOS BRUTOS'!$A$3:$A$500,$C27,'DADOS BRUTOS'!AU$3:AU$500)))</f>
        <v>0</v>
      </c>
      <c r="DV27" s="133" t="n">
        <f aca="false">IF(OR(DV$4="",$B27=""),0,SUMIF('DADOS BRUTOS'!$A$3:$A$500,$B27,'DADOS BRUTOS'!AV$3:AV$500)+IF($C27="",0,SUMIF('DADOS BRUTOS'!$A$3:$A$500,$C27,'DADOS BRUTOS'!AV$3:AV$500)))</f>
        <v>0</v>
      </c>
      <c r="DW27" s="133" t="n">
        <f aca="false">IF(OR(DW$4="",$B27=""),0,SUMIF('DADOS BRUTOS'!$A$3:$A$500,$B27,'DADOS BRUTOS'!AW$3:AW$500)+IF($C27="",0,SUMIF('DADOS BRUTOS'!$A$3:$A$500,$C27,'DADOS BRUTOS'!AW$3:AW$500)))</f>
        <v>0</v>
      </c>
      <c r="DX27" s="133" t="n">
        <f aca="false">IF(OR(DX$4="",$B27=""),0,SUMIF('DADOS BRUTOS'!$A$3:$A$500,$B27,'DADOS BRUTOS'!AX$3:AX$500)+IF($C27="",0,SUMIF('DADOS BRUTOS'!$A$3:$A$500,$C27,'DADOS BRUTOS'!AX$3:AX$500)))</f>
        <v>0</v>
      </c>
      <c r="DY27" s="133" t="n">
        <f aca="false">IF(OR(DY$4="",$B27=""),0,SUMIF('DADOS BRUTOS'!$A$3:$A$500,$B27,'DADOS BRUTOS'!AY$3:AY$500)+IF($C27="",0,SUMIF('DADOS BRUTOS'!$A$3:$A$500,$C27,'DADOS BRUTOS'!AY$3:AY$500)))</f>
        <v>0</v>
      </c>
      <c r="DZ27" s="133" t="n">
        <f aca="false">IF(OR(DZ$4="",$B27=""),0,SUMIF('DADOS BRUTOS'!$A$3:$A$500,$B27,'DADOS BRUTOS'!AZ$3:AZ$500)+IF($C27="",0,SUMIF('DADOS BRUTOS'!$A$3:$A$500,$C27,'DADOS BRUTOS'!AZ$3:AZ$500)))</f>
        <v>0</v>
      </c>
      <c r="EA27" s="133" t="n">
        <f aca="false">IF(OR(EA$4="",$B27=""),0,SUMIF('DADOS BRUTOS'!$A$3:$A$500,$B27,'DADOS BRUTOS'!BA$3:BA$500)+IF($C27="",0,SUMIF('DADOS BRUTOS'!$A$3:$A$500,$C27,'DADOS BRUTOS'!BA$3:BA$500)))</f>
        <v>0</v>
      </c>
      <c r="EB27" s="133" t="n">
        <f aca="false">IF(OR(EB$4="",$B27=""),0,SUMIF('DADOS BRUTOS'!$A$3:$A$500,$B27,'DADOS BRUTOS'!BB$3:BB$500)+IF($C27="",0,SUMIF('DADOS BRUTOS'!$A$3:$A$500,$C27,'DADOS BRUTOS'!BB$3:BB$500)))</f>
        <v>0</v>
      </c>
      <c r="EC27" s="133" t="n">
        <f aca="false">IF(OR(EC$4="",$B27=""),0,SUMIF('DADOS BRUTOS'!$A$3:$A$500,$B27,'DADOS BRUTOS'!BC$3:BC$500)+IF($C27="",0,SUMIF('DADOS BRUTOS'!$A$3:$A$500,$C27,'DADOS BRUTOS'!BC$3:BC$500)))</f>
        <v>0</v>
      </c>
      <c r="ED27" s="133" t="n">
        <f aca="false">IF(OR(ED$4="",$B27=""),0,SUMIF('DADOS BRUTOS'!$A$3:$A$500,$B27,'DADOS BRUTOS'!BD$3:BD$500)+IF($C27="",0,SUMIF('DADOS BRUTOS'!$A$3:$A$500,$C27,'DADOS BRUTOS'!BD$3:BD$500)))</f>
        <v>0</v>
      </c>
      <c r="EE27" s="133" t="n">
        <f aca="false">IF(OR(EE$4="",$B27=""),0,SUMIF('DADOS BRUTOS'!$A$3:$A$500,$B27,'DADOS BRUTOS'!BE$3:BE$500)+IF($C27="",0,SUMIF('DADOS BRUTOS'!$A$3:$A$500,$C27,'DADOS BRUTOS'!BE$3:BE$500)))</f>
        <v>0</v>
      </c>
      <c r="EF27" s="133" t="n">
        <f aca="false">IF(OR(EF$4="",$B27=""),0,SUMIF('DADOS BRUTOS'!$A$3:$A$500,$B27,'DADOS BRUTOS'!BF$3:BF$500)+IF($C27="",0,SUMIF('DADOS BRUTOS'!$A$3:$A$500,$C27,'DADOS BRUTOS'!BF$3:BF$500)))</f>
        <v>0</v>
      </c>
      <c r="EG27" s="133" t="n">
        <f aca="false">IF(OR(EG$4="",$B27=""),0,SUMIF('DADOS BRUTOS'!$A$3:$A$500,$B27,'DADOS BRUTOS'!BG$3:BG$500)+IF($C27="",0,SUMIF('DADOS BRUTOS'!$A$3:$A$500,$C27,'DADOS BRUTOS'!BG$3:BG$500)))</f>
        <v>0</v>
      </c>
      <c r="EH27" s="133" t="n">
        <f aca="false">IF(OR(EH$4="",$B27=""),0,SUMIF('DADOS BRUTOS'!$A$3:$A$500,$B27,'DADOS BRUTOS'!BH$3:BH$500)+IF($C27="",0,SUMIF('DADOS BRUTOS'!$A$3:$A$500,$C27,'DADOS BRUTOS'!BH$3:BH$500)))</f>
        <v>0</v>
      </c>
      <c r="EI27" s="133" t="n">
        <f aca="false">IF(OR(EI$4="",$B27=""),0,SUMIF('DADOS BRUTOS'!$A$3:$A$500,$B27,'DADOS BRUTOS'!BI$3:BI$500)+IF($C27="",0,SUMIF('DADOS BRUTOS'!$A$3:$A$500,$C27,'DADOS BRUTOS'!BI$3:BI$500)))</f>
        <v>0</v>
      </c>
      <c r="EJ27" s="133" t="n">
        <f aca="false">IF(OR(EJ$4="",$B27=""),0,SUMIF('DADOS BRUTOS'!$A$3:$A$500,$B27,'DADOS BRUTOS'!BJ$3:BJ$500)+IF($C27="",0,SUMIF('DADOS BRUTOS'!$A$3:$A$500,$C27,'DADOS BRUTOS'!BJ$3:BJ$500)))</f>
        <v>0</v>
      </c>
      <c r="EK27" s="133" t="n">
        <f aca="false">IF(OR(EK$4="",$B27=""),0,SUMIF('DADOS BRUTOS'!$A$3:$A$500,$B27,'DADOS BRUTOS'!BK$3:BK$500)+IF($C27="",0,SUMIF('DADOS BRUTOS'!$A$3:$A$500,$C27,'DADOS BRUTOS'!BK$3:BK$500)))</f>
        <v>0</v>
      </c>
      <c r="EL27" s="133" t="n">
        <f aca="false">IF(OR(EL$4="",$B27=""),0,SUMIF('DADOS BRUTOS'!$A$3:$A$500,$B27,'DADOS BRUTOS'!BL$3:BL$500)+IF($C27="",0,SUMIF('DADOS BRUTOS'!$A$3:$A$500,$C27,'DADOS BRUTOS'!BL$3:BL$500)))</f>
        <v>0</v>
      </c>
      <c r="EM27" s="133" t="n">
        <f aca="false">IF(OR(EM$4="",$B27=""),0,SUMIF('DADOS BRUTOS'!$A$3:$A$500,$B27,'DADOS BRUTOS'!BM$3:BM$500)+IF($C27="",0,SUMIF('DADOS BRUTOS'!$A$3:$A$500,$C27,'DADOS BRUTOS'!BM$3:BM$500)))</f>
        <v>0</v>
      </c>
      <c r="EN27" s="133" t="n">
        <f aca="false">IF(OR(EN$4="",$B27=""),0,SUMIF('DADOS BRUTOS'!$A$3:$A$500,$B27,'DADOS BRUTOS'!BN$3:BN$500)+IF($C27="",0,SUMIF('DADOS BRUTOS'!$A$3:$A$500,$C27,'DADOS BRUTOS'!BN$3:BN$500)))</f>
        <v>0</v>
      </c>
      <c r="EO27" s="133" t="n">
        <f aca="false">IF(OR(EO$4="",$B27=""),0,SUMIF('DADOS BRUTOS'!$A$3:$A$500,$B27,'DADOS BRUTOS'!BO$3:BO$500)+IF($C27="",0,SUMIF('DADOS BRUTOS'!$A$3:$A$500,$C27,'DADOS BRUTOS'!BO$3:BO$500)))</f>
        <v>0</v>
      </c>
      <c r="EP27" s="133" t="n">
        <f aca="false">IF(OR(EP$4="",$B27=""),0,SUMIF('DADOS BRUTOS'!$A$3:$A$500,$B27,'DADOS BRUTOS'!BP$3:BP$500)+IF($C27="",0,SUMIF('DADOS BRUTOS'!$A$3:$A$500,$C27,'DADOS BRUTOS'!BP$3:BP$500)))</f>
        <v>0</v>
      </c>
      <c r="EQ27" s="133" t="n">
        <f aca="false">IF(OR(EQ$4="",$B27=""),0,SUMIF('DADOS BRUTOS'!$A$3:$A$500,$B27,'DADOS BRUTOS'!BQ$3:BQ$500)+IF($C27="",0,SUMIF('DADOS BRUTOS'!$A$3:$A$500,$C27,'DADOS BRUTOS'!BQ$3:BQ$500)))</f>
        <v>0</v>
      </c>
      <c r="ER27" s="133" t="n">
        <f aca="false">IF(OR(ER$4="",$B27=""),0,SUMIF('DADOS BRUTOS'!$A$3:$A$500,$B27,'DADOS BRUTOS'!BR$3:BR$500)+IF($C27="",0,SUMIF('DADOS BRUTOS'!$A$3:$A$500,$C27,'DADOS BRUTOS'!BR$3:BR$500)))</f>
        <v>0</v>
      </c>
      <c r="ES27" s="133" t="n">
        <f aca="false">IF(OR(ES$4="",$B27=""),0,SUMIF('DADOS BRUTOS'!$A$3:$A$500,$B27,'DADOS BRUTOS'!BS$3:BS$500)+IF($C27="",0,SUMIF('DADOS BRUTOS'!$A$3:$A$500,$C27,'DADOS BRUTOS'!BS$3:BS$500)))</f>
        <v>0</v>
      </c>
      <c r="ET27" s="133" t="n">
        <f aca="false">IF(OR(ET$4="",$B27=""),0,SUMIF('DADOS BRUTOS'!$A$3:$A$500,$B27,'DADOS BRUTOS'!BT$3:BT$500)+IF($C27="",0,SUMIF('DADOS BRUTOS'!$A$3:$A$500,$C27,'DADOS BRUTOS'!BT$3:BT$500)))</f>
        <v>0</v>
      </c>
      <c r="EU27" s="133" t="n">
        <f aca="false">IF(OR(EU$4="",$B27=""),0,SUMIF('DADOS BRUTOS'!$A$3:$A$500,$B27,'DADOS BRUTOS'!BU$3:BU$500)+IF($C27="",0,SUMIF('DADOS BRUTOS'!$A$3:$A$500,$C27,'DADOS BRUTOS'!BU$3:BU$500)))</f>
        <v>0</v>
      </c>
      <c r="EV27" s="133" t="n">
        <f aca="false">IF(OR(EV$4="",$B27=""),0,SUMIF('DADOS BRUTOS'!$A$3:$A$500,$B27,'DADOS BRUTOS'!BV$3:BV$500)+IF($C27="",0,SUMIF('DADOS BRUTOS'!$A$3:$A$500,$C27,'DADOS BRUTOS'!BV$3:BV$500)))</f>
        <v>0</v>
      </c>
      <c r="EW27" s="133" t="n">
        <f aca="false">IF(OR(EW$4="",$B27=""),0,SUMIF('DADOS BRUTOS'!$A$3:$A$500,$B27,'DADOS BRUTOS'!BW$3:BW$500)+IF($C27="",0,SUMIF('DADOS BRUTOS'!$A$3:$A$500,$C27,'DADOS BRUTOS'!BW$3:BW$500)))</f>
        <v>0</v>
      </c>
      <c r="EX27" s="133" t="n">
        <f aca="false">IF(OR(EX$4="",$B27=""),0,SUMIF('DADOS BRUTOS'!$A$3:$A$500,$B27,'DADOS BRUTOS'!BX$3:BX$500)+IF($C27="",0,SUMIF('DADOS BRUTOS'!$A$3:$A$500,$C27,'DADOS BRUTOS'!BX$3:BX$500)))</f>
        <v>0</v>
      </c>
      <c r="EY27" s="133" t="n">
        <f aca="false">IF(OR(EY$4="",$B27=""),0,SUMIF('DADOS BRUTOS'!$A$3:$A$500,$B27,'DADOS BRUTOS'!BY$3:BY$500)+IF($C27="",0,SUMIF('DADOS BRUTOS'!$A$3:$A$500,$C27,'DADOS BRUTOS'!BY$3:BY$500)))</f>
        <v>0</v>
      </c>
      <c r="EZ27" s="133" t="n">
        <f aca="false">IF(OR(EZ$4="",$B27=""),0,SUMIF('DADOS BRUTOS'!$A$3:$A$500,$B27,'DADOS BRUTOS'!BZ$3:BZ$500)+IF($C27="",0,SUMIF('DADOS BRUTOS'!$A$3:$A$500,$C27,'DADOS BRUTOS'!BZ$3:BZ$500)))</f>
        <v>0</v>
      </c>
      <c r="FA27" s="133" t="n">
        <f aca="false">IF(OR(FA$4="",$B27=""),0,SUMIF('DADOS BRUTOS'!$A$3:$A$500,$B27,'DADOS BRUTOS'!CA$3:CA$500)+IF($C27="",0,SUMIF('DADOS BRUTOS'!$A$3:$A$500,$C27,'DADOS BRUTOS'!CA$3:CA$500)))</f>
        <v>0</v>
      </c>
      <c r="FB27" s="133" t="n">
        <f aca="false">IF(OR(FB$4="",$B27=""),0,SUMIF('DADOS BRUTOS'!$A$3:$A$500,$B27,'DADOS BRUTOS'!CB$3:CB$500)+IF($C27="",0,SUMIF('DADOS BRUTOS'!$A$3:$A$500,$C27,'DADOS BRUTOS'!CB$3:CB$500)))</f>
        <v>0</v>
      </c>
      <c r="FC27" s="133" t="n">
        <f aca="false">IF(OR(FC$4="",$B27=""),0,SUMIF('DADOS BRUTOS'!$A$3:$A$500,$B27,'DADOS BRUTOS'!CC$3:CC$500)+IF($C27="",0,SUMIF('DADOS BRUTOS'!$A$3:$A$500,$C27,'DADOS BRUTOS'!CC$3:CC$500)))</f>
        <v>0</v>
      </c>
      <c r="FD27" s="133" t="n">
        <f aca="false">IF(OR(FD$4="",$B27=""),0,SUMIF('DADOS BRUTOS'!$A$3:$A$500,$B27,'DADOS BRUTOS'!CD$3:CD$500)+IF($C27="",0,SUMIF('DADOS BRUTOS'!$A$3:$A$500,$C27,'DADOS BRUTOS'!CD$3:CD$500)))</f>
        <v>0</v>
      </c>
      <c r="FE27" s="133" t="n">
        <f aca="false">IF(OR(FE$4="",$B27=""),0,SUMIF('DADOS BRUTOS'!$A$3:$A$500,$B27,'DADOS BRUTOS'!CE$3:CE$500)+IF($C27="",0,SUMIF('DADOS BRUTOS'!$A$3:$A$500,$C27,'DADOS BRUTOS'!CE$3:CE$500)))</f>
        <v>0</v>
      </c>
      <c r="FF27" s="133" t="n">
        <f aca="false">IF(OR(FF$4="",$B27=""),0,SUMIF('DADOS BRUTOS'!$A$3:$A$500,$B27,'DADOS BRUTOS'!CF$3:CF$500)+IF($C27="",0,SUMIF('DADOS BRUTOS'!$A$3:$A$500,$C27,'DADOS BRUTOS'!CF$3:CF$500)))</f>
        <v>0</v>
      </c>
      <c r="FG27" s="133" t="n">
        <f aca="false">IF(OR(FG$4="",$B27=""),0,SUMIF('DADOS BRUTOS'!$A$3:$A$500,$B27,'DADOS BRUTOS'!CG$3:CG$500)+IF($C27="",0,SUMIF('DADOS BRUTOS'!$A$3:$A$500,$C27,'DADOS BRUTOS'!CG$3:CG$500)))</f>
        <v>0</v>
      </c>
      <c r="FH27" s="133" t="n">
        <f aca="false">IF(OR(FH$4="",$B27=""),0,SUMIF('DADOS BRUTOS'!$A$3:$A$500,$B27,'DADOS BRUTOS'!CH$3:CH$500)+IF($C27="",0,SUMIF('DADOS BRUTOS'!$A$3:$A$500,$C27,'DADOS BRUTOS'!CH$3:CH$500)))</f>
        <v>0</v>
      </c>
      <c r="FI27" s="133" t="n">
        <f aca="false">IF(OR(FI$4="",$B27=""),0,SUMIF('DADOS BRUTOS'!$A$3:$A$500,$B27,'DADOS BRUTOS'!CI$3:CI$500)+IF($C27="",0,SUMIF('DADOS BRUTOS'!$A$3:$A$500,$C27,'DADOS BRUTOS'!CI$3:CI$500)))</f>
        <v>0</v>
      </c>
      <c r="FJ27" s="133" t="n">
        <f aca="false">IF(OR(FJ$4="",$B27=""),0,SUMIF('DADOS BRUTOS'!$A$3:$A$500,$B27,'DADOS BRUTOS'!CJ$3:CJ$500)+IF($C27="",0,SUMIF('DADOS BRUTOS'!$A$3:$A$500,$C27,'DADOS BRUTOS'!CJ$3:CJ$500)))</f>
        <v>0</v>
      </c>
      <c r="FK27" s="133" t="n">
        <f aca="false">IF(OR(FK$4="",$B27=""),0,SUMIF('DADOS BRUTOS'!$A$3:$A$500,$B27,'DADOS BRUTOS'!CK$3:CK$500)+IF($C27="",0,SUMIF('DADOS BRUTOS'!$A$3:$A$500,$C27,'DADOS BRUTOS'!CK$3:CK$500)))</f>
        <v>0</v>
      </c>
      <c r="FL27" s="133" t="n">
        <f aca="false">IF(OR(FL$4="",$B27=""),0,SUMIF('DADOS BRUTOS'!$A$3:$A$500,$B27,'DADOS BRUTOS'!CL$3:CL$500)+IF($C27="",0,SUMIF('DADOS BRUTOS'!$A$3:$A$500,$C27,'DADOS BRUTOS'!CL$3:CL$500)))</f>
        <v>0</v>
      </c>
      <c r="FM27" s="133" t="n">
        <f aca="false">IF(OR(FM$4="",$B27=""),0,SUMIF('DADOS BRUTOS'!$A$3:$A$500,$B27,'DADOS BRUTOS'!CM$3:CM$500)+IF($C27="",0,SUMIF('DADOS BRUTOS'!$A$3:$A$500,$C27,'DADOS BRUTOS'!CM$3:CM$500)))</f>
        <v>0</v>
      </c>
      <c r="FN27" s="133" t="n">
        <f aca="false">IF(OR(FN$4="",$B27=""),0,SUMIF('DADOS BRUTOS'!$A$3:$A$500,$B27,'DADOS BRUTOS'!CN$3:CN$500)+IF($C27="",0,SUMIF('DADOS BRUTOS'!$A$3:$A$500,$C27,'DADOS BRUTOS'!CN$3:CN$500)))</f>
        <v>0</v>
      </c>
      <c r="FO27" s="133" t="n">
        <f aca="false">IF(OR(FO$4="",$B27=""),0,SUMIF('DADOS BRUTOS'!$A$3:$A$500,$B27,'DADOS BRUTOS'!CO$3:CO$500)+IF($C27="",0,SUMIF('DADOS BRUTOS'!$A$3:$A$500,$C27,'DADOS BRUTOS'!CO$3:CO$500)))</f>
        <v>0</v>
      </c>
      <c r="FP27" s="133" t="n">
        <f aca="false">IF(OR(FP$4="",$B27=""),0,SUMIF('DADOS BRUTOS'!$A$3:$A$500,$B27,'DADOS BRUTOS'!CP$3:CP$500)+IF($C27="",0,SUMIF('DADOS BRUTOS'!$A$3:$A$500,$C27,'DADOS BRUTOS'!CP$3:CP$500)))</f>
        <v>0</v>
      </c>
      <c r="FQ27" s="133" t="n">
        <f aca="false">IF(OR(FQ$4="",$B27=""),0,SUMIF('DADOS BRUTOS'!$A$3:$A$500,$B27,'DADOS BRUTOS'!CQ$3:CQ$500)+IF($C27="",0,SUMIF('DADOS BRUTOS'!$A$3:$A$500,$C27,'DADOS BRUTOS'!CQ$3:CQ$500)))</f>
        <v>0</v>
      </c>
      <c r="FR27" s="133" t="n">
        <f aca="false">IF(OR(FR$4="",$B27=""),0,SUMIF('DADOS BRUTOS'!$A$3:$A$500,$B27,'DADOS BRUTOS'!CR$3:CR$500)+IF($C27="",0,SUMIF('DADOS BRUTOS'!$A$3:$A$500,$C27,'DADOS BRUTOS'!CR$3:CR$500)))</f>
        <v>0</v>
      </c>
      <c r="FS27" s="133" t="n">
        <f aca="false">IF(OR(FS$4="",$B27=""),0,SUMIF('DADOS BRUTOS'!$A$3:$A$500,$B27,'DADOS BRUTOS'!CS$3:CS$500)+IF($C27="",0,SUMIF('DADOS BRUTOS'!$A$3:$A$500,$C27,'DADOS BRUTOS'!CS$3:CS$500)))</f>
        <v>0</v>
      </c>
      <c r="FT27" s="133" t="n">
        <f aca="false">IF(OR(FT$4="",$B27=""),0,SUMIF('DADOS BRUTOS'!$A$3:$A$500,$B27,'DADOS BRUTOS'!CT$3:CT$500)+IF($C27="",0,SUMIF('DADOS BRUTOS'!$A$3:$A$500,$C27,'DADOS BRUTOS'!CT$3:CT$500)))</f>
        <v>0</v>
      </c>
      <c r="FU27" s="133" t="n">
        <f aca="false">IF(OR(FU$4="",$B27=""),0,SUMIF('DADOS BRUTOS'!$A$3:$A$500,$B27,'DADOS BRUTOS'!CU$3:CU$500)+IF($C27="",0,SUMIF('DADOS BRUTOS'!$A$3:$A$500,$C27,'DADOS BRUTOS'!CU$3:CU$500)))</f>
        <v>0</v>
      </c>
      <c r="FV27" s="133" t="n">
        <f aca="false">IF(OR(FV$4="",$B27=""),0,SUMIF('DADOS BRUTOS'!$A$3:$A$500,$B27,'DADOS BRUTOS'!CV$3:CV$500)+IF($C27="",0,SUMIF('DADOS BRUTOS'!$A$3:$A$500,$C27,'DADOS BRUTOS'!CV$3:CV$500)))</f>
        <v>0</v>
      </c>
      <c r="FW27" s="133" t="n">
        <f aca="false">IF(OR(FW$4="",$B27=""),0,SUMIF('DADOS BRUTOS'!$A$3:$A$500,$B27,'DADOS BRUTOS'!CW$3:CW$500)+IF($C27="",0,SUMIF('DADOS BRUTOS'!$A$3:$A$500,$C27,'DADOS BRUTOS'!CW$3:CW$500)))</f>
        <v>0</v>
      </c>
      <c r="FX27" s="133" t="n">
        <f aca="false">IF(OR(FX$4="",$B27=""),0,SUMIF('DADOS BRUTOS'!$A$3:$A$500,$B27,'DADOS BRUTOS'!CX$3:CX$500)+IF($C27="",0,SUMIF('DADOS BRUTOS'!$A$3:$A$500,$C27,'DADOS BRUTOS'!CX$3:CX$500)))</f>
        <v>0</v>
      </c>
      <c r="FY27" s="133" t="n">
        <f aca="false">IF(OR(FY$4="",$B27=""),0,SUMIF('DADOS BRUTOS'!$A$3:$A$500,$B27,'DADOS BRUTOS'!CY$3:CY$500)+IF($C27="",0,SUMIF('DADOS BRUTOS'!$A$3:$A$500,$C27,'DADOS BRUTOS'!CY$3:CY$500)))</f>
        <v>0</v>
      </c>
      <c r="FZ27" s="133" t="n">
        <f aca="false">IF(OR(FZ$4="",$B27=""),0,SUMIF('DADOS BRUTOS'!$A$3:$A$500,$B27,'DADOS BRUTOS'!CZ$3:CZ$500)+IF($C27="",0,SUMIF('DADOS BRUTOS'!$A$3:$A$500,$C27,'DADOS BRUTOS'!CZ$3:CZ$500)))</f>
        <v>0</v>
      </c>
      <c r="GA27" s="133" t="n">
        <f aca="false">IF(OR(GA$4="",$B27=""),0,SUMIF('DADOS BRUTOS'!$A$3:$A$500,$B27,'DADOS BRUTOS'!DA$3:DA$500)+IF($C27="",0,SUMIF('DADOS BRUTOS'!$A$3:$A$500,$C27,'DADOS BRUTOS'!DA$3:DA$500)))</f>
        <v>0</v>
      </c>
      <c r="GB27" s="133" t="n">
        <f aca="false">IF(OR(GB$4="",$B27=""),0,SUMIF('DADOS BRUTOS'!$A$3:$A$500,$B27,'DADOS BRUTOS'!DB$3:DB$500)+IF($C27="",0,SUMIF('DADOS BRUTOS'!$A$3:$A$500,$C27,'DADOS BRUTOS'!DB$3:DB$500)))</f>
        <v>0</v>
      </c>
      <c r="GC27" s="133" t="n">
        <f aca="false">IF(OR(GC$4="",$B27=""),0,SUMIF('DADOS BRUTOS'!$A$3:$A$500,$B27,'DADOS BRUTOS'!DC$3:DC$500)+IF($C27="",0,SUMIF('DADOS BRUTOS'!$A$3:$A$500,$C27,'DADOS BRUTOS'!DC$3:DC$500)))</f>
        <v>0</v>
      </c>
      <c r="GD27" s="133" t="n">
        <f aca="false">IF(OR(GD$4="",$B27=""),0,SUMIF('DADOS BRUTOS'!$A$3:$A$500,$B27,'DADOS BRUTOS'!DD$3:DD$500)+IF($C27="",0,SUMIF('DADOS BRUTOS'!$A$3:$A$500,$C27,'DADOS BRUTOS'!DD$3:DD$500)))</f>
        <v>0</v>
      </c>
      <c r="GE27" s="133" t="n">
        <f aca="false">IF(OR(GE$4="",$B27=""),0,SUMIF('DADOS BRUTOS'!$A$3:$A$500,$B27,'DADOS BRUTOS'!DE$3:DE$500)+IF($C27="",0,SUMIF('DADOS BRUTOS'!$A$3:$A$500,$C27,'DADOS BRUTOS'!DE$3:DE$500)))</f>
        <v>0</v>
      </c>
      <c r="GF27" s="133" t="n">
        <f aca="false">IF(OR(GF$4="",$B27=""),0,SUMIF('DADOS BRUTOS'!$A$3:$A$500,$B27,'DADOS BRUTOS'!DF$3:DF$500)+IF($C27="",0,SUMIF('DADOS BRUTOS'!$A$3:$A$500,$C27,'DADOS BRUTOS'!DF$3:DF$500)))</f>
        <v>0</v>
      </c>
      <c r="GG27" s="133" t="n">
        <f aca="false">IF(OR(GG$4="",$B27=""),0,SUMIF('DADOS BRUTOS'!$A$3:$A$500,$B27,'DADOS BRUTOS'!DG$3:DG$500)+IF($C27="",0,SUMIF('DADOS BRUTOS'!$A$3:$A$500,$C27,'DADOS BRUTOS'!DG$3:DG$500)))</f>
        <v>0</v>
      </c>
      <c r="GH27" s="133" t="n">
        <f aca="false">IF(OR(GH$4="",$B27=""),0,SUMIF('DADOS BRUTOS'!$A$3:$A$500,$B27,'DADOS BRUTOS'!DH$3:DH$500)+IF($C27="",0,SUMIF('DADOS BRUTOS'!$A$3:$A$500,$C27,'DADOS BRUTOS'!DH$3:DH$500)))</f>
        <v>0</v>
      </c>
      <c r="GI27" s="133" t="n">
        <f aca="false">IF(OR(GI$4="",$B27=""),0,SUMIF('DADOS BRUTOS'!$A$3:$A$500,$B27,'DADOS BRUTOS'!DI$3:DI$500)+IF($C27="",0,SUMIF('DADOS BRUTOS'!$A$3:$A$500,$C27,'DADOS BRUTOS'!DI$3:DI$500)))</f>
        <v>0</v>
      </c>
      <c r="GJ27" s="133" t="n">
        <f aca="false">IF(OR(GJ$4="",$B27=""),0,SUMIF('DADOS BRUTOS'!$A$3:$A$500,$B27,'DADOS BRUTOS'!DJ$3:DJ$500)+IF($C27="",0,SUMIF('DADOS BRUTOS'!$A$3:$A$500,$C27,'DADOS BRUTOS'!DJ$3:DJ$500)))</f>
        <v>0</v>
      </c>
      <c r="GK27" s="133" t="n">
        <f aca="false">IF(OR(GK$4="",$B27=""),0,SUMIF('DADOS BRUTOS'!$A$3:$A$500,$B27,'DADOS BRUTOS'!DK$3:DK$500)+IF($C27="",0,SUMIF('DADOS BRUTOS'!$A$3:$A$500,$C27,'DADOS BRUTOS'!DK$3:DK$500)))</f>
        <v>0</v>
      </c>
      <c r="GL27" s="133" t="n">
        <f aca="false">IF(OR(GL$4="",$B27=""),0,SUMIF('DADOS BRUTOS'!$A$3:$A$500,$B27,'DADOS BRUTOS'!DL$3:DL$500)+IF($C27="",0,SUMIF('DADOS BRUTOS'!$A$3:$A$500,$C27,'DADOS BRUTOS'!DL$3:DL$500)))</f>
        <v>0</v>
      </c>
      <c r="GM27" s="133" t="n">
        <f aca="false">IF(OR(GM$4="",$B27=""),0,SUMIF('DADOS BRUTOS'!$A$3:$A$500,$B27,'DADOS BRUTOS'!DM$3:DM$500)+IF($C27="",0,SUMIF('DADOS BRUTOS'!$A$3:$A$500,$C27,'DADOS BRUTOS'!DM$3:DM$500)))</f>
        <v>0</v>
      </c>
      <c r="GN27" s="133" t="n">
        <f aca="false">IF(OR(GN$4="",$B27=""),0,SUMIF('DADOS BRUTOS'!$A$3:$A$500,$B27,'DADOS BRUTOS'!DN$3:DN$500)+IF($C27="",0,SUMIF('DADOS BRUTOS'!$A$3:$A$500,$C27,'DADOS BRUTOS'!DN$3:DN$500)))</f>
        <v>0</v>
      </c>
      <c r="GO27" s="133" t="n">
        <f aca="false">IF(OR(GO$4="",$B27=""),0,SUMIF('DADOS BRUTOS'!$A$3:$A$500,$B27,'DADOS BRUTOS'!DO$3:DO$500)+IF($C27="",0,SUMIF('DADOS BRUTOS'!$A$3:$A$500,$C27,'DADOS BRUTOS'!DO$3:DO$500)))</f>
        <v>0</v>
      </c>
      <c r="GP27" s="133" t="n">
        <f aca="false">IF(OR(GP$4="",$B27=""),0,SUMIF('DADOS BRUTOS'!$A$3:$A$500,$B27,'DADOS BRUTOS'!DP$3:DP$500)+IF($C27="",0,SUMIF('DADOS BRUTOS'!$A$3:$A$500,$C27,'DADOS BRUTOS'!DP$3:DP$500)))</f>
        <v>0</v>
      </c>
      <c r="GQ27" s="133" t="n">
        <f aca="false">IF(OR(GQ$4="",$B27=""),0,SUMIF('DADOS BRUTOS'!$A$3:$A$500,$B27,'DADOS BRUTOS'!DQ$3:DQ$500)+IF($C27="",0,SUMIF('DADOS BRUTOS'!$A$3:$A$500,$C27,'DADOS BRUTOS'!DQ$3:DQ$500)))</f>
        <v>0</v>
      </c>
      <c r="GR27" s="133" t="n">
        <f aca="false">IF(OR(GR$4="",$B27=""),0,SUMIF('DADOS BRUTOS'!$A$3:$A$500,$B27,'DADOS BRUTOS'!DR$3:DR$500)+IF($C27="",0,SUMIF('DADOS BRUTOS'!$A$3:$A$500,$C27,'DADOS BRUTOS'!DR$3:DR$500)))</f>
        <v>0</v>
      </c>
      <c r="GS27" s="133" t="n">
        <f aca="false">IF(OR(GS$4="",$B27=""),0,SUMIF('DADOS BRUTOS'!$A$3:$A$500,$B27,'DADOS BRUTOS'!DS$3:DS$500)+IF($C27="",0,SUMIF('DADOS BRUTOS'!$A$3:$A$500,$C27,'DADOS BRUTOS'!DS$3:DS$500)))</f>
        <v>0</v>
      </c>
      <c r="GT27" s="133" t="n">
        <f aca="false">IF(OR(GT$4="",$B27=""),0,SUMIF('DADOS BRUTOS'!$A$3:$A$500,$B27,'DADOS BRUTOS'!DT$3:DT$500)+IF($C27="",0,SUMIF('DADOS BRUTOS'!$A$3:$A$500,$C27,'DADOS BRUTOS'!DT$3:DT$500)))</f>
        <v>0</v>
      </c>
      <c r="GU27" s="133" t="n">
        <f aca="false">IF(OR(GU$4="",$B27=""),0,SUMIF('DADOS BRUTOS'!$A$3:$A$500,$B27,'DADOS BRUTOS'!DU$3:DU$500)+IF($C27="",0,SUMIF('DADOS BRUTOS'!$A$3:$A$500,$C27,'DADOS BRUTOS'!DU$3:DU$500)))</f>
        <v>0</v>
      </c>
      <c r="GV27" s="133" t="n">
        <f aca="false">IF(OR(GV$4="",$B27=""),0,SUMIF('DADOS BRUTOS'!$A$3:$A$500,$B27,'DADOS BRUTOS'!DV$3:DV$500)+IF($C27="",0,SUMIF('DADOS BRUTOS'!$A$3:$A$500,$C27,'DADOS BRUTOS'!DV$3:DV$500)))</f>
        <v>0</v>
      </c>
      <c r="GW27" s="133" t="n">
        <f aca="false">IF(OR(GW$4="",$B27=""),0,SUMIF('DADOS BRUTOS'!$A$3:$A$500,$B27,'DADOS BRUTOS'!DW$3:DW$500)+IF($C27="",0,SUMIF('DADOS BRUTOS'!$A$3:$A$500,$C27,'DADOS BRUTOS'!DW$3:DW$500)))</f>
        <v>0</v>
      </c>
      <c r="GX27" s="133" t="n">
        <f aca="false">IF(OR(GX$4="",$B27=""),0,SUMIF('DADOS BRUTOS'!$A$3:$A$500,$B27,'DADOS BRUTOS'!DX$3:DX$500)+IF($C27="",0,SUMIF('DADOS BRUTOS'!$A$3:$A$500,$C27,'DADOS BRUTOS'!DX$3:DX$500)))</f>
        <v>0</v>
      </c>
      <c r="GY27" s="133" t="n">
        <f aca="false">IF(OR(GY$4="",$B27=""),0,SUMIF('DADOS BRUTOS'!$A$3:$A$500,$B27,'DADOS BRUTOS'!DY$3:DY$500)+IF($C27="",0,SUMIF('DADOS BRUTOS'!$A$3:$A$500,$C27,'DADOS BRUTOS'!DY$3:DY$500)))</f>
        <v>0</v>
      </c>
      <c r="GZ27" s="133" t="n">
        <f aca="false">IF(OR(GZ$4="",$B27=""),0,SUMIF('DADOS BRUTOS'!$A$3:$A$500,$B27,'DADOS BRUTOS'!DZ$3:DZ$500)+IF($C27="",0,SUMIF('DADOS BRUTOS'!$A$3:$A$500,$C27,'DADOS BRUTOS'!DZ$3:DZ$500)))</f>
        <v>0</v>
      </c>
      <c r="HA27" s="133" t="n">
        <f aca="false">IF(OR(HA$4="",$B27=""),0,SUMIF('DADOS BRUTOS'!$A$3:$A$500,$B27,'DADOS BRUTOS'!EA$3:EA$500)+IF($C27="",0,SUMIF('DADOS BRUTOS'!$A$3:$A$500,$C27,'DADOS BRUTOS'!EA$3:EA$500)))</f>
        <v>0</v>
      </c>
      <c r="HB27" s="133" t="n">
        <f aca="false">IF(OR(HB$4="",$B27=""),0,SUMIF('DADOS BRUTOS'!$A$3:$A$500,$B27,'DADOS BRUTOS'!EB$3:EB$500)+IF($C27="",0,SUMIF('DADOS BRUTOS'!$A$3:$A$500,$C27,'DADOS BRUTOS'!EB$3:EB$500)))</f>
        <v>0</v>
      </c>
      <c r="HC27" s="133" t="n">
        <f aca="false">IF(OR(HC$4="",$B27=""),0,SUMIF('DADOS BRUTOS'!$A$3:$A$500,$B27,'DADOS BRUTOS'!EC$3:EC$500)+IF($C27="",0,SUMIF('DADOS BRUTOS'!$A$3:$A$500,$C27,'DADOS BRUTOS'!EC$3:EC$500)))</f>
        <v>0</v>
      </c>
      <c r="HD27" s="133" t="n">
        <f aca="false">IF(OR(HD$4="",$B27=""),0,SUMIF('DADOS BRUTOS'!$A$3:$A$500,$B27,'DADOS BRUTOS'!ED$3:ED$500)+IF($C27="",0,SUMIF('DADOS BRUTOS'!$A$3:$A$500,$C27,'DADOS BRUTOS'!ED$3:ED$500)))</f>
        <v>0</v>
      </c>
      <c r="HE27" s="133" t="n">
        <f aca="false">IF(OR(HE$4="",$B27=""),0,SUMIF('DADOS BRUTOS'!$A$3:$A$500,$B27,'DADOS BRUTOS'!EE$3:EE$500)+IF($C27="",0,SUMIF('DADOS BRUTOS'!$A$3:$A$500,$C27,'DADOS BRUTOS'!EE$3:EE$500)))</f>
        <v>0</v>
      </c>
      <c r="HF27" s="133" t="n">
        <f aca="false">IF(OR(HF$4="",$B27=""),0,SUMIF('DADOS BRUTOS'!$A$3:$A$500,$B27,'DADOS BRUTOS'!EF$3:EF$500)+IF($C27="",0,SUMIF('DADOS BRUTOS'!$A$3:$A$500,$C27,'DADOS BRUTOS'!EF$3:EF$500)))</f>
        <v>0</v>
      </c>
      <c r="HG27" s="133" t="n">
        <f aca="false">IF(OR(HG$4="",$B27=""),0,SUMIF('DADOS BRUTOS'!$A$3:$A$500,$B27,'DADOS BRUTOS'!EG$3:EG$500)+IF($C27="",0,SUMIF('DADOS BRUTOS'!$A$3:$A$500,$C27,'DADOS BRUTOS'!EG$3:EG$500)))</f>
        <v>0</v>
      </c>
      <c r="HH27" s="133" t="n">
        <f aca="false">IF(OR(HH$4="",$B27=""),0,SUMIF('DADOS BRUTOS'!$A$3:$A$500,$B27,'DADOS BRUTOS'!EH$3:EH$500)+IF($C27="",0,SUMIF('DADOS BRUTOS'!$A$3:$A$500,$C27,'DADOS BRUTOS'!EH$3:EH$500)))</f>
        <v>0</v>
      </c>
      <c r="HI27" s="133" t="n">
        <f aca="false">IF(OR(HI$4="",$B27=""),0,SUMIF('DADOS BRUTOS'!$A$3:$A$500,$B27,'DADOS BRUTOS'!EI$3:EI$500)+IF($C27="",0,SUMIF('DADOS BRUTOS'!$A$3:$A$500,$C27,'DADOS BRUTOS'!EI$3:EI$500)))</f>
        <v>0</v>
      </c>
      <c r="HJ27" s="133" t="n">
        <f aca="false">IF(OR(HJ$4="",$B27=""),0,SUMIF('DADOS BRUTOS'!$A$3:$A$500,$B27,'DADOS BRUTOS'!EJ$3:EJ$500)+IF($C27="",0,SUMIF('DADOS BRUTOS'!$A$3:$A$500,$C27,'DADOS BRUTOS'!EJ$3:EJ$500)))</f>
        <v>0</v>
      </c>
      <c r="HK27" s="133" t="n">
        <f aca="false">IF(OR(HK$4="",$B27=""),0,SUMIF('DADOS BRUTOS'!$A$3:$A$500,$B27,'DADOS BRUTOS'!EK$3:EK$500)+IF($C27="",0,SUMIF('DADOS BRUTOS'!$A$3:$A$500,$C27,'DADOS BRUTOS'!EK$3:EK$500)))</f>
        <v>0</v>
      </c>
      <c r="HL27" s="133" t="n">
        <f aca="false">IF(OR(HL$4="",$B27=""),0,SUMIF('DADOS BRUTOS'!$A$3:$A$500,$B27,'DADOS BRUTOS'!EL$3:EL$500)+IF($C27="",0,SUMIF('DADOS BRUTOS'!$A$3:$A$500,$C27,'DADOS BRUTOS'!EL$3:EL$500)))</f>
        <v>0</v>
      </c>
      <c r="HM27" s="133" t="n">
        <f aca="false">IF(OR(HM$4="",$B27=""),0,SUMIF('DADOS BRUTOS'!$A$3:$A$500,$B27,'DADOS BRUTOS'!EM$3:EM$500)+IF($C27="",0,SUMIF('DADOS BRUTOS'!$A$3:$A$500,$C27,'DADOS BRUTOS'!EM$3:EM$500)))</f>
        <v>0</v>
      </c>
      <c r="HN27" s="133" t="n">
        <f aca="false">IF(OR(HN$4="",$B27=""),0,SUMIF('DADOS BRUTOS'!$A$3:$A$500,$B27,'DADOS BRUTOS'!EN$3:EN$500)+IF($C27="",0,SUMIF('DADOS BRUTOS'!$A$3:$A$500,$C27,'DADOS BRUTOS'!EN$3:EN$500)))</f>
        <v>0</v>
      </c>
      <c r="HO27" s="133" t="n">
        <f aca="false">IF(OR(HO$4="",$B27=""),0,SUMIF('DADOS BRUTOS'!$A$3:$A$500,$B27,'DADOS BRUTOS'!EO$3:EO$500)+IF($C27="",0,SUMIF('DADOS BRUTOS'!$A$3:$A$500,$C27,'DADOS BRUTOS'!EO$3:EO$500)))</f>
        <v>0</v>
      </c>
      <c r="HP27" s="133" t="n">
        <f aca="false">IF(OR(HP$4="",$B27=""),0,SUMIF('DADOS BRUTOS'!$A$3:$A$500,$B27,'DADOS BRUTOS'!EP$3:EP$500)+IF($C27="",0,SUMIF('DADOS BRUTOS'!$A$3:$A$500,$C27,'DADOS BRUTOS'!EP$3:EP$500)))</f>
        <v>0</v>
      </c>
      <c r="HQ27" s="133" t="n">
        <f aca="false">IF(OR(HQ$4="",$B27=""),0,SUMIF('DADOS BRUTOS'!$A$3:$A$500,$B27,'DADOS BRUTOS'!EQ$3:EQ$500)+IF($C27="",0,SUMIF('DADOS BRUTOS'!$A$3:$A$500,$C27,'DADOS BRUTOS'!EQ$3:EQ$500)))</f>
        <v>0</v>
      </c>
      <c r="HR27" s="133" t="n">
        <f aca="false">IF(OR(HR$4="",$B27=""),0,SUMIF('DADOS BRUTOS'!$A$3:$A$500,$B27,'DADOS BRUTOS'!ER$3:ER$500)+IF($C27="",0,SUMIF('DADOS BRUTOS'!$A$3:$A$500,$C27,'DADOS BRUTOS'!ER$3:ER$500)))</f>
        <v>0</v>
      </c>
      <c r="HS27" s="133" t="n">
        <f aca="false">IF(OR(HS$4="",$B27=""),0,SUMIF('DADOS BRUTOS'!$A$3:$A$500,$B27,'DADOS BRUTOS'!ES$3:ES$500)+IF($C27="",0,SUMIF('DADOS BRUTOS'!$A$3:$A$500,$C27,'DADOS BRUTOS'!ES$3:ES$500)))</f>
        <v>0</v>
      </c>
      <c r="HT27" s="133" t="n">
        <f aca="false">IF(OR(HT$4="",$B27=""),0,SUMIF('DADOS BRUTOS'!$A$3:$A$500,$B27,'DADOS BRUTOS'!ET$3:ET$500)+IF($C27="",0,SUMIF('DADOS BRUTOS'!$A$3:$A$500,$C27,'DADOS BRUTOS'!ET$3:ET$500)))</f>
        <v>0</v>
      </c>
      <c r="HU27" s="133" t="n">
        <f aca="false">IF(OR(HU$4="",$B27=""),0,SUMIF('DADOS BRUTOS'!$A$3:$A$500,$B27,'DADOS BRUTOS'!EU$3:EU$500)+IF($C27="",0,SUMIF('DADOS BRUTOS'!$A$3:$A$500,$C27,'DADOS BRUTOS'!EU$3:EU$500)))</f>
        <v>0</v>
      </c>
      <c r="HV27" s="133" t="n">
        <f aca="false">IF(OR(HV$4="",$B27=""),0,SUMIF('DADOS BRUTOS'!$A$3:$A$500,$B27,'DADOS BRUTOS'!EV$3:EV$500)+IF($C27="",0,SUMIF('DADOS BRUTOS'!$A$3:$A$500,$C27,'DADOS BRUTOS'!EV$3:EV$500)))</f>
        <v>0</v>
      </c>
      <c r="HW27" s="133" t="n">
        <f aca="false">IF(OR(HW$4="",$B27=""),0,SUMIF('DADOS BRUTOS'!$A$3:$A$500,$B27,'DADOS BRUTOS'!EW$3:EW$500)+IF($C27="",0,SUMIF('DADOS BRUTOS'!$A$3:$A$500,$C27,'DADOS BRUTOS'!EW$3:EW$500)))</f>
        <v>0</v>
      </c>
      <c r="HX27" s="133" t="n">
        <f aca="false">IF(OR(HX$4="",$B27=""),0,SUMIF('DADOS BRUTOS'!$A$3:$A$500,$B27,'DADOS BRUTOS'!EX$3:EX$500)+IF($C27="",0,SUMIF('DADOS BRUTOS'!$A$3:$A$500,$C27,'DADOS BRUTOS'!EX$3:EX$500)))</f>
        <v>0</v>
      </c>
      <c r="HY27" s="133" t="n">
        <f aca="false">IF(OR(HY$4="",$B27=""),0,SUMIF('DADOS BRUTOS'!$A$3:$A$500,$B27,'DADOS BRUTOS'!EY$3:EY$500)+IF($C27="",0,SUMIF('DADOS BRUTOS'!$A$3:$A$500,$C27,'DADOS BRUTOS'!EY$3:EY$500)))</f>
        <v>0</v>
      </c>
      <c r="HZ27" s="133" t="n">
        <f aca="false">IF(OR(HZ$4="",$B27=""),0,SUMIF('DADOS BRUTOS'!$A$3:$A$500,$B27,'DADOS BRUTOS'!EZ$3:EZ$500)+IF($C27="",0,SUMIF('DADOS BRUTOS'!$A$3:$A$500,$C27,'DADOS BRUTOS'!EZ$3:EZ$500)))</f>
        <v>0</v>
      </c>
      <c r="IA27" s="133" t="n">
        <f aca="false">IF(OR(IA$4="",$B27=""),0,SUMIF('DADOS BRUTOS'!$A$3:$A$500,$B27,'DADOS BRUTOS'!FA$3:FA$500)+IF($C27="",0,SUMIF('DADOS BRUTOS'!$A$3:$A$500,$C27,'DADOS BRUTOS'!FA$3:FA$500)))</f>
        <v>0</v>
      </c>
      <c r="IB27" s="133" t="n">
        <f aca="false">IF(OR(IB$4="",$B27=""),0,SUMIF('DADOS BRUTOS'!$A$3:$A$500,$B27,'DADOS BRUTOS'!FB$3:FB$500)+IF($C27="",0,SUMIF('DADOS BRUTOS'!$A$3:$A$500,$C27,'DADOS BRUTOS'!FB$3:FB$500)))</f>
        <v>0</v>
      </c>
      <c r="IC27" s="133" t="n">
        <f aca="false">IF(OR(IC$4="",$B27=""),0,SUMIF('DADOS BRUTOS'!$A$3:$A$500,$B27,'DADOS BRUTOS'!FC$3:FC$500)+IF($C27="",0,SUMIF('DADOS BRUTOS'!$A$3:$A$500,$C27,'DADOS BRUTOS'!FC$3:FC$500)))</f>
        <v>0</v>
      </c>
      <c r="ID27" s="133" t="n">
        <f aca="false">IF(OR(ID$4="",$B27=""),0,SUMIF('DADOS BRUTOS'!$A$3:$A$500,$B27,'DADOS BRUTOS'!FD$3:FD$500)+IF($C27="",0,SUMIF('DADOS BRUTOS'!$A$3:$A$500,$C27,'DADOS BRUTOS'!FD$3:FD$500)))</f>
        <v>0</v>
      </c>
      <c r="IE27" s="133" t="n">
        <f aca="false">IF(OR(IE$4="",$B27=""),0,SUMIF('DADOS BRUTOS'!$A$3:$A$500,$B27,'DADOS BRUTOS'!FE$3:FE$500)+IF($C27="",0,SUMIF('DADOS BRUTOS'!$A$3:$A$500,$C27,'DADOS BRUTOS'!FE$3:FE$500)))</f>
        <v>0</v>
      </c>
      <c r="IF27" s="133" t="n">
        <f aca="false">IF(OR(IF$4="",$B27=""),0,SUMIF('DADOS BRUTOS'!$A$3:$A$500,$B27,'DADOS BRUTOS'!FF$3:FF$500)+IF($C27="",0,SUMIF('DADOS BRUTOS'!$A$3:$A$500,$C27,'DADOS BRUTOS'!FF$3:FF$500)))</f>
        <v>0</v>
      </c>
      <c r="IG27" s="133" t="n">
        <f aca="false">IF(OR(IG$4="",$B27=""),0,SUMIF('DADOS BRUTOS'!$A$3:$A$500,$B27,'DADOS BRUTOS'!FG$3:FG$500)+IF($C27="",0,SUMIF('DADOS BRUTOS'!$A$3:$A$500,$C27,'DADOS BRUTOS'!FG$3:FG$500)))</f>
        <v>0</v>
      </c>
      <c r="IH27" s="133" t="n">
        <f aca="false">IF(OR(IH$4="",$B27=""),0,SUMIF('DADOS BRUTOS'!$A$3:$A$500,$B27,'DADOS BRUTOS'!FH$3:FH$500)+IF($C27="",0,SUMIF('DADOS BRUTOS'!$A$3:$A$500,$C27,'DADOS BRUTOS'!FH$3:FH$500)))</f>
        <v>0</v>
      </c>
      <c r="II27" s="133" t="n">
        <f aca="false">IF(OR(II$4="",$B27=""),0,SUMIF('DADOS BRUTOS'!$A$3:$A$500,$B27,'DADOS BRUTOS'!FI$3:FI$500)+IF($C27="",0,SUMIF('DADOS BRUTOS'!$A$3:$A$500,$C27,'DADOS BRUTOS'!FI$3:FI$500)))</f>
        <v>0</v>
      </c>
      <c r="IJ27" s="133" t="n">
        <f aca="false">IF(OR(IJ$4="",$B27=""),0,SUMIF('DADOS BRUTOS'!$A$3:$A$500,$B27,'DADOS BRUTOS'!FJ$3:FJ$500)+IF($C27="",0,SUMIF('DADOS BRUTOS'!$A$3:$A$500,$C27,'DADOS BRUTOS'!FJ$3:FJ$500)))</f>
        <v>0</v>
      </c>
      <c r="IK27" s="133" t="n">
        <f aca="false">IF(OR(IK$4="",$B27=""),0,SUMIF('DADOS BRUTOS'!$A$3:$A$500,$B27,'DADOS BRUTOS'!FK$3:FK$500)+IF($C27="",0,SUMIF('DADOS BRUTOS'!$A$3:$A$500,$C27,'DADOS BRUTOS'!FK$3:FK$500)))</f>
        <v>0</v>
      </c>
      <c r="IL27" s="133" t="n">
        <f aca="false">IF(OR(IL$4="",$B27=""),0,SUMIF('DADOS BRUTOS'!$A$3:$A$500,$B27,'DADOS BRUTOS'!FL$3:FL$500)+IF($C27="",0,SUMIF('DADOS BRUTOS'!$A$3:$A$500,$C27,'DADOS BRUTOS'!FL$3:FL$500)))</f>
        <v>0</v>
      </c>
      <c r="IM27" s="133" t="n">
        <f aca="false">IF(OR(IM$4="",$B27=""),0,SUMIF('DADOS BRUTOS'!$A$3:$A$500,$B27,'DADOS BRUTOS'!FM$3:FM$500)+IF($C27="",0,SUMIF('DADOS BRUTOS'!$A$3:$A$500,$C27,'DADOS BRUTOS'!FM$3:FM$500)))</f>
        <v>0</v>
      </c>
      <c r="IN27" s="133" t="n">
        <f aca="false">IF(OR(IN$4="",$B27=""),0,SUMIF('DADOS BRUTOS'!$A$3:$A$500,$B27,'DADOS BRUTOS'!FN$3:FN$500)+IF($C27="",0,SUMIF('DADOS BRUTOS'!$A$3:$A$500,$C27,'DADOS BRUTOS'!FN$3:FN$500)))</f>
        <v>0</v>
      </c>
      <c r="IO27" s="133" t="n">
        <f aca="false">IF(OR(IO$4="",$B27=""),0,SUMIF('DADOS BRUTOS'!$A$3:$A$500,$B27,'DADOS BRUTOS'!FO$3:FO$500)+IF($C27="",0,SUMIF('DADOS BRUTOS'!$A$3:$A$500,$C27,'DADOS BRUTOS'!FO$3:FO$500)))</f>
        <v>0</v>
      </c>
      <c r="IP27" s="133" t="n">
        <f aca="false">IF(OR(IP$4="",$B27=""),0,SUMIF('DADOS BRUTOS'!$A$3:$A$500,$B27,'DADOS BRUTOS'!FP$3:FP$500)+IF($C27="",0,SUMIF('DADOS BRUTOS'!$A$3:$A$500,$C27,'DADOS BRUTOS'!FP$3:FP$500)))</f>
        <v>0</v>
      </c>
      <c r="IQ27" s="133" t="n">
        <f aca="false">IF(OR(IQ$4="",$B27=""),0,SUMIF('DADOS BRUTOS'!$A$3:$A$500,$B27,'DADOS BRUTOS'!FQ$3:FQ$500)+IF($C27="",0,SUMIF('DADOS BRUTOS'!$A$3:$A$500,$C27,'DADOS BRUTOS'!FQ$3:FQ$500)))</f>
        <v>0</v>
      </c>
      <c r="IR27" s="133" t="n">
        <f aca="false">IF(OR(IR$4="",$B27=""),0,SUMIF('DADOS BRUTOS'!$A$3:$A$500,$B27,'DADOS BRUTOS'!FR$3:FR$500)+IF($C27="",0,SUMIF('DADOS BRUTOS'!$A$3:$A$500,$C27,'DADOS BRUTOS'!FR$3:FR$500)))</f>
        <v>0</v>
      </c>
      <c r="IS27" s="133" t="n">
        <f aca="false">IF(OR(IS$4="",$B27=""),0,SUMIF('DADOS BRUTOS'!$A$3:$A$500,$B27,'DADOS BRUTOS'!FS$3:FS$500)+IF($C27="",0,SUMIF('DADOS BRUTOS'!$A$3:$A$500,$C27,'DADOS BRUTOS'!FS$3:FS$500)))</f>
        <v>0</v>
      </c>
      <c r="IT27" s="133" t="n">
        <f aca="false">IF(OR(IT$4="",$B27=""),0,SUMIF('DADOS BRUTOS'!$A$3:$A$500,$B27,'DADOS BRUTOS'!FT$3:FT$500)+IF($C27="",0,SUMIF('DADOS BRUTOS'!$A$3:$A$500,$C27,'DADOS BRUTOS'!FT$3:FT$500)))</f>
        <v>0</v>
      </c>
      <c r="IU27" s="133" t="n">
        <f aca="false">IF(OR(IU$4="",$B27=""),0,SUMIF('DADOS BRUTOS'!$A$3:$A$500,$B27,'DADOS BRUTOS'!FU$3:FU$500)+IF($C27="",0,SUMIF('DADOS BRUTOS'!$A$3:$A$500,$C27,'DADOS BRUTOS'!FU$3:FU$500)))</f>
        <v>0</v>
      </c>
      <c r="IV27" s="133" t="n">
        <f aca="false">IF(OR(IV$4="",$B27=""),0,SUMIF('DADOS BRUTOS'!$A$3:$A$500,$B27,'DADOS BRUTOS'!FV$3:FV$500)+IF($C27="",0,SUMIF('DADOS BRUTOS'!$A$3:$A$500,$C27,'DADOS BRUTOS'!FV$3:FV$500)))</f>
        <v>0</v>
      </c>
      <c r="IW27" s="133" t="n">
        <f aca="false">IF(OR(IW$4="",$B27=""),0,SUMIF('DADOS BRUTOS'!$A$3:$A$500,$B27,'DADOS BRUTOS'!FW$3:FW$500)+IF($C27="",0,SUMIF('DADOS BRUTOS'!$A$3:$A$500,$C27,'DADOS BRUTOS'!FW$3:FW$500)))</f>
        <v>0</v>
      </c>
      <c r="IX27" s="133" t="n">
        <f aca="false">IF(OR(IX$4="",$B27=""),0,SUMIF('DADOS BRUTOS'!$A$3:$A$500,$B27,'DADOS BRUTOS'!FX$3:FX$500)+IF($C27="",0,SUMIF('DADOS BRUTOS'!$A$3:$A$500,$C27,'DADOS BRUTOS'!FX$3:FX$500)))</f>
        <v>0</v>
      </c>
      <c r="IY27" s="133" t="n">
        <f aca="false">IF(OR(IY$4="",$B27=""),0,SUMIF('DADOS BRUTOS'!$A$3:$A$500,$B27,'DADOS BRUTOS'!FY$3:FY$500)+IF($C27="",0,SUMIF('DADOS BRUTOS'!$A$3:$A$500,$C27,'DADOS BRUTOS'!FY$3:FY$500)))</f>
        <v>0</v>
      </c>
      <c r="IZ27" s="133" t="n">
        <f aca="false">IF(OR(IZ$4="",$B27=""),0,SUMIF('DADOS BRUTOS'!$A$3:$A$500,$B27,'DADOS BRUTOS'!FZ$3:FZ$500)+IF($C27="",0,SUMIF('DADOS BRUTOS'!$A$3:$A$500,$C27,'DADOS BRUTOS'!FZ$3:FZ$500)))</f>
        <v>0</v>
      </c>
      <c r="JA27" s="133" t="n">
        <f aca="false">IF(OR(JA$4="",$B27=""),0,SUMIF('DADOS BRUTOS'!$A$3:$A$500,$B27,'DADOS BRUTOS'!GA$3:GA$500)+IF($C27="",0,SUMIF('DADOS BRUTOS'!$A$3:$A$500,$C27,'DADOS BRUTOS'!GA$3:GA$500)))</f>
        <v>0</v>
      </c>
      <c r="JB27" s="133" t="n">
        <f aca="false">IF(OR(JB$4="",$B27=""),0,SUMIF('DADOS BRUTOS'!$A$3:$A$500,$B27,'DADOS BRUTOS'!GB$3:GB$500)+IF($C27="",0,SUMIF('DADOS BRUTOS'!$A$3:$A$500,$C27,'DADOS BRUTOS'!GB$3:GB$500)))</f>
        <v>0</v>
      </c>
      <c r="JC27" s="133" t="n">
        <f aca="false">IF(OR(JC$4="",$B27=""),0,SUMIF('DADOS BRUTOS'!$A$3:$A$500,$B27,'DADOS BRUTOS'!GC$3:GC$500)+IF($C27="",0,SUMIF('DADOS BRUTOS'!$A$3:$A$500,$C27,'DADOS BRUTOS'!GC$3:GC$500)))</f>
        <v>0</v>
      </c>
      <c r="JD27" s="133" t="n">
        <f aca="false">IF(OR(JD$4="",$B27=""),0,SUMIF('DADOS BRUTOS'!$A$3:$A$500,$B27,'DADOS BRUTOS'!GD$3:GD$500)+IF($C27="",0,SUMIF('DADOS BRUTOS'!$A$3:$A$500,$C27,'DADOS BRUTOS'!GD$3:GD$500)))</f>
        <v>0</v>
      </c>
      <c r="JE27" s="133" t="n">
        <f aca="false">IF(OR(JE$4="",$B27=""),0,SUMIF('DADOS BRUTOS'!$A$3:$A$500,$B27,'DADOS BRUTOS'!GE$3:GE$500)+IF($C27="",0,SUMIF('DADOS BRUTOS'!$A$3:$A$500,$C27,'DADOS BRUTOS'!GE$3:GE$500)))</f>
        <v>0</v>
      </c>
      <c r="JF27" s="133" t="n">
        <f aca="false">IF(OR(JF$4="",$B27=""),0,SUMIF('DADOS BRUTOS'!$A$3:$A$500,$B27,'DADOS BRUTOS'!GF$3:GF$500)+IF($C27="",0,SUMIF('DADOS BRUTOS'!$A$3:$A$500,$C27,'DADOS BRUTOS'!GF$3:GF$500)))</f>
        <v>0</v>
      </c>
      <c r="JG27" s="133" t="n">
        <f aca="false">IF(OR(JG$4="",$B27=""),0,SUMIF('DADOS BRUTOS'!$A$3:$A$500,$B27,'DADOS BRUTOS'!GG$3:GG$500)+IF($C27="",0,SUMIF('DADOS BRUTOS'!$A$3:$A$500,$C27,'DADOS BRUTOS'!GG$3:GG$500)))</f>
        <v>0</v>
      </c>
      <c r="JH27" s="133" t="n">
        <f aca="false">IF(OR(JH$4="",$B27=""),0,SUMIF('DADOS BRUTOS'!$A$3:$A$500,$B27,'DADOS BRUTOS'!GH$3:GH$500)+IF($C27="",0,SUMIF('DADOS BRUTOS'!$A$3:$A$500,$C27,'DADOS BRUTOS'!GH$3:GH$500)))</f>
        <v>0</v>
      </c>
      <c r="JI27" s="133" t="n">
        <f aca="false">IF(OR(JI$4="",$B27=""),0,SUMIF('DADOS BRUTOS'!$A$3:$A$500,$B27,'DADOS BRUTOS'!GI$3:GI$500)+IF($C27="",0,SUMIF('DADOS BRUTOS'!$A$3:$A$500,$C27,'DADOS BRUTOS'!GI$3:GI$500)))</f>
        <v>0</v>
      </c>
      <c r="JJ27" s="133" t="n">
        <f aca="false">IF(OR(JJ$4="",$B27=""),0,SUMIF('DADOS BRUTOS'!$A$3:$A$500,$B27,'DADOS BRUTOS'!GJ$3:GJ$500)+IF($C27="",0,SUMIF('DADOS BRUTOS'!$A$3:$A$500,$C27,'DADOS BRUTOS'!GJ$3:GJ$500)))</f>
        <v>0</v>
      </c>
      <c r="JK27" s="133" t="n">
        <f aca="false">IF(OR(JK$4="",$B27=""),0,SUMIF('DADOS BRUTOS'!$A$3:$A$500,$B27,'DADOS BRUTOS'!GK$3:GK$500)+IF($C27="",0,SUMIF('DADOS BRUTOS'!$A$3:$A$500,$C27,'DADOS BRUTOS'!GK$3:GK$500)))</f>
        <v>0</v>
      </c>
      <c r="JL27" s="133" t="n">
        <f aca="false">IF(OR(JL$4="",$B27=""),0,SUMIF('DADOS BRUTOS'!$A$3:$A$500,$B27,'DADOS BRUTOS'!GL$3:GL$500)+IF($C27="",0,SUMIF('DADOS BRUTOS'!$A$3:$A$500,$C27,'DADOS BRUTOS'!GL$3:GL$500)))</f>
        <v>0</v>
      </c>
      <c r="JM27" s="133" t="n">
        <f aca="false">IF(OR(JM$4="",$B27=""),0,SUMIF('DADOS BRUTOS'!$A$3:$A$500,$B27,'DADOS BRUTOS'!GM$3:GM$500)+IF($C27="",0,SUMIF('DADOS BRUTOS'!$A$3:$A$500,$C27,'DADOS BRUTOS'!GM$3:GM$500)))</f>
        <v>0</v>
      </c>
      <c r="JN27" s="133" t="n">
        <f aca="false">IF(OR(JN$4="",$B27=""),0,SUMIF('DADOS BRUTOS'!$A$3:$A$500,$B27,'DADOS BRUTOS'!GN$3:GN$500)+IF($C27="",0,SUMIF('DADOS BRUTOS'!$A$3:$A$500,$C27,'DADOS BRUTOS'!GN$3:GN$500)))</f>
        <v>0</v>
      </c>
      <c r="JO27" s="133" t="n">
        <f aca="false">IF(OR(JO$4="",$B27=""),0,SUMIF('DADOS BRUTOS'!$A$3:$A$500,$B27,'DADOS BRUTOS'!GO$3:GO$500)+IF($C27="",0,SUMIF('DADOS BRUTOS'!$A$3:$A$500,$C27,'DADOS BRUTOS'!GO$3:GO$500)))</f>
        <v>0</v>
      </c>
      <c r="JP27" s="133" t="n">
        <f aca="false">IF(OR(JP$4="",$B27=""),0,SUMIF('DADOS BRUTOS'!$A$3:$A$500,$B27,'DADOS BRUTOS'!GP$3:GP$500)+IF($C27="",0,SUMIF('DADOS BRUTOS'!$A$3:$A$500,$C27,'DADOS BRUTOS'!GP$3:GP$500)))</f>
        <v>0</v>
      </c>
      <c r="JQ27" s="133" t="n">
        <f aca="false">IF(OR(JQ$4="",$B27=""),0,SUMIF('DADOS BRUTOS'!$A$3:$A$500,$B27,'DADOS BRUTOS'!GQ$3:GQ$500)+IF($C27="",0,SUMIF('DADOS BRUTOS'!$A$3:$A$500,$C27,'DADOS BRUTOS'!GQ$3:GQ$500)))</f>
        <v>0</v>
      </c>
      <c r="JR27" s="133" t="n">
        <f aca="false">IF(OR(JR$4="",$B27=""),0,SUMIF('DADOS BRUTOS'!$A$3:$A$500,$B27,'DADOS BRUTOS'!GR$3:GR$500)+IF($C27="",0,SUMIF('DADOS BRUTOS'!$A$3:$A$500,$C27,'DADOS BRUTOS'!GR$3:GR$500)))</f>
        <v>0</v>
      </c>
      <c r="JS27" s="133" t="n">
        <f aca="false">IF(OR(JS$4="",$B27=""),0,SUMIF('DADOS BRUTOS'!$A$3:$A$500,$B27,'DADOS BRUTOS'!GS$3:GS$500)+IF($C27="",0,SUMIF('DADOS BRUTOS'!$A$3:$A$500,$C27,'DADOS BRUTOS'!GS$3:GS$500)))</f>
        <v>0</v>
      </c>
    </row>
    <row r="28" customFormat="false" ht="15" hidden="false" customHeight="false" outlineLevel="0" collapsed="false">
      <c r="A28" s="57" t="str">
        <f aca="false">'VALOR POR PL'!D34</f>
        <v>ELEVADORES</v>
      </c>
      <c r="B28" s="55" t="s">
        <v>186</v>
      </c>
      <c r="C28" s="55"/>
      <c r="D28" s="50" t="n">
        <f aca="false">SUMIF($CB$4:$JS$4,"&lt;="&amp;D$4,$CB28:$JS28)</f>
        <v>0</v>
      </c>
      <c r="E28" s="50" t="n">
        <f aca="false">SUMIF($CB$4:$JS$4,E$4,$CB28:$JS28)</f>
        <v>0</v>
      </c>
      <c r="F28" s="50" t="n">
        <f aca="false">SUMIF($CB$4:$JS$4,F$4,$CB28:$JS28)</f>
        <v>0</v>
      </c>
      <c r="G28" s="50" t="n">
        <f aca="false">SUMIF($CB$4:$JS$4,G$4,$CB28:$JS28)</f>
        <v>0</v>
      </c>
      <c r="H28" s="50" t="n">
        <f aca="false">SUMIF($CB$4:$JS$4,H$4,$CB28:$JS28)</f>
        <v>0</v>
      </c>
      <c r="I28" s="50" t="n">
        <f aca="false">SUMIF($CB$4:$JS$4,I$4,$CB28:$JS28)</f>
        <v>0</v>
      </c>
      <c r="J28" s="50" t="n">
        <f aca="false">SUMIF($CB$4:$JS$4,J$4,$CB28:$JS28)</f>
        <v>0</v>
      </c>
      <c r="K28" s="50" t="n">
        <f aca="false">SUMIF($CB$4:$JS$4,K$4,$CB28:$JS28)</f>
        <v>0</v>
      </c>
      <c r="L28" s="50" t="n">
        <f aca="false">SUMIF($CB$4:$JS$4,L$4,$CB28:$JS28)</f>
        <v>0</v>
      </c>
      <c r="M28" s="50" t="n">
        <f aca="false">SUMIF($CB$4:$JS$4,M$4,$CB28:$JS28)</f>
        <v>0</v>
      </c>
      <c r="N28" s="50" t="n">
        <f aca="false">SUMIF($CB$4:$JS$4,N$4,$CB28:$JS28)</f>
        <v>0</v>
      </c>
      <c r="O28" s="50" t="n">
        <f aca="false">SUMIF($CB$4:$JS$4,O$4,$CB28:$JS28)</f>
        <v>0</v>
      </c>
      <c r="P28" s="50" t="n">
        <f aca="false">SUMIF($CB$4:$JS$4,P$4,$CB28:$JS28)</f>
        <v>0</v>
      </c>
      <c r="Q28" s="50" t="n">
        <f aca="false">SUMIF($CB$4:$JS$4,Q$4,$CB28:$JS28)</f>
        <v>0</v>
      </c>
      <c r="R28" s="50" t="n">
        <f aca="false">SUMIF($CB$4:$JS$4,R$4,$CB28:$JS28)</f>
        <v>0</v>
      </c>
      <c r="S28" s="50" t="n">
        <f aca="false">SUMIF($CB$4:$JS$4,S$4,$CB28:$JS28)</f>
        <v>0</v>
      </c>
      <c r="T28" s="50" t="n">
        <f aca="false">SUMIF($CB$4:$JS$4,T$4,$CB28:$JS28)</f>
        <v>0</v>
      </c>
      <c r="U28" s="50" t="n">
        <f aca="false">SUMIF($CB$4:$JS$4,U$4,$CB28:$JS28)</f>
        <v>0</v>
      </c>
      <c r="V28" s="50" t="n">
        <f aca="false">SUMIF($CB$4:$JS$4,V$4,$CB28:$JS28)</f>
        <v>0</v>
      </c>
      <c r="W28" s="50" t="n">
        <f aca="false">SUMIF($CB$4:$JS$4,W$4,$CB28:$JS28)</f>
        <v>0</v>
      </c>
      <c r="X28" s="50" t="n">
        <f aca="false">SUMIF($CB$4:$JS$4,X$4,$CB28:$JS28)</f>
        <v>0</v>
      </c>
      <c r="Y28" s="50" t="n">
        <f aca="false">SUMIF($CB$4:$JS$4,Y$4,$CB28:$JS28)</f>
        <v>0</v>
      </c>
      <c r="Z28" s="50" t="n">
        <f aca="false">SUMIF($CB$4:$JS$4,Z$4,$CB28:$JS28)</f>
        <v>0</v>
      </c>
      <c r="AA28" s="50" t="n">
        <f aca="false">SUMIF($CB$4:$JS$4,AA$4,$CB28:$JS28)</f>
        <v>0</v>
      </c>
      <c r="AB28" s="50" t="n">
        <f aca="false">SUMIF($CB$4:$JS$4,AB$4,$CB28:$JS28)</f>
        <v>0</v>
      </c>
      <c r="AC28" s="50" t="n">
        <f aca="false">SUMIF($CB$4:$JS$4,AC$4,$CB28:$JS28)</f>
        <v>0</v>
      </c>
      <c r="AD28" s="50" t="n">
        <f aca="false">SUMIF($CB$4:$JS$4,AD$4,$CB28:$JS28)</f>
        <v>0</v>
      </c>
      <c r="AE28" s="50" t="n">
        <f aca="false">SUMIF($CB$4:$JS$4,AE$4,$CB28:$JS28)</f>
        <v>0</v>
      </c>
      <c r="AF28" s="50" t="n">
        <f aca="false">SUMIF($CB$4:$JS$4,AF$4,$CB28:$JS28)</f>
        <v>0</v>
      </c>
      <c r="AG28" s="50" t="n">
        <f aca="false">SUMIF($CB$4:$JS$4,AG$4,$CB28:$JS28)</f>
        <v>0</v>
      </c>
      <c r="AH28" s="50" t="n">
        <f aca="false">SUMIF($CB$4:$JS$4,AH$4,$CB28:$JS28)</f>
        <v>0</v>
      </c>
      <c r="AI28" s="50" t="n">
        <f aca="false">SUMIF($CB$4:$JS$4,AI$4,$CB28:$JS28)</f>
        <v>0</v>
      </c>
      <c r="AJ28" s="50" t="n">
        <f aca="false">SUMIF($CB$4:$JS$4,AJ$4,$CB28:$JS28)</f>
        <v>0</v>
      </c>
      <c r="AK28" s="50" t="n">
        <f aca="false">SUMIF($CB$4:$JS$4,AK$4,$CB28:$JS28)</f>
        <v>0</v>
      </c>
      <c r="AL28" s="50" t="n">
        <f aca="false">SUMIF($CB$4:$JS$4,AL$4,$CB28:$JS28)</f>
        <v>0</v>
      </c>
      <c r="AM28" s="50" t="n">
        <f aca="false">SUMIF($CB$4:$JS$4,AM$4,$CB28:$JS28)</f>
        <v>0</v>
      </c>
      <c r="AN28" s="50" t="n">
        <f aca="false">SUMIF($CB$4:$JS$4,AN$4,$CB28:$JS28)</f>
        <v>0</v>
      </c>
      <c r="AO28" s="50" t="n">
        <f aca="false">SUMIF($CB$4:$JS$4,AO$4,$CB28:$JS28)</f>
        <v>0</v>
      </c>
      <c r="AP28" s="50" t="n">
        <f aca="false">SUMIF($CB$4:$JS$4,AP$4,$CB28:$JS28)</f>
        <v>0</v>
      </c>
      <c r="AQ28" s="50" t="n">
        <f aca="false">SUMIF($CB$4:$JS$4,AQ$4,$CB28:$JS28)</f>
        <v>0</v>
      </c>
      <c r="AR28" s="50" t="n">
        <f aca="false">SUMIF($CB$4:$JS$4,AR$4,$CB28:$JS28)</f>
        <v>0</v>
      </c>
      <c r="AS28" s="50" t="n">
        <f aca="false">SUMIF($CB$4:$JS$4,AS$4,$CB28:$JS28)</f>
        <v>0</v>
      </c>
      <c r="AT28" s="50" t="n">
        <f aca="false">SUMIF($CB$4:$JS$4,AT$4,$CB28:$JS28)</f>
        <v>0</v>
      </c>
      <c r="AU28" s="50" t="n">
        <f aca="false">SUMIF($CB$4:$JS$4,AU$4,$CB28:$JS28)</f>
        <v>0</v>
      </c>
      <c r="AV28" s="50" t="n">
        <f aca="false">SUMIF($CB$4:$JS$4,AV$4,$CB28:$JS28)</f>
        <v>0</v>
      </c>
      <c r="AW28" s="50" t="n">
        <f aca="false">SUMIF($CB$4:$JS$4,AW$4,$CB28:$JS28)</f>
        <v>0</v>
      </c>
      <c r="AX28" s="50" t="n">
        <f aca="false">SUMIF($CB$4:$JS$4,AX$4,$CB28:$JS28)</f>
        <v>0</v>
      </c>
      <c r="AY28" s="50" t="n">
        <f aca="false">SUMIF($CB$4:$JS$4,AY$4,$CB28:$JS28)</f>
        <v>0</v>
      </c>
      <c r="AZ28" s="50" t="n">
        <f aca="false">SUMIF($CB$4:$JS$4,AZ$4,$CB28:$JS28)</f>
        <v>0</v>
      </c>
      <c r="BA28" s="50" t="n">
        <f aca="false">SUMIF($CB$4:$JS$4,BA$4,$CB28:$JS28)</f>
        <v>0</v>
      </c>
      <c r="BB28" s="50" t="n">
        <f aca="false">SUMIF($CB$4:$JS$4,BB$4,$CB28:$JS28)</f>
        <v>0</v>
      </c>
      <c r="BC28" s="50" t="n">
        <f aca="false">SUMIF($CB$4:$JS$4,BC$4,$CB28:$JS28)</f>
        <v>0</v>
      </c>
      <c r="BD28" s="50" t="n">
        <f aca="false">SUMIF($CB$4:$JS$4,BD$4,$CB28:$JS28)</f>
        <v>0</v>
      </c>
      <c r="BE28" s="50" t="n">
        <f aca="false">SUMIF($CB$4:$JS$4,BE$4,$CB28:$JS28)</f>
        <v>0</v>
      </c>
      <c r="BF28" s="50" t="n">
        <f aca="false">SUMIF($CB$4:$JS$4,BF$4,$CB28:$JS28)</f>
        <v>0</v>
      </c>
      <c r="BG28" s="50" t="n">
        <f aca="false">SUMIF($CB$4:$JS$4,BG$4,$CB28:$JS28)</f>
        <v>0</v>
      </c>
      <c r="BH28" s="50" t="n">
        <f aca="false">SUMIF($CB$4:$JS$4,BH$4,$CB28:$JS28)</f>
        <v>0</v>
      </c>
      <c r="BI28" s="50" t="n">
        <f aca="false">SUMIF($CB$4:$JS$4,BI$4,$CB28:$JS28)</f>
        <v>0</v>
      </c>
      <c r="BJ28" s="50" t="n">
        <f aca="false">SUMIF($CB$4:$JS$4,BJ$4,$CB28:$JS28)</f>
        <v>0</v>
      </c>
      <c r="BK28" s="50" t="n">
        <f aca="false">SUMIF($CB$4:$JS$4,BK$4,$CB28:$JS28)</f>
        <v>0</v>
      </c>
      <c r="BL28" s="50" t="n">
        <f aca="false">SUMIF($CB$4:$JS$4,BL$4,$CB28:$JS28)</f>
        <v>0</v>
      </c>
      <c r="BM28" s="50" t="n">
        <f aca="false">SUMIF($CB$4:$JS$4,BM$4,$CB28:$JS28)</f>
        <v>0</v>
      </c>
      <c r="BN28" s="50" t="n">
        <f aca="false">SUMIF($CB$4:$JS$4,BN$4,$CB28:$JS28)</f>
        <v>0</v>
      </c>
      <c r="BO28" s="50" t="n">
        <f aca="false">SUMIF($CB$4:$JS$4,BO$4,$CB28:$JS28)</f>
        <v>0</v>
      </c>
      <c r="BP28" s="50" t="n">
        <f aca="false">SUMIF($CB$4:$JS$4,BP$4,$CB28:$JS28)</f>
        <v>0</v>
      </c>
      <c r="BQ28" s="50" t="n">
        <f aca="false">SUMIF($CB$4:$JS$4,BQ$4,$CB28:$JS28)</f>
        <v>0</v>
      </c>
      <c r="BR28" s="50" t="n">
        <f aca="false">SUMIF($CB$4:$JS$4,BR$4,$CB28:$JS28)</f>
        <v>0</v>
      </c>
      <c r="BS28" s="50" t="n">
        <f aca="false">SUMIF($CB$4:$JS$4,BS$4,$CB28:$JS28)</f>
        <v>0</v>
      </c>
      <c r="BT28" s="50" t="n">
        <f aca="false">SUMIF($CB$4:$JS$4,BT$4,$CB28:$JS28)</f>
        <v>0</v>
      </c>
      <c r="BU28" s="50" t="n">
        <f aca="false">SUMIF($CB$4:$JS$4,BU$4,$CB28:$JS28)</f>
        <v>0</v>
      </c>
      <c r="BV28" s="50" t="n">
        <f aca="false">SUMIF($CB$4:$JS$4,BV$4,$CB28:$JS28)</f>
        <v>0</v>
      </c>
      <c r="BW28" s="50" t="n">
        <f aca="false">SUMIF($CB$4:$JS$4,BW$4,$CB28:$JS28)</f>
        <v>0</v>
      </c>
      <c r="BX28" s="50" t="n">
        <f aca="false">SUMIF($CB$4:$JS$4,"&gt;"&amp;'VALOR POR PL'!$P$8,$CB28:$JS28)</f>
        <v>0</v>
      </c>
      <c r="BY28" s="50" t="n">
        <f aca="false">SUM($CB28:$JS28)</f>
        <v>0</v>
      </c>
      <c r="BZ28" s="45" t="n">
        <f aca="false">SUMPRODUCT(($CB$4:$JS$4&lt;&gt;"")*($CB$4:$JS$4&lt;=$D$4),$CB28:$JS28,$CB$1:$JS$1)</f>
        <v>0</v>
      </c>
      <c r="CB28" s="133" t="n">
        <f aca="false">IF(OR(CB$4="",$B28=""),0,SUMIF('DADOS BRUTOS'!$A$3:$A$500,$B28,'DADOS BRUTOS'!B$3:B$500)+IF($C28="",0,SUMIF('DADOS BRUTOS'!$A$3:$A$500,$C28,'DADOS BRUTOS'!B$3:B$500)))</f>
        <v>0</v>
      </c>
      <c r="CC28" s="133" t="n">
        <f aca="false">IF(OR(CC$4="",$B28=""),0,SUMIF('DADOS BRUTOS'!$A$3:$A$500,$B28,'DADOS BRUTOS'!C$3:C$500)+IF($C28="",0,SUMIF('DADOS BRUTOS'!$A$3:$A$500,$C28,'DADOS BRUTOS'!C$3:C$500)))</f>
        <v>0</v>
      </c>
      <c r="CD28" s="133" t="n">
        <f aca="false">IF(OR(CD$4="",$B28=""),0,SUMIF('DADOS BRUTOS'!$A$3:$A$500,$B28,'DADOS BRUTOS'!D$3:D$500)+IF($C28="",0,SUMIF('DADOS BRUTOS'!$A$3:$A$500,$C28,'DADOS BRUTOS'!D$3:D$500)))</f>
        <v>0</v>
      </c>
      <c r="CE28" s="133" t="n">
        <f aca="false">IF(OR(CE$4="",$B28=""),0,SUMIF('DADOS BRUTOS'!$A$3:$A$500,$B28,'DADOS BRUTOS'!E$3:E$500)+IF($C28="",0,SUMIF('DADOS BRUTOS'!$A$3:$A$500,$C28,'DADOS BRUTOS'!E$3:E$500)))</f>
        <v>0</v>
      </c>
      <c r="CF28" s="133" t="n">
        <f aca="false">IF(OR(CF$4="",$B28=""),0,SUMIF('DADOS BRUTOS'!$A$3:$A$500,$B28,'DADOS BRUTOS'!F$3:F$500)+IF($C28="",0,SUMIF('DADOS BRUTOS'!$A$3:$A$500,$C28,'DADOS BRUTOS'!F$3:F$500)))</f>
        <v>0</v>
      </c>
      <c r="CG28" s="133" t="n">
        <f aca="false">IF(OR(CG$4="",$B28=""),0,SUMIF('DADOS BRUTOS'!$A$3:$A$500,$B28,'DADOS BRUTOS'!G$3:G$500)+IF($C28="",0,SUMIF('DADOS BRUTOS'!$A$3:$A$500,$C28,'DADOS BRUTOS'!G$3:G$500)))</f>
        <v>0</v>
      </c>
      <c r="CH28" s="133" t="n">
        <f aca="false">IF(OR(CH$4="",$B28=""),0,SUMIF('DADOS BRUTOS'!$A$3:$A$500,$B28,'DADOS BRUTOS'!H$3:H$500)+IF($C28="",0,SUMIF('DADOS BRUTOS'!$A$3:$A$500,$C28,'DADOS BRUTOS'!H$3:H$500)))</f>
        <v>0</v>
      </c>
      <c r="CI28" s="133" t="n">
        <f aca="false">IF(OR(CI$4="",$B28=""),0,SUMIF('DADOS BRUTOS'!$A$3:$A$500,$B28,'DADOS BRUTOS'!I$3:I$500)+IF($C28="",0,SUMIF('DADOS BRUTOS'!$A$3:$A$500,$C28,'DADOS BRUTOS'!I$3:I$500)))</f>
        <v>0</v>
      </c>
      <c r="CJ28" s="133" t="n">
        <f aca="false">IF(OR(CJ$4="",$B28=""),0,SUMIF('DADOS BRUTOS'!$A$3:$A$500,$B28,'DADOS BRUTOS'!J$3:J$500)+IF($C28="",0,SUMIF('DADOS BRUTOS'!$A$3:$A$500,$C28,'DADOS BRUTOS'!J$3:J$500)))</f>
        <v>0</v>
      </c>
      <c r="CK28" s="133" t="n">
        <f aca="false">IF(OR(CK$4="",$B28=""),0,SUMIF('DADOS BRUTOS'!$A$3:$A$500,$B28,'DADOS BRUTOS'!K$3:K$500)+IF($C28="",0,SUMIF('DADOS BRUTOS'!$A$3:$A$500,$C28,'DADOS BRUTOS'!K$3:K$500)))</f>
        <v>0</v>
      </c>
      <c r="CL28" s="133" t="n">
        <f aca="false">IF(OR(CL$4="",$B28=""),0,SUMIF('DADOS BRUTOS'!$A$3:$A$500,$B28,'DADOS BRUTOS'!L$3:L$500)+IF($C28="",0,SUMIF('DADOS BRUTOS'!$A$3:$A$500,$C28,'DADOS BRUTOS'!L$3:L$500)))</f>
        <v>0</v>
      </c>
      <c r="CM28" s="133" t="n">
        <f aca="false">IF(OR(CM$4="",$B28=""),0,SUMIF('DADOS BRUTOS'!$A$3:$A$500,$B28,'DADOS BRUTOS'!M$3:M$500)+IF($C28="",0,SUMIF('DADOS BRUTOS'!$A$3:$A$500,$C28,'DADOS BRUTOS'!M$3:M$500)))</f>
        <v>0</v>
      </c>
      <c r="CN28" s="133" t="n">
        <f aca="false">IF(OR(CN$4="",$B28=""),0,SUMIF('DADOS BRUTOS'!$A$3:$A$500,$B28,'DADOS BRUTOS'!N$3:N$500)+IF($C28="",0,SUMIF('DADOS BRUTOS'!$A$3:$A$500,$C28,'DADOS BRUTOS'!N$3:N$500)))</f>
        <v>0</v>
      </c>
      <c r="CO28" s="133" t="n">
        <f aca="false">IF(OR(CO$4="",$B28=""),0,SUMIF('DADOS BRUTOS'!$A$3:$A$500,$B28,'DADOS BRUTOS'!O$3:O$500)+IF($C28="",0,SUMIF('DADOS BRUTOS'!$A$3:$A$500,$C28,'DADOS BRUTOS'!O$3:O$500)))</f>
        <v>0</v>
      </c>
      <c r="CP28" s="133" t="n">
        <f aca="false">IF(OR(CP$4="",$B28=""),0,SUMIF('DADOS BRUTOS'!$A$3:$A$500,$B28,'DADOS BRUTOS'!P$3:P$500)+IF($C28="",0,SUMIF('DADOS BRUTOS'!$A$3:$A$500,$C28,'DADOS BRUTOS'!P$3:P$500)))</f>
        <v>0</v>
      </c>
      <c r="CQ28" s="133" t="n">
        <f aca="false">IF(OR(CQ$4="",$B28=""),0,SUMIF('DADOS BRUTOS'!$A$3:$A$500,$B28,'DADOS BRUTOS'!Q$3:Q$500)+IF($C28="",0,SUMIF('DADOS BRUTOS'!$A$3:$A$500,$C28,'DADOS BRUTOS'!Q$3:Q$500)))</f>
        <v>0</v>
      </c>
      <c r="CR28" s="133" t="n">
        <f aca="false">IF(OR(CR$4="",$B28=""),0,SUMIF('DADOS BRUTOS'!$A$3:$A$500,$B28,'DADOS BRUTOS'!R$3:R$500)+IF($C28="",0,SUMIF('DADOS BRUTOS'!$A$3:$A$500,$C28,'DADOS BRUTOS'!R$3:R$500)))</f>
        <v>0</v>
      </c>
      <c r="CS28" s="133" t="n">
        <f aca="false">IF(OR(CS$4="",$B28=""),0,SUMIF('DADOS BRUTOS'!$A$3:$A$500,$B28,'DADOS BRUTOS'!S$3:S$500)+IF($C28="",0,SUMIF('DADOS BRUTOS'!$A$3:$A$500,$C28,'DADOS BRUTOS'!S$3:S$500)))</f>
        <v>0</v>
      </c>
      <c r="CT28" s="133" t="n">
        <f aca="false">IF(OR(CT$4="",$B28=""),0,SUMIF('DADOS BRUTOS'!$A$3:$A$500,$B28,'DADOS BRUTOS'!T$3:T$500)+IF($C28="",0,SUMIF('DADOS BRUTOS'!$A$3:$A$500,$C28,'DADOS BRUTOS'!T$3:T$500)))</f>
        <v>0</v>
      </c>
      <c r="CU28" s="133" t="n">
        <f aca="false">IF(OR(CU$4="",$B28=""),0,SUMIF('DADOS BRUTOS'!$A$3:$A$500,$B28,'DADOS BRUTOS'!U$3:U$500)+IF($C28="",0,SUMIF('DADOS BRUTOS'!$A$3:$A$500,$C28,'DADOS BRUTOS'!U$3:U$500)))</f>
        <v>0</v>
      </c>
      <c r="CV28" s="133" t="n">
        <f aca="false">IF(OR(CV$4="",$B28=""),0,SUMIF('DADOS BRUTOS'!$A$3:$A$500,$B28,'DADOS BRUTOS'!V$3:V$500)+IF($C28="",0,SUMIF('DADOS BRUTOS'!$A$3:$A$500,$C28,'DADOS BRUTOS'!V$3:V$500)))</f>
        <v>0</v>
      </c>
      <c r="CW28" s="133" t="n">
        <f aca="false">IF(OR(CW$4="",$B28=""),0,SUMIF('DADOS BRUTOS'!$A$3:$A$500,$B28,'DADOS BRUTOS'!W$3:W$500)+IF($C28="",0,SUMIF('DADOS BRUTOS'!$A$3:$A$500,$C28,'DADOS BRUTOS'!W$3:W$500)))</f>
        <v>0</v>
      </c>
      <c r="CX28" s="133" t="n">
        <f aca="false">IF(OR(CX$4="",$B28=""),0,SUMIF('DADOS BRUTOS'!$A$3:$A$500,$B28,'DADOS BRUTOS'!X$3:X$500)+IF($C28="",0,SUMIF('DADOS BRUTOS'!$A$3:$A$500,$C28,'DADOS BRUTOS'!X$3:X$500)))</f>
        <v>0</v>
      </c>
      <c r="CY28" s="133" t="n">
        <f aca="false">IF(OR(CY$4="",$B28=""),0,SUMIF('DADOS BRUTOS'!$A$3:$A$500,$B28,'DADOS BRUTOS'!Y$3:Y$500)+IF($C28="",0,SUMIF('DADOS BRUTOS'!$A$3:$A$500,$C28,'DADOS BRUTOS'!Y$3:Y$500)))</f>
        <v>0</v>
      </c>
      <c r="CZ28" s="133" t="n">
        <f aca="false">IF(OR(CZ$4="",$B28=""),0,SUMIF('DADOS BRUTOS'!$A$3:$A$500,$B28,'DADOS BRUTOS'!Z$3:Z$500)+IF($C28="",0,SUMIF('DADOS BRUTOS'!$A$3:$A$500,$C28,'DADOS BRUTOS'!Z$3:Z$500)))</f>
        <v>0</v>
      </c>
      <c r="DA28" s="133" t="n">
        <f aca="false">IF(OR(DA$4="",$B28=""),0,SUMIF('DADOS BRUTOS'!$A$3:$A$500,$B28,'DADOS BRUTOS'!AA$3:AA$500)+IF($C28="",0,SUMIF('DADOS BRUTOS'!$A$3:$A$500,$C28,'DADOS BRUTOS'!AA$3:AA$500)))</f>
        <v>0</v>
      </c>
      <c r="DB28" s="133" t="n">
        <f aca="false">IF(OR(DB$4="",$B28=""),0,SUMIF('DADOS BRUTOS'!$A$3:$A$500,$B28,'DADOS BRUTOS'!AB$3:AB$500)+IF($C28="",0,SUMIF('DADOS BRUTOS'!$A$3:$A$500,$C28,'DADOS BRUTOS'!AB$3:AB$500)))</f>
        <v>0</v>
      </c>
      <c r="DC28" s="133" t="n">
        <f aca="false">IF(OR(DC$4="",$B28=""),0,SUMIF('DADOS BRUTOS'!$A$3:$A$500,$B28,'DADOS BRUTOS'!AC$3:AC$500)+IF($C28="",0,SUMIF('DADOS BRUTOS'!$A$3:$A$500,$C28,'DADOS BRUTOS'!AC$3:AC$500)))</f>
        <v>0</v>
      </c>
      <c r="DD28" s="133" t="n">
        <f aca="false">IF(OR(DD$4="",$B28=""),0,SUMIF('DADOS BRUTOS'!$A$3:$A$500,$B28,'DADOS BRUTOS'!AD$3:AD$500)+IF($C28="",0,SUMIF('DADOS BRUTOS'!$A$3:$A$500,$C28,'DADOS BRUTOS'!AD$3:AD$500)))</f>
        <v>0</v>
      </c>
      <c r="DE28" s="133" t="n">
        <f aca="false">IF(OR(DE$4="",$B28=""),0,SUMIF('DADOS BRUTOS'!$A$3:$A$500,$B28,'DADOS BRUTOS'!AE$3:AE$500)+IF($C28="",0,SUMIF('DADOS BRUTOS'!$A$3:$A$500,$C28,'DADOS BRUTOS'!AE$3:AE$500)))</f>
        <v>0</v>
      </c>
      <c r="DF28" s="133" t="n">
        <f aca="false">IF(OR(DF$4="",$B28=""),0,SUMIF('DADOS BRUTOS'!$A$3:$A$500,$B28,'DADOS BRUTOS'!AF$3:AF$500)+IF($C28="",0,SUMIF('DADOS BRUTOS'!$A$3:$A$500,$C28,'DADOS BRUTOS'!AF$3:AF$500)))</f>
        <v>0</v>
      </c>
      <c r="DG28" s="133" t="n">
        <f aca="false">IF(OR(DG$4="",$B28=""),0,SUMIF('DADOS BRUTOS'!$A$3:$A$500,$B28,'DADOS BRUTOS'!AG$3:AG$500)+IF($C28="",0,SUMIF('DADOS BRUTOS'!$A$3:$A$500,$C28,'DADOS BRUTOS'!AG$3:AG$500)))</f>
        <v>0</v>
      </c>
      <c r="DH28" s="133" t="n">
        <f aca="false">IF(OR(DH$4="",$B28=""),0,SUMIF('DADOS BRUTOS'!$A$3:$A$500,$B28,'DADOS BRUTOS'!AH$3:AH$500)+IF($C28="",0,SUMIF('DADOS BRUTOS'!$A$3:$A$500,$C28,'DADOS BRUTOS'!AH$3:AH$500)))</f>
        <v>0</v>
      </c>
      <c r="DI28" s="133" t="n">
        <f aca="false">IF(OR(DI$4="",$B28=""),0,SUMIF('DADOS BRUTOS'!$A$3:$A$500,$B28,'DADOS BRUTOS'!AI$3:AI$500)+IF($C28="",0,SUMIF('DADOS BRUTOS'!$A$3:$A$500,$C28,'DADOS BRUTOS'!AI$3:AI$500)))</f>
        <v>0</v>
      </c>
      <c r="DJ28" s="133" t="n">
        <f aca="false">IF(OR(DJ$4="",$B28=""),0,SUMIF('DADOS BRUTOS'!$A$3:$A$500,$B28,'DADOS BRUTOS'!AJ$3:AJ$500)+IF($C28="",0,SUMIF('DADOS BRUTOS'!$A$3:$A$500,$C28,'DADOS BRUTOS'!AJ$3:AJ$500)))</f>
        <v>0</v>
      </c>
      <c r="DK28" s="133" t="n">
        <f aca="false">IF(OR(DK$4="",$B28=""),0,SUMIF('DADOS BRUTOS'!$A$3:$A$500,$B28,'DADOS BRUTOS'!AK$3:AK$500)+IF($C28="",0,SUMIF('DADOS BRUTOS'!$A$3:$A$500,$C28,'DADOS BRUTOS'!AK$3:AK$500)))</f>
        <v>0</v>
      </c>
      <c r="DL28" s="133" t="n">
        <f aca="false">IF(OR(DL$4="",$B28=""),0,SUMIF('DADOS BRUTOS'!$A$3:$A$500,$B28,'DADOS BRUTOS'!AL$3:AL$500)+IF($C28="",0,SUMIF('DADOS BRUTOS'!$A$3:$A$500,$C28,'DADOS BRUTOS'!AL$3:AL$500)))</f>
        <v>0</v>
      </c>
      <c r="DM28" s="133" t="n">
        <f aca="false">IF(OR(DM$4="",$B28=""),0,SUMIF('DADOS BRUTOS'!$A$3:$A$500,$B28,'DADOS BRUTOS'!AM$3:AM$500)+IF($C28="",0,SUMIF('DADOS BRUTOS'!$A$3:$A$500,$C28,'DADOS BRUTOS'!AM$3:AM$500)))</f>
        <v>0</v>
      </c>
      <c r="DN28" s="133" t="n">
        <f aca="false">IF(OR(DN$4="",$B28=""),0,SUMIF('DADOS BRUTOS'!$A$3:$A$500,$B28,'DADOS BRUTOS'!AN$3:AN$500)+IF($C28="",0,SUMIF('DADOS BRUTOS'!$A$3:$A$500,$C28,'DADOS BRUTOS'!AN$3:AN$500)))</f>
        <v>0</v>
      </c>
      <c r="DO28" s="133" t="n">
        <f aca="false">IF(OR(DO$4="",$B28=""),0,SUMIF('DADOS BRUTOS'!$A$3:$A$500,$B28,'DADOS BRUTOS'!AO$3:AO$500)+IF($C28="",0,SUMIF('DADOS BRUTOS'!$A$3:$A$500,$C28,'DADOS BRUTOS'!AO$3:AO$500)))</f>
        <v>0</v>
      </c>
      <c r="DP28" s="133" t="n">
        <f aca="false">IF(OR(DP$4="",$B28=""),0,SUMIF('DADOS BRUTOS'!$A$3:$A$500,$B28,'DADOS BRUTOS'!AP$3:AP$500)+IF($C28="",0,SUMIF('DADOS BRUTOS'!$A$3:$A$500,$C28,'DADOS BRUTOS'!AP$3:AP$500)))</f>
        <v>0</v>
      </c>
      <c r="DQ28" s="133" t="n">
        <f aca="false">IF(OR(DQ$4="",$B28=""),0,SUMIF('DADOS BRUTOS'!$A$3:$A$500,$B28,'DADOS BRUTOS'!AQ$3:AQ$500)+IF($C28="",0,SUMIF('DADOS BRUTOS'!$A$3:$A$500,$C28,'DADOS BRUTOS'!AQ$3:AQ$500)))</f>
        <v>0</v>
      </c>
      <c r="DR28" s="133" t="n">
        <f aca="false">IF(OR(DR$4="",$B28=""),0,SUMIF('DADOS BRUTOS'!$A$3:$A$500,$B28,'DADOS BRUTOS'!AR$3:AR$500)+IF($C28="",0,SUMIF('DADOS BRUTOS'!$A$3:$A$500,$C28,'DADOS BRUTOS'!AR$3:AR$500)))</f>
        <v>0</v>
      </c>
      <c r="DS28" s="133" t="n">
        <f aca="false">IF(OR(DS$4="",$B28=""),0,SUMIF('DADOS BRUTOS'!$A$3:$A$500,$B28,'DADOS BRUTOS'!AS$3:AS$500)+IF($C28="",0,SUMIF('DADOS BRUTOS'!$A$3:$A$500,$C28,'DADOS BRUTOS'!AS$3:AS$500)))</f>
        <v>0</v>
      </c>
      <c r="DT28" s="133" t="n">
        <f aca="false">IF(OR(DT$4="",$B28=""),0,SUMIF('DADOS BRUTOS'!$A$3:$A$500,$B28,'DADOS BRUTOS'!AT$3:AT$500)+IF($C28="",0,SUMIF('DADOS BRUTOS'!$A$3:$A$500,$C28,'DADOS BRUTOS'!AT$3:AT$500)))</f>
        <v>0</v>
      </c>
      <c r="DU28" s="133" t="n">
        <f aca="false">IF(OR(DU$4="",$B28=""),0,SUMIF('DADOS BRUTOS'!$A$3:$A$500,$B28,'DADOS BRUTOS'!AU$3:AU$500)+IF($C28="",0,SUMIF('DADOS BRUTOS'!$A$3:$A$500,$C28,'DADOS BRUTOS'!AU$3:AU$500)))</f>
        <v>0</v>
      </c>
      <c r="DV28" s="133" t="n">
        <f aca="false">IF(OR(DV$4="",$B28=""),0,SUMIF('DADOS BRUTOS'!$A$3:$A$500,$B28,'DADOS BRUTOS'!AV$3:AV$500)+IF($C28="",0,SUMIF('DADOS BRUTOS'!$A$3:$A$500,$C28,'DADOS BRUTOS'!AV$3:AV$500)))</f>
        <v>0</v>
      </c>
      <c r="DW28" s="133" t="n">
        <f aca="false">IF(OR(DW$4="",$B28=""),0,SUMIF('DADOS BRUTOS'!$A$3:$A$500,$B28,'DADOS BRUTOS'!AW$3:AW$500)+IF($C28="",0,SUMIF('DADOS BRUTOS'!$A$3:$A$500,$C28,'DADOS BRUTOS'!AW$3:AW$500)))</f>
        <v>0</v>
      </c>
      <c r="DX28" s="133" t="n">
        <f aca="false">IF(OR(DX$4="",$B28=""),0,SUMIF('DADOS BRUTOS'!$A$3:$A$500,$B28,'DADOS BRUTOS'!AX$3:AX$500)+IF($C28="",0,SUMIF('DADOS BRUTOS'!$A$3:$A$500,$C28,'DADOS BRUTOS'!AX$3:AX$500)))</f>
        <v>0</v>
      </c>
      <c r="DY28" s="133" t="n">
        <f aca="false">IF(OR(DY$4="",$B28=""),0,SUMIF('DADOS BRUTOS'!$A$3:$A$500,$B28,'DADOS BRUTOS'!AY$3:AY$500)+IF($C28="",0,SUMIF('DADOS BRUTOS'!$A$3:$A$500,$C28,'DADOS BRUTOS'!AY$3:AY$500)))</f>
        <v>0</v>
      </c>
      <c r="DZ28" s="133" t="n">
        <f aca="false">IF(OR(DZ$4="",$B28=""),0,SUMIF('DADOS BRUTOS'!$A$3:$A$500,$B28,'DADOS BRUTOS'!AZ$3:AZ$500)+IF($C28="",0,SUMIF('DADOS BRUTOS'!$A$3:$A$500,$C28,'DADOS BRUTOS'!AZ$3:AZ$500)))</f>
        <v>0</v>
      </c>
      <c r="EA28" s="133" t="n">
        <f aca="false">IF(OR(EA$4="",$B28=""),0,SUMIF('DADOS BRUTOS'!$A$3:$A$500,$B28,'DADOS BRUTOS'!BA$3:BA$500)+IF($C28="",0,SUMIF('DADOS BRUTOS'!$A$3:$A$500,$C28,'DADOS BRUTOS'!BA$3:BA$500)))</f>
        <v>0</v>
      </c>
      <c r="EB28" s="133" t="n">
        <f aca="false">IF(OR(EB$4="",$B28=""),0,SUMIF('DADOS BRUTOS'!$A$3:$A$500,$B28,'DADOS BRUTOS'!BB$3:BB$500)+IF($C28="",0,SUMIF('DADOS BRUTOS'!$A$3:$A$500,$C28,'DADOS BRUTOS'!BB$3:BB$500)))</f>
        <v>0</v>
      </c>
      <c r="EC28" s="133" t="n">
        <f aca="false">IF(OR(EC$4="",$B28=""),0,SUMIF('DADOS BRUTOS'!$A$3:$A$500,$B28,'DADOS BRUTOS'!BC$3:BC$500)+IF($C28="",0,SUMIF('DADOS BRUTOS'!$A$3:$A$500,$C28,'DADOS BRUTOS'!BC$3:BC$500)))</f>
        <v>0</v>
      </c>
      <c r="ED28" s="133" t="n">
        <f aca="false">IF(OR(ED$4="",$B28=""),0,SUMIF('DADOS BRUTOS'!$A$3:$A$500,$B28,'DADOS BRUTOS'!BD$3:BD$500)+IF($C28="",0,SUMIF('DADOS BRUTOS'!$A$3:$A$500,$C28,'DADOS BRUTOS'!BD$3:BD$500)))</f>
        <v>0</v>
      </c>
      <c r="EE28" s="133" t="n">
        <f aca="false">IF(OR(EE$4="",$B28=""),0,SUMIF('DADOS BRUTOS'!$A$3:$A$500,$B28,'DADOS BRUTOS'!BE$3:BE$500)+IF($C28="",0,SUMIF('DADOS BRUTOS'!$A$3:$A$500,$C28,'DADOS BRUTOS'!BE$3:BE$500)))</f>
        <v>0</v>
      </c>
      <c r="EF28" s="133" t="n">
        <f aca="false">IF(OR(EF$4="",$B28=""),0,SUMIF('DADOS BRUTOS'!$A$3:$A$500,$B28,'DADOS BRUTOS'!BF$3:BF$500)+IF($C28="",0,SUMIF('DADOS BRUTOS'!$A$3:$A$500,$C28,'DADOS BRUTOS'!BF$3:BF$500)))</f>
        <v>0</v>
      </c>
      <c r="EG28" s="133" t="n">
        <f aca="false">IF(OR(EG$4="",$B28=""),0,SUMIF('DADOS BRUTOS'!$A$3:$A$500,$B28,'DADOS BRUTOS'!BG$3:BG$500)+IF($C28="",0,SUMIF('DADOS BRUTOS'!$A$3:$A$500,$C28,'DADOS BRUTOS'!BG$3:BG$500)))</f>
        <v>0</v>
      </c>
      <c r="EH28" s="133" t="n">
        <f aca="false">IF(OR(EH$4="",$B28=""),0,SUMIF('DADOS BRUTOS'!$A$3:$A$500,$B28,'DADOS BRUTOS'!BH$3:BH$500)+IF($C28="",0,SUMIF('DADOS BRUTOS'!$A$3:$A$500,$C28,'DADOS BRUTOS'!BH$3:BH$500)))</f>
        <v>0</v>
      </c>
      <c r="EI28" s="133" t="n">
        <f aca="false">IF(OR(EI$4="",$B28=""),0,SUMIF('DADOS BRUTOS'!$A$3:$A$500,$B28,'DADOS BRUTOS'!BI$3:BI$500)+IF($C28="",0,SUMIF('DADOS BRUTOS'!$A$3:$A$500,$C28,'DADOS BRUTOS'!BI$3:BI$500)))</f>
        <v>0</v>
      </c>
      <c r="EJ28" s="133" t="n">
        <f aca="false">IF(OR(EJ$4="",$B28=""),0,SUMIF('DADOS BRUTOS'!$A$3:$A$500,$B28,'DADOS BRUTOS'!BJ$3:BJ$500)+IF($C28="",0,SUMIF('DADOS BRUTOS'!$A$3:$A$500,$C28,'DADOS BRUTOS'!BJ$3:BJ$500)))</f>
        <v>0</v>
      </c>
      <c r="EK28" s="133" t="n">
        <f aca="false">IF(OR(EK$4="",$B28=""),0,SUMIF('DADOS BRUTOS'!$A$3:$A$500,$B28,'DADOS BRUTOS'!BK$3:BK$500)+IF($C28="",0,SUMIF('DADOS BRUTOS'!$A$3:$A$500,$C28,'DADOS BRUTOS'!BK$3:BK$500)))</f>
        <v>0</v>
      </c>
      <c r="EL28" s="133" t="n">
        <f aca="false">IF(OR(EL$4="",$B28=""),0,SUMIF('DADOS BRUTOS'!$A$3:$A$500,$B28,'DADOS BRUTOS'!BL$3:BL$500)+IF($C28="",0,SUMIF('DADOS BRUTOS'!$A$3:$A$500,$C28,'DADOS BRUTOS'!BL$3:BL$500)))</f>
        <v>0</v>
      </c>
      <c r="EM28" s="133" t="n">
        <f aca="false">IF(OR(EM$4="",$B28=""),0,SUMIF('DADOS BRUTOS'!$A$3:$A$500,$B28,'DADOS BRUTOS'!BM$3:BM$500)+IF($C28="",0,SUMIF('DADOS BRUTOS'!$A$3:$A$500,$C28,'DADOS BRUTOS'!BM$3:BM$500)))</f>
        <v>0</v>
      </c>
      <c r="EN28" s="133" t="n">
        <f aca="false">IF(OR(EN$4="",$B28=""),0,SUMIF('DADOS BRUTOS'!$A$3:$A$500,$B28,'DADOS BRUTOS'!BN$3:BN$500)+IF($C28="",0,SUMIF('DADOS BRUTOS'!$A$3:$A$500,$C28,'DADOS BRUTOS'!BN$3:BN$500)))</f>
        <v>0</v>
      </c>
      <c r="EO28" s="133" t="n">
        <f aca="false">IF(OR(EO$4="",$B28=""),0,SUMIF('DADOS BRUTOS'!$A$3:$A$500,$B28,'DADOS BRUTOS'!BO$3:BO$500)+IF($C28="",0,SUMIF('DADOS BRUTOS'!$A$3:$A$500,$C28,'DADOS BRUTOS'!BO$3:BO$500)))</f>
        <v>0</v>
      </c>
      <c r="EP28" s="133" t="n">
        <f aca="false">IF(OR(EP$4="",$B28=""),0,SUMIF('DADOS BRUTOS'!$A$3:$A$500,$B28,'DADOS BRUTOS'!BP$3:BP$500)+IF($C28="",0,SUMIF('DADOS BRUTOS'!$A$3:$A$500,$C28,'DADOS BRUTOS'!BP$3:BP$500)))</f>
        <v>0</v>
      </c>
      <c r="EQ28" s="133" t="n">
        <f aca="false">IF(OR(EQ$4="",$B28=""),0,SUMIF('DADOS BRUTOS'!$A$3:$A$500,$B28,'DADOS BRUTOS'!BQ$3:BQ$500)+IF($C28="",0,SUMIF('DADOS BRUTOS'!$A$3:$A$500,$C28,'DADOS BRUTOS'!BQ$3:BQ$500)))</f>
        <v>0</v>
      </c>
      <c r="ER28" s="133" t="n">
        <f aca="false">IF(OR(ER$4="",$B28=""),0,SUMIF('DADOS BRUTOS'!$A$3:$A$500,$B28,'DADOS BRUTOS'!BR$3:BR$500)+IF($C28="",0,SUMIF('DADOS BRUTOS'!$A$3:$A$500,$C28,'DADOS BRUTOS'!BR$3:BR$500)))</f>
        <v>0</v>
      </c>
      <c r="ES28" s="133" t="n">
        <f aca="false">IF(OR(ES$4="",$B28=""),0,SUMIF('DADOS BRUTOS'!$A$3:$A$500,$B28,'DADOS BRUTOS'!BS$3:BS$500)+IF($C28="",0,SUMIF('DADOS BRUTOS'!$A$3:$A$500,$C28,'DADOS BRUTOS'!BS$3:BS$500)))</f>
        <v>0</v>
      </c>
      <c r="ET28" s="133" t="n">
        <f aca="false">IF(OR(ET$4="",$B28=""),0,SUMIF('DADOS BRUTOS'!$A$3:$A$500,$B28,'DADOS BRUTOS'!BT$3:BT$500)+IF($C28="",0,SUMIF('DADOS BRUTOS'!$A$3:$A$500,$C28,'DADOS BRUTOS'!BT$3:BT$500)))</f>
        <v>0</v>
      </c>
      <c r="EU28" s="133" t="n">
        <f aca="false">IF(OR(EU$4="",$B28=""),0,SUMIF('DADOS BRUTOS'!$A$3:$A$500,$B28,'DADOS BRUTOS'!BU$3:BU$500)+IF($C28="",0,SUMIF('DADOS BRUTOS'!$A$3:$A$500,$C28,'DADOS BRUTOS'!BU$3:BU$500)))</f>
        <v>0</v>
      </c>
      <c r="EV28" s="133" t="n">
        <f aca="false">IF(OR(EV$4="",$B28=""),0,SUMIF('DADOS BRUTOS'!$A$3:$A$500,$B28,'DADOS BRUTOS'!BV$3:BV$500)+IF($C28="",0,SUMIF('DADOS BRUTOS'!$A$3:$A$500,$C28,'DADOS BRUTOS'!BV$3:BV$500)))</f>
        <v>0</v>
      </c>
      <c r="EW28" s="133" t="n">
        <f aca="false">IF(OR(EW$4="",$B28=""),0,SUMIF('DADOS BRUTOS'!$A$3:$A$500,$B28,'DADOS BRUTOS'!BW$3:BW$500)+IF($C28="",0,SUMIF('DADOS BRUTOS'!$A$3:$A$500,$C28,'DADOS BRUTOS'!BW$3:BW$500)))</f>
        <v>0</v>
      </c>
      <c r="EX28" s="133" t="n">
        <f aca="false">IF(OR(EX$4="",$B28=""),0,SUMIF('DADOS BRUTOS'!$A$3:$A$500,$B28,'DADOS BRUTOS'!BX$3:BX$500)+IF($C28="",0,SUMIF('DADOS BRUTOS'!$A$3:$A$500,$C28,'DADOS BRUTOS'!BX$3:BX$500)))</f>
        <v>0</v>
      </c>
      <c r="EY28" s="133" t="n">
        <f aca="false">IF(OR(EY$4="",$B28=""),0,SUMIF('DADOS BRUTOS'!$A$3:$A$500,$B28,'DADOS BRUTOS'!BY$3:BY$500)+IF($C28="",0,SUMIF('DADOS BRUTOS'!$A$3:$A$500,$C28,'DADOS BRUTOS'!BY$3:BY$500)))</f>
        <v>0</v>
      </c>
      <c r="EZ28" s="133" t="n">
        <f aca="false">IF(OR(EZ$4="",$B28=""),0,SUMIF('DADOS BRUTOS'!$A$3:$A$500,$B28,'DADOS BRUTOS'!BZ$3:BZ$500)+IF($C28="",0,SUMIF('DADOS BRUTOS'!$A$3:$A$500,$C28,'DADOS BRUTOS'!BZ$3:BZ$500)))</f>
        <v>0</v>
      </c>
      <c r="FA28" s="133" t="n">
        <f aca="false">IF(OR(FA$4="",$B28=""),0,SUMIF('DADOS BRUTOS'!$A$3:$A$500,$B28,'DADOS BRUTOS'!CA$3:CA$500)+IF($C28="",0,SUMIF('DADOS BRUTOS'!$A$3:$A$500,$C28,'DADOS BRUTOS'!CA$3:CA$500)))</f>
        <v>0</v>
      </c>
      <c r="FB28" s="133" t="n">
        <f aca="false">IF(OR(FB$4="",$B28=""),0,SUMIF('DADOS BRUTOS'!$A$3:$A$500,$B28,'DADOS BRUTOS'!CB$3:CB$500)+IF($C28="",0,SUMIF('DADOS BRUTOS'!$A$3:$A$500,$C28,'DADOS BRUTOS'!CB$3:CB$500)))</f>
        <v>0</v>
      </c>
      <c r="FC28" s="133" t="n">
        <f aca="false">IF(OR(FC$4="",$B28=""),0,SUMIF('DADOS BRUTOS'!$A$3:$A$500,$B28,'DADOS BRUTOS'!CC$3:CC$500)+IF($C28="",0,SUMIF('DADOS BRUTOS'!$A$3:$A$500,$C28,'DADOS BRUTOS'!CC$3:CC$500)))</f>
        <v>0</v>
      </c>
      <c r="FD28" s="133" t="n">
        <f aca="false">IF(OR(FD$4="",$B28=""),0,SUMIF('DADOS BRUTOS'!$A$3:$A$500,$B28,'DADOS BRUTOS'!CD$3:CD$500)+IF($C28="",0,SUMIF('DADOS BRUTOS'!$A$3:$A$500,$C28,'DADOS BRUTOS'!CD$3:CD$500)))</f>
        <v>0</v>
      </c>
      <c r="FE28" s="133" t="n">
        <f aca="false">IF(OR(FE$4="",$B28=""),0,SUMIF('DADOS BRUTOS'!$A$3:$A$500,$B28,'DADOS BRUTOS'!CE$3:CE$500)+IF($C28="",0,SUMIF('DADOS BRUTOS'!$A$3:$A$500,$C28,'DADOS BRUTOS'!CE$3:CE$500)))</f>
        <v>0</v>
      </c>
      <c r="FF28" s="133" t="n">
        <f aca="false">IF(OR(FF$4="",$B28=""),0,SUMIF('DADOS BRUTOS'!$A$3:$A$500,$B28,'DADOS BRUTOS'!CF$3:CF$500)+IF($C28="",0,SUMIF('DADOS BRUTOS'!$A$3:$A$500,$C28,'DADOS BRUTOS'!CF$3:CF$500)))</f>
        <v>0</v>
      </c>
      <c r="FG28" s="133" t="n">
        <f aca="false">IF(OR(FG$4="",$B28=""),0,SUMIF('DADOS BRUTOS'!$A$3:$A$500,$B28,'DADOS BRUTOS'!CG$3:CG$500)+IF($C28="",0,SUMIF('DADOS BRUTOS'!$A$3:$A$500,$C28,'DADOS BRUTOS'!CG$3:CG$500)))</f>
        <v>0</v>
      </c>
      <c r="FH28" s="133" t="n">
        <f aca="false">IF(OR(FH$4="",$B28=""),0,SUMIF('DADOS BRUTOS'!$A$3:$A$500,$B28,'DADOS BRUTOS'!CH$3:CH$500)+IF($C28="",0,SUMIF('DADOS BRUTOS'!$A$3:$A$500,$C28,'DADOS BRUTOS'!CH$3:CH$500)))</f>
        <v>0</v>
      </c>
      <c r="FI28" s="133" t="n">
        <f aca="false">IF(OR(FI$4="",$B28=""),0,SUMIF('DADOS BRUTOS'!$A$3:$A$500,$B28,'DADOS BRUTOS'!CI$3:CI$500)+IF($C28="",0,SUMIF('DADOS BRUTOS'!$A$3:$A$500,$C28,'DADOS BRUTOS'!CI$3:CI$500)))</f>
        <v>0</v>
      </c>
      <c r="FJ28" s="133" t="n">
        <f aca="false">IF(OR(FJ$4="",$B28=""),0,SUMIF('DADOS BRUTOS'!$A$3:$A$500,$B28,'DADOS BRUTOS'!CJ$3:CJ$500)+IF($C28="",0,SUMIF('DADOS BRUTOS'!$A$3:$A$500,$C28,'DADOS BRUTOS'!CJ$3:CJ$500)))</f>
        <v>0</v>
      </c>
      <c r="FK28" s="133" t="n">
        <f aca="false">IF(OR(FK$4="",$B28=""),0,SUMIF('DADOS BRUTOS'!$A$3:$A$500,$B28,'DADOS BRUTOS'!CK$3:CK$500)+IF($C28="",0,SUMIF('DADOS BRUTOS'!$A$3:$A$500,$C28,'DADOS BRUTOS'!CK$3:CK$500)))</f>
        <v>0</v>
      </c>
      <c r="FL28" s="133" t="n">
        <f aca="false">IF(OR(FL$4="",$B28=""),0,SUMIF('DADOS BRUTOS'!$A$3:$A$500,$B28,'DADOS BRUTOS'!CL$3:CL$500)+IF($C28="",0,SUMIF('DADOS BRUTOS'!$A$3:$A$500,$C28,'DADOS BRUTOS'!CL$3:CL$500)))</f>
        <v>0</v>
      </c>
      <c r="FM28" s="133" t="n">
        <f aca="false">IF(OR(FM$4="",$B28=""),0,SUMIF('DADOS BRUTOS'!$A$3:$A$500,$B28,'DADOS BRUTOS'!CM$3:CM$500)+IF($C28="",0,SUMIF('DADOS BRUTOS'!$A$3:$A$500,$C28,'DADOS BRUTOS'!CM$3:CM$500)))</f>
        <v>0</v>
      </c>
      <c r="FN28" s="133" t="n">
        <f aca="false">IF(OR(FN$4="",$B28=""),0,SUMIF('DADOS BRUTOS'!$A$3:$A$500,$B28,'DADOS BRUTOS'!CN$3:CN$500)+IF($C28="",0,SUMIF('DADOS BRUTOS'!$A$3:$A$500,$C28,'DADOS BRUTOS'!CN$3:CN$500)))</f>
        <v>0</v>
      </c>
      <c r="FO28" s="133" t="n">
        <f aca="false">IF(OR(FO$4="",$B28=""),0,SUMIF('DADOS BRUTOS'!$A$3:$A$500,$B28,'DADOS BRUTOS'!CO$3:CO$500)+IF($C28="",0,SUMIF('DADOS BRUTOS'!$A$3:$A$500,$C28,'DADOS BRUTOS'!CO$3:CO$500)))</f>
        <v>0</v>
      </c>
      <c r="FP28" s="133" t="n">
        <f aca="false">IF(OR(FP$4="",$B28=""),0,SUMIF('DADOS BRUTOS'!$A$3:$A$500,$B28,'DADOS BRUTOS'!CP$3:CP$500)+IF($C28="",0,SUMIF('DADOS BRUTOS'!$A$3:$A$500,$C28,'DADOS BRUTOS'!CP$3:CP$500)))</f>
        <v>0</v>
      </c>
      <c r="FQ28" s="133" t="n">
        <f aca="false">IF(OR(FQ$4="",$B28=""),0,SUMIF('DADOS BRUTOS'!$A$3:$A$500,$B28,'DADOS BRUTOS'!CQ$3:CQ$500)+IF($C28="",0,SUMIF('DADOS BRUTOS'!$A$3:$A$500,$C28,'DADOS BRUTOS'!CQ$3:CQ$500)))</f>
        <v>0</v>
      </c>
      <c r="FR28" s="133" t="n">
        <f aca="false">IF(OR(FR$4="",$B28=""),0,SUMIF('DADOS BRUTOS'!$A$3:$A$500,$B28,'DADOS BRUTOS'!CR$3:CR$500)+IF($C28="",0,SUMIF('DADOS BRUTOS'!$A$3:$A$500,$C28,'DADOS BRUTOS'!CR$3:CR$500)))</f>
        <v>0</v>
      </c>
      <c r="FS28" s="133" t="n">
        <f aca="false">IF(OR(FS$4="",$B28=""),0,SUMIF('DADOS BRUTOS'!$A$3:$A$500,$B28,'DADOS BRUTOS'!CS$3:CS$500)+IF($C28="",0,SUMIF('DADOS BRUTOS'!$A$3:$A$500,$C28,'DADOS BRUTOS'!CS$3:CS$500)))</f>
        <v>0</v>
      </c>
      <c r="FT28" s="133" t="n">
        <f aca="false">IF(OR(FT$4="",$B28=""),0,SUMIF('DADOS BRUTOS'!$A$3:$A$500,$B28,'DADOS BRUTOS'!CT$3:CT$500)+IF($C28="",0,SUMIF('DADOS BRUTOS'!$A$3:$A$500,$C28,'DADOS BRUTOS'!CT$3:CT$500)))</f>
        <v>0</v>
      </c>
      <c r="FU28" s="133" t="n">
        <f aca="false">IF(OR(FU$4="",$B28=""),0,SUMIF('DADOS BRUTOS'!$A$3:$A$500,$B28,'DADOS BRUTOS'!CU$3:CU$500)+IF($C28="",0,SUMIF('DADOS BRUTOS'!$A$3:$A$500,$C28,'DADOS BRUTOS'!CU$3:CU$500)))</f>
        <v>0</v>
      </c>
      <c r="FV28" s="133" t="n">
        <f aca="false">IF(OR(FV$4="",$B28=""),0,SUMIF('DADOS BRUTOS'!$A$3:$A$500,$B28,'DADOS BRUTOS'!CV$3:CV$500)+IF($C28="",0,SUMIF('DADOS BRUTOS'!$A$3:$A$500,$C28,'DADOS BRUTOS'!CV$3:CV$500)))</f>
        <v>0</v>
      </c>
      <c r="FW28" s="133" t="n">
        <f aca="false">IF(OR(FW$4="",$B28=""),0,SUMIF('DADOS BRUTOS'!$A$3:$A$500,$B28,'DADOS BRUTOS'!CW$3:CW$500)+IF($C28="",0,SUMIF('DADOS BRUTOS'!$A$3:$A$500,$C28,'DADOS BRUTOS'!CW$3:CW$500)))</f>
        <v>0</v>
      </c>
      <c r="FX28" s="133" t="n">
        <f aca="false">IF(OR(FX$4="",$B28=""),0,SUMIF('DADOS BRUTOS'!$A$3:$A$500,$B28,'DADOS BRUTOS'!CX$3:CX$500)+IF($C28="",0,SUMIF('DADOS BRUTOS'!$A$3:$A$500,$C28,'DADOS BRUTOS'!CX$3:CX$500)))</f>
        <v>0</v>
      </c>
      <c r="FY28" s="133" t="n">
        <f aca="false">IF(OR(FY$4="",$B28=""),0,SUMIF('DADOS BRUTOS'!$A$3:$A$500,$B28,'DADOS BRUTOS'!CY$3:CY$500)+IF($C28="",0,SUMIF('DADOS BRUTOS'!$A$3:$A$500,$C28,'DADOS BRUTOS'!CY$3:CY$500)))</f>
        <v>0</v>
      </c>
      <c r="FZ28" s="133" t="n">
        <f aca="false">IF(OR(FZ$4="",$B28=""),0,SUMIF('DADOS BRUTOS'!$A$3:$A$500,$B28,'DADOS BRUTOS'!CZ$3:CZ$500)+IF($C28="",0,SUMIF('DADOS BRUTOS'!$A$3:$A$500,$C28,'DADOS BRUTOS'!CZ$3:CZ$500)))</f>
        <v>0</v>
      </c>
      <c r="GA28" s="133" t="n">
        <f aca="false">IF(OR(GA$4="",$B28=""),0,SUMIF('DADOS BRUTOS'!$A$3:$A$500,$B28,'DADOS BRUTOS'!DA$3:DA$500)+IF($C28="",0,SUMIF('DADOS BRUTOS'!$A$3:$A$500,$C28,'DADOS BRUTOS'!DA$3:DA$500)))</f>
        <v>0</v>
      </c>
      <c r="GB28" s="133" t="n">
        <f aca="false">IF(OR(GB$4="",$B28=""),0,SUMIF('DADOS BRUTOS'!$A$3:$A$500,$B28,'DADOS BRUTOS'!DB$3:DB$500)+IF($C28="",0,SUMIF('DADOS BRUTOS'!$A$3:$A$500,$C28,'DADOS BRUTOS'!DB$3:DB$500)))</f>
        <v>0</v>
      </c>
      <c r="GC28" s="133" t="n">
        <f aca="false">IF(OR(GC$4="",$B28=""),0,SUMIF('DADOS BRUTOS'!$A$3:$A$500,$B28,'DADOS BRUTOS'!DC$3:DC$500)+IF($C28="",0,SUMIF('DADOS BRUTOS'!$A$3:$A$500,$C28,'DADOS BRUTOS'!DC$3:DC$500)))</f>
        <v>0</v>
      </c>
      <c r="GD28" s="133" t="n">
        <f aca="false">IF(OR(GD$4="",$B28=""),0,SUMIF('DADOS BRUTOS'!$A$3:$A$500,$B28,'DADOS BRUTOS'!DD$3:DD$500)+IF($C28="",0,SUMIF('DADOS BRUTOS'!$A$3:$A$500,$C28,'DADOS BRUTOS'!DD$3:DD$500)))</f>
        <v>0</v>
      </c>
      <c r="GE28" s="133" t="n">
        <f aca="false">IF(OR(GE$4="",$B28=""),0,SUMIF('DADOS BRUTOS'!$A$3:$A$500,$B28,'DADOS BRUTOS'!DE$3:DE$500)+IF($C28="",0,SUMIF('DADOS BRUTOS'!$A$3:$A$500,$C28,'DADOS BRUTOS'!DE$3:DE$500)))</f>
        <v>0</v>
      </c>
      <c r="GF28" s="133" t="n">
        <f aca="false">IF(OR(GF$4="",$B28=""),0,SUMIF('DADOS BRUTOS'!$A$3:$A$500,$B28,'DADOS BRUTOS'!DF$3:DF$500)+IF($C28="",0,SUMIF('DADOS BRUTOS'!$A$3:$A$500,$C28,'DADOS BRUTOS'!DF$3:DF$500)))</f>
        <v>0</v>
      </c>
      <c r="GG28" s="133" t="n">
        <f aca="false">IF(OR(GG$4="",$B28=""),0,SUMIF('DADOS BRUTOS'!$A$3:$A$500,$B28,'DADOS BRUTOS'!DG$3:DG$500)+IF($C28="",0,SUMIF('DADOS BRUTOS'!$A$3:$A$500,$C28,'DADOS BRUTOS'!DG$3:DG$500)))</f>
        <v>0</v>
      </c>
      <c r="GH28" s="133" t="n">
        <f aca="false">IF(OR(GH$4="",$B28=""),0,SUMIF('DADOS BRUTOS'!$A$3:$A$500,$B28,'DADOS BRUTOS'!DH$3:DH$500)+IF($C28="",0,SUMIF('DADOS BRUTOS'!$A$3:$A$500,$C28,'DADOS BRUTOS'!DH$3:DH$500)))</f>
        <v>0</v>
      </c>
      <c r="GI28" s="133" t="n">
        <f aca="false">IF(OR(GI$4="",$B28=""),0,SUMIF('DADOS BRUTOS'!$A$3:$A$500,$B28,'DADOS BRUTOS'!DI$3:DI$500)+IF($C28="",0,SUMIF('DADOS BRUTOS'!$A$3:$A$500,$C28,'DADOS BRUTOS'!DI$3:DI$500)))</f>
        <v>0</v>
      </c>
      <c r="GJ28" s="133" t="n">
        <f aca="false">IF(OR(GJ$4="",$B28=""),0,SUMIF('DADOS BRUTOS'!$A$3:$A$500,$B28,'DADOS BRUTOS'!DJ$3:DJ$500)+IF($C28="",0,SUMIF('DADOS BRUTOS'!$A$3:$A$500,$C28,'DADOS BRUTOS'!DJ$3:DJ$500)))</f>
        <v>0</v>
      </c>
      <c r="GK28" s="133" t="n">
        <f aca="false">IF(OR(GK$4="",$B28=""),0,SUMIF('DADOS BRUTOS'!$A$3:$A$500,$B28,'DADOS BRUTOS'!DK$3:DK$500)+IF($C28="",0,SUMIF('DADOS BRUTOS'!$A$3:$A$500,$C28,'DADOS BRUTOS'!DK$3:DK$500)))</f>
        <v>0</v>
      </c>
      <c r="GL28" s="133" t="n">
        <f aca="false">IF(OR(GL$4="",$B28=""),0,SUMIF('DADOS BRUTOS'!$A$3:$A$500,$B28,'DADOS BRUTOS'!DL$3:DL$500)+IF($C28="",0,SUMIF('DADOS BRUTOS'!$A$3:$A$500,$C28,'DADOS BRUTOS'!DL$3:DL$500)))</f>
        <v>0</v>
      </c>
      <c r="GM28" s="133" t="n">
        <f aca="false">IF(OR(GM$4="",$B28=""),0,SUMIF('DADOS BRUTOS'!$A$3:$A$500,$B28,'DADOS BRUTOS'!DM$3:DM$500)+IF($C28="",0,SUMIF('DADOS BRUTOS'!$A$3:$A$500,$C28,'DADOS BRUTOS'!DM$3:DM$500)))</f>
        <v>0</v>
      </c>
      <c r="GN28" s="133" t="n">
        <f aca="false">IF(OR(GN$4="",$B28=""),0,SUMIF('DADOS BRUTOS'!$A$3:$A$500,$B28,'DADOS BRUTOS'!DN$3:DN$500)+IF($C28="",0,SUMIF('DADOS BRUTOS'!$A$3:$A$500,$C28,'DADOS BRUTOS'!DN$3:DN$500)))</f>
        <v>0</v>
      </c>
      <c r="GO28" s="133" t="n">
        <f aca="false">IF(OR(GO$4="",$B28=""),0,SUMIF('DADOS BRUTOS'!$A$3:$A$500,$B28,'DADOS BRUTOS'!DO$3:DO$500)+IF($C28="",0,SUMIF('DADOS BRUTOS'!$A$3:$A$500,$C28,'DADOS BRUTOS'!DO$3:DO$500)))</f>
        <v>0</v>
      </c>
      <c r="GP28" s="133" t="n">
        <f aca="false">IF(OR(GP$4="",$B28=""),0,SUMIF('DADOS BRUTOS'!$A$3:$A$500,$B28,'DADOS BRUTOS'!DP$3:DP$500)+IF($C28="",0,SUMIF('DADOS BRUTOS'!$A$3:$A$500,$C28,'DADOS BRUTOS'!DP$3:DP$500)))</f>
        <v>0</v>
      </c>
      <c r="GQ28" s="133" t="n">
        <f aca="false">IF(OR(GQ$4="",$B28=""),0,SUMIF('DADOS BRUTOS'!$A$3:$A$500,$B28,'DADOS BRUTOS'!DQ$3:DQ$500)+IF($C28="",0,SUMIF('DADOS BRUTOS'!$A$3:$A$500,$C28,'DADOS BRUTOS'!DQ$3:DQ$500)))</f>
        <v>0</v>
      </c>
      <c r="GR28" s="133" t="n">
        <f aca="false">IF(OR(GR$4="",$B28=""),0,SUMIF('DADOS BRUTOS'!$A$3:$A$500,$B28,'DADOS BRUTOS'!DR$3:DR$500)+IF($C28="",0,SUMIF('DADOS BRUTOS'!$A$3:$A$500,$C28,'DADOS BRUTOS'!DR$3:DR$500)))</f>
        <v>0</v>
      </c>
      <c r="GS28" s="133" t="n">
        <f aca="false">IF(OR(GS$4="",$B28=""),0,SUMIF('DADOS BRUTOS'!$A$3:$A$500,$B28,'DADOS BRUTOS'!DS$3:DS$500)+IF($C28="",0,SUMIF('DADOS BRUTOS'!$A$3:$A$500,$C28,'DADOS BRUTOS'!DS$3:DS$500)))</f>
        <v>0</v>
      </c>
      <c r="GT28" s="133" t="n">
        <f aca="false">IF(OR(GT$4="",$B28=""),0,SUMIF('DADOS BRUTOS'!$A$3:$A$500,$B28,'DADOS BRUTOS'!DT$3:DT$500)+IF($C28="",0,SUMIF('DADOS BRUTOS'!$A$3:$A$500,$C28,'DADOS BRUTOS'!DT$3:DT$500)))</f>
        <v>0</v>
      </c>
      <c r="GU28" s="133" t="n">
        <f aca="false">IF(OR(GU$4="",$B28=""),0,SUMIF('DADOS BRUTOS'!$A$3:$A$500,$B28,'DADOS BRUTOS'!DU$3:DU$500)+IF($C28="",0,SUMIF('DADOS BRUTOS'!$A$3:$A$500,$C28,'DADOS BRUTOS'!DU$3:DU$500)))</f>
        <v>0</v>
      </c>
      <c r="GV28" s="133" t="n">
        <f aca="false">IF(OR(GV$4="",$B28=""),0,SUMIF('DADOS BRUTOS'!$A$3:$A$500,$B28,'DADOS BRUTOS'!DV$3:DV$500)+IF($C28="",0,SUMIF('DADOS BRUTOS'!$A$3:$A$500,$C28,'DADOS BRUTOS'!DV$3:DV$500)))</f>
        <v>0</v>
      </c>
      <c r="GW28" s="133" t="n">
        <f aca="false">IF(OR(GW$4="",$B28=""),0,SUMIF('DADOS BRUTOS'!$A$3:$A$500,$B28,'DADOS BRUTOS'!DW$3:DW$500)+IF($C28="",0,SUMIF('DADOS BRUTOS'!$A$3:$A$500,$C28,'DADOS BRUTOS'!DW$3:DW$500)))</f>
        <v>0</v>
      </c>
      <c r="GX28" s="133" t="n">
        <f aca="false">IF(OR(GX$4="",$B28=""),0,SUMIF('DADOS BRUTOS'!$A$3:$A$500,$B28,'DADOS BRUTOS'!DX$3:DX$500)+IF($C28="",0,SUMIF('DADOS BRUTOS'!$A$3:$A$500,$C28,'DADOS BRUTOS'!DX$3:DX$500)))</f>
        <v>0</v>
      </c>
      <c r="GY28" s="133" t="n">
        <f aca="false">IF(OR(GY$4="",$B28=""),0,SUMIF('DADOS BRUTOS'!$A$3:$A$500,$B28,'DADOS BRUTOS'!DY$3:DY$500)+IF($C28="",0,SUMIF('DADOS BRUTOS'!$A$3:$A$500,$C28,'DADOS BRUTOS'!DY$3:DY$500)))</f>
        <v>0</v>
      </c>
      <c r="GZ28" s="133" t="n">
        <f aca="false">IF(OR(GZ$4="",$B28=""),0,SUMIF('DADOS BRUTOS'!$A$3:$A$500,$B28,'DADOS BRUTOS'!DZ$3:DZ$500)+IF($C28="",0,SUMIF('DADOS BRUTOS'!$A$3:$A$500,$C28,'DADOS BRUTOS'!DZ$3:DZ$500)))</f>
        <v>0</v>
      </c>
      <c r="HA28" s="133" t="n">
        <f aca="false">IF(OR(HA$4="",$B28=""),0,SUMIF('DADOS BRUTOS'!$A$3:$A$500,$B28,'DADOS BRUTOS'!EA$3:EA$500)+IF($C28="",0,SUMIF('DADOS BRUTOS'!$A$3:$A$500,$C28,'DADOS BRUTOS'!EA$3:EA$500)))</f>
        <v>0</v>
      </c>
      <c r="HB28" s="133" t="n">
        <f aca="false">IF(OR(HB$4="",$B28=""),0,SUMIF('DADOS BRUTOS'!$A$3:$A$500,$B28,'DADOS BRUTOS'!EB$3:EB$500)+IF($C28="",0,SUMIF('DADOS BRUTOS'!$A$3:$A$500,$C28,'DADOS BRUTOS'!EB$3:EB$500)))</f>
        <v>0</v>
      </c>
      <c r="HC28" s="133" t="n">
        <f aca="false">IF(OR(HC$4="",$B28=""),0,SUMIF('DADOS BRUTOS'!$A$3:$A$500,$B28,'DADOS BRUTOS'!EC$3:EC$500)+IF($C28="",0,SUMIF('DADOS BRUTOS'!$A$3:$A$500,$C28,'DADOS BRUTOS'!EC$3:EC$500)))</f>
        <v>0</v>
      </c>
      <c r="HD28" s="133" t="n">
        <f aca="false">IF(OR(HD$4="",$B28=""),0,SUMIF('DADOS BRUTOS'!$A$3:$A$500,$B28,'DADOS BRUTOS'!ED$3:ED$500)+IF($C28="",0,SUMIF('DADOS BRUTOS'!$A$3:$A$500,$C28,'DADOS BRUTOS'!ED$3:ED$500)))</f>
        <v>0</v>
      </c>
      <c r="HE28" s="133" t="n">
        <f aca="false">IF(OR(HE$4="",$B28=""),0,SUMIF('DADOS BRUTOS'!$A$3:$A$500,$B28,'DADOS BRUTOS'!EE$3:EE$500)+IF($C28="",0,SUMIF('DADOS BRUTOS'!$A$3:$A$500,$C28,'DADOS BRUTOS'!EE$3:EE$500)))</f>
        <v>0</v>
      </c>
      <c r="HF28" s="133" t="n">
        <f aca="false">IF(OR(HF$4="",$B28=""),0,SUMIF('DADOS BRUTOS'!$A$3:$A$500,$B28,'DADOS BRUTOS'!EF$3:EF$500)+IF($C28="",0,SUMIF('DADOS BRUTOS'!$A$3:$A$500,$C28,'DADOS BRUTOS'!EF$3:EF$500)))</f>
        <v>0</v>
      </c>
      <c r="HG28" s="133" t="n">
        <f aca="false">IF(OR(HG$4="",$B28=""),0,SUMIF('DADOS BRUTOS'!$A$3:$A$500,$B28,'DADOS BRUTOS'!EG$3:EG$500)+IF($C28="",0,SUMIF('DADOS BRUTOS'!$A$3:$A$500,$C28,'DADOS BRUTOS'!EG$3:EG$500)))</f>
        <v>0</v>
      </c>
      <c r="HH28" s="133" t="n">
        <f aca="false">IF(OR(HH$4="",$B28=""),0,SUMIF('DADOS BRUTOS'!$A$3:$A$500,$B28,'DADOS BRUTOS'!EH$3:EH$500)+IF($C28="",0,SUMIF('DADOS BRUTOS'!$A$3:$A$500,$C28,'DADOS BRUTOS'!EH$3:EH$500)))</f>
        <v>0</v>
      </c>
      <c r="HI28" s="133" t="n">
        <f aca="false">IF(OR(HI$4="",$B28=""),0,SUMIF('DADOS BRUTOS'!$A$3:$A$500,$B28,'DADOS BRUTOS'!EI$3:EI$500)+IF($C28="",0,SUMIF('DADOS BRUTOS'!$A$3:$A$500,$C28,'DADOS BRUTOS'!EI$3:EI$500)))</f>
        <v>0</v>
      </c>
      <c r="HJ28" s="133" t="n">
        <f aca="false">IF(OR(HJ$4="",$B28=""),0,SUMIF('DADOS BRUTOS'!$A$3:$A$500,$B28,'DADOS BRUTOS'!EJ$3:EJ$500)+IF($C28="",0,SUMIF('DADOS BRUTOS'!$A$3:$A$500,$C28,'DADOS BRUTOS'!EJ$3:EJ$500)))</f>
        <v>0</v>
      </c>
      <c r="HK28" s="133" t="n">
        <f aca="false">IF(OR(HK$4="",$B28=""),0,SUMIF('DADOS BRUTOS'!$A$3:$A$500,$B28,'DADOS BRUTOS'!EK$3:EK$500)+IF($C28="",0,SUMIF('DADOS BRUTOS'!$A$3:$A$500,$C28,'DADOS BRUTOS'!EK$3:EK$500)))</f>
        <v>0</v>
      </c>
      <c r="HL28" s="133" t="n">
        <f aca="false">IF(OR(HL$4="",$B28=""),0,SUMIF('DADOS BRUTOS'!$A$3:$A$500,$B28,'DADOS BRUTOS'!EL$3:EL$500)+IF($C28="",0,SUMIF('DADOS BRUTOS'!$A$3:$A$500,$C28,'DADOS BRUTOS'!EL$3:EL$500)))</f>
        <v>0</v>
      </c>
      <c r="HM28" s="133" t="n">
        <f aca="false">IF(OR(HM$4="",$B28=""),0,SUMIF('DADOS BRUTOS'!$A$3:$A$500,$B28,'DADOS BRUTOS'!EM$3:EM$500)+IF($C28="",0,SUMIF('DADOS BRUTOS'!$A$3:$A$500,$C28,'DADOS BRUTOS'!EM$3:EM$500)))</f>
        <v>0</v>
      </c>
      <c r="HN28" s="133" t="n">
        <f aca="false">IF(OR(HN$4="",$B28=""),0,SUMIF('DADOS BRUTOS'!$A$3:$A$500,$B28,'DADOS BRUTOS'!EN$3:EN$500)+IF($C28="",0,SUMIF('DADOS BRUTOS'!$A$3:$A$500,$C28,'DADOS BRUTOS'!EN$3:EN$500)))</f>
        <v>0</v>
      </c>
      <c r="HO28" s="133" t="n">
        <f aca="false">IF(OR(HO$4="",$B28=""),0,SUMIF('DADOS BRUTOS'!$A$3:$A$500,$B28,'DADOS BRUTOS'!EO$3:EO$500)+IF($C28="",0,SUMIF('DADOS BRUTOS'!$A$3:$A$500,$C28,'DADOS BRUTOS'!EO$3:EO$500)))</f>
        <v>0</v>
      </c>
      <c r="HP28" s="133" t="n">
        <f aca="false">IF(OR(HP$4="",$B28=""),0,SUMIF('DADOS BRUTOS'!$A$3:$A$500,$B28,'DADOS BRUTOS'!EP$3:EP$500)+IF($C28="",0,SUMIF('DADOS BRUTOS'!$A$3:$A$500,$C28,'DADOS BRUTOS'!EP$3:EP$500)))</f>
        <v>0</v>
      </c>
      <c r="HQ28" s="133" t="n">
        <f aca="false">IF(OR(HQ$4="",$B28=""),0,SUMIF('DADOS BRUTOS'!$A$3:$A$500,$B28,'DADOS BRUTOS'!EQ$3:EQ$500)+IF($C28="",0,SUMIF('DADOS BRUTOS'!$A$3:$A$500,$C28,'DADOS BRUTOS'!EQ$3:EQ$500)))</f>
        <v>0</v>
      </c>
      <c r="HR28" s="133" t="n">
        <f aca="false">IF(OR(HR$4="",$B28=""),0,SUMIF('DADOS BRUTOS'!$A$3:$A$500,$B28,'DADOS BRUTOS'!ER$3:ER$500)+IF($C28="",0,SUMIF('DADOS BRUTOS'!$A$3:$A$500,$C28,'DADOS BRUTOS'!ER$3:ER$500)))</f>
        <v>0</v>
      </c>
      <c r="HS28" s="133" t="n">
        <f aca="false">IF(OR(HS$4="",$B28=""),0,SUMIF('DADOS BRUTOS'!$A$3:$A$500,$B28,'DADOS BRUTOS'!ES$3:ES$500)+IF($C28="",0,SUMIF('DADOS BRUTOS'!$A$3:$A$500,$C28,'DADOS BRUTOS'!ES$3:ES$500)))</f>
        <v>0</v>
      </c>
      <c r="HT28" s="133" t="n">
        <f aca="false">IF(OR(HT$4="",$B28=""),0,SUMIF('DADOS BRUTOS'!$A$3:$A$500,$B28,'DADOS BRUTOS'!ET$3:ET$500)+IF($C28="",0,SUMIF('DADOS BRUTOS'!$A$3:$A$500,$C28,'DADOS BRUTOS'!ET$3:ET$500)))</f>
        <v>0</v>
      </c>
      <c r="HU28" s="133" t="n">
        <f aca="false">IF(OR(HU$4="",$B28=""),0,SUMIF('DADOS BRUTOS'!$A$3:$A$500,$B28,'DADOS BRUTOS'!EU$3:EU$500)+IF($C28="",0,SUMIF('DADOS BRUTOS'!$A$3:$A$500,$C28,'DADOS BRUTOS'!EU$3:EU$500)))</f>
        <v>0</v>
      </c>
      <c r="HV28" s="133" t="n">
        <f aca="false">IF(OR(HV$4="",$B28=""),0,SUMIF('DADOS BRUTOS'!$A$3:$A$500,$B28,'DADOS BRUTOS'!EV$3:EV$500)+IF($C28="",0,SUMIF('DADOS BRUTOS'!$A$3:$A$500,$C28,'DADOS BRUTOS'!EV$3:EV$500)))</f>
        <v>0</v>
      </c>
      <c r="HW28" s="133" t="n">
        <f aca="false">IF(OR(HW$4="",$B28=""),0,SUMIF('DADOS BRUTOS'!$A$3:$A$500,$B28,'DADOS BRUTOS'!EW$3:EW$500)+IF($C28="",0,SUMIF('DADOS BRUTOS'!$A$3:$A$500,$C28,'DADOS BRUTOS'!EW$3:EW$500)))</f>
        <v>0</v>
      </c>
      <c r="HX28" s="133" t="n">
        <f aca="false">IF(OR(HX$4="",$B28=""),0,SUMIF('DADOS BRUTOS'!$A$3:$A$500,$B28,'DADOS BRUTOS'!EX$3:EX$500)+IF($C28="",0,SUMIF('DADOS BRUTOS'!$A$3:$A$500,$C28,'DADOS BRUTOS'!EX$3:EX$500)))</f>
        <v>0</v>
      </c>
      <c r="HY28" s="133" t="n">
        <f aca="false">IF(OR(HY$4="",$B28=""),0,SUMIF('DADOS BRUTOS'!$A$3:$A$500,$B28,'DADOS BRUTOS'!EY$3:EY$500)+IF($C28="",0,SUMIF('DADOS BRUTOS'!$A$3:$A$500,$C28,'DADOS BRUTOS'!EY$3:EY$500)))</f>
        <v>0</v>
      </c>
      <c r="HZ28" s="133" t="n">
        <f aca="false">IF(OR(HZ$4="",$B28=""),0,SUMIF('DADOS BRUTOS'!$A$3:$A$500,$B28,'DADOS BRUTOS'!EZ$3:EZ$500)+IF($C28="",0,SUMIF('DADOS BRUTOS'!$A$3:$A$500,$C28,'DADOS BRUTOS'!EZ$3:EZ$500)))</f>
        <v>0</v>
      </c>
      <c r="IA28" s="133" t="n">
        <f aca="false">IF(OR(IA$4="",$B28=""),0,SUMIF('DADOS BRUTOS'!$A$3:$A$500,$B28,'DADOS BRUTOS'!FA$3:FA$500)+IF($C28="",0,SUMIF('DADOS BRUTOS'!$A$3:$A$500,$C28,'DADOS BRUTOS'!FA$3:FA$500)))</f>
        <v>0</v>
      </c>
      <c r="IB28" s="133" t="n">
        <f aca="false">IF(OR(IB$4="",$B28=""),0,SUMIF('DADOS BRUTOS'!$A$3:$A$500,$B28,'DADOS BRUTOS'!FB$3:FB$500)+IF($C28="",0,SUMIF('DADOS BRUTOS'!$A$3:$A$500,$C28,'DADOS BRUTOS'!FB$3:FB$500)))</f>
        <v>0</v>
      </c>
      <c r="IC28" s="133" t="n">
        <f aca="false">IF(OR(IC$4="",$B28=""),0,SUMIF('DADOS BRUTOS'!$A$3:$A$500,$B28,'DADOS BRUTOS'!FC$3:FC$500)+IF($C28="",0,SUMIF('DADOS BRUTOS'!$A$3:$A$500,$C28,'DADOS BRUTOS'!FC$3:FC$500)))</f>
        <v>0</v>
      </c>
      <c r="ID28" s="133" t="n">
        <f aca="false">IF(OR(ID$4="",$B28=""),0,SUMIF('DADOS BRUTOS'!$A$3:$A$500,$B28,'DADOS BRUTOS'!FD$3:FD$500)+IF($C28="",0,SUMIF('DADOS BRUTOS'!$A$3:$A$500,$C28,'DADOS BRUTOS'!FD$3:FD$500)))</f>
        <v>0</v>
      </c>
      <c r="IE28" s="133" t="n">
        <f aca="false">IF(OR(IE$4="",$B28=""),0,SUMIF('DADOS BRUTOS'!$A$3:$A$500,$B28,'DADOS BRUTOS'!FE$3:FE$500)+IF($C28="",0,SUMIF('DADOS BRUTOS'!$A$3:$A$500,$C28,'DADOS BRUTOS'!FE$3:FE$500)))</f>
        <v>0</v>
      </c>
      <c r="IF28" s="133" t="n">
        <f aca="false">IF(OR(IF$4="",$B28=""),0,SUMIF('DADOS BRUTOS'!$A$3:$A$500,$B28,'DADOS BRUTOS'!FF$3:FF$500)+IF($C28="",0,SUMIF('DADOS BRUTOS'!$A$3:$A$500,$C28,'DADOS BRUTOS'!FF$3:FF$500)))</f>
        <v>0</v>
      </c>
      <c r="IG28" s="133" t="n">
        <f aca="false">IF(OR(IG$4="",$B28=""),0,SUMIF('DADOS BRUTOS'!$A$3:$A$500,$B28,'DADOS BRUTOS'!FG$3:FG$500)+IF($C28="",0,SUMIF('DADOS BRUTOS'!$A$3:$A$500,$C28,'DADOS BRUTOS'!FG$3:FG$500)))</f>
        <v>0</v>
      </c>
      <c r="IH28" s="133" t="n">
        <f aca="false">IF(OR(IH$4="",$B28=""),0,SUMIF('DADOS BRUTOS'!$A$3:$A$500,$B28,'DADOS BRUTOS'!FH$3:FH$500)+IF($C28="",0,SUMIF('DADOS BRUTOS'!$A$3:$A$500,$C28,'DADOS BRUTOS'!FH$3:FH$500)))</f>
        <v>0</v>
      </c>
      <c r="II28" s="133" t="n">
        <f aca="false">IF(OR(II$4="",$B28=""),0,SUMIF('DADOS BRUTOS'!$A$3:$A$500,$B28,'DADOS BRUTOS'!FI$3:FI$500)+IF($C28="",0,SUMIF('DADOS BRUTOS'!$A$3:$A$500,$C28,'DADOS BRUTOS'!FI$3:FI$500)))</f>
        <v>0</v>
      </c>
      <c r="IJ28" s="133" t="n">
        <f aca="false">IF(OR(IJ$4="",$B28=""),0,SUMIF('DADOS BRUTOS'!$A$3:$A$500,$B28,'DADOS BRUTOS'!FJ$3:FJ$500)+IF($C28="",0,SUMIF('DADOS BRUTOS'!$A$3:$A$500,$C28,'DADOS BRUTOS'!FJ$3:FJ$500)))</f>
        <v>0</v>
      </c>
      <c r="IK28" s="133" t="n">
        <f aca="false">IF(OR(IK$4="",$B28=""),0,SUMIF('DADOS BRUTOS'!$A$3:$A$500,$B28,'DADOS BRUTOS'!FK$3:FK$500)+IF($C28="",0,SUMIF('DADOS BRUTOS'!$A$3:$A$500,$C28,'DADOS BRUTOS'!FK$3:FK$500)))</f>
        <v>0</v>
      </c>
      <c r="IL28" s="133" t="n">
        <f aca="false">IF(OR(IL$4="",$B28=""),0,SUMIF('DADOS BRUTOS'!$A$3:$A$500,$B28,'DADOS BRUTOS'!FL$3:FL$500)+IF($C28="",0,SUMIF('DADOS BRUTOS'!$A$3:$A$500,$C28,'DADOS BRUTOS'!FL$3:FL$500)))</f>
        <v>0</v>
      </c>
      <c r="IM28" s="133" t="n">
        <f aca="false">IF(OR(IM$4="",$B28=""),0,SUMIF('DADOS BRUTOS'!$A$3:$A$500,$B28,'DADOS BRUTOS'!FM$3:FM$500)+IF($C28="",0,SUMIF('DADOS BRUTOS'!$A$3:$A$500,$C28,'DADOS BRUTOS'!FM$3:FM$500)))</f>
        <v>0</v>
      </c>
      <c r="IN28" s="133" t="n">
        <f aca="false">IF(OR(IN$4="",$B28=""),0,SUMIF('DADOS BRUTOS'!$A$3:$A$500,$B28,'DADOS BRUTOS'!FN$3:FN$500)+IF($C28="",0,SUMIF('DADOS BRUTOS'!$A$3:$A$500,$C28,'DADOS BRUTOS'!FN$3:FN$500)))</f>
        <v>0</v>
      </c>
      <c r="IO28" s="133" t="n">
        <f aca="false">IF(OR(IO$4="",$B28=""),0,SUMIF('DADOS BRUTOS'!$A$3:$A$500,$B28,'DADOS BRUTOS'!FO$3:FO$500)+IF($C28="",0,SUMIF('DADOS BRUTOS'!$A$3:$A$500,$C28,'DADOS BRUTOS'!FO$3:FO$500)))</f>
        <v>0</v>
      </c>
      <c r="IP28" s="133" t="n">
        <f aca="false">IF(OR(IP$4="",$B28=""),0,SUMIF('DADOS BRUTOS'!$A$3:$A$500,$B28,'DADOS BRUTOS'!FP$3:FP$500)+IF($C28="",0,SUMIF('DADOS BRUTOS'!$A$3:$A$500,$C28,'DADOS BRUTOS'!FP$3:FP$500)))</f>
        <v>0</v>
      </c>
      <c r="IQ28" s="133" t="n">
        <f aca="false">IF(OR(IQ$4="",$B28=""),0,SUMIF('DADOS BRUTOS'!$A$3:$A$500,$B28,'DADOS BRUTOS'!FQ$3:FQ$500)+IF($C28="",0,SUMIF('DADOS BRUTOS'!$A$3:$A$500,$C28,'DADOS BRUTOS'!FQ$3:FQ$500)))</f>
        <v>0</v>
      </c>
      <c r="IR28" s="133" t="n">
        <f aca="false">IF(OR(IR$4="",$B28=""),0,SUMIF('DADOS BRUTOS'!$A$3:$A$500,$B28,'DADOS BRUTOS'!FR$3:FR$500)+IF($C28="",0,SUMIF('DADOS BRUTOS'!$A$3:$A$500,$C28,'DADOS BRUTOS'!FR$3:FR$500)))</f>
        <v>0</v>
      </c>
      <c r="IS28" s="133" t="n">
        <f aca="false">IF(OR(IS$4="",$B28=""),0,SUMIF('DADOS BRUTOS'!$A$3:$A$500,$B28,'DADOS BRUTOS'!FS$3:FS$500)+IF($C28="",0,SUMIF('DADOS BRUTOS'!$A$3:$A$500,$C28,'DADOS BRUTOS'!FS$3:FS$500)))</f>
        <v>0</v>
      </c>
      <c r="IT28" s="133" t="n">
        <f aca="false">IF(OR(IT$4="",$B28=""),0,SUMIF('DADOS BRUTOS'!$A$3:$A$500,$B28,'DADOS BRUTOS'!FT$3:FT$500)+IF($C28="",0,SUMIF('DADOS BRUTOS'!$A$3:$A$500,$C28,'DADOS BRUTOS'!FT$3:FT$500)))</f>
        <v>0</v>
      </c>
      <c r="IU28" s="133" t="n">
        <f aca="false">IF(OR(IU$4="",$B28=""),0,SUMIF('DADOS BRUTOS'!$A$3:$A$500,$B28,'DADOS BRUTOS'!FU$3:FU$500)+IF($C28="",0,SUMIF('DADOS BRUTOS'!$A$3:$A$500,$C28,'DADOS BRUTOS'!FU$3:FU$500)))</f>
        <v>0</v>
      </c>
      <c r="IV28" s="133" t="n">
        <f aca="false">IF(OR(IV$4="",$B28=""),0,SUMIF('DADOS BRUTOS'!$A$3:$A$500,$B28,'DADOS BRUTOS'!FV$3:FV$500)+IF($C28="",0,SUMIF('DADOS BRUTOS'!$A$3:$A$500,$C28,'DADOS BRUTOS'!FV$3:FV$500)))</f>
        <v>0</v>
      </c>
      <c r="IW28" s="133" t="n">
        <f aca="false">IF(OR(IW$4="",$B28=""),0,SUMIF('DADOS BRUTOS'!$A$3:$A$500,$B28,'DADOS BRUTOS'!FW$3:FW$500)+IF($C28="",0,SUMIF('DADOS BRUTOS'!$A$3:$A$500,$C28,'DADOS BRUTOS'!FW$3:FW$500)))</f>
        <v>0</v>
      </c>
      <c r="IX28" s="133" t="n">
        <f aca="false">IF(OR(IX$4="",$B28=""),0,SUMIF('DADOS BRUTOS'!$A$3:$A$500,$B28,'DADOS BRUTOS'!FX$3:FX$500)+IF($C28="",0,SUMIF('DADOS BRUTOS'!$A$3:$A$500,$C28,'DADOS BRUTOS'!FX$3:FX$500)))</f>
        <v>0</v>
      </c>
      <c r="IY28" s="133" t="n">
        <f aca="false">IF(OR(IY$4="",$B28=""),0,SUMIF('DADOS BRUTOS'!$A$3:$A$500,$B28,'DADOS BRUTOS'!FY$3:FY$500)+IF($C28="",0,SUMIF('DADOS BRUTOS'!$A$3:$A$500,$C28,'DADOS BRUTOS'!FY$3:FY$500)))</f>
        <v>0</v>
      </c>
      <c r="IZ28" s="133" t="n">
        <f aca="false">IF(OR(IZ$4="",$B28=""),0,SUMIF('DADOS BRUTOS'!$A$3:$A$500,$B28,'DADOS BRUTOS'!FZ$3:FZ$500)+IF($C28="",0,SUMIF('DADOS BRUTOS'!$A$3:$A$500,$C28,'DADOS BRUTOS'!FZ$3:FZ$500)))</f>
        <v>0</v>
      </c>
      <c r="JA28" s="133" t="n">
        <f aca="false">IF(OR(JA$4="",$B28=""),0,SUMIF('DADOS BRUTOS'!$A$3:$A$500,$B28,'DADOS BRUTOS'!GA$3:GA$500)+IF($C28="",0,SUMIF('DADOS BRUTOS'!$A$3:$A$500,$C28,'DADOS BRUTOS'!GA$3:GA$500)))</f>
        <v>0</v>
      </c>
      <c r="JB28" s="133" t="n">
        <f aca="false">IF(OR(JB$4="",$B28=""),0,SUMIF('DADOS BRUTOS'!$A$3:$A$500,$B28,'DADOS BRUTOS'!GB$3:GB$500)+IF($C28="",0,SUMIF('DADOS BRUTOS'!$A$3:$A$500,$C28,'DADOS BRUTOS'!GB$3:GB$500)))</f>
        <v>0</v>
      </c>
      <c r="JC28" s="133" t="n">
        <f aca="false">IF(OR(JC$4="",$B28=""),0,SUMIF('DADOS BRUTOS'!$A$3:$A$500,$B28,'DADOS BRUTOS'!GC$3:GC$500)+IF($C28="",0,SUMIF('DADOS BRUTOS'!$A$3:$A$500,$C28,'DADOS BRUTOS'!GC$3:GC$500)))</f>
        <v>0</v>
      </c>
      <c r="JD28" s="133" t="n">
        <f aca="false">IF(OR(JD$4="",$B28=""),0,SUMIF('DADOS BRUTOS'!$A$3:$A$500,$B28,'DADOS BRUTOS'!GD$3:GD$500)+IF($C28="",0,SUMIF('DADOS BRUTOS'!$A$3:$A$500,$C28,'DADOS BRUTOS'!GD$3:GD$500)))</f>
        <v>0</v>
      </c>
      <c r="JE28" s="133" t="n">
        <f aca="false">IF(OR(JE$4="",$B28=""),0,SUMIF('DADOS BRUTOS'!$A$3:$A$500,$B28,'DADOS BRUTOS'!GE$3:GE$500)+IF($C28="",0,SUMIF('DADOS BRUTOS'!$A$3:$A$500,$C28,'DADOS BRUTOS'!GE$3:GE$500)))</f>
        <v>0</v>
      </c>
      <c r="JF28" s="133" t="n">
        <f aca="false">IF(OR(JF$4="",$B28=""),0,SUMIF('DADOS BRUTOS'!$A$3:$A$500,$B28,'DADOS BRUTOS'!GF$3:GF$500)+IF($C28="",0,SUMIF('DADOS BRUTOS'!$A$3:$A$500,$C28,'DADOS BRUTOS'!GF$3:GF$500)))</f>
        <v>0</v>
      </c>
      <c r="JG28" s="133" t="n">
        <f aca="false">IF(OR(JG$4="",$B28=""),0,SUMIF('DADOS BRUTOS'!$A$3:$A$500,$B28,'DADOS BRUTOS'!GG$3:GG$500)+IF($C28="",0,SUMIF('DADOS BRUTOS'!$A$3:$A$500,$C28,'DADOS BRUTOS'!GG$3:GG$500)))</f>
        <v>0</v>
      </c>
      <c r="JH28" s="133" t="n">
        <f aca="false">IF(OR(JH$4="",$B28=""),0,SUMIF('DADOS BRUTOS'!$A$3:$A$500,$B28,'DADOS BRUTOS'!GH$3:GH$500)+IF($C28="",0,SUMIF('DADOS BRUTOS'!$A$3:$A$500,$C28,'DADOS BRUTOS'!GH$3:GH$500)))</f>
        <v>0</v>
      </c>
      <c r="JI28" s="133" t="n">
        <f aca="false">IF(OR(JI$4="",$B28=""),0,SUMIF('DADOS BRUTOS'!$A$3:$A$500,$B28,'DADOS BRUTOS'!GI$3:GI$500)+IF($C28="",0,SUMIF('DADOS BRUTOS'!$A$3:$A$500,$C28,'DADOS BRUTOS'!GI$3:GI$500)))</f>
        <v>0</v>
      </c>
      <c r="JJ28" s="133" t="n">
        <f aca="false">IF(OR(JJ$4="",$B28=""),0,SUMIF('DADOS BRUTOS'!$A$3:$A$500,$B28,'DADOS BRUTOS'!GJ$3:GJ$500)+IF($C28="",0,SUMIF('DADOS BRUTOS'!$A$3:$A$500,$C28,'DADOS BRUTOS'!GJ$3:GJ$500)))</f>
        <v>0</v>
      </c>
      <c r="JK28" s="133" t="n">
        <f aca="false">IF(OR(JK$4="",$B28=""),0,SUMIF('DADOS BRUTOS'!$A$3:$A$500,$B28,'DADOS BRUTOS'!GK$3:GK$500)+IF($C28="",0,SUMIF('DADOS BRUTOS'!$A$3:$A$500,$C28,'DADOS BRUTOS'!GK$3:GK$500)))</f>
        <v>0</v>
      </c>
      <c r="JL28" s="133" t="n">
        <f aca="false">IF(OR(JL$4="",$B28=""),0,SUMIF('DADOS BRUTOS'!$A$3:$A$500,$B28,'DADOS BRUTOS'!GL$3:GL$500)+IF($C28="",0,SUMIF('DADOS BRUTOS'!$A$3:$A$500,$C28,'DADOS BRUTOS'!GL$3:GL$500)))</f>
        <v>0</v>
      </c>
      <c r="JM28" s="133" t="n">
        <f aca="false">IF(OR(JM$4="",$B28=""),0,SUMIF('DADOS BRUTOS'!$A$3:$A$500,$B28,'DADOS BRUTOS'!GM$3:GM$500)+IF($C28="",0,SUMIF('DADOS BRUTOS'!$A$3:$A$500,$C28,'DADOS BRUTOS'!GM$3:GM$500)))</f>
        <v>0</v>
      </c>
      <c r="JN28" s="133" t="n">
        <f aca="false">IF(OR(JN$4="",$B28=""),0,SUMIF('DADOS BRUTOS'!$A$3:$A$500,$B28,'DADOS BRUTOS'!GN$3:GN$500)+IF($C28="",0,SUMIF('DADOS BRUTOS'!$A$3:$A$500,$C28,'DADOS BRUTOS'!GN$3:GN$500)))</f>
        <v>0</v>
      </c>
      <c r="JO28" s="133" t="n">
        <f aca="false">IF(OR(JO$4="",$B28=""),0,SUMIF('DADOS BRUTOS'!$A$3:$A$500,$B28,'DADOS BRUTOS'!GO$3:GO$500)+IF($C28="",0,SUMIF('DADOS BRUTOS'!$A$3:$A$500,$C28,'DADOS BRUTOS'!GO$3:GO$500)))</f>
        <v>0</v>
      </c>
      <c r="JP28" s="133" t="n">
        <f aca="false">IF(OR(JP$4="",$B28=""),0,SUMIF('DADOS BRUTOS'!$A$3:$A$500,$B28,'DADOS BRUTOS'!GP$3:GP$500)+IF($C28="",0,SUMIF('DADOS BRUTOS'!$A$3:$A$500,$C28,'DADOS BRUTOS'!GP$3:GP$500)))</f>
        <v>0</v>
      </c>
      <c r="JQ28" s="133" t="n">
        <f aca="false">IF(OR(JQ$4="",$B28=""),0,SUMIF('DADOS BRUTOS'!$A$3:$A$500,$B28,'DADOS BRUTOS'!GQ$3:GQ$500)+IF($C28="",0,SUMIF('DADOS BRUTOS'!$A$3:$A$500,$C28,'DADOS BRUTOS'!GQ$3:GQ$500)))</f>
        <v>0</v>
      </c>
      <c r="JR28" s="133" t="n">
        <f aca="false">IF(OR(JR$4="",$B28=""),0,SUMIF('DADOS BRUTOS'!$A$3:$A$500,$B28,'DADOS BRUTOS'!GR$3:GR$500)+IF($C28="",0,SUMIF('DADOS BRUTOS'!$A$3:$A$500,$C28,'DADOS BRUTOS'!GR$3:GR$500)))</f>
        <v>0</v>
      </c>
      <c r="JS28" s="133" t="n">
        <f aca="false">IF(OR(JS$4="",$B28=""),0,SUMIF('DADOS BRUTOS'!$A$3:$A$500,$B28,'DADOS BRUTOS'!GS$3:GS$500)+IF($C28="",0,SUMIF('DADOS BRUTOS'!$A$3:$A$500,$C28,'DADOS BRUTOS'!GS$3:GS$500)))</f>
        <v>0</v>
      </c>
    </row>
    <row r="29" customFormat="false" ht="15" hidden="false" customHeight="false" outlineLevel="0" collapsed="false">
      <c r="A29" s="57" t="str">
        <f aca="false">'VALOR POR PL'!D35</f>
        <v>ESQUADRIAS</v>
      </c>
      <c r="B29" s="55" t="s">
        <v>190</v>
      </c>
      <c r="C29" s="55"/>
      <c r="D29" s="50" t="n">
        <f aca="false">SUMIF($CB$4:$JS$4,"&lt;="&amp;D$4,$CB29:$JS29)</f>
        <v>0</v>
      </c>
      <c r="E29" s="50" t="n">
        <f aca="false">SUMIF($CB$4:$JS$4,E$4,$CB29:$JS29)</f>
        <v>0</v>
      </c>
      <c r="F29" s="50" t="n">
        <f aca="false">SUMIF($CB$4:$JS$4,F$4,$CB29:$JS29)</f>
        <v>0</v>
      </c>
      <c r="G29" s="50" t="n">
        <f aca="false">SUMIF($CB$4:$JS$4,G$4,$CB29:$JS29)</f>
        <v>0</v>
      </c>
      <c r="H29" s="50" t="n">
        <f aca="false">SUMIF($CB$4:$JS$4,H$4,$CB29:$JS29)</f>
        <v>0</v>
      </c>
      <c r="I29" s="50" t="n">
        <f aca="false">SUMIF($CB$4:$JS$4,I$4,$CB29:$JS29)</f>
        <v>0</v>
      </c>
      <c r="J29" s="50" t="n">
        <f aca="false">SUMIF($CB$4:$JS$4,J$4,$CB29:$JS29)</f>
        <v>0</v>
      </c>
      <c r="K29" s="50" t="n">
        <f aca="false">SUMIF($CB$4:$JS$4,K$4,$CB29:$JS29)</f>
        <v>0</v>
      </c>
      <c r="L29" s="50" t="n">
        <f aca="false">SUMIF($CB$4:$JS$4,L$4,$CB29:$JS29)</f>
        <v>0</v>
      </c>
      <c r="M29" s="50" t="n">
        <f aca="false">SUMIF($CB$4:$JS$4,M$4,$CB29:$JS29)</f>
        <v>0</v>
      </c>
      <c r="N29" s="50" t="n">
        <f aca="false">SUMIF($CB$4:$JS$4,N$4,$CB29:$JS29)</f>
        <v>0</v>
      </c>
      <c r="O29" s="50" t="n">
        <f aca="false">SUMIF($CB$4:$JS$4,O$4,$CB29:$JS29)</f>
        <v>0</v>
      </c>
      <c r="P29" s="50" t="n">
        <f aca="false">SUMIF($CB$4:$JS$4,P$4,$CB29:$JS29)</f>
        <v>0</v>
      </c>
      <c r="Q29" s="50" t="n">
        <f aca="false">SUMIF($CB$4:$JS$4,Q$4,$CB29:$JS29)</f>
        <v>0</v>
      </c>
      <c r="R29" s="50" t="n">
        <f aca="false">SUMIF($CB$4:$JS$4,R$4,$CB29:$JS29)</f>
        <v>0</v>
      </c>
      <c r="S29" s="50" t="n">
        <f aca="false">SUMIF($CB$4:$JS$4,S$4,$CB29:$JS29)</f>
        <v>0</v>
      </c>
      <c r="T29" s="50" t="n">
        <f aca="false">SUMIF($CB$4:$JS$4,T$4,$CB29:$JS29)</f>
        <v>0</v>
      </c>
      <c r="U29" s="50" t="n">
        <f aca="false">SUMIF($CB$4:$JS$4,U$4,$CB29:$JS29)</f>
        <v>0</v>
      </c>
      <c r="V29" s="50" t="n">
        <f aca="false">SUMIF($CB$4:$JS$4,V$4,$CB29:$JS29)</f>
        <v>0</v>
      </c>
      <c r="W29" s="50" t="n">
        <f aca="false">SUMIF($CB$4:$JS$4,W$4,$CB29:$JS29)</f>
        <v>0</v>
      </c>
      <c r="X29" s="50" t="n">
        <f aca="false">SUMIF($CB$4:$JS$4,X$4,$CB29:$JS29)</f>
        <v>0</v>
      </c>
      <c r="Y29" s="50" t="n">
        <f aca="false">SUMIF($CB$4:$JS$4,Y$4,$CB29:$JS29)</f>
        <v>0</v>
      </c>
      <c r="Z29" s="50" t="n">
        <f aca="false">SUMIF($CB$4:$JS$4,Z$4,$CB29:$JS29)</f>
        <v>0</v>
      </c>
      <c r="AA29" s="50" t="n">
        <f aca="false">SUMIF($CB$4:$JS$4,AA$4,$CB29:$JS29)</f>
        <v>0</v>
      </c>
      <c r="AB29" s="50" t="n">
        <f aca="false">SUMIF($CB$4:$JS$4,AB$4,$CB29:$JS29)</f>
        <v>0</v>
      </c>
      <c r="AC29" s="50" t="n">
        <f aca="false">SUMIF($CB$4:$JS$4,AC$4,$CB29:$JS29)</f>
        <v>0</v>
      </c>
      <c r="AD29" s="50" t="n">
        <f aca="false">SUMIF($CB$4:$JS$4,AD$4,$CB29:$JS29)</f>
        <v>0</v>
      </c>
      <c r="AE29" s="50" t="n">
        <f aca="false">SUMIF($CB$4:$JS$4,AE$4,$CB29:$JS29)</f>
        <v>0</v>
      </c>
      <c r="AF29" s="50" t="n">
        <f aca="false">SUMIF($CB$4:$JS$4,AF$4,$CB29:$JS29)</f>
        <v>0</v>
      </c>
      <c r="AG29" s="50" t="n">
        <f aca="false">SUMIF($CB$4:$JS$4,AG$4,$CB29:$JS29)</f>
        <v>0</v>
      </c>
      <c r="AH29" s="50" t="n">
        <f aca="false">SUMIF($CB$4:$JS$4,AH$4,$CB29:$JS29)</f>
        <v>0</v>
      </c>
      <c r="AI29" s="50" t="n">
        <f aca="false">SUMIF($CB$4:$JS$4,AI$4,$CB29:$JS29)</f>
        <v>0</v>
      </c>
      <c r="AJ29" s="50" t="n">
        <f aca="false">SUMIF($CB$4:$JS$4,AJ$4,$CB29:$JS29)</f>
        <v>0</v>
      </c>
      <c r="AK29" s="50" t="n">
        <f aca="false">SUMIF($CB$4:$JS$4,AK$4,$CB29:$JS29)</f>
        <v>0</v>
      </c>
      <c r="AL29" s="50" t="n">
        <f aca="false">SUMIF($CB$4:$JS$4,AL$4,$CB29:$JS29)</f>
        <v>0</v>
      </c>
      <c r="AM29" s="50" t="n">
        <f aca="false">SUMIF($CB$4:$JS$4,AM$4,$CB29:$JS29)</f>
        <v>0</v>
      </c>
      <c r="AN29" s="50" t="n">
        <f aca="false">SUMIF($CB$4:$JS$4,AN$4,$CB29:$JS29)</f>
        <v>0</v>
      </c>
      <c r="AO29" s="50" t="n">
        <f aca="false">SUMIF($CB$4:$JS$4,AO$4,$CB29:$JS29)</f>
        <v>0</v>
      </c>
      <c r="AP29" s="50" t="n">
        <f aca="false">SUMIF($CB$4:$JS$4,AP$4,$CB29:$JS29)</f>
        <v>0</v>
      </c>
      <c r="AQ29" s="50" t="n">
        <f aca="false">SUMIF($CB$4:$JS$4,AQ$4,$CB29:$JS29)</f>
        <v>0</v>
      </c>
      <c r="AR29" s="50" t="n">
        <f aca="false">SUMIF($CB$4:$JS$4,AR$4,$CB29:$JS29)</f>
        <v>0</v>
      </c>
      <c r="AS29" s="50" t="n">
        <f aca="false">SUMIF($CB$4:$JS$4,AS$4,$CB29:$JS29)</f>
        <v>0</v>
      </c>
      <c r="AT29" s="50" t="n">
        <f aca="false">SUMIF($CB$4:$JS$4,AT$4,$CB29:$JS29)</f>
        <v>0</v>
      </c>
      <c r="AU29" s="50" t="n">
        <f aca="false">SUMIF($CB$4:$JS$4,AU$4,$CB29:$JS29)</f>
        <v>0</v>
      </c>
      <c r="AV29" s="50" t="n">
        <f aca="false">SUMIF($CB$4:$JS$4,AV$4,$CB29:$JS29)</f>
        <v>0</v>
      </c>
      <c r="AW29" s="50" t="n">
        <f aca="false">SUMIF($CB$4:$JS$4,AW$4,$CB29:$JS29)</f>
        <v>0</v>
      </c>
      <c r="AX29" s="50" t="n">
        <f aca="false">SUMIF($CB$4:$JS$4,AX$4,$CB29:$JS29)</f>
        <v>0</v>
      </c>
      <c r="AY29" s="50" t="n">
        <f aca="false">SUMIF($CB$4:$JS$4,AY$4,$CB29:$JS29)</f>
        <v>0</v>
      </c>
      <c r="AZ29" s="50" t="n">
        <f aca="false">SUMIF($CB$4:$JS$4,AZ$4,$CB29:$JS29)</f>
        <v>0</v>
      </c>
      <c r="BA29" s="50" t="n">
        <f aca="false">SUMIF($CB$4:$JS$4,BA$4,$CB29:$JS29)</f>
        <v>0</v>
      </c>
      <c r="BB29" s="50" t="n">
        <f aca="false">SUMIF($CB$4:$JS$4,BB$4,$CB29:$JS29)</f>
        <v>0</v>
      </c>
      <c r="BC29" s="50" t="n">
        <f aca="false">SUMIF($CB$4:$JS$4,BC$4,$CB29:$JS29)</f>
        <v>0</v>
      </c>
      <c r="BD29" s="50" t="n">
        <f aca="false">SUMIF($CB$4:$JS$4,BD$4,$CB29:$JS29)</f>
        <v>0</v>
      </c>
      <c r="BE29" s="50" t="n">
        <f aca="false">SUMIF($CB$4:$JS$4,BE$4,$CB29:$JS29)</f>
        <v>0</v>
      </c>
      <c r="BF29" s="50" t="n">
        <f aca="false">SUMIF($CB$4:$JS$4,BF$4,$CB29:$JS29)</f>
        <v>0</v>
      </c>
      <c r="BG29" s="50" t="n">
        <f aca="false">SUMIF($CB$4:$JS$4,BG$4,$CB29:$JS29)</f>
        <v>0</v>
      </c>
      <c r="BH29" s="50" t="n">
        <f aca="false">SUMIF($CB$4:$JS$4,BH$4,$CB29:$JS29)</f>
        <v>0</v>
      </c>
      <c r="BI29" s="50" t="n">
        <f aca="false">SUMIF($CB$4:$JS$4,BI$4,$CB29:$JS29)</f>
        <v>0</v>
      </c>
      <c r="BJ29" s="50" t="n">
        <f aca="false">SUMIF($CB$4:$JS$4,BJ$4,$CB29:$JS29)</f>
        <v>0</v>
      </c>
      <c r="BK29" s="50" t="n">
        <f aca="false">SUMIF($CB$4:$JS$4,BK$4,$CB29:$JS29)</f>
        <v>0</v>
      </c>
      <c r="BL29" s="50" t="n">
        <f aca="false">SUMIF($CB$4:$JS$4,BL$4,$CB29:$JS29)</f>
        <v>0</v>
      </c>
      <c r="BM29" s="50" t="n">
        <f aca="false">SUMIF($CB$4:$JS$4,BM$4,$CB29:$JS29)</f>
        <v>0</v>
      </c>
      <c r="BN29" s="50" t="n">
        <f aca="false">SUMIF($CB$4:$JS$4,BN$4,$CB29:$JS29)</f>
        <v>0</v>
      </c>
      <c r="BO29" s="50" t="n">
        <f aca="false">SUMIF($CB$4:$JS$4,BO$4,$CB29:$JS29)</f>
        <v>0</v>
      </c>
      <c r="BP29" s="50" t="n">
        <f aca="false">SUMIF($CB$4:$JS$4,BP$4,$CB29:$JS29)</f>
        <v>0</v>
      </c>
      <c r="BQ29" s="50" t="n">
        <f aca="false">SUMIF($CB$4:$JS$4,BQ$4,$CB29:$JS29)</f>
        <v>0</v>
      </c>
      <c r="BR29" s="50" t="n">
        <f aca="false">SUMIF($CB$4:$JS$4,BR$4,$CB29:$JS29)</f>
        <v>0</v>
      </c>
      <c r="BS29" s="50" t="n">
        <f aca="false">SUMIF($CB$4:$JS$4,BS$4,$CB29:$JS29)</f>
        <v>0</v>
      </c>
      <c r="BT29" s="50" t="n">
        <f aca="false">SUMIF($CB$4:$JS$4,BT$4,$CB29:$JS29)</f>
        <v>0</v>
      </c>
      <c r="BU29" s="50" t="n">
        <f aca="false">SUMIF($CB$4:$JS$4,BU$4,$CB29:$JS29)</f>
        <v>0</v>
      </c>
      <c r="BV29" s="50" t="n">
        <f aca="false">SUMIF($CB$4:$JS$4,BV$4,$CB29:$JS29)</f>
        <v>0</v>
      </c>
      <c r="BW29" s="50" t="n">
        <f aca="false">SUMIF($CB$4:$JS$4,BW$4,$CB29:$JS29)</f>
        <v>0</v>
      </c>
      <c r="BX29" s="50" t="n">
        <f aca="false">SUMIF($CB$4:$JS$4,"&gt;"&amp;'VALOR POR PL'!$P$8,$CB29:$JS29)</f>
        <v>0</v>
      </c>
      <c r="BY29" s="50" t="n">
        <f aca="false">SUM($CB29:$JS29)</f>
        <v>0</v>
      </c>
      <c r="BZ29" s="45" t="n">
        <f aca="false">SUMPRODUCT(($CB$4:$JS$4&lt;&gt;"")*($CB$4:$JS$4&lt;=$D$4),$CB29:$JS29,$CB$1:$JS$1)</f>
        <v>0</v>
      </c>
      <c r="CB29" s="133" t="n">
        <f aca="false">IF(OR(CB$4="",$B29=""),0,SUMIF('DADOS BRUTOS'!$A$3:$A$500,$B29,'DADOS BRUTOS'!B$3:B$500)+IF($C29="",0,SUMIF('DADOS BRUTOS'!$A$3:$A$500,$C29,'DADOS BRUTOS'!B$3:B$500)))</f>
        <v>0</v>
      </c>
      <c r="CC29" s="133" t="n">
        <f aca="false">IF(OR(CC$4="",$B29=""),0,SUMIF('DADOS BRUTOS'!$A$3:$A$500,$B29,'DADOS BRUTOS'!C$3:C$500)+IF($C29="",0,SUMIF('DADOS BRUTOS'!$A$3:$A$500,$C29,'DADOS BRUTOS'!C$3:C$500)))</f>
        <v>0</v>
      </c>
      <c r="CD29" s="133" t="n">
        <f aca="false">IF(OR(CD$4="",$B29=""),0,SUMIF('DADOS BRUTOS'!$A$3:$A$500,$B29,'DADOS BRUTOS'!D$3:D$500)+IF($C29="",0,SUMIF('DADOS BRUTOS'!$A$3:$A$500,$C29,'DADOS BRUTOS'!D$3:D$500)))</f>
        <v>0</v>
      </c>
      <c r="CE29" s="133" t="n">
        <f aca="false">IF(OR(CE$4="",$B29=""),0,SUMIF('DADOS BRUTOS'!$A$3:$A$500,$B29,'DADOS BRUTOS'!E$3:E$500)+IF($C29="",0,SUMIF('DADOS BRUTOS'!$A$3:$A$500,$C29,'DADOS BRUTOS'!E$3:E$500)))</f>
        <v>0</v>
      </c>
      <c r="CF29" s="133" t="n">
        <f aca="false">IF(OR(CF$4="",$B29=""),0,SUMIF('DADOS BRUTOS'!$A$3:$A$500,$B29,'DADOS BRUTOS'!F$3:F$500)+IF($C29="",0,SUMIF('DADOS BRUTOS'!$A$3:$A$500,$C29,'DADOS BRUTOS'!F$3:F$500)))</f>
        <v>0</v>
      </c>
      <c r="CG29" s="133" t="n">
        <f aca="false">IF(OR(CG$4="",$B29=""),0,SUMIF('DADOS BRUTOS'!$A$3:$A$500,$B29,'DADOS BRUTOS'!G$3:G$500)+IF($C29="",0,SUMIF('DADOS BRUTOS'!$A$3:$A$500,$C29,'DADOS BRUTOS'!G$3:G$500)))</f>
        <v>0</v>
      </c>
      <c r="CH29" s="133" t="n">
        <f aca="false">IF(OR(CH$4="",$B29=""),0,SUMIF('DADOS BRUTOS'!$A$3:$A$500,$B29,'DADOS BRUTOS'!H$3:H$500)+IF($C29="",0,SUMIF('DADOS BRUTOS'!$A$3:$A$500,$C29,'DADOS BRUTOS'!H$3:H$500)))</f>
        <v>0</v>
      </c>
      <c r="CI29" s="133" t="n">
        <f aca="false">IF(OR(CI$4="",$B29=""),0,SUMIF('DADOS BRUTOS'!$A$3:$A$500,$B29,'DADOS BRUTOS'!I$3:I$500)+IF($C29="",0,SUMIF('DADOS BRUTOS'!$A$3:$A$500,$C29,'DADOS BRUTOS'!I$3:I$500)))</f>
        <v>0</v>
      </c>
      <c r="CJ29" s="133" t="n">
        <f aca="false">IF(OR(CJ$4="",$B29=""),0,SUMIF('DADOS BRUTOS'!$A$3:$A$500,$B29,'DADOS BRUTOS'!J$3:J$500)+IF($C29="",0,SUMIF('DADOS BRUTOS'!$A$3:$A$500,$C29,'DADOS BRUTOS'!J$3:J$500)))</f>
        <v>0</v>
      </c>
      <c r="CK29" s="133" t="n">
        <f aca="false">IF(OR(CK$4="",$B29=""),0,SUMIF('DADOS BRUTOS'!$A$3:$A$500,$B29,'DADOS BRUTOS'!K$3:K$500)+IF($C29="",0,SUMIF('DADOS BRUTOS'!$A$3:$A$500,$C29,'DADOS BRUTOS'!K$3:K$500)))</f>
        <v>0</v>
      </c>
      <c r="CL29" s="133" t="n">
        <f aca="false">IF(OR(CL$4="",$B29=""),0,SUMIF('DADOS BRUTOS'!$A$3:$A$500,$B29,'DADOS BRUTOS'!L$3:L$500)+IF($C29="",0,SUMIF('DADOS BRUTOS'!$A$3:$A$500,$C29,'DADOS BRUTOS'!L$3:L$500)))</f>
        <v>0</v>
      </c>
      <c r="CM29" s="133" t="n">
        <f aca="false">IF(OR(CM$4="",$B29=""),0,SUMIF('DADOS BRUTOS'!$A$3:$A$500,$B29,'DADOS BRUTOS'!M$3:M$500)+IF($C29="",0,SUMIF('DADOS BRUTOS'!$A$3:$A$500,$C29,'DADOS BRUTOS'!M$3:M$500)))</f>
        <v>0</v>
      </c>
      <c r="CN29" s="133" t="n">
        <f aca="false">IF(OR(CN$4="",$B29=""),0,SUMIF('DADOS BRUTOS'!$A$3:$A$500,$B29,'DADOS BRUTOS'!N$3:N$500)+IF($C29="",0,SUMIF('DADOS BRUTOS'!$A$3:$A$500,$C29,'DADOS BRUTOS'!N$3:N$500)))</f>
        <v>0</v>
      </c>
      <c r="CO29" s="133" t="n">
        <f aca="false">IF(OR(CO$4="",$B29=""),0,SUMIF('DADOS BRUTOS'!$A$3:$A$500,$B29,'DADOS BRUTOS'!O$3:O$500)+IF($C29="",0,SUMIF('DADOS BRUTOS'!$A$3:$A$500,$C29,'DADOS BRUTOS'!O$3:O$500)))</f>
        <v>0</v>
      </c>
      <c r="CP29" s="133" t="n">
        <f aca="false">IF(OR(CP$4="",$B29=""),0,SUMIF('DADOS BRUTOS'!$A$3:$A$500,$B29,'DADOS BRUTOS'!P$3:P$500)+IF($C29="",0,SUMIF('DADOS BRUTOS'!$A$3:$A$500,$C29,'DADOS BRUTOS'!P$3:P$500)))</f>
        <v>0</v>
      </c>
      <c r="CQ29" s="133" t="n">
        <f aca="false">IF(OR(CQ$4="",$B29=""),0,SUMIF('DADOS BRUTOS'!$A$3:$A$500,$B29,'DADOS BRUTOS'!Q$3:Q$500)+IF($C29="",0,SUMIF('DADOS BRUTOS'!$A$3:$A$500,$C29,'DADOS BRUTOS'!Q$3:Q$500)))</f>
        <v>0</v>
      </c>
      <c r="CR29" s="133" t="n">
        <f aca="false">IF(OR(CR$4="",$B29=""),0,SUMIF('DADOS BRUTOS'!$A$3:$A$500,$B29,'DADOS BRUTOS'!R$3:R$500)+IF($C29="",0,SUMIF('DADOS BRUTOS'!$A$3:$A$500,$C29,'DADOS BRUTOS'!R$3:R$500)))</f>
        <v>0</v>
      </c>
      <c r="CS29" s="133" t="n">
        <f aca="false">IF(OR(CS$4="",$B29=""),0,SUMIF('DADOS BRUTOS'!$A$3:$A$500,$B29,'DADOS BRUTOS'!S$3:S$500)+IF($C29="",0,SUMIF('DADOS BRUTOS'!$A$3:$A$500,$C29,'DADOS BRUTOS'!S$3:S$500)))</f>
        <v>0</v>
      </c>
      <c r="CT29" s="133" t="n">
        <f aca="false">IF(OR(CT$4="",$B29=""),0,SUMIF('DADOS BRUTOS'!$A$3:$A$500,$B29,'DADOS BRUTOS'!T$3:T$500)+IF($C29="",0,SUMIF('DADOS BRUTOS'!$A$3:$A$500,$C29,'DADOS BRUTOS'!T$3:T$500)))</f>
        <v>0</v>
      </c>
      <c r="CU29" s="133" t="n">
        <f aca="false">IF(OR(CU$4="",$B29=""),0,SUMIF('DADOS BRUTOS'!$A$3:$A$500,$B29,'DADOS BRUTOS'!U$3:U$500)+IF($C29="",0,SUMIF('DADOS BRUTOS'!$A$3:$A$500,$C29,'DADOS BRUTOS'!U$3:U$500)))</f>
        <v>0</v>
      </c>
      <c r="CV29" s="133" t="n">
        <f aca="false">IF(OR(CV$4="",$B29=""),0,SUMIF('DADOS BRUTOS'!$A$3:$A$500,$B29,'DADOS BRUTOS'!V$3:V$500)+IF($C29="",0,SUMIF('DADOS BRUTOS'!$A$3:$A$500,$C29,'DADOS BRUTOS'!V$3:V$500)))</f>
        <v>0</v>
      </c>
      <c r="CW29" s="133" t="n">
        <f aca="false">IF(OR(CW$4="",$B29=""),0,SUMIF('DADOS BRUTOS'!$A$3:$A$500,$B29,'DADOS BRUTOS'!W$3:W$500)+IF($C29="",0,SUMIF('DADOS BRUTOS'!$A$3:$A$500,$C29,'DADOS BRUTOS'!W$3:W$500)))</f>
        <v>0</v>
      </c>
      <c r="CX29" s="133" t="n">
        <f aca="false">IF(OR(CX$4="",$B29=""),0,SUMIF('DADOS BRUTOS'!$A$3:$A$500,$B29,'DADOS BRUTOS'!X$3:X$500)+IF($C29="",0,SUMIF('DADOS BRUTOS'!$A$3:$A$500,$C29,'DADOS BRUTOS'!X$3:X$500)))</f>
        <v>0</v>
      </c>
      <c r="CY29" s="133" t="n">
        <f aca="false">IF(OR(CY$4="",$B29=""),0,SUMIF('DADOS BRUTOS'!$A$3:$A$500,$B29,'DADOS BRUTOS'!Y$3:Y$500)+IF($C29="",0,SUMIF('DADOS BRUTOS'!$A$3:$A$500,$C29,'DADOS BRUTOS'!Y$3:Y$500)))</f>
        <v>0</v>
      </c>
      <c r="CZ29" s="133" t="n">
        <f aca="false">IF(OR(CZ$4="",$B29=""),0,SUMIF('DADOS BRUTOS'!$A$3:$A$500,$B29,'DADOS BRUTOS'!Z$3:Z$500)+IF($C29="",0,SUMIF('DADOS BRUTOS'!$A$3:$A$500,$C29,'DADOS BRUTOS'!Z$3:Z$500)))</f>
        <v>0</v>
      </c>
      <c r="DA29" s="133" t="n">
        <f aca="false">IF(OR(DA$4="",$B29=""),0,SUMIF('DADOS BRUTOS'!$A$3:$A$500,$B29,'DADOS BRUTOS'!AA$3:AA$500)+IF($C29="",0,SUMIF('DADOS BRUTOS'!$A$3:$A$500,$C29,'DADOS BRUTOS'!AA$3:AA$500)))</f>
        <v>0</v>
      </c>
      <c r="DB29" s="133" t="n">
        <f aca="false">IF(OR(DB$4="",$B29=""),0,SUMIF('DADOS BRUTOS'!$A$3:$A$500,$B29,'DADOS BRUTOS'!AB$3:AB$500)+IF($C29="",0,SUMIF('DADOS BRUTOS'!$A$3:$A$500,$C29,'DADOS BRUTOS'!AB$3:AB$500)))</f>
        <v>0</v>
      </c>
      <c r="DC29" s="133" t="n">
        <f aca="false">IF(OR(DC$4="",$B29=""),0,SUMIF('DADOS BRUTOS'!$A$3:$A$500,$B29,'DADOS BRUTOS'!AC$3:AC$500)+IF($C29="",0,SUMIF('DADOS BRUTOS'!$A$3:$A$500,$C29,'DADOS BRUTOS'!AC$3:AC$500)))</f>
        <v>0</v>
      </c>
      <c r="DD29" s="133" t="n">
        <f aca="false">IF(OR(DD$4="",$B29=""),0,SUMIF('DADOS BRUTOS'!$A$3:$A$500,$B29,'DADOS BRUTOS'!AD$3:AD$500)+IF($C29="",0,SUMIF('DADOS BRUTOS'!$A$3:$A$500,$C29,'DADOS BRUTOS'!AD$3:AD$500)))</f>
        <v>0</v>
      </c>
      <c r="DE29" s="133" t="n">
        <f aca="false">IF(OR(DE$4="",$B29=""),0,SUMIF('DADOS BRUTOS'!$A$3:$A$500,$B29,'DADOS BRUTOS'!AE$3:AE$500)+IF($C29="",0,SUMIF('DADOS BRUTOS'!$A$3:$A$500,$C29,'DADOS BRUTOS'!AE$3:AE$500)))</f>
        <v>0</v>
      </c>
      <c r="DF29" s="133" t="n">
        <f aca="false">IF(OR(DF$4="",$B29=""),0,SUMIF('DADOS BRUTOS'!$A$3:$A$500,$B29,'DADOS BRUTOS'!AF$3:AF$500)+IF($C29="",0,SUMIF('DADOS BRUTOS'!$A$3:$A$500,$C29,'DADOS BRUTOS'!AF$3:AF$500)))</f>
        <v>0</v>
      </c>
      <c r="DG29" s="133" t="n">
        <f aca="false">IF(OR(DG$4="",$B29=""),0,SUMIF('DADOS BRUTOS'!$A$3:$A$500,$B29,'DADOS BRUTOS'!AG$3:AG$500)+IF($C29="",0,SUMIF('DADOS BRUTOS'!$A$3:$A$500,$C29,'DADOS BRUTOS'!AG$3:AG$500)))</f>
        <v>0</v>
      </c>
      <c r="DH29" s="133" t="n">
        <f aca="false">IF(OR(DH$4="",$B29=""),0,SUMIF('DADOS BRUTOS'!$A$3:$A$500,$B29,'DADOS BRUTOS'!AH$3:AH$500)+IF($C29="",0,SUMIF('DADOS BRUTOS'!$A$3:$A$500,$C29,'DADOS BRUTOS'!AH$3:AH$500)))</f>
        <v>0</v>
      </c>
      <c r="DI29" s="133" t="n">
        <f aca="false">IF(OR(DI$4="",$B29=""),0,SUMIF('DADOS BRUTOS'!$A$3:$A$500,$B29,'DADOS BRUTOS'!AI$3:AI$500)+IF($C29="",0,SUMIF('DADOS BRUTOS'!$A$3:$A$500,$C29,'DADOS BRUTOS'!AI$3:AI$500)))</f>
        <v>0</v>
      </c>
      <c r="DJ29" s="133" t="n">
        <f aca="false">IF(OR(DJ$4="",$B29=""),0,SUMIF('DADOS BRUTOS'!$A$3:$A$500,$B29,'DADOS BRUTOS'!AJ$3:AJ$500)+IF($C29="",0,SUMIF('DADOS BRUTOS'!$A$3:$A$500,$C29,'DADOS BRUTOS'!AJ$3:AJ$500)))</f>
        <v>0</v>
      </c>
      <c r="DK29" s="133" t="n">
        <f aca="false">IF(OR(DK$4="",$B29=""),0,SUMIF('DADOS BRUTOS'!$A$3:$A$500,$B29,'DADOS BRUTOS'!AK$3:AK$500)+IF($C29="",0,SUMIF('DADOS BRUTOS'!$A$3:$A$500,$C29,'DADOS BRUTOS'!AK$3:AK$500)))</f>
        <v>0</v>
      </c>
      <c r="DL29" s="133" t="n">
        <f aca="false">IF(OR(DL$4="",$B29=""),0,SUMIF('DADOS BRUTOS'!$A$3:$A$500,$B29,'DADOS BRUTOS'!AL$3:AL$500)+IF($C29="",0,SUMIF('DADOS BRUTOS'!$A$3:$A$500,$C29,'DADOS BRUTOS'!AL$3:AL$500)))</f>
        <v>0</v>
      </c>
      <c r="DM29" s="133" t="n">
        <f aca="false">IF(OR(DM$4="",$B29=""),0,SUMIF('DADOS BRUTOS'!$A$3:$A$500,$B29,'DADOS BRUTOS'!AM$3:AM$500)+IF($C29="",0,SUMIF('DADOS BRUTOS'!$A$3:$A$500,$C29,'DADOS BRUTOS'!AM$3:AM$500)))</f>
        <v>0</v>
      </c>
      <c r="DN29" s="133" t="n">
        <f aca="false">IF(OR(DN$4="",$B29=""),0,SUMIF('DADOS BRUTOS'!$A$3:$A$500,$B29,'DADOS BRUTOS'!AN$3:AN$500)+IF($C29="",0,SUMIF('DADOS BRUTOS'!$A$3:$A$500,$C29,'DADOS BRUTOS'!AN$3:AN$500)))</f>
        <v>0</v>
      </c>
      <c r="DO29" s="133" t="n">
        <f aca="false">IF(OR(DO$4="",$B29=""),0,SUMIF('DADOS BRUTOS'!$A$3:$A$500,$B29,'DADOS BRUTOS'!AO$3:AO$500)+IF($C29="",0,SUMIF('DADOS BRUTOS'!$A$3:$A$500,$C29,'DADOS BRUTOS'!AO$3:AO$500)))</f>
        <v>0</v>
      </c>
      <c r="DP29" s="133" t="n">
        <f aca="false">IF(OR(DP$4="",$B29=""),0,SUMIF('DADOS BRUTOS'!$A$3:$A$500,$B29,'DADOS BRUTOS'!AP$3:AP$500)+IF($C29="",0,SUMIF('DADOS BRUTOS'!$A$3:$A$500,$C29,'DADOS BRUTOS'!AP$3:AP$500)))</f>
        <v>0</v>
      </c>
      <c r="DQ29" s="133" t="n">
        <f aca="false">IF(OR(DQ$4="",$B29=""),0,SUMIF('DADOS BRUTOS'!$A$3:$A$500,$B29,'DADOS BRUTOS'!AQ$3:AQ$500)+IF($C29="",0,SUMIF('DADOS BRUTOS'!$A$3:$A$500,$C29,'DADOS BRUTOS'!AQ$3:AQ$500)))</f>
        <v>0</v>
      </c>
      <c r="DR29" s="133" t="n">
        <f aca="false">IF(OR(DR$4="",$B29=""),0,SUMIF('DADOS BRUTOS'!$A$3:$A$500,$B29,'DADOS BRUTOS'!AR$3:AR$500)+IF($C29="",0,SUMIF('DADOS BRUTOS'!$A$3:$A$500,$C29,'DADOS BRUTOS'!AR$3:AR$500)))</f>
        <v>0</v>
      </c>
      <c r="DS29" s="133" t="n">
        <f aca="false">IF(OR(DS$4="",$B29=""),0,SUMIF('DADOS BRUTOS'!$A$3:$A$500,$B29,'DADOS BRUTOS'!AS$3:AS$500)+IF($C29="",0,SUMIF('DADOS BRUTOS'!$A$3:$A$500,$C29,'DADOS BRUTOS'!AS$3:AS$500)))</f>
        <v>0</v>
      </c>
      <c r="DT29" s="133" t="n">
        <f aca="false">IF(OR(DT$4="",$B29=""),0,SUMIF('DADOS BRUTOS'!$A$3:$A$500,$B29,'DADOS BRUTOS'!AT$3:AT$500)+IF($C29="",0,SUMIF('DADOS BRUTOS'!$A$3:$A$500,$C29,'DADOS BRUTOS'!AT$3:AT$500)))</f>
        <v>0</v>
      </c>
      <c r="DU29" s="133" t="n">
        <f aca="false">IF(OR(DU$4="",$B29=""),0,SUMIF('DADOS BRUTOS'!$A$3:$A$500,$B29,'DADOS BRUTOS'!AU$3:AU$500)+IF($C29="",0,SUMIF('DADOS BRUTOS'!$A$3:$A$500,$C29,'DADOS BRUTOS'!AU$3:AU$500)))</f>
        <v>0</v>
      </c>
      <c r="DV29" s="133" t="n">
        <f aca="false">IF(OR(DV$4="",$B29=""),0,SUMIF('DADOS BRUTOS'!$A$3:$A$500,$B29,'DADOS BRUTOS'!AV$3:AV$500)+IF($C29="",0,SUMIF('DADOS BRUTOS'!$A$3:$A$500,$C29,'DADOS BRUTOS'!AV$3:AV$500)))</f>
        <v>0</v>
      </c>
      <c r="DW29" s="133" t="n">
        <f aca="false">IF(OR(DW$4="",$B29=""),0,SUMIF('DADOS BRUTOS'!$A$3:$A$500,$B29,'DADOS BRUTOS'!AW$3:AW$500)+IF($C29="",0,SUMIF('DADOS BRUTOS'!$A$3:$A$500,$C29,'DADOS BRUTOS'!AW$3:AW$500)))</f>
        <v>0</v>
      </c>
      <c r="DX29" s="133" t="n">
        <f aca="false">IF(OR(DX$4="",$B29=""),0,SUMIF('DADOS BRUTOS'!$A$3:$A$500,$B29,'DADOS BRUTOS'!AX$3:AX$500)+IF($C29="",0,SUMIF('DADOS BRUTOS'!$A$3:$A$500,$C29,'DADOS BRUTOS'!AX$3:AX$500)))</f>
        <v>0</v>
      </c>
      <c r="DY29" s="133" t="n">
        <f aca="false">IF(OR(DY$4="",$B29=""),0,SUMIF('DADOS BRUTOS'!$A$3:$A$500,$B29,'DADOS BRUTOS'!AY$3:AY$500)+IF($C29="",0,SUMIF('DADOS BRUTOS'!$A$3:$A$500,$C29,'DADOS BRUTOS'!AY$3:AY$500)))</f>
        <v>0</v>
      </c>
      <c r="DZ29" s="133" t="n">
        <f aca="false">IF(OR(DZ$4="",$B29=""),0,SUMIF('DADOS BRUTOS'!$A$3:$A$500,$B29,'DADOS BRUTOS'!AZ$3:AZ$500)+IF($C29="",0,SUMIF('DADOS BRUTOS'!$A$3:$A$500,$C29,'DADOS BRUTOS'!AZ$3:AZ$500)))</f>
        <v>0</v>
      </c>
      <c r="EA29" s="133" t="n">
        <f aca="false">IF(OR(EA$4="",$B29=""),0,SUMIF('DADOS BRUTOS'!$A$3:$A$500,$B29,'DADOS BRUTOS'!BA$3:BA$500)+IF($C29="",0,SUMIF('DADOS BRUTOS'!$A$3:$A$500,$C29,'DADOS BRUTOS'!BA$3:BA$500)))</f>
        <v>0</v>
      </c>
      <c r="EB29" s="133" t="n">
        <f aca="false">IF(OR(EB$4="",$B29=""),0,SUMIF('DADOS BRUTOS'!$A$3:$A$500,$B29,'DADOS BRUTOS'!BB$3:BB$500)+IF($C29="",0,SUMIF('DADOS BRUTOS'!$A$3:$A$500,$C29,'DADOS BRUTOS'!BB$3:BB$500)))</f>
        <v>0</v>
      </c>
      <c r="EC29" s="133" t="n">
        <f aca="false">IF(OR(EC$4="",$B29=""),0,SUMIF('DADOS BRUTOS'!$A$3:$A$500,$B29,'DADOS BRUTOS'!BC$3:BC$500)+IF($C29="",0,SUMIF('DADOS BRUTOS'!$A$3:$A$500,$C29,'DADOS BRUTOS'!BC$3:BC$500)))</f>
        <v>0</v>
      </c>
      <c r="ED29" s="133" t="n">
        <f aca="false">IF(OR(ED$4="",$B29=""),0,SUMIF('DADOS BRUTOS'!$A$3:$A$500,$B29,'DADOS BRUTOS'!BD$3:BD$500)+IF($C29="",0,SUMIF('DADOS BRUTOS'!$A$3:$A$500,$C29,'DADOS BRUTOS'!BD$3:BD$500)))</f>
        <v>0</v>
      </c>
      <c r="EE29" s="133" t="n">
        <f aca="false">IF(OR(EE$4="",$B29=""),0,SUMIF('DADOS BRUTOS'!$A$3:$A$500,$B29,'DADOS BRUTOS'!BE$3:BE$500)+IF($C29="",0,SUMIF('DADOS BRUTOS'!$A$3:$A$500,$C29,'DADOS BRUTOS'!BE$3:BE$500)))</f>
        <v>0</v>
      </c>
      <c r="EF29" s="133" t="n">
        <f aca="false">IF(OR(EF$4="",$B29=""),0,SUMIF('DADOS BRUTOS'!$A$3:$A$500,$B29,'DADOS BRUTOS'!BF$3:BF$500)+IF($C29="",0,SUMIF('DADOS BRUTOS'!$A$3:$A$500,$C29,'DADOS BRUTOS'!BF$3:BF$500)))</f>
        <v>0</v>
      </c>
      <c r="EG29" s="133" t="n">
        <f aca="false">IF(OR(EG$4="",$B29=""),0,SUMIF('DADOS BRUTOS'!$A$3:$A$500,$B29,'DADOS BRUTOS'!BG$3:BG$500)+IF($C29="",0,SUMIF('DADOS BRUTOS'!$A$3:$A$500,$C29,'DADOS BRUTOS'!BG$3:BG$500)))</f>
        <v>0</v>
      </c>
      <c r="EH29" s="133" t="n">
        <f aca="false">IF(OR(EH$4="",$B29=""),0,SUMIF('DADOS BRUTOS'!$A$3:$A$500,$B29,'DADOS BRUTOS'!BH$3:BH$500)+IF($C29="",0,SUMIF('DADOS BRUTOS'!$A$3:$A$500,$C29,'DADOS BRUTOS'!BH$3:BH$500)))</f>
        <v>0</v>
      </c>
      <c r="EI29" s="133" t="n">
        <f aca="false">IF(OR(EI$4="",$B29=""),0,SUMIF('DADOS BRUTOS'!$A$3:$A$500,$B29,'DADOS BRUTOS'!BI$3:BI$500)+IF($C29="",0,SUMIF('DADOS BRUTOS'!$A$3:$A$500,$C29,'DADOS BRUTOS'!BI$3:BI$500)))</f>
        <v>0</v>
      </c>
      <c r="EJ29" s="133" t="n">
        <f aca="false">IF(OR(EJ$4="",$B29=""),0,SUMIF('DADOS BRUTOS'!$A$3:$A$500,$B29,'DADOS BRUTOS'!BJ$3:BJ$500)+IF($C29="",0,SUMIF('DADOS BRUTOS'!$A$3:$A$500,$C29,'DADOS BRUTOS'!BJ$3:BJ$500)))</f>
        <v>0</v>
      </c>
      <c r="EK29" s="133" t="n">
        <f aca="false">IF(OR(EK$4="",$B29=""),0,SUMIF('DADOS BRUTOS'!$A$3:$A$500,$B29,'DADOS BRUTOS'!BK$3:BK$500)+IF($C29="",0,SUMIF('DADOS BRUTOS'!$A$3:$A$500,$C29,'DADOS BRUTOS'!BK$3:BK$500)))</f>
        <v>0</v>
      </c>
      <c r="EL29" s="133" t="n">
        <f aca="false">IF(OR(EL$4="",$B29=""),0,SUMIF('DADOS BRUTOS'!$A$3:$A$500,$B29,'DADOS BRUTOS'!BL$3:BL$500)+IF($C29="",0,SUMIF('DADOS BRUTOS'!$A$3:$A$500,$C29,'DADOS BRUTOS'!BL$3:BL$500)))</f>
        <v>0</v>
      </c>
      <c r="EM29" s="133" t="n">
        <f aca="false">IF(OR(EM$4="",$B29=""),0,SUMIF('DADOS BRUTOS'!$A$3:$A$500,$B29,'DADOS BRUTOS'!BM$3:BM$500)+IF($C29="",0,SUMIF('DADOS BRUTOS'!$A$3:$A$500,$C29,'DADOS BRUTOS'!BM$3:BM$500)))</f>
        <v>0</v>
      </c>
      <c r="EN29" s="133" t="n">
        <f aca="false">IF(OR(EN$4="",$B29=""),0,SUMIF('DADOS BRUTOS'!$A$3:$A$500,$B29,'DADOS BRUTOS'!BN$3:BN$500)+IF($C29="",0,SUMIF('DADOS BRUTOS'!$A$3:$A$500,$C29,'DADOS BRUTOS'!BN$3:BN$500)))</f>
        <v>0</v>
      </c>
      <c r="EO29" s="133" t="n">
        <f aca="false">IF(OR(EO$4="",$B29=""),0,SUMIF('DADOS BRUTOS'!$A$3:$A$500,$B29,'DADOS BRUTOS'!BO$3:BO$500)+IF($C29="",0,SUMIF('DADOS BRUTOS'!$A$3:$A$500,$C29,'DADOS BRUTOS'!BO$3:BO$500)))</f>
        <v>0</v>
      </c>
      <c r="EP29" s="133" t="n">
        <f aca="false">IF(OR(EP$4="",$B29=""),0,SUMIF('DADOS BRUTOS'!$A$3:$A$500,$B29,'DADOS BRUTOS'!BP$3:BP$500)+IF($C29="",0,SUMIF('DADOS BRUTOS'!$A$3:$A$500,$C29,'DADOS BRUTOS'!BP$3:BP$500)))</f>
        <v>0</v>
      </c>
      <c r="EQ29" s="133" t="n">
        <f aca="false">IF(OR(EQ$4="",$B29=""),0,SUMIF('DADOS BRUTOS'!$A$3:$A$500,$B29,'DADOS BRUTOS'!BQ$3:BQ$500)+IF($C29="",0,SUMIF('DADOS BRUTOS'!$A$3:$A$500,$C29,'DADOS BRUTOS'!BQ$3:BQ$500)))</f>
        <v>0</v>
      </c>
      <c r="ER29" s="133" t="n">
        <f aca="false">IF(OR(ER$4="",$B29=""),0,SUMIF('DADOS BRUTOS'!$A$3:$A$500,$B29,'DADOS BRUTOS'!BR$3:BR$500)+IF($C29="",0,SUMIF('DADOS BRUTOS'!$A$3:$A$500,$C29,'DADOS BRUTOS'!BR$3:BR$500)))</f>
        <v>0</v>
      </c>
      <c r="ES29" s="133" t="n">
        <f aca="false">IF(OR(ES$4="",$B29=""),0,SUMIF('DADOS BRUTOS'!$A$3:$A$500,$B29,'DADOS BRUTOS'!BS$3:BS$500)+IF($C29="",0,SUMIF('DADOS BRUTOS'!$A$3:$A$500,$C29,'DADOS BRUTOS'!BS$3:BS$500)))</f>
        <v>0</v>
      </c>
      <c r="ET29" s="133" t="n">
        <f aca="false">IF(OR(ET$4="",$B29=""),0,SUMIF('DADOS BRUTOS'!$A$3:$A$500,$B29,'DADOS BRUTOS'!BT$3:BT$500)+IF($C29="",0,SUMIF('DADOS BRUTOS'!$A$3:$A$500,$C29,'DADOS BRUTOS'!BT$3:BT$500)))</f>
        <v>0</v>
      </c>
      <c r="EU29" s="133" t="n">
        <f aca="false">IF(OR(EU$4="",$B29=""),0,SUMIF('DADOS BRUTOS'!$A$3:$A$500,$B29,'DADOS BRUTOS'!BU$3:BU$500)+IF($C29="",0,SUMIF('DADOS BRUTOS'!$A$3:$A$500,$C29,'DADOS BRUTOS'!BU$3:BU$500)))</f>
        <v>0</v>
      </c>
      <c r="EV29" s="133" t="n">
        <f aca="false">IF(OR(EV$4="",$B29=""),0,SUMIF('DADOS BRUTOS'!$A$3:$A$500,$B29,'DADOS BRUTOS'!BV$3:BV$500)+IF($C29="",0,SUMIF('DADOS BRUTOS'!$A$3:$A$500,$C29,'DADOS BRUTOS'!BV$3:BV$500)))</f>
        <v>0</v>
      </c>
      <c r="EW29" s="133" t="n">
        <f aca="false">IF(OR(EW$4="",$B29=""),0,SUMIF('DADOS BRUTOS'!$A$3:$A$500,$B29,'DADOS BRUTOS'!BW$3:BW$500)+IF($C29="",0,SUMIF('DADOS BRUTOS'!$A$3:$A$500,$C29,'DADOS BRUTOS'!BW$3:BW$500)))</f>
        <v>0</v>
      </c>
      <c r="EX29" s="133" t="n">
        <f aca="false">IF(OR(EX$4="",$B29=""),0,SUMIF('DADOS BRUTOS'!$A$3:$A$500,$B29,'DADOS BRUTOS'!BX$3:BX$500)+IF($C29="",0,SUMIF('DADOS BRUTOS'!$A$3:$A$500,$C29,'DADOS BRUTOS'!BX$3:BX$500)))</f>
        <v>0</v>
      </c>
      <c r="EY29" s="133" t="n">
        <f aca="false">IF(OR(EY$4="",$B29=""),0,SUMIF('DADOS BRUTOS'!$A$3:$A$500,$B29,'DADOS BRUTOS'!BY$3:BY$500)+IF($C29="",0,SUMIF('DADOS BRUTOS'!$A$3:$A$500,$C29,'DADOS BRUTOS'!BY$3:BY$500)))</f>
        <v>0</v>
      </c>
      <c r="EZ29" s="133" t="n">
        <f aca="false">IF(OR(EZ$4="",$B29=""),0,SUMIF('DADOS BRUTOS'!$A$3:$A$500,$B29,'DADOS BRUTOS'!BZ$3:BZ$500)+IF($C29="",0,SUMIF('DADOS BRUTOS'!$A$3:$A$500,$C29,'DADOS BRUTOS'!BZ$3:BZ$500)))</f>
        <v>0</v>
      </c>
      <c r="FA29" s="133" t="n">
        <f aca="false">IF(OR(FA$4="",$B29=""),0,SUMIF('DADOS BRUTOS'!$A$3:$A$500,$B29,'DADOS BRUTOS'!CA$3:CA$500)+IF($C29="",0,SUMIF('DADOS BRUTOS'!$A$3:$A$500,$C29,'DADOS BRUTOS'!CA$3:CA$500)))</f>
        <v>0</v>
      </c>
      <c r="FB29" s="133" t="n">
        <f aca="false">IF(OR(FB$4="",$B29=""),0,SUMIF('DADOS BRUTOS'!$A$3:$A$500,$B29,'DADOS BRUTOS'!CB$3:CB$500)+IF($C29="",0,SUMIF('DADOS BRUTOS'!$A$3:$A$500,$C29,'DADOS BRUTOS'!CB$3:CB$500)))</f>
        <v>0</v>
      </c>
      <c r="FC29" s="133" t="n">
        <f aca="false">IF(OR(FC$4="",$B29=""),0,SUMIF('DADOS BRUTOS'!$A$3:$A$500,$B29,'DADOS BRUTOS'!CC$3:CC$500)+IF($C29="",0,SUMIF('DADOS BRUTOS'!$A$3:$A$500,$C29,'DADOS BRUTOS'!CC$3:CC$500)))</f>
        <v>0</v>
      </c>
      <c r="FD29" s="133" t="n">
        <f aca="false">IF(OR(FD$4="",$B29=""),0,SUMIF('DADOS BRUTOS'!$A$3:$A$500,$B29,'DADOS BRUTOS'!CD$3:CD$500)+IF($C29="",0,SUMIF('DADOS BRUTOS'!$A$3:$A$500,$C29,'DADOS BRUTOS'!CD$3:CD$500)))</f>
        <v>0</v>
      </c>
      <c r="FE29" s="133" t="n">
        <f aca="false">IF(OR(FE$4="",$B29=""),0,SUMIF('DADOS BRUTOS'!$A$3:$A$500,$B29,'DADOS BRUTOS'!CE$3:CE$500)+IF($C29="",0,SUMIF('DADOS BRUTOS'!$A$3:$A$500,$C29,'DADOS BRUTOS'!CE$3:CE$500)))</f>
        <v>0</v>
      </c>
      <c r="FF29" s="133" t="n">
        <f aca="false">IF(OR(FF$4="",$B29=""),0,SUMIF('DADOS BRUTOS'!$A$3:$A$500,$B29,'DADOS BRUTOS'!CF$3:CF$500)+IF($C29="",0,SUMIF('DADOS BRUTOS'!$A$3:$A$500,$C29,'DADOS BRUTOS'!CF$3:CF$500)))</f>
        <v>0</v>
      </c>
      <c r="FG29" s="133" t="n">
        <f aca="false">IF(OR(FG$4="",$B29=""),0,SUMIF('DADOS BRUTOS'!$A$3:$A$500,$B29,'DADOS BRUTOS'!CG$3:CG$500)+IF($C29="",0,SUMIF('DADOS BRUTOS'!$A$3:$A$500,$C29,'DADOS BRUTOS'!CG$3:CG$500)))</f>
        <v>0</v>
      </c>
      <c r="FH29" s="133" t="n">
        <f aca="false">IF(OR(FH$4="",$B29=""),0,SUMIF('DADOS BRUTOS'!$A$3:$A$500,$B29,'DADOS BRUTOS'!CH$3:CH$500)+IF($C29="",0,SUMIF('DADOS BRUTOS'!$A$3:$A$500,$C29,'DADOS BRUTOS'!CH$3:CH$500)))</f>
        <v>0</v>
      </c>
      <c r="FI29" s="133" t="n">
        <f aca="false">IF(OR(FI$4="",$B29=""),0,SUMIF('DADOS BRUTOS'!$A$3:$A$500,$B29,'DADOS BRUTOS'!CI$3:CI$500)+IF($C29="",0,SUMIF('DADOS BRUTOS'!$A$3:$A$500,$C29,'DADOS BRUTOS'!CI$3:CI$500)))</f>
        <v>0</v>
      </c>
      <c r="FJ29" s="133" t="n">
        <f aca="false">IF(OR(FJ$4="",$B29=""),0,SUMIF('DADOS BRUTOS'!$A$3:$A$500,$B29,'DADOS BRUTOS'!CJ$3:CJ$500)+IF($C29="",0,SUMIF('DADOS BRUTOS'!$A$3:$A$500,$C29,'DADOS BRUTOS'!CJ$3:CJ$500)))</f>
        <v>0</v>
      </c>
      <c r="FK29" s="133" t="n">
        <f aca="false">IF(OR(FK$4="",$B29=""),0,SUMIF('DADOS BRUTOS'!$A$3:$A$500,$B29,'DADOS BRUTOS'!CK$3:CK$500)+IF($C29="",0,SUMIF('DADOS BRUTOS'!$A$3:$A$500,$C29,'DADOS BRUTOS'!CK$3:CK$500)))</f>
        <v>0</v>
      </c>
      <c r="FL29" s="133" t="n">
        <f aca="false">IF(OR(FL$4="",$B29=""),0,SUMIF('DADOS BRUTOS'!$A$3:$A$500,$B29,'DADOS BRUTOS'!CL$3:CL$500)+IF($C29="",0,SUMIF('DADOS BRUTOS'!$A$3:$A$500,$C29,'DADOS BRUTOS'!CL$3:CL$500)))</f>
        <v>0</v>
      </c>
      <c r="FM29" s="133" t="n">
        <f aca="false">IF(OR(FM$4="",$B29=""),0,SUMIF('DADOS BRUTOS'!$A$3:$A$500,$B29,'DADOS BRUTOS'!CM$3:CM$500)+IF($C29="",0,SUMIF('DADOS BRUTOS'!$A$3:$A$500,$C29,'DADOS BRUTOS'!CM$3:CM$500)))</f>
        <v>0</v>
      </c>
      <c r="FN29" s="133" t="n">
        <f aca="false">IF(OR(FN$4="",$B29=""),0,SUMIF('DADOS BRUTOS'!$A$3:$A$500,$B29,'DADOS BRUTOS'!CN$3:CN$500)+IF($C29="",0,SUMIF('DADOS BRUTOS'!$A$3:$A$500,$C29,'DADOS BRUTOS'!CN$3:CN$500)))</f>
        <v>0</v>
      </c>
      <c r="FO29" s="133" t="n">
        <f aca="false">IF(OR(FO$4="",$B29=""),0,SUMIF('DADOS BRUTOS'!$A$3:$A$500,$B29,'DADOS BRUTOS'!CO$3:CO$500)+IF($C29="",0,SUMIF('DADOS BRUTOS'!$A$3:$A$500,$C29,'DADOS BRUTOS'!CO$3:CO$500)))</f>
        <v>0</v>
      </c>
      <c r="FP29" s="133" t="n">
        <f aca="false">IF(OR(FP$4="",$B29=""),0,SUMIF('DADOS BRUTOS'!$A$3:$A$500,$B29,'DADOS BRUTOS'!CP$3:CP$500)+IF($C29="",0,SUMIF('DADOS BRUTOS'!$A$3:$A$500,$C29,'DADOS BRUTOS'!CP$3:CP$500)))</f>
        <v>0</v>
      </c>
      <c r="FQ29" s="133" t="n">
        <f aca="false">IF(OR(FQ$4="",$B29=""),0,SUMIF('DADOS BRUTOS'!$A$3:$A$500,$B29,'DADOS BRUTOS'!CQ$3:CQ$500)+IF($C29="",0,SUMIF('DADOS BRUTOS'!$A$3:$A$500,$C29,'DADOS BRUTOS'!CQ$3:CQ$500)))</f>
        <v>0</v>
      </c>
      <c r="FR29" s="133" t="n">
        <f aca="false">IF(OR(FR$4="",$B29=""),0,SUMIF('DADOS BRUTOS'!$A$3:$A$500,$B29,'DADOS BRUTOS'!CR$3:CR$500)+IF($C29="",0,SUMIF('DADOS BRUTOS'!$A$3:$A$500,$C29,'DADOS BRUTOS'!CR$3:CR$500)))</f>
        <v>0</v>
      </c>
      <c r="FS29" s="133" t="n">
        <f aca="false">IF(OR(FS$4="",$B29=""),0,SUMIF('DADOS BRUTOS'!$A$3:$A$500,$B29,'DADOS BRUTOS'!CS$3:CS$500)+IF($C29="",0,SUMIF('DADOS BRUTOS'!$A$3:$A$500,$C29,'DADOS BRUTOS'!CS$3:CS$500)))</f>
        <v>0</v>
      </c>
      <c r="FT29" s="133" t="n">
        <f aca="false">IF(OR(FT$4="",$B29=""),0,SUMIF('DADOS BRUTOS'!$A$3:$A$500,$B29,'DADOS BRUTOS'!CT$3:CT$500)+IF($C29="",0,SUMIF('DADOS BRUTOS'!$A$3:$A$500,$C29,'DADOS BRUTOS'!CT$3:CT$500)))</f>
        <v>0</v>
      </c>
      <c r="FU29" s="133" t="n">
        <f aca="false">IF(OR(FU$4="",$B29=""),0,SUMIF('DADOS BRUTOS'!$A$3:$A$500,$B29,'DADOS BRUTOS'!CU$3:CU$500)+IF($C29="",0,SUMIF('DADOS BRUTOS'!$A$3:$A$500,$C29,'DADOS BRUTOS'!CU$3:CU$500)))</f>
        <v>0</v>
      </c>
      <c r="FV29" s="133" t="n">
        <f aca="false">IF(OR(FV$4="",$B29=""),0,SUMIF('DADOS BRUTOS'!$A$3:$A$500,$B29,'DADOS BRUTOS'!CV$3:CV$500)+IF($C29="",0,SUMIF('DADOS BRUTOS'!$A$3:$A$500,$C29,'DADOS BRUTOS'!CV$3:CV$500)))</f>
        <v>0</v>
      </c>
      <c r="FW29" s="133" t="n">
        <f aca="false">IF(OR(FW$4="",$B29=""),0,SUMIF('DADOS BRUTOS'!$A$3:$A$500,$B29,'DADOS BRUTOS'!CW$3:CW$500)+IF($C29="",0,SUMIF('DADOS BRUTOS'!$A$3:$A$500,$C29,'DADOS BRUTOS'!CW$3:CW$500)))</f>
        <v>0</v>
      </c>
      <c r="FX29" s="133" t="n">
        <f aca="false">IF(OR(FX$4="",$B29=""),0,SUMIF('DADOS BRUTOS'!$A$3:$A$500,$B29,'DADOS BRUTOS'!CX$3:CX$500)+IF($C29="",0,SUMIF('DADOS BRUTOS'!$A$3:$A$500,$C29,'DADOS BRUTOS'!CX$3:CX$500)))</f>
        <v>0</v>
      </c>
      <c r="FY29" s="133" t="n">
        <f aca="false">IF(OR(FY$4="",$B29=""),0,SUMIF('DADOS BRUTOS'!$A$3:$A$500,$B29,'DADOS BRUTOS'!CY$3:CY$500)+IF($C29="",0,SUMIF('DADOS BRUTOS'!$A$3:$A$500,$C29,'DADOS BRUTOS'!CY$3:CY$500)))</f>
        <v>0</v>
      </c>
      <c r="FZ29" s="133" t="n">
        <f aca="false">IF(OR(FZ$4="",$B29=""),0,SUMIF('DADOS BRUTOS'!$A$3:$A$500,$B29,'DADOS BRUTOS'!CZ$3:CZ$500)+IF($C29="",0,SUMIF('DADOS BRUTOS'!$A$3:$A$500,$C29,'DADOS BRUTOS'!CZ$3:CZ$500)))</f>
        <v>0</v>
      </c>
      <c r="GA29" s="133" t="n">
        <f aca="false">IF(OR(GA$4="",$B29=""),0,SUMIF('DADOS BRUTOS'!$A$3:$A$500,$B29,'DADOS BRUTOS'!DA$3:DA$500)+IF($C29="",0,SUMIF('DADOS BRUTOS'!$A$3:$A$500,$C29,'DADOS BRUTOS'!DA$3:DA$500)))</f>
        <v>0</v>
      </c>
      <c r="GB29" s="133" t="n">
        <f aca="false">IF(OR(GB$4="",$B29=""),0,SUMIF('DADOS BRUTOS'!$A$3:$A$500,$B29,'DADOS BRUTOS'!DB$3:DB$500)+IF($C29="",0,SUMIF('DADOS BRUTOS'!$A$3:$A$500,$C29,'DADOS BRUTOS'!DB$3:DB$500)))</f>
        <v>0</v>
      </c>
      <c r="GC29" s="133" t="n">
        <f aca="false">IF(OR(GC$4="",$B29=""),0,SUMIF('DADOS BRUTOS'!$A$3:$A$500,$B29,'DADOS BRUTOS'!DC$3:DC$500)+IF($C29="",0,SUMIF('DADOS BRUTOS'!$A$3:$A$500,$C29,'DADOS BRUTOS'!DC$3:DC$500)))</f>
        <v>0</v>
      </c>
      <c r="GD29" s="133" t="n">
        <f aca="false">IF(OR(GD$4="",$B29=""),0,SUMIF('DADOS BRUTOS'!$A$3:$A$500,$B29,'DADOS BRUTOS'!DD$3:DD$500)+IF($C29="",0,SUMIF('DADOS BRUTOS'!$A$3:$A$500,$C29,'DADOS BRUTOS'!DD$3:DD$500)))</f>
        <v>0</v>
      </c>
      <c r="GE29" s="133" t="n">
        <f aca="false">IF(OR(GE$4="",$B29=""),0,SUMIF('DADOS BRUTOS'!$A$3:$A$500,$B29,'DADOS BRUTOS'!DE$3:DE$500)+IF($C29="",0,SUMIF('DADOS BRUTOS'!$A$3:$A$500,$C29,'DADOS BRUTOS'!DE$3:DE$500)))</f>
        <v>0</v>
      </c>
      <c r="GF29" s="133" t="n">
        <f aca="false">IF(OR(GF$4="",$B29=""),0,SUMIF('DADOS BRUTOS'!$A$3:$A$500,$B29,'DADOS BRUTOS'!DF$3:DF$500)+IF($C29="",0,SUMIF('DADOS BRUTOS'!$A$3:$A$500,$C29,'DADOS BRUTOS'!DF$3:DF$500)))</f>
        <v>0</v>
      </c>
      <c r="GG29" s="133" t="n">
        <f aca="false">IF(OR(GG$4="",$B29=""),0,SUMIF('DADOS BRUTOS'!$A$3:$A$500,$B29,'DADOS BRUTOS'!DG$3:DG$500)+IF($C29="",0,SUMIF('DADOS BRUTOS'!$A$3:$A$500,$C29,'DADOS BRUTOS'!DG$3:DG$500)))</f>
        <v>0</v>
      </c>
      <c r="GH29" s="133" t="n">
        <f aca="false">IF(OR(GH$4="",$B29=""),0,SUMIF('DADOS BRUTOS'!$A$3:$A$500,$B29,'DADOS BRUTOS'!DH$3:DH$500)+IF($C29="",0,SUMIF('DADOS BRUTOS'!$A$3:$A$500,$C29,'DADOS BRUTOS'!DH$3:DH$500)))</f>
        <v>0</v>
      </c>
      <c r="GI29" s="133" t="n">
        <f aca="false">IF(OR(GI$4="",$B29=""),0,SUMIF('DADOS BRUTOS'!$A$3:$A$500,$B29,'DADOS BRUTOS'!DI$3:DI$500)+IF($C29="",0,SUMIF('DADOS BRUTOS'!$A$3:$A$500,$C29,'DADOS BRUTOS'!DI$3:DI$500)))</f>
        <v>0</v>
      </c>
      <c r="GJ29" s="133" t="n">
        <f aca="false">IF(OR(GJ$4="",$B29=""),0,SUMIF('DADOS BRUTOS'!$A$3:$A$500,$B29,'DADOS BRUTOS'!DJ$3:DJ$500)+IF($C29="",0,SUMIF('DADOS BRUTOS'!$A$3:$A$500,$C29,'DADOS BRUTOS'!DJ$3:DJ$500)))</f>
        <v>0</v>
      </c>
      <c r="GK29" s="133" t="n">
        <f aca="false">IF(OR(GK$4="",$B29=""),0,SUMIF('DADOS BRUTOS'!$A$3:$A$500,$B29,'DADOS BRUTOS'!DK$3:DK$500)+IF($C29="",0,SUMIF('DADOS BRUTOS'!$A$3:$A$500,$C29,'DADOS BRUTOS'!DK$3:DK$500)))</f>
        <v>0</v>
      </c>
      <c r="GL29" s="133" t="n">
        <f aca="false">IF(OR(GL$4="",$B29=""),0,SUMIF('DADOS BRUTOS'!$A$3:$A$500,$B29,'DADOS BRUTOS'!DL$3:DL$500)+IF($C29="",0,SUMIF('DADOS BRUTOS'!$A$3:$A$500,$C29,'DADOS BRUTOS'!DL$3:DL$500)))</f>
        <v>0</v>
      </c>
      <c r="GM29" s="133" t="n">
        <f aca="false">IF(OR(GM$4="",$B29=""),0,SUMIF('DADOS BRUTOS'!$A$3:$A$500,$B29,'DADOS BRUTOS'!DM$3:DM$500)+IF($C29="",0,SUMIF('DADOS BRUTOS'!$A$3:$A$500,$C29,'DADOS BRUTOS'!DM$3:DM$500)))</f>
        <v>0</v>
      </c>
      <c r="GN29" s="133" t="n">
        <f aca="false">IF(OR(GN$4="",$B29=""),0,SUMIF('DADOS BRUTOS'!$A$3:$A$500,$B29,'DADOS BRUTOS'!DN$3:DN$500)+IF($C29="",0,SUMIF('DADOS BRUTOS'!$A$3:$A$500,$C29,'DADOS BRUTOS'!DN$3:DN$500)))</f>
        <v>0</v>
      </c>
      <c r="GO29" s="133" t="n">
        <f aca="false">IF(OR(GO$4="",$B29=""),0,SUMIF('DADOS BRUTOS'!$A$3:$A$500,$B29,'DADOS BRUTOS'!DO$3:DO$500)+IF($C29="",0,SUMIF('DADOS BRUTOS'!$A$3:$A$500,$C29,'DADOS BRUTOS'!DO$3:DO$500)))</f>
        <v>0</v>
      </c>
      <c r="GP29" s="133" t="n">
        <f aca="false">IF(OR(GP$4="",$B29=""),0,SUMIF('DADOS BRUTOS'!$A$3:$A$500,$B29,'DADOS BRUTOS'!DP$3:DP$500)+IF($C29="",0,SUMIF('DADOS BRUTOS'!$A$3:$A$500,$C29,'DADOS BRUTOS'!DP$3:DP$500)))</f>
        <v>0</v>
      </c>
      <c r="GQ29" s="133" t="n">
        <f aca="false">IF(OR(GQ$4="",$B29=""),0,SUMIF('DADOS BRUTOS'!$A$3:$A$500,$B29,'DADOS BRUTOS'!DQ$3:DQ$500)+IF($C29="",0,SUMIF('DADOS BRUTOS'!$A$3:$A$500,$C29,'DADOS BRUTOS'!DQ$3:DQ$500)))</f>
        <v>0</v>
      </c>
      <c r="GR29" s="133" t="n">
        <f aca="false">IF(OR(GR$4="",$B29=""),0,SUMIF('DADOS BRUTOS'!$A$3:$A$500,$B29,'DADOS BRUTOS'!DR$3:DR$500)+IF($C29="",0,SUMIF('DADOS BRUTOS'!$A$3:$A$500,$C29,'DADOS BRUTOS'!DR$3:DR$500)))</f>
        <v>0</v>
      </c>
      <c r="GS29" s="133" t="n">
        <f aca="false">IF(OR(GS$4="",$B29=""),0,SUMIF('DADOS BRUTOS'!$A$3:$A$500,$B29,'DADOS BRUTOS'!DS$3:DS$500)+IF($C29="",0,SUMIF('DADOS BRUTOS'!$A$3:$A$500,$C29,'DADOS BRUTOS'!DS$3:DS$500)))</f>
        <v>0</v>
      </c>
      <c r="GT29" s="133" t="n">
        <f aca="false">IF(OR(GT$4="",$B29=""),0,SUMIF('DADOS BRUTOS'!$A$3:$A$500,$B29,'DADOS BRUTOS'!DT$3:DT$500)+IF($C29="",0,SUMIF('DADOS BRUTOS'!$A$3:$A$500,$C29,'DADOS BRUTOS'!DT$3:DT$500)))</f>
        <v>0</v>
      </c>
      <c r="GU29" s="133" t="n">
        <f aca="false">IF(OR(GU$4="",$B29=""),0,SUMIF('DADOS BRUTOS'!$A$3:$A$500,$B29,'DADOS BRUTOS'!DU$3:DU$500)+IF($C29="",0,SUMIF('DADOS BRUTOS'!$A$3:$A$500,$C29,'DADOS BRUTOS'!DU$3:DU$500)))</f>
        <v>0</v>
      </c>
      <c r="GV29" s="133" t="n">
        <f aca="false">IF(OR(GV$4="",$B29=""),0,SUMIF('DADOS BRUTOS'!$A$3:$A$500,$B29,'DADOS BRUTOS'!DV$3:DV$500)+IF($C29="",0,SUMIF('DADOS BRUTOS'!$A$3:$A$500,$C29,'DADOS BRUTOS'!DV$3:DV$500)))</f>
        <v>0</v>
      </c>
      <c r="GW29" s="133" t="n">
        <f aca="false">IF(OR(GW$4="",$B29=""),0,SUMIF('DADOS BRUTOS'!$A$3:$A$500,$B29,'DADOS BRUTOS'!DW$3:DW$500)+IF($C29="",0,SUMIF('DADOS BRUTOS'!$A$3:$A$500,$C29,'DADOS BRUTOS'!DW$3:DW$500)))</f>
        <v>0</v>
      </c>
      <c r="GX29" s="133" t="n">
        <f aca="false">IF(OR(GX$4="",$B29=""),0,SUMIF('DADOS BRUTOS'!$A$3:$A$500,$B29,'DADOS BRUTOS'!DX$3:DX$500)+IF($C29="",0,SUMIF('DADOS BRUTOS'!$A$3:$A$500,$C29,'DADOS BRUTOS'!DX$3:DX$500)))</f>
        <v>0</v>
      </c>
      <c r="GY29" s="133" t="n">
        <f aca="false">IF(OR(GY$4="",$B29=""),0,SUMIF('DADOS BRUTOS'!$A$3:$A$500,$B29,'DADOS BRUTOS'!DY$3:DY$500)+IF($C29="",0,SUMIF('DADOS BRUTOS'!$A$3:$A$500,$C29,'DADOS BRUTOS'!DY$3:DY$500)))</f>
        <v>0</v>
      </c>
      <c r="GZ29" s="133" t="n">
        <f aca="false">IF(OR(GZ$4="",$B29=""),0,SUMIF('DADOS BRUTOS'!$A$3:$A$500,$B29,'DADOS BRUTOS'!DZ$3:DZ$500)+IF($C29="",0,SUMIF('DADOS BRUTOS'!$A$3:$A$500,$C29,'DADOS BRUTOS'!DZ$3:DZ$500)))</f>
        <v>0</v>
      </c>
      <c r="HA29" s="133" t="n">
        <f aca="false">IF(OR(HA$4="",$B29=""),0,SUMIF('DADOS BRUTOS'!$A$3:$A$500,$B29,'DADOS BRUTOS'!EA$3:EA$500)+IF($C29="",0,SUMIF('DADOS BRUTOS'!$A$3:$A$500,$C29,'DADOS BRUTOS'!EA$3:EA$500)))</f>
        <v>0</v>
      </c>
      <c r="HB29" s="133" t="n">
        <f aca="false">IF(OR(HB$4="",$B29=""),0,SUMIF('DADOS BRUTOS'!$A$3:$A$500,$B29,'DADOS BRUTOS'!EB$3:EB$500)+IF($C29="",0,SUMIF('DADOS BRUTOS'!$A$3:$A$500,$C29,'DADOS BRUTOS'!EB$3:EB$500)))</f>
        <v>0</v>
      </c>
      <c r="HC29" s="133" t="n">
        <f aca="false">IF(OR(HC$4="",$B29=""),0,SUMIF('DADOS BRUTOS'!$A$3:$A$500,$B29,'DADOS BRUTOS'!EC$3:EC$500)+IF($C29="",0,SUMIF('DADOS BRUTOS'!$A$3:$A$500,$C29,'DADOS BRUTOS'!EC$3:EC$500)))</f>
        <v>0</v>
      </c>
      <c r="HD29" s="133" t="n">
        <f aca="false">IF(OR(HD$4="",$B29=""),0,SUMIF('DADOS BRUTOS'!$A$3:$A$500,$B29,'DADOS BRUTOS'!ED$3:ED$500)+IF($C29="",0,SUMIF('DADOS BRUTOS'!$A$3:$A$500,$C29,'DADOS BRUTOS'!ED$3:ED$500)))</f>
        <v>0</v>
      </c>
      <c r="HE29" s="133" t="n">
        <f aca="false">IF(OR(HE$4="",$B29=""),0,SUMIF('DADOS BRUTOS'!$A$3:$A$500,$B29,'DADOS BRUTOS'!EE$3:EE$500)+IF($C29="",0,SUMIF('DADOS BRUTOS'!$A$3:$A$500,$C29,'DADOS BRUTOS'!EE$3:EE$500)))</f>
        <v>0</v>
      </c>
      <c r="HF29" s="133" t="n">
        <f aca="false">IF(OR(HF$4="",$B29=""),0,SUMIF('DADOS BRUTOS'!$A$3:$A$500,$B29,'DADOS BRUTOS'!EF$3:EF$500)+IF($C29="",0,SUMIF('DADOS BRUTOS'!$A$3:$A$500,$C29,'DADOS BRUTOS'!EF$3:EF$500)))</f>
        <v>0</v>
      </c>
      <c r="HG29" s="133" t="n">
        <f aca="false">IF(OR(HG$4="",$B29=""),0,SUMIF('DADOS BRUTOS'!$A$3:$A$500,$B29,'DADOS BRUTOS'!EG$3:EG$500)+IF($C29="",0,SUMIF('DADOS BRUTOS'!$A$3:$A$500,$C29,'DADOS BRUTOS'!EG$3:EG$500)))</f>
        <v>0</v>
      </c>
      <c r="HH29" s="133" t="n">
        <f aca="false">IF(OR(HH$4="",$B29=""),0,SUMIF('DADOS BRUTOS'!$A$3:$A$500,$B29,'DADOS BRUTOS'!EH$3:EH$500)+IF($C29="",0,SUMIF('DADOS BRUTOS'!$A$3:$A$500,$C29,'DADOS BRUTOS'!EH$3:EH$500)))</f>
        <v>0</v>
      </c>
      <c r="HI29" s="133" t="n">
        <f aca="false">IF(OR(HI$4="",$B29=""),0,SUMIF('DADOS BRUTOS'!$A$3:$A$500,$B29,'DADOS BRUTOS'!EI$3:EI$500)+IF($C29="",0,SUMIF('DADOS BRUTOS'!$A$3:$A$500,$C29,'DADOS BRUTOS'!EI$3:EI$500)))</f>
        <v>0</v>
      </c>
      <c r="HJ29" s="133" t="n">
        <f aca="false">IF(OR(HJ$4="",$B29=""),0,SUMIF('DADOS BRUTOS'!$A$3:$A$500,$B29,'DADOS BRUTOS'!EJ$3:EJ$500)+IF($C29="",0,SUMIF('DADOS BRUTOS'!$A$3:$A$500,$C29,'DADOS BRUTOS'!EJ$3:EJ$500)))</f>
        <v>0</v>
      </c>
      <c r="HK29" s="133" t="n">
        <f aca="false">IF(OR(HK$4="",$B29=""),0,SUMIF('DADOS BRUTOS'!$A$3:$A$500,$B29,'DADOS BRUTOS'!EK$3:EK$500)+IF($C29="",0,SUMIF('DADOS BRUTOS'!$A$3:$A$500,$C29,'DADOS BRUTOS'!EK$3:EK$500)))</f>
        <v>0</v>
      </c>
      <c r="HL29" s="133" t="n">
        <f aca="false">IF(OR(HL$4="",$B29=""),0,SUMIF('DADOS BRUTOS'!$A$3:$A$500,$B29,'DADOS BRUTOS'!EL$3:EL$500)+IF($C29="",0,SUMIF('DADOS BRUTOS'!$A$3:$A$500,$C29,'DADOS BRUTOS'!EL$3:EL$500)))</f>
        <v>0</v>
      </c>
      <c r="HM29" s="133" t="n">
        <f aca="false">IF(OR(HM$4="",$B29=""),0,SUMIF('DADOS BRUTOS'!$A$3:$A$500,$B29,'DADOS BRUTOS'!EM$3:EM$500)+IF($C29="",0,SUMIF('DADOS BRUTOS'!$A$3:$A$500,$C29,'DADOS BRUTOS'!EM$3:EM$500)))</f>
        <v>0</v>
      </c>
      <c r="HN29" s="133" t="n">
        <f aca="false">IF(OR(HN$4="",$B29=""),0,SUMIF('DADOS BRUTOS'!$A$3:$A$500,$B29,'DADOS BRUTOS'!EN$3:EN$500)+IF($C29="",0,SUMIF('DADOS BRUTOS'!$A$3:$A$500,$C29,'DADOS BRUTOS'!EN$3:EN$500)))</f>
        <v>0</v>
      </c>
      <c r="HO29" s="133" t="n">
        <f aca="false">IF(OR(HO$4="",$B29=""),0,SUMIF('DADOS BRUTOS'!$A$3:$A$500,$B29,'DADOS BRUTOS'!EO$3:EO$500)+IF($C29="",0,SUMIF('DADOS BRUTOS'!$A$3:$A$500,$C29,'DADOS BRUTOS'!EO$3:EO$500)))</f>
        <v>0</v>
      </c>
      <c r="HP29" s="133" t="n">
        <f aca="false">IF(OR(HP$4="",$B29=""),0,SUMIF('DADOS BRUTOS'!$A$3:$A$500,$B29,'DADOS BRUTOS'!EP$3:EP$500)+IF($C29="",0,SUMIF('DADOS BRUTOS'!$A$3:$A$500,$C29,'DADOS BRUTOS'!EP$3:EP$500)))</f>
        <v>0</v>
      </c>
      <c r="HQ29" s="133" t="n">
        <f aca="false">IF(OR(HQ$4="",$B29=""),0,SUMIF('DADOS BRUTOS'!$A$3:$A$500,$B29,'DADOS BRUTOS'!EQ$3:EQ$500)+IF($C29="",0,SUMIF('DADOS BRUTOS'!$A$3:$A$500,$C29,'DADOS BRUTOS'!EQ$3:EQ$500)))</f>
        <v>0</v>
      </c>
      <c r="HR29" s="133" t="n">
        <f aca="false">IF(OR(HR$4="",$B29=""),0,SUMIF('DADOS BRUTOS'!$A$3:$A$500,$B29,'DADOS BRUTOS'!ER$3:ER$500)+IF($C29="",0,SUMIF('DADOS BRUTOS'!$A$3:$A$500,$C29,'DADOS BRUTOS'!ER$3:ER$500)))</f>
        <v>0</v>
      </c>
      <c r="HS29" s="133" t="n">
        <f aca="false">IF(OR(HS$4="",$B29=""),0,SUMIF('DADOS BRUTOS'!$A$3:$A$500,$B29,'DADOS BRUTOS'!ES$3:ES$500)+IF($C29="",0,SUMIF('DADOS BRUTOS'!$A$3:$A$500,$C29,'DADOS BRUTOS'!ES$3:ES$500)))</f>
        <v>0</v>
      </c>
      <c r="HT29" s="133" t="n">
        <f aca="false">IF(OR(HT$4="",$B29=""),0,SUMIF('DADOS BRUTOS'!$A$3:$A$500,$B29,'DADOS BRUTOS'!ET$3:ET$500)+IF($C29="",0,SUMIF('DADOS BRUTOS'!$A$3:$A$500,$C29,'DADOS BRUTOS'!ET$3:ET$500)))</f>
        <v>0</v>
      </c>
      <c r="HU29" s="133" t="n">
        <f aca="false">IF(OR(HU$4="",$B29=""),0,SUMIF('DADOS BRUTOS'!$A$3:$A$500,$B29,'DADOS BRUTOS'!EU$3:EU$500)+IF($C29="",0,SUMIF('DADOS BRUTOS'!$A$3:$A$500,$C29,'DADOS BRUTOS'!EU$3:EU$500)))</f>
        <v>0</v>
      </c>
      <c r="HV29" s="133" t="n">
        <f aca="false">IF(OR(HV$4="",$B29=""),0,SUMIF('DADOS BRUTOS'!$A$3:$A$500,$B29,'DADOS BRUTOS'!EV$3:EV$500)+IF($C29="",0,SUMIF('DADOS BRUTOS'!$A$3:$A$500,$C29,'DADOS BRUTOS'!EV$3:EV$500)))</f>
        <v>0</v>
      </c>
      <c r="HW29" s="133" t="n">
        <f aca="false">IF(OR(HW$4="",$B29=""),0,SUMIF('DADOS BRUTOS'!$A$3:$A$500,$B29,'DADOS BRUTOS'!EW$3:EW$500)+IF($C29="",0,SUMIF('DADOS BRUTOS'!$A$3:$A$500,$C29,'DADOS BRUTOS'!EW$3:EW$500)))</f>
        <v>0</v>
      </c>
      <c r="HX29" s="133" t="n">
        <f aca="false">IF(OR(HX$4="",$B29=""),0,SUMIF('DADOS BRUTOS'!$A$3:$A$500,$B29,'DADOS BRUTOS'!EX$3:EX$500)+IF($C29="",0,SUMIF('DADOS BRUTOS'!$A$3:$A$500,$C29,'DADOS BRUTOS'!EX$3:EX$500)))</f>
        <v>0</v>
      </c>
      <c r="HY29" s="133" t="n">
        <f aca="false">IF(OR(HY$4="",$B29=""),0,SUMIF('DADOS BRUTOS'!$A$3:$A$500,$B29,'DADOS BRUTOS'!EY$3:EY$500)+IF($C29="",0,SUMIF('DADOS BRUTOS'!$A$3:$A$500,$C29,'DADOS BRUTOS'!EY$3:EY$500)))</f>
        <v>0</v>
      </c>
      <c r="HZ29" s="133" t="n">
        <f aca="false">IF(OR(HZ$4="",$B29=""),0,SUMIF('DADOS BRUTOS'!$A$3:$A$500,$B29,'DADOS BRUTOS'!EZ$3:EZ$500)+IF($C29="",0,SUMIF('DADOS BRUTOS'!$A$3:$A$500,$C29,'DADOS BRUTOS'!EZ$3:EZ$500)))</f>
        <v>0</v>
      </c>
      <c r="IA29" s="133" t="n">
        <f aca="false">IF(OR(IA$4="",$B29=""),0,SUMIF('DADOS BRUTOS'!$A$3:$A$500,$B29,'DADOS BRUTOS'!FA$3:FA$500)+IF($C29="",0,SUMIF('DADOS BRUTOS'!$A$3:$A$500,$C29,'DADOS BRUTOS'!FA$3:FA$500)))</f>
        <v>0</v>
      </c>
      <c r="IB29" s="133" t="n">
        <f aca="false">IF(OR(IB$4="",$B29=""),0,SUMIF('DADOS BRUTOS'!$A$3:$A$500,$B29,'DADOS BRUTOS'!FB$3:FB$500)+IF($C29="",0,SUMIF('DADOS BRUTOS'!$A$3:$A$500,$C29,'DADOS BRUTOS'!FB$3:FB$500)))</f>
        <v>0</v>
      </c>
      <c r="IC29" s="133" t="n">
        <f aca="false">IF(OR(IC$4="",$B29=""),0,SUMIF('DADOS BRUTOS'!$A$3:$A$500,$B29,'DADOS BRUTOS'!FC$3:FC$500)+IF($C29="",0,SUMIF('DADOS BRUTOS'!$A$3:$A$500,$C29,'DADOS BRUTOS'!FC$3:FC$500)))</f>
        <v>0</v>
      </c>
      <c r="ID29" s="133" t="n">
        <f aca="false">IF(OR(ID$4="",$B29=""),0,SUMIF('DADOS BRUTOS'!$A$3:$A$500,$B29,'DADOS BRUTOS'!FD$3:FD$500)+IF($C29="",0,SUMIF('DADOS BRUTOS'!$A$3:$A$500,$C29,'DADOS BRUTOS'!FD$3:FD$500)))</f>
        <v>0</v>
      </c>
      <c r="IE29" s="133" t="n">
        <f aca="false">IF(OR(IE$4="",$B29=""),0,SUMIF('DADOS BRUTOS'!$A$3:$A$500,$B29,'DADOS BRUTOS'!FE$3:FE$500)+IF($C29="",0,SUMIF('DADOS BRUTOS'!$A$3:$A$500,$C29,'DADOS BRUTOS'!FE$3:FE$500)))</f>
        <v>0</v>
      </c>
      <c r="IF29" s="133" t="n">
        <f aca="false">IF(OR(IF$4="",$B29=""),0,SUMIF('DADOS BRUTOS'!$A$3:$A$500,$B29,'DADOS BRUTOS'!FF$3:FF$500)+IF($C29="",0,SUMIF('DADOS BRUTOS'!$A$3:$A$500,$C29,'DADOS BRUTOS'!FF$3:FF$500)))</f>
        <v>0</v>
      </c>
      <c r="IG29" s="133" t="n">
        <f aca="false">IF(OR(IG$4="",$B29=""),0,SUMIF('DADOS BRUTOS'!$A$3:$A$500,$B29,'DADOS BRUTOS'!FG$3:FG$500)+IF($C29="",0,SUMIF('DADOS BRUTOS'!$A$3:$A$500,$C29,'DADOS BRUTOS'!FG$3:FG$500)))</f>
        <v>0</v>
      </c>
      <c r="IH29" s="133" t="n">
        <f aca="false">IF(OR(IH$4="",$B29=""),0,SUMIF('DADOS BRUTOS'!$A$3:$A$500,$B29,'DADOS BRUTOS'!FH$3:FH$500)+IF($C29="",0,SUMIF('DADOS BRUTOS'!$A$3:$A$500,$C29,'DADOS BRUTOS'!FH$3:FH$500)))</f>
        <v>0</v>
      </c>
      <c r="II29" s="133" t="n">
        <f aca="false">IF(OR(II$4="",$B29=""),0,SUMIF('DADOS BRUTOS'!$A$3:$A$500,$B29,'DADOS BRUTOS'!FI$3:FI$500)+IF($C29="",0,SUMIF('DADOS BRUTOS'!$A$3:$A$500,$C29,'DADOS BRUTOS'!FI$3:FI$500)))</f>
        <v>0</v>
      </c>
      <c r="IJ29" s="133" t="n">
        <f aca="false">IF(OR(IJ$4="",$B29=""),0,SUMIF('DADOS BRUTOS'!$A$3:$A$500,$B29,'DADOS BRUTOS'!FJ$3:FJ$500)+IF($C29="",0,SUMIF('DADOS BRUTOS'!$A$3:$A$500,$C29,'DADOS BRUTOS'!FJ$3:FJ$500)))</f>
        <v>0</v>
      </c>
      <c r="IK29" s="133" t="n">
        <f aca="false">IF(OR(IK$4="",$B29=""),0,SUMIF('DADOS BRUTOS'!$A$3:$A$500,$B29,'DADOS BRUTOS'!FK$3:FK$500)+IF($C29="",0,SUMIF('DADOS BRUTOS'!$A$3:$A$500,$C29,'DADOS BRUTOS'!FK$3:FK$500)))</f>
        <v>0</v>
      </c>
      <c r="IL29" s="133" t="n">
        <f aca="false">IF(OR(IL$4="",$B29=""),0,SUMIF('DADOS BRUTOS'!$A$3:$A$500,$B29,'DADOS BRUTOS'!FL$3:FL$500)+IF($C29="",0,SUMIF('DADOS BRUTOS'!$A$3:$A$500,$C29,'DADOS BRUTOS'!FL$3:FL$500)))</f>
        <v>0</v>
      </c>
      <c r="IM29" s="133" t="n">
        <f aca="false">IF(OR(IM$4="",$B29=""),0,SUMIF('DADOS BRUTOS'!$A$3:$A$500,$B29,'DADOS BRUTOS'!FM$3:FM$500)+IF($C29="",0,SUMIF('DADOS BRUTOS'!$A$3:$A$500,$C29,'DADOS BRUTOS'!FM$3:FM$500)))</f>
        <v>0</v>
      </c>
      <c r="IN29" s="133" t="n">
        <f aca="false">IF(OR(IN$4="",$B29=""),0,SUMIF('DADOS BRUTOS'!$A$3:$A$500,$B29,'DADOS BRUTOS'!FN$3:FN$500)+IF($C29="",0,SUMIF('DADOS BRUTOS'!$A$3:$A$500,$C29,'DADOS BRUTOS'!FN$3:FN$500)))</f>
        <v>0</v>
      </c>
      <c r="IO29" s="133" t="n">
        <f aca="false">IF(OR(IO$4="",$B29=""),0,SUMIF('DADOS BRUTOS'!$A$3:$A$500,$B29,'DADOS BRUTOS'!FO$3:FO$500)+IF($C29="",0,SUMIF('DADOS BRUTOS'!$A$3:$A$500,$C29,'DADOS BRUTOS'!FO$3:FO$500)))</f>
        <v>0</v>
      </c>
      <c r="IP29" s="133" t="n">
        <f aca="false">IF(OR(IP$4="",$B29=""),0,SUMIF('DADOS BRUTOS'!$A$3:$A$500,$B29,'DADOS BRUTOS'!FP$3:FP$500)+IF($C29="",0,SUMIF('DADOS BRUTOS'!$A$3:$A$500,$C29,'DADOS BRUTOS'!FP$3:FP$500)))</f>
        <v>0</v>
      </c>
      <c r="IQ29" s="133" t="n">
        <f aca="false">IF(OR(IQ$4="",$B29=""),0,SUMIF('DADOS BRUTOS'!$A$3:$A$500,$B29,'DADOS BRUTOS'!FQ$3:FQ$500)+IF($C29="",0,SUMIF('DADOS BRUTOS'!$A$3:$A$500,$C29,'DADOS BRUTOS'!FQ$3:FQ$500)))</f>
        <v>0</v>
      </c>
      <c r="IR29" s="133" t="n">
        <f aca="false">IF(OR(IR$4="",$B29=""),0,SUMIF('DADOS BRUTOS'!$A$3:$A$500,$B29,'DADOS BRUTOS'!FR$3:FR$500)+IF($C29="",0,SUMIF('DADOS BRUTOS'!$A$3:$A$500,$C29,'DADOS BRUTOS'!FR$3:FR$500)))</f>
        <v>0</v>
      </c>
      <c r="IS29" s="133" t="n">
        <f aca="false">IF(OR(IS$4="",$B29=""),0,SUMIF('DADOS BRUTOS'!$A$3:$A$500,$B29,'DADOS BRUTOS'!FS$3:FS$500)+IF($C29="",0,SUMIF('DADOS BRUTOS'!$A$3:$A$500,$C29,'DADOS BRUTOS'!FS$3:FS$500)))</f>
        <v>0</v>
      </c>
      <c r="IT29" s="133" t="n">
        <f aca="false">IF(OR(IT$4="",$B29=""),0,SUMIF('DADOS BRUTOS'!$A$3:$A$500,$B29,'DADOS BRUTOS'!FT$3:FT$500)+IF($C29="",0,SUMIF('DADOS BRUTOS'!$A$3:$A$500,$C29,'DADOS BRUTOS'!FT$3:FT$500)))</f>
        <v>0</v>
      </c>
      <c r="IU29" s="133" t="n">
        <f aca="false">IF(OR(IU$4="",$B29=""),0,SUMIF('DADOS BRUTOS'!$A$3:$A$500,$B29,'DADOS BRUTOS'!FU$3:FU$500)+IF($C29="",0,SUMIF('DADOS BRUTOS'!$A$3:$A$500,$C29,'DADOS BRUTOS'!FU$3:FU$500)))</f>
        <v>0</v>
      </c>
      <c r="IV29" s="133" t="n">
        <f aca="false">IF(OR(IV$4="",$B29=""),0,SUMIF('DADOS BRUTOS'!$A$3:$A$500,$B29,'DADOS BRUTOS'!FV$3:FV$500)+IF($C29="",0,SUMIF('DADOS BRUTOS'!$A$3:$A$500,$C29,'DADOS BRUTOS'!FV$3:FV$500)))</f>
        <v>0</v>
      </c>
      <c r="IW29" s="133" t="n">
        <f aca="false">IF(OR(IW$4="",$B29=""),0,SUMIF('DADOS BRUTOS'!$A$3:$A$500,$B29,'DADOS BRUTOS'!FW$3:FW$500)+IF($C29="",0,SUMIF('DADOS BRUTOS'!$A$3:$A$500,$C29,'DADOS BRUTOS'!FW$3:FW$500)))</f>
        <v>0</v>
      </c>
      <c r="IX29" s="133" t="n">
        <f aca="false">IF(OR(IX$4="",$B29=""),0,SUMIF('DADOS BRUTOS'!$A$3:$A$500,$B29,'DADOS BRUTOS'!FX$3:FX$500)+IF($C29="",0,SUMIF('DADOS BRUTOS'!$A$3:$A$500,$C29,'DADOS BRUTOS'!FX$3:FX$500)))</f>
        <v>0</v>
      </c>
      <c r="IY29" s="133" t="n">
        <f aca="false">IF(OR(IY$4="",$B29=""),0,SUMIF('DADOS BRUTOS'!$A$3:$A$500,$B29,'DADOS BRUTOS'!FY$3:FY$500)+IF($C29="",0,SUMIF('DADOS BRUTOS'!$A$3:$A$500,$C29,'DADOS BRUTOS'!FY$3:FY$500)))</f>
        <v>0</v>
      </c>
      <c r="IZ29" s="133" t="n">
        <f aca="false">IF(OR(IZ$4="",$B29=""),0,SUMIF('DADOS BRUTOS'!$A$3:$A$500,$B29,'DADOS BRUTOS'!FZ$3:FZ$500)+IF($C29="",0,SUMIF('DADOS BRUTOS'!$A$3:$A$500,$C29,'DADOS BRUTOS'!FZ$3:FZ$500)))</f>
        <v>0</v>
      </c>
      <c r="JA29" s="133" t="n">
        <f aca="false">IF(OR(JA$4="",$B29=""),0,SUMIF('DADOS BRUTOS'!$A$3:$A$500,$B29,'DADOS BRUTOS'!GA$3:GA$500)+IF($C29="",0,SUMIF('DADOS BRUTOS'!$A$3:$A$500,$C29,'DADOS BRUTOS'!GA$3:GA$500)))</f>
        <v>0</v>
      </c>
      <c r="JB29" s="133" t="n">
        <f aca="false">IF(OR(JB$4="",$B29=""),0,SUMIF('DADOS BRUTOS'!$A$3:$A$500,$B29,'DADOS BRUTOS'!GB$3:GB$500)+IF($C29="",0,SUMIF('DADOS BRUTOS'!$A$3:$A$500,$C29,'DADOS BRUTOS'!GB$3:GB$500)))</f>
        <v>0</v>
      </c>
      <c r="JC29" s="133" t="n">
        <f aca="false">IF(OR(JC$4="",$B29=""),0,SUMIF('DADOS BRUTOS'!$A$3:$A$500,$B29,'DADOS BRUTOS'!GC$3:GC$500)+IF($C29="",0,SUMIF('DADOS BRUTOS'!$A$3:$A$500,$C29,'DADOS BRUTOS'!GC$3:GC$500)))</f>
        <v>0</v>
      </c>
      <c r="JD29" s="133" t="n">
        <f aca="false">IF(OR(JD$4="",$B29=""),0,SUMIF('DADOS BRUTOS'!$A$3:$A$500,$B29,'DADOS BRUTOS'!GD$3:GD$500)+IF($C29="",0,SUMIF('DADOS BRUTOS'!$A$3:$A$500,$C29,'DADOS BRUTOS'!GD$3:GD$500)))</f>
        <v>0</v>
      </c>
      <c r="JE29" s="133" t="n">
        <f aca="false">IF(OR(JE$4="",$B29=""),0,SUMIF('DADOS BRUTOS'!$A$3:$A$500,$B29,'DADOS BRUTOS'!GE$3:GE$500)+IF($C29="",0,SUMIF('DADOS BRUTOS'!$A$3:$A$500,$C29,'DADOS BRUTOS'!GE$3:GE$500)))</f>
        <v>0</v>
      </c>
      <c r="JF29" s="133" t="n">
        <f aca="false">IF(OR(JF$4="",$B29=""),0,SUMIF('DADOS BRUTOS'!$A$3:$A$500,$B29,'DADOS BRUTOS'!GF$3:GF$500)+IF($C29="",0,SUMIF('DADOS BRUTOS'!$A$3:$A$500,$C29,'DADOS BRUTOS'!GF$3:GF$500)))</f>
        <v>0</v>
      </c>
      <c r="JG29" s="133" t="n">
        <f aca="false">IF(OR(JG$4="",$B29=""),0,SUMIF('DADOS BRUTOS'!$A$3:$A$500,$B29,'DADOS BRUTOS'!GG$3:GG$500)+IF($C29="",0,SUMIF('DADOS BRUTOS'!$A$3:$A$500,$C29,'DADOS BRUTOS'!GG$3:GG$500)))</f>
        <v>0</v>
      </c>
      <c r="JH29" s="133" t="n">
        <f aca="false">IF(OR(JH$4="",$B29=""),0,SUMIF('DADOS BRUTOS'!$A$3:$A$500,$B29,'DADOS BRUTOS'!GH$3:GH$500)+IF($C29="",0,SUMIF('DADOS BRUTOS'!$A$3:$A$500,$C29,'DADOS BRUTOS'!GH$3:GH$500)))</f>
        <v>0</v>
      </c>
      <c r="JI29" s="133" t="n">
        <f aca="false">IF(OR(JI$4="",$B29=""),0,SUMIF('DADOS BRUTOS'!$A$3:$A$500,$B29,'DADOS BRUTOS'!GI$3:GI$500)+IF($C29="",0,SUMIF('DADOS BRUTOS'!$A$3:$A$500,$C29,'DADOS BRUTOS'!GI$3:GI$500)))</f>
        <v>0</v>
      </c>
      <c r="JJ29" s="133" t="n">
        <f aca="false">IF(OR(JJ$4="",$B29=""),0,SUMIF('DADOS BRUTOS'!$A$3:$A$500,$B29,'DADOS BRUTOS'!GJ$3:GJ$500)+IF($C29="",0,SUMIF('DADOS BRUTOS'!$A$3:$A$500,$C29,'DADOS BRUTOS'!GJ$3:GJ$500)))</f>
        <v>0</v>
      </c>
      <c r="JK29" s="133" t="n">
        <f aca="false">IF(OR(JK$4="",$B29=""),0,SUMIF('DADOS BRUTOS'!$A$3:$A$500,$B29,'DADOS BRUTOS'!GK$3:GK$500)+IF($C29="",0,SUMIF('DADOS BRUTOS'!$A$3:$A$500,$C29,'DADOS BRUTOS'!GK$3:GK$500)))</f>
        <v>0</v>
      </c>
      <c r="JL29" s="133" t="n">
        <f aca="false">IF(OR(JL$4="",$B29=""),0,SUMIF('DADOS BRUTOS'!$A$3:$A$500,$B29,'DADOS BRUTOS'!GL$3:GL$500)+IF($C29="",0,SUMIF('DADOS BRUTOS'!$A$3:$A$500,$C29,'DADOS BRUTOS'!GL$3:GL$500)))</f>
        <v>0</v>
      </c>
      <c r="JM29" s="133" t="n">
        <f aca="false">IF(OR(JM$4="",$B29=""),0,SUMIF('DADOS BRUTOS'!$A$3:$A$500,$B29,'DADOS BRUTOS'!GM$3:GM$500)+IF($C29="",0,SUMIF('DADOS BRUTOS'!$A$3:$A$500,$C29,'DADOS BRUTOS'!GM$3:GM$500)))</f>
        <v>0</v>
      </c>
      <c r="JN29" s="133" t="n">
        <f aca="false">IF(OR(JN$4="",$B29=""),0,SUMIF('DADOS BRUTOS'!$A$3:$A$500,$B29,'DADOS BRUTOS'!GN$3:GN$500)+IF($C29="",0,SUMIF('DADOS BRUTOS'!$A$3:$A$500,$C29,'DADOS BRUTOS'!GN$3:GN$500)))</f>
        <v>0</v>
      </c>
      <c r="JO29" s="133" t="n">
        <f aca="false">IF(OR(JO$4="",$B29=""),0,SUMIF('DADOS BRUTOS'!$A$3:$A$500,$B29,'DADOS BRUTOS'!GO$3:GO$500)+IF($C29="",0,SUMIF('DADOS BRUTOS'!$A$3:$A$500,$C29,'DADOS BRUTOS'!GO$3:GO$500)))</f>
        <v>0</v>
      </c>
      <c r="JP29" s="133" t="n">
        <f aca="false">IF(OR(JP$4="",$B29=""),0,SUMIF('DADOS BRUTOS'!$A$3:$A$500,$B29,'DADOS BRUTOS'!GP$3:GP$500)+IF($C29="",0,SUMIF('DADOS BRUTOS'!$A$3:$A$500,$C29,'DADOS BRUTOS'!GP$3:GP$500)))</f>
        <v>0</v>
      </c>
      <c r="JQ29" s="133" t="n">
        <f aca="false">IF(OR(JQ$4="",$B29=""),0,SUMIF('DADOS BRUTOS'!$A$3:$A$500,$B29,'DADOS BRUTOS'!GQ$3:GQ$500)+IF($C29="",0,SUMIF('DADOS BRUTOS'!$A$3:$A$500,$C29,'DADOS BRUTOS'!GQ$3:GQ$500)))</f>
        <v>0</v>
      </c>
      <c r="JR29" s="133" t="n">
        <f aca="false">IF(OR(JR$4="",$B29=""),0,SUMIF('DADOS BRUTOS'!$A$3:$A$500,$B29,'DADOS BRUTOS'!GR$3:GR$500)+IF($C29="",0,SUMIF('DADOS BRUTOS'!$A$3:$A$500,$C29,'DADOS BRUTOS'!GR$3:GR$500)))</f>
        <v>0</v>
      </c>
      <c r="JS29" s="133" t="n">
        <f aca="false">IF(OR(JS$4="",$B29=""),0,SUMIF('DADOS BRUTOS'!$A$3:$A$500,$B29,'DADOS BRUTOS'!GS$3:GS$500)+IF($C29="",0,SUMIF('DADOS BRUTOS'!$A$3:$A$500,$C29,'DADOS BRUTOS'!GS$3:GS$500)))</f>
        <v>0</v>
      </c>
    </row>
    <row r="30" customFormat="false" ht="15" hidden="false" customHeight="false" outlineLevel="0" collapsed="false">
      <c r="A30" s="57" t="str">
        <f aca="false">'VALOR POR PL'!D36</f>
        <v>SERRALHERIA</v>
      </c>
      <c r="B30" s="55" t="s">
        <v>194</v>
      </c>
      <c r="C30" s="55"/>
      <c r="D30" s="50" t="n">
        <f aca="false">SUMIF($CB$4:$JS$4,"&lt;="&amp;D$4,$CB30:$JS30)</f>
        <v>0</v>
      </c>
      <c r="E30" s="50" t="n">
        <f aca="false">SUMIF($CB$4:$JS$4,E$4,$CB30:$JS30)</f>
        <v>0</v>
      </c>
      <c r="F30" s="50" t="n">
        <f aca="false">SUMIF($CB$4:$JS$4,F$4,$CB30:$JS30)</f>
        <v>0</v>
      </c>
      <c r="G30" s="50" t="n">
        <f aca="false">SUMIF($CB$4:$JS$4,G$4,$CB30:$JS30)</f>
        <v>0</v>
      </c>
      <c r="H30" s="50" t="n">
        <f aca="false">SUMIF($CB$4:$JS$4,H$4,$CB30:$JS30)</f>
        <v>0</v>
      </c>
      <c r="I30" s="50" t="n">
        <f aca="false">SUMIF($CB$4:$JS$4,I$4,$CB30:$JS30)</f>
        <v>0</v>
      </c>
      <c r="J30" s="50" t="n">
        <f aca="false">SUMIF($CB$4:$JS$4,J$4,$CB30:$JS30)</f>
        <v>0</v>
      </c>
      <c r="K30" s="50" t="n">
        <f aca="false">SUMIF($CB$4:$JS$4,K$4,$CB30:$JS30)</f>
        <v>0</v>
      </c>
      <c r="L30" s="50" t="n">
        <f aca="false">SUMIF($CB$4:$JS$4,L$4,$CB30:$JS30)</f>
        <v>0</v>
      </c>
      <c r="M30" s="50" t="n">
        <f aca="false">SUMIF($CB$4:$JS$4,M$4,$CB30:$JS30)</f>
        <v>0</v>
      </c>
      <c r="N30" s="50" t="n">
        <f aca="false">SUMIF($CB$4:$JS$4,N$4,$CB30:$JS30)</f>
        <v>0</v>
      </c>
      <c r="O30" s="50" t="n">
        <f aca="false">SUMIF($CB$4:$JS$4,O$4,$CB30:$JS30)</f>
        <v>0</v>
      </c>
      <c r="P30" s="50" t="n">
        <f aca="false">SUMIF($CB$4:$JS$4,P$4,$CB30:$JS30)</f>
        <v>0</v>
      </c>
      <c r="Q30" s="50" t="n">
        <f aca="false">SUMIF($CB$4:$JS$4,Q$4,$CB30:$JS30)</f>
        <v>0</v>
      </c>
      <c r="R30" s="50" t="n">
        <f aca="false">SUMIF($CB$4:$JS$4,R$4,$CB30:$JS30)</f>
        <v>0</v>
      </c>
      <c r="S30" s="50" t="n">
        <f aca="false">SUMIF($CB$4:$JS$4,S$4,$CB30:$JS30)</f>
        <v>0</v>
      </c>
      <c r="T30" s="50" t="n">
        <f aca="false">SUMIF($CB$4:$JS$4,T$4,$CB30:$JS30)</f>
        <v>0</v>
      </c>
      <c r="U30" s="50" t="n">
        <f aca="false">SUMIF($CB$4:$JS$4,U$4,$CB30:$JS30)</f>
        <v>0</v>
      </c>
      <c r="V30" s="50" t="n">
        <f aca="false">SUMIF($CB$4:$JS$4,V$4,$CB30:$JS30)</f>
        <v>0</v>
      </c>
      <c r="W30" s="50" t="n">
        <f aca="false">SUMIF($CB$4:$JS$4,W$4,$CB30:$JS30)</f>
        <v>0</v>
      </c>
      <c r="X30" s="50" t="n">
        <f aca="false">SUMIF($CB$4:$JS$4,X$4,$CB30:$JS30)</f>
        <v>0</v>
      </c>
      <c r="Y30" s="50" t="n">
        <f aca="false">SUMIF($CB$4:$JS$4,Y$4,$CB30:$JS30)</f>
        <v>0</v>
      </c>
      <c r="Z30" s="50" t="n">
        <f aca="false">SUMIF($CB$4:$JS$4,Z$4,$CB30:$JS30)</f>
        <v>0</v>
      </c>
      <c r="AA30" s="50" t="n">
        <f aca="false">SUMIF($CB$4:$JS$4,AA$4,$CB30:$JS30)</f>
        <v>0</v>
      </c>
      <c r="AB30" s="50" t="n">
        <f aca="false">SUMIF($CB$4:$JS$4,AB$4,$CB30:$JS30)</f>
        <v>0</v>
      </c>
      <c r="AC30" s="50" t="n">
        <f aca="false">SUMIF($CB$4:$JS$4,AC$4,$CB30:$JS30)</f>
        <v>0</v>
      </c>
      <c r="AD30" s="50" t="n">
        <f aca="false">SUMIF($CB$4:$JS$4,AD$4,$CB30:$JS30)</f>
        <v>0</v>
      </c>
      <c r="AE30" s="50" t="n">
        <f aca="false">SUMIF($CB$4:$JS$4,AE$4,$CB30:$JS30)</f>
        <v>0</v>
      </c>
      <c r="AF30" s="50" t="n">
        <f aca="false">SUMIF($CB$4:$JS$4,AF$4,$CB30:$JS30)</f>
        <v>0</v>
      </c>
      <c r="AG30" s="50" t="n">
        <f aca="false">SUMIF($CB$4:$JS$4,AG$4,$CB30:$JS30)</f>
        <v>0</v>
      </c>
      <c r="AH30" s="50" t="n">
        <f aca="false">SUMIF($CB$4:$JS$4,AH$4,$CB30:$JS30)</f>
        <v>0</v>
      </c>
      <c r="AI30" s="50" t="n">
        <f aca="false">SUMIF($CB$4:$JS$4,AI$4,$CB30:$JS30)</f>
        <v>0</v>
      </c>
      <c r="AJ30" s="50" t="n">
        <f aca="false">SUMIF($CB$4:$JS$4,AJ$4,$CB30:$JS30)</f>
        <v>0</v>
      </c>
      <c r="AK30" s="50" t="n">
        <f aca="false">SUMIF($CB$4:$JS$4,AK$4,$CB30:$JS30)</f>
        <v>0</v>
      </c>
      <c r="AL30" s="50" t="n">
        <f aca="false">SUMIF($CB$4:$JS$4,AL$4,$CB30:$JS30)</f>
        <v>0</v>
      </c>
      <c r="AM30" s="50" t="n">
        <f aca="false">SUMIF($CB$4:$JS$4,AM$4,$CB30:$JS30)</f>
        <v>0</v>
      </c>
      <c r="AN30" s="50" t="n">
        <f aca="false">SUMIF($CB$4:$JS$4,AN$4,$CB30:$JS30)</f>
        <v>0</v>
      </c>
      <c r="AO30" s="50" t="n">
        <f aca="false">SUMIF($CB$4:$JS$4,AO$4,$CB30:$JS30)</f>
        <v>0</v>
      </c>
      <c r="AP30" s="50" t="n">
        <f aca="false">SUMIF($CB$4:$JS$4,AP$4,$CB30:$JS30)</f>
        <v>0</v>
      </c>
      <c r="AQ30" s="50" t="n">
        <f aca="false">SUMIF($CB$4:$JS$4,AQ$4,$CB30:$JS30)</f>
        <v>0</v>
      </c>
      <c r="AR30" s="50" t="n">
        <f aca="false">SUMIF($CB$4:$JS$4,AR$4,$CB30:$JS30)</f>
        <v>0</v>
      </c>
      <c r="AS30" s="50" t="n">
        <f aca="false">SUMIF($CB$4:$JS$4,AS$4,$CB30:$JS30)</f>
        <v>0</v>
      </c>
      <c r="AT30" s="50" t="n">
        <f aca="false">SUMIF($CB$4:$JS$4,AT$4,$CB30:$JS30)</f>
        <v>0</v>
      </c>
      <c r="AU30" s="50" t="n">
        <f aca="false">SUMIF($CB$4:$JS$4,AU$4,$CB30:$JS30)</f>
        <v>0</v>
      </c>
      <c r="AV30" s="50" t="n">
        <f aca="false">SUMIF($CB$4:$JS$4,AV$4,$CB30:$JS30)</f>
        <v>0</v>
      </c>
      <c r="AW30" s="50" t="n">
        <f aca="false">SUMIF($CB$4:$JS$4,AW$4,$CB30:$JS30)</f>
        <v>0</v>
      </c>
      <c r="AX30" s="50" t="n">
        <f aca="false">SUMIF($CB$4:$JS$4,AX$4,$CB30:$JS30)</f>
        <v>0</v>
      </c>
      <c r="AY30" s="50" t="n">
        <f aca="false">SUMIF($CB$4:$JS$4,AY$4,$CB30:$JS30)</f>
        <v>0</v>
      </c>
      <c r="AZ30" s="50" t="n">
        <f aca="false">SUMIF($CB$4:$JS$4,AZ$4,$CB30:$JS30)</f>
        <v>0</v>
      </c>
      <c r="BA30" s="50" t="n">
        <f aca="false">SUMIF($CB$4:$JS$4,BA$4,$CB30:$JS30)</f>
        <v>0</v>
      </c>
      <c r="BB30" s="50" t="n">
        <f aca="false">SUMIF($CB$4:$JS$4,BB$4,$CB30:$JS30)</f>
        <v>0</v>
      </c>
      <c r="BC30" s="50" t="n">
        <f aca="false">SUMIF($CB$4:$JS$4,BC$4,$CB30:$JS30)</f>
        <v>0</v>
      </c>
      <c r="BD30" s="50" t="n">
        <f aca="false">SUMIF($CB$4:$JS$4,BD$4,$CB30:$JS30)</f>
        <v>0</v>
      </c>
      <c r="BE30" s="50" t="n">
        <f aca="false">SUMIF($CB$4:$JS$4,BE$4,$CB30:$JS30)</f>
        <v>0</v>
      </c>
      <c r="BF30" s="50" t="n">
        <f aca="false">SUMIF($CB$4:$JS$4,BF$4,$CB30:$JS30)</f>
        <v>0</v>
      </c>
      <c r="BG30" s="50" t="n">
        <f aca="false">SUMIF($CB$4:$JS$4,BG$4,$CB30:$JS30)</f>
        <v>0</v>
      </c>
      <c r="BH30" s="50" t="n">
        <f aca="false">SUMIF($CB$4:$JS$4,BH$4,$CB30:$JS30)</f>
        <v>0</v>
      </c>
      <c r="BI30" s="50" t="n">
        <f aca="false">SUMIF($CB$4:$JS$4,BI$4,$CB30:$JS30)</f>
        <v>0</v>
      </c>
      <c r="BJ30" s="50" t="n">
        <f aca="false">SUMIF($CB$4:$JS$4,BJ$4,$CB30:$JS30)</f>
        <v>0</v>
      </c>
      <c r="BK30" s="50" t="n">
        <f aca="false">SUMIF($CB$4:$JS$4,BK$4,$CB30:$JS30)</f>
        <v>0</v>
      </c>
      <c r="BL30" s="50" t="n">
        <f aca="false">SUMIF($CB$4:$JS$4,BL$4,$CB30:$JS30)</f>
        <v>0</v>
      </c>
      <c r="BM30" s="50" t="n">
        <f aca="false">SUMIF($CB$4:$JS$4,BM$4,$CB30:$JS30)</f>
        <v>0</v>
      </c>
      <c r="BN30" s="50" t="n">
        <f aca="false">SUMIF($CB$4:$JS$4,BN$4,$CB30:$JS30)</f>
        <v>0</v>
      </c>
      <c r="BO30" s="50" t="n">
        <f aca="false">SUMIF($CB$4:$JS$4,BO$4,$CB30:$JS30)</f>
        <v>0</v>
      </c>
      <c r="BP30" s="50" t="n">
        <f aca="false">SUMIF($CB$4:$JS$4,BP$4,$CB30:$JS30)</f>
        <v>0</v>
      </c>
      <c r="BQ30" s="50" t="n">
        <f aca="false">SUMIF($CB$4:$JS$4,BQ$4,$CB30:$JS30)</f>
        <v>0</v>
      </c>
      <c r="BR30" s="50" t="n">
        <f aca="false">SUMIF($CB$4:$JS$4,BR$4,$CB30:$JS30)</f>
        <v>0</v>
      </c>
      <c r="BS30" s="50" t="n">
        <f aca="false">SUMIF($CB$4:$JS$4,BS$4,$CB30:$JS30)</f>
        <v>0</v>
      </c>
      <c r="BT30" s="50" t="n">
        <f aca="false">SUMIF($CB$4:$JS$4,BT$4,$CB30:$JS30)</f>
        <v>0</v>
      </c>
      <c r="BU30" s="50" t="n">
        <f aca="false">SUMIF($CB$4:$JS$4,BU$4,$CB30:$JS30)</f>
        <v>0</v>
      </c>
      <c r="BV30" s="50" t="n">
        <f aca="false">SUMIF($CB$4:$JS$4,BV$4,$CB30:$JS30)</f>
        <v>0</v>
      </c>
      <c r="BW30" s="50" t="n">
        <f aca="false">SUMIF($CB$4:$JS$4,BW$4,$CB30:$JS30)</f>
        <v>0</v>
      </c>
      <c r="BX30" s="50" t="n">
        <f aca="false">SUMIF($CB$4:$JS$4,"&gt;"&amp;'VALOR POR PL'!$P$8,$CB30:$JS30)</f>
        <v>0</v>
      </c>
      <c r="BY30" s="50" t="n">
        <f aca="false">SUM($CB30:$JS30)</f>
        <v>0</v>
      </c>
      <c r="BZ30" s="45" t="n">
        <f aca="false">SUMPRODUCT(($CB$4:$JS$4&lt;&gt;"")*($CB$4:$JS$4&lt;=$D$4),$CB30:$JS30,$CB$1:$JS$1)</f>
        <v>0</v>
      </c>
      <c r="CB30" s="133" t="n">
        <f aca="false">IF(OR(CB$4="",$B30=""),0,SUMIF('DADOS BRUTOS'!$A$3:$A$500,$B30,'DADOS BRUTOS'!B$3:B$500)+IF($C30="",0,SUMIF('DADOS BRUTOS'!$A$3:$A$500,$C30,'DADOS BRUTOS'!B$3:B$500)))</f>
        <v>0</v>
      </c>
      <c r="CC30" s="133" t="n">
        <f aca="false">IF(OR(CC$4="",$B30=""),0,SUMIF('DADOS BRUTOS'!$A$3:$A$500,$B30,'DADOS BRUTOS'!C$3:C$500)+IF($C30="",0,SUMIF('DADOS BRUTOS'!$A$3:$A$500,$C30,'DADOS BRUTOS'!C$3:C$500)))</f>
        <v>0</v>
      </c>
      <c r="CD30" s="133" t="n">
        <f aca="false">IF(OR(CD$4="",$B30=""),0,SUMIF('DADOS BRUTOS'!$A$3:$A$500,$B30,'DADOS BRUTOS'!D$3:D$500)+IF($C30="",0,SUMIF('DADOS BRUTOS'!$A$3:$A$500,$C30,'DADOS BRUTOS'!D$3:D$500)))</f>
        <v>0</v>
      </c>
      <c r="CE30" s="133" t="n">
        <f aca="false">IF(OR(CE$4="",$B30=""),0,SUMIF('DADOS BRUTOS'!$A$3:$A$500,$B30,'DADOS BRUTOS'!E$3:E$500)+IF($C30="",0,SUMIF('DADOS BRUTOS'!$A$3:$A$500,$C30,'DADOS BRUTOS'!E$3:E$500)))</f>
        <v>0</v>
      </c>
      <c r="CF30" s="133" t="n">
        <f aca="false">IF(OR(CF$4="",$B30=""),0,SUMIF('DADOS BRUTOS'!$A$3:$A$500,$B30,'DADOS BRUTOS'!F$3:F$500)+IF($C30="",0,SUMIF('DADOS BRUTOS'!$A$3:$A$500,$C30,'DADOS BRUTOS'!F$3:F$500)))</f>
        <v>0</v>
      </c>
      <c r="CG30" s="133" t="n">
        <f aca="false">IF(OR(CG$4="",$B30=""),0,SUMIF('DADOS BRUTOS'!$A$3:$A$500,$B30,'DADOS BRUTOS'!G$3:G$500)+IF($C30="",0,SUMIF('DADOS BRUTOS'!$A$3:$A$500,$C30,'DADOS BRUTOS'!G$3:G$500)))</f>
        <v>0</v>
      </c>
      <c r="CH30" s="133" t="n">
        <f aca="false">IF(OR(CH$4="",$B30=""),0,SUMIF('DADOS BRUTOS'!$A$3:$A$500,$B30,'DADOS BRUTOS'!H$3:H$500)+IF($C30="",0,SUMIF('DADOS BRUTOS'!$A$3:$A$500,$C30,'DADOS BRUTOS'!H$3:H$500)))</f>
        <v>0</v>
      </c>
      <c r="CI30" s="133" t="n">
        <f aca="false">IF(OR(CI$4="",$B30=""),0,SUMIF('DADOS BRUTOS'!$A$3:$A$500,$B30,'DADOS BRUTOS'!I$3:I$500)+IF($C30="",0,SUMIF('DADOS BRUTOS'!$A$3:$A$500,$C30,'DADOS BRUTOS'!I$3:I$500)))</f>
        <v>0</v>
      </c>
      <c r="CJ30" s="133" t="n">
        <f aca="false">IF(OR(CJ$4="",$B30=""),0,SUMIF('DADOS BRUTOS'!$A$3:$A$500,$B30,'DADOS BRUTOS'!J$3:J$500)+IF($C30="",0,SUMIF('DADOS BRUTOS'!$A$3:$A$500,$C30,'DADOS BRUTOS'!J$3:J$500)))</f>
        <v>0</v>
      </c>
      <c r="CK30" s="133" t="n">
        <f aca="false">IF(OR(CK$4="",$B30=""),0,SUMIF('DADOS BRUTOS'!$A$3:$A$500,$B30,'DADOS BRUTOS'!K$3:K$500)+IF($C30="",0,SUMIF('DADOS BRUTOS'!$A$3:$A$500,$C30,'DADOS BRUTOS'!K$3:K$500)))</f>
        <v>0</v>
      </c>
      <c r="CL30" s="133" t="n">
        <f aca="false">IF(OR(CL$4="",$B30=""),0,SUMIF('DADOS BRUTOS'!$A$3:$A$500,$B30,'DADOS BRUTOS'!L$3:L$500)+IF($C30="",0,SUMIF('DADOS BRUTOS'!$A$3:$A$500,$C30,'DADOS BRUTOS'!L$3:L$500)))</f>
        <v>0</v>
      </c>
      <c r="CM30" s="133" t="n">
        <f aca="false">IF(OR(CM$4="",$B30=""),0,SUMIF('DADOS BRUTOS'!$A$3:$A$500,$B30,'DADOS BRUTOS'!M$3:M$500)+IF($C30="",0,SUMIF('DADOS BRUTOS'!$A$3:$A$500,$C30,'DADOS BRUTOS'!M$3:M$500)))</f>
        <v>0</v>
      </c>
      <c r="CN30" s="133" t="n">
        <f aca="false">IF(OR(CN$4="",$B30=""),0,SUMIF('DADOS BRUTOS'!$A$3:$A$500,$B30,'DADOS BRUTOS'!N$3:N$500)+IF($C30="",0,SUMIF('DADOS BRUTOS'!$A$3:$A$500,$C30,'DADOS BRUTOS'!N$3:N$500)))</f>
        <v>0</v>
      </c>
      <c r="CO30" s="133" t="n">
        <f aca="false">IF(OR(CO$4="",$B30=""),0,SUMIF('DADOS BRUTOS'!$A$3:$A$500,$B30,'DADOS BRUTOS'!O$3:O$500)+IF($C30="",0,SUMIF('DADOS BRUTOS'!$A$3:$A$500,$C30,'DADOS BRUTOS'!O$3:O$500)))</f>
        <v>0</v>
      </c>
      <c r="CP30" s="133" t="n">
        <f aca="false">IF(OR(CP$4="",$B30=""),0,SUMIF('DADOS BRUTOS'!$A$3:$A$500,$B30,'DADOS BRUTOS'!P$3:P$500)+IF($C30="",0,SUMIF('DADOS BRUTOS'!$A$3:$A$500,$C30,'DADOS BRUTOS'!P$3:P$500)))</f>
        <v>0</v>
      </c>
      <c r="CQ30" s="133" t="n">
        <f aca="false">IF(OR(CQ$4="",$B30=""),0,SUMIF('DADOS BRUTOS'!$A$3:$A$500,$B30,'DADOS BRUTOS'!Q$3:Q$500)+IF($C30="",0,SUMIF('DADOS BRUTOS'!$A$3:$A$500,$C30,'DADOS BRUTOS'!Q$3:Q$500)))</f>
        <v>0</v>
      </c>
      <c r="CR30" s="133" t="n">
        <f aca="false">IF(OR(CR$4="",$B30=""),0,SUMIF('DADOS BRUTOS'!$A$3:$A$500,$B30,'DADOS BRUTOS'!R$3:R$500)+IF($C30="",0,SUMIF('DADOS BRUTOS'!$A$3:$A$500,$C30,'DADOS BRUTOS'!R$3:R$500)))</f>
        <v>0</v>
      </c>
      <c r="CS30" s="133" t="n">
        <f aca="false">IF(OR(CS$4="",$B30=""),0,SUMIF('DADOS BRUTOS'!$A$3:$A$500,$B30,'DADOS BRUTOS'!S$3:S$500)+IF($C30="",0,SUMIF('DADOS BRUTOS'!$A$3:$A$500,$C30,'DADOS BRUTOS'!S$3:S$500)))</f>
        <v>0</v>
      </c>
      <c r="CT30" s="133" t="n">
        <f aca="false">IF(OR(CT$4="",$B30=""),0,SUMIF('DADOS BRUTOS'!$A$3:$A$500,$B30,'DADOS BRUTOS'!T$3:T$500)+IF($C30="",0,SUMIF('DADOS BRUTOS'!$A$3:$A$500,$C30,'DADOS BRUTOS'!T$3:T$500)))</f>
        <v>0</v>
      </c>
      <c r="CU30" s="133" t="n">
        <f aca="false">IF(OR(CU$4="",$B30=""),0,SUMIF('DADOS BRUTOS'!$A$3:$A$500,$B30,'DADOS BRUTOS'!U$3:U$500)+IF($C30="",0,SUMIF('DADOS BRUTOS'!$A$3:$A$500,$C30,'DADOS BRUTOS'!U$3:U$500)))</f>
        <v>0</v>
      </c>
      <c r="CV30" s="133" t="n">
        <f aca="false">IF(OR(CV$4="",$B30=""),0,SUMIF('DADOS BRUTOS'!$A$3:$A$500,$B30,'DADOS BRUTOS'!V$3:V$500)+IF($C30="",0,SUMIF('DADOS BRUTOS'!$A$3:$A$500,$C30,'DADOS BRUTOS'!V$3:V$500)))</f>
        <v>0</v>
      </c>
      <c r="CW30" s="133" t="n">
        <f aca="false">IF(OR(CW$4="",$B30=""),0,SUMIF('DADOS BRUTOS'!$A$3:$A$500,$B30,'DADOS BRUTOS'!W$3:W$500)+IF($C30="",0,SUMIF('DADOS BRUTOS'!$A$3:$A$500,$C30,'DADOS BRUTOS'!W$3:W$500)))</f>
        <v>0</v>
      </c>
      <c r="CX30" s="133" t="n">
        <f aca="false">IF(OR(CX$4="",$B30=""),0,SUMIF('DADOS BRUTOS'!$A$3:$A$500,$B30,'DADOS BRUTOS'!X$3:X$500)+IF($C30="",0,SUMIF('DADOS BRUTOS'!$A$3:$A$500,$C30,'DADOS BRUTOS'!X$3:X$500)))</f>
        <v>0</v>
      </c>
      <c r="CY30" s="133" t="n">
        <f aca="false">IF(OR(CY$4="",$B30=""),0,SUMIF('DADOS BRUTOS'!$A$3:$A$500,$B30,'DADOS BRUTOS'!Y$3:Y$500)+IF($C30="",0,SUMIF('DADOS BRUTOS'!$A$3:$A$500,$C30,'DADOS BRUTOS'!Y$3:Y$500)))</f>
        <v>0</v>
      </c>
      <c r="CZ30" s="133" t="n">
        <f aca="false">IF(OR(CZ$4="",$B30=""),0,SUMIF('DADOS BRUTOS'!$A$3:$A$500,$B30,'DADOS BRUTOS'!Z$3:Z$500)+IF($C30="",0,SUMIF('DADOS BRUTOS'!$A$3:$A$500,$C30,'DADOS BRUTOS'!Z$3:Z$500)))</f>
        <v>0</v>
      </c>
      <c r="DA30" s="133" t="n">
        <f aca="false">IF(OR(DA$4="",$B30=""),0,SUMIF('DADOS BRUTOS'!$A$3:$A$500,$B30,'DADOS BRUTOS'!AA$3:AA$500)+IF($C30="",0,SUMIF('DADOS BRUTOS'!$A$3:$A$500,$C30,'DADOS BRUTOS'!AA$3:AA$500)))</f>
        <v>0</v>
      </c>
      <c r="DB30" s="133" t="n">
        <f aca="false">IF(OR(DB$4="",$B30=""),0,SUMIF('DADOS BRUTOS'!$A$3:$A$500,$B30,'DADOS BRUTOS'!AB$3:AB$500)+IF($C30="",0,SUMIF('DADOS BRUTOS'!$A$3:$A$500,$C30,'DADOS BRUTOS'!AB$3:AB$500)))</f>
        <v>0</v>
      </c>
      <c r="DC30" s="133" t="n">
        <f aca="false">IF(OR(DC$4="",$B30=""),0,SUMIF('DADOS BRUTOS'!$A$3:$A$500,$B30,'DADOS BRUTOS'!AC$3:AC$500)+IF($C30="",0,SUMIF('DADOS BRUTOS'!$A$3:$A$500,$C30,'DADOS BRUTOS'!AC$3:AC$500)))</f>
        <v>0</v>
      </c>
      <c r="DD30" s="133" t="n">
        <f aca="false">IF(OR(DD$4="",$B30=""),0,SUMIF('DADOS BRUTOS'!$A$3:$A$500,$B30,'DADOS BRUTOS'!AD$3:AD$500)+IF($C30="",0,SUMIF('DADOS BRUTOS'!$A$3:$A$500,$C30,'DADOS BRUTOS'!AD$3:AD$500)))</f>
        <v>0</v>
      </c>
      <c r="DE30" s="133" t="n">
        <f aca="false">IF(OR(DE$4="",$B30=""),0,SUMIF('DADOS BRUTOS'!$A$3:$A$500,$B30,'DADOS BRUTOS'!AE$3:AE$500)+IF($C30="",0,SUMIF('DADOS BRUTOS'!$A$3:$A$500,$C30,'DADOS BRUTOS'!AE$3:AE$500)))</f>
        <v>0</v>
      </c>
      <c r="DF30" s="133" t="n">
        <f aca="false">IF(OR(DF$4="",$B30=""),0,SUMIF('DADOS BRUTOS'!$A$3:$A$500,$B30,'DADOS BRUTOS'!AF$3:AF$500)+IF($C30="",0,SUMIF('DADOS BRUTOS'!$A$3:$A$500,$C30,'DADOS BRUTOS'!AF$3:AF$500)))</f>
        <v>0</v>
      </c>
      <c r="DG30" s="133" t="n">
        <f aca="false">IF(OR(DG$4="",$B30=""),0,SUMIF('DADOS BRUTOS'!$A$3:$A$500,$B30,'DADOS BRUTOS'!AG$3:AG$500)+IF($C30="",0,SUMIF('DADOS BRUTOS'!$A$3:$A$500,$C30,'DADOS BRUTOS'!AG$3:AG$500)))</f>
        <v>0</v>
      </c>
      <c r="DH30" s="133" t="n">
        <f aca="false">IF(OR(DH$4="",$B30=""),0,SUMIF('DADOS BRUTOS'!$A$3:$A$500,$B30,'DADOS BRUTOS'!AH$3:AH$500)+IF($C30="",0,SUMIF('DADOS BRUTOS'!$A$3:$A$500,$C30,'DADOS BRUTOS'!AH$3:AH$500)))</f>
        <v>0</v>
      </c>
      <c r="DI30" s="133" t="n">
        <f aca="false">IF(OR(DI$4="",$B30=""),0,SUMIF('DADOS BRUTOS'!$A$3:$A$500,$B30,'DADOS BRUTOS'!AI$3:AI$500)+IF($C30="",0,SUMIF('DADOS BRUTOS'!$A$3:$A$500,$C30,'DADOS BRUTOS'!AI$3:AI$500)))</f>
        <v>0</v>
      </c>
      <c r="DJ30" s="133" t="n">
        <f aca="false">IF(OR(DJ$4="",$B30=""),0,SUMIF('DADOS BRUTOS'!$A$3:$A$500,$B30,'DADOS BRUTOS'!AJ$3:AJ$500)+IF($C30="",0,SUMIF('DADOS BRUTOS'!$A$3:$A$500,$C30,'DADOS BRUTOS'!AJ$3:AJ$500)))</f>
        <v>0</v>
      </c>
      <c r="DK30" s="133" t="n">
        <f aca="false">IF(OR(DK$4="",$B30=""),0,SUMIF('DADOS BRUTOS'!$A$3:$A$500,$B30,'DADOS BRUTOS'!AK$3:AK$500)+IF($C30="",0,SUMIF('DADOS BRUTOS'!$A$3:$A$500,$C30,'DADOS BRUTOS'!AK$3:AK$500)))</f>
        <v>0</v>
      </c>
      <c r="DL30" s="133" t="n">
        <f aca="false">IF(OR(DL$4="",$B30=""),0,SUMIF('DADOS BRUTOS'!$A$3:$A$500,$B30,'DADOS BRUTOS'!AL$3:AL$500)+IF($C30="",0,SUMIF('DADOS BRUTOS'!$A$3:$A$500,$C30,'DADOS BRUTOS'!AL$3:AL$500)))</f>
        <v>0</v>
      </c>
      <c r="DM30" s="133" t="n">
        <f aca="false">IF(OR(DM$4="",$B30=""),0,SUMIF('DADOS BRUTOS'!$A$3:$A$500,$B30,'DADOS BRUTOS'!AM$3:AM$500)+IF($C30="",0,SUMIF('DADOS BRUTOS'!$A$3:$A$500,$C30,'DADOS BRUTOS'!AM$3:AM$500)))</f>
        <v>0</v>
      </c>
      <c r="DN30" s="133" t="n">
        <f aca="false">IF(OR(DN$4="",$B30=""),0,SUMIF('DADOS BRUTOS'!$A$3:$A$500,$B30,'DADOS BRUTOS'!AN$3:AN$500)+IF($C30="",0,SUMIF('DADOS BRUTOS'!$A$3:$A$500,$C30,'DADOS BRUTOS'!AN$3:AN$500)))</f>
        <v>0</v>
      </c>
      <c r="DO30" s="133" t="n">
        <f aca="false">IF(OR(DO$4="",$B30=""),0,SUMIF('DADOS BRUTOS'!$A$3:$A$500,$B30,'DADOS BRUTOS'!AO$3:AO$500)+IF($C30="",0,SUMIF('DADOS BRUTOS'!$A$3:$A$500,$C30,'DADOS BRUTOS'!AO$3:AO$500)))</f>
        <v>0</v>
      </c>
      <c r="DP30" s="133" t="n">
        <f aca="false">IF(OR(DP$4="",$B30=""),0,SUMIF('DADOS BRUTOS'!$A$3:$A$500,$B30,'DADOS BRUTOS'!AP$3:AP$500)+IF($C30="",0,SUMIF('DADOS BRUTOS'!$A$3:$A$500,$C30,'DADOS BRUTOS'!AP$3:AP$500)))</f>
        <v>0</v>
      </c>
      <c r="DQ30" s="133" t="n">
        <f aca="false">IF(OR(DQ$4="",$B30=""),0,SUMIF('DADOS BRUTOS'!$A$3:$A$500,$B30,'DADOS BRUTOS'!AQ$3:AQ$500)+IF($C30="",0,SUMIF('DADOS BRUTOS'!$A$3:$A$500,$C30,'DADOS BRUTOS'!AQ$3:AQ$500)))</f>
        <v>0</v>
      </c>
      <c r="DR30" s="133" t="n">
        <f aca="false">IF(OR(DR$4="",$B30=""),0,SUMIF('DADOS BRUTOS'!$A$3:$A$500,$B30,'DADOS BRUTOS'!AR$3:AR$500)+IF($C30="",0,SUMIF('DADOS BRUTOS'!$A$3:$A$500,$C30,'DADOS BRUTOS'!AR$3:AR$500)))</f>
        <v>0</v>
      </c>
      <c r="DS30" s="133" t="n">
        <f aca="false">IF(OR(DS$4="",$B30=""),0,SUMIF('DADOS BRUTOS'!$A$3:$A$500,$B30,'DADOS BRUTOS'!AS$3:AS$500)+IF($C30="",0,SUMIF('DADOS BRUTOS'!$A$3:$A$500,$C30,'DADOS BRUTOS'!AS$3:AS$500)))</f>
        <v>0</v>
      </c>
      <c r="DT30" s="133" t="n">
        <f aca="false">IF(OR(DT$4="",$B30=""),0,SUMIF('DADOS BRUTOS'!$A$3:$A$500,$B30,'DADOS BRUTOS'!AT$3:AT$500)+IF($C30="",0,SUMIF('DADOS BRUTOS'!$A$3:$A$500,$C30,'DADOS BRUTOS'!AT$3:AT$500)))</f>
        <v>0</v>
      </c>
      <c r="DU30" s="133" t="n">
        <f aca="false">IF(OR(DU$4="",$B30=""),0,SUMIF('DADOS BRUTOS'!$A$3:$A$500,$B30,'DADOS BRUTOS'!AU$3:AU$500)+IF($C30="",0,SUMIF('DADOS BRUTOS'!$A$3:$A$500,$C30,'DADOS BRUTOS'!AU$3:AU$500)))</f>
        <v>0</v>
      </c>
      <c r="DV30" s="133" t="n">
        <f aca="false">IF(OR(DV$4="",$B30=""),0,SUMIF('DADOS BRUTOS'!$A$3:$A$500,$B30,'DADOS BRUTOS'!AV$3:AV$500)+IF($C30="",0,SUMIF('DADOS BRUTOS'!$A$3:$A$500,$C30,'DADOS BRUTOS'!AV$3:AV$500)))</f>
        <v>0</v>
      </c>
      <c r="DW30" s="133" t="n">
        <f aca="false">IF(OR(DW$4="",$B30=""),0,SUMIF('DADOS BRUTOS'!$A$3:$A$500,$B30,'DADOS BRUTOS'!AW$3:AW$500)+IF($C30="",0,SUMIF('DADOS BRUTOS'!$A$3:$A$500,$C30,'DADOS BRUTOS'!AW$3:AW$500)))</f>
        <v>0</v>
      </c>
      <c r="DX30" s="133" t="n">
        <f aca="false">IF(OR(DX$4="",$B30=""),0,SUMIF('DADOS BRUTOS'!$A$3:$A$500,$B30,'DADOS BRUTOS'!AX$3:AX$500)+IF($C30="",0,SUMIF('DADOS BRUTOS'!$A$3:$A$500,$C30,'DADOS BRUTOS'!AX$3:AX$500)))</f>
        <v>0</v>
      </c>
      <c r="DY30" s="133" t="n">
        <f aca="false">IF(OR(DY$4="",$B30=""),0,SUMIF('DADOS BRUTOS'!$A$3:$A$500,$B30,'DADOS BRUTOS'!AY$3:AY$500)+IF($C30="",0,SUMIF('DADOS BRUTOS'!$A$3:$A$500,$C30,'DADOS BRUTOS'!AY$3:AY$500)))</f>
        <v>0</v>
      </c>
      <c r="DZ30" s="133" t="n">
        <f aca="false">IF(OR(DZ$4="",$B30=""),0,SUMIF('DADOS BRUTOS'!$A$3:$A$500,$B30,'DADOS BRUTOS'!AZ$3:AZ$500)+IF($C30="",0,SUMIF('DADOS BRUTOS'!$A$3:$A$500,$C30,'DADOS BRUTOS'!AZ$3:AZ$500)))</f>
        <v>0</v>
      </c>
      <c r="EA30" s="133" t="n">
        <f aca="false">IF(OR(EA$4="",$B30=""),0,SUMIF('DADOS BRUTOS'!$A$3:$A$500,$B30,'DADOS BRUTOS'!BA$3:BA$500)+IF($C30="",0,SUMIF('DADOS BRUTOS'!$A$3:$A$500,$C30,'DADOS BRUTOS'!BA$3:BA$500)))</f>
        <v>0</v>
      </c>
      <c r="EB30" s="133" t="n">
        <f aca="false">IF(OR(EB$4="",$B30=""),0,SUMIF('DADOS BRUTOS'!$A$3:$A$500,$B30,'DADOS BRUTOS'!BB$3:BB$500)+IF($C30="",0,SUMIF('DADOS BRUTOS'!$A$3:$A$500,$C30,'DADOS BRUTOS'!BB$3:BB$500)))</f>
        <v>0</v>
      </c>
      <c r="EC30" s="133" t="n">
        <f aca="false">IF(OR(EC$4="",$B30=""),0,SUMIF('DADOS BRUTOS'!$A$3:$A$500,$B30,'DADOS BRUTOS'!BC$3:BC$500)+IF($C30="",0,SUMIF('DADOS BRUTOS'!$A$3:$A$500,$C30,'DADOS BRUTOS'!BC$3:BC$500)))</f>
        <v>0</v>
      </c>
      <c r="ED30" s="133" t="n">
        <f aca="false">IF(OR(ED$4="",$B30=""),0,SUMIF('DADOS BRUTOS'!$A$3:$A$500,$B30,'DADOS BRUTOS'!BD$3:BD$500)+IF($C30="",0,SUMIF('DADOS BRUTOS'!$A$3:$A$500,$C30,'DADOS BRUTOS'!BD$3:BD$500)))</f>
        <v>0</v>
      </c>
      <c r="EE30" s="133" t="n">
        <f aca="false">IF(OR(EE$4="",$B30=""),0,SUMIF('DADOS BRUTOS'!$A$3:$A$500,$B30,'DADOS BRUTOS'!BE$3:BE$500)+IF($C30="",0,SUMIF('DADOS BRUTOS'!$A$3:$A$500,$C30,'DADOS BRUTOS'!BE$3:BE$500)))</f>
        <v>0</v>
      </c>
      <c r="EF30" s="133" t="n">
        <f aca="false">IF(OR(EF$4="",$B30=""),0,SUMIF('DADOS BRUTOS'!$A$3:$A$500,$B30,'DADOS BRUTOS'!BF$3:BF$500)+IF($C30="",0,SUMIF('DADOS BRUTOS'!$A$3:$A$500,$C30,'DADOS BRUTOS'!BF$3:BF$500)))</f>
        <v>0</v>
      </c>
      <c r="EG30" s="133" t="n">
        <f aca="false">IF(OR(EG$4="",$B30=""),0,SUMIF('DADOS BRUTOS'!$A$3:$A$500,$B30,'DADOS BRUTOS'!BG$3:BG$500)+IF($C30="",0,SUMIF('DADOS BRUTOS'!$A$3:$A$500,$C30,'DADOS BRUTOS'!BG$3:BG$500)))</f>
        <v>0</v>
      </c>
      <c r="EH30" s="133" t="n">
        <f aca="false">IF(OR(EH$4="",$B30=""),0,SUMIF('DADOS BRUTOS'!$A$3:$A$500,$B30,'DADOS BRUTOS'!BH$3:BH$500)+IF($C30="",0,SUMIF('DADOS BRUTOS'!$A$3:$A$500,$C30,'DADOS BRUTOS'!BH$3:BH$500)))</f>
        <v>0</v>
      </c>
      <c r="EI30" s="133" t="n">
        <f aca="false">IF(OR(EI$4="",$B30=""),0,SUMIF('DADOS BRUTOS'!$A$3:$A$500,$B30,'DADOS BRUTOS'!BI$3:BI$500)+IF($C30="",0,SUMIF('DADOS BRUTOS'!$A$3:$A$500,$C30,'DADOS BRUTOS'!BI$3:BI$500)))</f>
        <v>0</v>
      </c>
      <c r="EJ30" s="133" t="n">
        <f aca="false">IF(OR(EJ$4="",$B30=""),0,SUMIF('DADOS BRUTOS'!$A$3:$A$500,$B30,'DADOS BRUTOS'!BJ$3:BJ$500)+IF($C30="",0,SUMIF('DADOS BRUTOS'!$A$3:$A$500,$C30,'DADOS BRUTOS'!BJ$3:BJ$500)))</f>
        <v>0</v>
      </c>
      <c r="EK30" s="133" t="n">
        <f aca="false">IF(OR(EK$4="",$B30=""),0,SUMIF('DADOS BRUTOS'!$A$3:$A$500,$B30,'DADOS BRUTOS'!BK$3:BK$500)+IF($C30="",0,SUMIF('DADOS BRUTOS'!$A$3:$A$500,$C30,'DADOS BRUTOS'!BK$3:BK$500)))</f>
        <v>0</v>
      </c>
      <c r="EL30" s="133" t="n">
        <f aca="false">IF(OR(EL$4="",$B30=""),0,SUMIF('DADOS BRUTOS'!$A$3:$A$500,$B30,'DADOS BRUTOS'!BL$3:BL$500)+IF($C30="",0,SUMIF('DADOS BRUTOS'!$A$3:$A$500,$C30,'DADOS BRUTOS'!BL$3:BL$500)))</f>
        <v>0</v>
      </c>
      <c r="EM30" s="133" t="n">
        <f aca="false">IF(OR(EM$4="",$B30=""),0,SUMIF('DADOS BRUTOS'!$A$3:$A$500,$B30,'DADOS BRUTOS'!BM$3:BM$500)+IF($C30="",0,SUMIF('DADOS BRUTOS'!$A$3:$A$500,$C30,'DADOS BRUTOS'!BM$3:BM$500)))</f>
        <v>0</v>
      </c>
      <c r="EN30" s="133" t="n">
        <f aca="false">IF(OR(EN$4="",$B30=""),0,SUMIF('DADOS BRUTOS'!$A$3:$A$500,$B30,'DADOS BRUTOS'!BN$3:BN$500)+IF($C30="",0,SUMIF('DADOS BRUTOS'!$A$3:$A$500,$C30,'DADOS BRUTOS'!BN$3:BN$500)))</f>
        <v>0</v>
      </c>
      <c r="EO30" s="133" t="n">
        <f aca="false">IF(OR(EO$4="",$B30=""),0,SUMIF('DADOS BRUTOS'!$A$3:$A$500,$B30,'DADOS BRUTOS'!BO$3:BO$500)+IF($C30="",0,SUMIF('DADOS BRUTOS'!$A$3:$A$500,$C30,'DADOS BRUTOS'!BO$3:BO$500)))</f>
        <v>0</v>
      </c>
      <c r="EP30" s="133" t="n">
        <f aca="false">IF(OR(EP$4="",$B30=""),0,SUMIF('DADOS BRUTOS'!$A$3:$A$500,$B30,'DADOS BRUTOS'!BP$3:BP$500)+IF($C30="",0,SUMIF('DADOS BRUTOS'!$A$3:$A$500,$C30,'DADOS BRUTOS'!BP$3:BP$500)))</f>
        <v>0</v>
      </c>
      <c r="EQ30" s="133" t="n">
        <f aca="false">IF(OR(EQ$4="",$B30=""),0,SUMIF('DADOS BRUTOS'!$A$3:$A$500,$B30,'DADOS BRUTOS'!BQ$3:BQ$500)+IF($C30="",0,SUMIF('DADOS BRUTOS'!$A$3:$A$500,$C30,'DADOS BRUTOS'!BQ$3:BQ$500)))</f>
        <v>0</v>
      </c>
      <c r="ER30" s="133" t="n">
        <f aca="false">IF(OR(ER$4="",$B30=""),0,SUMIF('DADOS BRUTOS'!$A$3:$A$500,$B30,'DADOS BRUTOS'!BR$3:BR$500)+IF($C30="",0,SUMIF('DADOS BRUTOS'!$A$3:$A$500,$C30,'DADOS BRUTOS'!BR$3:BR$500)))</f>
        <v>0</v>
      </c>
      <c r="ES30" s="133" t="n">
        <f aca="false">IF(OR(ES$4="",$B30=""),0,SUMIF('DADOS BRUTOS'!$A$3:$A$500,$B30,'DADOS BRUTOS'!BS$3:BS$500)+IF($C30="",0,SUMIF('DADOS BRUTOS'!$A$3:$A$500,$C30,'DADOS BRUTOS'!BS$3:BS$500)))</f>
        <v>0</v>
      </c>
      <c r="ET30" s="133" t="n">
        <f aca="false">IF(OR(ET$4="",$B30=""),0,SUMIF('DADOS BRUTOS'!$A$3:$A$500,$B30,'DADOS BRUTOS'!BT$3:BT$500)+IF($C30="",0,SUMIF('DADOS BRUTOS'!$A$3:$A$500,$C30,'DADOS BRUTOS'!BT$3:BT$500)))</f>
        <v>0</v>
      </c>
      <c r="EU30" s="133" t="n">
        <f aca="false">IF(OR(EU$4="",$B30=""),0,SUMIF('DADOS BRUTOS'!$A$3:$A$500,$B30,'DADOS BRUTOS'!BU$3:BU$500)+IF($C30="",0,SUMIF('DADOS BRUTOS'!$A$3:$A$500,$C30,'DADOS BRUTOS'!BU$3:BU$500)))</f>
        <v>0</v>
      </c>
      <c r="EV30" s="133" t="n">
        <f aca="false">IF(OR(EV$4="",$B30=""),0,SUMIF('DADOS BRUTOS'!$A$3:$A$500,$B30,'DADOS BRUTOS'!BV$3:BV$500)+IF($C30="",0,SUMIF('DADOS BRUTOS'!$A$3:$A$500,$C30,'DADOS BRUTOS'!BV$3:BV$500)))</f>
        <v>0</v>
      </c>
      <c r="EW30" s="133" t="n">
        <f aca="false">IF(OR(EW$4="",$B30=""),0,SUMIF('DADOS BRUTOS'!$A$3:$A$500,$B30,'DADOS BRUTOS'!BW$3:BW$500)+IF($C30="",0,SUMIF('DADOS BRUTOS'!$A$3:$A$500,$C30,'DADOS BRUTOS'!BW$3:BW$500)))</f>
        <v>0</v>
      </c>
      <c r="EX30" s="133" t="n">
        <f aca="false">IF(OR(EX$4="",$B30=""),0,SUMIF('DADOS BRUTOS'!$A$3:$A$500,$B30,'DADOS BRUTOS'!BX$3:BX$500)+IF($C30="",0,SUMIF('DADOS BRUTOS'!$A$3:$A$500,$C30,'DADOS BRUTOS'!BX$3:BX$500)))</f>
        <v>0</v>
      </c>
      <c r="EY30" s="133" t="n">
        <f aca="false">IF(OR(EY$4="",$B30=""),0,SUMIF('DADOS BRUTOS'!$A$3:$A$500,$B30,'DADOS BRUTOS'!BY$3:BY$500)+IF($C30="",0,SUMIF('DADOS BRUTOS'!$A$3:$A$500,$C30,'DADOS BRUTOS'!BY$3:BY$500)))</f>
        <v>0</v>
      </c>
      <c r="EZ30" s="133" t="n">
        <f aca="false">IF(OR(EZ$4="",$B30=""),0,SUMIF('DADOS BRUTOS'!$A$3:$A$500,$B30,'DADOS BRUTOS'!BZ$3:BZ$500)+IF($C30="",0,SUMIF('DADOS BRUTOS'!$A$3:$A$500,$C30,'DADOS BRUTOS'!BZ$3:BZ$500)))</f>
        <v>0</v>
      </c>
      <c r="FA30" s="133" t="n">
        <f aca="false">IF(OR(FA$4="",$B30=""),0,SUMIF('DADOS BRUTOS'!$A$3:$A$500,$B30,'DADOS BRUTOS'!CA$3:CA$500)+IF($C30="",0,SUMIF('DADOS BRUTOS'!$A$3:$A$500,$C30,'DADOS BRUTOS'!CA$3:CA$500)))</f>
        <v>0</v>
      </c>
      <c r="FB30" s="133" t="n">
        <f aca="false">IF(OR(FB$4="",$B30=""),0,SUMIF('DADOS BRUTOS'!$A$3:$A$500,$B30,'DADOS BRUTOS'!CB$3:CB$500)+IF($C30="",0,SUMIF('DADOS BRUTOS'!$A$3:$A$500,$C30,'DADOS BRUTOS'!CB$3:CB$500)))</f>
        <v>0</v>
      </c>
      <c r="FC30" s="133" t="n">
        <f aca="false">IF(OR(FC$4="",$B30=""),0,SUMIF('DADOS BRUTOS'!$A$3:$A$500,$B30,'DADOS BRUTOS'!CC$3:CC$500)+IF($C30="",0,SUMIF('DADOS BRUTOS'!$A$3:$A$500,$C30,'DADOS BRUTOS'!CC$3:CC$500)))</f>
        <v>0</v>
      </c>
      <c r="FD30" s="133" t="n">
        <f aca="false">IF(OR(FD$4="",$B30=""),0,SUMIF('DADOS BRUTOS'!$A$3:$A$500,$B30,'DADOS BRUTOS'!CD$3:CD$500)+IF($C30="",0,SUMIF('DADOS BRUTOS'!$A$3:$A$500,$C30,'DADOS BRUTOS'!CD$3:CD$500)))</f>
        <v>0</v>
      </c>
      <c r="FE30" s="133" t="n">
        <f aca="false">IF(OR(FE$4="",$B30=""),0,SUMIF('DADOS BRUTOS'!$A$3:$A$500,$B30,'DADOS BRUTOS'!CE$3:CE$500)+IF($C30="",0,SUMIF('DADOS BRUTOS'!$A$3:$A$500,$C30,'DADOS BRUTOS'!CE$3:CE$500)))</f>
        <v>0</v>
      </c>
      <c r="FF30" s="133" t="n">
        <f aca="false">IF(OR(FF$4="",$B30=""),0,SUMIF('DADOS BRUTOS'!$A$3:$A$500,$B30,'DADOS BRUTOS'!CF$3:CF$500)+IF($C30="",0,SUMIF('DADOS BRUTOS'!$A$3:$A$500,$C30,'DADOS BRUTOS'!CF$3:CF$500)))</f>
        <v>0</v>
      </c>
      <c r="FG30" s="133" t="n">
        <f aca="false">IF(OR(FG$4="",$B30=""),0,SUMIF('DADOS BRUTOS'!$A$3:$A$500,$B30,'DADOS BRUTOS'!CG$3:CG$500)+IF($C30="",0,SUMIF('DADOS BRUTOS'!$A$3:$A$500,$C30,'DADOS BRUTOS'!CG$3:CG$500)))</f>
        <v>0</v>
      </c>
      <c r="FH30" s="133" t="n">
        <f aca="false">IF(OR(FH$4="",$B30=""),0,SUMIF('DADOS BRUTOS'!$A$3:$A$500,$B30,'DADOS BRUTOS'!CH$3:CH$500)+IF($C30="",0,SUMIF('DADOS BRUTOS'!$A$3:$A$500,$C30,'DADOS BRUTOS'!CH$3:CH$500)))</f>
        <v>0</v>
      </c>
      <c r="FI30" s="133" t="n">
        <f aca="false">IF(OR(FI$4="",$B30=""),0,SUMIF('DADOS BRUTOS'!$A$3:$A$500,$B30,'DADOS BRUTOS'!CI$3:CI$500)+IF($C30="",0,SUMIF('DADOS BRUTOS'!$A$3:$A$500,$C30,'DADOS BRUTOS'!CI$3:CI$500)))</f>
        <v>0</v>
      </c>
      <c r="FJ30" s="133" t="n">
        <f aca="false">IF(OR(FJ$4="",$B30=""),0,SUMIF('DADOS BRUTOS'!$A$3:$A$500,$B30,'DADOS BRUTOS'!CJ$3:CJ$500)+IF($C30="",0,SUMIF('DADOS BRUTOS'!$A$3:$A$500,$C30,'DADOS BRUTOS'!CJ$3:CJ$500)))</f>
        <v>0</v>
      </c>
      <c r="FK30" s="133" t="n">
        <f aca="false">IF(OR(FK$4="",$B30=""),0,SUMIF('DADOS BRUTOS'!$A$3:$A$500,$B30,'DADOS BRUTOS'!CK$3:CK$500)+IF($C30="",0,SUMIF('DADOS BRUTOS'!$A$3:$A$500,$C30,'DADOS BRUTOS'!CK$3:CK$500)))</f>
        <v>0</v>
      </c>
      <c r="FL30" s="133" t="n">
        <f aca="false">IF(OR(FL$4="",$B30=""),0,SUMIF('DADOS BRUTOS'!$A$3:$A$500,$B30,'DADOS BRUTOS'!CL$3:CL$500)+IF($C30="",0,SUMIF('DADOS BRUTOS'!$A$3:$A$500,$C30,'DADOS BRUTOS'!CL$3:CL$500)))</f>
        <v>0</v>
      </c>
      <c r="FM30" s="133" t="n">
        <f aca="false">IF(OR(FM$4="",$B30=""),0,SUMIF('DADOS BRUTOS'!$A$3:$A$500,$B30,'DADOS BRUTOS'!CM$3:CM$500)+IF($C30="",0,SUMIF('DADOS BRUTOS'!$A$3:$A$500,$C30,'DADOS BRUTOS'!CM$3:CM$500)))</f>
        <v>0</v>
      </c>
      <c r="FN30" s="133" t="n">
        <f aca="false">IF(OR(FN$4="",$B30=""),0,SUMIF('DADOS BRUTOS'!$A$3:$A$500,$B30,'DADOS BRUTOS'!CN$3:CN$500)+IF($C30="",0,SUMIF('DADOS BRUTOS'!$A$3:$A$500,$C30,'DADOS BRUTOS'!CN$3:CN$500)))</f>
        <v>0</v>
      </c>
      <c r="FO30" s="133" t="n">
        <f aca="false">IF(OR(FO$4="",$B30=""),0,SUMIF('DADOS BRUTOS'!$A$3:$A$500,$B30,'DADOS BRUTOS'!CO$3:CO$500)+IF($C30="",0,SUMIF('DADOS BRUTOS'!$A$3:$A$500,$C30,'DADOS BRUTOS'!CO$3:CO$500)))</f>
        <v>0</v>
      </c>
      <c r="FP30" s="133" t="n">
        <f aca="false">IF(OR(FP$4="",$B30=""),0,SUMIF('DADOS BRUTOS'!$A$3:$A$500,$B30,'DADOS BRUTOS'!CP$3:CP$500)+IF($C30="",0,SUMIF('DADOS BRUTOS'!$A$3:$A$500,$C30,'DADOS BRUTOS'!CP$3:CP$500)))</f>
        <v>0</v>
      </c>
      <c r="FQ30" s="133" t="n">
        <f aca="false">IF(OR(FQ$4="",$B30=""),0,SUMIF('DADOS BRUTOS'!$A$3:$A$500,$B30,'DADOS BRUTOS'!CQ$3:CQ$500)+IF($C30="",0,SUMIF('DADOS BRUTOS'!$A$3:$A$500,$C30,'DADOS BRUTOS'!CQ$3:CQ$500)))</f>
        <v>0</v>
      </c>
      <c r="FR30" s="133" t="n">
        <f aca="false">IF(OR(FR$4="",$B30=""),0,SUMIF('DADOS BRUTOS'!$A$3:$A$500,$B30,'DADOS BRUTOS'!CR$3:CR$500)+IF($C30="",0,SUMIF('DADOS BRUTOS'!$A$3:$A$500,$C30,'DADOS BRUTOS'!CR$3:CR$500)))</f>
        <v>0</v>
      </c>
      <c r="FS30" s="133" t="n">
        <f aca="false">IF(OR(FS$4="",$B30=""),0,SUMIF('DADOS BRUTOS'!$A$3:$A$500,$B30,'DADOS BRUTOS'!CS$3:CS$500)+IF($C30="",0,SUMIF('DADOS BRUTOS'!$A$3:$A$500,$C30,'DADOS BRUTOS'!CS$3:CS$500)))</f>
        <v>0</v>
      </c>
      <c r="FT30" s="133" t="n">
        <f aca="false">IF(OR(FT$4="",$B30=""),0,SUMIF('DADOS BRUTOS'!$A$3:$A$500,$B30,'DADOS BRUTOS'!CT$3:CT$500)+IF($C30="",0,SUMIF('DADOS BRUTOS'!$A$3:$A$500,$C30,'DADOS BRUTOS'!CT$3:CT$500)))</f>
        <v>0</v>
      </c>
      <c r="FU30" s="133" t="n">
        <f aca="false">IF(OR(FU$4="",$B30=""),0,SUMIF('DADOS BRUTOS'!$A$3:$A$500,$B30,'DADOS BRUTOS'!CU$3:CU$500)+IF($C30="",0,SUMIF('DADOS BRUTOS'!$A$3:$A$500,$C30,'DADOS BRUTOS'!CU$3:CU$500)))</f>
        <v>0</v>
      </c>
      <c r="FV30" s="133" t="n">
        <f aca="false">IF(OR(FV$4="",$B30=""),0,SUMIF('DADOS BRUTOS'!$A$3:$A$500,$B30,'DADOS BRUTOS'!CV$3:CV$500)+IF($C30="",0,SUMIF('DADOS BRUTOS'!$A$3:$A$500,$C30,'DADOS BRUTOS'!CV$3:CV$500)))</f>
        <v>0</v>
      </c>
      <c r="FW30" s="133" t="n">
        <f aca="false">IF(OR(FW$4="",$B30=""),0,SUMIF('DADOS BRUTOS'!$A$3:$A$500,$B30,'DADOS BRUTOS'!CW$3:CW$500)+IF($C30="",0,SUMIF('DADOS BRUTOS'!$A$3:$A$500,$C30,'DADOS BRUTOS'!CW$3:CW$500)))</f>
        <v>0</v>
      </c>
      <c r="FX30" s="133" t="n">
        <f aca="false">IF(OR(FX$4="",$B30=""),0,SUMIF('DADOS BRUTOS'!$A$3:$A$500,$B30,'DADOS BRUTOS'!CX$3:CX$500)+IF($C30="",0,SUMIF('DADOS BRUTOS'!$A$3:$A$500,$C30,'DADOS BRUTOS'!CX$3:CX$500)))</f>
        <v>0</v>
      </c>
      <c r="FY30" s="133" t="n">
        <f aca="false">IF(OR(FY$4="",$B30=""),0,SUMIF('DADOS BRUTOS'!$A$3:$A$500,$B30,'DADOS BRUTOS'!CY$3:CY$500)+IF($C30="",0,SUMIF('DADOS BRUTOS'!$A$3:$A$500,$C30,'DADOS BRUTOS'!CY$3:CY$500)))</f>
        <v>0</v>
      </c>
      <c r="FZ30" s="133" t="n">
        <f aca="false">IF(OR(FZ$4="",$B30=""),0,SUMIF('DADOS BRUTOS'!$A$3:$A$500,$B30,'DADOS BRUTOS'!CZ$3:CZ$500)+IF($C30="",0,SUMIF('DADOS BRUTOS'!$A$3:$A$500,$C30,'DADOS BRUTOS'!CZ$3:CZ$500)))</f>
        <v>0</v>
      </c>
      <c r="GA30" s="133" t="n">
        <f aca="false">IF(OR(GA$4="",$B30=""),0,SUMIF('DADOS BRUTOS'!$A$3:$A$500,$B30,'DADOS BRUTOS'!DA$3:DA$500)+IF($C30="",0,SUMIF('DADOS BRUTOS'!$A$3:$A$500,$C30,'DADOS BRUTOS'!DA$3:DA$500)))</f>
        <v>0</v>
      </c>
      <c r="GB30" s="133" t="n">
        <f aca="false">IF(OR(GB$4="",$B30=""),0,SUMIF('DADOS BRUTOS'!$A$3:$A$500,$B30,'DADOS BRUTOS'!DB$3:DB$500)+IF($C30="",0,SUMIF('DADOS BRUTOS'!$A$3:$A$500,$C30,'DADOS BRUTOS'!DB$3:DB$500)))</f>
        <v>0</v>
      </c>
      <c r="GC30" s="133" t="n">
        <f aca="false">IF(OR(GC$4="",$B30=""),0,SUMIF('DADOS BRUTOS'!$A$3:$A$500,$B30,'DADOS BRUTOS'!DC$3:DC$500)+IF($C30="",0,SUMIF('DADOS BRUTOS'!$A$3:$A$500,$C30,'DADOS BRUTOS'!DC$3:DC$500)))</f>
        <v>0</v>
      </c>
      <c r="GD30" s="133" t="n">
        <f aca="false">IF(OR(GD$4="",$B30=""),0,SUMIF('DADOS BRUTOS'!$A$3:$A$500,$B30,'DADOS BRUTOS'!DD$3:DD$500)+IF($C30="",0,SUMIF('DADOS BRUTOS'!$A$3:$A$500,$C30,'DADOS BRUTOS'!DD$3:DD$500)))</f>
        <v>0</v>
      </c>
      <c r="GE30" s="133" t="n">
        <f aca="false">IF(OR(GE$4="",$B30=""),0,SUMIF('DADOS BRUTOS'!$A$3:$A$500,$B30,'DADOS BRUTOS'!DE$3:DE$500)+IF($C30="",0,SUMIF('DADOS BRUTOS'!$A$3:$A$500,$C30,'DADOS BRUTOS'!DE$3:DE$500)))</f>
        <v>0</v>
      </c>
      <c r="GF30" s="133" t="n">
        <f aca="false">IF(OR(GF$4="",$B30=""),0,SUMIF('DADOS BRUTOS'!$A$3:$A$500,$B30,'DADOS BRUTOS'!DF$3:DF$500)+IF($C30="",0,SUMIF('DADOS BRUTOS'!$A$3:$A$500,$C30,'DADOS BRUTOS'!DF$3:DF$500)))</f>
        <v>0</v>
      </c>
      <c r="GG30" s="133" t="n">
        <f aca="false">IF(OR(GG$4="",$B30=""),0,SUMIF('DADOS BRUTOS'!$A$3:$A$500,$B30,'DADOS BRUTOS'!DG$3:DG$500)+IF($C30="",0,SUMIF('DADOS BRUTOS'!$A$3:$A$500,$C30,'DADOS BRUTOS'!DG$3:DG$500)))</f>
        <v>0</v>
      </c>
      <c r="GH30" s="133" t="n">
        <f aca="false">IF(OR(GH$4="",$B30=""),0,SUMIF('DADOS BRUTOS'!$A$3:$A$500,$B30,'DADOS BRUTOS'!DH$3:DH$500)+IF($C30="",0,SUMIF('DADOS BRUTOS'!$A$3:$A$500,$C30,'DADOS BRUTOS'!DH$3:DH$500)))</f>
        <v>0</v>
      </c>
      <c r="GI30" s="133" t="n">
        <f aca="false">IF(OR(GI$4="",$B30=""),0,SUMIF('DADOS BRUTOS'!$A$3:$A$500,$B30,'DADOS BRUTOS'!DI$3:DI$500)+IF($C30="",0,SUMIF('DADOS BRUTOS'!$A$3:$A$500,$C30,'DADOS BRUTOS'!DI$3:DI$500)))</f>
        <v>0</v>
      </c>
      <c r="GJ30" s="133" t="n">
        <f aca="false">IF(OR(GJ$4="",$B30=""),0,SUMIF('DADOS BRUTOS'!$A$3:$A$500,$B30,'DADOS BRUTOS'!DJ$3:DJ$500)+IF($C30="",0,SUMIF('DADOS BRUTOS'!$A$3:$A$500,$C30,'DADOS BRUTOS'!DJ$3:DJ$500)))</f>
        <v>0</v>
      </c>
      <c r="GK30" s="133" t="n">
        <f aca="false">IF(OR(GK$4="",$B30=""),0,SUMIF('DADOS BRUTOS'!$A$3:$A$500,$B30,'DADOS BRUTOS'!DK$3:DK$500)+IF($C30="",0,SUMIF('DADOS BRUTOS'!$A$3:$A$500,$C30,'DADOS BRUTOS'!DK$3:DK$500)))</f>
        <v>0</v>
      </c>
      <c r="GL30" s="133" t="n">
        <f aca="false">IF(OR(GL$4="",$B30=""),0,SUMIF('DADOS BRUTOS'!$A$3:$A$500,$B30,'DADOS BRUTOS'!DL$3:DL$500)+IF($C30="",0,SUMIF('DADOS BRUTOS'!$A$3:$A$500,$C30,'DADOS BRUTOS'!DL$3:DL$500)))</f>
        <v>0</v>
      </c>
      <c r="GM30" s="133" t="n">
        <f aca="false">IF(OR(GM$4="",$B30=""),0,SUMIF('DADOS BRUTOS'!$A$3:$A$500,$B30,'DADOS BRUTOS'!DM$3:DM$500)+IF($C30="",0,SUMIF('DADOS BRUTOS'!$A$3:$A$500,$C30,'DADOS BRUTOS'!DM$3:DM$500)))</f>
        <v>0</v>
      </c>
      <c r="GN30" s="133" t="n">
        <f aca="false">IF(OR(GN$4="",$B30=""),0,SUMIF('DADOS BRUTOS'!$A$3:$A$500,$B30,'DADOS BRUTOS'!DN$3:DN$500)+IF($C30="",0,SUMIF('DADOS BRUTOS'!$A$3:$A$500,$C30,'DADOS BRUTOS'!DN$3:DN$500)))</f>
        <v>0</v>
      </c>
      <c r="GO30" s="133" t="n">
        <f aca="false">IF(OR(GO$4="",$B30=""),0,SUMIF('DADOS BRUTOS'!$A$3:$A$500,$B30,'DADOS BRUTOS'!DO$3:DO$500)+IF($C30="",0,SUMIF('DADOS BRUTOS'!$A$3:$A$500,$C30,'DADOS BRUTOS'!DO$3:DO$500)))</f>
        <v>0</v>
      </c>
      <c r="GP30" s="133" t="n">
        <f aca="false">IF(OR(GP$4="",$B30=""),0,SUMIF('DADOS BRUTOS'!$A$3:$A$500,$B30,'DADOS BRUTOS'!DP$3:DP$500)+IF($C30="",0,SUMIF('DADOS BRUTOS'!$A$3:$A$500,$C30,'DADOS BRUTOS'!DP$3:DP$500)))</f>
        <v>0</v>
      </c>
      <c r="GQ30" s="133" t="n">
        <f aca="false">IF(OR(GQ$4="",$B30=""),0,SUMIF('DADOS BRUTOS'!$A$3:$A$500,$B30,'DADOS BRUTOS'!DQ$3:DQ$500)+IF($C30="",0,SUMIF('DADOS BRUTOS'!$A$3:$A$500,$C30,'DADOS BRUTOS'!DQ$3:DQ$500)))</f>
        <v>0</v>
      </c>
      <c r="GR30" s="133" t="n">
        <f aca="false">IF(OR(GR$4="",$B30=""),0,SUMIF('DADOS BRUTOS'!$A$3:$A$500,$B30,'DADOS BRUTOS'!DR$3:DR$500)+IF($C30="",0,SUMIF('DADOS BRUTOS'!$A$3:$A$500,$C30,'DADOS BRUTOS'!DR$3:DR$500)))</f>
        <v>0</v>
      </c>
      <c r="GS30" s="133" t="n">
        <f aca="false">IF(OR(GS$4="",$B30=""),0,SUMIF('DADOS BRUTOS'!$A$3:$A$500,$B30,'DADOS BRUTOS'!DS$3:DS$500)+IF($C30="",0,SUMIF('DADOS BRUTOS'!$A$3:$A$500,$C30,'DADOS BRUTOS'!DS$3:DS$500)))</f>
        <v>0</v>
      </c>
      <c r="GT30" s="133" t="n">
        <f aca="false">IF(OR(GT$4="",$B30=""),0,SUMIF('DADOS BRUTOS'!$A$3:$A$500,$B30,'DADOS BRUTOS'!DT$3:DT$500)+IF($C30="",0,SUMIF('DADOS BRUTOS'!$A$3:$A$500,$C30,'DADOS BRUTOS'!DT$3:DT$500)))</f>
        <v>0</v>
      </c>
      <c r="GU30" s="133" t="n">
        <f aca="false">IF(OR(GU$4="",$B30=""),0,SUMIF('DADOS BRUTOS'!$A$3:$A$500,$B30,'DADOS BRUTOS'!DU$3:DU$500)+IF($C30="",0,SUMIF('DADOS BRUTOS'!$A$3:$A$500,$C30,'DADOS BRUTOS'!DU$3:DU$500)))</f>
        <v>0</v>
      </c>
      <c r="GV30" s="133" t="n">
        <f aca="false">IF(OR(GV$4="",$B30=""),0,SUMIF('DADOS BRUTOS'!$A$3:$A$500,$B30,'DADOS BRUTOS'!DV$3:DV$500)+IF($C30="",0,SUMIF('DADOS BRUTOS'!$A$3:$A$500,$C30,'DADOS BRUTOS'!DV$3:DV$500)))</f>
        <v>0</v>
      </c>
      <c r="GW30" s="133" t="n">
        <f aca="false">IF(OR(GW$4="",$B30=""),0,SUMIF('DADOS BRUTOS'!$A$3:$A$500,$B30,'DADOS BRUTOS'!DW$3:DW$500)+IF($C30="",0,SUMIF('DADOS BRUTOS'!$A$3:$A$500,$C30,'DADOS BRUTOS'!DW$3:DW$500)))</f>
        <v>0</v>
      </c>
      <c r="GX30" s="133" t="n">
        <f aca="false">IF(OR(GX$4="",$B30=""),0,SUMIF('DADOS BRUTOS'!$A$3:$A$500,$B30,'DADOS BRUTOS'!DX$3:DX$500)+IF($C30="",0,SUMIF('DADOS BRUTOS'!$A$3:$A$500,$C30,'DADOS BRUTOS'!DX$3:DX$500)))</f>
        <v>0</v>
      </c>
      <c r="GY30" s="133" t="n">
        <f aca="false">IF(OR(GY$4="",$B30=""),0,SUMIF('DADOS BRUTOS'!$A$3:$A$500,$B30,'DADOS BRUTOS'!DY$3:DY$500)+IF($C30="",0,SUMIF('DADOS BRUTOS'!$A$3:$A$500,$C30,'DADOS BRUTOS'!DY$3:DY$500)))</f>
        <v>0</v>
      </c>
      <c r="GZ30" s="133" t="n">
        <f aca="false">IF(OR(GZ$4="",$B30=""),0,SUMIF('DADOS BRUTOS'!$A$3:$A$500,$B30,'DADOS BRUTOS'!DZ$3:DZ$500)+IF($C30="",0,SUMIF('DADOS BRUTOS'!$A$3:$A$500,$C30,'DADOS BRUTOS'!DZ$3:DZ$500)))</f>
        <v>0</v>
      </c>
      <c r="HA30" s="133" t="n">
        <f aca="false">IF(OR(HA$4="",$B30=""),0,SUMIF('DADOS BRUTOS'!$A$3:$A$500,$B30,'DADOS BRUTOS'!EA$3:EA$500)+IF($C30="",0,SUMIF('DADOS BRUTOS'!$A$3:$A$500,$C30,'DADOS BRUTOS'!EA$3:EA$500)))</f>
        <v>0</v>
      </c>
      <c r="HB30" s="133" t="n">
        <f aca="false">IF(OR(HB$4="",$B30=""),0,SUMIF('DADOS BRUTOS'!$A$3:$A$500,$B30,'DADOS BRUTOS'!EB$3:EB$500)+IF($C30="",0,SUMIF('DADOS BRUTOS'!$A$3:$A$500,$C30,'DADOS BRUTOS'!EB$3:EB$500)))</f>
        <v>0</v>
      </c>
      <c r="HC30" s="133" t="n">
        <f aca="false">IF(OR(HC$4="",$B30=""),0,SUMIF('DADOS BRUTOS'!$A$3:$A$500,$B30,'DADOS BRUTOS'!EC$3:EC$500)+IF($C30="",0,SUMIF('DADOS BRUTOS'!$A$3:$A$500,$C30,'DADOS BRUTOS'!EC$3:EC$500)))</f>
        <v>0</v>
      </c>
      <c r="HD30" s="133" t="n">
        <f aca="false">IF(OR(HD$4="",$B30=""),0,SUMIF('DADOS BRUTOS'!$A$3:$A$500,$B30,'DADOS BRUTOS'!ED$3:ED$500)+IF($C30="",0,SUMIF('DADOS BRUTOS'!$A$3:$A$500,$C30,'DADOS BRUTOS'!ED$3:ED$500)))</f>
        <v>0</v>
      </c>
      <c r="HE30" s="133" t="n">
        <f aca="false">IF(OR(HE$4="",$B30=""),0,SUMIF('DADOS BRUTOS'!$A$3:$A$500,$B30,'DADOS BRUTOS'!EE$3:EE$500)+IF($C30="",0,SUMIF('DADOS BRUTOS'!$A$3:$A$500,$C30,'DADOS BRUTOS'!EE$3:EE$500)))</f>
        <v>0</v>
      </c>
      <c r="HF30" s="133" t="n">
        <f aca="false">IF(OR(HF$4="",$B30=""),0,SUMIF('DADOS BRUTOS'!$A$3:$A$500,$B30,'DADOS BRUTOS'!EF$3:EF$500)+IF($C30="",0,SUMIF('DADOS BRUTOS'!$A$3:$A$500,$C30,'DADOS BRUTOS'!EF$3:EF$500)))</f>
        <v>0</v>
      </c>
      <c r="HG30" s="133" t="n">
        <f aca="false">IF(OR(HG$4="",$B30=""),0,SUMIF('DADOS BRUTOS'!$A$3:$A$500,$B30,'DADOS BRUTOS'!EG$3:EG$500)+IF($C30="",0,SUMIF('DADOS BRUTOS'!$A$3:$A$500,$C30,'DADOS BRUTOS'!EG$3:EG$500)))</f>
        <v>0</v>
      </c>
      <c r="HH30" s="133" t="n">
        <f aca="false">IF(OR(HH$4="",$B30=""),0,SUMIF('DADOS BRUTOS'!$A$3:$A$500,$B30,'DADOS BRUTOS'!EH$3:EH$500)+IF($C30="",0,SUMIF('DADOS BRUTOS'!$A$3:$A$500,$C30,'DADOS BRUTOS'!EH$3:EH$500)))</f>
        <v>0</v>
      </c>
      <c r="HI30" s="133" t="n">
        <f aca="false">IF(OR(HI$4="",$B30=""),0,SUMIF('DADOS BRUTOS'!$A$3:$A$500,$B30,'DADOS BRUTOS'!EI$3:EI$500)+IF($C30="",0,SUMIF('DADOS BRUTOS'!$A$3:$A$500,$C30,'DADOS BRUTOS'!EI$3:EI$500)))</f>
        <v>0</v>
      </c>
      <c r="HJ30" s="133" t="n">
        <f aca="false">IF(OR(HJ$4="",$B30=""),0,SUMIF('DADOS BRUTOS'!$A$3:$A$500,$B30,'DADOS BRUTOS'!EJ$3:EJ$500)+IF($C30="",0,SUMIF('DADOS BRUTOS'!$A$3:$A$500,$C30,'DADOS BRUTOS'!EJ$3:EJ$500)))</f>
        <v>0</v>
      </c>
      <c r="HK30" s="133" t="n">
        <f aca="false">IF(OR(HK$4="",$B30=""),0,SUMIF('DADOS BRUTOS'!$A$3:$A$500,$B30,'DADOS BRUTOS'!EK$3:EK$500)+IF($C30="",0,SUMIF('DADOS BRUTOS'!$A$3:$A$500,$C30,'DADOS BRUTOS'!EK$3:EK$500)))</f>
        <v>0</v>
      </c>
      <c r="HL30" s="133" t="n">
        <f aca="false">IF(OR(HL$4="",$B30=""),0,SUMIF('DADOS BRUTOS'!$A$3:$A$500,$B30,'DADOS BRUTOS'!EL$3:EL$500)+IF($C30="",0,SUMIF('DADOS BRUTOS'!$A$3:$A$500,$C30,'DADOS BRUTOS'!EL$3:EL$500)))</f>
        <v>0</v>
      </c>
      <c r="HM30" s="133" t="n">
        <f aca="false">IF(OR(HM$4="",$B30=""),0,SUMIF('DADOS BRUTOS'!$A$3:$A$500,$B30,'DADOS BRUTOS'!EM$3:EM$500)+IF($C30="",0,SUMIF('DADOS BRUTOS'!$A$3:$A$500,$C30,'DADOS BRUTOS'!EM$3:EM$500)))</f>
        <v>0</v>
      </c>
      <c r="HN30" s="133" t="n">
        <f aca="false">IF(OR(HN$4="",$B30=""),0,SUMIF('DADOS BRUTOS'!$A$3:$A$500,$B30,'DADOS BRUTOS'!EN$3:EN$500)+IF($C30="",0,SUMIF('DADOS BRUTOS'!$A$3:$A$500,$C30,'DADOS BRUTOS'!EN$3:EN$500)))</f>
        <v>0</v>
      </c>
      <c r="HO30" s="133" t="n">
        <f aca="false">IF(OR(HO$4="",$B30=""),0,SUMIF('DADOS BRUTOS'!$A$3:$A$500,$B30,'DADOS BRUTOS'!EO$3:EO$500)+IF($C30="",0,SUMIF('DADOS BRUTOS'!$A$3:$A$500,$C30,'DADOS BRUTOS'!EO$3:EO$500)))</f>
        <v>0</v>
      </c>
      <c r="HP30" s="133" t="n">
        <f aca="false">IF(OR(HP$4="",$B30=""),0,SUMIF('DADOS BRUTOS'!$A$3:$A$500,$B30,'DADOS BRUTOS'!EP$3:EP$500)+IF($C30="",0,SUMIF('DADOS BRUTOS'!$A$3:$A$500,$C30,'DADOS BRUTOS'!EP$3:EP$500)))</f>
        <v>0</v>
      </c>
      <c r="HQ30" s="133" t="n">
        <f aca="false">IF(OR(HQ$4="",$B30=""),0,SUMIF('DADOS BRUTOS'!$A$3:$A$500,$B30,'DADOS BRUTOS'!EQ$3:EQ$500)+IF($C30="",0,SUMIF('DADOS BRUTOS'!$A$3:$A$500,$C30,'DADOS BRUTOS'!EQ$3:EQ$500)))</f>
        <v>0</v>
      </c>
      <c r="HR30" s="133" t="n">
        <f aca="false">IF(OR(HR$4="",$B30=""),0,SUMIF('DADOS BRUTOS'!$A$3:$A$500,$B30,'DADOS BRUTOS'!ER$3:ER$500)+IF($C30="",0,SUMIF('DADOS BRUTOS'!$A$3:$A$500,$C30,'DADOS BRUTOS'!ER$3:ER$500)))</f>
        <v>0</v>
      </c>
      <c r="HS30" s="133" t="n">
        <f aca="false">IF(OR(HS$4="",$B30=""),0,SUMIF('DADOS BRUTOS'!$A$3:$A$500,$B30,'DADOS BRUTOS'!ES$3:ES$500)+IF($C30="",0,SUMIF('DADOS BRUTOS'!$A$3:$A$500,$C30,'DADOS BRUTOS'!ES$3:ES$500)))</f>
        <v>0</v>
      </c>
      <c r="HT30" s="133" t="n">
        <f aca="false">IF(OR(HT$4="",$B30=""),0,SUMIF('DADOS BRUTOS'!$A$3:$A$500,$B30,'DADOS BRUTOS'!ET$3:ET$500)+IF($C30="",0,SUMIF('DADOS BRUTOS'!$A$3:$A$500,$C30,'DADOS BRUTOS'!ET$3:ET$500)))</f>
        <v>0</v>
      </c>
      <c r="HU30" s="133" t="n">
        <f aca="false">IF(OR(HU$4="",$B30=""),0,SUMIF('DADOS BRUTOS'!$A$3:$A$500,$B30,'DADOS BRUTOS'!EU$3:EU$500)+IF($C30="",0,SUMIF('DADOS BRUTOS'!$A$3:$A$500,$C30,'DADOS BRUTOS'!EU$3:EU$500)))</f>
        <v>0</v>
      </c>
      <c r="HV30" s="133" t="n">
        <f aca="false">IF(OR(HV$4="",$B30=""),0,SUMIF('DADOS BRUTOS'!$A$3:$A$500,$B30,'DADOS BRUTOS'!EV$3:EV$500)+IF($C30="",0,SUMIF('DADOS BRUTOS'!$A$3:$A$500,$C30,'DADOS BRUTOS'!EV$3:EV$500)))</f>
        <v>0</v>
      </c>
      <c r="HW30" s="133" t="n">
        <f aca="false">IF(OR(HW$4="",$B30=""),0,SUMIF('DADOS BRUTOS'!$A$3:$A$500,$B30,'DADOS BRUTOS'!EW$3:EW$500)+IF($C30="",0,SUMIF('DADOS BRUTOS'!$A$3:$A$500,$C30,'DADOS BRUTOS'!EW$3:EW$500)))</f>
        <v>0</v>
      </c>
      <c r="HX30" s="133" t="n">
        <f aca="false">IF(OR(HX$4="",$B30=""),0,SUMIF('DADOS BRUTOS'!$A$3:$A$500,$B30,'DADOS BRUTOS'!EX$3:EX$500)+IF($C30="",0,SUMIF('DADOS BRUTOS'!$A$3:$A$500,$C30,'DADOS BRUTOS'!EX$3:EX$500)))</f>
        <v>0</v>
      </c>
      <c r="HY30" s="133" t="n">
        <f aca="false">IF(OR(HY$4="",$B30=""),0,SUMIF('DADOS BRUTOS'!$A$3:$A$500,$B30,'DADOS BRUTOS'!EY$3:EY$500)+IF($C30="",0,SUMIF('DADOS BRUTOS'!$A$3:$A$500,$C30,'DADOS BRUTOS'!EY$3:EY$500)))</f>
        <v>0</v>
      </c>
      <c r="HZ30" s="133" t="n">
        <f aca="false">IF(OR(HZ$4="",$B30=""),0,SUMIF('DADOS BRUTOS'!$A$3:$A$500,$B30,'DADOS BRUTOS'!EZ$3:EZ$500)+IF($C30="",0,SUMIF('DADOS BRUTOS'!$A$3:$A$500,$C30,'DADOS BRUTOS'!EZ$3:EZ$500)))</f>
        <v>0</v>
      </c>
      <c r="IA30" s="133" t="n">
        <f aca="false">IF(OR(IA$4="",$B30=""),0,SUMIF('DADOS BRUTOS'!$A$3:$A$500,$B30,'DADOS BRUTOS'!FA$3:FA$500)+IF($C30="",0,SUMIF('DADOS BRUTOS'!$A$3:$A$500,$C30,'DADOS BRUTOS'!FA$3:FA$500)))</f>
        <v>0</v>
      </c>
      <c r="IB30" s="133" t="n">
        <f aca="false">IF(OR(IB$4="",$B30=""),0,SUMIF('DADOS BRUTOS'!$A$3:$A$500,$B30,'DADOS BRUTOS'!FB$3:FB$500)+IF($C30="",0,SUMIF('DADOS BRUTOS'!$A$3:$A$500,$C30,'DADOS BRUTOS'!FB$3:FB$500)))</f>
        <v>0</v>
      </c>
      <c r="IC30" s="133" t="n">
        <f aca="false">IF(OR(IC$4="",$B30=""),0,SUMIF('DADOS BRUTOS'!$A$3:$A$500,$B30,'DADOS BRUTOS'!FC$3:FC$500)+IF($C30="",0,SUMIF('DADOS BRUTOS'!$A$3:$A$500,$C30,'DADOS BRUTOS'!FC$3:FC$500)))</f>
        <v>0</v>
      </c>
      <c r="ID30" s="133" t="n">
        <f aca="false">IF(OR(ID$4="",$B30=""),0,SUMIF('DADOS BRUTOS'!$A$3:$A$500,$B30,'DADOS BRUTOS'!FD$3:FD$500)+IF($C30="",0,SUMIF('DADOS BRUTOS'!$A$3:$A$500,$C30,'DADOS BRUTOS'!FD$3:FD$500)))</f>
        <v>0</v>
      </c>
      <c r="IE30" s="133" t="n">
        <f aca="false">IF(OR(IE$4="",$B30=""),0,SUMIF('DADOS BRUTOS'!$A$3:$A$500,$B30,'DADOS BRUTOS'!FE$3:FE$500)+IF($C30="",0,SUMIF('DADOS BRUTOS'!$A$3:$A$500,$C30,'DADOS BRUTOS'!FE$3:FE$500)))</f>
        <v>0</v>
      </c>
      <c r="IF30" s="133" t="n">
        <f aca="false">IF(OR(IF$4="",$B30=""),0,SUMIF('DADOS BRUTOS'!$A$3:$A$500,$B30,'DADOS BRUTOS'!FF$3:FF$500)+IF($C30="",0,SUMIF('DADOS BRUTOS'!$A$3:$A$500,$C30,'DADOS BRUTOS'!FF$3:FF$500)))</f>
        <v>0</v>
      </c>
      <c r="IG30" s="133" t="n">
        <f aca="false">IF(OR(IG$4="",$B30=""),0,SUMIF('DADOS BRUTOS'!$A$3:$A$500,$B30,'DADOS BRUTOS'!FG$3:FG$500)+IF($C30="",0,SUMIF('DADOS BRUTOS'!$A$3:$A$500,$C30,'DADOS BRUTOS'!FG$3:FG$500)))</f>
        <v>0</v>
      </c>
      <c r="IH30" s="133" t="n">
        <f aca="false">IF(OR(IH$4="",$B30=""),0,SUMIF('DADOS BRUTOS'!$A$3:$A$500,$B30,'DADOS BRUTOS'!FH$3:FH$500)+IF($C30="",0,SUMIF('DADOS BRUTOS'!$A$3:$A$500,$C30,'DADOS BRUTOS'!FH$3:FH$500)))</f>
        <v>0</v>
      </c>
      <c r="II30" s="133" t="n">
        <f aca="false">IF(OR(II$4="",$B30=""),0,SUMIF('DADOS BRUTOS'!$A$3:$A$500,$B30,'DADOS BRUTOS'!FI$3:FI$500)+IF($C30="",0,SUMIF('DADOS BRUTOS'!$A$3:$A$500,$C30,'DADOS BRUTOS'!FI$3:FI$500)))</f>
        <v>0</v>
      </c>
      <c r="IJ30" s="133" t="n">
        <f aca="false">IF(OR(IJ$4="",$B30=""),0,SUMIF('DADOS BRUTOS'!$A$3:$A$500,$B30,'DADOS BRUTOS'!FJ$3:FJ$500)+IF($C30="",0,SUMIF('DADOS BRUTOS'!$A$3:$A$500,$C30,'DADOS BRUTOS'!FJ$3:FJ$500)))</f>
        <v>0</v>
      </c>
      <c r="IK30" s="133" t="n">
        <f aca="false">IF(OR(IK$4="",$B30=""),0,SUMIF('DADOS BRUTOS'!$A$3:$A$500,$B30,'DADOS BRUTOS'!FK$3:FK$500)+IF($C30="",0,SUMIF('DADOS BRUTOS'!$A$3:$A$500,$C30,'DADOS BRUTOS'!FK$3:FK$500)))</f>
        <v>0</v>
      </c>
      <c r="IL30" s="133" t="n">
        <f aca="false">IF(OR(IL$4="",$B30=""),0,SUMIF('DADOS BRUTOS'!$A$3:$A$500,$B30,'DADOS BRUTOS'!FL$3:FL$500)+IF($C30="",0,SUMIF('DADOS BRUTOS'!$A$3:$A$500,$C30,'DADOS BRUTOS'!FL$3:FL$500)))</f>
        <v>0</v>
      </c>
      <c r="IM30" s="133" t="n">
        <f aca="false">IF(OR(IM$4="",$B30=""),0,SUMIF('DADOS BRUTOS'!$A$3:$A$500,$B30,'DADOS BRUTOS'!FM$3:FM$500)+IF($C30="",0,SUMIF('DADOS BRUTOS'!$A$3:$A$500,$C30,'DADOS BRUTOS'!FM$3:FM$500)))</f>
        <v>0</v>
      </c>
      <c r="IN30" s="133" t="n">
        <f aca="false">IF(OR(IN$4="",$B30=""),0,SUMIF('DADOS BRUTOS'!$A$3:$A$500,$B30,'DADOS BRUTOS'!FN$3:FN$500)+IF($C30="",0,SUMIF('DADOS BRUTOS'!$A$3:$A$500,$C30,'DADOS BRUTOS'!FN$3:FN$500)))</f>
        <v>0</v>
      </c>
      <c r="IO30" s="133" t="n">
        <f aca="false">IF(OR(IO$4="",$B30=""),0,SUMIF('DADOS BRUTOS'!$A$3:$A$500,$B30,'DADOS BRUTOS'!FO$3:FO$500)+IF($C30="",0,SUMIF('DADOS BRUTOS'!$A$3:$A$500,$C30,'DADOS BRUTOS'!FO$3:FO$500)))</f>
        <v>0</v>
      </c>
      <c r="IP30" s="133" t="n">
        <f aca="false">IF(OR(IP$4="",$B30=""),0,SUMIF('DADOS BRUTOS'!$A$3:$A$500,$B30,'DADOS BRUTOS'!FP$3:FP$500)+IF($C30="",0,SUMIF('DADOS BRUTOS'!$A$3:$A$500,$C30,'DADOS BRUTOS'!FP$3:FP$500)))</f>
        <v>0</v>
      </c>
      <c r="IQ30" s="133" t="n">
        <f aca="false">IF(OR(IQ$4="",$B30=""),0,SUMIF('DADOS BRUTOS'!$A$3:$A$500,$B30,'DADOS BRUTOS'!FQ$3:FQ$500)+IF($C30="",0,SUMIF('DADOS BRUTOS'!$A$3:$A$500,$C30,'DADOS BRUTOS'!FQ$3:FQ$500)))</f>
        <v>0</v>
      </c>
      <c r="IR30" s="133" t="n">
        <f aca="false">IF(OR(IR$4="",$B30=""),0,SUMIF('DADOS BRUTOS'!$A$3:$A$500,$B30,'DADOS BRUTOS'!FR$3:FR$500)+IF($C30="",0,SUMIF('DADOS BRUTOS'!$A$3:$A$500,$C30,'DADOS BRUTOS'!FR$3:FR$500)))</f>
        <v>0</v>
      </c>
      <c r="IS30" s="133" t="n">
        <f aca="false">IF(OR(IS$4="",$B30=""),0,SUMIF('DADOS BRUTOS'!$A$3:$A$500,$B30,'DADOS BRUTOS'!FS$3:FS$500)+IF($C30="",0,SUMIF('DADOS BRUTOS'!$A$3:$A$500,$C30,'DADOS BRUTOS'!FS$3:FS$500)))</f>
        <v>0</v>
      </c>
      <c r="IT30" s="133" t="n">
        <f aca="false">IF(OR(IT$4="",$B30=""),0,SUMIF('DADOS BRUTOS'!$A$3:$A$500,$B30,'DADOS BRUTOS'!FT$3:FT$500)+IF($C30="",0,SUMIF('DADOS BRUTOS'!$A$3:$A$500,$C30,'DADOS BRUTOS'!FT$3:FT$500)))</f>
        <v>0</v>
      </c>
      <c r="IU30" s="133" t="n">
        <f aca="false">IF(OR(IU$4="",$B30=""),0,SUMIF('DADOS BRUTOS'!$A$3:$A$500,$B30,'DADOS BRUTOS'!FU$3:FU$500)+IF($C30="",0,SUMIF('DADOS BRUTOS'!$A$3:$A$500,$C30,'DADOS BRUTOS'!FU$3:FU$500)))</f>
        <v>0</v>
      </c>
      <c r="IV30" s="133" t="n">
        <f aca="false">IF(OR(IV$4="",$B30=""),0,SUMIF('DADOS BRUTOS'!$A$3:$A$500,$B30,'DADOS BRUTOS'!FV$3:FV$500)+IF($C30="",0,SUMIF('DADOS BRUTOS'!$A$3:$A$500,$C30,'DADOS BRUTOS'!FV$3:FV$500)))</f>
        <v>0</v>
      </c>
      <c r="IW30" s="133" t="n">
        <f aca="false">IF(OR(IW$4="",$B30=""),0,SUMIF('DADOS BRUTOS'!$A$3:$A$500,$B30,'DADOS BRUTOS'!FW$3:FW$500)+IF($C30="",0,SUMIF('DADOS BRUTOS'!$A$3:$A$500,$C30,'DADOS BRUTOS'!FW$3:FW$500)))</f>
        <v>0</v>
      </c>
      <c r="IX30" s="133" t="n">
        <f aca="false">IF(OR(IX$4="",$B30=""),0,SUMIF('DADOS BRUTOS'!$A$3:$A$500,$B30,'DADOS BRUTOS'!FX$3:FX$500)+IF($C30="",0,SUMIF('DADOS BRUTOS'!$A$3:$A$500,$C30,'DADOS BRUTOS'!FX$3:FX$500)))</f>
        <v>0</v>
      </c>
      <c r="IY30" s="133" t="n">
        <f aca="false">IF(OR(IY$4="",$B30=""),0,SUMIF('DADOS BRUTOS'!$A$3:$A$500,$B30,'DADOS BRUTOS'!FY$3:FY$500)+IF($C30="",0,SUMIF('DADOS BRUTOS'!$A$3:$A$500,$C30,'DADOS BRUTOS'!FY$3:FY$500)))</f>
        <v>0</v>
      </c>
      <c r="IZ30" s="133" t="n">
        <f aca="false">IF(OR(IZ$4="",$B30=""),0,SUMIF('DADOS BRUTOS'!$A$3:$A$500,$B30,'DADOS BRUTOS'!FZ$3:FZ$500)+IF($C30="",0,SUMIF('DADOS BRUTOS'!$A$3:$A$500,$C30,'DADOS BRUTOS'!FZ$3:FZ$500)))</f>
        <v>0</v>
      </c>
      <c r="JA30" s="133" t="n">
        <f aca="false">IF(OR(JA$4="",$B30=""),0,SUMIF('DADOS BRUTOS'!$A$3:$A$500,$B30,'DADOS BRUTOS'!GA$3:GA$500)+IF($C30="",0,SUMIF('DADOS BRUTOS'!$A$3:$A$500,$C30,'DADOS BRUTOS'!GA$3:GA$500)))</f>
        <v>0</v>
      </c>
      <c r="JB30" s="133" t="n">
        <f aca="false">IF(OR(JB$4="",$B30=""),0,SUMIF('DADOS BRUTOS'!$A$3:$A$500,$B30,'DADOS BRUTOS'!GB$3:GB$500)+IF($C30="",0,SUMIF('DADOS BRUTOS'!$A$3:$A$500,$C30,'DADOS BRUTOS'!GB$3:GB$500)))</f>
        <v>0</v>
      </c>
      <c r="JC30" s="133" t="n">
        <f aca="false">IF(OR(JC$4="",$B30=""),0,SUMIF('DADOS BRUTOS'!$A$3:$A$500,$B30,'DADOS BRUTOS'!GC$3:GC$500)+IF($C30="",0,SUMIF('DADOS BRUTOS'!$A$3:$A$500,$C30,'DADOS BRUTOS'!GC$3:GC$500)))</f>
        <v>0</v>
      </c>
      <c r="JD30" s="133" t="n">
        <f aca="false">IF(OR(JD$4="",$B30=""),0,SUMIF('DADOS BRUTOS'!$A$3:$A$500,$B30,'DADOS BRUTOS'!GD$3:GD$500)+IF($C30="",0,SUMIF('DADOS BRUTOS'!$A$3:$A$500,$C30,'DADOS BRUTOS'!GD$3:GD$500)))</f>
        <v>0</v>
      </c>
      <c r="JE30" s="133" t="n">
        <f aca="false">IF(OR(JE$4="",$B30=""),0,SUMIF('DADOS BRUTOS'!$A$3:$A$500,$B30,'DADOS BRUTOS'!GE$3:GE$500)+IF($C30="",0,SUMIF('DADOS BRUTOS'!$A$3:$A$500,$C30,'DADOS BRUTOS'!GE$3:GE$500)))</f>
        <v>0</v>
      </c>
      <c r="JF30" s="133" t="n">
        <f aca="false">IF(OR(JF$4="",$B30=""),0,SUMIF('DADOS BRUTOS'!$A$3:$A$500,$B30,'DADOS BRUTOS'!GF$3:GF$500)+IF($C30="",0,SUMIF('DADOS BRUTOS'!$A$3:$A$500,$C30,'DADOS BRUTOS'!GF$3:GF$500)))</f>
        <v>0</v>
      </c>
      <c r="JG30" s="133" t="n">
        <f aca="false">IF(OR(JG$4="",$B30=""),0,SUMIF('DADOS BRUTOS'!$A$3:$A$500,$B30,'DADOS BRUTOS'!GG$3:GG$500)+IF($C30="",0,SUMIF('DADOS BRUTOS'!$A$3:$A$500,$C30,'DADOS BRUTOS'!GG$3:GG$500)))</f>
        <v>0</v>
      </c>
      <c r="JH30" s="133" t="n">
        <f aca="false">IF(OR(JH$4="",$B30=""),0,SUMIF('DADOS BRUTOS'!$A$3:$A$500,$B30,'DADOS BRUTOS'!GH$3:GH$500)+IF($C30="",0,SUMIF('DADOS BRUTOS'!$A$3:$A$500,$C30,'DADOS BRUTOS'!GH$3:GH$500)))</f>
        <v>0</v>
      </c>
      <c r="JI30" s="133" t="n">
        <f aca="false">IF(OR(JI$4="",$B30=""),0,SUMIF('DADOS BRUTOS'!$A$3:$A$500,$B30,'DADOS BRUTOS'!GI$3:GI$500)+IF($C30="",0,SUMIF('DADOS BRUTOS'!$A$3:$A$500,$C30,'DADOS BRUTOS'!GI$3:GI$500)))</f>
        <v>0</v>
      </c>
      <c r="JJ30" s="133" t="n">
        <f aca="false">IF(OR(JJ$4="",$B30=""),0,SUMIF('DADOS BRUTOS'!$A$3:$A$500,$B30,'DADOS BRUTOS'!GJ$3:GJ$500)+IF($C30="",0,SUMIF('DADOS BRUTOS'!$A$3:$A$500,$C30,'DADOS BRUTOS'!GJ$3:GJ$500)))</f>
        <v>0</v>
      </c>
      <c r="JK30" s="133" t="n">
        <f aca="false">IF(OR(JK$4="",$B30=""),0,SUMIF('DADOS BRUTOS'!$A$3:$A$500,$B30,'DADOS BRUTOS'!GK$3:GK$500)+IF($C30="",0,SUMIF('DADOS BRUTOS'!$A$3:$A$500,$C30,'DADOS BRUTOS'!GK$3:GK$500)))</f>
        <v>0</v>
      </c>
      <c r="JL30" s="133" t="n">
        <f aca="false">IF(OR(JL$4="",$B30=""),0,SUMIF('DADOS BRUTOS'!$A$3:$A$500,$B30,'DADOS BRUTOS'!GL$3:GL$500)+IF($C30="",0,SUMIF('DADOS BRUTOS'!$A$3:$A$500,$C30,'DADOS BRUTOS'!GL$3:GL$500)))</f>
        <v>0</v>
      </c>
      <c r="JM30" s="133" t="n">
        <f aca="false">IF(OR(JM$4="",$B30=""),0,SUMIF('DADOS BRUTOS'!$A$3:$A$500,$B30,'DADOS BRUTOS'!GM$3:GM$500)+IF($C30="",0,SUMIF('DADOS BRUTOS'!$A$3:$A$500,$C30,'DADOS BRUTOS'!GM$3:GM$500)))</f>
        <v>0</v>
      </c>
      <c r="JN30" s="133" t="n">
        <f aca="false">IF(OR(JN$4="",$B30=""),0,SUMIF('DADOS BRUTOS'!$A$3:$A$500,$B30,'DADOS BRUTOS'!GN$3:GN$500)+IF($C30="",0,SUMIF('DADOS BRUTOS'!$A$3:$A$500,$C30,'DADOS BRUTOS'!GN$3:GN$500)))</f>
        <v>0</v>
      </c>
      <c r="JO30" s="133" t="n">
        <f aca="false">IF(OR(JO$4="",$B30=""),0,SUMIF('DADOS BRUTOS'!$A$3:$A$500,$B30,'DADOS BRUTOS'!GO$3:GO$500)+IF($C30="",0,SUMIF('DADOS BRUTOS'!$A$3:$A$500,$C30,'DADOS BRUTOS'!GO$3:GO$500)))</f>
        <v>0</v>
      </c>
      <c r="JP30" s="133" t="n">
        <f aca="false">IF(OR(JP$4="",$B30=""),0,SUMIF('DADOS BRUTOS'!$A$3:$A$500,$B30,'DADOS BRUTOS'!GP$3:GP$500)+IF($C30="",0,SUMIF('DADOS BRUTOS'!$A$3:$A$500,$C30,'DADOS BRUTOS'!GP$3:GP$500)))</f>
        <v>0</v>
      </c>
      <c r="JQ30" s="133" t="n">
        <f aca="false">IF(OR(JQ$4="",$B30=""),0,SUMIF('DADOS BRUTOS'!$A$3:$A$500,$B30,'DADOS BRUTOS'!GQ$3:GQ$500)+IF($C30="",0,SUMIF('DADOS BRUTOS'!$A$3:$A$500,$C30,'DADOS BRUTOS'!GQ$3:GQ$500)))</f>
        <v>0</v>
      </c>
      <c r="JR30" s="133" t="n">
        <f aca="false">IF(OR(JR$4="",$B30=""),0,SUMIF('DADOS BRUTOS'!$A$3:$A$500,$B30,'DADOS BRUTOS'!GR$3:GR$500)+IF($C30="",0,SUMIF('DADOS BRUTOS'!$A$3:$A$500,$C30,'DADOS BRUTOS'!GR$3:GR$500)))</f>
        <v>0</v>
      </c>
      <c r="JS30" s="133" t="n">
        <f aca="false">IF(OR(JS$4="",$B30=""),0,SUMIF('DADOS BRUTOS'!$A$3:$A$500,$B30,'DADOS BRUTOS'!GS$3:GS$500)+IF($C30="",0,SUMIF('DADOS BRUTOS'!$A$3:$A$500,$C30,'DADOS BRUTOS'!GS$3:GS$500)))</f>
        <v>0</v>
      </c>
    </row>
    <row r="31" customFormat="false" ht="15" hidden="false" customHeight="false" outlineLevel="0" collapsed="false">
      <c r="A31" s="57" t="str">
        <f aca="false">'VALOR POR PL'!D37</f>
        <v>MARCENARIA</v>
      </c>
      <c r="B31" s="55" t="s">
        <v>197</v>
      </c>
      <c r="C31" s="55"/>
      <c r="D31" s="50" t="n">
        <f aca="false">SUMIF($CB$4:$JS$4,"&lt;="&amp;D$4,$CB31:$JS31)</f>
        <v>0</v>
      </c>
      <c r="E31" s="50" t="n">
        <f aca="false">SUMIF($CB$4:$JS$4,E$4,$CB31:$JS31)</f>
        <v>0</v>
      </c>
      <c r="F31" s="50" t="n">
        <f aca="false">SUMIF($CB$4:$JS$4,F$4,$CB31:$JS31)</f>
        <v>0</v>
      </c>
      <c r="G31" s="50" t="n">
        <f aca="false">SUMIF($CB$4:$JS$4,G$4,$CB31:$JS31)</f>
        <v>0</v>
      </c>
      <c r="H31" s="50" t="n">
        <f aca="false">SUMIF($CB$4:$JS$4,H$4,$CB31:$JS31)</f>
        <v>0</v>
      </c>
      <c r="I31" s="50" t="n">
        <f aca="false">SUMIF($CB$4:$JS$4,I$4,$CB31:$JS31)</f>
        <v>0</v>
      </c>
      <c r="J31" s="50" t="n">
        <f aca="false">SUMIF($CB$4:$JS$4,J$4,$CB31:$JS31)</f>
        <v>0</v>
      </c>
      <c r="K31" s="50" t="n">
        <f aca="false">SUMIF($CB$4:$JS$4,K$4,$CB31:$JS31)</f>
        <v>0</v>
      </c>
      <c r="L31" s="50" t="n">
        <f aca="false">SUMIF($CB$4:$JS$4,L$4,$CB31:$JS31)</f>
        <v>0</v>
      </c>
      <c r="M31" s="50" t="n">
        <f aca="false">SUMIF($CB$4:$JS$4,M$4,$CB31:$JS31)</f>
        <v>0</v>
      </c>
      <c r="N31" s="50" t="n">
        <f aca="false">SUMIF($CB$4:$JS$4,N$4,$CB31:$JS31)</f>
        <v>0</v>
      </c>
      <c r="O31" s="50" t="n">
        <f aca="false">SUMIF($CB$4:$JS$4,O$4,$CB31:$JS31)</f>
        <v>0</v>
      </c>
      <c r="P31" s="50" t="n">
        <f aca="false">SUMIF($CB$4:$JS$4,P$4,$CB31:$JS31)</f>
        <v>0</v>
      </c>
      <c r="Q31" s="50" t="n">
        <f aca="false">SUMIF($CB$4:$JS$4,Q$4,$CB31:$JS31)</f>
        <v>0</v>
      </c>
      <c r="R31" s="50" t="n">
        <f aca="false">SUMIF($CB$4:$JS$4,R$4,$CB31:$JS31)</f>
        <v>0</v>
      </c>
      <c r="S31" s="50" t="n">
        <f aca="false">SUMIF($CB$4:$JS$4,S$4,$CB31:$JS31)</f>
        <v>0</v>
      </c>
      <c r="T31" s="50" t="n">
        <f aca="false">SUMIF($CB$4:$JS$4,T$4,$CB31:$JS31)</f>
        <v>0</v>
      </c>
      <c r="U31" s="50" t="n">
        <f aca="false">SUMIF($CB$4:$JS$4,U$4,$CB31:$JS31)</f>
        <v>0</v>
      </c>
      <c r="V31" s="50" t="n">
        <f aca="false">SUMIF($CB$4:$JS$4,V$4,$CB31:$JS31)</f>
        <v>0</v>
      </c>
      <c r="W31" s="50" t="n">
        <f aca="false">SUMIF($CB$4:$JS$4,W$4,$CB31:$JS31)</f>
        <v>0</v>
      </c>
      <c r="X31" s="50" t="n">
        <f aca="false">SUMIF($CB$4:$JS$4,X$4,$CB31:$JS31)</f>
        <v>0</v>
      </c>
      <c r="Y31" s="50" t="n">
        <f aca="false">SUMIF($CB$4:$JS$4,Y$4,$CB31:$JS31)</f>
        <v>0</v>
      </c>
      <c r="Z31" s="50" t="n">
        <f aca="false">SUMIF($CB$4:$JS$4,Z$4,$CB31:$JS31)</f>
        <v>0</v>
      </c>
      <c r="AA31" s="50" t="n">
        <f aca="false">SUMIF($CB$4:$JS$4,AA$4,$CB31:$JS31)</f>
        <v>0</v>
      </c>
      <c r="AB31" s="50" t="n">
        <f aca="false">SUMIF($CB$4:$JS$4,AB$4,$CB31:$JS31)</f>
        <v>0</v>
      </c>
      <c r="AC31" s="50" t="n">
        <f aca="false">SUMIF($CB$4:$JS$4,AC$4,$CB31:$JS31)</f>
        <v>0</v>
      </c>
      <c r="AD31" s="50" t="n">
        <f aca="false">SUMIF($CB$4:$JS$4,AD$4,$CB31:$JS31)</f>
        <v>0</v>
      </c>
      <c r="AE31" s="50" t="n">
        <f aca="false">SUMIF($CB$4:$JS$4,AE$4,$CB31:$JS31)</f>
        <v>0</v>
      </c>
      <c r="AF31" s="50" t="n">
        <f aca="false">SUMIF($CB$4:$JS$4,AF$4,$CB31:$JS31)</f>
        <v>0</v>
      </c>
      <c r="AG31" s="50" t="n">
        <f aca="false">SUMIF($CB$4:$JS$4,AG$4,$CB31:$JS31)</f>
        <v>0</v>
      </c>
      <c r="AH31" s="50" t="n">
        <f aca="false">SUMIF($CB$4:$JS$4,AH$4,$CB31:$JS31)</f>
        <v>0</v>
      </c>
      <c r="AI31" s="50" t="n">
        <f aca="false">SUMIF($CB$4:$JS$4,AI$4,$CB31:$JS31)</f>
        <v>0</v>
      </c>
      <c r="AJ31" s="50" t="n">
        <f aca="false">SUMIF($CB$4:$JS$4,AJ$4,$CB31:$JS31)</f>
        <v>0</v>
      </c>
      <c r="AK31" s="50" t="n">
        <f aca="false">SUMIF($CB$4:$JS$4,AK$4,$CB31:$JS31)</f>
        <v>0</v>
      </c>
      <c r="AL31" s="50" t="n">
        <f aca="false">SUMIF($CB$4:$JS$4,AL$4,$CB31:$JS31)</f>
        <v>0</v>
      </c>
      <c r="AM31" s="50" t="n">
        <f aca="false">SUMIF($CB$4:$JS$4,AM$4,$CB31:$JS31)</f>
        <v>0</v>
      </c>
      <c r="AN31" s="50" t="n">
        <f aca="false">SUMIF($CB$4:$JS$4,AN$4,$CB31:$JS31)</f>
        <v>0</v>
      </c>
      <c r="AO31" s="50" t="n">
        <f aca="false">SUMIF($CB$4:$JS$4,AO$4,$CB31:$JS31)</f>
        <v>0</v>
      </c>
      <c r="AP31" s="50" t="n">
        <f aca="false">SUMIF($CB$4:$JS$4,AP$4,$CB31:$JS31)</f>
        <v>0</v>
      </c>
      <c r="AQ31" s="50" t="n">
        <f aca="false">SUMIF($CB$4:$JS$4,AQ$4,$CB31:$JS31)</f>
        <v>0</v>
      </c>
      <c r="AR31" s="50" t="n">
        <f aca="false">SUMIF($CB$4:$JS$4,AR$4,$CB31:$JS31)</f>
        <v>0</v>
      </c>
      <c r="AS31" s="50" t="n">
        <f aca="false">SUMIF($CB$4:$JS$4,AS$4,$CB31:$JS31)</f>
        <v>0</v>
      </c>
      <c r="AT31" s="50" t="n">
        <f aca="false">SUMIF($CB$4:$JS$4,AT$4,$CB31:$JS31)</f>
        <v>0</v>
      </c>
      <c r="AU31" s="50" t="n">
        <f aca="false">SUMIF($CB$4:$JS$4,AU$4,$CB31:$JS31)</f>
        <v>0</v>
      </c>
      <c r="AV31" s="50" t="n">
        <f aca="false">SUMIF($CB$4:$JS$4,AV$4,$CB31:$JS31)</f>
        <v>0</v>
      </c>
      <c r="AW31" s="50" t="n">
        <f aca="false">SUMIF($CB$4:$JS$4,AW$4,$CB31:$JS31)</f>
        <v>0</v>
      </c>
      <c r="AX31" s="50" t="n">
        <f aca="false">SUMIF($CB$4:$JS$4,AX$4,$CB31:$JS31)</f>
        <v>0</v>
      </c>
      <c r="AY31" s="50" t="n">
        <f aca="false">SUMIF($CB$4:$JS$4,AY$4,$CB31:$JS31)</f>
        <v>0</v>
      </c>
      <c r="AZ31" s="50" t="n">
        <f aca="false">SUMIF($CB$4:$JS$4,AZ$4,$CB31:$JS31)</f>
        <v>0</v>
      </c>
      <c r="BA31" s="50" t="n">
        <f aca="false">SUMIF($CB$4:$JS$4,BA$4,$CB31:$JS31)</f>
        <v>0</v>
      </c>
      <c r="BB31" s="50" t="n">
        <f aca="false">SUMIF($CB$4:$JS$4,BB$4,$CB31:$JS31)</f>
        <v>0</v>
      </c>
      <c r="BC31" s="50" t="n">
        <f aca="false">SUMIF($CB$4:$JS$4,BC$4,$CB31:$JS31)</f>
        <v>0</v>
      </c>
      <c r="BD31" s="50" t="n">
        <f aca="false">SUMIF($CB$4:$JS$4,BD$4,$CB31:$JS31)</f>
        <v>0</v>
      </c>
      <c r="BE31" s="50" t="n">
        <f aca="false">SUMIF($CB$4:$JS$4,BE$4,$CB31:$JS31)</f>
        <v>0</v>
      </c>
      <c r="BF31" s="50" t="n">
        <f aca="false">SUMIF($CB$4:$JS$4,BF$4,$CB31:$JS31)</f>
        <v>0</v>
      </c>
      <c r="BG31" s="50" t="n">
        <f aca="false">SUMIF($CB$4:$JS$4,BG$4,$CB31:$JS31)</f>
        <v>0</v>
      </c>
      <c r="BH31" s="50" t="n">
        <f aca="false">SUMIF($CB$4:$JS$4,BH$4,$CB31:$JS31)</f>
        <v>0</v>
      </c>
      <c r="BI31" s="50" t="n">
        <f aca="false">SUMIF($CB$4:$JS$4,BI$4,$CB31:$JS31)</f>
        <v>0</v>
      </c>
      <c r="BJ31" s="50" t="n">
        <f aca="false">SUMIF($CB$4:$JS$4,BJ$4,$CB31:$JS31)</f>
        <v>0</v>
      </c>
      <c r="BK31" s="50" t="n">
        <f aca="false">SUMIF($CB$4:$JS$4,BK$4,$CB31:$JS31)</f>
        <v>0</v>
      </c>
      <c r="BL31" s="50" t="n">
        <f aca="false">SUMIF($CB$4:$JS$4,BL$4,$CB31:$JS31)</f>
        <v>0</v>
      </c>
      <c r="BM31" s="50" t="n">
        <f aca="false">SUMIF($CB$4:$JS$4,BM$4,$CB31:$JS31)</f>
        <v>0</v>
      </c>
      <c r="BN31" s="50" t="n">
        <f aca="false">SUMIF($CB$4:$JS$4,BN$4,$CB31:$JS31)</f>
        <v>0</v>
      </c>
      <c r="BO31" s="50" t="n">
        <f aca="false">SUMIF($CB$4:$JS$4,BO$4,$CB31:$JS31)</f>
        <v>0</v>
      </c>
      <c r="BP31" s="50" t="n">
        <f aca="false">SUMIF($CB$4:$JS$4,BP$4,$CB31:$JS31)</f>
        <v>0</v>
      </c>
      <c r="BQ31" s="50" t="n">
        <f aca="false">SUMIF($CB$4:$JS$4,BQ$4,$CB31:$JS31)</f>
        <v>0</v>
      </c>
      <c r="BR31" s="50" t="n">
        <f aca="false">SUMIF($CB$4:$JS$4,BR$4,$CB31:$JS31)</f>
        <v>0</v>
      </c>
      <c r="BS31" s="50" t="n">
        <f aca="false">SUMIF($CB$4:$JS$4,BS$4,$CB31:$JS31)</f>
        <v>0</v>
      </c>
      <c r="BT31" s="50" t="n">
        <f aca="false">SUMIF($CB$4:$JS$4,BT$4,$CB31:$JS31)</f>
        <v>0</v>
      </c>
      <c r="BU31" s="50" t="n">
        <f aca="false">SUMIF($CB$4:$JS$4,BU$4,$CB31:$JS31)</f>
        <v>0</v>
      </c>
      <c r="BV31" s="50" t="n">
        <f aca="false">SUMIF($CB$4:$JS$4,BV$4,$CB31:$JS31)</f>
        <v>0</v>
      </c>
      <c r="BW31" s="50" t="n">
        <f aca="false">SUMIF($CB$4:$JS$4,BW$4,$CB31:$JS31)</f>
        <v>0</v>
      </c>
      <c r="BX31" s="50" t="n">
        <f aca="false">SUMIF($CB$4:$JS$4,"&gt;"&amp;'VALOR POR PL'!$P$8,$CB31:$JS31)</f>
        <v>0</v>
      </c>
      <c r="BY31" s="50" t="n">
        <f aca="false">SUM($CB31:$JS31)</f>
        <v>0</v>
      </c>
      <c r="BZ31" s="45" t="n">
        <f aca="false">SUMPRODUCT(($CB$4:$JS$4&lt;&gt;"")*($CB$4:$JS$4&lt;=$D$4),$CB31:$JS31,$CB$1:$JS$1)</f>
        <v>0</v>
      </c>
      <c r="CB31" s="133" t="n">
        <f aca="false">IF(OR(CB$4="",$B31=""),0,SUMIF('DADOS BRUTOS'!$A$3:$A$500,$B31,'DADOS BRUTOS'!B$3:B$500)+IF($C31="",0,SUMIF('DADOS BRUTOS'!$A$3:$A$500,$C31,'DADOS BRUTOS'!B$3:B$500)))</f>
        <v>0</v>
      </c>
      <c r="CC31" s="133" t="n">
        <f aca="false">IF(OR(CC$4="",$B31=""),0,SUMIF('DADOS BRUTOS'!$A$3:$A$500,$B31,'DADOS BRUTOS'!C$3:C$500)+IF($C31="",0,SUMIF('DADOS BRUTOS'!$A$3:$A$500,$C31,'DADOS BRUTOS'!C$3:C$500)))</f>
        <v>0</v>
      </c>
      <c r="CD31" s="133" t="n">
        <f aca="false">IF(OR(CD$4="",$B31=""),0,SUMIF('DADOS BRUTOS'!$A$3:$A$500,$B31,'DADOS BRUTOS'!D$3:D$500)+IF($C31="",0,SUMIF('DADOS BRUTOS'!$A$3:$A$500,$C31,'DADOS BRUTOS'!D$3:D$500)))</f>
        <v>0</v>
      </c>
      <c r="CE31" s="133" t="n">
        <f aca="false">IF(OR(CE$4="",$B31=""),0,SUMIF('DADOS BRUTOS'!$A$3:$A$500,$B31,'DADOS BRUTOS'!E$3:E$500)+IF($C31="",0,SUMIF('DADOS BRUTOS'!$A$3:$A$500,$C31,'DADOS BRUTOS'!E$3:E$500)))</f>
        <v>0</v>
      </c>
      <c r="CF31" s="133" t="n">
        <f aca="false">IF(OR(CF$4="",$B31=""),0,SUMIF('DADOS BRUTOS'!$A$3:$A$500,$B31,'DADOS BRUTOS'!F$3:F$500)+IF($C31="",0,SUMIF('DADOS BRUTOS'!$A$3:$A$500,$C31,'DADOS BRUTOS'!F$3:F$500)))</f>
        <v>0</v>
      </c>
      <c r="CG31" s="133" t="n">
        <f aca="false">IF(OR(CG$4="",$B31=""),0,SUMIF('DADOS BRUTOS'!$A$3:$A$500,$B31,'DADOS BRUTOS'!G$3:G$500)+IF($C31="",0,SUMIF('DADOS BRUTOS'!$A$3:$A$500,$C31,'DADOS BRUTOS'!G$3:G$500)))</f>
        <v>0</v>
      </c>
      <c r="CH31" s="133" t="n">
        <f aca="false">IF(OR(CH$4="",$B31=""),0,SUMIF('DADOS BRUTOS'!$A$3:$A$500,$B31,'DADOS BRUTOS'!H$3:H$500)+IF($C31="",0,SUMIF('DADOS BRUTOS'!$A$3:$A$500,$C31,'DADOS BRUTOS'!H$3:H$500)))</f>
        <v>0</v>
      </c>
      <c r="CI31" s="133" t="n">
        <f aca="false">IF(OR(CI$4="",$B31=""),0,SUMIF('DADOS BRUTOS'!$A$3:$A$500,$B31,'DADOS BRUTOS'!I$3:I$500)+IF($C31="",0,SUMIF('DADOS BRUTOS'!$A$3:$A$500,$C31,'DADOS BRUTOS'!I$3:I$500)))</f>
        <v>0</v>
      </c>
      <c r="CJ31" s="133" t="n">
        <f aca="false">IF(OR(CJ$4="",$B31=""),0,SUMIF('DADOS BRUTOS'!$A$3:$A$500,$B31,'DADOS BRUTOS'!J$3:J$500)+IF($C31="",0,SUMIF('DADOS BRUTOS'!$A$3:$A$500,$C31,'DADOS BRUTOS'!J$3:J$500)))</f>
        <v>0</v>
      </c>
      <c r="CK31" s="133" t="n">
        <f aca="false">IF(OR(CK$4="",$B31=""),0,SUMIF('DADOS BRUTOS'!$A$3:$A$500,$B31,'DADOS BRUTOS'!K$3:K$500)+IF($C31="",0,SUMIF('DADOS BRUTOS'!$A$3:$A$500,$C31,'DADOS BRUTOS'!K$3:K$500)))</f>
        <v>0</v>
      </c>
      <c r="CL31" s="133" t="n">
        <f aca="false">IF(OR(CL$4="",$B31=""),0,SUMIF('DADOS BRUTOS'!$A$3:$A$500,$B31,'DADOS BRUTOS'!L$3:L$500)+IF($C31="",0,SUMIF('DADOS BRUTOS'!$A$3:$A$500,$C31,'DADOS BRUTOS'!L$3:L$500)))</f>
        <v>0</v>
      </c>
      <c r="CM31" s="133" t="n">
        <f aca="false">IF(OR(CM$4="",$B31=""),0,SUMIF('DADOS BRUTOS'!$A$3:$A$500,$B31,'DADOS BRUTOS'!M$3:M$500)+IF($C31="",0,SUMIF('DADOS BRUTOS'!$A$3:$A$500,$C31,'DADOS BRUTOS'!M$3:M$500)))</f>
        <v>0</v>
      </c>
      <c r="CN31" s="133" t="n">
        <f aca="false">IF(OR(CN$4="",$B31=""),0,SUMIF('DADOS BRUTOS'!$A$3:$A$500,$B31,'DADOS BRUTOS'!N$3:N$500)+IF($C31="",0,SUMIF('DADOS BRUTOS'!$A$3:$A$500,$C31,'DADOS BRUTOS'!N$3:N$500)))</f>
        <v>0</v>
      </c>
      <c r="CO31" s="133" t="n">
        <f aca="false">IF(OR(CO$4="",$B31=""),0,SUMIF('DADOS BRUTOS'!$A$3:$A$500,$B31,'DADOS BRUTOS'!O$3:O$500)+IF($C31="",0,SUMIF('DADOS BRUTOS'!$A$3:$A$500,$C31,'DADOS BRUTOS'!O$3:O$500)))</f>
        <v>0</v>
      </c>
      <c r="CP31" s="133" t="n">
        <f aca="false">IF(OR(CP$4="",$B31=""),0,SUMIF('DADOS BRUTOS'!$A$3:$A$500,$B31,'DADOS BRUTOS'!P$3:P$500)+IF($C31="",0,SUMIF('DADOS BRUTOS'!$A$3:$A$500,$C31,'DADOS BRUTOS'!P$3:P$500)))</f>
        <v>0</v>
      </c>
      <c r="CQ31" s="133" t="n">
        <f aca="false">IF(OR(CQ$4="",$B31=""),0,SUMIF('DADOS BRUTOS'!$A$3:$A$500,$B31,'DADOS BRUTOS'!Q$3:Q$500)+IF($C31="",0,SUMIF('DADOS BRUTOS'!$A$3:$A$500,$C31,'DADOS BRUTOS'!Q$3:Q$500)))</f>
        <v>0</v>
      </c>
      <c r="CR31" s="133" t="n">
        <f aca="false">IF(OR(CR$4="",$B31=""),0,SUMIF('DADOS BRUTOS'!$A$3:$A$500,$B31,'DADOS BRUTOS'!R$3:R$500)+IF($C31="",0,SUMIF('DADOS BRUTOS'!$A$3:$A$500,$C31,'DADOS BRUTOS'!R$3:R$500)))</f>
        <v>0</v>
      </c>
      <c r="CS31" s="133" t="n">
        <f aca="false">IF(OR(CS$4="",$B31=""),0,SUMIF('DADOS BRUTOS'!$A$3:$A$500,$B31,'DADOS BRUTOS'!S$3:S$500)+IF($C31="",0,SUMIF('DADOS BRUTOS'!$A$3:$A$500,$C31,'DADOS BRUTOS'!S$3:S$500)))</f>
        <v>0</v>
      </c>
      <c r="CT31" s="133" t="n">
        <f aca="false">IF(OR(CT$4="",$B31=""),0,SUMIF('DADOS BRUTOS'!$A$3:$A$500,$B31,'DADOS BRUTOS'!T$3:T$500)+IF($C31="",0,SUMIF('DADOS BRUTOS'!$A$3:$A$500,$C31,'DADOS BRUTOS'!T$3:T$500)))</f>
        <v>0</v>
      </c>
      <c r="CU31" s="133" t="n">
        <f aca="false">IF(OR(CU$4="",$B31=""),0,SUMIF('DADOS BRUTOS'!$A$3:$A$500,$B31,'DADOS BRUTOS'!U$3:U$500)+IF($C31="",0,SUMIF('DADOS BRUTOS'!$A$3:$A$500,$C31,'DADOS BRUTOS'!U$3:U$500)))</f>
        <v>0</v>
      </c>
      <c r="CV31" s="133" t="n">
        <f aca="false">IF(OR(CV$4="",$B31=""),0,SUMIF('DADOS BRUTOS'!$A$3:$A$500,$B31,'DADOS BRUTOS'!V$3:V$500)+IF($C31="",0,SUMIF('DADOS BRUTOS'!$A$3:$A$500,$C31,'DADOS BRUTOS'!V$3:V$500)))</f>
        <v>0</v>
      </c>
      <c r="CW31" s="133" t="n">
        <f aca="false">IF(OR(CW$4="",$B31=""),0,SUMIF('DADOS BRUTOS'!$A$3:$A$500,$B31,'DADOS BRUTOS'!W$3:W$500)+IF($C31="",0,SUMIF('DADOS BRUTOS'!$A$3:$A$500,$C31,'DADOS BRUTOS'!W$3:W$500)))</f>
        <v>0</v>
      </c>
      <c r="CX31" s="133" t="n">
        <f aca="false">IF(OR(CX$4="",$B31=""),0,SUMIF('DADOS BRUTOS'!$A$3:$A$500,$B31,'DADOS BRUTOS'!X$3:X$500)+IF($C31="",0,SUMIF('DADOS BRUTOS'!$A$3:$A$500,$C31,'DADOS BRUTOS'!X$3:X$500)))</f>
        <v>0</v>
      </c>
      <c r="CY31" s="133" t="n">
        <f aca="false">IF(OR(CY$4="",$B31=""),0,SUMIF('DADOS BRUTOS'!$A$3:$A$500,$B31,'DADOS BRUTOS'!Y$3:Y$500)+IF($C31="",0,SUMIF('DADOS BRUTOS'!$A$3:$A$500,$C31,'DADOS BRUTOS'!Y$3:Y$500)))</f>
        <v>0</v>
      </c>
      <c r="CZ31" s="133" t="n">
        <f aca="false">IF(OR(CZ$4="",$B31=""),0,SUMIF('DADOS BRUTOS'!$A$3:$A$500,$B31,'DADOS BRUTOS'!Z$3:Z$500)+IF($C31="",0,SUMIF('DADOS BRUTOS'!$A$3:$A$500,$C31,'DADOS BRUTOS'!Z$3:Z$500)))</f>
        <v>0</v>
      </c>
      <c r="DA31" s="133" t="n">
        <f aca="false">IF(OR(DA$4="",$B31=""),0,SUMIF('DADOS BRUTOS'!$A$3:$A$500,$B31,'DADOS BRUTOS'!AA$3:AA$500)+IF($C31="",0,SUMIF('DADOS BRUTOS'!$A$3:$A$500,$C31,'DADOS BRUTOS'!AA$3:AA$500)))</f>
        <v>0</v>
      </c>
      <c r="DB31" s="133" t="n">
        <f aca="false">IF(OR(DB$4="",$B31=""),0,SUMIF('DADOS BRUTOS'!$A$3:$A$500,$B31,'DADOS BRUTOS'!AB$3:AB$500)+IF($C31="",0,SUMIF('DADOS BRUTOS'!$A$3:$A$500,$C31,'DADOS BRUTOS'!AB$3:AB$500)))</f>
        <v>0</v>
      </c>
      <c r="DC31" s="133" t="n">
        <f aca="false">IF(OR(DC$4="",$B31=""),0,SUMIF('DADOS BRUTOS'!$A$3:$A$500,$B31,'DADOS BRUTOS'!AC$3:AC$500)+IF($C31="",0,SUMIF('DADOS BRUTOS'!$A$3:$A$500,$C31,'DADOS BRUTOS'!AC$3:AC$500)))</f>
        <v>0</v>
      </c>
      <c r="DD31" s="133" t="n">
        <f aca="false">IF(OR(DD$4="",$B31=""),0,SUMIF('DADOS BRUTOS'!$A$3:$A$500,$B31,'DADOS BRUTOS'!AD$3:AD$500)+IF($C31="",0,SUMIF('DADOS BRUTOS'!$A$3:$A$500,$C31,'DADOS BRUTOS'!AD$3:AD$500)))</f>
        <v>0</v>
      </c>
      <c r="DE31" s="133" t="n">
        <f aca="false">IF(OR(DE$4="",$B31=""),0,SUMIF('DADOS BRUTOS'!$A$3:$A$500,$B31,'DADOS BRUTOS'!AE$3:AE$500)+IF($C31="",0,SUMIF('DADOS BRUTOS'!$A$3:$A$500,$C31,'DADOS BRUTOS'!AE$3:AE$500)))</f>
        <v>0</v>
      </c>
      <c r="DF31" s="133" t="n">
        <f aca="false">IF(OR(DF$4="",$B31=""),0,SUMIF('DADOS BRUTOS'!$A$3:$A$500,$B31,'DADOS BRUTOS'!AF$3:AF$500)+IF($C31="",0,SUMIF('DADOS BRUTOS'!$A$3:$A$500,$C31,'DADOS BRUTOS'!AF$3:AF$500)))</f>
        <v>0</v>
      </c>
      <c r="DG31" s="133" t="n">
        <f aca="false">IF(OR(DG$4="",$B31=""),0,SUMIF('DADOS BRUTOS'!$A$3:$A$500,$B31,'DADOS BRUTOS'!AG$3:AG$500)+IF($C31="",0,SUMIF('DADOS BRUTOS'!$A$3:$A$500,$C31,'DADOS BRUTOS'!AG$3:AG$500)))</f>
        <v>0</v>
      </c>
      <c r="DH31" s="133" t="n">
        <f aca="false">IF(OR(DH$4="",$B31=""),0,SUMIF('DADOS BRUTOS'!$A$3:$A$500,$B31,'DADOS BRUTOS'!AH$3:AH$500)+IF($C31="",0,SUMIF('DADOS BRUTOS'!$A$3:$A$500,$C31,'DADOS BRUTOS'!AH$3:AH$500)))</f>
        <v>0</v>
      </c>
      <c r="DI31" s="133" t="n">
        <f aca="false">IF(OR(DI$4="",$B31=""),0,SUMIF('DADOS BRUTOS'!$A$3:$A$500,$B31,'DADOS BRUTOS'!AI$3:AI$500)+IF($C31="",0,SUMIF('DADOS BRUTOS'!$A$3:$A$500,$C31,'DADOS BRUTOS'!AI$3:AI$500)))</f>
        <v>0</v>
      </c>
      <c r="DJ31" s="133" t="n">
        <f aca="false">IF(OR(DJ$4="",$B31=""),0,SUMIF('DADOS BRUTOS'!$A$3:$A$500,$B31,'DADOS BRUTOS'!AJ$3:AJ$500)+IF($C31="",0,SUMIF('DADOS BRUTOS'!$A$3:$A$500,$C31,'DADOS BRUTOS'!AJ$3:AJ$500)))</f>
        <v>0</v>
      </c>
      <c r="DK31" s="133" t="n">
        <f aca="false">IF(OR(DK$4="",$B31=""),0,SUMIF('DADOS BRUTOS'!$A$3:$A$500,$B31,'DADOS BRUTOS'!AK$3:AK$500)+IF($C31="",0,SUMIF('DADOS BRUTOS'!$A$3:$A$500,$C31,'DADOS BRUTOS'!AK$3:AK$500)))</f>
        <v>0</v>
      </c>
      <c r="DL31" s="133" t="n">
        <f aca="false">IF(OR(DL$4="",$B31=""),0,SUMIF('DADOS BRUTOS'!$A$3:$A$500,$B31,'DADOS BRUTOS'!AL$3:AL$500)+IF($C31="",0,SUMIF('DADOS BRUTOS'!$A$3:$A$500,$C31,'DADOS BRUTOS'!AL$3:AL$500)))</f>
        <v>0</v>
      </c>
      <c r="DM31" s="133" t="n">
        <f aca="false">IF(OR(DM$4="",$B31=""),0,SUMIF('DADOS BRUTOS'!$A$3:$A$500,$B31,'DADOS BRUTOS'!AM$3:AM$500)+IF($C31="",0,SUMIF('DADOS BRUTOS'!$A$3:$A$500,$C31,'DADOS BRUTOS'!AM$3:AM$500)))</f>
        <v>0</v>
      </c>
      <c r="DN31" s="133" t="n">
        <f aca="false">IF(OR(DN$4="",$B31=""),0,SUMIF('DADOS BRUTOS'!$A$3:$A$500,$B31,'DADOS BRUTOS'!AN$3:AN$500)+IF($C31="",0,SUMIF('DADOS BRUTOS'!$A$3:$A$500,$C31,'DADOS BRUTOS'!AN$3:AN$500)))</f>
        <v>0</v>
      </c>
      <c r="DO31" s="133" t="n">
        <f aca="false">IF(OR(DO$4="",$B31=""),0,SUMIF('DADOS BRUTOS'!$A$3:$A$500,$B31,'DADOS BRUTOS'!AO$3:AO$500)+IF($C31="",0,SUMIF('DADOS BRUTOS'!$A$3:$A$500,$C31,'DADOS BRUTOS'!AO$3:AO$500)))</f>
        <v>0</v>
      </c>
      <c r="DP31" s="133" t="n">
        <f aca="false">IF(OR(DP$4="",$B31=""),0,SUMIF('DADOS BRUTOS'!$A$3:$A$500,$B31,'DADOS BRUTOS'!AP$3:AP$500)+IF($C31="",0,SUMIF('DADOS BRUTOS'!$A$3:$A$500,$C31,'DADOS BRUTOS'!AP$3:AP$500)))</f>
        <v>0</v>
      </c>
      <c r="DQ31" s="133" t="n">
        <f aca="false">IF(OR(DQ$4="",$B31=""),0,SUMIF('DADOS BRUTOS'!$A$3:$A$500,$B31,'DADOS BRUTOS'!AQ$3:AQ$500)+IF($C31="",0,SUMIF('DADOS BRUTOS'!$A$3:$A$500,$C31,'DADOS BRUTOS'!AQ$3:AQ$500)))</f>
        <v>0</v>
      </c>
      <c r="DR31" s="133" t="n">
        <f aca="false">IF(OR(DR$4="",$B31=""),0,SUMIF('DADOS BRUTOS'!$A$3:$A$500,$B31,'DADOS BRUTOS'!AR$3:AR$500)+IF($C31="",0,SUMIF('DADOS BRUTOS'!$A$3:$A$500,$C31,'DADOS BRUTOS'!AR$3:AR$500)))</f>
        <v>0</v>
      </c>
      <c r="DS31" s="133" t="n">
        <f aca="false">IF(OR(DS$4="",$B31=""),0,SUMIF('DADOS BRUTOS'!$A$3:$A$500,$B31,'DADOS BRUTOS'!AS$3:AS$500)+IF($C31="",0,SUMIF('DADOS BRUTOS'!$A$3:$A$500,$C31,'DADOS BRUTOS'!AS$3:AS$500)))</f>
        <v>0</v>
      </c>
      <c r="DT31" s="133" t="n">
        <f aca="false">IF(OR(DT$4="",$B31=""),0,SUMIF('DADOS BRUTOS'!$A$3:$A$500,$B31,'DADOS BRUTOS'!AT$3:AT$500)+IF($C31="",0,SUMIF('DADOS BRUTOS'!$A$3:$A$500,$C31,'DADOS BRUTOS'!AT$3:AT$500)))</f>
        <v>0</v>
      </c>
      <c r="DU31" s="133" t="n">
        <f aca="false">IF(OR(DU$4="",$B31=""),0,SUMIF('DADOS BRUTOS'!$A$3:$A$500,$B31,'DADOS BRUTOS'!AU$3:AU$500)+IF($C31="",0,SUMIF('DADOS BRUTOS'!$A$3:$A$500,$C31,'DADOS BRUTOS'!AU$3:AU$500)))</f>
        <v>0</v>
      </c>
      <c r="DV31" s="133" t="n">
        <f aca="false">IF(OR(DV$4="",$B31=""),0,SUMIF('DADOS BRUTOS'!$A$3:$A$500,$B31,'DADOS BRUTOS'!AV$3:AV$500)+IF($C31="",0,SUMIF('DADOS BRUTOS'!$A$3:$A$500,$C31,'DADOS BRUTOS'!AV$3:AV$500)))</f>
        <v>0</v>
      </c>
      <c r="DW31" s="133" t="n">
        <f aca="false">IF(OR(DW$4="",$B31=""),0,SUMIF('DADOS BRUTOS'!$A$3:$A$500,$B31,'DADOS BRUTOS'!AW$3:AW$500)+IF($C31="",0,SUMIF('DADOS BRUTOS'!$A$3:$A$500,$C31,'DADOS BRUTOS'!AW$3:AW$500)))</f>
        <v>0</v>
      </c>
      <c r="DX31" s="133" t="n">
        <f aca="false">IF(OR(DX$4="",$B31=""),0,SUMIF('DADOS BRUTOS'!$A$3:$A$500,$B31,'DADOS BRUTOS'!AX$3:AX$500)+IF($C31="",0,SUMIF('DADOS BRUTOS'!$A$3:$A$500,$C31,'DADOS BRUTOS'!AX$3:AX$500)))</f>
        <v>0</v>
      </c>
      <c r="DY31" s="133" t="n">
        <f aca="false">IF(OR(DY$4="",$B31=""),0,SUMIF('DADOS BRUTOS'!$A$3:$A$500,$B31,'DADOS BRUTOS'!AY$3:AY$500)+IF($C31="",0,SUMIF('DADOS BRUTOS'!$A$3:$A$500,$C31,'DADOS BRUTOS'!AY$3:AY$500)))</f>
        <v>0</v>
      </c>
      <c r="DZ31" s="133" t="n">
        <f aca="false">IF(OR(DZ$4="",$B31=""),0,SUMIF('DADOS BRUTOS'!$A$3:$A$500,$B31,'DADOS BRUTOS'!AZ$3:AZ$500)+IF($C31="",0,SUMIF('DADOS BRUTOS'!$A$3:$A$500,$C31,'DADOS BRUTOS'!AZ$3:AZ$500)))</f>
        <v>0</v>
      </c>
      <c r="EA31" s="133" t="n">
        <f aca="false">IF(OR(EA$4="",$B31=""),0,SUMIF('DADOS BRUTOS'!$A$3:$A$500,$B31,'DADOS BRUTOS'!BA$3:BA$500)+IF($C31="",0,SUMIF('DADOS BRUTOS'!$A$3:$A$500,$C31,'DADOS BRUTOS'!BA$3:BA$500)))</f>
        <v>0</v>
      </c>
      <c r="EB31" s="133" t="n">
        <f aca="false">IF(OR(EB$4="",$B31=""),0,SUMIF('DADOS BRUTOS'!$A$3:$A$500,$B31,'DADOS BRUTOS'!BB$3:BB$500)+IF($C31="",0,SUMIF('DADOS BRUTOS'!$A$3:$A$500,$C31,'DADOS BRUTOS'!BB$3:BB$500)))</f>
        <v>0</v>
      </c>
      <c r="EC31" s="133" t="n">
        <f aca="false">IF(OR(EC$4="",$B31=""),0,SUMIF('DADOS BRUTOS'!$A$3:$A$500,$B31,'DADOS BRUTOS'!BC$3:BC$500)+IF($C31="",0,SUMIF('DADOS BRUTOS'!$A$3:$A$500,$C31,'DADOS BRUTOS'!BC$3:BC$500)))</f>
        <v>0</v>
      </c>
      <c r="ED31" s="133" t="n">
        <f aca="false">IF(OR(ED$4="",$B31=""),0,SUMIF('DADOS BRUTOS'!$A$3:$A$500,$B31,'DADOS BRUTOS'!BD$3:BD$500)+IF($C31="",0,SUMIF('DADOS BRUTOS'!$A$3:$A$500,$C31,'DADOS BRUTOS'!BD$3:BD$500)))</f>
        <v>0</v>
      </c>
      <c r="EE31" s="133" t="n">
        <f aca="false">IF(OR(EE$4="",$B31=""),0,SUMIF('DADOS BRUTOS'!$A$3:$A$500,$B31,'DADOS BRUTOS'!BE$3:BE$500)+IF($C31="",0,SUMIF('DADOS BRUTOS'!$A$3:$A$500,$C31,'DADOS BRUTOS'!BE$3:BE$500)))</f>
        <v>0</v>
      </c>
      <c r="EF31" s="133" t="n">
        <f aca="false">IF(OR(EF$4="",$B31=""),0,SUMIF('DADOS BRUTOS'!$A$3:$A$500,$B31,'DADOS BRUTOS'!BF$3:BF$500)+IF($C31="",0,SUMIF('DADOS BRUTOS'!$A$3:$A$500,$C31,'DADOS BRUTOS'!BF$3:BF$500)))</f>
        <v>0</v>
      </c>
      <c r="EG31" s="133" t="n">
        <f aca="false">IF(OR(EG$4="",$B31=""),0,SUMIF('DADOS BRUTOS'!$A$3:$A$500,$B31,'DADOS BRUTOS'!BG$3:BG$500)+IF($C31="",0,SUMIF('DADOS BRUTOS'!$A$3:$A$500,$C31,'DADOS BRUTOS'!BG$3:BG$500)))</f>
        <v>0</v>
      </c>
      <c r="EH31" s="133" t="n">
        <f aca="false">IF(OR(EH$4="",$B31=""),0,SUMIF('DADOS BRUTOS'!$A$3:$A$500,$B31,'DADOS BRUTOS'!BH$3:BH$500)+IF($C31="",0,SUMIF('DADOS BRUTOS'!$A$3:$A$500,$C31,'DADOS BRUTOS'!BH$3:BH$500)))</f>
        <v>0</v>
      </c>
      <c r="EI31" s="133" t="n">
        <f aca="false">IF(OR(EI$4="",$B31=""),0,SUMIF('DADOS BRUTOS'!$A$3:$A$500,$B31,'DADOS BRUTOS'!BI$3:BI$500)+IF($C31="",0,SUMIF('DADOS BRUTOS'!$A$3:$A$500,$C31,'DADOS BRUTOS'!BI$3:BI$500)))</f>
        <v>0</v>
      </c>
      <c r="EJ31" s="133" t="n">
        <f aca="false">IF(OR(EJ$4="",$B31=""),0,SUMIF('DADOS BRUTOS'!$A$3:$A$500,$B31,'DADOS BRUTOS'!BJ$3:BJ$500)+IF($C31="",0,SUMIF('DADOS BRUTOS'!$A$3:$A$500,$C31,'DADOS BRUTOS'!BJ$3:BJ$500)))</f>
        <v>0</v>
      </c>
      <c r="EK31" s="133" t="n">
        <f aca="false">IF(OR(EK$4="",$B31=""),0,SUMIF('DADOS BRUTOS'!$A$3:$A$500,$B31,'DADOS BRUTOS'!BK$3:BK$500)+IF($C31="",0,SUMIF('DADOS BRUTOS'!$A$3:$A$500,$C31,'DADOS BRUTOS'!BK$3:BK$500)))</f>
        <v>0</v>
      </c>
      <c r="EL31" s="133" t="n">
        <f aca="false">IF(OR(EL$4="",$B31=""),0,SUMIF('DADOS BRUTOS'!$A$3:$A$500,$B31,'DADOS BRUTOS'!BL$3:BL$500)+IF($C31="",0,SUMIF('DADOS BRUTOS'!$A$3:$A$500,$C31,'DADOS BRUTOS'!BL$3:BL$500)))</f>
        <v>0</v>
      </c>
      <c r="EM31" s="133" t="n">
        <f aca="false">IF(OR(EM$4="",$B31=""),0,SUMIF('DADOS BRUTOS'!$A$3:$A$500,$B31,'DADOS BRUTOS'!BM$3:BM$500)+IF($C31="",0,SUMIF('DADOS BRUTOS'!$A$3:$A$500,$C31,'DADOS BRUTOS'!BM$3:BM$500)))</f>
        <v>0</v>
      </c>
      <c r="EN31" s="133" t="n">
        <f aca="false">IF(OR(EN$4="",$B31=""),0,SUMIF('DADOS BRUTOS'!$A$3:$A$500,$B31,'DADOS BRUTOS'!BN$3:BN$500)+IF($C31="",0,SUMIF('DADOS BRUTOS'!$A$3:$A$500,$C31,'DADOS BRUTOS'!BN$3:BN$500)))</f>
        <v>0</v>
      </c>
      <c r="EO31" s="133" t="n">
        <f aca="false">IF(OR(EO$4="",$B31=""),0,SUMIF('DADOS BRUTOS'!$A$3:$A$500,$B31,'DADOS BRUTOS'!BO$3:BO$500)+IF($C31="",0,SUMIF('DADOS BRUTOS'!$A$3:$A$500,$C31,'DADOS BRUTOS'!BO$3:BO$500)))</f>
        <v>0</v>
      </c>
      <c r="EP31" s="133" t="n">
        <f aca="false">IF(OR(EP$4="",$B31=""),0,SUMIF('DADOS BRUTOS'!$A$3:$A$500,$B31,'DADOS BRUTOS'!BP$3:BP$500)+IF($C31="",0,SUMIF('DADOS BRUTOS'!$A$3:$A$500,$C31,'DADOS BRUTOS'!BP$3:BP$500)))</f>
        <v>0</v>
      </c>
      <c r="EQ31" s="133" t="n">
        <f aca="false">IF(OR(EQ$4="",$B31=""),0,SUMIF('DADOS BRUTOS'!$A$3:$A$500,$B31,'DADOS BRUTOS'!BQ$3:BQ$500)+IF($C31="",0,SUMIF('DADOS BRUTOS'!$A$3:$A$500,$C31,'DADOS BRUTOS'!BQ$3:BQ$500)))</f>
        <v>0</v>
      </c>
      <c r="ER31" s="133" t="n">
        <f aca="false">IF(OR(ER$4="",$B31=""),0,SUMIF('DADOS BRUTOS'!$A$3:$A$500,$B31,'DADOS BRUTOS'!BR$3:BR$500)+IF($C31="",0,SUMIF('DADOS BRUTOS'!$A$3:$A$500,$C31,'DADOS BRUTOS'!BR$3:BR$500)))</f>
        <v>0</v>
      </c>
      <c r="ES31" s="133" t="n">
        <f aca="false">IF(OR(ES$4="",$B31=""),0,SUMIF('DADOS BRUTOS'!$A$3:$A$500,$B31,'DADOS BRUTOS'!BS$3:BS$500)+IF($C31="",0,SUMIF('DADOS BRUTOS'!$A$3:$A$500,$C31,'DADOS BRUTOS'!BS$3:BS$500)))</f>
        <v>0</v>
      </c>
      <c r="ET31" s="133" t="n">
        <f aca="false">IF(OR(ET$4="",$B31=""),0,SUMIF('DADOS BRUTOS'!$A$3:$A$500,$B31,'DADOS BRUTOS'!BT$3:BT$500)+IF($C31="",0,SUMIF('DADOS BRUTOS'!$A$3:$A$500,$C31,'DADOS BRUTOS'!BT$3:BT$500)))</f>
        <v>0</v>
      </c>
      <c r="EU31" s="133" t="n">
        <f aca="false">IF(OR(EU$4="",$B31=""),0,SUMIF('DADOS BRUTOS'!$A$3:$A$500,$B31,'DADOS BRUTOS'!BU$3:BU$500)+IF($C31="",0,SUMIF('DADOS BRUTOS'!$A$3:$A$500,$C31,'DADOS BRUTOS'!BU$3:BU$500)))</f>
        <v>0</v>
      </c>
      <c r="EV31" s="133" t="n">
        <f aca="false">IF(OR(EV$4="",$B31=""),0,SUMIF('DADOS BRUTOS'!$A$3:$A$500,$B31,'DADOS BRUTOS'!BV$3:BV$500)+IF($C31="",0,SUMIF('DADOS BRUTOS'!$A$3:$A$500,$C31,'DADOS BRUTOS'!BV$3:BV$500)))</f>
        <v>0</v>
      </c>
      <c r="EW31" s="133" t="n">
        <f aca="false">IF(OR(EW$4="",$B31=""),0,SUMIF('DADOS BRUTOS'!$A$3:$A$500,$B31,'DADOS BRUTOS'!BW$3:BW$500)+IF($C31="",0,SUMIF('DADOS BRUTOS'!$A$3:$A$500,$C31,'DADOS BRUTOS'!BW$3:BW$500)))</f>
        <v>0</v>
      </c>
      <c r="EX31" s="133" t="n">
        <f aca="false">IF(OR(EX$4="",$B31=""),0,SUMIF('DADOS BRUTOS'!$A$3:$A$500,$B31,'DADOS BRUTOS'!BX$3:BX$500)+IF($C31="",0,SUMIF('DADOS BRUTOS'!$A$3:$A$500,$C31,'DADOS BRUTOS'!BX$3:BX$500)))</f>
        <v>0</v>
      </c>
      <c r="EY31" s="133" t="n">
        <f aca="false">IF(OR(EY$4="",$B31=""),0,SUMIF('DADOS BRUTOS'!$A$3:$A$500,$B31,'DADOS BRUTOS'!BY$3:BY$500)+IF($C31="",0,SUMIF('DADOS BRUTOS'!$A$3:$A$500,$C31,'DADOS BRUTOS'!BY$3:BY$500)))</f>
        <v>0</v>
      </c>
      <c r="EZ31" s="133" t="n">
        <f aca="false">IF(OR(EZ$4="",$B31=""),0,SUMIF('DADOS BRUTOS'!$A$3:$A$500,$B31,'DADOS BRUTOS'!BZ$3:BZ$500)+IF($C31="",0,SUMIF('DADOS BRUTOS'!$A$3:$A$500,$C31,'DADOS BRUTOS'!BZ$3:BZ$500)))</f>
        <v>0</v>
      </c>
      <c r="FA31" s="133" t="n">
        <f aca="false">IF(OR(FA$4="",$B31=""),0,SUMIF('DADOS BRUTOS'!$A$3:$A$500,$B31,'DADOS BRUTOS'!CA$3:CA$500)+IF($C31="",0,SUMIF('DADOS BRUTOS'!$A$3:$A$500,$C31,'DADOS BRUTOS'!CA$3:CA$500)))</f>
        <v>0</v>
      </c>
      <c r="FB31" s="133" t="n">
        <f aca="false">IF(OR(FB$4="",$B31=""),0,SUMIF('DADOS BRUTOS'!$A$3:$A$500,$B31,'DADOS BRUTOS'!CB$3:CB$500)+IF($C31="",0,SUMIF('DADOS BRUTOS'!$A$3:$A$500,$C31,'DADOS BRUTOS'!CB$3:CB$500)))</f>
        <v>0</v>
      </c>
      <c r="FC31" s="133" t="n">
        <f aca="false">IF(OR(FC$4="",$B31=""),0,SUMIF('DADOS BRUTOS'!$A$3:$A$500,$B31,'DADOS BRUTOS'!CC$3:CC$500)+IF($C31="",0,SUMIF('DADOS BRUTOS'!$A$3:$A$500,$C31,'DADOS BRUTOS'!CC$3:CC$500)))</f>
        <v>0</v>
      </c>
      <c r="FD31" s="133" t="n">
        <f aca="false">IF(OR(FD$4="",$B31=""),0,SUMIF('DADOS BRUTOS'!$A$3:$A$500,$B31,'DADOS BRUTOS'!CD$3:CD$500)+IF($C31="",0,SUMIF('DADOS BRUTOS'!$A$3:$A$500,$C31,'DADOS BRUTOS'!CD$3:CD$500)))</f>
        <v>0</v>
      </c>
      <c r="FE31" s="133" t="n">
        <f aca="false">IF(OR(FE$4="",$B31=""),0,SUMIF('DADOS BRUTOS'!$A$3:$A$500,$B31,'DADOS BRUTOS'!CE$3:CE$500)+IF($C31="",0,SUMIF('DADOS BRUTOS'!$A$3:$A$500,$C31,'DADOS BRUTOS'!CE$3:CE$500)))</f>
        <v>0</v>
      </c>
      <c r="FF31" s="133" t="n">
        <f aca="false">IF(OR(FF$4="",$B31=""),0,SUMIF('DADOS BRUTOS'!$A$3:$A$500,$B31,'DADOS BRUTOS'!CF$3:CF$500)+IF($C31="",0,SUMIF('DADOS BRUTOS'!$A$3:$A$500,$C31,'DADOS BRUTOS'!CF$3:CF$500)))</f>
        <v>0</v>
      </c>
      <c r="FG31" s="133" t="n">
        <f aca="false">IF(OR(FG$4="",$B31=""),0,SUMIF('DADOS BRUTOS'!$A$3:$A$500,$B31,'DADOS BRUTOS'!CG$3:CG$500)+IF($C31="",0,SUMIF('DADOS BRUTOS'!$A$3:$A$500,$C31,'DADOS BRUTOS'!CG$3:CG$500)))</f>
        <v>0</v>
      </c>
      <c r="FH31" s="133" t="n">
        <f aca="false">IF(OR(FH$4="",$B31=""),0,SUMIF('DADOS BRUTOS'!$A$3:$A$500,$B31,'DADOS BRUTOS'!CH$3:CH$500)+IF($C31="",0,SUMIF('DADOS BRUTOS'!$A$3:$A$500,$C31,'DADOS BRUTOS'!CH$3:CH$500)))</f>
        <v>0</v>
      </c>
      <c r="FI31" s="133" t="n">
        <f aca="false">IF(OR(FI$4="",$B31=""),0,SUMIF('DADOS BRUTOS'!$A$3:$A$500,$B31,'DADOS BRUTOS'!CI$3:CI$500)+IF($C31="",0,SUMIF('DADOS BRUTOS'!$A$3:$A$500,$C31,'DADOS BRUTOS'!CI$3:CI$500)))</f>
        <v>0</v>
      </c>
      <c r="FJ31" s="133" t="n">
        <f aca="false">IF(OR(FJ$4="",$B31=""),0,SUMIF('DADOS BRUTOS'!$A$3:$A$500,$B31,'DADOS BRUTOS'!CJ$3:CJ$500)+IF($C31="",0,SUMIF('DADOS BRUTOS'!$A$3:$A$500,$C31,'DADOS BRUTOS'!CJ$3:CJ$500)))</f>
        <v>0</v>
      </c>
      <c r="FK31" s="133" t="n">
        <f aca="false">IF(OR(FK$4="",$B31=""),0,SUMIF('DADOS BRUTOS'!$A$3:$A$500,$B31,'DADOS BRUTOS'!CK$3:CK$500)+IF($C31="",0,SUMIF('DADOS BRUTOS'!$A$3:$A$500,$C31,'DADOS BRUTOS'!CK$3:CK$500)))</f>
        <v>0</v>
      </c>
      <c r="FL31" s="133" t="n">
        <f aca="false">IF(OR(FL$4="",$B31=""),0,SUMIF('DADOS BRUTOS'!$A$3:$A$500,$B31,'DADOS BRUTOS'!CL$3:CL$500)+IF($C31="",0,SUMIF('DADOS BRUTOS'!$A$3:$A$500,$C31,'DADOS BRUTOS'!CL$3:CL$500)))</f>
        <v>0</v>
      </c>
      <c r="FM31" s="133" t="n">
        <f aca="false">IF(OR(FM$4="",$B31=""),0,SUMIF('DADOS BRUTOS'!$A$3:$A$500,$B31,'DADOS BRUTOS'!CM$3:CM$500)+IF($C31="",0,SUMIF('DADOS BRUTOS'!$A$3:$A$500,$C31,'DADOS BRUTOS'!CM$3:CM$500)))</f>
        <v>0</v>
      </c>
      <c r="FN31" s="133" t="n">
        <f aca="false">IF(OR(FN$4="",$B31=""),0,SUMIF('DADOS BRUTOS'!$A$3:$A$500,$B31,'DADOS BRUTOS'!CN$3:CN$500)+IF($C31="",0,SUMIF('DADOS BRUTOS'!$A$3:$A$500,$C31,'DADOS BRUTOS'!CN$3:CN$500)))</f>
        <v>0</v>
      </c>
      <c r="FO31" s="133" t="n">
        <f aca="false">IF(OR(FO$4="",$B31=""),0,SUMIF('DADOS BRUTOS'!$A$3:$A$500,$B31,'DADOS BRUTOS'!CO$3:CO$500)+IF($C31="",0,SUMIF('DADOS BRUTOS'!$A$3:$A$500,$C31,'DADOS BRUTOS'!CO$3:CO$500)))</f>
        <v>0</v>
      </c>
      <c r="FP31" s="133" t="n">
        <f aca="false">IF(OR(FP$4="",$B31=""),0,SUMIF('DADOS BRUTOS'!$A$3:$A$500,$B31,'DADOS BRUTOS'!CP$3:CP$500)+IF($C31="",0,SUMIF('DADOS BRUTOS'!$A$3:$A$500,$C31,'DADOS BRUTOS'!CP$3:CP$500)))</f>
        <v>0</v>
      </c>
      <c r="FQ31" s="133" t="n">
        <f aca="false">IF(OR(FQ$4="",$B31=""),0,SUMIF('DADOS BRUTOS'!$A$3:$A$500,$B31,'DADOS BRUTOS'!CQ$3:CQ$500)+IF($C31="",0,SUMIF('DADOS BRUTOS'!$A$3:$A$500,$C31,'DADOS BRUTOS'!CQ$3:CQ$500)))</f>
        <v>0</v>
      </c>
      <c r="FR31" s="133" t="n">
        <f aca="false">IF(OR(FR$4="",$B31=""),0,SUMIF('DADOS BRUTOS'!$A$3:$A$500,$B31,'DADOS BRUTOS'!CR$3:CR$500)+IF($C31="",0,SUMIF('DADOS BRUTOS'!$A$3:$A$500,$C31,'DADOS BRUTOS'!CR$3:CR$500)))</f>
        <v>0</v>
      </c>
      <c r="FS31" s="133" t="n">
        <f aca="false">IF(OR(FS$4="",$B31=""),0,SUMIF('DADOS BRUTOS'!$A$3:$A$500,$B31,'DADOS BRUTOS'!CS$3:CS$500)+IF($C31="",0,SUMIF('DADOS BRUTOS'!$A$3:$A$500,$C31,'DADOS BRUTOS'!CS$3:CS$500)))</f>
        <v>0</v>
      </c>
      <c r="FT31" s="133" t="n">
        <f aca="false">IF(OR(FT$4="",$B31=""),0,SUMIF('DADOS BRUTOS'!$A$3:$A$500,$B31,'DADOS BRUTOS'!CT$3:CT$500)+IF($C31="",0,SUMIF('DADOS BRUTOS'!$A$3:$A$500,$C31,'DADOS BRUTOS'!CT$3:CT$500)))</f>
        <v>0</v>
      </c>
      <c r="FU31" s="133" t="n">
        <f aca="false">IF(OR(FU$4="",$B31=""),0,SUMIF('DADOS BRUTOS'!$A$3:$A$500,$B31,'DADOS BRUTOS'!CU$3:CU$500)+IF($C31="",0,SUMIF('DADOS BRUTOS'!$A$3:$A$500,$C31,'DADOS BRUTOS'!CU$3:CU$500)))</f>
        <v>0</v>
      </c>
      <c r="FV31" s="133" t="n">
        <f aca="false">IF(OR(FV$4="",$B31=""),0,SUMIF('DADOS BRUTOS'!$A$3:$A$500,$B31,'DADOS BRUTOS'!CV$3:CV$500)+IF($C31="",0,SUMIF('DADOS BRUTOS'!$A$3:$A$500,$C31,'DADOS BRUTOS'!CV$3:CV$500)))</f>
        <v>0</v>
      </c>
      <c r="FW31" s="133" t="n">
        <f aca="false">IF(OR(FW$4="",$B31=""),0,SUMIF('DADOS BRUTOS'!$A$3:$A$500,$B31,'DADOS BRUTOS'!CW$3:CW$500)+IF($C31="",0,SUMIF('DADOS BRUTOS'!$A$3:$A$500,$C31,'DADOS BRUTOS'!CW$3:CW$500)))</f>
        <v>0</v>
      </c>
      <c r="FX31" s="133" t="n">
        <f aca="false">IF(OR(FX$4="",$B31=""),0,SUMIF('DADOS BRUTOS'!$A$3:$A$500,$B31,'DADOS BRUTOS'!CX$3:CX$500)+IF($C31="",0,SUMIF('DADOS BRUTOS'!$A$3:$A$500,$C31,'DADOS BRUTOS'!CX$3:CX$500)))</f>
        <v>0</v>
      </c>
      <c r="FY31" s="133" t="n">
        <f aca="false">IF(OR(FY$4="",$B31=""),0,SUMIF('DADOS BRUTOS'!$A$3:$A$500,$B31,'DADOS BRUTOS'!CY$3:CY$500)+IF($C31="",0,SUMIF('DADOS BRUTOS'!$A$3:$A$500,$C31,'DADOS BRUTOS'!CY$3:CY$500)))</f>
        <v>0</v>
      </c>
      <c r="FZ31" s="133" t="n">
        <f aca="false">IF(OR(FZ$4="",$B31=""),0,SUMIF('DADOS BRUTOS'!$A$3:$A$500,$B31,'DADOS BRUTOS'!CZ$3:CZ$500)+IF($C31="",0,SUMIF('DADOS BRUTOS'!$A$3:$A$500,$C31,'DADOS BRUTOS'!CZ$3:CZ$500)))</f>
        <v>0</v>
      </c>
      <c r="GA31" s="133" t="n">
        <f aca="false">IF(OR(GA$4="",$B31=""),0,SUMIF('DADOS BRUTOS'!$A$3:$A$500,$B31,'DADOS BRUTOS'!DA$3:DA$500)+IF($C31="",0,SUMIF('DADOS BRUTOS'!$A$3:$A$500,$C31,'DADOS BRUTOS'!DA$3:DA$500)))</f>
        <v>0</v>
      </c>
      <c r="GB31" s="133" t="n">
        <f aca="false">IF(OR(GB$4="",$B31=""),0,SUMIF('DADOS BRUTOS'!$A$3:$A$500,$B31,'DADOS BRUTOS'!DB$3:DB$500)+IF($C31="",0,SUMIF('DADOS BRUTOS'!$A$3:$A$500,$C31,'DADOS BRUTOS'!DB$3:DB$500)))</f>
        <v>0</v>
      </c>
      <c r="GC31" s="133" t="n">
        <f aca="false">IF(OR(GC$4="",$B31=""),0,SUMIF('DADOS BRUTOS'!$A$3:$A$500,$B31,'DADOS BRUTOS'!DC$3:DC$500)+IF($C31="",0,SUMIF('DADOS BRUTOS'!$A$3:$A$500,$C31,'DADOS BRUTOS'!DC$3:DC$500)))</f>
        <v>0</v>
      </c>
      <c r="GD31" s="133" t="n">
        <f aca="false">IF(OR(GD$4="",$B31=""),0,SUMIF('DADOS BRUTOS'!$A$3:$A$500,$B31,'DADOS BRUTOS'!DD$3:DD$500)+IF($C31="",0,SUMIF('DADOS BRUTOS'!$A$3:$A$500,$C31,'DADOS BRUTOS'!DD$3:DD$500)))</f>
        <v>0</v>
      </c>
      <c r="GE31" s="133" t="n">
        <f aca="false">IF(OR(GE$4="",$B31=""),0,SUMIF('DADOS BRUTOS'!$A$3:$A$500,$B31,'DADOS BRUTOS'!DE$3:DE$500)+IF($C31="",0,SUMIF('DADOS BRUTOS'!$A$3:$A$500,$C31,'DADOS BRUTOS'!DE$3:DE$500)))</f>
        <v>0</v>
      </c>
      <c r="GF31" s="133" t="n">
        <f aca="false">IF(OR(GF$4="",$B31=""),0,SUMIF('DADOS BRUTOS'!$A$3:$A$500,$B31,'DADOS BRUTOS'!DF$3:DF$500)+IF($C31="",0,SUMIF('DADOS BRUTOS'!$A$3:$A$500,$C31,'DADOS BRUTOS'!DF$3:DF$500)))</f>
        <v>0</v>
      </c>
      <c r="GG31" s="133" t="n">
        <f aca="false">IF(OR(GG$4="",$B31=""),0,SUMIF('DADOS BRUTOS'!$A$3:$A$500,$B31,'DADOS BRUTOS'!DG$3:DG$500)+IF($C31="",0,SUMIF('DADOS BRUTOS'!$A$3:$A$500,$C31,'DADOS BRUTOS'!DG$3:DG$500)))</f>
        <v>0</v>
      </c>
      <c r="GH31" s="133" t="n">
        <f aca="false">IF(OR(GH$4="",$B31=""),0,SUMIF('DADOS BRUTOS'!$A$3:$A$500,$B31,'DADOS BRUTOS'!DH$3:DH$500)+IF($C31="",0,SUMIF('DADOS BRUTOS'!$A$3:$A$500,$C31,'DADOS BRUTOS'!DH$3:DH$500)))</f>
        <v>0</v>
      </c>
      <c r="GI31" s="133" t="n">
        <f aca="false">IF(OR(GI$4="",$B31=""),0,SUMIF('DADOS BRUTOS'!$A$3:$A$500,$B31,'DADOS BRUTOS'!DI$3:DI$500)+IF($C31="",0,SUMIF('DADOS BRUTOS'!$A$3:$A$500,$C31,'DADOS BRUTOS'!DI$3:DI$500)))</f>
        <v>0</v>
      </c>
      <c r="GJ31" s="133" t="n">
        <f aca="false">IF(OR(GJ$4="",$B31=""),0,SUMIF('DADOS BRUTOS'!$A$3:$A$500,$B31,'DADOS BRUTOS'!DJ$3:DJ$500)+IF($C31="",0,SUMIF('DADOS BRUTOS'!$A$3:$A$500,$C31,'DADOS BRUTOS'!DJ$3:DJ$500)))</f>
        <v>0</v>
      </c>
      <c r="GK31" s="133" t="n">
        <f aca="false">IF(OR(GK$4="",$B31=""),0,SUMIF('DADOS BRUTOS'!$A$3:$A$500,$B31,'DADOS BRUTOS'!DK$3:DK$500)+IF($C31="",0,SUMIF('DADOS BRUTOS'!$A$3:$A$500,$C31,'DADOS BRUTOS'!DK$3:DK$500)))</f>
        <v>0</v>
      </c>
      <c r="GL31" s="133" t="n">
        <f aca="false">IF(OR(GL$4="",$B31=""),0,SUMIF('DADOS BRUTOS'!$A$3:$A$500,$B31,'DADOS BRUTOS'!DL$3:DL$500)+IF($C31="",0,SUMIF('DADOS BRUTOS'!$A$3:$A$500,$C31,'DADOS BRUTOS'!DL$3:DL$500)))</f>
        <v>0</v>
      </c>
      <c r="GM31" s="133" t="n">
        <f aca="false">IF(OR(GM$4="",$B31=""),0,SUMIF('DADOS BRUTOS'!$A$3:$A$500,$B31,'DADOS BRUTOS'!DM$3:DM$500)+IF($C31="",0,SUMIF('DADOS BRUTOS'!$A$3:$A$500,$C31,'DADOS BRUTOS'!DM$3:DM$500)))</f>
        <v>0</v>
      </c>
      <c r="GN31" s="133" t="n">
        <f aca="false">IF(OR(GN$4="",$B31=""),0,SUMIF('DADOS BRUTOS'!$A$3:$A$500,$B31,'DADOS BRUTOS'!DN$3:DN$500)+IF($C31="",0,SUMIF('DADOS BRUTOS'!$A$3:$A$500,$C31,'DADOS BRUTOS'!DN$3:DN$500)))</f>
        <v>0</v>
      </c>
      <c r="GO31" s="133" t="n">
        <f aca="false">IF(OR(GO$4="",$B31=""),0,SUMIF('DADOS BRUTOS'!$A$3:$A$500,$B31,'DADOS BRUTOS'!DO$3:DO$500)+IF($C31="",0,SUMIF('DADOS BRUTOS'!$A$3:$A$500,$C31,'DADOS BRUTOS'!DO$3:DO$500)))</f>
        <v>0</v>
      </c>
      <c r="GP31" s="133" t="n">
        <f aca="false">IF(OR(GP$4="",$B31=""),0,SUMIF('DADOS BRUTOS'!$A$3:$A$500,$B31,'DADOS BRUTOS'!DP$3:DP$500)+IF($C31="",0,SUMIF('DADOS BRUTOS'!$A$3:$A$500,$C31,'DADOS BRUTOS'!DP$3:DP$500)))</f>
        <v>0</v>
      </c>
      <c r="GQ31" s="133" t="n">
        <f aca="false">IF(OR(GQ$4="",$B31=""),0,SUMIF('DADOS BRUTOS'!$A$3:$A$500,$B31,'DADOS BRUTOS'!DQ$3:DQ$500)+IF($C31="",0,SUMIF('DADOS BRUTOS'!$A$3:$A$500,$C31,'DADOS BRUTOS'!DQ$3:DQ$500)))</f>
        <v>0</v>
      </c>
      <c r="GR31" s="133" t="n">
        <f aca="false">IF(OR(GR$4="",$B31=""),0,SUMIF('DADOS BRUTOS'!$A$3:$A$500,$B31,'DADOS BRUTOS'!DR$3:DR$500)+IF($C31="",0,SUMIF('DADOS BRUTOS'!$A$3:$A$500,$C31,'DADOS BRUTOS'!DR$3:DR$500)))</f>
        <v>0</v>
      </c>
      <c r="GS31" s="133" t="n">
        <f aca="false">IF(OR(GS$4="",$B31=""),0,SUMIF('DADOS BRUTOS'!$A$3:$A$500,$B31,'DADOS BRUTOS'!DS$3:DS$500)+IF($C31="",0,SUMIF('DADOS BRUTOS'!$A$3:$A$500,$C31,'DADOS BRUTOS'!DS$3:DS$500)))</f>
        <v>0</v>
      </c>
      <c r="GT31" s="133" t="n">
        <f aca="false">IF(OR(GT$4="",$B31=""),0,SUMIF('DADOS BRUTOS'!$A$3:$A$500,$B31,'DADOS BRUTOS'!DT$3:DT$500)+IF($C31="",0,SUMIF('DADOS BRUTOS'!$A$3:$A$500,$C31,'DADOS BRUTOS'!DT$3:DT$500)))</f>
        <v>0</v>
      </c>
      <c r="GU31" s="133" t="n">
        <f aca="false">IF(OR(GU$4="",$B31=""),0,SUMIF('DADOS BRUTOS'!$A$3:$A$500,$B31,'DADOS BRUTOS'!DU$3:DU$500)+IF($C31="",0,SUMIF('DADOS BRUTOS'!$A$3:$A$500,$C31,'DADOS BRUTOS'!DU$3:DU$500)))</f>
        <v>0</v>
      </c>
      <c r="GV31" s="133" t="n">
        <f aca="false">IF(OR(GV$4="",$B31=""),0,SUMIF('DADOS BRUTOS'!$A$3:$A$500,$B31,'DADOS BRUTOS'!DV$3:DV$500)+IF($C31="",0,SUMIF('DADOS BRUTOS'!$A$3:$A$500,$C31,'DADOS BRUTOS'!DV$3:DV$500)))</f>
        <v>0</v>
      </c>
      <c r="GW31" s="133" t="n">
        <f aca="false">IF(OR(GW$4="",$B31=""),0,SUMIF('DADOS BRUTOS'!$A$3:$A$500,$B31,'DADOS BRUTOS'!DW$3:DW$500)+IF($C31="",0,SUMIF('DADOS BRUTOS'!$A$3:$A$500,$C31,'DADOS BRUTOS'!DW$3:DW$500)))</f>
        <v>0</v>
      </c>
      <c r="GX31" s="133" t="n">
        <f aca="false">IF(OR(GX$4="",$B31=""),0,SUMIF('DADOS BRUTOS'!$A$3:$A$500,$B31,'DADOS BRUTOS'!DX$3:DX$500)+IF($C31="",0,SUMIF('DADOS BRUTOS'!$A$3:$A$500,$C31,'DADOS BRUTOS'!DX$3:DX$500)))</f>
        <v>0</v>
      </c>
      <c r="GY31" s="133" t="n">
        <f aca="false">IF(OR(GY$4="",$B31=""),0,SUMIF('DADOS BRUTOS'!$A$3:$A$500,$B31,'DADOS BRUTOS'!DY$3:DY$500)+IF($C31="",0,SUMIF('DADOS BRUTOS'!$A$3:$A$500,$C31,'DADOS BRUTOS'!DY$3:DY$500)))</f>
        <v>0</v>
      </c>
      <c r="GZ31" s="133" t="n">
        <f aca="false">IF(OR(GZ$4="",$B31=""),0,SUMIF('DADOS BRUTOS'!$A$3:$A$500,$B31,'DADOS BRUTOS'!DZ$3:DZ$500)+IF($C31="",0,SUMIF('DADOS BRUTOS'!$A$3:$A$500,$C31,'DADOS BRUTOS'!DZ$3:DZ$500)))</f>
        <v>0</v>
      </c>
      <c r="HA31" s="133" t="n">
        <f aca="false">IF(OR(HA$4="",$B31=""),0,SUMIF('DADOS BRUTOS'!$A$3:$A$500,$B31,'DADOS BRUTOS'!EA$3:EA$500)+IF($C31="",0,SUMIF('DADOS BRUTOS'!$A$3:$A$500,$C31,'DADOS BRUTOS'!EA$3:EA$500)))</f>
        <v>0</v>
      </c>
      <c r="HB31" s="133" t="n">
        <f aca="false">IF(OR(HB$4="",$B31=""),0,SUMIF('DADOS BRUTOS'!$A$3:$A$500,$B31,'DADOS BRUTOS'!EB$3:EB$500)+IF($C31="",0,SUMIF('DADOS BRUTOS'!$A$3:$A$500,$C31,'DADOS BRUTOS'!EB$3:EB$500)))</f>
        <v>0</v>
      </c>
      <c r="HC31" s="133" t="n">
        <f aca="false">IF(OR(HC$4="",$B31=""),0,SUMIF('DADOS BRUTOS'!$A$3:$A$500,$B31,'DADOS BRUTOS'!EC$3:EC$500)+IF($C31="",0,SUMIF('DADOS BRUTOS'!$A$3:$A$500,$C31,'DADOS BRUTOS'!EC$3:EC$500)))</f>
        <v>0</v>
      </c>
      <c r="HD31" s="133" t="n">
        <f aca="false">IF(OR(HD$4="",$B31=""),0,SUMIF('DADOS BRUTOS'!$A$3:$A$500,$B31,'DADOS BRUTOS'!ED$3:ED$500)+IF($C31="",0,SUMIF('DADOS BRUTOS'!$A$3:$A$500,$C31,'DADOS BRUTOS'!ED$3:ED$500)))</f>
        <v>0</v>
      </c>
      <c r="HE31" s="133" t="n">
        <f aca="false">IF(OR(HE$4="",$B31=""),0,SUMIF('DADOS BRUTOS'!$A$3:$A$500,$B31,'DADOS BRUTOS'!EE$3:EE$500)+IF($C31="",0,SUMIF('DADOS BRUTOS'!$A$3:$A$500,$C31,'DADOS BRUTOS'!EE$3:EE$500)))</f>
        <v>0</v>
      </c>
      <c r="HF31" s="133" t="n">
        <f aca="false">IF(OR(HF$4="",$B31=""),0,SUMIF('DADOS BRUTOS'!$A$3:$A$500,$B31,'DADOS BRUTOS'!EF$3:EF$500)+IF($C31="",0,SUMIF('DADOS BRUTOS'!$A$3:$A$500,$C31,'DADOS BRUTOS'!EF$3:EF$500)))</f>
        <v>0</v>
      </c>
      <c r="HG31" s="133" t="n">
        <f aca="false">IF(OR(HG$4="",$B31=""),0,SUMIF('DADOS BRUTOS'!$A$3:$A$500,$B31,'DADOS BRUTOS'!EG$3:EG$500)+IF($C31="",0,SUMIF('DADOS BRUTOS'!$A$3:$A$500,$C31,'DADOS BRUTOS'!EG$3:EG$500)))</f>
        <v>0</v>
      </c>
      <c r="HH31" s="133" t="n">
        <f aca="false">IF(OR(HH$4="",$B31=""),0,SUMIF('DADOS BRUTOS'!$A$3:$A$500,$B31,'DADOS BRUTOS'!EH$3:EH$500)+IF($C31="",0,SUMIF('DADOS BRUTOS'!$A$3:$A$500,$C31,'DADOS BRUTOS'!EH$3:EH$500)))</f>
        <v>0</v>
      </c>
      <c r="HI31" s="133" t="n">
        <f aca="false">IF(OR(HI$4="",$B31=""),0,SUMIF('DADOS BRUTOS'!$A$3:$A$500,$B31,'DADOS BRUTOS'!EI$3:EI$500)+IF($C31="",0,SUMIF('DADOS BRUTOS'!$A$3:$A$500,$C31,'DADOS BRUTOS'!EI$3:EI$500)))</f>
        <v>0</v>
      </c>
      <c r="HJ31" s="133" t="n">
        <f aca="false">IF(OR(HJ$4="",$B31=""),0,SUMIF('DADOS BRUTOS'!$A$3:$A$500,$B31,'DADOS BRUTOS'!EJ$3:EJ$500)+IF($C31="",0,SUMIF('DADOS BRUTOS'!$A$3:$A$500,$C31,'DADOS BRUTOS'!EJ$3:EJ$500)))</f>
        <v>0</v>
      </c>
      <c r="HK31" s="133" t="n">
        <f aca="false">IF(OR(HK$4="",$B31=""),0,SUMIF('DADOS BRUTOS'!$A$3:$A$500,$B31,'DADOS BRUTOS'!EK$3:EK$500)+IF($C31="",0,SUMIF('DADOS BRUTOS'!$A$3:$A$500,$C31,'DADOS BRUTOS'!EK$3:EK$500)))</f>
        <v>0</v>
      </c>
      <c r="HL31" s="133" t="n">
        <f aca="false">IF(OR(HL$4="",$B31=""),0,SUMIF('DADOS BRUTOS'!$A$3:$A$500,$B31,'DADOS BRUTOS'!EL$3:EL$500)+IF($C31="",0,SUMIF('DADOS BRUTOS'!$A$3:$A$500,$C31,'DADOS BRUTOS'!EL$3:EL$500)))</f>
        <v>0</v>
      </c>
      <c r="HM31" s="133" t="n">
        <f aca="false">IF(OR(HM$4="",$B31=""),0,SUMIF('DADOS BRUTOS'!$A$3:$A$500,$B31,'DADOS BRUTOS'!EM$3:EM$500)+IF($C31="",0,SUMIF('DADOS BRUTOS'!$A$3:$A$500,$C31,'DADOS BRUTOS'!EM$3:EM$500)))</f>
        <v>0</v>
      </c>
      <c r="HN31" s="133" t="n">
        <f aca="false">IF(OR(HN$4="",$B31=""),0,SUMIF('DADOS BRUTOS'!$A$3:$A$500,$B31,'DADOS BRUTOS'!EN$3:EN$500)+IF($C31="",0,SUMIF('DADOS BRUTOS'!$A$3:$A$500,$C31,'DADOS BRUTOS'!EN$3:EN$500)))</f>
        <v>0</v>
      </c>
      <c r="HO31" s="133" t="n">
        <f aca="false">IF(OR(HO$4="",$B31=""),0,SUMIF('DADOS BRUTOS'!$A$3:$A$500,$B31,'DADOS BRUTOS'!EO$3:EO$500)+IF($C31="",0,SUMIF('DADOS BRUTOS'!$A$3:$A$500,$C31,'DADOS BRUTOS'!EO$3:EO$500)))</f>
        <v>0</v>
      </c>
      <c r="HP31" s="133" t="n">
        <f aca="false">IF(OR(HP$4="",$B31=""),0,SUMIF('DADOS BRUTOS'!$A$3:$A$500,$B31,'DADOS BRUTOS'!EP$3:EP$500)+IF($C31="",0,SUMIF('DADOS BRUTOS'!$A$3:$A$500,$C31,'DADOS BRUTOS'!EP$3:EP$500)))</f>
        <v>0</v>
      </c>
      <c r="HQ31" s="133" t="n">
        <f aca="false">IF(OR(HQ$4="",$B31=""),0,SUMIF('DADOS BRUTOS'!$A$3:$A$500,$B31,'DADOS BRUTOS'!EQ$3:EQ$500)+IF($C31="",0,SUMIF('DADOS BRUTOS'!$A$3:$A$500,$C31,'DADOS BRUTOS'!EQ$3:EQ$500)))</f>
        <v>0</v>
      </c>
      <c r="HR31" s="133" t="n">
        <f aca="false">IF(OR(HR$4="",$B31=""),0,SUMIF('DADOS BRUTOS'!$A$3:$A$500,$B31,'DADOS BRUTOS'!ER$3:ER$500)+IF($C31="",0,SUMIF('DADOS BRUTOS'!$A$3:$A$500,$C31,'DADOS BRUTOS'!ER$3:ER$500)))</f>
        <v>0</v>
      </c>
      <c r="HS31" s="133" t="n">
        <f aca="false">IF(OR(HS$4="",$B31=""),0,SUMIF('DADOS BRUTOS'!$A$3:$A$500,$B31,'DADOS BRUTOS'!ES$3:ES$500)+IF($C31="",0,SUMIF('DADOS BRUTOS'!$A$3:$A$500,$C31,'DADOS BRUTOS'!ES$3:ES$500)))</f>
        <v>0</v>
      </c>
      <c r="HT31" s="133" t="n">
        <f aca="false">IF(OR(HT$4="",$B31=""),0,SUMIF('DADOS BRUTOS'!$A$3:$A$500,$B31,'DADOS BRUTOS'!ET$3:ET$500)+IF($C31="",0,SUMIF('DADOS BRUTOS'!$A$3:$A$500,$C31,'DADOS BRUTOS'!ET$3:ET$500)))</f>
        <v>0</v>
      </c>
      <c r="HU31" s="133" t="n">
        <f aca="false">IF(OR(HU$4="",$B31=""),0,SUMIF('DADOS BRUTOS'!$A$3:$A$500,$B31,'DADOS BRUTOS'!EU$3:EU$500)+IF($C31="",0,SUMIF('DADOS BRUTOS'!$A$3:$A$500,$C31,'DADOS BRUTOS'!EU$3:EU$500)))</f>
        <v>0</v>
      </c>
      <c r="HV31" s="133" t="n">
        <f aca="false">IF(OR(HV$4="",$B31=""),0,SUMIF('DADOS BRUTOS'!$A$3:$A$500,$B31,'DADOS BRUTOS'!EV$3:EV$500)+IF($C31="",0,SUMIF('DADOS BRUTOS'!$A$3:$A$500,$C31,'DADOS BRUTOS'!EV$3:EV$500)))</f>
        <v>0</v>
      </c>
      <c r="HW31" s="133" t="n">
        <f aca="false">IF(OR(HW$4="",$B31=""),0,SUMIF('DADOS BRUTOS'!$A$3:$A$500,$B31,'DADOS BRUTOS'!EW$3:EW$500)+IF($C31="",0,SUMIF('DADOS BRUTOS'!$A$3:$A$500,$C31,'DADOS BRUTOS'!EW$3:EW$500)))</f>
        <v>0</v>
      </c>
      <c r="HX31" s="133" t="n">
        <f aca="false">IF(OR(HX$4="",$B31=""),0,SUMIF('DADOS BRUTOS'!$A$3:$A$500,$B31,'DADOS BRUTOS'!EX$3:EX$500)+IF($C31="",0,SUMIF('DADOS BRUTOS'!$A$3:$A$500,$C31,'DADOS BRUTOS'!EX$3:EX$500)))</f>
        <v>0</v>
      </c>
      <c r="HY31" s="133" t="n">
        <f aca="false">IF(OR(HY$4="",$B31=""),0,SUMIF('DADOS BRUTOS'!$A$3:$A$500,$B31,'DADOS BRUTOS'!EY$3:EY$500)+IF($C31="",0,SUMIF('DADOS BRUTOS'!$A$3:$A$500,$C31,'DADOS BRUTOS'!EY$3:EY$500)))</f>
        <v>0</v>
      </c>
      <c r="HZ31" s="133" t="n">
        <f aca="false">IF(OR(HZ$4="",$B31=""),0,SUMIF('DADOS BRUTOS'!$A$3:$A$500,$B31,'DADOS BRUTOS'!EZ$3:EZ$500)+IF($C31="",0,SUMIF('DADOS BRUTOS'!$A$3:$A$500,$C31,'DADOS BRUTOS'!EZ$3:EZ$500)))</f>
        <v>0</v>
      </c>
      <c r="IA31" s="133" t="n">
        <f aca="false">IF(OR(IA$4="",$B31=""),0,SUMIF('DADOS BRUTOS'!$A$3:$A$500,$B31,'DADOS BRUTOS'!FA$3:FA$500)+IF($C31="",0,SUMIF('DADOS BRUTOS'!$A$3:$A$500,$C31,'DADOS BRUTOS'!FA$3:FA$500)))</f>
        <v>0</v>
      </c>
      <c r="IB31" s="133" t="n">
        <f aca="false">IF(OR(IB$4="",$B31=""),0,SUMIF('DADOS BRUTOS'!$A$3:$A$500,$B31,'DADOS BRUTOS'!FB$3:FB$500)+IF($C31="",0,SUMIF('DADOS BRUTOS'!$A$3:$A$500,$C31,'DADOS BRUTOS'!FB$3:FB$500)))</f>
        <v>0</v>
      </c>
      <c r="IC31" s="133" t="n">
        <f aca="false">IF(OR(IC$4="",$B31=""),0,SUMIF('DADOS BRUTOS'!$A$3:$A$500,$B31,'DADOS BRUTOS'!FC$3:FC$500)+IF($C31="",0,SUMIF('DADOS BRUTOS'!$A$3:$A$500,$C31,'DADOS BRUTOS'!FC$3:FC$500)))</f>
        <v>0</v>
      </c>
      <c r="ID31" s="133" t="n">
        <f aca="false">IF(OR(ID$4="",$B31=""),0,SUMIF('DADOS BRUTOS'!$A$3:$A$500,$B31,'DADOS BRUTOS'!FD$3:FD$500)+IF($C31="",0,SUMIF('DADOS BRUTOS'!$A$3:$A$500,$C31,'DADOS BRUTOS'!FD$3:FD$500)))</f>
        <v>0</v>
      </c>
      <c r="IE31" s="133" t="n">
        <f aca="false">IF(OR(IE$4="",$B31=""),0,SUMIF('DADOS BRUTOS'!$A$3:$A$500,$B31,'DADOS BRUTOS'!FE$3:FE$500)+IF($C31="",0,SUMIF('DADOS BRUTOS'!$A$3:$A$500,$C31,'DADOS BRUTOS'!FE$3:FE$500)))</f>
        <v>0</v>
      </c>
      <c r="IF31" s="133" t="n">
        <f aca="false">IF(OR(IF$4="",$B31=""),0,SUMIF('DADOS BRUTOS'!$A$3:$A$500,$B31,'DADOS BRUTOS'!FF$3:FF$500)+IF($C31="",0,SUMIF('DADOS BRUTOS'!$A$3:$A$500,$C31,'DADOS BRUTOS'!FF$3:FF$500)))</f>
        <v>0</v>
      </c>
      <c r="IG31" s="133" t="n">
        <f aca="false">IF(OR(IG$4="",$B31=""),0,SUMIF('DADOS BRUTOS'!$A$3:$A$500,$B31,'DADOS BRUTOS'!FG$3:FG$500)+IF($C31="",0,SUMIF('DADOS BRUTOS'!$A$3:$A$500,$C31,'DADOS BRUTOS'!FG$3:FG$500)))</f>
        <v>0</v>
      </c>
      <c r="IH31" s="133" t="n">
        <f aca="false">IF(OR(IH$4="",$B31=""),0,SUMIF('DADOS BRUTOS'!$A$3:$A$500,$B31,'DADOS BRUTOS'!FH$3:FH$500)+IF($C31="",0,SUMIF('DADOS BRUTOS'!$A$3:$A$500,$C31,'DADOS BRUTOS'!FH$3:FH$500)))</f>
        <v>0</v>
      </c>
      <c r="II31" s="133" t="n">
        <f aca="false">IF(OR(II$4="",$B31=""),0,SUMIF('DADOS BRUTOS'!$A$3:$A$500,$B31,'DADOS BRUTOS'!FI$3:FI$500)+IF($C31="",0,SUMIF('DADOS BRUTOS'!$A$3:$A$500,$C31,'DADOS BRUTOS'!FI$3:FI$500)))</f>
        <v>0</v>
      </c>
      <c r="IJ31" s="133" t="n">
        <f aca="false">IF(OR(IJ$4="",$B31=""),0,SUMIF('DADOS BRUTOS'!$A$3:$A$500,$B31,'DADOS BRUTOS'!FJ$3:FJ$500)+IF($C31="",0,SUMIF('DADOS BRUTOS'!$A$3:$A$500,$C31,'DADOS BRUTOS'!FJ$3:FJ$500)))</f>
        <v>0</v>
      </c>
      <c r="IK31" s="133" t="n">
        <f aca="false">IF(OR(IK$4="",$B31=""),0,SUMIF('DADOS BRUTOS'!$A$3:$A$500,$B31,'DADOS BRUTOS'!FK$3:FK$500)+IF($C31="",0,SUMIF('DADOS BRUTOS'!$A$3:$A$500,$C31,'DADOS BRUTOS'!FK$3:FK$500)))</f>
        <v>0</v>
      </c>
      <c r="IL31" s="133" t="n">
        <f aca="false">IF(OR(IL$4="",$B31=""),0,SUMIF('DADOS BRUTOS'!$A$3:$A$500,$B31,'DADOS BRUTOS'!FL$3:FL$500)+IF($C31="",0,SUMIF('DADOS BRUTOS'!$A$3:$A$500,$C31,'DADOS BRUTOS'!FL$3:FL$500)))</f>
        <v>0</v>
      </c>
      <c r="IM31" s="133" t="n">
        <f aca="false">IF(OR(IM$4="",$B31=""),0,SUMIF('DADOS BRUTOS'!$A$3:$A$500,$B31,'DADOS BRUTOS'!FM$3:FM$500)+IF($C31="",0,SUMIF('DADOS BRUTOS'!$A$3:$A$500,$C31,'DADOS BRUTOS'!FM$3:FM$500)))</f>
        <v>0</v>
      </c>
      <c r="IN31" s="133" t="n">
        <f aca="false">IF(OR(IN$4="",$B31=""),0,SUMIF('DADOS BRUTOS'!$A$3:$A$500,$B31,'DADOS BRUTOS'!FN$3:FN$500)+IF($C31="",0,SUMIF('DADOS BRUTOS'!$A$3:$A$500,$C31,'DADOS BRUTOS'!FN$3:FN$500)))</f>
        <v>0</v>
      </c>
      <c r="IO31" s="133" t="n">
        <f aca="false">IF(OR(IO$4="",$B31=""),0,SUMIF('DADOS BRUTOS'!$A$3:$A$500,$B31,'DADOS BRUTOS'!FO$3:FO$500)+IF($C31="",0,SUMIF('DADOS BRUTOS'!$A$3:$A$500,$C31,'DADOS BRUTOS'!FO$3:FO$500)))</f>
        <v>0</v>
      </c>
      <c r="IP31" s="133" t="n">
        <f aca="false">IF(OR(IP$4="",$B31=""),0,SUMIF('DADOS BRUTOS'!$A$3:$A$500,$B31,'DADOS BRUTOS'!FP$3:FP$500)+IF($C31="",0,SUMIF('DADOS BRUTOS'!$A$3:$A$500,$C31,'DADOS BRUTOS'!FP$3:FP$500)))</f>
        <v>0</v>
      </c>
      <c r="IQ31" s="133" t="n">
        <f aca="false">IF(OR(IQ$4="",$B31=""),0,SUMIF('DADOS BRUTOS'!$A$3:$A$500,$B31,'DADOS BRUTOS'!FQ$3:FQ$500)+IF($C31="",0,SUMIF('DADOS BRUTOS'!$A$3:$A$500,$C31,'DADOS BRUTOS'!FQ$3:FQ$500)))</f>
        <v>0</v>
      </c>
      <c r="IR31" s="133" t="n">
        <f aca="false">IF(OR(IR$4="",$B31=""),0,SUMIF('DADOS BRUTOS'!$A$3:$A$500,$B31,'DADOS BRUTOS'!FR$3:FR$500)+IF($C31="",0,SUMIF('DADOS BRUTOS'!$A$3:$A$500,$C31,'DADOS BRUTOS'!FR$3:FR$500)))</f>
        <v>0</v>
      </c>
      <c r="IS31" s="133" t="n">
        <f aca="false">IF(OR(IS$4="",$B31=""),0,SUMIF('DADOS BRUTOS'!$A$3:$A$500,$B31,'DADOS BRUTOS'!FS$3:FS$500)+IF($C31="",0,SUMIF('DADOS BRUTOS'!$A$3:$A$500,$C31,'DADOS BRUTOS'!FS$3:FS$500)))</f>
        <v>0</v>
      </c>
      <c r="IT31" s="133" t="n">
        <f aca="false">IF(OR(IT$4="",$B31=""),0,SUMIF('DADOS BRUTOS'!$A$3:$A$500,$B31,'DADOS BRUTOS'!FT$3:FT$500)+IF($C31="",0,SUMIF('DADOS BRUTOS'!$A$3:$A$500,$C31,'DADOS BRUTOS'!FT$3:FT$500)))</f>
        <v>0</v>
      </c>
      <c r="IU31" s="133" t="n">
        <f aca="false">IF(OR(IU$4="",$B31=""),0,SUMIF('DADOS BRUTOS'!$A$3:$A$500,$B31,'DADOS BRUTOS'!FU$3:FU$500)+IF($C31="",0,SUMIF('DADOS BRUTOS'!$A$3:$A$500,$C31,'DADOS BRUTOS'!FU$3:FU$500)))</f>
        <v>0</v>
      </c>
      <c r="IV31" s="133" t="n">
        <f aca="false">IF(OR(IV$4="",$B31=""),0,SUMIF('DADOS BRUTOS'!$A$3:$A$500,$B31,'DADOS BRUTOS'!FV$3:FV$500)+IF($C31="",0,SUMIF('DADOS BRUTOS'!$A$3:$A$500,$C31,'DADOS BRUTOS'!FV$3:FV$500)))</f>
        <v>0</v>
      </c>
      <c r="IW31" s="133" t="n">
        <f aca="false">IF(OR(IW$4="",$B31=""),0,SUMIF('DADOS BRUTOS'!$A$3:$A$500,$B31,'DADOS BRUTOS'!FW$3:FW$500)+IF($C31="",0,SUMIF('DADOS BRUTOS'!$A$3:$A$500,$C31,'DADOS BRUTOS'!FW$3:FW$500)))</f>
        <v>0</v>
      </c>
      <c r="IX31" s="133" t="n">
        <f aca="false">IF(OR(IX$4="",$B31=""),0,SUMIF('DADOS BRUTOS'!$A$3:$A$500,$B31,'DADOS BRUTOS'!FX$3:FX$500)+IF($C31="",0,SUMIF('DADOS BRUTOS'!$A$3:$A$500,$C31,'DADOS BRUTOS'!FX$3:FX$500)))</f>
        <v>0</v>
      </c>
      <c r="IY31" s="133" t="n">
        <f aca="false">IF(OR(IY$4="",$B31=""),0,SUMIF('DADOS BRUTOS'!$A$3:$A$500,$B31,'DADOS BRUTOS'!FY$3:FY$500)+IF($C31="",0,SUMIF('DADOS BRUTOS'!$A$3:$A$500,$C31,'DADOS BRUTOS'!FY$3:FY$500)))</f>
        <v>0</v>
      </c>
      <c r="IZ31" s="133" t="n">
        <f aca="false">IF(OR(IZ$4="",$B31=""),0,SUMIF('DADOS BRUTOS'!$A$3:$A$500,$B31,'DADOS BRUTOS'!FZ$3:FZ$500)+IF($C31="",0,SUMIF('DADOS BRUTOS'!$A$3:$A$500,$C31,'DADOS BRUTOS'!FZ$3:FZ$500)))</f>
        <v>0</v>
      </c>
      <c r="JA31" s="133" t="n">
        <f aca="false">IF(OR(JA$4="",$B31=""),0,SUMIF('DADOS BRUTOS'!$A$3:$A$500,$B31,'DADOS BRUTOS'!GA$3:GA$500)+IF($C31="",0,SUMIF('DADOS BRUTOS'!$A$3:$A$500,$C31,'DADOS BRUTOS'!GA$3:GA$500)))</f>
        <v>0</v>
      </c>
      <c r="JB31" s="133" t="n">
        <f aca="false">IF(OR(JB$4="",$B31=""),0,SUMIF('DADOS BRUTOS'!$A$3:$A$500,$B31,'DADOS BRUTOS'!GB$3:GB$500)+IF($C31="",0,SUMIF('DADOS BRUTOS'!$A$3:$A$500,$C31,'DADOS BRUTOS'!GB$3:GB$500)))</f>
        <v>0</v>
      </c>
      <c r="JC31" s="133" t="n">
        <f aca="false">IF(OR(JC$4="",$B31=""),0,SUMIF('DADOS BRUTOS'!$A$3:$A$500,$B31,'DADOS BRUTOS'!GC$3:GC$500)+IF($C31="",0,SUMIF('DADOS BRUTOS'!$A$3:$A$500,$C31,'DADOS BRUTOS'!GC$3:GC$500)))</f>
        <v>0</v>
      </c>
      <c r="JD31" s="133" t="n">
        <f aca="false">IF(OR(JD$4="",$B31=""),0,SUMIF('DADOS BRUTOS'!$A$3:$A$500,$B31,'DADOS BRUTOS'!GD$3:GD$500)+IF($C31="",0,SUMIF('DADOS BRUTOS'!$A$3:$A$500,$C31,'DADOS BRUTOS'!GD$3:GD$500)))</f>
        <v>0</v>
      </c>
      <c r="JE31" s="133" t="n">
        <f aca="false">IF(OR(JE$4="",$B31=""),0,SUMIF('DADOS BRUTOS'!$A$3:$A$500,$B31,'DADOS BRUTOS'!GE$3:GE$500)+IF($C31="",0,SUMIF('DADOS BRUTOS'!$A$3:$A$500,$C31,'DADOS BRUTOS'!GE$3:GE$500)))</f>
        <v>0</v>
      </c>
      <c r="JF31" s="133" t="n">
        <f aca="false">IF(OR(JF$4="",$B31=""),0,SUMIF('DADOS BRUTOS'!$A$3:$A$500,$B31,'DADOS BRUTOS'!GF$3:GF$500)+IF($C31="",0,SUMIF('DADOS BRUTOS'!$A$3:$A$500,$C31,'DADOS BRUTOS'!GF$3:GF$500)))</f>
        <v>0</v>
      </c>
      <c r="JG31" s="133" t="n">
        <f aca="false">IF(OR(JG$4="",$B31=""),0,SUMIF('DADOS BRUTOS'!$A$3:$A$500,$B31,'DADOS BRUTOS'!GG$3:GG$500)+IF($C31="",0,SUMIF('DADOS BRUTOS'!$A$3:$A$500,$C31,'DADOS BRUTOS'!GG$3:GG$500)))</f>
        <v>0</v>
      </c>
      <c r="JH31" s="133" t="n">
        <f aca="false">IF(OR(JH$4="",$B31=""),0,SUMIF('DADOS BRUTOS'!$A$3:$A$500,$B31,'DADOS BRUTOS'!GH$3:GH$500)+IF($C31="",0,SUMIF('DADOS BRUTOS'!$A$3:$A$500,$C31,'DADOS BRUTOS'!GH$3:GH$500)))</f>
        <v>0</v>
      </c>
      <c r="JI31" s="133" t="n">
        <f aca="false">IF(OR(JI$4="",$B31=""),0,SUMIF('DADOS BRUTOS'!$A$3:$A$500,$B31,'DADOS BRUTOS'!GI$3:GI$500)+IF($C31="",0,SUMIF('DADOS BRUTOS'!$A$3:$A$500,$C31,'DADOS BRUTOS'!GI$3:GI$500)))</f>
        <v>0</v>
      </c>
      <c r="JJ31" s="133" t="n">
        <f aca="false">IF(OR(JJ$4="",$B31=""),0,SUMIF('DADOS BRUTOS'!$A$3:$A$500,$B31,'DADOS BRUTOS'!GJ$3:GJ$500)+IF($C31="",0,SUMIF('DADOS BRUTOS'!$A$3:$A$500,$C31,'DADOS BRUTOS'!GJ$3:GJ$500)))</f>
        <v>0</v>
      </c>
      <c r="JK31" s="133" t="n">
        <f aca="false">IF(OR(JK$4="",$B31=""),0,SUMIF('DADOS BRUTOS'!$A$3:$A$500,$B31,'DADOS BRUTOS'!GK$3:GK$500)+IF($C31="",0,SUMIF('DADOS BRUTOS'!$A$3:$A$500,$C31,'DADOS BRUTOS'!GK$3:GK$500)))</f>
        <v>0</v>
      </c>
      <c r="JL31" s="133" t="n">
        <f aca="false">IF(OR(JL$4="",$B31=""),0,SUMIF('DADOS BRUTOS'!$A$3:$A$500,$B31,'DADOS BRUTOS'!GL$3:GL$500)+IF($C31="",0,SUMIF('DADOS BRUTOS'!$A$3:$A$500,$C31,'DADOS BRUTOS'!GL$3:GL$500)))</f>
        <v>0</v>
      </c>
      <c r="JM31" s="133" t="n">
        <f aca="false">IF(OR(JM$4="",$B31=""),0,SUMIF('DADOS BRUTOS'!$A$3:$A$500,$B31,'DADOS BRUTOS'!GM$3:GM$500)+IF($C31="",0,SUMIF('DADOS BRUTOS'!$A$3:$A$500,$C31,'DADOS BRUTOS'!GM$3:GM$500)))</f>
        <v>0</v>
      </c>
      <c r="JN31" s="133" t="n">
        <f aca="false">IF(OR(JN$4="",$B31=""),0,SUMIF('DADOS BRUTOS'!$A$3:$A$500,$B31,'DADOS BRUTOS'!GN$3:GN$500)+IF($C31="",0,SUMIF('DADOS BRUTOS'!$A$3:$A$500,$C31,'DADOS BRUTOS'!GN$3:GN$500)))</f>
        <v>0</v>
      </c>
      <c r="JO31" s="133" t="n">
        <f aca="false">IF(OR(JO$4="",$B31=""),0,SUMIF('DADOS BRUTOS'!$A$3:$A$500,$B31,'DADOS BRUTOS'!GO$3:GO$500)+IF($C31="",0,SUMIF('DADOS BRUTOS'!$A$3:$A$500,$C31,'DADOS BRUTOS'!GO$3:GO$500)))</f>
        <v>0</v>
      </c>
      <c r="JP31" s="133" t="n">
        <f aca="false">IF(OR(JP$4="",$B31=""),0,SUMIF('DADOS BRUTOS'!$A$3:$A$500,$B31,'DADOS BRUTOS'!GP$3:GP$500)+IF($C31="",0,SUMIF('DADOS BRUTOS'!$A$3:$A$500,$C31,'DADOS BRUTOS'!GP$3:GP$500)))</f>
        <v>0</v>
      </c>
      <c r="JQ31" s="133" t="n">
        <f aca="false">IF(OR(JQ$4="",$B31=""),0,SUMIF('DADOS BRUTOS'!$A$3:$A$500,$B31,'DADOS BRUTOS'!GQ$3:GQ$500)+IF($C31="",0,SUMIF('DADOS BRUTOS'!$A$3:$A$500,$C31,'DADOS BRUTOS'!GQ$3:GQ$500)))</f>
        <v>0</v>
      </c>
      <c r="JR31" s="133" t="n">
        <f aca="false">IF(OR(JR$4="",$B31=""),0,SUMIF('DADOS BRUTOS'!$A$3:$A$500,$B31,'DADOS BRUTOS'!GR$3:GR$500)+IF($C31="",0,SUMIF('DADOS BRUTOS'!$A$3:$A$500,$C31,'DADOS BRUTOS'!GR$3:GR$500)))</f>
        <v>0</v>
      </c>
      <c r="JS31" s="133" t="n">
        <f aca="false">IF(OR(JS$4="",$B31=""),0,SUMIF('DADOS BRUTOS'!$A$3:$A$500,$B31,'DADOS BRUTOS'!GS$3:GS$500)+IF($C31="",0,SUMIF('DADOS BRUTOS'!$A$3:$A$500,$C31,'DADOS BRUTOS'!GS$3:GS$500)))</f>
        <v>0</v>
      </c>
    </row>
    <row r="32" customFormat="false" ht="15" hidden="false" customHeight="false" outlineLevel="0" collapsed="false">
      <c r="A32" s="57" t="str">
        <f aca="false">'VALOR POR PL'!D38</f>
        <v>REVESTIMENTOS DE MASSA EM PISOS</v>
      </c>
      <c r="B32" s="55" t="s">
        <v>200</v>
      </c>
      <c r="C32" s="55"/>
      <c r="D32" s="50" t="n">
        <f aca="false">SUMIF($CB$4:$JS$4,"&lt;="&amp;D$4,$CB32:$JS32)</f>
        <v>0</v>
      </c>
      <c r="E32" s="50" t="n">
        <f aca="false">SUMIF($CB$4:$JS$4,E$4,$CB32:$JS32)</f>
        <v>0</v>
      </c>
      <c r="F32" s="50" t="n">
        <f aca="false">SUMIF($CB$4:$JS$4,F$4,$CB32:$JS32)</f>
        <v>0</v>
      </c>
      <c r="G32" s="50" t="n">
        <f aca="false">SUMIF($CB$4:$JS$4,G$4,$CB32:$JS32)</f>
        <v>0</v>
      </c>
      <c r="H32" s="50" t="n">
        <f aca="false">SUMIF($CB$4:$JS$4,H$4,$CB32:$JS32)</f>
        <v>0</v>
      </c>
      <c r="I32" s="50" t="n">
        <f aca="false">SUMIF($CB$4:$JS$4,I$4,$CB32:$JS32)</f>
        <v>0</v>
      </c>
      <c r="J32" s="50" t="n">
        <f aca="false">SUMIF($CB$4:$JS$4,J$4,$CB32:$JS32)</f>
        <v>0</v>
      </c>
      <c r="K32" s="50" t="n">
        <f aca="false">SUMIF($CB$4:$JS$4,K$4,$CB32:$JS32)</f>
        <v>0</v>
      </c>
      <c r="L32" s="50" t="n">
        <f aca="false">SUMIF($CB$4:$JS$4,L$4,$CB32:$JS32)</f>
        <v>0</v>
      </c>
      <c r="M32" s="50" t="n">
        <f aca="false">SUMIF($CB$4:$JS$4,M$4,$CB32:$JS32)</f>
        <v>0</v>
      </c>
      <c r="N32" s="50" t="n">
        <f aca="false">SUMIF($CB$4:$JS$4,N$4,$CB32:$JS32)</f>
        <v>0</v>
      </c>
      <c r="O32" s="50" t="n">
        <f aca="false">SUMIF($CB$4:$JS$4,O$4,$CB32:$JS32)</f>
        <v>0</v>
      </c>
      <c r="P32" s="50" t="n">
        <f aca="false">SUMIF($CB$4:$JS$4,P$4,$CB32:$JS32)</f>
        <v>0</v>
      </c>
      <c r="Q32" s="50" t="n">
        <f aca="false">SUMIF($CB$4:$JS$4,Q$4,$CB32:$JS32)</f>
        <v>0</v>
      </c>
      <c r="R32" s="50" t="n">
        <f aca="false">SUMIF($CB$4:$JS$4,R$4,$CB32:$JS32)</f>
        <v>0</v>
      </c>
      <c r="S32" s="50" t="n">
        <f aca="false">SUMIF($CB$4:$JS$4,S$4,$CB32:$JS32)</f>
        <v>0</v>
      </c>
      <c r="T32" s="50" t="n">
        <f aca="false">SUMIF($CB$4:$JS$4,T$4,$CB32:$JS32)</f>
        <v>0</v>
      </c>
      <c r="U32" s="50" t="n">
        <f aca="false">SUMIF($CB$4:$JS$4,U$4,$CB32:$JS32)</f>
        <v>0</v>
      </c>
      <c r="V32" s="50" t="n">
        <f aca="false">SUMIF($CB$4:$JS$4,V$4,$CB32:$JS32)</f>
        <v>0</v>
      </c>
      <c r="W32" s="50" t="n">
        <f aca="false">SUMIF($CB$4:$JS$4,W$4,$CB32:$JS32)</f>
        <v>0</v>
      </c>
      <c r="X32" s="50" t="n">
        <f aca="false">SUMIF($CB$4:$JS$4,X$4,$CB32:$JS32)</f>
        <v>0</v>
      </c>
      <c r="Y32" s="50" t="n">
        <f aca="false">SUMIF($CB$4:$JS$4,Y$4,$CB32:$JS32)</f>
        <v>0</v>
      </c>
      <c r="Z32" s="50" t="n">
        <f aca="false">SUMIF($CB$4:$JS$4,Z$4,$CB32:$JS32)</f>
        <v>0</v>
      </c>
      <c r="AA32" s="50" t="n">
        <f aca="false">SUMIF($CB$4:$JS$4,AA$4,$CB32:$JS32)</f>
        <v>0</v>
      </c>
      <c r="AB32" s="50" t="n">
        <f aca="false">SUMIF($CB$4:$JS$4,AB$4,$CB32:$JS32)</f>
        <v>0</v>
      </c>
      <c r="AC32" s="50" t="n">
        <f aca="false">SUMIF($CB$4:$JS$4,AC$4,$CB32:$JS32)</f>
        <v>0</v>
      </c>
      <c r="AD32" s="50" t="n">
        <f aca="false">SUMIF($CB$4:$JS$4,AD$4,$CB32:$JS32)</f>
        <v>0</v>
      </c>
      <c r="AE32" s="50" t="n">
        <f aca="false">SUMIF($CB$4:$JS$4,AE$4,$CB32:$JS32)</f>
        <v>0</v>
      </c>
      <c r="AF32" s="50" t="n">
        <f aca="false">SUMIF($CB$4:$JS$4,AF$4,$CB32:$JS32)</f>
        <v>0</v>
      </c>
      <c r="AG32" s="50" t="n">
        <f aca="false">SUMIF($CB$4:$JS$4,AG$4,$CB32:$JS32)</f>
        <v>0</v>
      </c>
      <c r="AH32" s="50" t="n">
        <f aca="false">SUMIF($CB$4:$JS$4,AH$4,$CB32:$JS32)</f>
        <v>0</v>
      </c>
      <c r="AI32" s="50" t="n">
        <f aca="false">SUMIF($CB$4:$JS$4,AI$4,$CB32:$JS32)</f>
        <v>0</v>
      </c>
      <c r="AJ32" s="50" t="n">
        <f aca="false">SUMIF($CB$4:$JS$4,AJ$4,$CB32:$JS32)</f>
        <v>0</v>
      </c>
      <c r="AK32" s="50" t="n">
        <f aca="false">SUMIF($CB$4:$JS$4,AK$4,$CB32:$JS32)</f>
        <v>0</v>
      </c>
      <c r="AL32" s="50" t="n">
        <f aca="false">SUMIF($CB$4:$JS$4,AL$4,$CB32:$JS32)</f>
        <v>0</v>
      </c>
      <c r="AM32" s="50" t="n">
        <f aca="false">SUMIF($CB$4:$JS$4,AM$4,$CB32:$JS32)</f>
        <v>0</v>
      </c>
      <c r="AN32" s="50" t="n">
        <f aca="false">SUMIF($CB$4:$JS$4,AN$4,$CB32:$JS32)</f>
        <v>0</v>
      </c>
      <c r="AO32" s="50" t="n">
        <f aca="false">SUMIF($CB$4:$JS$4,AO$4,$CB32:$JS32)</f>
        <v>0</v>
      </c>
      <c r="AP32" s="50" t="n">
        <f aca="false">SUMIF($CB$4:$JS$4,AP$4,$CB32:$JS32)</f>
        <v>0</v>
      </c>
      <c r="AQ32" s="50" t="n">
        <f aca="false">SUMIF($CB$4:$JS$4,AQ$4,$CB32:$JS32)</f>
        <v>0</v>
      </c>
      <c r="AR32" s="50" t="n">
        <f aca="false">SUMIF($CB$4:$JS$4,AR$4,$CB32:$JS32)</f>
        <v>0</v>
      </c>
      <c r="AS32" s="50" t="n">
        <f aca="false">SUMIF($CB$4:$JS$4,AS$4,$CB32:$JS32)</f>
        <v>0</v>
      </c>
      <c r="AT32" s="50" t="n">
        <f aca="false">SUMIF($CB$4:$JS$4,AT$4,$CB32:$JS32)</f>
        <v>0</v>
      </c>
      <c r="AU32" s="50" t="n">
        <f aca="false">SUMIF($CB$4:$JS$4,AU$4,$CB32:$JS32)</f>
        <v>0</v>
      </c>
      <c r="AV32" s="50" t="n">
        <f aca="false">SUMIF($CB$4:$JS$4,AV$4,$CB32:$JS32)</f>
        <v>0</v>
      </c>
      <c r="AW32" s="50" t="n">
        <f aca="false">SUMIF($CB$4:$JS$4,AW$4,$CB32:$JS32)</f>
        <v>0</v>
      </c>
      <c r="AX32" s="50" t="n">
        <f aca="false">SUMIF($CB$4:$JS$4,AX$4,$CB32:$JS32)</f>
        <v>0</v>
      </c>
      <c r="AY32" s="50" t="n">
        <f aca="false">SUMIF($CB$4:$JS$4,AY$4,$CB32:$JS32)</f>
        <v>0</v>
      </c>
      <c r="AZ32" s="50" t="n">
        <f aca="false">SUMIF($CB$4:$JS$4,AZ$4,$CB32:$JS32)</f>
        <v>0</v>
      </c>
      <c r="BA32" s="50" t="n">
        <f aca="false">SUMIF($CB$4:$JS$4,BA$4,$CB32:$JS32)</f>
        <v>0</v>
      </c>
      <c r="BB32" s="50" t="n">
        <f aca="false">SUMIF($CB$4:$JS$4,BB$4,$CB32:$JS32)</f>
        <v>0</v>
      </c>
      <c r="BC32" s="50" t="n">
        <f aca="false">SUMIF($CB$4:$JS$4,BC$4,$CB32:$JS32)</f>
        <v>0</v>
      </c>
      <c r="BD32" s="50" t="n">
        <f aca="false">SUMIF($CB$4:$JS$4,BD$4,$CB32:$JS32)</f>
        <v>0</v>
      </c>
      <c r="BE32" s="50" t="n">
        <f aca="false">SUMIF($CB$4:$JS$4,BE$4,$CB32:$JS32)</f>
        <v>0</v>
      </c>
      <c r="BF32" s="50" t="n">
        <f aca="false">SUMIF($CB$4:$JS$4,BF$4,$CB32:$JS32)</f>
        <v>0</v>
      </c>
      <c r="BG32" s="50" t="n">
        <f aca="false">SUMIF($CB$4:$JS$4,BG$4,$CB32:$JS32)</f>
        <v>0</v>
      </c>
      <c r="BH32" s="50" t="n">
        <f aca="false">SUMIF($CB$4:$JS$4,BH$4,$CB32:$JS32)</f>
        <v>0</v>
      </c>
      <c r="BI32" s="50" t="n">
        <f aca="false">SUMIF($CB$4:$JS$4,BI$4,$CB32:$JS32)</f>
        <v>0</v>
      </c>
      <c r="BJ32" s="50" t="n">
        <f aca="false">SUMIF($CB$4:$JS$4,BJ$4,$CB32:$JS32)</f>
        <v>0</v>
      </c>
      <c r="BK32" s="50" t="n">
        <f aca="false">SUMIF($CB$4:$JS$4,BK$4,$CB32:$JS32)</f>
        <v>0</v>
      </c>
      <c r="BL32" s="50" t="n">
        <f aca="false">SUMIF($CB$4:$JS$4,BL$4,$CB32:$JS32)</f>
        <v>0</v>
      </c>
      <c r="BM32" s="50" t="n">
        <f aca="false">SUMIF($CB$4:$JS$4,BM$4,$CB32:$JS32)</f>
        <v>0</v>
      </c>
      <c r="BN32" s="50" t="n">
        <f aca="false">SUMIF($CB$4:$JS$4,BN$4,$CB32:$JS32)</f>
        <v>0</v>
      </c>
      <c r="BO32" s="50" t="n">
        <f aca="false">SUMIF($CB$4:$JS$4,BO$4,$CB32:$JS32)</f>
        <v>0</v>
      </c>
      <c r="BP32" s="50" t="n">
        <f aca="false">SUMIF($CB$4:$JS$4,BP$4,$CB32:$JS32)</f>
        <v>0</v>
      </c>
      <c r="BQ32" s="50" t="n">
        <f aca="false">SUMIF($CB$4:$JS$4,BQ$4,$CB32:$JS32)</f>
        <v>0</v>
      </c>
      <c r="BR32" s="50" t="n">
        <f aca="false">SUMIF($CB$4:$JS$4,BR$4,$CB32:$JS32)</f>
        <v>0</v>
      </c>
      <c r="BS32" s="50" t="n">
        <f aca="false">SUMIF($CB$4:$JS$4,BS$4,$CB32:$JS32)</f>
        <v>0</v>
      </c>
      <c r="BT32" s="50" t="n">
        <f aca="false">SUMIF($CB$4:$JS$4,BT$4,$CB32:$JS32)</f>
        <v>0</v>
      </c>
      <c r="BU32" s="50" t="n">
        <f aca="false">SUMIF($CB$4:$JS$4,BU$4,$CB32:$JS32)</f>
        <v>0</v>
      </c>
      <c r="BV32" s="50" t="n">
        <f aca="false">SUMIF($CB$4:$JS$4,BV$4,$CB32:$JS32)</f>
        <v>0</v>
      </c>
      <c r="BW32" s="50" t="n">
        <f aca="false">SUMIF($CB$4:$JS$4,BW$4,$CB32:$JS32)</f>
        <v>0</v>
      </c>
      <c r="BX32" s="50" t="n">
        <f aca="false">SUMIF($CB$4:$JS$4,"&gt;"&amp;'VALOR POR PL'!$P$8,$CB32:$JS32)</f>
        <v>0</v>
      </c>
      <c r="BY32" s="50" t="n">
        <f aca="false">SUM($CB32:$JS32)</f>
        <v>0</v>
      </c>
      <c r="BZ32" s="45" t="n">
        <f aca="false">SUMPRODUCT(($CB$4:$JS$4&lt;&gt;"")*($CB$4:$JS$4&lt;=$D$4),$CB32:$JS32,$CB$1:$JS$1)</f>
        <v>0</v>
      </c>
      <c r="CB32" s="133" t="n">
        <f aca="false">IF(OR(CB$4="",$B32=""),0,SUMIF('DADOS BRUTOS'!$A$3:$A$500,$B32,'DADOS BRUTOS'!B$3:B$500)+IF($C32="",0,SUMIF('DADOS BRUTOS'!$A$3:$A$500,$C32,'DADOS BRUTOS'!B$3:B$500)))</f>
        <v>0</v>
      </c>
      <c r="CC32" s="133" t="n">
        <f aca="false">IF(OR(CC$4="",$B32=""),0,SUMIF('DADOS BRUTOS'!$A$3:$A$500,$B32,'DADOS BRUTOS'!C$3:C$500)+IF($C32="",0,SUMIF('DADOS BRUTOS'!$A$3:$A$500,$C32,'DADOS BRUTOS'!C$3:C$500)))</f>
        <v>0</v>
      </c>
      <c r="CD32" s="133" t="n">
        <f aca="false">IF(OR(CD$4="",$B32=""),0,SUMIF('DADOS BRUTOS'!$A$3:$A$500,$B32,'DADOS BRUTOS'!D$3:D$500)+IF($C32="",0,SUMIF('DADOS BRUTOS'!$A$3:$A$500,$C32,'DADOS BRUTOS'!D$3:D$500)))</f>
        <v>0</v>
      </c>
      <c r="CE32" s="133" t="n">
        <f aca="false">IF(OR(CE$4="",$B32=""),0,SUMIF('DADOS BRUTOS'!$A$3:$A$500,$B32,'DADOS BRUTOS'!E$3:E$500)+IF($C32="",0,SUMIF('DADOS BRUTOS'!$A$3:$A$500,$C32,'DADOS BRUTOS'!E$3:E$500)))</f>
        <v>0</v>
      </c>
      <c r="CF32" s="133" t="n">
        <f aca="false">IF(OR(CF$4="",$B32=""),0,SUMIF('DADOS BRUTOS'!$A$3:$A$500,$B32,'DADOS BRUTOS'!F$3:F$500)+IF($C32="",0,SUMIF('DADOS BRUTOS'!$A$3:$A$500,$C32,'DADOS BRUTOS'!F$3:F$500)))</f>
        <v>0</v>
      </c>
      <c r="CG32" s="133" t="n">
        <f aca="false">IF(OR(CG$4="",$B32=""),0,SUMIF('DADOS BRUTOS'!$A$3:$A$500,$B32,'DADOS BRUTOS'!G$3:G$500)+IF($C32="",0,SUMIF('DADOS BRUTOS'!$A$3:$A$500,$C32,'DADOS BRUTOS'!G$3:G$500)))</f>
        <v>0</v>
      </c>
      <c r="CH32" s="133" t="n">
        <f aca="false">IF(OR(CH$4="",$B32=""),0,SUMIF('DADOS BRUTOS'!$A$3:$A$500,$B32,'DADOS BRUTOS'!H$3:H$500)+IF($C32="",0,SUMIF('DADOS BRUTOS'!$A$3:$A$500,$C32,'DADOS BRUTOS'!H$3:H$500)))</f>
        <v>0</v>
      </c>
      <c r="CI32" s="133" t="n">
        <f aca="false">IF(OR(CI$4="",$B32=""),0,SUMIF('DADOS BRUTOS'!$A$3:$A$500,$B32,'DADOS BRUTOS'!I$3:I$500)+IF($C32="",0,SUMIF('DADOS BRUTOS'!$A$3:$A$500,$C32,'DADOS BRUTOS'!I$3:I$500)))</f>
        <v>0</v>
      </c>
      <c r="CJ32" s="133" t="n">
        <f aca="false">IF(OR(CJ$4="",$B32=""),0,SUMIF('DADOS BRUTOS'!$A$3:$A$500,$B32,'DADOS BRUTOS'!J$3:J$500)+IF($C32="",0,SUMIF('DADOS BRUTOS'!$A$3:$A$500,$C32,'DADOS BRUTOS'!J$3:J$500)))</f>
        <v>0</v>
      </c>
      <c r="CK32" s="133" t="n">
        <f aca="false">IF(OR(CK$4="",$B32=""),0,SUMIF('DADOS BRUTOS'!$A$3:$A$500,$B32,'DADOS BRUTOS'!K$3:K$500)+IF($C32="",0,SUMIF('DADOS BRUTOS'!$A$3:$A$500,$C32,'DADOS BRUTOS'!K$3:K$500)))</f>
        <v>0</v>
      </c>
      <c r="CL32" s="133" t="n">
        <f aca="false">IF(OR(CL$4="",$B32=""),0,SUMIF('DADOS BRUTOS'!$A$3:$A$500,$B32,'DADOS BRUTOS'!L$3:L$500)+IF($C32="",0,SUMIF('DADOS BRUTOS'!$A$3:$A$500,$C32,'DADOS BRUTOS'!L$3:L$500)))</f>
        <v>0</v>
      </c>
      <c r="CM32" s="133" t="n">
        <f aca="false">IF(OR(CM$4="",$B32=""),0,SUMIF('DADOS BRUTOS'!$A$3:$A$500,$B32,'DADOS BRUTOS'!M$3:M$500)+IF($C32="",0,SUMIF('DADOS BRUTOS'!$A$3:$A$500,$C32,'DADOS BRUTOS'!M$3:M$500)))</f>
        <v>0</v>
      </c>
      <c r="CN32" s="133" t="n">
        <f aca="false">IF(OR(CN$4="",$B32=""),0,SUMIF('DADOS BRUTOS'!$A$3:$A$500,$B32,'DADOS BRUTOS'!N$3:N$500)+IF($C32="",0,SUMIF('DADOS BRUTOS'!$A$3:$A$500,$C32,'DADOS BRUTOS'!N$3:N$500)))</f>
        <v>0</v>
      </c>
      <c r="CO32" s="133" t="n">
        <f aca="false">IF(OR(CO$4="",$B32=""),0,SUMIF('DADOS BRUTOS'!$A$3:$A$500,$B32,'DADOS BRUTOS'!O$3:O$500)+IF($C32="",0,SUMIF('DADOS BRUTOS'!$A$3:$A$500,$C32,'DADOS BRUTOS'!O$3:O$500)))</f>
        <v>0</v>
      </c>
      <c r="CP32" s="133" t="n">
        <f aca="false">IF(OR(CP$4="",$B32=""),0,SUMIF('DADOS BRUTOS'!$A$3:$A$500,$B32,'DADOS BRUTOS'!P$3:P$500)+IF($C32="",0,SUMIF('DADOS BRUTOS'!$A$3:$A$500,$C32,'DADOS BRUTOS'!P$3:P$500)))</f>
        <v>0</v>
      </c>
      <c r="CQ32" s="133" t="n">
        <f aca="false">IF(OR(CQ$4="",$B32=""),0,SUMIF('DADOS BRUTOS'!$A$3:$A$500,$B32,'DADOS BRUTOS'!Q$3:Q$500)+IF($C32="",0,SUMIF('DADOS BRUTOS'!$A$3:$A$500,$C32,'DADOS BRUTOS'!Q$3:Q$500)))</f>
        <v>0</v>
      </c>
      <c r="CR32" s="133" t="n">
        <f aca="false">IF(OR(CR$4="",$B32=""),0,SUMIF('DADOS BRUTOS'!$A$3:$A$500,$B32,'DADOS BRUTOS'!R$3:R$500)+IF($C32="",0,SUMIF('DADOS BRUTOS'!$A$3:$A$500,$C32,'DADOS BRUTOS'!R$3:R$500)))</f>
        <v>0</v>
      </c>
      <c r="CS32" s="133" t="n">
        <f aca="false">IF(OR(CS$4="",$B32=""),0,SUMIF('DADOS BRUTOS'!$A$3:$A$500,$B32,'DADOS BRUTOS'!S$3:S$500)+IF($C32="",0,SUMIF('DADOS BRUTOS'!$A$3:$A$500,$C32,'DADOS BRUTOS'!S$3:S$500)))</f>
        <v>0</v>
      </c>
      <c r="CT32" s="133" t="n">
        <f aca="false">IF(OR(CT$4="",$B32=""),0,SUMIF('DADOS BRUTOS'!$A$3:$A$500,$B32,'DADOS BRUTOS'!T$3:T$500)+IF($C32="",0,SUMIF('DADOS BRUTOS'!$A$3:$A$500,$C32,'DADOS BRUTOS'!T$3:T$500)))</f>
        <v>0</v>
      </c>
      <c r="CU32" s="133" t="n">
        <f aca="false">IF(OR(CU$4="",$B32=""),0,SUMIF('DADOS BRUTOS'!$A$3:$A$500,$B32,'DADOS BRUTOS'!U$3:U$500)+IF($C32="",0,SUMIF('DADOS BRUTOS'!$A$3:$A$500,$C32,'DADOS BRUTOS'!U$3:U$500)))</f>
        <v>0</v>
      </c>
      <c r="CV32" s="133" t="n">
        <f aca="false">IF(OR(CV$4="",$B32=""),0,SUMIF('DADOS BRUTOS'!$A$3:$A$500,$B32,'DADOS BRUTOS'!V$3:V$500)+IF($C32="",0,SUMIF('DADOS BRUTOS'!$A$3:$A$500,$C32,'DADOS BRUTOS'!V$3:V$500)))</f>
        <v>0</v>
      </c>
      <c r="CW32" s="133" t="n">
        <f aca="false">IF(OR(CW$4="",$B32=""),0,SUMIF('DADOS BRUTOS'!$A$3:$A$500,$B32,'DADOS BRUTOS'!W$3:W$500)+IF($C32="",0,SUMIF('DADOS BRUTOS'!$A$3:$A$500,$C32,'DADOS BRUTOS'!W$3:W$500)))</f>
        <v>0</v>
      </c>
      <c r="CX32" s="133" t="n">
        <f aca="false">IF(OR(CX$4="",$B32=""),0,SUMIF('DADOS BRUTOS'!$A$3:$A$500,$B32,'DADOS BRUTOS'!X$3:X$500)+IF($C32="",0,SUMIF('DADOS BRUTOS'!$A$3:$A$500,$C32,'DADOS BRUTOS'!X$3:X$500)))</f>
        <v>0</v>
      </c>
      <c r="CY32" s="133" t="n">
        <f aca="false">IF(OR(CY$4="",$B32=""),0,SUMIF('DADOS BRUTOS'!$A$3:$A$500,$B32,'DADOS BRUTOS'!Y$3:Y$500)+IF($C32="",0,SUMIF('DADOS BRUTOS'!$A$3:$A$500,$C32,'DADOS BRUTOS'!Y$3:Y$500)))</f>
        <v>0</v>
      </c>
      <c r="CZ32" s="133" t="n">
        <f aca="false">IF(OR(CZ$4="",$B32=""),0,SUMIF('DADOS BRUTOS'!$A$3:$A$500,$B32,'DADOS BRUTOS'!Z$3:Z$500)+IF($C32="",0,SUMIF('DADOS BRUTOS'!$A$3:$A$500,$C32,'DADOS BRUTOS'!Z$3:Z$500)))</f>
        <v>0</v>
      </c>
      <c r="DA32" s="133" t="n">
        <f aca="false">IF(OR(DA$4="",$B32=""),0,SUMIF('DADOS BRUTOS'!$A$3:$A$500,$B32,'DADOS BRUTOS'!AA$3:AA$500)+IF($C32="",0,SUMIF('DADOS BRUTOS'!$A$3:$A$500,$C32,'DADOS BRUTOS'!AA$3:AA$500)))</f>
        <v>0</v>
      </c>
      <c r="DB32" s="133" t="n">
        <f aca="false">IF(OR(DB$4="",$B32=""),0,SUMIF('DADOS BRUTOS'!$A$3:$A$500,$B32,'DADOS BRUTOS'!AB$3:AB$500)+IF($C32="",0,SUMIF('DADOS BRUTOS'!$A$3:$A$500,$C32,'DADOS BRUTOS'!AB$3:AB$500)))</f>
        <v>0</v>
      </c>
      <c r="DC32" s="133" t="n">
        <f aca="false">IF(OR(DC$4="",$B32=""),0,SUMIF('DADOS BRUTOS'!$A$3:$A$500,$B32,'DADOS BRUTOS'!AC$3:AC$500)+IF($C32="",0,SUMIF('DADOS BRUTOS'!$A$3:$A$500,$C32,'DADOS BRUTOS'!AC$3:AC$500)))</f>
        <v>0</v>
      </c>
      <c r="DD32" s="133" t="n">
        <f aca="false">IF(OR(DD$4="",$B32=""),0,SUMIF('DADOS BRUTOS'!$A$3:$A$500,$B32,'DADOS BRUTOS'!AD$3:AD$500)+IF($C32="",0,SUMIF('DADOS BRUTOS'!$A$3:$A$500,$C32,'DADOS BRUTOS'!AD$3:AD$500)))</f>
        <v>0</v>
      </c>
      <c r="DE32" s="133" t="n">
        <f aca="false">IF(OR(DE$4="",$B32=""),0,SUMIF('DADOS BRUTOS'!$A$3:$A$500,$B32,'DADOS BRUTOS'!AE$3:AE$500)+IF($C32="",0,SUMIF('DADOS BRUTOS'!$A$3:$A$500,$C32,'DADOS BRUTOS'!AE$3:AE$500)))</f>
        <v>0</v>
      </c>
      <c r="DF32" s="133" t="n">
        <f aca="false">IF(OR(DF$4="",$B32=""),0,SUMIF('DADOS BRUTOS'!$A$3:$A$500,$B32,'DADOS BRUTOS'!AF$3:AF$500)+IF($C32="",0,SUMIF('DADOS BRUTOS'!$A$3:$A$500,$C32,'DADOS BRUTOS'!AF$3:AF$500)))</f>
        <v>0</v>
      </c>
      <c r="DG32" s="133" t="n">
        <f aca="false">IF(OR(DG$4="",$B32=""),0,SUMIF('DADOS BRUTOS'!$A$3:$A$500,$B32,'DADOS BRUTOS'!AG$3:AG$500)+IF($C32="",0,SUMIF('DADOS BRUTOS'!$A$3:$A$500,$C32,'DADOS BRUTOS'!AG$3:AG$500)))</f>
        <v>0</v>
      </c>
      <c r="DH32" s="133" t="n">
        <f aca="false">IF(OR(DH$4="",$B32=""),0,SUMIF('DADOS BRUTOS'!$A$3:$A$500,$B32,'DADOS BRUTOS'!AH$3:AH$500)+IF($C32="",0,SUMIF('DADOS BRUTOS'!$A$3:$A$500,$C32,'DADOS BRUTOS'!AH$3:AH$500)))</f>
        <v>0</v>
      </c>
      <c r="DI32" s="133" t="n">
        <f aca="false">IF(OR(DI$4="",$B32=""),0,SUMIF('DADOS BRUTOS'!$A$3:$A$500,$B32,'DADOS BRUTOS'!AI$3:AI$500)+IF($C32="",0,SUMIF('DADOS BRUTOS'!$A$3:$A$500,$C32,'DADOS BRUTOS'!AI$3:AI$500)))</f>
        <v>0</v>
      </c>
      <c r="DJ32" s="133" t="n">
        <f aca="false">IF(OR(DJ$4="",$B32=""),0,SUMIF('DADOS BRUTOS'!$A$3:$A$500,$B32,'DADOS BRUTOS'!AJ$3:AJ$500)+IF($C32="",0,SUMIF('DADOS BRUTOS'!$A$3:$A$500,$C32,'DADOS BRUTOS'!AJ$3:AJ$500)))</f>
        <v>0</v>
      </c>
      <c r="DK32" s="133" t="n">
        <f aca="false">IF(OR(DK$4="",$B32=""),0,SUMIF('DADOS BRUTOS'!$A$3:$A$500,$B32,'DADOS BRUTOS'!AK$3:AK$500)+IF($C32="",0,SUMIF('DADOS BRUTOS'!$A$3:$A$500,$C32,'DADOS BRUTOS'!AK$3:AK$500)))</f>
        <v>0</v>
      </c>
      <c r="DL32" s="133" t="n">
        <f aca="false">IF(OR(DL$4="",$B32=""),0,SUMIF('DADOS BRUTOS'!$A$3:$A$500,$B32,'DADOS BRUTOS'!AL$3:AL$500)+IF($C32="",0,SUMIF('DADOS BRUTOS'!$A$3:$A$500,$C32,'DADOS BRUTOS'!AL$3:AL$500)))</f>
        <v>0</v>
      </c>
      <c r="DM32" s="133" t="n">
        <f aca="false">IF(OR(DM$4="",$B32=""),0,SUMIF('DADOS BRUTOS'!$A$3:$A$500,$B32,'DADOS BRUTOS'!AM$3:AM$500)+IF($C32="",0,SUMIF('DADOS BRUTOS'!$A$3:$A$500,$C32,'DADOS BRUTOS'!AM$3:AM$500)))</f>
        <v>0</v>
      </c>
      <c r="DN32" s="133" t="n">
        <f aca="false">IF(OR(DN$4="",$B32=""),0,SUMIF('DADOS BRUTOS'!$A$3:$A$500,$B32,'DADOS BRUTOS'!AN$3:AN$500)+IF($C32="",0,SUMIF('DADOS BRUTOS'!$A$3:$A$500,$C32,'DADOS BRUTOS'!AN$3:AN$500)))</f>
        <v>0</v>
      </c>
      <c r="DO32" s="133" t="n">
        <f aca="false">IF(OR(DO$4="",$B32=""),0,SUMIF('DADOS BRUTOS'!$A$3:$A$500,$B32,'DADOS BRUTOS'!AO$3:AO$500)+IF($C32="",0,SUMIF('DADOS BRUTOS'!$A$3:$A$500,$C32,'DADOS BRUTOS'!AO$3:AO$500)))</f>
        <v>0</v>
      </c>
      <c r="DP32" s="133" t="n">
        <f aca="false">IF(OR(DP$4="",$B32=""),0,SUMIF('DADOS BRUTOS'!$A$3:$A$500,$B32,'DADOS BRUTOS'!AP$3:AP$500)+IF($C32="",0,SUMIF('DADOS BRUTOS'!$A$3:$A$500,$C32,'DADOS BRUTOS'!AP$3:AP$500)))</f>
        <v>0</v>
      </c>
      <c r="DQ32" s="133" t="n">
        <f aca="false">IF(OR(DQ$4="",$B32=""),0,SUMIF('DADOS BRUTOS'!$A$3:$A$500,$B32,'DADOS BRUTOS'!AQ$3:AQ$500)+IF($C32="",0,SUMIF('DADOS BRUTOS'!$A$3:$A$500,$C32,'DADOS BRUTOS'!AQ$3:AQ$500)))</f>
        <v>0</v>
      </c>
      <c r="DR32" s="133" t="n">
        <f aca="false">IF(OR(DR$4="",$B32=""),0,SUMIF('DADOS BRUTOS'!$A$3:$A$500,$B32,'DADOS BRUTOS'!AR$3:AR$500)+IF($C32="",0,SUMIF('DADOS BRUTOS'!$A$3:$A$500,$C32,'DADOS BRUTOS'!AR$3:AR$500)))</f>
        <v>0</v>
      </c>
      <c r="DS32" s="133" t="n">
        <f aca="false">IF(OR(DS$4="",$B32=""),0,SUMIF('DADOS BRUTOS'!$A$3:$A$500,$B32,'DADOS BRUTOS'!AS$3:AS$500)+IF($C32="",0,SUMIF('DADOS BRUTOS'!$A$3:$A$500,$C32,'DADOS BRUTOS'!AS$3:AS$500)))</f>
        <v>0</v>
      </c>
      <c r="DT32" s="133" t="n">
        <f aca="false">IF(OR(DT$4="",$B32=""),0,SUMIF('DADOS BRUTOS'!$A$3:$A$500,$B32,'DADOS BRUTOS'!AT$3:AT$500)+IF($C32="",0,SUMIF('DADOS BRUTOS'!$A$3:$A$500,$C32,'DADOS BRUTOS'!AT$3:AT$500)))</f>
        <v>0</v>
      </c>
      <c r="DU32" s="133" t="n">
        <f aca="false">IF(OR(DU$4="",$B32=""),0,SUMIF('DADOS BRUTOS'!$A$3:$A$500,$B32,'DADOS BRUTOS'!AU$3:AU$500)+IF($C32="",0,SUMIF('DADOS BRUTOS'!$A$3:$A$500,$C32,'DADOS BRUTOS'!AU$3:AU$500)))</f>
        <v>0</v>
      </c>
      <c r="DV32" s="133" t="n">
        <f aca="false">IF(OR(DV$4="",$B32=""),0,SUMIF('DADOS BRUTOS'!$A$3:$A$500,$B32,'DADOS BRUTOS'!AV$3:AV$500)+IF($C32="",0,SUMIF('DADOS BRUTOS'!$A$3:$A$500,$C32,'DADOS BRUTOS'!AV$3:AV$500)))</f>
        <v>0</v>
      </c>
      <c r="DW32" s="133" t="n">
        <f aca="false">IF(OR(DW$4="",$B32=""),0,SUMIF('DADOS BRUTOS'!$A$3:$A$500,$B32,'DADOS BRUTOS'!AW$3:AW$500)+IF($C32="",0,SUMIF('DADOS BRUTOS'!$A$3:$A$500,$C32,'DADOS BRUTOS'!AW$3:AW$500)))</f>
        <v>0</v>
      </c>
      <c r="DX32" s="133" t="n">
        <f aca="false">IF(OR(DX$4="",$B32=""),0,SUMIF('DADOS BRUTOS'!$A$3:$A$500,$B32,'DADOS BRUTOS'!AX$3:AX$500)+IF($C32="",0,SUMIF('DADOS BRUTOS'!$A$3:$A$500,$C32,'DADOS BRUTOS'!AX$3:AX$500)))</f>
        <v>0</v>
      </c>
      <c r="DY32" s="133" t="n">
        <f aca="false">IF(OR(DY$4="",$B32=""),0,SUMIF('DADOS BRUTOS'!$A$3:$A$500,$B32,'DADOS BRUTOS'!AY$3:AY$500)+IF($C32="",0,SUMIF('DADOS BRUTOS'!$A$3:$A$500,$C32,'DADOS BRUTOS'!AY$3:AY$500)))</f>
        <v>0</v>
      </c>
      <c r="DZ32" s="133" t="n">
        <f aca="false">IF(OR(DZ$4="",$B32=""),0,SUMIF('DADOS BRUTOS'!$A$3:$A$500,$B32,'DADOS BRUTOS'!AZ$3:AZ$500)+IF($C32="",0,SUMIF('DADOS BRUTOS'!$A$3:$A$500,$C32,'DADOS BRUTOS'!AZ$3:AZ$500)))</f>
        <v>0</v>
      </c>
      <c r="EA32" s="133" t="n">
        <f aca="false">IF(OR(EA$4="",$B32=""),0,SUMIF('DADOS BRUTOS'!$A$3:$A$500,$B32,'DADOS BRUTOS'!BA$3:BA$500)+IF($C32="",0,SUMIF('DADOS BRUTOS'!$A$3:$A$500,$C32,'DADOS BRUTOS'!BA$3:BA$500)))</f>
        <v>0</v>
      </c>
      <c r="EB32" s="133" t="n">
        <f aca="false">IF(OR(EB$4="",$B32=""),0,SUMIF('DADOS BRUTOS'!$A$3:$A$500,$B32,'DADOS BRUTOS'!BB$3:BB$500)+IF($C32="",0,SUMIF('DADOS BRUTOS'!$A$3:$A$500,$C32,'DADOS BRUTOS'!BB$3:BB$500)))</f>
        <v>0</v>
      </c>
      <c r="EC32" s="133" t="n">
        <f aca="false">IF(OR(EC$4="",$B32=""),0,SUMIF('DADOS BRUTOS'!$A$3:$A$500,$B32,'DADOS BRUTOS'!BC$3:BC$500)+IF($C32="",0,SUMIF('DADOS BRUTOS'!$A$3:$A$500,$C32,'DADOS BRUTOS'!BC$3:BC$500)))</f>
        <v>0</v>
      </c>
      <c r="ED32" s="133" t="n">
        <f aca="false">IF(OR(ED$4="",$B32=""),0,SUMIF('DADOS BRUTOS'!$A$3:$A$500,$B32,'DADOS BRUTOS'!BD$3:BD$500)+IF($C32="",0,SUMIF('DADOS BRUTOS'!$A$3:$A$500,$C32,'DADOS BRUTOS'!BD$3:BD$500)))</f>
        <v>0</v>
      </c>
      <c r="EE32" s="133" t="n">
        <f aca="false">IF(OR(EE$4="",$B32=""),0,SUMIF('DADOS BRUTOS'!$A$3:$A$500,$B32,'DADOS BRUTOS'!BE$3:BE$500)+IF($C32="",0,SUMIF('DADOS BRUTOS'!$A$3:$A$500,$C32,'DADOS BRUTOS'!BE$3:BE$500)))</f>
        <v>0</v>
      </c>
      <c r="EF32" s="133" t="n">
        <f aca="false">IF(OR(EF$4="",$B32=""),0,SUMIF('DADOS BRUTOS'!$A$3:$A$500,$B32,'DADOS BRUTOS'!BF$3:BF$500)+IF($C32="",0,SUMIF('DADOS BRUTOS'!$A$3:$A$500,$C32,'DADOS BRUTOS'!BF$3:BF$500)))</f>
        <v>0</v>
      </c>
      <c r="EG32" s="133" t="n">
        <f aca="false">IF(OR(EG$4="",$B32=""),0,SUMIF('DADOS BRUTOS'!$A$3:$A$500,$B32,'DADOS BRUTOS'!BG$3:BG$500)+IF($C32="",0,SUMIF('DADOS BRUTOS'!$A$3:$A$500,$C32,'DADOS BRUTOS'!BG$3:BG$500)))</f>
        <v>0</v>
      </c>
      <c r="EH32" s="133" t="n">
        <f aca="false">IF(OR(EH$4="",$B32=""),0,SUMIF('DADOS BRUTOS'!$A$3:$A$500,$B32,'DADOS BRUTOS'!BH$3:BH$500)+IF($C32="",0,SUMIF('DADOS BRUTOS'!$A$3:$A$500,$C32,'DADOS BRUTOS'!BH$3:BH$500)))</f>
        <v>0</v>
      </c>
      <c r="EI32" s="133" t="n">
        <f aca="false">IF(OR(EI$4="",$B32=""),0,SUMIF('DADOS BRUTOS'!$A$3:$A$500,$B32,'DADOS BRUTOS'!BI$3:BI$500)+IF($C32="",0,SUMIF('DADOS BRUTOS'!$A$3:$A$500,$C32,'DADOS BRUTOS'!BI$3:BI$500)))</f>
        <v>0</v>
      </c>
      <c r="EJ32" s="133" t="n">
        <f aca="false">IF(OR(EJ$4="",$B32=""),0,SUMIF('DADOS BRUTOS'!$A$3:$A$500,$B32,'DADOS BRUTOS'!BJ$3:BJ$500)+IF($C32="",0,SUMIF('DADOS BRUTOS'!$A$3:$A$500,$C32,'DADOS BRUTOS'!BJ$3:BJ$500)))</f>
        <v>0</v>
      </c>
      <c r="EK32" s="133" t="n">
        <f aca="false">IF(OR(EK$4="",$B32=""),0,SUMIF('DADOS BRUTOS'!$A$3:$A$500,$B32,'DADOS BRUTOS'!BK$3:BK$500)+IF($C32="",0,SUMIF('DADOS BRUTOS'!$A$3:$A$500,$C32,'DADOS BRUTOS'!BK$3:BK$500)))</f>
        <v>0</v>
      </c>
      <c r="EL32" s="133" t="n">
        <f aca="false">IF(OR(EL$4="",$B32=""),0,SUMIF('DADOS BRUTOS'!$A$3:$A$500,$B32,'DADOS BRUTOS'!BL$3:BL$500)+IF($C32="",0,SUMIF('DADOS BRUTOS'!$A$3:$A$500,$C32,'DADOS BRUTOS'!BL$3:BL$500)))</f>
        <v>0</v>
      </c>
      <c r="EM32" s="133" t="n">
        <f aca="false">IF(OR(EM$4="",$B32=""),0,SUMIF('DADOS BRUTOS'!$A$3:$A$500,$B32,'DADOS BRUTOS'!BM$3:BM$500)+IF($C32="",0,SUMIF('DADOS BRUTOS'!$A$3:$A$500,$C32,'DADOS BRUTOS'!BM$3:BM$500)))</f>
        <v>0</v>
      </c>
      <c r="EN32" s="133" t="n">
        <f aca="false">IF(OR(EN$4="",$B32=""),0,SUMIF('DADOS BRUTOS'!$A$3:$A$500,$B32,'DADOS BRUTOS'!BN$3:BN$500)+IF($C32="",0,SUMIF('DADOS BRUTOS'!$A$3:$A$500,$C32,'DADOS BRUTOS'!BN$3:BN$500)))</f>
        <v>0</v>
      </c>
      <c r="EO32" s="133" t="n">
        <f aca="false">IF(OR(EO$4="",$B32=""),0,SUMIF('DADOS BRUTOS'!$A$3:$A$500,$B32,'DADOS BRUTOS'!BO$3:BO$500)+IF($C32="",0,SUMIF('DADOS BRUTOS'!$A$3:$A$500,$C32,'DADOS BRUTOS'!BO$3:BO$500)))</f>
        <v>0</v>
      </c>
      <c r="EP32" s="133" t="n">
        <f aca="false">IF(OR(EP$4="",$B32=""),0,SUMIF('DADOS BRUTOS'!$A$3:$A$500,$B32,'DADOS BRUTOS'!BP$3:BP$500)+IF($C32="",0,SUMIF('DADOS BRUTOS'!$A$3:$A$500,$C32,'DADOS BRUTOS'!BP$3:BP$500)))</f>
        <v>0</v>
      </c>
      <c r="EQ32" s="133" t="n">
        <f aca="false">IF(OR(EQ$4="",$B32=""),0,SUMIF('DADOS BRUTOS'!$A$3:$A$500,$B32,'DADOS BRUTOS'!BQ$3:BQ$500)+IF($C32="",0,SUMIF('DADOS BRUTOS'!$A$3:$A$500,$C32,'DADOS BRUTOS'!BQ$3:BQ$500)))</f>
        <v>0</v>
      </c>
      <c r="ER32" s="133" t="n">
        <f aca="false">IF(OR(ER$4="",$B32=""),0,SUMIF('DADOS BRUTOS'!$A$3:$A$500,$B32,'DADOS BRUTOS'!BR$3:BR$500)+IF($C32="",0,SUMIF('DADOS BRUTOS'!$A$3:$A$500,$C32,'DADOS BRUTOS'!BR$3:BR$500)))</f>
        <v>0</v>
      </c>
      <c r="ES32" s="133" t="n">
        <f aca="false">IF(OR(ES$4="",$B32=""),0,SUMIF('DADOS BRUTOS'!$A$3:$A$500,$B32,'DADOS BRUTOS'!BS$3:BS$500)+IF($C32="",0,SUMIF('DADOS BRUTOS'!$A$3:$A$500,$C32,'DADOS BRUTOS'!BS$3:BS$500)))</f>
        <v>0</v>
      </c>
      <c r="ET32" s="133" t="n">
        <f aca="false">IF(OR(ET$4="",$B32=""),0,SUMIF('DADOS BRUTOS'!$A$3:$A$500,$B32,'DADOS BRUTOS'!BT$3:BT$500)+IF($C32="",0,SUMIF('DADOS BRUTOS'!$A$3:$A$500,$C32,'DADOS BRUTOS'!BT$3:BT$500)))</f>
        <v>0</v>
      </c>
      <c r="EU32" s="133" t="n">
        <f aca="false">IF(OR(EU$4="",$B32=""),0,SUMIF('DADOS BRUTOS'!$A$3:$A$500,$B32,'DADOS BRUTOS'!BU$3:BU$500)+IF($C32="",0,SUMIF('DADOS BRUTOS'!$A$3:$A$500,$C32,'DADOS BRUTOS'!BU$3:BU$500)))</f>
        <v>0</v>
      </c>
      <c r="EV32" s="133" t="n">
        <f aca="false">IF(OR(EV$4="",$B32=""),0,SUMIF('DADOS BRUTOS'!$A$3:$A$500,$B32,'DADOS BRUTOS'!BV$3:BV$500)+IF($C32="",0,SUMIF('DADOS BRUTOS'!$A$3:$A$500,$C32,'DADOS BRUTOS'!BV$3:BV$500)))</f>
        <v>0</v>
      </c>
      <c r="EW32" s="133" t="n">
        <f aca="false">IF(OR(EW$4="",$B32=""),0,SUMIF('DADOS BRUTOS'!$A$3:$A$500,$B32,'DADOS BRUTOS'!BW$3:BW$500)+IF($C32="",0,SUMIF('DADOS BRUTOS'!$A$3:$A$500,$C32,'DADOS BRUTOS'!BW$3:BW$500)))</f>
        <v>0</v>
      </c>
      <c r="EX32" s="133" t="n">
        <f aca="false">IF(OR(EX$4="",$B32=""),0,SUMIF('DADOS BRUTOS'!$A$3:$A$500,$B32,'DADOS BRUTOS'!BX$3:BX$500)+IF($C32="",0,SUMIF('DADOS BRUTOS'!$A$3:$A$500,$C32,'DADOS BRUTOS'!BX$3:BX$500)))</f>
        <v>0</v>
      </c>
      <c r="EY32" s="133" t="n">
        <f aca="false">IF(OR(EY$4="",$B32=""),0,SUMIF('DADOS BRUTOS'!$A$3:$A$500,$B32,'DADOS BRUTOS'!BY$3:BY$500)+IF($C32="",0,SUMIF('DADOS BRUTOS'!$A$3:$A$500,$C32,'DADOS BRUTOS'!BY$3:BY$500)))</f>
        <v>0</v>
      </c>
      <c r="EZ32" s="133" t="n">
        <f aca="false">IF(OR(EZ$4="",$B32=""),0,SUMIF('DADOS BRUTOS'!$A$3:$A$500,$B32,'DADOS BRUTOS'!BZ$3:BZ$500)+IF($C32="",0,SUMIF('DADOS BRUTOS'!$A$3:$A$500,$C32,'DADOS BRUTOS'!BZ$3:BZ$500)))</f>
        <v>0</v>
      </c>
      <c r="FA32" s="133" t="n">
        <f aca="false">IF(OR(FA$4="",$B32=""),0,SUMIF('DADOS BRUTOS'!$A$3:$A$500,$B32,'DADOS BRUTOS'!CA$3:CA$500)+IF($C32="",0,SUMIF('DADOS BRUTOS'!$A$3:$A$500,$C32,'DADOS BRUTOS'!CA$3:CA$500)))</f>
        <v>0</v>
      </c>
      <c r="FB32" s="133" t="n">
        <f aca="false">IF(OR(FB$4="",$B32=""),0,SUMIF('DADOS BRUTOS'!$A$3:$A$500,$B32,'DADOS BRUTOS'!CB$3:CB$500)+IF($C32="",0,SUMIF('DADOS BRUTOS'!$A$3:$A$500,$C32,'DADOS BRUTOS'!CB$3:CB$500)))</f>
        <v>0</v>
      </c>
      <c r="FC32" s="133" t="n">
        <f aca="false">IF(OR(FC$4="",$B32=""),0,SUMIF('DADOS BRUTOS'!$A$3:$A$500,$B32,'DADOS BRUTOS'!CC$3:CC$500)+IF($C32="",0,SUMIF('DADOS BRUTOS'!$A$3:$A$500,$C32,'DADOS BRUTOS'!CC$3:CC$500)))</f>
        <v>0</v>
      </c>
      <c r="FD32" s="133" t="n">
        <f aca="false">IF(OR(FD$4="",$B32=""),0,SUMIF('DADOS BRUTOS'!$A$3:$A$500,$B32,'DADOS BRUTOS'!CD$3:CD$500)+IF($C32="",0,SUMIF('DADOS BRUTOS'!$A$3:$A$500,$C32,'DADOS BRUTOS'!CD$3:CD$500)))</f>
        <v>0</v>
      </c>
      <c r="FE32" s="133" t="n">
        <f aca="false">IF(OR(FE$4="",$B32=""),0,SUMIF('DADOS BRUTOS'!$A$3:$A$500,$B32,'DADOS BRUTOS'!CE$3:CE$500)+IF($C32="",0,SUMIF('DADOS BRUTOS'!$A$3:$A$500,$C32,'DADOS BRUTOS'!CE$3:CE$500)))</f>
        <v>0</v>
      </c>
      <c r="FF32" s="133" t="n">
        <f aca="false">IF(OR(FF$4="",$B32=""),0,SUMIF('DADOS BRUTOS'!$A$3:$A$500,$B32,'DADOS BRUTOS'!CF$3:CF$500)+IF($C32="",0,SUMIF('DADOS BRUTOS'!$A$3:$A$500,$C32,'DADOS BRUTOS'!CF$3:CF$500)))</f>
        <v>0</v>
      </c>
      <c r="FG32" s="133" t="n">
        <f aca="false">IF(OR(FG$4="",$B32=""),0,SUMIF('DADOS BRUTOS'!$A$3:$A$500,$B32,'DADOS BRUTOS'!CG$3:CG$500)+IF($C32="",0,SUMIF('DADOS BRUTOS'!$A$3:$A$500,$C32,'DADOS BRUTOS'!CG$3:CG$500)))</f>
        <v>0</v>
      </c>
      <c r="FH32" s="133" t="n">
        <f aca="false">IF(OR(FH$4="",$B32=""),0,SUMIF('DADOS BRUTOS'!$A$3:$A$500,$B32,'DADOS BRUTOS'!CH$3:CH$500)+IF($C32="",0,SUMIF('DADOS BRUTOS'!$A$3:$A$500,$C32,'DADOS BRUTOS'!CH$3:CH$500)))</f>
        <v>0</v>
      </c>
      <c r="FI32" s="133" t="n">
        <f aca="false">IF(OR(FI$4="",$B32=""),0,SUMIF('DADOS BRUTOS'!$A$3:$A$500,$B32,'DADOS BRUTOS'!CI$3:CI$500)+IF($C32="",0,SUMIF('DADOS BRUTOS'!$A$3:$A$500,$C32,'DADOS BRUTOS'!CI$3:CI$500)))</f>
        <v>0</v>
      </c>
      <c r="FJ32" s="133" t="n">
        <f aca="false">IF(OR(FJ$4="",$B32=""),0,SUMIF('DADOS BRUTOS'!$A$3:$A$500,$B32,'DADOS BRUTOS'!CJ$3:CJ$500)+IF($C32="",0,SUMIF('DADOS BRUTOS'!$A$3:$A$500,$C32,'DADOS BRUTOS'!CJ$3:CJ$500)))</f>
        <v>0</v>
      </c>
      <c r="FK32" s="133" t="n">
        <f aca="false">IF(OR(FK$4="",$B32=""),0,SUMIF('DADOS BRUTOS'!$A$3:$A$500,$B32,'DADOS BRUTOS'!CK$3:CK$500)+IF($C32="",0,SUMIF('DADOS BRUTOS'!$A$3:$A$500,$C32,'DADOS BRUTOS'!CK$3:CK$500)))</f>
        <v>0</v>
      </c>
      <c r="FL32" s="133" t="n">
        <f aca="false">IF(OR(FL$4="",$B32=""),0,SUMIF('DADOS BRUTOS'!$A$3:$A$500,$B32,'DADOS BRUTOS'!CL$3:CL$500)+IF($C32="",0,SUMIF('DADOS BRUTOS'!$A$3:$A$500,$C32,'DADOS BRUTOS'!CL$3:CL$500)))</f>
        <v>0</v>
      </c>
      <c r="FM32" s="133" t="n">
        <f aca="false">IF(OR(FM$4="",$B32=""),0,SUMIF('DADOS BRUTOS'!$A$3:$A$500,$B32,'DADOS BRUTOS'!CM$3:CM$500)+IF($C32="",0,SUMIF('DADOS BRUTOS'!$A$3:$A$500,$C32,'DADOS BRUTOS'!CM$3:CM$500)))</f>
        <v>0</v>
      </c>
      <c r="FN32" s="133" t="n">
        <f aca="false">IF(OR(FN$4="",$B32=""),0,SUMIF('DADOS BRUTOS'!$A$3:$A$500,$B32,'DADOS BRUTOS'!CN$3:CN$500)+IF($C32="",0,SUMIF('DADOS BRUTOS'!$A$3:$A$500,$C32,'DADOS BRUTOS'!CN$3:CN$500)))</f>
        <v>0</v>
      </c>
      <c r="FO32" s="133" t="n">
        <f aca="false">IF(OR(FO$4="",$B32=""),0,SUMIF('DADOS BRUTOS'!$A$3:$A$500,$B32,'DADOS BRUTOS'!CO$3:CO$500)+IF($C32="",0,SUMIF('DADOS BRUTOS'!$A$3:$A$500,$C32,'DADOS BRUTOS'!CO$3:CO$500)))</f>
        <v>0</v>
      </c>
      <c r="FP32" s="133" t="n">
        <f aca="false">IF(OR(FP$4="",$B32=""),0,SUMIF('DADOS BRUTOS'!$A$3:$A$500,$B32,'DADOS BRUTOS'!CP$3:CP$500)+IF($C32="",0,SUMIF('DADOS BRUTOS'!$A$3:$A$500,$C32,'DADOS BRUTOS'!CP$3:CP$500)))</f>
        <v>0</v>
      </c>
      <c r="FQ32" s="133" t="n">
        <f aca="false">IF(OR(FQ$4="",$B32=""),0,SUMIF('DADOS BRUTOS'!$A$3:$A$500,$B32,'DADOS BRUTOS'!CQ$3:CQ$500)+IF($C32="",0,SUMIF('DADOS BRUTOS'!$A$3:$A$500,$C32,'DADOS BRUTOS'!CQ$3:CQ$500)))</f>
        <v>0</v>
      </c>
      <c r="FR32" s="133" t="n">
        <f aca="false">IF(OR(FR$4="",$B32=""),0,SUMIF('DADOS BRUTOS'!$A$3:$A$500,$B32,'DADOS BRUTOS'!CR$3:CR$500)+IF($C32="",0,SUMIF('DADOS BRUTOS'!$A$3:$A$500,$C32,'DADOS BRUTOS'!CR$3:CR$500)))</f>
        <v>0</v>
      </c>
      <c r="FS32" s="133" t="n">
        <f aca="false">IF(OR(FS$4="",$B32=""),0,SUMIF('DADOS BRUTOS'!$A$3:$A$500,$B32,'DADOS BRUTOS'!CS$3:CS$500)+IF($C32="",0,SUMIF('DADOS BRUTOS'!$A$3:$A$500,$C32,'DADOS BRUTOS'!CS$3:CS$500)))</f>
        <v>0</v>
      </c>
      <c r="FT32" s="133" t="n">
        <f aca="false">IF(OR(FT$4="",$B32=""),0,SUMIF('DADOS BRUTOS'!$A$3:$A$500,$B32,'DADOS BRUTOS'!CT$3:CT$500)+IF($C32="",0,SUMIF('DADOS BRUTOS'!$A$3:$A$500,$C32,'DADOS BRUTOS'!CT$3:CT$500)))</f>
        <v>0</v>
      </c>
      <c r="FU32" s="133" t="n">
        <f aca="false">IF(OR(FU$4="",$B32=""),0,SUMIF('DADOS BRUTOS'!$A$3:$A$500,$B32,'DADOS BRUTOS'!CU$3:CU$500)+IF($C32="",0,SUMIF('DADOS BRUTOS'!$A$3:$A$500,$C32,'DADOS BRUTOS'!CU$3:CU$500)))</f>
        <v>0</v>
      </c>
      <c r="FV32" s="133" t="n">
        <f aca="false">IF(OR(FV$4="",$B32=""),0,SUMIF('DADOS BRUTOS'!$A$3:$A$500,$B32,'DADOS BRUTOS'!CV$3:CV$500)+IF($C32="",0,SUMIF('DADOS BRUTOS'!$A$3:$A$500,$C32,'DADOS BRUTOS'!CV$3:CV$500)))</f>
        <v>0</v>
      </c>
      <c r="FW32" s="133" t="n">
        <f aca="false">IF(OR(FW$4="",$B32=""),0,SUMIF('DADOS BRUTOS'!$A$3:$A$500,$B32,'DADOS BRUTOS'!CW$3:CW$500)+IF($C32="",0,SUMIF('DADOS BRUTOS'!$A$3:$A$500,$C32,'DADOS BRUTOS'!CW$3:CW$500)))</f>
        <v>0</v>
      </c>
      <c r="FX32" s="133" t="n">
        <f aca="false">IF(OR(FX$4="",$B32=""),0,SUMIF('DADOS BRUTOS'!$A$3:$A$500,$B32,'DADOS BRUTOS'!CX$3:CX$500)+IF($C32="",0,SUMIF('DADOS BRUTOS'!$A$3:$A$500,$C32,'DADOS BRUTOS'!CX$3:CX$500)))</f>
        <v>0</v>
      </c>
      <c r="FY32" s="133" t="n">
        <f aca="false">IF(OR(FY$4="",$B32=""),0,SUMIF('DADOS BRUTOS'!$A$3:$A$500,$B32,'DADOS BRUTOS'!CY$3:CY$500)+IF($C32="",0,SUMIF('DADOS BRUTOS'!$A$3:$A$500,$C32,'DADOS BRUTOS'!CY$3:CY$500)))</f>
        <v>0</v>
      </c>
      <c r="FZ32" s="133" t="n">
        <f aca="false">IF(OR(FZ$4="",$B32=""),0,SUMIF('DADOS BRUTOS'!$A$3:$A$500,$B32,'DADOS BRUTOS'!CZ$3:CZ$500)+IF($C32="",0,SUMIF('DADOS BRUTOS'!$A$3:$A$500,$C32,'DADOS BRUTOS'!CZ$3:CZ$500)))</f>
        <v>0</v>
      </c>
      <c r="GA32" s="133" t="n">
        <f aca="false">IF(OR(GA$4="",$B32=""),0,SUMIF('DADOS BRUTOS'!$A$3:$A$500,$B32,'DADOS BRUTOS'!DA$3:DA$500)+IF($C32="",0,SUMIF('DADOS BRUTOS'!$A$3:$A$500,$C32,'DADOS BRUTOS'!DA$3:DA$500)))</f>
        <v>0</v>
      </c>
      <c r="GB32" s="133" t="n">
        <f aca="false">IF(OR(GB$4="",$B32=""),0,SUMIF('DADOS BRUTOS'!$A$3:$A$500,$B32,'DADOS BRUTOS'!DB$3:DB$500)+IF($C32="",0,SUMIF('DADOS BRUTOS'!$A$3:$A$500,$C32,'DADOS BRUTOS'!DB$3:DB$500)))</f>
        <v>0</v>
      </c>
      <c r="GC32" s="133" t="n">
        <f aca="false">IF(OR(GC$4="",$B32=""),0,SUMIF('DADOS BRUTOS'!$A$3:$A$500,$B32,'DADOS BRUTOS'!DC$3:DC$500)+IF($C32="",0,SUMIF('DADOS BRUTOS'!$A$3:$A$500,$C32,'DADOS BRUTOS'!DC$3:DC$500)))</f>
        <v>0</v>
      </c>
      <c r="GD32" s="133" t="n">
        <f aca="false">IF(OR(GD$4="",$B32=""),0,SUMIF('DADOS BRUTOS'!$A$3:$A$500,$B32,'DADOS BRUTOS'!DD$3:DD$500)+IF($C32="",0,SUMIF('DADOS BRUTOS'!$A$3:$A$500,$C32,'DADOS BRUTOS'!DD$3:DD$500)))</f>
        <v>0</v>
      </c>
      <c r="GE32" s="133" t="n">
        <f aca="false">IF(OR(GE$4="",$B32=""),0,SUMIF('DADOS BRUTOS'!$A$3:$A$500,$B32,'DADOS BRUTOS'!DE$3:DE$500)+IF($C32="",0,SUMIF('DADOS BRUTOS'!$A$3:$A$500,$C32,'DADOS BRUTOS'!DE$3:DE$500)))</f>
        <v>0</v>
      </c>
      <c r="GF32" s="133" t="n">
        <f aca="false">IF(OR(GF$4="",$B32=""),0,SUMIF('DADOS BRUTOS'!$A$3:$A$500,$B32,'DADOS BRUTOS'!DF$3:DF$500)+IF($C32="",0,SUMIF('DADOS BRUTOS'!$A$3:$A$500,$C32,'DADOS BRUTOS'!DF$3:DF$500)))</f>
        <v>0</v>
      </c>
      <c r="GG32" s="133" t="n">
        <f aca="false">IF(OR(GG$4="",$B32=""),0,SUMIF('DADOS BRUTOS'!$A$3:$A$500,$B32,'DADOS BRUTOS'!DG$3:DG$500)+IF($C32="",0,SUMIF('DADOS BRUTOS'!$A$3:$A$500,$C32,'DADOS BRUTOS'!DG$3:DG$500)))</f>
        <v>0</v>
      </c>
      <c r="GH32" s="133" t="n">
        <f aca="false">IF(OR(GH$4="",$B32=""),0,SUMIF('DADOS BRUTOS'!$A$3:$A$500,$B32,'DADOS BRUTOS'!DH$3:DH$500)+IF($C32="",0,SUMIF('DADOS BRUTOS'!$A$3:$A$500,$C32,'DADOS BRUTOS'!DH$3:DH$500)))</f>
        <v>0</v>
      </c>
      <c r="GI32" s="133" t="n">
        <f aca="false">IF(OR(GI$4="",$B32=""),0,SUMIF('DADOS BRUTOS'!$A$3:$A$500,$B32,'DADOS BRUTOS'!DI$3:DI$500)+IF($C32="",0,SUMIF('DADOS BRUTOS'!$A$3:$A$500,$C32,'DADOS BRUTOS'!DI$3:DI$500)))</f>
        <v>0</v>
      </c>
      <c r="GJ32" s="133" t="n">
        <f aca="false">IF(OR(GJ$4="",$B32=""),0,SUMIF('DADOS BRUTOS'!$A$3:$A$500,$B32,'DADOS BRUTOS'!DJ$3:DJ$500)+IF($C32="",0,SUMIF('DADOS BRUTOS'!$A$3:$A$500,$C32,'DADOS BRUTOS'!DJ$3:DJ$500)))</f>
        <v>0</v>
      </c>
      <c r="GK32" s="133" t="n">
        <f aca="false">IF(OR(GK$4="",$B32=""),0,SUMIF('DADOS BRUTOS'!$A$3:$A$500,$B32,'DADOS BRUTOS'!DK$3:DK$500)+IF($C32="",0,SUMIF('DADOS BRUTOS'!$A$3:$A$500,$C32,'DADOS BRUTOS'!DK$3:DK$500)))</f>
        <v>0</v>
      </c>
      <c r="GL32" s="133" t="n">
        <f aca="false">IF(OR(GL$4="",$B32=""),0,SUMIF('DADOS BRUTOS'!$A$3:$A$500,$B32,'DADOS BRUTOS'!DL$3:DL$500)+IF($C32="",0,SUMIF('DADOS BRUTOS'!$A$3:$A$500,$C32,'DADOS BRUTOS'!DL$3:DL$500)))</f>
        <v>0</v>
      </c>
      <c r="GM32" s="133" t="n">
        <f aca="false">IF(OR(GM$4="",$B32=""),0,SUMIF('DADOS BRUTOS'!$A$3:$A$500,$B32,'DADOS BRUTOS'!DM$3:DM$500)+IF($C32="",0,SUMIF('DADOS BRUTOS'!$A$3:$A$500,$C32,'DADOS BRUTOS'!DM$3:DM$500)))</f>
        <v>0</v>
      </c>
      <c r="GN32" s="133" t="n">
        <f aca="false">IF(OR(GN$4="",$B32=""),0,SUMIF('DADOS BRUTOS'!$A$3:$A$500,$B32,'DADOS BRUTOS'!DN$3:DN$500)+IF($C32="",0,SUMIF('DADOS BRUTOS'!$A$3:$A$500,$C32,'DADOS BRUTOS'!DN$3:DN$500)))</f>
        <v>0</v>
      </c>
      <c r="GO32" s="133" t="n">
        <f aca="false">IF(OR(GO$4="",$B32=""),0,SUMIF('DADOS BRUTOS'!$A$3:$A$500,$B32,'DADOS BRUTOS'!DO$3:DO$500)+IF($C32="",0,SUMIF('DADOS BRUTOS'!$A$3:$A$500,$C32,'DADOS BRUTOS'!DO$3:DO$500)))</f>
        <v>0</v>
      </c>
      <c r="GP32" s="133" t="n">
        <f aca="false">IF(OR(GP$4="",$B32=""),0,SUMIF('DADOS BRUTOS'!$A$3:$A$500,$B32,'DADOS BRUTOS'!DP$3:DP$500)+IF($C32="",0,SUMIF('DADOS BRUTOS'!$A$3:$A$500,$C32,'DADOS BRUTOS'!DP$3:DP$500)))</f>
        <v>0</v>
      </c>
      <c r="GQ32" s="133" t="n">
        <f aca="false">IF(OR(GQ$4="",$B32=""),0,SUMIF('DADOS BRUTOS'!$A$3:$A$500,$B32,'DADOS BRUTOS'!DQ$3:DQ$500)+IF($C32="",0,SUMIF('DADOS BRUTOS'!$A$3:$A$500,$C32,'DADOS BRUTOS'!DQ$3:DQ$500)))</f>
        <v>0</v>
      </c>
      <c r="GR32" s="133" t="n">
        <f aca="false">IF(OR(GR$4="",$B32=""),0,SUMIF('DADOS BRUTOS'!$A$3:$A$500,$B32,'DADOS BRUTOS'!DR$3:DR$500)+IF($C32="",0,SUMIF('DADOS BRUTOS'!$A$3:$A$500,$C32,'DADOS BRUTOS'!DR$3:DR$500)))</f>
        <v>0</v>
      </c>
      <c r="GS32" s="133" t="n">
        <f aca="false">IF(OR(GS$4="",$B32=""),0,SUMIF('DADOS BRUTOS'!$A$3:$A$500,$B32,'DADOS BRUTOS'!DS$3:DS$500)+IF($C32="",0,SUMIF('DADOS BRUTOS'!$A$3:$A$500,$C32,'DADOS BRUTOS'!DS$3:DS$500)))</f>
        <v>0</v>
      </c>
      <c r="GT32" s="133" t="n">
        <f aca="false">IF(OR(GT$4="",$B32=""),0,SUMIF('DADOS BRUTOS'!$A$3:$A$500,$B32,'DADOS BRUTOS'!DT$3:DT$500)+IF($C32="",0,SUMIF('DADOS BRUTOS'!$A$3:$A$500,$C32,'DADOS BRUTOS'!DT$3:DT$500)))</f>
        <v>0</v>
      </c>
      <c r="GU32" s="133" t="n">
        <f aca="false">IF(OR(GU$4="",$B32=""),0,SUMIF('DADOS BRUTOS'!$A$3:$A$500,$B32,'DADOS BRUTOS'!DU$3:DU$500)+IF($C32="",0,SUMIF('DADOS BRUTOS'!$A$3:$A$500,$C32,'DADOS BRUTOS'!DU$3:DU$500)))</f>
        <v>0</v>
      </c>
      <c r="GV32" s="133" t="n">
        <f aca="false">IF(OR(GV$4="",$B32=""),0,SUMIF('DADOS BRUTOS'!$A$3:$A$500,$B32,'DADOS BRUTOS'!DV$3:DV$500)+IF($C32="",0,SUMIF('DADOS BRUTOS'!$A$3:$A$500,$C32,'DADOS BRUTOS'!DV$3:DV$500)))</f>
        <v>0</v>
      </c>
      <c r="GW32" s="133" t="n">
        <f aca="false">IF(OR(GW$4="",$B32=""),0,SUMIF('DADOS BRUTOS'!$A$3:$A$500,$B32,'DADOS BRUTOS'!DW$3:DW$500)+IF($C32="",0,SUMIF('DADOS BRUTOS'!$A$3:$A$500,$C32,'DADOS BRUTOS'!DW$3:DW$500)))</f>
        <v>0</v>
      </c>
      <c r="GX32" s="133" t="n">
        <f aca="false">IF(OR(GX$4="",$B32=""),0,SUMIF('DADOS BRUTOS'!$A$3:$A$500,$B32,'DADOS BRUTOS'!DX$3:DX$500)+IF($C32="",0,SUMIF('DADOS BRUTOS'!$A$3:$A$500,$C32,'DADOS BRUTOS'!DX$3:DX$500)))</f>
        <v>0</v>
      </c>
      <c r="GY32" s="133" t="n">
        <f aca="false">IF(OR(GY$4="",$B32=""),0,SUMIF('DADOS BRUTOS'!$A$3:$A$500,$B32,'DADOS BRUTOS'!DY$3:DY$500)+IF($C32="",0,SUMIF('DADOS BRUTOS'!$A$3:$A$500,$C32,'DADOS BRUTOS'!DY$3:DY$500)))</f>
        <v>0</v>
      </c>
      <c r="GZ32" s="133" t="n">
        <f aca="false">IF(OR(GZ$4="",$B32=""),0,SUMIF('DADOS BRUTOS'!$A$3:$A$500,$B32,'DADOS BRUTOS'!DZ$3:DZ$500)+IF($C32="",0,SUMIF('DADOS BRUTOS'!$A$3:$A$500,$C32,'DADOS BRUTOS'!DZ$3:DZ$500)))</f>
        <v>0</v>
      </c>
      <c r="HA32" s="133" t="n">
        <f aca="false">IF(OR(HA$4="",$B32=""),0,SUMIF('DADOS BRUTOS'!$A$3:$A$500,$B32,'DADOS BRUTOS'!EA$3:EA$500)+IF($C32="",0,SUMIF('DADOS BRUTOS'!$A$3:$A$500,$C32,'DADOS BRUTOS'!EA$3:EA$500)))</f>
        <v>0</v>
      </c>
      <c r="HB32" s="133" t="n">
        <f aca="false">IF(OR(HB$4="",$B32=""),0,SUMIF('DADOS BRUTOS'!$A$3:$A$500,$B32,'DADOS BRUTOS'!EB$3:EB$500)+IF($C32="",0,SUMIF('DADOS BRUTOS'!$A$3:$A$500,$C32,'DADOS BRUTOS'!EB$3:EB$500)))</f>
        <v>0</v>
      </c>
      <c r="HC32" s="133" t="n">
        <f aca="false">IF(OR(HC$4="",$B32=""),0,SUMIF('DADOS BRUTOS'!$A$3:$A$500,$B32,'DADOS BRUTOS'!EC$3:EC$500)+IF($C32="",0,SUMIF('DADOS BRUTOS'!$A$3:$A$500,$C32,'DADOS BRUTOS'!EC$3:EC$500)))</f>
        <v>0</v>
      </c>
      <c r="HD32" s="133" t="n">
        <f aca="false">IF(OR(HD$4="",$B32=""),0,SUMIF('DADOS BRUTOS'!$A$3:$A$500,$B32,'DADOS BRUTOS'!ED$3:ED$500)+IF($C32="",0,SUMIF('DADOS BRUTOS'!$A$3:$A$500,$C32,'DADOS BRUTOS'!ED$3:ED$500)))</f>
        <v>0</v>
      </c>
      <c r="HE32" s="133" t="n">
        <f aca="false">IF(OR(HE$4="",$B32=""),0,SUMIF('DADOS BRUTOS'!$A$3:$A$500,$B32,'DADOS BRUTOS'!EE$3:EE$500)+IF($C32="",0,SUMIF('DADOS BRUTOS'!$A$3:$A$500,$C32,'DADOS BRUTOS'!EE$3:EE$500)))</f>
        <v>0</v>
      </c>
      <c r="HF32" s="133" t="n">
        <f aca="false">IF(OR(HF$4="",$B32=""),0,SUMIF('DADOS BRUTOS'!$A$3:$A$500,$B32,'DADOS BRUTOS'!EF$3:EF$500)+IF($C32="",0,SUMIF('DADOS BRUTOS'!$A$3:$A$500,$C32,'DADOS BRUTOS'!EF$3:EF$500)))</f>
        <v>0</v>
      </c>
      <c r="HG32" s="133" t="n">
        <f aca="false">IF(OR(HG$4="",$B32=""),0,SUMIF('DADOS BRUTOS'!$A$3:$A$500,$B32,'DADOS BRUTOS'!EG$3:EG$500)+IF($C32="",0,SUMIF('DADOS BRUTOS'!$A$3:$A$500,$C32,'DADOS BRUTOS'!EG$3:EG$500)))</f>
        <v>0</v>
      </c>
      <c r="HH32" s="133" t="n">
        <f aca="false">IF(OR(HH$4="",$B32=""),0,SUMIF('DADOS BRUTOS'!$A$3:$A$500,$B32,'DADOS BRUTOS'!EH$3:EH$500)+IF($C32="",0,SUMIF('DADOS BRUTOS'!$A$3:$A$500,$C32,'DADOS BRUTOS'!EH$3:EH$500)))</f>
        <v>0</v>
      </c>
      <c r="HI32" s="133" t="n">
        <f aca="false">IF(OR(HI$4="",$B32=""),0,SUMIF('DADOS BRUTOS'!$A$3:$A$500,$B32,'DADOS BRUTOS'!EI$3:EI$500)+IF($C32="",0,SUMIF('DADOS BRUTOS'!$A$3:$A$500,$C32,'DADOS BRUTOS'!EI$3:EI$500)))</f>
        <v>0</v>
      </c>
      <c r="HJ32" s="133" t="n">
        <f aca="false">IF(OR(HJ$4="",$B32=""),0,SUMIF('DADOS BRUTOS'!$A$3:$A$500,$B32,'DADOS BRUTOS'!EJ$3:EJ$500)+IF($C32="",0,SUMIF('DADOS BRUTOS'!$A$3:$A$500,$C32,'DADOS BRUTOS'!EJ$3:EJ$500)))</f>
        <v>0</v>
      </c>
      <c r="HK32" s="133" t="n">
        <f aca="false">IF(OR(HK$4="",$B32=""),0,SUMIF('DADOS BRUTOS'!$A$3:$A$500,$B32,'DADOS BRUTOS'!EK$3:EK$500)+IF($C32="",0,SUMIF('DADOS BRUTOS'!$A$3:$A$500,$C32,'DADOS BRUTOS'!EK$3:EK$500)))</f>
        <v>0</v>
      </c>
      <c r="HL32" s="133" t="n">
        <f aca="false">IF(OR(HL$4="",$B32=""),0,SUMIF('DADOS BRUTOS'!$A$3:$A$500,$B32,'DADOS BRUTOS'!EL$3:EL$500)+IF($C32="",0,SUMIF('DADOS BRUTOS'!$A$3:$A$500,$C32,'DADOS BRUTOS'!EL$3:EL$500)))</f>
        <v>0</v>
      </c>
      <c r="HM32" s="133" t="n">
        <f aca="false">IF(OR(HM$4="",$B32=""),0,SUMIF('DADOS BRUTOS'!$A$3:$A$500,$B32,'DADOS BRUTOS'!EM$3:EM$500)+IF($C32="",0,SUMIF('DADOS BRUTOS'!$A$3:$A$500,$C32,'DADOS BRUTOS'!EM$3:EM$500)))</f>
        <v>0</v>
      </c>
      <c r="HN32" s="133" t="n">
        <f aca="false">IF(OR(HN$4="",$B32=""),0,SUMIF('DADOS BRUTOS'!$A$3:$A$500,$B32,'DADOS BRUTOS'!EN$3:EN$500)+IF($C32="",0,SUMIF('DADOS BRUTOS'!$A$3:$A$500,$C32,'DADOS BRUTOS'!EN$3:EN$500)))</f>
        <v>0</v>
      </c>
      <c r="HO32" s="133" t="n">
        <f aca="false">IF(OR(HO$4="",$B32=""),0,SUMIF('DADOS BRUTOS'!$A$3:$A$500,$B32,'DADOS BRUTOS'!EO$3:EO$500)+IF($C32="",0,SUMIF('DADOS BRUTOS'!$A$3:$A$500,$C32,'DADOS BRUTOS'!EO$3:EO$500)))</f>
        <v>0</v>
      </c>
      <c r="HP32" s="133" t="n">
        <f aca="false">IF(OR(HP$4="",$B32=""),0,SUMIF('DADOS BRUTOS'!$A$3:$A$500,$B32,'DADOS BRUTOS'!EP$3:EP$500)+IF($C32="",0,SUMIF('DADOS BRUTOS'!$A$3:$A$500,$C32,'DADOS BRUTOS'!EP$3:EP$500)))</f>
        <v>0</v>
      </c>
      <c r="HQ32" s="133" t="n">
        <f aca="false">IF(OR(HQ$4="",$B32=""),0,SUMIF('DADOS BRUTOS'!$A$3:$A$500,$B32,'DADOS BRUTOS'!EQ$3:EQ$500)+IF($C32="",0,SUMIF('DADOS BRUTOS'!$A$3:$A$500,$C32,'DADOS BRUTOS'!EQ$3:EQ$500)))</f>
        <v>0</v>
      </c>
      <c r="HR32" s="133" t="n">
        <f aca="false">IF(OR(HR$4="",$B32=""),0,SUMIF('DADOS BRUTOS'!$A$3:$A$500,$B32,'DADOS BRUTOS'!ER$3:ER$500)+IF($C32="",0,SUMIF('DADOS BRUTOS'!$A$3:$A$500,$C32,'DADOS BRUTOS'!ER$3:ER$500)))</f>
        <v>0</v>
      </c>
      <c r="HS32" s="133" t="n">
        <f aca="false">IF(OR(HS$4="",$B32=""),0,SUMIF('DADOS BRUTOS'!$A$3:$A$500,$B32,'DADOS BRUTOS'!ES$3:ES$500)+IF($C32="",0,SUMIF('DADOS BRUTOS'!$A$3:$A$500,$C32,'DADOS BRUTOS'!ES$3:ES$500)))</f>
        <v>0</v>
      </c>
      <c r="HT32" s="133" t="n">
        <f aca="false">IF(OR(HT$4="",$B32=""),0,SUMIF('DADOS BRUTOS'!$A$3:$A$500,$B32,'DADOS BRUTOS'!ET$3:ET$500)+IF($C32="",0,SUMIF('DADOS BRUTOS'!$A$3:$A$500,$C32,'DADOS BRUTOS'!ET$3:ET$500)))</f>
        <v>0</v>
      </c>
      <c r="HU32" s="133" t="n">
        <f aca="false">IF(OR(HU$4="",$B32=""),0,SUMIF('DADOS BRUTOS'!$A$3:$A$500,$B32,'DADOS BRUTOS'!EU$3:EU$500)+IF($C32="",0,SUMIF('DADOS BRUTOS'!$A$3:$A$500,$C32,'DADOS BRUTOS'!EU$3:EU$500)))</f>
        <v>0</v>
      </c>
      <c r="HV32" s="133" t="n">
        <f aca="false">IF(OR(HV$4="",$B32=""),0,SUMIF('DADOS BRUTOS'!$A$3:$A$500,$B32,'DADOS BRUTOS'!EV$3:EV$500)+IF($C32="",0,SUMIF('DADOS BRUTOS'!$A$3:$A$500,$C32,'DADOS BRUTOS'!EV$3:EV$500)))</f>
        <v>0</v>
      </c>
      <c r="HW32" s="133" t="n">
        <f aca="false">IF(OR(HW$4="",$B32=""),0,SUMIF('DADOS BRUTOS'!$A$3:$A$500,$B32,'DADOS BRUTOS'!EW$3:EW$500)+IF($C32="",0,SUMIF('DADOS BRUTOS'!$A$3:$A$500,$C32,'DADOS BRUTOS'!EW$3:EW$500)))</f>
        <v>0</v>
      </c>
      <c r="HX32" s="133" t="n">
        <f aca="false">IF(OR(HX$4="",$B32=""),0,SUMIF('DADOS BRUTOS'!$A$3:$A$500,$B32,'DADOS BRUTOS'!EX$3:EX$500)+IF($C32="",0,SUMIF('DADOS BRUTOS'!$A$3:$A$500,$C32,'DADOS BRUTOS'!EX$3:EX$500)))</f>
        <v>0</v>
      </c>
      <c r="HY32" s="133" t="n">
        <f aca="false">IF(OR(HY$4="",$B32=""),0,SUMIF('DADOS BRUTOS'!$A$3:$A$500,$B32,'DADOS BRUTOS'!EY$3:EY$500)+IF($C32="",0,SUMIF('DADOS BRUTOS'!$A$3:$A$500,$C32,'DADOS BRUTOS'!EY$3:EY$500)))</f>
        <v>0</v>
      </c>
      <c r="HZ32" s="133" t="n">
        <f aca="false">IF(OR(HZ$4="",$B32=""),0,SUMIF('DADOS BRUTOS'!$A$3:$A$500,$B32,'DADOS BRUTOS'!EZ$3:EZ$500)+IF($C32="",0,SUMIF('DADOS BRUTOS'!$A$3:$A$500,$C32,'DADOS BRUTOS'!EZ$3:EZ$500)))</f>
        <v>0</v>
      </c>
      <c r="IA32" s="133" t="n">
        <f aca="false">IF(OR(IA$4="",$B32=""),0,SUMIF('DADOS BRUTOS'!$A$3:$A$500,$B32,'DADOS BRUTOS'!FA$3:FA$500)+IF($C32="",0,SUMIF('DADOS BRUTOS'!$A$3:$A$500,$C32,'DADOS BRUTOS'!FA$3:FA$500)))</f>
        <v>0</v>
      </c>
      <c r="IB32" s="133" t="n">
        <f aca="false">IF(OR(IB$4="",$B32=""),0,SUMIF('DADOS BRUTOS'!$A$3:$A$500,$B32,'DADOS BRUTOS'!FB$3:FB$500)+IF($C32="",0,SUMIF('DADOS BRUTOS'!$A$3:$A$500,$C32,'DADOS BRUTOS'!FB$3:FB$500)))</f>
        <v>0</v>
      </c>
      <c r="IC32" s="133" t="n">
        <f aca="false">IF(OR(IC$4="",$B32=""),0,SUMIF('DADOS BRUTOS'!$A$3:$A$500,$B32,'DADOS BRUTOS'!FC$3:FC$500)+IF($C32="",0,SUMIF('DADOS BRUTOS'!$A$3:$A$500,$C32,'DADOS BRUTOS'!FC$3:FC$500)))</f>
        <v>0</v>
      </c>
      <c r="ID32" s="133" t="n">
        <f aca="false">IF(OR(ID$4="",$B32=""),0,SUMIF('DADOS BRUTOS'!$A$3:$A$500,$B32,'DADOS BRUTOS'!FD$3:FD$500)+IF($C32="",0,SUMIF('DADOS BRUTOS'!$A$3:$A$500,$C32,'DADOS BRUTOS'!FD$3:FD$500)))</f>
        <v>0</v>
      </c>
      <c r="IE32" s="133" t="n">
        <f aca="false">IF(OR(IE$4="",$B32=""),0,SUMIF('DADOS BRUTOS'!$A$3:$A$500,$B32,'DADOS BRUTOS'!FE$3:FE$500)+IF($C32="",0,SUMIF('DADOS BRUTOS'!$A$3:$A$500,$C32,'DADOS BRUTOS'!FE$3:FE$500)))</f>
        <v>0</v>
      </c>
      <c r="IF32" s="133" t="n">
        <f aca="false">IF(OR(IF$4="",$B32=""),0,SUMIF('DADOS BRUTOS'!$A$3:$A$500,$B32,'DADOS BRUTOS'!FF$3:FF$500)+IF($C32="",0,SUMIF('DADOS BRUTOS'!$A$3:$A$500,$C32,'DADOS BRUTOS'!FF$3:FF$500)))</f>
        <v>0</v>
      </c>
      <c r="IG32" s="133" t="n">
        <f aca="false">IF(OR(IG$4="",$B32=""),0,SUMIF('DADOS BRUTOS'!$A$3:$A$500,$B32,'DADOS BRUTOS'!FG$3:FG$500)+IF($C32="",0,SUMIF('DADOS BRUTOS'!$A$3:$A$500,$C32,'DADOS BRUTOS'!FG$3:FG$500)))</f>
        <v>0</v>
      </c>
      <c r="IH32" s="133" t="n">
        <f aca="false">IF(OR(IH$4="",$B32=""),0,SUMIF('DADOS BRUTOS'!$A$3:$A$500,$B32,'DADOS BRUTOS'!FH$3:FH$500)+IF($C32="",0,SUMIF('DADOS BRUTOS'!$A$3:$A$500,$C32,'DADOS BRUTOS'!FH$3:FH$500)))</f>
        <v>0</v>
      </c>
      <c r="II32" s="133" t="n">
        <f aca="false">IF(OR(II$4="",$B32=""),0,SUMIF('DADOS BRUTOS'!$A$3:$A$500,$B32,'DADOS BRUTOS'!FI$3:FI$500)+IF($C32="",0,SUMIF('DADOS BRUTOS'!$A$3:$A$500,$C32,'DADOS BRUTOS'!FI$3:FI$500)))</f>
        <v>0</v>
      </c>
      <c r="IJ32" s="133" t="n">
        <f aca="false">IF(OR(IJ$4="",$B32=""),0,SUMIF('DADOS BRUTOS'!$A$3:$A$500,$B32,'DADOS BRUTOS'!FJ$3:FJ$500)+IF($C32="",0,SUMIF('DADOS BRUTOS'!$A$3:$A$500,$C32,'DADOS BRUTOS'!FJ$3:FJ$500)))</f>
        <v>0</v>
      </c>
      <c r="IK32" s="133" t="n">
        <f aca="false">IF(OR(IK$4="",$B32=""),0,SUMIF('DADOS BRUTOS'!$A$3:$A$500,$B32,'DADOS BRUTOS'!FK$3:FK$500)+IF($C32="",0,SUMIF('DADOS BRUTOS'!$A$3:$A$500,$C32,'DADOS BRUTOS'!FK$3:FK$500)))</f>
        <v>0</v>
      </c>
      <c r="IL32" s="133" t="n">
        <f aca="false">IF(OR(IL$4="",$B32=""),0,SUMIF('DADOS BRUTOS'!$A$3:$A$500,$B32,'DADOS BRUTOS'!FL$3:FL$500)+IF($C32="",0,SUMIF('DADOS BRUTOS'!$A$3:$A$500,$C32,'DADOS BRUTOS'!FL$3:FL$500)))</f>
        <v>0</v>
      </c>
      <c r="IM32" s="133" t="n">
        <f aca="false">IF(OR(IM$4="",$B32=""),0,SUMIF('DADOS BRUTOS'!$A$3:$A$500,$B32,'DADOS BRUTOS'!FM$3:FM$500)+IF($C32="",0,SUMIF('DADOS BRUTOS'!$A$3:$A$500,$C32,'DADOS BRUTOS'!FM$3:FM$500)))</f>
        <v>0</v>
      </c>
      <c r="IN32" s="133" t="n">
        <f aca="false">IF(OR(IN$4="",$B32=""),0,SUMIF('DADOS BRUTOS'!$A$3:$A$500,$B32,'DADOS BRUTOS'!FN$3:FN$500)+IF($C32="",0,SUMIF('DADOS BRUTOS'!$A$3:$A$500,$C32,'DADOS BRUTOS'!FN$3:FN$500)))</f>
        <v>0</v>
      </c>
      <c r="IO32" s="133" t="n">
        <f aca="false">IF(OR(IO$4="",$B32=""),0,SUMIF('DADOS BRUTOS'!$A$3:$A$500,$B32,'DADOS BRUTOS'!FO$3:FO$500)+IF($C32="",0,SUMIF('DADOS BRUTOS'!$A$3:$A$500,$C32,'DADOS BRUTOS'!FO$3:FO$500)))</f>
        <v>0</v>
      </c>
      <c r="IP32" s="133" t="n">
        <f aca="false">IF(OR(IP$4="",$B32=""),0,SUMIF('DADOS BRUTOS'!$A$3:$A$500,$B32,'DADOS BRUTOS'!FP$3:FP$500)+IF($C32="",0,SUMIF('DADOS BRUTOS'!$A$3:$A$500,$C32,'DADOS BRUTOS'!FP$3:FP$500)))</f>
        <v>0</v>
      </c>
      <c r="IQ32" s="133" t="n">
        <f aca="false">IF(OR(IQ$4="",$B32=""),0,SUMIF('DADOS BRUTOS'!$A$3:$A$500,$B32,'DADOS BRUTOS'!FQ$3:FQ$500)+IF($C32="",0,SUMIF('DADOS BRUTOS'!$A$3:$A$500,$C32,'DADOS BRUTOS'!FQ$3:FQ$500)))</f>
        <v>0</v>
      </c>
      <c r="IR32" s="133" t="n">
        <f aca="false">IF(OR(IR$4="",$B32=""),0,SUMIF('DADOS BRUTOS'!$A$3:$A$500,$B32,'DADOS BRUTOS'!FR$3:FR$500)+IF($C32="",0,SUMIF('DADOS BRUTOS'!$A$3:$A$500,$C32,'DADOS BRUTOS'!FR$3:FR$500)))</f>
        <v>0</v>
      </c>
      <c r="IS32" s="133" t="n">
        <f aca="false">IF(OR(IS$4="",$B32=""),0,SUMIF('DADOS BRUTOS'!$A$3:$A$500,$B32,'DADOS BRUTOS'!FS$3:FS$500)+IF($C32="",0,SUMIF('DADOS BRUTOS'!$A$3:$A$500,$C32,'DADOS BRUTOS'!FS$3:FS$500)))</f>
        <v>0</v>
      </c>
      <c r="IT32" s="133" t="n">
        <f aca="false">IF(OR(IT$4="",$B32=""),0,SUMIF('DADOS BRUTOS'!$A$3:$A$500,$B32,'DADOS BRUTOS'!FT$3:FT$500)+IF($C32="",0,SUMIF('DADOS BRUTOS'!$A$3:$A$500,$C32,'DADOS BRUTOS'!FT$3:FT$500)))</f>
        <v>0</v>
      </c>
      <c r="IU32" s="133" t="n">
        <f aca="false">IF(OR(IU$4="",$B32=""),0,SUMIF('DADOS BRUTOS'!$A$3:$A$500,$B32,'DADOS BRUTOS'!FU$3:FU$500)+IF($C32="",0,SUMIF('DADOS BRUTOS'!$A$3:$A$500,$C32,'DADOS BRUTOS'!FU$3:FU$500)))</f>
        <v>0</v>
      </c>
      <c r="IV32" s="133" t="n">
        <f aca="false">IF(OR(IV$4="",$B32=""),0,SUMIF('DADOS BRUTOS'!$A$3:$A$500,$B32,'DADOS BRUTOS'!FV$3:FV$500)+IF($C32="",0,SUMIF('DADOS BRUTOS'!$A$3:$A$500,$C32,'DADOS BRUTOS'!FV$3:FV$500)))</f>
        <v>0</v>
      </c>
      <c r="IW32" s="133" t="n">
        <f aca="false">IF(OR(IW$4="",$B32=""),0,SUMIF('DADOS BRUTOS'!$A$3:$A$500,$B32,'DADOS BRUTOS'!FW$3:FW$500)+IF($C32="",0,SUMIF('DADOS BRUTOS'!$A$3:$A$500,$C32,'DADOS BRUTOS'!FW$3:FW$500)))</f>
        <v>0</v>
      </c>
      <c r="IX32" s="133" t="n">
        <f aca="false">IF(OR(IX$4="",$B32=""),0,SUMIF('DADOS BRUTOS'!$A$3:$A$500,$B32,'DADOS BRUTOS'!FX$3:FX$500)+IF($C32="",0,SUMIF('DADOS BRUTOS'!$A$3:$A$500,$C32,'DADOS BRUTOS'!FX$3:FX$500)))</f>
        <v>0</v>
      </c>
      <c r="IY32" s="133" t="n">
        <f aca="false">IF(OR(IY$4="",$B32=""),0,SUMIF('DADOS BRUTOS'!$A$3:$A$500,$B32,'DADOS BRUTOS'!FY$3:FY$500)+IF($C32="",0,SUMIF('DADOS BRUTOS'!$A$3:$A$500,$C32,'DADOS BRUTOS'!FY$3:FY$500)))</f>
        <v>0</v>
      </c>
      <c r="IZ32" s="133" t="n">
        <f aca="false">IF(OR(IZ$4="",$B32=""),0,SUMIF('DADOS BRUTOS'!$A$3:$A$500,$B32,'DADOS BRUTOS'!FZ$3:FZ$500)+IF($C32="",0,SUMIF('DADOS BRUTOS'!$A$3:$A$500,$C32,'DADOS BRUTOS'!FZ$3:FZ$500)))</f>
        <v>0</v>
      </c>
      <c r="JA32" s="133" t="n">
        <f aca="false">IF(OR(JA$4="",$B32=""),0,SUMIF('DADOS BRUTOS'!$A$3:$A$500,$B32,'DADOS BRUTOS'!GA$3:GA$500)+IF($C32="",0,SUMIF('DADOS BRUTOS'!$A$3:$A$500,$C32,'DADOS BRUTOS'!GA$3:GA$500)))</f>
        <v>0</v>
      </c>
      <c r="JB32" s="133" t="n">
        <f aca="false">IF(OR(JB$4="",$B32=""),0,SUMIF('DADOS BRUTOS'!$A$3:$A$500,$B32,'DADOS BRUTOS'!GB$3:GB$500)+IF($C32="",0,SUMIF('DADOS BRUTOS'!$A$3:$A$500,$C32,'DADOS BRUTOS'!GB$3:GB$500)))</f>
        <v>0</v>
      </c>
      <c r="JC32" s="133" t="n">
        <f aca="false">IF(OR(JC$4="",$B32=""),0,SUMIF('DADOS BRUTOS'!$A$3:$A$500,$B32,'DADOS BRUTOS'!GC$3:GC$500)+IF($C32="",0,SUMIF('DADOS BRUTOS'!$A$3:$A$500,$C32,'DADOS BRUTOS'!GC$3:GC$500)))</f>
        <v>0</v>
      </c>
      <c r="JD32" s="133" t="n">
        <f aca="false">IF(OR(JD$4="",$B32=""),0,SUMIF('DADOS BRUTOS'!$A$3:$A$500,$B32,'DADOS BRUTOS'!GD$3:GD$500)+IF($C32="",0,SUMIF('DADOS BRUTOS'!$A$3:$A$500,$C32,'DADOS BRUTOS'!GD$3:GD$500)))</f>
        <v>0</v>
      </c>
      <c r="JE32" s="133" t="n">
        <f aca="false">IF(OR(JE$4="",$B32=""),0,SUMIF('DADOS BRUTOS'!$A$3:$A$500,$B32,'DADOS BRUTOS'!GE$3:GE$500)+IF($C32="",0,SUMIF('DADOS BRUTOS'!$A$3:$A$500,$C32,'DADOS BRUTOS'!GE$3:GE$500)))</f>
        <v>0</v>
      </c>
      <c r="JF32" s="133" t="n">
        <f aca="false">IF(OR(JF$4="",$B32=""),0,SUMIF('DADOS BRUTOS'!$A$3:$A$500,$B32,'DADOS BRUTOS'!GF$3:GF$500)+IF($C32="",0,SUMIF('DADOS BRUTOS'!$A$3:$A$500,$C32,'DADOS BRUTOS'!GF$3:GF$500)))</f>
        <v>0</v>
      </c>
      <c r="JG32" s="133" t="n">
        <f aca="false">IF(OR(JG$4="",$B32=""),0,SUMIF('DADOS BRUTOS'!$A$3:$A$500,$B32,'DADOS BRUTOS'!GG$3:GG$500)+IF($C32="",0,SUMIF('DADOS BRUTOS'!$A$3:$A$500,$C32,'DADOS BRUTOS'!GG$3:GG$500)))</f>
        <v>0</v>
      </c>
      <c r="JH32" s="133" t="n">
        <f aca="false">IF(OR(JH$4="",$B32=""),0,SUMIF('DADOS BRUTOS'!$A$3:$A$500,$B32,'DADOS BRUTOS'!GH$3:GH$500)+IF($C32="",0,SUMIF('DADOS BRUTOS'!$A$3:$A$500,$C32,'DADOS BRUTOS'!GH$3:GH$500)))</f>
        <v>0</v>
      </c>
      <c r="JI32" s="133" t="n">
        <f aca="false">IF(OR(JI$4="",$B32=""),0,SUMIF('DADOS BRUTOS'!$A$3:$A$500,$B32,'DADOS BRUTOS'!GI$3:GI$500)+IF($C32="",0,SUMIF('DADOS BRUTOS'!$A$3:$A$500,$C32,'DADOS BRUTOS'!GI$3:GI$500)))</f>
        <v>0</v>
      </c>
      <c r="JJ32" s="133" t="n">
        <f aca="false">IF(OR(JJ$4="",$B32=""),0,SUMIF('DADOS BRUTOS'!$A$3:$A$500,$B32,'DADOS BRUTOS'!GJ$3:GJ$500)+IF($C32="",0,SUMIF('DADOS BRUTOS'!$A$3:$A$500,$C32,'DADOS BRUTOS'!GJ$3:GJ$500)))</f>
        <v>0</v>
      </c>
      <c r="JK32" s="133" t="n">
        <f aca="false">IF(OR(JK$4="",$B32=""),0,SUMIF('DADOS BRUTOS'!$A$3:$A$500,$B32,'DADOS BRUTOS'!GK$3:GK$500)+IF($C32="",0,SUMIF('DADOS BRUTOS'!$A$3:$A$500,$C32,'DADOS BRUTOS'!GK$3:GK$500)))</f>
        <v>0</v>
      </c>
      <c r="JL32" s="133" t="n">
        <f aca="false">IF(OR(JL$4="",$B32=""),0,SUMIF('DADOS BRUTOS'!$A$3:$A$500,$B32,'DADOS BRUTOS'!GL$3:GL$500)+IF($C32="",0,SUMIF('DADOS BRUTOS'!$A$3:$A$500,$C32,'DADOS BRUTOS'!GL$3:GL$500)))</f>
        <v>0</v>
      </c>
      <c r="JM32" s="133" t="n">
        <f aca="false">IF(OR(JM$4="",$B32=""),0,SUMIF('DADOS BRUTOS'!$A$3:$A$500,$B32,'DADOS BRUTOS'!GM$3:GM$500)+IF($C32="",0,SUMIF('DADOS BRUTOS'!$A$3:$A$500,$C32,'DADOS BRUTOS'!GM$3:GM$500)))</f>
        <v>0</v>
      </c>
      <c r="JN32" s="133" t="n">
        <f aca="false">IF(OR(JN$4="",$B32=""),0,SUMIF('DADOS BRUTOS'!$A$3:$A$500,$B32,'DADOS BRUTOS'!GN$3:GN$500)+IF($C32="",0,SUMIF('DADOS BRUTOS'!$A$3:$A$500,$C32,'DADOS BRUTOS'!GN$3:GN$500)))</f>
        <v>0</v>
      </c>
      <c r="JO32" s="133" t="n">
        <f aca="false">IF(OR(JO$4="",$B32=""),0,SUMIF('DADOS BRUTOS'!$A$3:$A$500,$B32,'DADOS BRUTOS'!GO$3:GO$500)+IF($C32="",0,SUMIF('DADOS BRUTOS'!$A$3:$A$500,$C32,'DADOS BRUTOS'!GO$3:GO$500)))</f>
        <v>0</v>
      </c>
      <c r="JP32" s="133" t="n">
        <f aca="false">IF(OR(JP$4="",$B32=""),0,SUMIF('DADOS BRUTOS'!$A$3:$A$500,$B32,'DADOS BRUTOS'!GP$3:GP$500)+IF($C32="",0,SUMIF('DADOS BRUTOS'!$A$3:$A$500,$C32,'DADOS BRUTOS'!GP$3:GP$500)))</f>
        <v>0</v>
      </c>
      <c r="JQ32" s="133" t="n">
        <f aca="false">IF(OR(JQ$4="",$B32=""),0,SUMIF('DADOS BRUTOS'!$A$3:$A$500,$B32,'DADOS BRUTOS'!GQ$3:GQ$500)+IF($C32="",0,SUMIF('DADOS BRUTOS'!$A$3:$A$500,$C32,'DADOS BRUTOS'!GQ$3:GQ$500)))</f>
        <v>0</v>
      </c>
      <c r="JR32" s="133" t="n">
        <f aca="false">IF(OR(JR$4="",$B32=""),0,SUMIF('DADOS BRUTOS'!$A$3:$A$500,$B32,'DADOS BRUTOS'!GR$3:GR$500)+IF($C32="",0,SUMIF('DADOS BRUTOS'!$A$3:$A$500,$C32,'DADOS BRUTOS'!GR$3:GR$500)))</f>
        <v>0</v>
      </c>
      <c r="JS32" s="133" t="n">
        <f aca="false">IF(OR(JS$4="",$B32=""),0,SUMIF('DADOS BRUTOS'!$A$3:$A$500,$B32,'DADOS BRUTOS'!GS$3:GS$500)+IF($C32="",0,SUMIF('DADOS BRUTOS'!$A$3:$A$500,$C32,'DADOS BRUTOS'!GS$3:GS$500)))</f>
        <v>0</v>
      </c>
    </row>
    <row r="33" customFormat="false" ht="15" hidden="false" customHeight="false" outlineLevel="0" collapsed="false">
      <c r="A33" s="57" t="str">
        <f aca="false">'VALOR POR PL'!D39</f>
        <v>REVESTIMENTOS DE MASSA EM PAREDES</v>
      </c>
      <c r="B33" s="55" t="s">
        <v>2876</v>
      </c>
      <c r="C33" s="55"/>
      <c r="D33" s="50" t="n">
        <f aca="false">SUMIF($CB$4:$JS$4,"&lt;="&amp;D$4,$CB33:$JS33)</f>
        <v>0</v>
      </c>
      <c r="E33" s="50" t="n">
        <f aca="false">SUMIF($CB$4:$JS$4,E$4,$CB33:$JS33)</f>
        <v>0</v>
      </c>
      <c r="F33" s="50" t="n">
        <f aca="false">SUMIF($CB$4:$JS$4,F$4,$CB33:$JS33)</f>
        <v>0</v>
      </c>
      <c r="G33" s="50" t="n">
        <f aca="false">SUMIF($CB$4:$JS$4,G$4,$CB33:$JS33)</f>
        <v>0</v>
      </c>
      <c r="H33" s="50" t="n">
        <f aca="false">SUMIF($CB$4:$JS$4,H$4,$CB33:$JS33)</f>
        <v>0</v>
      </c>
      <c r="I33" s="50" t="n">
        <f aca="false">SUMIF($CB$4:$JS$4,I$4,$CB33:$JS33)</f>
        <v>0</v>
      </c>
      <c r="J33" s="50" t="n">
        <f aca="false">SUMIF($CB$4:$JS$4,J$4,$CB33:$JS33)</f>
        <v>0</v>
      </c>
      <c r="K33" s="50" t="n">
        <f aca="false">SUMIF($CB$4:$JS$4,K$4,$CB33:$JS33)</f>
        <v>0</v>
      </c>
      <c r="L33" s="50" t="n">
        <f aca="false">SUMIF($CB$4:$JS$4,L$4,$CB33:$JS33)</f>
        <v>0</v>
      </c>
      <c r="M33" s="50" t="n">
        <f aca="false">SUMIF($CB$4:$JS$4,M$4,$CB33:$JS33)</f>
        <v>0</v>
      </c>
      <c r="N33" s="50" t="n">
        <f aca="false">SUMIF($CB$4:$JS$4,N$4,$CB33:$JS33)</f>
        <v>0</v>
      </c>
      <c r="O33" s="50" t="n">
        <f aca="false">SUMIF($CB$4:$JS$4,O$4,$CB33:$JS33)</f>
        <v>0</v>
      </c>
      <c r="P33" s="50" t="n">
        <f aca="false">SUMIF($CB$4:$JS$4,P$4,$CB33:$JS33)</f>
        <v>0</v>
      </c>
      <c r="Q33" s="50" t="n">
        <f aca="false">SUMIF($CB$4:$JS$4,Q$4,$CB33:$JS33)</f>
        <v>0</v>
      </c>
      <c r="R33" s="50" t="n">
        <f aca="false">SUMIF($CB$4:$JS$4,R$4,$CB33:$JS33)</f>
        <v>0</v>
      </c>
      <c r="S33" s="50" t="n">
        <f aca="false">SUMIF($CB$4:$JS$4,S$4,$CB33:$JS33)</f>
        <v>0</v>
      </c>
      <c r="T33" s="50" t="n">
        <f aca="false">SUMIF($CB$4:$JS$4,T$4,$CB33:$JS33)</f>
        <v>0</v>
      </c>
      <c r="U33" s="50" t="n">
        <f aca="false">SUMIF($CB$4:$JS$4,U$4,$CB33:$JS33)</f>
        <v>0</v>
      </c>
      <c r="V33" s="50" t="n">
        <f aca="false">SUMIF($CB$4:$JS$4,V$4,$CB33:$JS33)</f>
        <v>0</v>
      </c>
      <c r="W33" s="50" t="n">
        <f aca="false">SUMIF($CB$4:$JS$4,W$4,$CB33:$JS33)</f>
        <v>0</v>
      </c>
      <c r="X33" s="50" t="n">
        <f aca="false">SUMIF($CB$4:$JS$4,X$4,$CB33:$JS33)</f>
        <v>0</v>
      </c>
      <c r="Y33" s="50" t="n">
        <f aca="false">SUMIF($CB$4:$JS$4,Y$4,$CB33:$JS33)</f>
        <v>0</v>
      </c>
      <c r="Z33" s="50" t="n">
        <f aca="false">SUMIF($CB$4:$JS$4,Z$4,$CB33:$JS33)</f>
        <v>0</v>
      </c>
      <c r="AA33" s="50" t="n">
        <f aca="false">SUMIF($CB$4:$JS$4,AA$4,$CB33:$JS33)</f>
        <v>0</v>
      </c>
      <c r="AB33" s="50" t="n">
        <f aca="false">SUMIF($CB$4:$JS$4,AB$4,$CB33:$JS33)</f>
        <v>0</v>
      </c>
      <c r="AC33" s="50" t="n">
        <f aca="false">SUMIF($CB$4:$JS$4,AC$4,$CB33:$JS33)</f>
        <v>0</v>
      </c>
      <c r="AD33" s="50" t="n">
        <f aca="false">SUMIF($CB$4:$JS$4,AD$4,$CB33:$JS33)</f>
        <v>0</v>
      </c>
      <c r="AE33" s="50" t="n">
        <f aca="false">SUMIF($CB$4:$JS$4,AE$4,$CB33:$JS33)</f>
        <v>0</v>
      </c>
      <c r="AF33" s="50" t="n">
        <f aca="false">SUMIF($CB$4:$JS$4,AF$4,$CB33:$JS33)</f>
        <v>0</v>
      </c>
      <c r="AG33" s="50" t="n">
        <f aca="false">SUMIF($CB$4:$JS$4,AG$4,$CB33:$JS33)</f>
        <v>0</v>
      </c>
      <c r="AH33" s="50" t="n">
        <f aca="false">SUMIF($CB$4:$JS$4,AH$4,$CB33:$JS33)</f>
        <v>0</v>
      </c>
      <c r="AI33" s="50" t="n">
        <f aca="false">SUMIF($CB$4:$JS$4,AI$4,$CB33:$JS33)</f>
        <v>0</v>
      </c>
      <c r="AJ33" s="50" t="n">
        <f aca="false">SUMIF($CB$4:$JS$4,AJ$4,$CB33:$JS33)</f>
        <v>0</v>
      </c>
      <c r="AK33" s="50" t="n">
        <f aca="false">SUMIF($CB$4:$JS$4,AK$4,$CB33:$JS33)</f>
        <v>0</v>
      </c>
      <c r="AL33" s="50" t="n">
        <f aca="false">SUMIF($CB$4:$JS$4,AL$4,$CB33:$JS33)</f>
        <v>0</v>
      </c>
      <c r="AM33" s="50" t="n">
        <f aca="false">SUMIF($CB$4:$JS$4,AM$4,$CB33:$JS33)</f>
        <v>0</v>
      </c>
      <c r="AN33" s="50" t="n">
        <f aca="false">SUMIF($CB$4:$JS$4,AN$4,$CB33:$JS33)</f>
        <v>0</v>
      </c>
      <c r="AO33" s="50" t="n">
        <f aca="false">SUMIF($CB$4:$JS$4,AO$4,$CB33:$JS33)</f>
        <v>0</v>
      </c>
      <c r="AP33" s="50" t="n">
        <f aca="false">SUMIF($CB$4:$JS$4,AP$4,$CB33:$JS33)</f>
        <v>0</v>
      </c>
      <c r="AQ33" s="50" t="n">
        <f aca="false">SUMIF($CB$4:$JS$4,AQ$4,$CB33:$JS33)</f>
        <v>0</v>
      </c>
      <c r="AR33" s="50" t="n">
        <f aca="false">SUMIF($CB$4:$JS$4,AR$4,$CB33:$JS33)</f>
        <v>0</v>
      </c>
      <c r="AS33" s="50" t="n">
        <f aca="false">SUMIF($CB$4:$JS$4,AS$4,$CB33:$JS33)</f>
        <v>0</v>
      </c>
      <c r="AT33" s="50" t="n">
        <f aca="false">SUMIF($CB$4:$JS$4,AT$4,$CB33:$JS33)</f>
        <v>0</v>
      </c>
      <c r="AU33" s="50" t="n">
        <f aca="false">SUMIF($CB$4:$JS$4,AU$4,$CB33:$JS33)</f>
        <v>0</v>
      </c>
      <c r="AV33" s="50" t="n">
        <f aca="false">SUMIF($CB$4:$JS$4,AV$4,$CB33:$JS33)</f>
        <v>0</v>
      </c>
      <c r="AW33" s="50" t="n">
        <f aca="false">SUMIF($CB$4:$JS$4,AW$4,$CB33:$JS33)</f>
        <v>0</v>
      </c>
      <c r="AX33" s="50" t="n">
        <f aca="false">SUMIF($CB$4:$JS$4,AX$4,$CB33:$JS33)</f>
        <v>0</v>
      </c>
      <c r="AY33" s="50" t="n">
        <f aca="false">SUMIF($CB$4:$JS$4,AY$4,$CB33:$JS33)</f>
        <v>0</v>
      </c>
      <c r="AZ33" s="50" t="n">
        <f aca="false">SUMIF($CB$4:$JS$4,AZ$4,$CB33:$JS33)</f>
        <v>0</v>
      </c>
      <c r="BA33" s="50" t="n">
        <f aca="false">SUMIF($CB$4:$JS$4,BA$4,$CB33:$JS33)</f>
        <v>0</v>
      </c>
      <c r="BB33" s="50" t="n">
        <f aca="false">SUMIF($CB$4:$JS$4,BB$4,$CB33:$JS33)</f>
        <v>0</v>
      </c>
      <c r="BC33" s="50" t="n">
        <f aca="false">SUMIF($CB$4:$JS$4,BC$4,$CB33:$JS33)</f>
        <v>0</v>
      </c>
      <c r="BD33" s="50" t="n">
        <f aca="false">SUMIF($CB$4:$JS$4,BD$4,$CB33:$JS33)</f>
        <v>0</v>
      </c>
      <c r="BE33" s="50" t="n">
        <f aca="false">SUMIF($CB$4:$JS$4,BE$4,$CB33:$JS33)</f>
        <v>0</v>
      </c>
      <c r="BF33" s="50" t="n">
        <f aca="false">SUMIF($CB$4:$JS$4,BF$4,$CB33:$JS33)</f>
        <v>0</v>
      </c>
      <c r="BG33" s="50" t="n">
        <f aca="false">SUMIF($CB$4:$JS$4,BG$4,$CB33:$JS33)</f>
        <v>0</v>
      </c>
      <c r="BH33" s="50" t="n">
        <f aca="false">SUMIF($CB$4:$JS$4,BH$4,$CB33:$JS33)</f>
        <v>0</v>
      </c>
      <c r="BI33" s="50" t="n">
        <f aca="false">SUMIF($CB$4:$JS$4,BI$4,$CB33:$JS33)</f>
        <v>0</v>
      </c>
      <c r="BJ33" s="50" t="n">
        <f aca="false">SUMIF($CB$4:$JS$4,BJ$4,$CB33:$JS33)</f>
        <v>0</v>
      </c>
      <c r="BK33" s="50" t="n">
        <f aca="false">SUMIF($CB$4:$JS$4,BK$4,$CB33:$JS33)</f>
        <v>0</v>
      </c>
      <c r="BL33" s="50" t="n">
        <f aca="false">SUMIF($CB$4:$JS$4,BL$4,$CB33:$JS33)</f>
        <v>0</v>
      </c>
      <c r="BM33" s="50" t="n">
        <f aca="false">SUMIF($CB$4:$JS$4,BM$4,$CB33:$JS33)</f>
        <v>0</v>
      </c>
      <c r="BN33" s="50" t="n">
        <f aca="false">SUMIF($CB$4:$JS$4,BN$4,$CB33:$JS33)</f>
        <v>0</v>
      </c>
      <c r="BO33" s="50" t="n">
        <f aca="false">SUMIF($CB$4:$JS$4,BO$4,$CB33:$JS33)</f>
        <v>0</v>
      </c>
      <c r="BP33" s="50" t="n">
        <f aca="false">SUMIF($CB$4:$JS$4,BP$4,$CB33:$JS33)</f>
        <v>0</v>
      </c>
      <c r="BQ33" s="50" t="n">
        <f aca="false">SUMIF($CB$4:$JS$4,BQ$4,$CB33:$JS33)</f>
        <v>0</v>
      </c>
      <c r="BR33" s="50" t="n">
        <f aca="false">SUMIF($CB$4:$JS$4,BR$4,$CB33:$JS33)</f>
        <v>0</v>
      </c>
      <c r="BS33" s="50" t="n">
        <f aca="false">SUMIF($CB$4:$JS$4,BS$4,$CB33:$JS33)</f>
        <v>0</v>
      </c>
      <c r="BT33" s="50" t="n">
        <f aca="false">SUMIF($CB$4:$JS$4,BT$4,$CB33:$JS33)</f>
        <v>0</v>
      </c>
      <c r="BU33" s="50" t="n">
        <f aca="false">SUMIF($CB$4:$JS$4,BU$4,$CB33:$JS33)</f>
        <v>0</v>
      </c>
      <c r="BV33" s="50" t="n">
        <f aca="false">SUMIF($CB$4:$JS$4,BV$4,$CB33:$JS33)</f>
        <v>0</v>
      </c>
      <c r="BW33" s="50" t="n">
        <f aca="false">SUMIF($CB$4:$JS$4,BW$4,$CB33:$JS33)</f>
        <v>0</v>
      </c>
      <c r="BX33" s="50" t="n">
        <f aca="false">SUMIF($CB$4:$JS$4,"&gt;"&amp;'VALOR POR PL'!$P$8,$CB33:$JS33)</f>
        <v>0</v>
      </c>
      <c r="BY33" s="50" t="n">
        <f aca="false">SUM($CB33:$JS33)</f>
        <v>0</v>
      </c>
      <c r="BZ33" s="45" t="n">
        <f aca="false">SUMPRODUCT(($CB$4:$JS$4&lt;&gt;"")*($CB$4:$JS$4&lt;=$D$4),$CB33:$JS33,$CB$1:$JS$1)</f>
        <v>0</v>
      </c>
      <c r="CB33" s="133" t="n">
        <f aca="false">IF(OR(CB$4="",$B33=""),0,SUMIF('DADOS BRUTOS'!$A$3:$A$500,$B33,'DADOS BRUTOS'!B$3:B$500)+IF($C33="",0,SUMIF('DADOS BRUTOS'!$A$3:$A$500,$C33,'DADOS BRUTOS'!B$3:B$500)))</f>
        <v>0</v>
      </c>
      <c r="CC33" s="133" t="n">
        <f aca="false">IF(OR(CC$4="",$B33=""),0,SUMIF('DADOS BRUTOS'!$A$3:$A$500,$B33,'DADOS BRUTOS'!C$3:C$500)+IF($C33="",0,SUMIF('DADOS BRUTOS'!$A$3:$A$500,$C33,'DADOS BRUTOS'!C$3:C$500)))</f>
        <v>0</v>
      </c>
      <c r="CD33" s="133" t="n">
        <f aca="false">IF(OR(CD$4="",$B33=""),0,SUMIF('DADOS BRUTOS'!$A$3:$A$500,$B33,'DADOS BRUTOS'!D$3:D$500)+IF($C33="",0,SUMIF('DADOS BRUTOS'!$A$3:$A$500,$C33,'DADOS BRUTOS'!D$3:D$500)))</f>
        <v>0</v>
      </c>
      <c r="CE33" s="133" t="n">
        <f aca="false">IF(OR(CE$4="",$B33=""),0,SUMIF('DADOS BRUTOS'!$A$3:$A$500,$B33,'DADOS BRUTOS'!E$3:E$500)+IF($C33="",0,SUMIF('DADOS BRUTOS'!$A$3:$A$500,$C33,'DADOS BRUTOS'!E$3:E$500)))</f>
        <v>0</v>
      </c>
      <c r="CF33" s="133" t="n">
        <f aca="false">IF(OR(CF$4="",$B33=""),0,SUMIF('DADOS BRUTOS'!$A$3:$A$500,$B33,'DADOS BRUTOS'!F$3:F$500)+IF($C33="",0,SUMIF('DADOS BRUTOS'!$A$3:$A$500,$C33,'DADOS BRUTOS'!F$3:F$500)))</f>
        <v>0</v>
      </c>
      <c r="CG33" s="133" t="n">
        <f aca="false">IF(OR(CG$4="",$B33=""),0,SUMIF('DADOS BRUTOS'!$A$3:$A$500,$B33,'DADOS BRUTOS'!G$3:G$500)+IF($C33="",0,SUMIF('DADOS BRUTOS'!$A$3:$A$500,$C33,'DADOS BRUTOS'!G$3:G$500)))</f>
        <v>0</v>
      </c>
      <c r="CH33" s="133" t="n">
        <f aca="false">IF(OR(CH$4="",$B33=""),0,SUMIF('DADOS BRUTOS'!$A$3:$A$500,$B33,'DADOS BRUTOS'!H$3:H$500)+IF($C33="",0,SUMIF('DADOS BRUTOS'!$A$3:$A$500,$C33,'DADOS BRUTOS'!H$3:H$500)))</f>
        <v>0</v>
      </c>
      <c r="CI33" s="133" t="n">
        <f aca="false">IF(OR(CI$4="",$B33=""),0,SUMIF('DADOS BRUTOS'!$A$3:$A$500,$B33,'DADOS BRUTOS'!I$3:I$500)+IF($C33="",0,SUMIF('DADOS BRUTOS'!$A$3:$A$500,$C33,'DADOS BRUTOS'!I$3:I$500)))</f>
        <v>0</v>
      </c>
      <c r="CJ33" s="133" t="n">
        <f aca="false">IF(OR(CJ$4="",$B33=""),0,SUMIF('DADOS BRUTOS'!$A$3:$A$500,$B33,'DADOS BRUTOS'!J$3:J$500)+IF($C33="",0,SUMIF('DADOS BRUTOS'!$A$3:$A$500,$C33,'DADOS BRUTOS'!J$3:J$500)))</f>
        <v>0</v>
      </c>
      <c r="CK33" s="133" t="n">
        <f aca="false">IF(OR(CK$4="",$B33=""),0,SUMIF('DADOS BRUTOS'!$A$3:$A$500,$B33,'DADOS BRUTOS'!K$3:K$500)+IF($C33="",0,SUMIF('DADOS BRUTOS'!$A$3:$A$500,$C33,'DADOS BRUTOS'!K$3:K$500)))</f>
        <v>0</v>
      </c>
      <c r="CL33" s="133" t="n">
        <f aca="false">IF(OR(CL$4="",$B33=""),0,SUMIF('DADOS BRUTOS'!$A$3:$A$500,$B33,'DADOS BRUTOS'!L$3:L$500)+IF($C33="",0,SUMIF('DADOS BRUTOS'!$A$3:$A$500,$C33,'DADOS BRUTOS'!L$3:L$500)))</f>
        <v>0</v>
      </c>
      <c r="CM33" s="133" t="n">
        <f aca="false">IF(OR(CM$4="",$B33=""),0,SUMIF('DADOS BRUTOS'!$A$3:$A$500,$B33,'DADOS BRUTOS'!M$3:M$500)+IF($C33="",0,SUMIF('DADOS BRUTOS'!$A$3:$A$500,$C33,'DADOS BRUTOS'!M$3:M$500)))</f>
        <v>0</v>
      </c>
      <c r="CN33" s="133" t="n">
        <f aca="false">IF(OR(CN$4="",$B33=""),0,SUMIF('DADOS BRUTOS'!$A$3:$A$500,$B33,'DADOS BRUTOS'!N$3:N$500)+IF($C33="",0,SUMIF('DADOS BRUTOS'!$A$3:$A$500,$C33,'DADOS BRUTOS'!N$3:N$500)))</f>
        <v>0</v>
      </c>
      <c r="CO33" s="133" t="n">
        <f aca="false">IF(OR(CO$4="",$B33=""),0,SUMIF('DADOS BRUTOS'!$A$3:$A$500,$B33,'DADOS BRUTOS'!O$3:O$500)+IF($C33="",0,SUMIF('DADOS BRUTOS'!$A$3:$A$500,$C33,'DADOS BRUTOS'!O$3:O$500)))</f>
        <v>0</v>
      </c>
      <c r="CP33" s="133" t="n">
        <f aca="false">IF(OR(CP$4="",$B33=""),0,SUMIF('DADOS BRUTOS'!$A$3:$A$500,$B33,'DADOS BRUTOS'!P$3:P$500)+IF($C33="",0,SUMIF('DADOS BRUTOS'!$A$3:$A$500,$C33,'DADOS BRUTOS'!P$3:P$500)))</f>
        <v>0</v>
      </c>
      <c r="CQ33" s="133" t="n">
        <f aca="false">IF(OR(CQ$4="",$B33=""),0,SUMIF('DADOS BRUTOS'!$A$3:$A$500,$B33,'DADOS BRUTOS'!Q$3:Q$500)+IF($C33="",0,SUMIF('DADOS BRUTOS'!$A$3:$A$500,$C33,'DADOS BRUTOS'!Q$3:Q$500)))</f>
        <v>0</v>
      </c>
      <c r="CR33" s="133" t="n">
        <f aca="false">IF(OR(CR$4="",$B33=""),0,SUMIF('DADOS BRUTOS'!$A$3:$A$500,$B33,'DADOS BRUTOS'!R$3:R$500)+IF($C33="",0,SUMIF('DADOS BRUTOS'!$A$3:$A$500,$C33,'DADOS BRUTOS'!R$3:R$500)))</f>
        <v>0</v>
      </c>
      <c r="CS33" s="133" t="n">
        <f aca="false">IF(OR(CS$4="",$B33=""),0,SUMIF('DADOS BRUTOS'!$A$3:$A$500,$B33,'DADOS BRUTOS'!S$3:S$500)+IF($C33="",0,SUMIF('DADOS BRUTOS'!$A$3:$A$500,$C33,'DADOS BRUTOS'!S$3:S$500)))</f>
        <v>0</v>
      </c>
      <c r="CT33" s="133" t="n">
        <f aca="false">IF(OR(CT$4="",$B33=""),0,SUMIF('DADOS BRUTOS'!$A$3:$A$500,$B33,'DADOS BRUTOS'!T$3:T$500)+IF($C33="",0,SUMIF('DADOS BRUTOS'!$A$3:$A$500,$C33,'DADOS BRUTOS'!T$3:T$500)))</f>
        <v>0</v>
      </c>
      <c r="CU33" s="133" t="n">
        <f aca="false">IF(OR(CU$4="",$B33=""),0,SUMIF('DADOS BRUTOS'!$A$3:$A$500,$B33,'DADOS BRUTOS'!U$3:U$500)+IF($C33="",0,SUMIF('DADOS BRUTOS'!$A$3:$A$500,$C33,'DADOS BRUTOS'!U$3:U$500)))</f>
        <v>0</v>
      </c>
      <c r="CV33" s="133" t="n">
        <f aca="false">IF(OR(CV$4="",$B33=""),0,SUMIF('DADOS BRUTOS'!$A$3:$A$500,$B33,'DADOS BRUTOS'!V$3:V$500)+IF($C33="",0,SUMIF('DADOS BRUTOS'!$A$3:$A$500,$C33,'DADOS BRUTOS'!V$3:V$500)))</f>
        <v>0</v>
      </c>
      <c r="CW33" s="133" t="n">
        <f aca="false">IF(OR(CW$4="",$B33=""),0,SUMIF('DADOS BRUTOS'!$A$3:$A$500,$B33,'DADOS BRUTOS'!W$3:W$500)+IF($C33="",0,SUMIF('DADOS BRUTOS'!$A$3:$A$500,$C33,'DADOS BRUTOS'!W$3:W$500)))</f>
        <v>0</v>
      </c>
      <c r="CX33" s="133" t="n">
        <f aca="false">IF(OR(CX$4="",$B33=""),0,SUMIF('DADOS BRUTOS'!$A$3:$A$500,$B33,'DADOS BRUTOS'!X$3:X$500)+IF($C33="",0,SUMIF('DADOS BRUTOS'!$A$3:$A$500,$C33,'DADOS BRUTOS'!X$3:X$500)))</f>
        <v>0</v>
      </c>
      <c r="CY33" s="133" t="n">
        <f aca="false">IF(OR(CY$4="",$B33=""),0,SUMIF('DADOS BRUTOS'!$A$3:$A$500,$B33,'DADOS BRUTOS'!Y$3:Y$500)+IF($C33="",0,SUMIF('DADOS BRUTOS'!$A$3:$A$500,$C33,'DADOS BRUTOS'!Y$3:Y$500)))</f>
        <v>0</v>
      </c>
      <c r="CZ33" s="133" t="n">
        <f aca="false">IF(OR(CZ$4="",$B33=""),0,SUMIF('DADOS BRUTOS'!$A$3:$A$500,$B33,'DADOS BRUTOS'!Z$3:Z$500)+IF($C33="",0,SUMIF('DADOS BRUTOS'!$A$3:$A$500,$C33,'DADOS BRUTOS'!Z$3:Z$500)))</f>
        <v>0</v>
      </c>
      <c r="DA33" s="133" t="n">
        <f aca="false">IF(OR(DA$4="",$B33=""),0,SUMIF('DADOS BRUTOS'!$A$3:$A$500,$B33,'DADOS BRUTOS'!AA$3:AA$500)+IF($C33="",0,SUMIF('DADOS BRUTOS'!$A$3:$A$500,$C33,'DADOS BRUTOS'!AA$3:AA$500)))</f>
        <v>0</v>
      </c>
      <c r="DB33" s="133" t="n">
        <f aca="false">IF(OR(DB$4="",$B33=""),0,SUMIF('DADOS BRUTOS'!$A$3:$A$500,$B33,'DADOS BRUTOS'!AB$3:AB$500)+IF($C33="",0,SUMIF('DADOS BRUTOS'!$A$3:$A$500,$C33,'DADOS BRUTOS'!AB$3:AB$500)))</f>
        <v>0</v>
      </c>
      <c r="DC33" s="133" t="n">
        <f aca="false">IF(OR(DC$4="",$B33=""),0,SUMIF('DADOS BRUTOS'!$A$3:$A$500,$B33,'DADOS BRUTOS'!AC$3:AC$500)+IF($C33="",0,SUMIF('DADOS BRUTOS'!$A$3:$A$500,$C33,'DADOS BRUTOS'!AC$3:AC$500)))</f>
        <v>0</v>
      </c>
      <c r="DD33" s="133" t="n">
        <f aca="false">IF(OR(DD$4="",$B33=""),0,SUMIF('DADOS BRUTOS'!$A$3:$A$500,$B33,'DADOS BRUTOS'!AD$3:AD$500)+IF($C33="",0,SUMIF('DADOS BRUTOS'!$A$3:$A$500,$C33,'DADOS BRUTOS'!AD$3:AD$500)))</f>
        <v>0</v>
      </c>
      <c r="DE33" s="133" t="n">
        <f aca="false">IF(OR(DE$4="",$B33=""),0,SUMIF('DADOS BRUTOS'!$A$3:$A$500,$B33,'DADOS BRUTOS'!AE$3:AE$500)+IF($C33="",0,SUMIF('DADOS BRUTOS'!$A$3:$A$500,$C33,'DADOS BRUTOS'!AE$3:AE$500)))</f>
        <v>0</v>
      </c>
      <c r="DF33" s="133" t="n">
        <f aca="false">IF(OR(DF$4="",$B33=""),0,SUMIF('DADOS BRUTOS'!$A$3:$A$500,$B33,'DADOS BRUTOS'!AF$3:AF$500)+IF($C33="",0,SUMIF('DADOS BRUTOS'!$A$3:$A$500,$C33,'DADOS BRUTOS'!AF$3:AF$500)))</f>
        <v>0</v>
      </c>
      <c r="DG33" s="133" t="n">
        <f aca="false">IF(OR(DG$4="",$B33=""),0,SUMIF('DADOS BRUTOS'!$A$3:$A$500,$B33,'DADOS BRUTOS'!AG$3:AG$500)+IF($C33="",0,SUMIF('DADOS BRUTOS'!$A$3:$A$500,$C33,'DADOS BRUTOS'!AG$3:AG$500)))</f>
        <v>0</v>
      </c>
      <c r="DH33" s="133" t="n">
        <f aca="false">IF(OR(DH$4="",$B33=""),0,SUMIF('DADOS BRUTOS'!$A$3:$A$500,$B33,'DADOS BRUTOS'!AH$3:AH$500)+IF($C33="",0,SUMIF('DADOS BRUTOS'!$A$3:$A$500,$C33,'DADOS BRUTOS'!AH$3:AH$500)))</f>
        <v>0</v>
      </c>
      <c r="DI33" s="133" t="n">
        <f aca="false">IF(OR(DI$4="",$B33=""),0,SUMIF('DADOS BRUTOS'!$A$3:$A$500,$B33,'DADOS BRUTOS'!AI$3:AI$500)+IF($C33="",0,SUMIF('DADOS BRUTOS'!$A$3:$A$500,$C33,'DADOS BRUTOS'!AI$3:AI$500)))</f>
        <v>0</v>
      </c>
      <c r="DJ33" s="133" t="n">
        <f aca="false">IF(OR(DJ$4="",$B33=""),0,SUMIF('DADOS BRUTOS'!$A$3:$A$500,$B33,'DADOS BRUTOS'!AJ$3:AJ$500)+IF($C33="",0,SUMIF('DADOS BRUTOS'!$A$3:$A$500,$C33,'DADOS BRUTOS'!AJ$3:AJ$500)))</f>
        <v>0</v>
      </c>
      <c r="DK33" s="133" t="n">
        <f aca="false">IF(OR(DK$4="",$B33=""),0,SUMIF('DADOS BRUTOS'!$A$3:$A$500,$B33,'DADOS BRUTOS'!AK$3:AK$500)+IF($C33="",0,SUMIF('DADOS BRUTOS'!$A$3:$A$500,$C33,'DADOS BRUTOS'!AK$3:AK$500)))</f>
        <v>0</v>
      </c>
      <c r="DL33" s="133" t="n">
        <f aca="false">IF(OR(DL$4="",$B33=""),0,SUMIF('DADOS BRUTOS'!$A$3:$A$500,$B33,'DADOS BRUTOS'!AL$3:AL$500)+IF($C33="",0,SUMIF('DADOS BRUTOS'!$A$3:$A$500,$C33,'DADOS BRUTOS'!AL$3:AL$500)))</f>
        <v>0</v>
      </c>
      <c r="DM33" s="133" t="n">
        <f aca="false">IF(OR(DM$4="",$B33=""),0,SUMIF('DADOS BRUTOS'!$A$3:$A$500,$B33,'DADOS BRUTOS'!AM$3:AM$500)+IF($C33="",0,SUMIF('DADOS BRUTOS'!$A$3:$A$500,$C33,'DADOS BRUTOS'!AM$3:AM$500)))</f>
        <v>0</v>
      </c>
      <c r="DN33" s="133" t="n">
        <f aca="false">IF(OR(DN$4="",$B33=""),0,SUMIF('DADOS BRUTOS'!$A$3:$A$500,$B33,'DADOS BRUTOS'!AN$3:AN$500)+IF($C33="",0,SUMIF('DADOS BRUTOS'!$A$3:$A$500,$C33,'DADOS BRUTOS'!AN$3:AN$500)))</f>
        <v>0</v>
      </c>
      <c r="DO33" s="133" t="n">
        <f aca="false">IF(OR(DO$4="",$B33=""),0,SUMIF('DADOS BRUTOS'!$A$3:$A$500,$B33,'DADOS BRUTOS'!AO$3:AO$500)+IF($C33="",0,SUMIF('DADOS BRUTOS'!$A$3:$A$500,$C33,'DADOS BRUTOS'!AO$3:AO$500)))</f>
        <v>0</v>
      </c>
      <c r="DP33" s="133" t="n">
        <f aca="false">IF(OR(DP$4="",$B33=""),0,SUMIF('DADOS BRUTOS'!$A$3:$A$500,$B33,'DADOS BRUTOS'!AP$3:AP$500)+IF($C33="",0,SUMIF('DADOS BRUTOS'!$A$3:$A$500,$C33,'DADOS BRUTOS'!AP$3:AP$500)))</f>
        <v>0</v>
      </c>
      <c r="DQ33" s="133" t="n">
        <f aca="false">IF(OR(DQ$4="",$B33=""),0,SUMIF('DADOS BRUTOS'!$A$3:$A$500,$B33,'DADOS BRUTOS'!AQ$3:AQ$500)+IF($C33="",0,SUMIF('DADOS BRUTOS'!$A$3:$A$500,$C33,'DADOS BRUTOS'!AQ$3:AQ$500)))</f>
        <v>0</v>
      </c>
      <c r="DR33" s="133" t="n">
        <f aca="false">IF(OR(DR$4="",$B33=""),0,SUMIF('DADOS BRUTOS'!$A$3:$A$500,$B33,'DADOS BRUTOS'!AR$3:AR$500)+IF($C33="",0,SUMIF('DADOS BRUTOS'!$A$3:$A$500,$C33,'DADOS BRUTOS'!AR$3:AR$500)))</f>
        <v>0</v>
      </c>
      <c r="DS33" s="133" t="n">
        <f aca="false">IF(OR(DS$4="",$B33=""),0,SUMIF('DADOS BRUTOS'!$A$3:$A$500,$B33,'DADOS BRUTOS'!AS$3:AS$500)+IF($C33="",0,SUMIF('DADOS BRUTOS'!$A$3:$A$500,$C33,'DADOS BRUTOS'!AS$3:AS$500)))</f>
        <v>0</v>
      </c>
      <c r="DT33" s="133" t="n">
        <f aca="false">IF(OR(DT$4="",$B33=""),0,SUMIF('DADOS BRUTOS'!$A$3:$A$500,$B33,'DADOS BRUTOS'!AT$3:AT$500)+IF($C33="",0,SUMIF('DADOS BRUTOS'!$A$3:$A$500,$C33,'DADOS BRUTOS'!AT$3:AT$500)))</f>
        <v>0</v>
      </c>
      <c r="DU33" s="133" t="n">
        <f aca="false">IF(OR(DU$4="",$B33=""),0,SUMIF('DADOS BRUTOS'!$A$3:$A$500,$B33,'DADOS BRUTOS'!AU$3:AU$500)+IF($C33="",0,SUMIF('DADOS BRUTOS'!$A$3:$A$500,$C33,'DADOS BRUTOS'!AU$3:AU$500)))</f>
        <v>0</v>
      </c>
      <c r="DV33" s="133" t="n">
        <f aca="false">IF(OR(DV$4="",$B33=""),0,SUMIF('DADOS BRUTOS'!$A$3:$A$500,$B33,'DADOS BRUTOS'!AV$3:AV$500)+IF($C33="",0,SUMIF('DADOS BRUTOS'!$A$3:$A$500,$C33,'DADOS BRUTOS'!AV$3:AV$500)))</f>
        <v>0</v>
      </c>
      <c r="DW33" s="133" t="n">
        <f aca="false">IF(OR(DW$4="",$B33=""),0,SUMIF('DADOS BRUTOS'!$A$3:$A$500,$B33,'DADOS BRUTOS'!AW$3:AW$500)+IF($C33="",0,SUMIF('DADOS BRUTOS'!$A$3:$A$500,$C33,'DADOS BRUTOS'!AW$3:AW$500)))</f>
        <v>0</v>
      </c>
      <c r="DX33" s="133" t="n">
        <f aca="false">IF(OR(DX$4="",$B33=""),0,SUMIF('DADOS BRUTOS'!$A$3:$A$500,$B33,'DADOS BRUTOS'!AX$3:AX$500)+IF($C33="",0,SUMIF('DADOS BRUTOS'!$A$3:$A$500,$C33,'DADOS BRUTOS'!AX$3:AX$500)))</f>
        <v>0</v>
      </c>
      <c r="DY33" s="133" t="n">
        <f aca="false">IF(OR(DY$4="",$B33=""),0,SUMIF('DADOS BRUTOS'!$A$3:$A$500,$B33,'DADOS BRUTOS'!AY$3:AY$500)+IF($C33="",0,SUMIF('DADOS BRUTOS'!$A$3:$A$500,$C33,'DADOS BRUTOS'!AY$3:AY$500)))</f>
        <v>0</v>
      </c>
      <c r="DZ33" s="133" t="n">
        <f aca="false">IF(OR(DZ$4="",$B33=""),0,SUMIF('DADOS BRUTOS'!$A$3:$A$500,$B33,'DADOS BRUTOS'!AZ$3:AZ$500)+IF($C33="",0,SUMIF('DADOS BRUTOS'!$A$3:$A$500,$C33,'DADOS BRUTOS'!AZ$3:AZ$500)))</f>
        <v>0</v>
      </c>
      <c r="EA33" s="133" t="n">
        <f aca="false">IF(OR(EA$4="",$B33=""),0,SUMIF('DADOS BRUTOS'!$A$3:$A$500,$B33,'DADOS BRUTOS'!BA$3:BA$500)+IF($C33="",0,SUMIF('DADOS BRUTOS'!$A$3:$A$500,$C33,'DADOS BRUTOS'!BA$3:BA$500)))</f>
        <v>0</v>
      </c>
      <c r="EB33" s="133" t="n">
        <f aca="false">IF(OR(EB$4="",$B33=""),0,SUMIF('DADOS BRUTOS'!$A$3:$A$500,$B33,'DADOS BRUTOS'!BB$3:BB$500)+IF($C33="",0,SUMIF('DADOS BRUTOS'!$A$3:$A$500,$C33,'DADOS BRUTOS'!BB$3:BB$500)))</f>
        <v>0</v>
      </c>
      <c r="EC33" s="133" t="n">
        <f aca="false">IF(OR(EC$4="",$B33=""),0,SUMIF('DADOS BRUTOS'!$A$3:$A$500,$B33,'DADOS BRUTOS'!BC$3:BC$500)+IF($C33="",0,SUMIF('DADOS BRUTOS'!$A$3:$A$500,$C33,'DADOS BRUTOS'!BC$3:BC$500)))</f>
        <v>0</v>
      </c>
      <c r="ED33" s="133" t="n">
        <f aca="false">IF(OR(ED$4="",$B33=""),0,SUMIF('DADOS BRUTOS'!$A$3:$A$500,$B33,'DADOS BRUTOS'!BD$3:BD$500)+IF($C33="",0,SUMIF('DADOS BRUTOS'!$A$3:$A$500,$C33,'DADOS BRUTOS'!BD$3:BD$500)))</f>
        <v>0</v>
      </c>
      <c r="EE33" s="133" t="n">
        <f aca="false">IF(OR(EE$4="",$B33=""),0,SUMIF('DADOS BRUTOS'!$A$3:$A$500,$B33,'DADOS BRUTOS'!BE$3:BE$500)+IF($C33="",0,SUMIF('DADOS BRUTOS'!$A$3:$A$500,$C33,'DADOS BRUTOS'!BE$3:BE$500)))</f>
        <v>0</v>
      </c>
      <c r="EF33" s="133" t="n">
        <f aca="false">IF(OR(EF$4="",$B33=""),0,SUMIF('DADOS BRUTOS'!$A$3:$A$500,$B33,'DADOS BRUTOS'!BF$3:BF$500)+IF($C33="",0,SUMIF('DADOS BRUTOS'!$A$3:$A$500,$C33,'DADOS BRUTOS'!BF$3:BF$500)))</f>
        <v>0</v>
      </c>
      <c r="EG33" s="133" t="n">
        <f aca="false">IF(OR(EG$4="",$B33=""),0,SUMIF('DADOS BRUTOS'!$A$3:$A$500,$B33,'DADOS BRUTOS'!BG$3:BG$500)+IF($C33="",0,SUMIF('DADOS BRUTOS'!$A$3:$A$500,$C33,'DADOS BRUTOS'!BG$3:BG$500)))</f>
        <v>0</v>
      </c>
      <c r="EH33" s="133" t="n">
        <f aca="false">IF(OR(EH$4="",$B33=""),0,SUMIF('DADOS BRUTOS'!$A$3:$A$500,$B33,'DADOS BRUTOS'!BH$3:BH$500)+IF($C33="",0,SUMIF('DADOS BRUTOS'!$A$3:$A$500,$C33,'DADOS BRUTOS'!BH$3:BH$500)))</f>
        <v>0</v>
      </c>
      <c r="EI33" s="133" t="n">
        <f aca="false">IF(OR(EI$4="",$B33=""),0,SUMIF('DADOS BRUTOS'!$A$3:$A$500,$B33,'DADOS BRUTOS'!BI$3:BI$500)+IF($C33="",0,SUMIF('DADOS BRUTOS'!$A$3:$A$500,$C33,'DADOS BRUTOS'!BI$3:BI$500)))</f>
        <v>0</v>
      </c>
      <c r="EJ33" s="133" t="n">
        <f aca="false">IF(OR(EJ$4="",$B33=""),0,SUMIF('DADOS BRUTOS'!$A$3:$A$500,$B33,'DADOS BRUTOS'!BJ$3:BJ$500)+IF($C33="",0,SUMIF('DADOS BRUTOS'!$A$3:$A$500,$C33,'DADOS BRUTOS'!BJ$3:BJ$500)))</f>
        <v>0</v>
      </c>
      <c r="EK33" s="133" t="n">
        <f aca="false">IF(OR(EK$4="",$B33=""),0,SUMIF('DADOS BRUTOS'!$A$3:$A$500,$B33,'DADOS BRUTOS'!BK$3:BK$500)+IF($C33="",0,SUMIF('DADOS BRUTOS'!$A$3:$A$500,$C33,'DADOS BRUTOS'!BK$3:BK$500)))</f>
        <v>0</v>
      </c>
      <c r="EL33" s="133" t="n">
        <f aca="false">IF(OR(EL$4="",$B33=""),0,SUMIF('DADOS BRUTOS'!$A$3:$A$500,$B33,'DADOS BRUTOS'!BL$3:BL$500)+IF($C33="",0,SUMIF('DADOS BRUTOS'!$A$3:$A$500,$C33,'DADOS BRUTOS'!BL$3:BL$500)))</f>
        <v>0</v>
      </c>
      <c r="EM33" s="133" t="n">
        <f aca="false">IF(OR(EM$4="",$B33=""),0,SUMIF('DADOS BRUTOS'!$A$3:$A$500,$B33,'DADOS BRUTOS'!BM$3:BM$500)+IF($C33="",0,SUMIF('DADOS BRUTOS'!$A$3:$A$500,$C33,'DADOS BRUTOS'!BM$3:BM$500)))</f>
        <v>0</v>
      </c>
      <c r="EN33" s="133" t="n">
        <f aca="false">IF(OR(EN$4="",$B33=""),0,SUMIF('DADOS BRUTOS'!$A$3:$A$500,$B33,'DADOS BRUTOS'!BN$3:BN$500)+IF($C33="",0,SUMIF('DADOS BRUTOS'!$A$3:$A$500,$C33,'DADOS BRUTOS'!BN$3:BN$500)))</f>
        <v>0</v>
      </c>
      <c r="EO33" s="133" t="n">
        <f aca="false">IF(OR(EO$4="",$B33=""),0,SUMIF('DADOS BRUTOS'!$A$3:$A$500,$B33,'DADOS BRUTOS'!BO$3:BO$500)+IF($C33="",0,SUMIF('DADOS BRUTOS'!$A$3:$A$500,$C33,'DADOS BRUTOS'!BO$3:BO$500)))</f>
        <v>0</v>
      </c>
      <c r="EP33" s="133" t="n">
        <f aca="false">IF(OR(EP$4="",$B33=""),0,SUMIF('DADOS BRUTOS'!$A$3:$A$500,$B33,'DADOS BRUTOS'!BP$3:BP$500)+IF($C33="",0,SUMIF('DADOS BRUTOS'!$A$3:$A$500,$C33,'DADOS BRUTOS'!BP$3:BP$500)))</f>
        <v>0</v>
      </c>
      <c r="EQ33" s="133" t="n">
        <f aca="false">IF(OR(EQ$4="",$B33=""),0,SUMIF('DADOS BRUTOS'!$A$3:$A$500,$B33,'DADOS BRUTOS'!BQ$3:BQ$500)+IF($C33="",0,SUMIF('DADOS BRUTOS'!$A$3:$A$500,$C33,'DADOS BRUTOS'!BQ$3:BQ$500)))</f>
        <v>0</v>
      </c>
      <c r="ER33" s="133" t="n">
        <f aca="false">IF(OR(ER$4="",$B33=""),0,SUMIF('DADOS BRUTOS'!$A$3:$A$500,$B33,'DADOS BRUTOS'!BR$3:BR$500)+IF($C33="",0,SUMIF('DADOS BRUTOS'!$A$3:$A$500,$C33,'DADOS BRUTOS'!BR$3:BR$500)))</f>
        <v>0</v>
      </c>
      <c r="ES33" s="133" t="n">
        <f aca="false">IF(OR(ES$4="",$B33=""),0,SUMIF('DADOS BRUTOS'!$A$3:$A$500,$B33,'DADOS BRUTOS'!BS$3:BS$500)+IF($C33="",0,SUMIF('DADOS BRUTOS'!$A$3:$A$500,$C33,'DADOS BRUTOS'!BS$3:BS$500)))</f>
        <v>0</v>
      </c>
      <c r="ET33" s="133" t="n">
        <f aca="false">IF(OR(ET$4="",$B33=""),0,SUMIF('DADOS BRUTOS'!$A$3:$A$500,$B33,'DADOS BRUTOS'!BT$3:BT$500)+IF($C33="",0,SUMIF('DADOS BRUTOS'!$A$3:$A$500,$C33,'DADOS BRUTOS'!BT$3:BT$500)))</f>
        <v>0</v>
      </c>
      <c r="EU33" s="133" t="n">
        <f aca="false">IF(OR(EU$4="",$B33=""),0,SUMIF('DADOS BRUTOS'!$A$3:$A$500,$B33,'DADOS BRUTOS'!BU$3:BU$500)+IF($C33="",0,SUMIF('DADOS BRUTOS'!$A$3:$A$500,$C33,'DADOS BRUTOS'!BU$3:BU$500)))</f>
        <v>0</v>
      </c>
      <c r="EV33" s="133" t="n">
        <f aca="false">IF(OR(EV$4="",$B33=""),0,SUMIF('DADOS BRUTOS'!$A$3:$A$500,$B33,'DADOS BRUTOS'!BV$3:BV$500)+IF($C33="",0,SUMIF('DADOS BRUTOS'!$A$3:$A$500,$C33,'DADOS BRUTOS'!BV$3:BV$500)))</f>
        <v>0</v>
      </c>
      <c r="EW33" s="133" t="n">
        <f aca="false">IF(OR(EW$4="",$B33=""),0,SUMIF('DADOS BRUTOS'!$A$3:$A$500,$B33,'DADOS BRUTOS'!BW$3:BW$500)+IF($C33="",0,SUMIF('DADOS BRUTOS'!$A$3:$A$500,$C33,'DADOS BRUTOS'!BW$3:BW$500)))</f>
        <v>0</v>
      </c>
      <c r="EX33" s="133" t="n">
        <f aca="false">IF(OR(EX$4="",$B33=""),0,SUMIF('DADOS BRUTOS'!$A$3:$A$500,$B33,'DADOS BRUTOS'!BX$3:BX$500)+IF($C33="",0,SUMIF('DADOS BRUTOS'!$A$3:$A$500,$C33,'DADOS BRUTOS'!BX$3:BX$500)))</f>
        <v>0</v>
      </c>
      <c r="EY33" s="133" t="n">
        <f aca="false">IF(OR(EY$4="",$B33=""),0,SUMIF('DADOS BRUTOS'!$A$3:$A$500,$B33,'DADOS BRUTOS'!BY$3:BY$500)+IF($C33="",0,SUMIF('DADOS BRUTOS'!$A$3:$A$500,$C33,'DADOS BRUTOS'!BY$3:BY$500)))</f>
        <v>0</v>
      </c>
      <c r="EZ33" s="133" t="n">
        <f aca="false">IF(OR(EZ$4="",$B33=""),0,SUMIF('DADOS BRUTOS'!$A$3:$A$500,$B33,'DADOS BRUTOS'!BZ$3:BZ$500)+IF($C33="",0,SUMIF('DADOS BRUTOS'!$A$3:$A$500,$C33,'DADOS BRUTOS'!BZ$3:BZ$500)))</f>
        <v>0</v>
      </c>
      <c r="FA33" s="133" t="n">
        <f aca="false">IF(OR(FA$4="",$B33=""),0,SUMIF('DADOS BRUTOS'!$A$3:$A$500,$B33,'DADOS BRUTOS'!CA$3:CA$500)+IF($C33="",0,SUMIF('DADOS BRUTOS'!$A$3:$A$500,$C33,'DADOS BRUTOS'!CA$3:CA$500)))</f>
        <v>0</v>
      </c>
      <c r="FB33" s="133" t="n">
        <f aca="false">IF(OR(FB$4="",$B33=""),0,SUMIF('DADOS BRUTOS'!$A$3:$A$500,$B33,'DADOS BRUTOS'!CB$3:CB$500)+IF($C33="",0,SUMIF('DADOS BRUTOS'!$A$3:$A$500,$C33,'DADOS BRUTOS'!CB$3:CB$500)))</f>
        <v>0</v>
      </c>
      <c r="FC33" s="133" t="n">
        <f aca="false">IF(OR(FC$4="",$B33=""),0,SUMIF('DADOS BRUTOS'!$A$3:$A$500,$B33,'DADOS BRUTOS'!CC$3:CC$500)+IF($C33="",0,SUMIF('DADOS BRUTOS'!$A$3:$A$500,$C33,'DADOS BRUTOS'!CC$3:CC$500)))</f>
        <v>0</v>
      </c>
      <c r="FD33" s="133" t="n">
        <f aca="false">IF(OR(FD$4="",$B33=""),0,SUMIF('DADOS BRUTOS'!$A$3:$A$500,$B33,'DADOS BRUTOS'!CD$3:CD$500)+IF($C33="",0,SUMIF('DADOS BRUTOS'!$A$3:$A$500,$C33,'DADOS BRUTOS'!CD$3:CD$500)))</f>
        <v>0</v>
      </c>
      <c r="FE33" s="133" t="n">
        <f aca="false">IF(OR(FE$4="",$B33=""),0,SUMIF('DADOS BRUTOS'!$A$3:$A$500,$B33,'DADOS BRUTOS'!CE$3:CE$500)+IF($C33="",0,SUMIF('DADOS BRUTOS'!$A$3:$A$500,$C33,'DADOS BRUTOS'!CE$3:CE$500)))</f>
        <v>0</v>
      </c>
      <c r="FF33" s="133" t="n">
        <f aca="false">IF(OR(FF$4="",$B33=""),0,SUMIF('DADOS BRUTOS'!$A$3:$A$500,$B33,'DADOS BRUTOS'!CF$3:CF$500)+IF($C33="",0,SUMIF('DADOS BRUTOS'!$A$3:$A$500,$C33,'DADOS BRUTOS'!CF$3:CF$500)))</f>
        <v>0</v>
      </c>
      <c r="FG33" s="133" t="n">
        <f aca="false">IF(OR(FG$4="",$B33=""),0,SUMIF('DADOS BRUTOS'!$A$3:$A$500,$B33,'DADOS BRUTOS'!CG$3:CG$500)+IF($C33="",0,SUMIF('DADOS BRUTOS'!$A$3:$A$500,$C33,'DADOS BRUTOS'!CG$3:CG$500)))</f>
        <v>0</v>
      </c>
      <c r="FH33" s="133" t="n">
        <f aca="false">IF(OR(FH$4="",$B33=""),0,SUMIF('DADOS BRUTOS'!$A$3:$A$500,$B33,'DADOS BRUTOS'!CH$3:CH$500)+IF($C33="",0,SUMIF('DADOS BRUTOS'!$A$3:$A$500,$C33,'DADOS BRUTOS'!CH$3:CH$500)))</f>
        <v>0</v>
      </c>
      <c r="FI33" s="133" t="n">
        <f aca="false">IF(OR(FI$4="",$B33=""),0,SUMIF('DADOS BRUTOS'!$A$3:$A$500,$B33,'DADOS BRUTOS'!CI$3:CI$500)+IF($C33="",0,SUMIF('DADOS BRUTOS'!$A$3:$A$500,$C33,'DADOS BRUTOS'!CI$3:CI$500)))</f>
        <v>0</v>
      </c>
      <c r="FJ33" s="133" t="n">
        <f aca="false">IF(OR(FJ$4="",$B33=""),0,SUMIF('DADOS BRUTOS'!$A$3:$A$500,$B33,'DADOS BRUTOS'!CJ$3:CJ$500)+IF($C33="",0,SUMIF('DADOS BRUTOS'!$A$3:$A$500,$C33,'DADOS BRUTOS'!CJ$3:CJ$500)))</f>
        <v>0</v>
      </c>
      <c r="FK33" s="133" t="n">
        <f aca="false">IF(OR(FK$4="",$B33=""),0,SUMIF('DADOS BRUTOS'!$A$3:$A$500,$B33,'DADOS BRUTOS'!CK$3:CK$500)+IF($C33="",0,SUMIF('DADOS BRUTOS'!$A$3:$A$500,$C33,'DADOS BRUTOS'!CK$3:CK$500)))</f>
        <v>0</v>
      </c>
      <c r="FL33" s="133" t="n">
        <f aca="false">IF(OR(FL$4="",$B33=""),0,SUMIF('DADOS BRUTOS'!$A$3:$A$500,$B33,'DADOS BRUTOS'!CL$3:CL$500)+IF($C33="",0,SUMIF('DADOS BRUTOS'!$A$3:$A$500,$C33,'DADOS BRUTOS'!CL$3:CL$500)))</f>
        <v>0</v>
      </c>
      <c r="FM33" s="133" t="n">
        <f aca="false">IF(OR(FM$4="",$B33=""),0,SUMIF('DADOS BRUTOS'!$A$3:$A$500,$B33,'DADOS BRUTOS'!CM$3:CM$500)+IF($C33="",0,SUMIF('DADOS BRUTOS'!$A$3:$A$500,$C33,'DADOS BRUTOS'!CM$3:CM$500)))</f>
        <v>0</v>
      </c>
      <c r="FN33" s="133" t="n">
        <f aca="false">IF(OR(FN$4="",$B33=""),0,SUMIF('DADOS BRUTOS'!$A$3:$A$500,$B33,'DADOS BRUTOS'!CN$3:CN$500)+IF($C33="",0,SUMIF('DADOS BRUTOS'!$A$3:$A$500,$C33,'DADOS BRUTOS'!CN$3:CN$500)))</f>
        <v>0</v>
      </c>
      <c r="FO33" s="133" t="n">
        <f aca="false">IF(OR(FO$4="",$B33=""),0,SUMIF('DADOS BRUTOS'!$A$3:$A$500,$B33,'DADOS BRUTOS'!CO$3:CO$500)+IF($C33="",0,SUMIF('DADOS BRUTOS'!$A$3:$A$500,$C33,'DADOS BRUTOS'!CO$3:CO$500)))</f>
        <v>0</v>
      </c>
      <c r="FP33" s="133" t="n">
        <f aca="false">IF(OR(FP$4="",$B33=""),0,SUMIF('DADOS BRUTOS'!$A$3:$A$500,$B33,'DADOS BRUTOS'!CP$3:CP$500)+IF($C33="",0,SUMIF('DADOS BRUTOS'!$A$3:$A$500,$C33,'DADOS BRUTOS'!CP$3:CP$500)))</f>
        <v>0</v>
      </c>
      <c r="FQ33" s="133" t="n">
        <f aca="false">IF(OR(FQ$4="",$B33=""),0,SUMIF('DADOS BRUTOS'!$A$3:$A$500,$B33,'DADOS BRUTOS'!CQ$3:CQ$500)+IF($C33="",0,SUMIF('DADOS BRUTOS'!$A$3:$A$500,$C33,'DADOS BRUTOS'!CQ$3:CQ$500)))</f>
        <v>0</v>
      </c>
      <c r="FR33" s="133" t="n">
        <f aca="false">IF(OR(FR$4="",$B33=""),0,SUMIF('DADOS BRUTOS'!$A$3:$A$500,$B33,'DADOS BRUTOS'!CR$3:CR$500)+IF($C33="",0,SUMIF('DADOS BRUTOS'!$A$3:$A$500,$C33,'DADOS BRUTOS'!CR$3:CR$500)))</f>
        <v>0</v>
      </c>
      <c r="FS33" s="133" t="n">
        <f aca="false">IF(OR(FS$4="",$B33=""),0,SUMIF('DADOS BRUTOS'!$A$3:$A$500,$B33,'DADOS BRUTOS'!CS$3:CS$500)+IF($C33="",0,SUMIF('DADOS BRUTOS'!$A$3:$A$500,$C33,'DADOS BRUTOS'!CS$3:CS$500)))</f>
        <v>0</v>
      </c>
      <c r="FT33" s="133" t="n">
        <f aca="false">IF(OR(FT$4="",$B33=""),0,SUMIF('DADOS BRUTOS'!$A$3:$A$500,$B33,'DADOS BRUTOS'!CT$3:CT$500)+IF($C33="",0,SUMIF('DADOS BRUTOS'!$A$3:$A$500,$C33,'DADOS BRUTOS'!CT$3:CT$500)))</f>
        <v>0</v>
      </c>
      <c r="FU33" s="133" t="n">
        <f aca="false">IF(OR(FU$4="",$B33=""),0,SUMIF('DADOS BRUTOS'!$A$3:$A$500,$B33,'DADOS BRUTOS'!CU$3:CU$500)+IF($C33="",0,SUMIF('DADOS BRUTOS'!$A$3:$A$500,$C33,'DADOS BRUTOS'!CU$3:CU$500)))</f>
        <v>0</v>
      </c>
      <c r="FV33" s="133" t="n">
        <f aca="false">IF(OR(FV$4="",$B33=""),0,SUMIF('DADOS BRUTOS'!$A$3:$A$500,$B33,'DADOS BRUTOS'!CV$3:CV$500)+IF($C33="",0,SUMIF('DADOS BRUTOS'!$A$3:$A$500,$C33,'DADOS BRUTOS'!CV$3:CV$500)))</f>
        <v>0</v>
      </c>
      <c r="FW33" s="133" t="n">
        <f aca="false">IF(OR(FW$4="",$B33=""),0,SUMIF('DADOS BRUTOS'!$A$3:$A$500,$B33,'DADOS BRUTOS'!CW$3:CW$500)+IF($C33="",0,SUMIF('DADOS BRUTOS'!$A$3:$A$500,$C33,'DADOS BRUTOS'!CW$3:CW$500)))</f>
        <v>0</v>
      </c>
      <c r="FX33" s="133" t="n">
        <f aca="false">IF(OR(FX$4="",$B33=""),0,SUMIF('DADOS BRUTOS'!$A$3:$A$500,$B33,'DADOS BRUTOS'!CX$3:CX$500)+IF($C33="",0,SUMIF('DADOS BRUTOS'!$A$3:$A$500,$C33,'DADOS BRUTOS'!CX$3:CX$500)))</f>
        <v>0</v>
      </c>
      <c r="FY33" s="133" t="n">
        <f aca="false">IF(OR(FY$4="",$B33=""),0,SUMIF('DADOS BRUTOS'!$A$3:$A$500,$B33,'DADOS BRUTOS'!CY$3:CY$500)+IF($C33="",0,SUMIF('DADOS BRUTOS'!$A$3:$A$500,$C33,'DADOS BRUTOS'!CY$3:CY$500)))</f>
        <v>0</v>
      </c>
      <c r="FZ33" s="133" t="n">
        <f aca="false">IF(OR(FZ$4="",$B33=""),0,SUMIF('DADOS BRUTOS'!$A$3:$A$500,$B33,'DADOS BRUTOS'!CZ$3:CZ$500)+IF($C33="",0,SUMIF('DADOS BRUTOS'!$A$3:$A$500,$C33,'DADOS BRUTOS'!CZ$3:CZ$500)))</f>
        <v>0</v>
      </c>
      <c r="GA33" s="133" t="n">
        <f aca="false">IF(OR(GA$4="",$B33=""),0,SUMIF('DADOS BRUTOS'!$A$3:$A$500,$B33,'DADOS BRUTOS'!DA$3:DA$500)+IF($C33="",0,SUMIF('DADOS BRUTOS'!$A$3:$A$500,$C33,'DADOS BRUTOS'!DA$3:DA$500)))</f>
        <v>0</v>
      </c>
      <c r="GB33" s="133" t="n">
        <f aca="false">IF(OR(GB$4="",$B33=""),0,SUMIF('DADOS BRUTOS'!$A$3:$A$500,$B33,'DADOS BRUTOS'!DB$3:DB$500)+IF($C33="",0,SUMIF('DADOS BRUTOS'!$A$3:$A$500,$C33,'DADOS BRUTOS'!DB$3:DB$500)))</f>
        <v>0</v>
      </c>
      <c r="GC33" s="133" t="n">
        <f aca="false">IF(OR(GC$4="",$B33=""),0,SUMIF('DADOS BRUTOS'!$A$3:$A$500,$B33,'DADOS BRUTOS'!DC$3:DC$500)+IF($C33="",0,SUMIF('DADOS BRUTOS'!$A$3:$A$500,$C33,'DADOS BRUTOS'!DC$3:DC$500)))</f>
        <v>0</v>
      </c>
      <c r="GD33" s="133" t="n">
        <f aca="false">IF(OR(GD$4="",$B33=""),0,SUMIF('DADOS BRUTOS'!$A$3:$A$500,$B33,'DADOS BRUTOS'!DD$3:DD$500)+IF($C33="",0,SUMIF('DADOS BRUTOS'!$A$3:$A$500,$C33,'DADOS BRUTOS'!DD$3:DD$500)))</f>
        <v>0</v>
      </c>
      <c r="GE33" s="133" t="n">
        <f aca="false">IF(OR(GE$4="",$B33=""),0,SUMIF('DADOS BRUTOS'!$A$3:$A$500,$B33,'DADOS BRUTOS'!DE$3:DE$500)+IF($C33="",0,SUMIF('DADOS BRUTOS'!$A$3:$A$500,$C33,'DADOS BRUTOS'!DE$3:DE$500)))</f>
        <v>0</v>
      </c>
      <c r="GF33" s="133" t="n">
        <f aca="false">IF(OR(GF$4="",$B33=""),0,SUMIF('DADOS BRUTOS'!$A$3:$A$500,$B33,'DADOS BRUTOS'!DF$3:DF$500)+IF($C33="",0,SUMIF('DADOS BRUTOS'!$A$3:$A$500,$C33,'DADOS BRUTOS'!DF$3:DF$500)))</f>
        <v>0</v>
      </c>
      <c r="GG33" s="133" t="n">
        <f aca="false">IF(OR(GG$4="",$B33=""),0,SUMIF('DADOS BRUTOS'!$A$3:$A$500,$B33,'DADOS BRUTOS'!DG$3:DG$500)+IF($C33="",0,SUMIF('DADOS BRUTOS'!$A$3:$A$500,$C33,'DADOS BRUTOS'!DG$3:DG$500)))</f>
        <v>0</v>
      </c>
      <c r="GH33" s="133" t="n">
        <f aca="false">IF(OR(GH$4="",$B33=""),0,SUMIF('DADOS BRUTOS'!$A$3:$A$500,$B33,'DADOS BRUTOS'!DH$3:DH$500)+IF($C33="",0,SUMIF('DADOS BRUTOS'!$A$3:$A$500,$C33,'DADOS BRUTOS'!DH$3:DH$500)))</f>
        <v>0</v>
      </c>
      <c r="GI33" s="133" t="n">
        <f aca="false">IF(OR(GI$4="",$B33=""),0,SUMIF('DADOS BRUTOS'!$A$3:$A$500,$B33,'DADOS BRUTOS'!DI$3:DI$500)+IF($C33="",0,SUMIF('DADOS BRUTOS'!$A$3:$A$500,$C33,'DADOS BRUTOS'!DI$3:DI$500)))</f>
        <v>0</v>
      </c>
      <c r="GJ33" s="133" t="n">
        <f aca="false">IF(OR(GJ$4="",$B33=""),0,SUMIF('DADOS BRUTOS'!$A$3:$A$500,$B33,'DADOS BRUTOS'!DJ$3:DJ$500)+IF($C33="",0,SUMIF('DADOS BRUTOS'!$A$3:$A$500,$C33,'DADOS BRUTOS'!DJ$3:DJ$500)))</f>
        <v>0</v>
      </c>
      <c r="GK33" s="133" t="n">
        <f aca="false">IF(OR(GK$4="",$B33=""),0,SUMIF('DADOS BRUTOS'!$A$3:$A$500,$B33,'DADOS BRUTOS'!DK$3:DK$500)+IF($C33="",0,SUMIF('DADOS BRUTOS'!$A$3:$A$500,$C33,'DADOS BRUTOS'!DK$3:DK$500)))</f>
        <v>0</v>
      </c>
      <c r="GL33" s="133" t="n">
        <f aca="false">IF(OR(GL$4="",$B33=""),0,SUMIF('DADOS BRUTOS'!$A$3:$A$500,$B33,'DADOS BRUTOS'!DL$3:DL$500)+IF($C33="",0,SUMIF('DADOS BRUTOS'!$A$3:$A$500,$C33,'DADOS BRUTOS'!DL$3:DL$500)))</f>
        <v>0</v>
      </c>
      <c r="GM33" s="133" t="n">
        <f aca="false">IF(OR(GM$4="",$B33=""),0,SUMIF('DADOS BRUTOS'!$A$3:$A$500,$B33,'DADOS BRUTOS'!DM$3:DM$500)+IF($C33="",0,SUMIF('DADOS BRUTOS'!$A$3:$A$500,$C33,'DADOS BRUTOS'!DM$3:DM$500)))</f>
        <v>0</v>
      </c>
      <c r="GN33" s="133" t="n">
        <f aca="false">IF(OR(GN$4="",$B33=""),0,SUMIF('DADOS BRUTOS'!$A$3:$A$500,$B33,'DADOS BRUTOS'!DN$3:DN$500)+IF($C33="",0,SUMIF('DADOS BRUTOS'!$A$3:$A$500,$C33,'DADOS BRUTOS'!DN$3:DN$500)))</f>
        <v>0</v>
      </c>
      <c r="GO33" s="133" t="n">
        <f aca="false">IF(OR(GO$4="",$B33=""),0,SUMIF('DADOS BRUTOS'!$A$3:$A$500,$B33,'DADOS BRUTOS'!DO$3:DO$500)+IF($C33="",0,SUMIF('DADOS BRUTOS'!$A$3:$A$500,$C33,'DADOS BRUTOS'!DO$3:DO$500)))</f>
        <v>0</v>
      </c>
      <c r="GP33" s="133" t="n">
        <f aca="false">IF(OR(GP$4="",$B33=""),0,SUMIF('DADOS BRUTOS'!$A$3:$A$500,$B33,'DADOS BRUTOS'!DP$3:DP$500)+IF($C33="",0,SUMIF('DADOS BRUTOS'!$A$3:$A$500,$C33,'DADOS BRUTOS'!DP$3:DP$500)))</f>
        <v>0</v>
      </c>
      <c r="GQ33" s="133" t="n">
        <f aca="false">IF(OR(GQ$4="",$B33=""),0,SUMIF('DADOS BRUTOS'!$A$3:$A$500,$B33,'DADOS BRUTOS'!DQ$3:DQ$500)+IF($C33="",0,SUMIF('DADOS BRUTOS'!$A$3:$A$500,$C33,'DADOS BRUTOS'!DQ$3:DQ$500)))</f>
        <v>0</v>
      </c>
      <c r="GR33" s="133" t="n">
        <f aca="false">IF(OR(GR$4="",$B33=""),0,SUMIF('DADOS BRUTOS'!$A$3:$A$500,$B33,'DADOS BRUTOS'!DR$3:DR$500)+IF($C33="",0,SUMIF('DADOS BRUTOS'!$A$3:$A$500,$C33,'DADOS BRUTOS'!DR$3:DR$500)))</f>
        <v>0</v>
      </c>
      <c r="GS33" s="133" t="n">
        <f aca="false">IF(OR(GS$4="",$B33=""),0,SUMIF('DADOS BRUTOS'!$A$3:$A$500,$B33,'DADOS BRUTOS'!DS$3:DS$500)+IF($C33="",0,SUMIF('DADOS BRUTOS'!$A$3:$A$500,$C33,'DADOS BRUTOS'!DS$3:DS$500)))</f>
        <v>0</v>
      </c>
      <c r="GT33" s="133" t="n">
        <f aca="false">IF(OR(GT$4="",$B33=""),0,SUMIF('DADOS BRUTOS'!$A$3:$A$500,$B33,'DADOS BRUTOS'!DT$3:DT$500)+IF($C33="",0,SUMIF('DADOS BRUTOS'!$A$3:$A$500,$C33,'DADOS BRUTOS'!DT$3:DT$500)))</f>
        <v>0</v>
      </c>
      <c r="GU33" s="133" t="n">
        <f aca="false">IF(OR(GU$4="",$B33=""),0,SUMIF('DADOS BRUTOS'!$A$3:$A$500,$B33,'DADOS BRUTOS'!DU$3:DU$500)+IF($C33="",0,SUMIF('DADOS BRUTOS'!$A$3:$A$500,$C33,'DADOS BRUTOS'!DU$3:DU$500)))</f>
        <v>0</v>
      </c>
      <c r="GV33" s="133" t="n">
        <f aca="false">IF(OR(GV$4="",$B33=""),0,SUMIF('DADOS BRUTOS'!$A$3:$A$500,$B33,'DADOS BRUTOS'!DV$3:DV$500)+IF($C33="",0,SUMIF('DADOS BRUTOS'!$A$3:$A$500,$C33,'DADOS BRUTOS'!DV$3:DV$500)))</f>
        <v>0</v>
      </c>
      <c r="GW33" s="133" t="n">
        <f aca="false">IF(OR(GW$4="",$B33=""),0,SUMIF('DADOS BRUTOS'!$A$3:$A$500,$B33,'DADOS BRUTOS'!DW$3:DW$500)+IF($C33="",0,SUMIF('DADOS BRUTOS'!$A$3:$A$500,$C33,'DADOS BRUTOS'!DW$3:DW$500)))</f>
        <v>0</v>
      </c>
      <c r="GX33" s="133" t="n">
        <f aca="false">IF(OR(GX$4="",$B33=""),0,SUMIF('DADOS BRUTOS'!$A$3:$A$500,$B33,'DADOS BRUTOS'!DX$3:DX$500)+IF($C33="",0,SUMIF('DADOS BRUTOS'!$A$3:$A$500,$C33,'DADOS BRUTOS'!DX$3:DX$500)))</f>
        <v>0</v>
      </c>
      <c r="GY33" s="133" t="n">
        <f aca="false">IF(OR(GY$4="",$B33=""),0,SUMIF('DADOS BRUTOS'!$A$3:$A$500,$B33,'DADOS BRUTOS'!DY$3:DY$500)+IF($C33="",0,SUMIF('DADOS BRUTOS'!$A$3:$A$500,$C33,'DADOS BRUTOS'!DY$3:DY$500)))</f>
        <v>0</v>
      </c>
      <c r="GZ33" s="133" t="n">
        <f aca="false">IF(OR(GZ$4="",$B33=""),0,SUMIF('DADOS BRUTOS'!$A$3:$A$500,$B33,'DADOS BRUTOS'!DZ$3:DZ$500)+IF($C33="",0,SUMIF('DADOS BRUTOS'!$A$3:$A$500,$C33,'DADOS BRUTOS'!DZ$3:DZ$500)))</f>
        <v>0</v>
      </c>
      <c r="HA33" s="133" t="n">
        <f aca="false">IF(OR(HA$4="",$B33=""),0,SUMIF('DADOS BRUTOS'!$A$3:$A$500,$B33,'DADOS BRUTOS'!EA$3:EA$500)+IF($C33="",0,SUMIF('DADOS BRUTOS'!$A$3:$A$500,$C33,'DADOS BRUTOS'!EA$3:EA$500)))</f>
        <v>0</v>
      </c>
      <c r="HB33" s="133" t="n">
        <f aca="false">IF(OR(HB$4="",$B33=""),0,SUMIF('DADOS BRUTOS'!$A$3:$A$500,$B33,'DADOS BRUTOS'!EB$3:EB$500)+IF($C33="",0,SUMIF('DADOS BRUTOS'!$A$3:$A$500,$C33,'DADOS BRUTOS'!EB$3:EB$500)))</f>
        <v>0</v>
      </c>
      <c r="HC33" s="133" t="n">
        <f aca="false">IF(OR(HC$4="",$B33=""),0,SUMIF('DADOS BRUTOS'!$A$3:$A$500,$B33,'DADOS BRUTOS'!EC$3:EC$500)+IF($C33="",0,SUMIF('DADOS BRUTOS'!$A$3:$A$500,$C33,'DADOS BRUTOS'!EC$3:EC$500)))</f>
        <v>0</v>
      </c>
      <c r="HD33" s="133" t="n">
        <f aca="false">IF(OR(HD$4="",$B33=""),0,SUMIF('DADOS BRUTOS'!$A$3:$A$500,$B33,'DADOS BRUTOS'!ED$3:ED$500)+IF($C33="",0,SUMIF('DADOS BRUTOS'!$A$3:$A$500,$C33,'DADOS BRUTOS'!ED$3:ED$500)))</f>
        <v>0</v>
      </c>
      <c r="HE33" s="133" t="n">
        <f aca="false">IF(OR(HE$4="",$B33=""),0,SUMIF('DADOS BRUTOS'!$A$3:$A$500,$B33,'DADOS BRUTOS'!EE$3:EE$500)+IF($C33="",0,SUMIF('DADOS BRUTOS'!$A$3:$A$500,$C33,'DADOS BRUTOS'!EE$3:EE$500)))</f>
        <v>0</v>
      </c>
      <c r="HF33" s="133" t="n">
        <f aca="false">IF(OR(HF$4="",$B33=""),0,SUMIF('DADOS BRUTOS'!$A$3:$A$500,$B33,'DADOS BRUTOS'!EF$3:EF$500)+IF($C33="",0,SUMIF('DADOS BRUTOS'!$A$3:$A$500,$C33,'DADOS BRUTOS'!EF$3:EF$500)))</f>
        <v>0</v>
      </c>
      <c r="HG33" s="133" t="n">
        <f aca="false">IF(OR(HG$4="",$B33=""),0,SUMIF('DADOS BRUTOS'!$A$3:$A$500,$B33,'DADOS BRUTOS'!EG$3:EG$500)+IF($C33="",0,SUMIF('DADOS BRUTOS'!$A$3:$A$500,$C33,'DADOS BRUTOS'!EG$3:EG$500)))</f>
        <v>0</v>
      </c>
      <c r="HH33" s="133" t="n">
        <f aca="false">IF(OR(HH$4="",$B33=""),0,SUMIF('DADOS BRUTOS'!$A$3:$A$500,$B33,'DADOS BRUTOS'!EH$3:EH$500)+IF($C33="",0,SUMIF('DADOS BRUTOS'!$A$3:$A$500,$C33,'DADOS BRUTOS'!EH$3:EH$500)))</f>
        <v>0</v>
      </c>
      <c r="HI33" s="133" t="n">
        <f aca="false">IF(OR(HI$4="",$B33=""),0,SUMIF('DADOS BRUTOS'!$A$3:$A$500,$B33,'DADOS BRUTOS'!EI$3:EI$500)+IF($C33="",0,SUMIF('DADOS BRUTOS'!$A$3:$A$500,$C33,'DADOS BRUTOS'!EI$3:EI$500)))</f>
        <v>0</v>
      </c>
      <c r="HJ33" s="133" t="n">
        <f aca="false">IF(OR(HJ$4="",$B33=""),0,SUMIF('DADOS BRUTOS'!$A$3:$A$500,$B33,'DADOS BRUTOS'!EJ$3:EJ$500)+IF($C33="",0,SUMIF('DADOS BRUTOS'!$A$3:$A$500,$C33,'DADOS BRUTOS'!EJ$3:EJ$500)))</f>
        <v>0</v>
      </c>
      <c r="HK33" s="133" t="n">
        <f aca="false">IF(OR(HK$4="",$B33=""),0,SUMIF('DADOS BRUTOS'!$A$3:$A$500,$B33,'DADOS BRUTOS'!EK$3:EK$500)+IF($C33="",0,SUMIF('DADOS BRUTOS'!$A$3:$A$500,$C33,'DADOS BRUTOS'!EK$3:EK$500)))</f>
        <v>0</v>
      </c>
      <c r="HL33" s="133" t="n">
        <f aca="false">IF(OR(HL$4="",$B33=""),0,SUMIF('DADOS BRUTOS'!$A$3:$A$500,$B33,'DADOS BRUTOS'!EL$3:EL$500)+IF($C33="",0,SUMIF('DADOS BRUTOS'!$A$3:$A$500,$C33,'DADOS BRUTOS'!EL$3:EL$500)))</f>
        <v>0</v>
      </c>
      <c r="HM33" s="133" t="n">
        <f aca="false">IF(OR(HM$4="",$B33=""),0,SUMIF('DADOS BRUTOS'!$A$3:$A$500,$B33,'DADOS BRUTOS'!EM$3:EM$500)+IF($C33="",0,SUMIF('DADOS BRUTOS'!$A$3:$A$500,$C33,'DADOS BRUTOS'!EM$3:EM$500)))</f>
        <v>0</v>
      </c>
      <c r="HN33" s="133" t="n">
        <f aca="false">IF(OR(HN$4="",$B33=""),0,SUMIF('DADOS BRUTOS'!$A$3:$A$500,$B33,'DADOS BRUTOS'!EN$3:EN$500)+IF($C33="",0,SUMIF('DADOS BRUTOS'!$A$3:$A$500,$C33,'DADOS BRUTOS'!EN$3:EN$500)))</f>
        <v>0</v>
      </c>
      <c r="HO33" s="133" t="n">
        <f aca="false">IF(OR(HO$4="",$B33=""),0,SUMIF('DADOS BRUTOS'!$A$3:$A$500,$B33,'DADOS BRUTOS'!EO$3:EO$500)+IF($C33="",0,SUMIF('DADOS BRUTOS'!$A$3:$A$500,$C33,'DADOS BRUTOS'!EO$3:EO$500)))</f>
        <v>0</v>
      </c>
      <c r="HP33" s="133" t="n">
        <f aca="false">IF(OR(HP$4="",$B33=""),0,SUMIF('DADOS BRUTOS'!$A$3:$A$500,$B33,'DADOS BRUTOS'!EP$3:EP$500)+IF($C33="",0,SUMIF('DADOS BRUTOS'!$A$3:$A$500,$C33,'DADOS BRUTOS'!EP$3:EP$500)))</f>
        <v>0</v>
      </c>
      <c r="HQ33" s="133" t="n">
        <f aca="false">IF(OR(HQ$4="",$B33=""),0,SUMIF('DADOS BRUTOS'!$A$3:$A$500,$B33,'DADOS BRUTOS'!EQ$3:EQ$500)+IF($C33="",0,SUMIF('DADOS BRUTOS'!$A$3:$A$500,$C33,'DADOS BRUTOS'!EQ$3:EQ$500)))</f>
        <v>0</v>
      </c>
      <c r="HR33" s="133" t="n">
        <f aca="false">IF(OR(HR$4="",$B33=""),0,SUMIF('DADOS BRUTOS'!$A$3:$A$500,$B33,'DADOS BRUTOS'!ER$3:ER$500)+IF($C33="",0,SUMIF('DADOS BRUTOS'!$A$3:$A$500,$C33,'DADOS BRUTOS'!ER$3:ER$500)))</f>
        <v>0</v>
      </c>
      <c r="HS33" s="133" t="n">
        <f aca="false">IF(OR(HS$4="",$B33=""),0,SUMIF('DADOS BRUTOS'!$A$3:$A$500,$B33,'DADOS BRUTOS'!ES$3:ES$500)+IF($C33="",0,SUMIF('DADOS BRUTOS'!$A$3:$A$500,$C33,'DADOS BRUTOS'!ES$3:ES$500)))</f>
        <v>0</v>
      </c>
      <c r="HT33" s="133" t="n">
        <f aca="false">IF(OR(HT$4="",$B33=""),0,SUMIF('DADOS BRUTOS'!$A$3:$A$500,$B33,'DADOS BRUTOS'!ET$3:ET$500)+IF($C33="",0,SUMIF('DADOS BRUTOS'!$A$3:$A$500,$C33,'DADOS BRUTOS'!ET$3:ET$500)))</f>
        <v>0</v>
      </c>
      <c r="HU33" s="133" t="n">
        <f aca="false">IF(OR(HU$4="",$B33=""),0,SUMIF('DADOS BRUTOS'!$A$3:$A$500,$B33,'DADOS BRUTOS'!EU$3:EU$500)+IF($C33="",0,SUMIF('DADOS BRUTOS'!$A$3:$A$500,$C33,'DADOS BRUTOS'!EU$3:EU$500)))</f>
        <v>0</v>
      </c>
      <c r="HV33" s="133" t="n">
        <f aca="false">IF(OR(HV$4="",$B33=""),0,SUMIF('DADOS BRUTOS'!$A$3:$A$500,$B33,'DADOS BRUTOS'!EV$3:EV$500)+IF($C33="",0,SUMIF('DADOS BRUTOS'!$A$3:$A$500,$C33,'DADOS BRUTOS'!EV$3:EV$500)))</f>
        <v>0</v>
      </c>
      <c r="HW33" s="133" t="n">
        <f aca="false">IF(OR(HW$4="",$B33=""),0,SUMIF('DADOS BRUTOS'!$A$3:$A$500,$B33,'DADOS BRUTOS'!EW$3:EW$500)+IF($C33="",0,SUMIF('DADOS BRUTOS'!$A$3:$A$500,$C33,'DADOS BRUTOS'!EW$3:EW$500)))</f>
        <v>0</v>
      </c>
      <c r="HX33" s="133" t="n">
        <f aca="false">IF(OR(HX$4="",$B33=""),0,SUMIF('DADOS BRUTOS'!$A$3:$A$500,$B33,'DADOS BRUTOS'!EX$3:EX$500)+IF($C33="",0,SUMIF('DADOS BRUTOS'!$A$3:$A$500,$C33,'DADOS BRUTOS'!EX$3:EX$500)))</f>
        <v>0</v>
      </c>
      <c r="HY33" s="133" t="n">
        <f aca="false">IF(OR(HY$4="",$B33=""),0,SUMIF('DADOS BRUTOS'!$A$3:$A$500,$B33,'DADOS BRUTOS'!EY$3:EY$500)+IF($C33="",0,SUMIF('DADOS BRUTOS'!$A$3:$A$500,$C33,'DADOS BRUTOS'!EY$3:EY$500)))</f>
        <v>0</v>
      </c>
      <c r="HZ33" s="133" t="n">
        <f aca="false">IF(OR(HZ$4="",$B33=""),0,SUMIF('DADOS BRUTOS'!$A$3:$A$500,$B33,'DADOS BRUTOS'!EZ$3:EZ$500)+IF($C33="",0,SUMIF('DADOS BRUTOS'!$A$3:$A$500,$C33,'DADOS BRUTOS'!EZ$3:EZ$500)))</f>
        <v>0</v>
      </c>
      <c r="IA33" s="133" t="n">
        <f aca="false">IF(OR(IA$4="",$B33=""),0,SUMIF('DADOS BRUTOS'!$A$3:$A$500,$B33,'DADOS BRUTOS'!FA$3:FA$500)+IF($C33="",0,SUMIF('DADOS BRUTOS'!$A$3:$A$500,$C33,'DADOS BRUTOS'!FA$3:FA$500)))</f>
        <v>0</v>
      </c>
      <c r="IB33" s="133" t="n">
        <f aca="false">IF(OR(IB$4="",$B33=""),0,SUMIF('DADOS BRUTOS'!$A$3:$A$500,$B33,'DADOS BRUTOS'!FB$3:FB$500)+IF($C33="",0,SUMIF('DADOS BRUTOS'!$A$3:$A$500,$C33,'DADOS BRUTOS'!FB$3:FB$500)))</f>
        <v>0</v>
      </c>
      <c r="IC33" s="133" t="n">
        <f aca="false">IF(OR(IC$4="",$B33=""),0,SUMIF('DADOS BRUTOS'!$A$3:$A$500,$B33,'DADOS BRUTOS'!FC$3:FC$500)+IF($C33="",0,SUMIF('DADOS BRUTOS'!$A$3:$A$500,$C33,'DADOS BRUTOS'!FC$3:FC$500)))</f>
        <v>0</v>
      </c>
      <c r="ID33" s="133" t="n">
        <f aca="false">IF(OR(ID$4="",$B33=""),0,SUMIF('DADOS BRUTOS'!$A$3:$A$500,$B33,'DADOS BRUTOS'!FD$3:FD$500)+IF($C33="",0,SUMIF('DADOS BRUTOS'!$A$3:$A$500,$C33,'DADOS BRUTOS'!FD$3:FD$500)))</f>
        <v>0</v>
      </c>
      <c r="IE33" s="133" t="n">
        <f aca="false">IF(OR(IE$4="",$B33=""),0,SUMIF('DADOS BRUTOS'!$A$3:$A$500,$B33,'DADOS BRUTOS'!FE$3:FE$500)+IF($C33="",0,SUMIF('DADOS BRUTOS'!$A$3:$A$500,$C33,'DADOS BRUTOS'!FE$3:FE$500)))</f>
        <v>0</v>
      </c>
      <c r="IF33" s="133" t="n">
        <f aca="false">IF(OR(IF$4="",$B33=""),0,SUMIF('DADOS BRUTOS'!$A$3:$A$500,$B33,'DADOS BRUTOS'!FF$3:FF$500)+IF($C33="",0,SUMIF('DADOS BRUTOS'!$A$3:$A$500,$C33,'DADOS BRUTOS'!FF$3:FF$500)))</f>
        <v>0</v>
      </c>
      <c r="IG33" s="133" t="n">
        <f aca="false">IF(OR(IG$4="",$B33=""),0,SUMIF('DADOS BRUTOS'!$A$3:$A$500,$B33,'DADOS BRUTOS'!FG$3:FG$500)+IF($C33="",0,SUMIF('DADOS BRUTOS'!$A$3:$A$500,$C33,'DADOS BRUTOS'!FG$3:FG$500)))</f>
        <v>0</v>
      </c>
      <c r="IH33" s="133" t="n">
        <f aca="false">IF(OR(IH$4="",$B33=""),0,SUMIF('DADOS BRUTOS'!$A$3:$A$500,$B33,'DADOS BRUTOS'!FH$3:FH$500)+IF($C33="",0,SUMIF('DADOS BRUTOS'!$A$3:$A$500,$C33,'DADOS BRUTOS'!FH$3:FH$500)))</f>
        <v>0</v>
      </c>
      <c r="II33" s="133" t="n">
        <f aca="false">IF(OR(II$4="",$B33=""),0,SUMIF('DADOS BRUTOS'!$A$3:$A$500,$B33,'DADOS BRUTOS'!FI$3:FI$500)+IF($C33="",0,SUMIF('DADOS BRUTOS'!$A$3:$A$500,$C33,'DADOS BRUTOS'!FI$3:FI$500)))</f>
        <v>0</v>
      </c>
      <c r="IJ33" s="133" t="n">
        <f aca="false">IF(OR(IJ$4="",$B33=""),0,SUMIF('DADOS BRUTOS'!$A$3:$A$500,$B33,'DADOS BRUTOS'!FJ$3:FJ$500)+IF($C33="",0,SUMIF('DADOS BRUTOS'!$A$3:$A$500,$C33,'DADOS BRUTOS'!FJ$3:FJ$500)))</f>
        <v>0</v>
      </c>
      <c r="IK33" s="133" t="n">
        <f aca="false">IF(OR(IK$4="",$B33=""),0,SUMIF('DADOS BRUTOS'!$A$3:$A$500,$B33,'DADOS BRUTOS'!FK$3:FK$500)+IF($C33="",0,SUMIF('DADOS BRUTOS'!$A$3:$A$500,$C33,'DADOS BRUTOS'!FK$3:FK$500)))</f>
        <v>0</v>
      </c>
      <c r="IL33" s="133" t="n">
        <f aca="false">IF(OR(IL$4="",$B33=""),0,SUMIF('DADOS BRUTOS'!$A$3:$A$500,$B33,'DADOS BRUTOS'!FL$3:FL$500)+IF($C33="",0,SUMIF('DADOS BRUTOS'!$A$3:$A$500,$C33,'DADOS BRUTOS'!FL$3:FL$500)))</f>
        <v>0</v>
      </c>
      <c r="IM33" s="133" t="n">
        <f aca="false">IF(OR(IM$4="",$B33=""),0,SUMIF('DADOS BRUTOS'!$A$3:$A$500,$B33,'DADOS BRUTOS'!FM$3:FM$500)+IF($C33="",0,SUMIF('DADOS BRUTOS'!$A$3:$A$500,$C33,'DADOS BRUTOS'!FM$3:FM$500)))</f>
        <v>0</v>
      </c>
      <c r="IN33" s="133" t="n">
        <f aca="false">IF(OR(IN$4="",$B33=""),0,SUMIF('DADOS BRUTOS'!$A$3:$A$500,$B33,'DADOS BRUTOS'!FN$3:FN$500)+IF($C33="",0,SUMIF('DADOS BRUTOS'!$A$3:$A$500,$C33,'DADOS BRUTOS'!FN$3:FN$500)))</f>
        <v>0</v>
      </c>
      <c r="IO33" s="133" t="n">
        <f aca="false">IF(OR(IO$4="",$B33=""),0,SUMIF('DADOS BRUTOS'!$A$3:$A$500,$B33,'DADOS BRUTOS'!FO$3:FO$500)+IF($C33="",0,SUMIF('DADOS BRUTOS'!$A$3:$A$500,$C33,'DADOS BRUTOS'!FO$3:FO$500)))</f>
        <v>0</v>
      </c>
      <c r="IP33" s="133" t="n">
        <f aca="false">IF(OR(IP$4="",$B33=""),0,SUMIF('DADOS BRUTOS'!$A$3:$A$500,$B33,'DADOS BRUTOS'!FP$3:FP$500)+IF($C33="",0,SUMIF('DADOS BRUTOS'!$A$3:$A$500,$C33,'DADOS BRUTOS'!FP$3:FP$500)))</f>
        <v>0</v>
      </c>
      <c r="IQ33" s="133" t="n">
        <f aca="false">IF(OR(IQ$4="",$B33=""),0,SUMIF('DADOS BRUTOS'!$A$3:$A$500,$B33,'DADOS BRUTOS'!FQ$3:FQ$500)+IF($C33="",0,SUMIF('DADOS BRUTOS'!$A$3:$A$500,$C33,'DADOS BRUTOS'!FQ$3:FQ$500)))</f>
        <v>0</v>
      </c>
      <c r="IR33" s="133" t="n">
        <f aca="false">IF(OR(IR$4="",$B33=""),0,SUMIF('DADOS BRUTOS'!$A$3:$A$500,$B33,'DADOS BRUTOS'!FR$3:FR$500)+IF($C33="",0,SUMIF('DADOS BRUTOS'!$A$3:$A$500,$C33,'DADOS BRUTOS'!FR$3:FR$500)))</f>
        <v>0</v>
      </c>
      <c r="IS33" s="133" t="n">
        <f aca="false">IF(OR(IS$4="",$B33=""),0,SUMIF('DADOS BRUTOS'!$A$3:$A$500,$B33,'DADOS BRUTOS'!FS$3:FS$500)+IF($C33="",0,SUMIF('DADOS BRUTOS'!$A$3:$A$500,$C33,'DADOS BRUTOS'!FS$3:FS$500)))</f>
        <v>0</v>
      </c>
      <c r="IT33" s="133" t="n">
        <f aca="false">IF(OR(IT$4="",$B33=""),0,SUMIF('DADOS BRUTOS'!$A$3:$A$500,$B33,'DADOS BRUTOS'!FT$3:FT$500)+IF($C33="",0,SUMIF('DADOS BRUTOS'!$A$3:$A$500,$C33,'DADOS BRUTOS'!FT$3:FT$500)))</f>
        <v>0</v>
      </c>
      <c r="IU33" s="133" t="n">
        <f aca="false">IF(OR(IU$4="",$B33=""),0,SUMIF('DADOS BRUTOS'!$A$3:$A$500,$B33,'DADOS BRUTOS'!FU$3:FU$500)+IF($C33="",0,SUMIF('DADOS BRUTOS'!$A$3:$A$500,$C33,'DADOS BRUTOS'!FU$3:FU$500)))</f>
        <v>0</v>
      </c>
      <c r="IV33" s="133" t="n">
        <f aca="false">IF(OR(IV$4="",$B33=""),0,SUMIF('DADOS BRUTOS'!$A$3:$A$500,$B33,'DADOS BRUTOS'!FV$3:FV$500)+IF($C33="",0,SUMIF('DADOS BRUTOS'!$A$3:$A$500,$C33,'DADOS BRUTOS'!FV$3:FV$500)))</f>
        <v>0</v>
      </c>
      <c r="IW33" s="133" t="n">
        <f aca="false">IF(OR(IW$4="",$B33=""),0,SUMIF('DADOS BRUTOS'!$A$3:$A$500,$B33,'DADOS BRUTOS'!FW$3:FW$500)+IF($C33="",0,SUMIF('DADOS BRUTOS'!$A$3:$A$500,$C33,'DADOS BRUTOS'!FW$3:FW$500)))</f>
        <v>0</v>
      </c>
      <c r="IX33" s="133" t="n">
        <f aca="false">IF(OR(IX$4="",$B33=""),0,SUMIF('DADOS BRUTOS'!$A$3:$A$500,$B33,'DADOS BRUTOS'!FX$3:FX$500)+IF($C33="",0,SUMIF('DADOS BRUTOS'!$A$3:$A$500,$C33,'DADOS BRUTOS'!FX$3:FX$500)))</f>
        <v>0</v>
      </c>
      <c r="IY33" s="133" t="n">
        <f aca="false">IF(OR(IY$4="",$B33=""),0,SUMIF('DADOS BRUTOS'!$A$3:$A$500,$B33,'DADOS BRUTOS'!FY$3:FY$500)+IF($C33="",0,SUMIF('DADOS BRUTOS'!$A$3:$A$500,$C33,'DADOS BRUTOS'!FY$3:FY$500)))</f>
        <v>0</v>
      </c>
      <c r="IZ33" s="133" t="n">
        <f aca="false">IF(OR(IZ$4="",$B33=""),0,SUMIF('DADOS BRUTOS'!$A$3:$A$500,$B33,'DADOS BRUTOS'!FZ$3:FZ$500)+IF($C33="",0,SUMIF('DADOS BRUTOS'!$A$3:$A$500,$C33,'DADOS BRUTOS'!FZ$3:FZ$500)))</f>
        <v>0</v>
      </c>
      <c r="JA33" s="133" t="n">
        <f aca="false">IF(OR(JA$4="",$B33=""),0,SUMIF('DADOS BRUTOS'!$A$3:$A$500,$B33,'DADOS BRUTOS'!GA$3:GA$500)+IF($C33="",0,SUMIF('DADOS BRUTOS'!$A$3:$A$500,$C33,'DADOS BRUTOS'!GA$3:GA$500)))</f>
        <v>0</v>
      </c>
      <c r="JB33" s="133" t="n">
        <f aca="false">IF(OR(JB$4="",$B33=""),0,SUMIF('DADOS BRUTOS'!$A$3:$A$500,$B33,'DADOS BRUTOS'!GB$3:GB$500)+IF($C33="",0,SUMIF('DADOS BRUTOS'!$A$3:$A$500,$C33,'DADOS BRUTOS'!GB$3:GB$500)))</f>
        <v>0</v>
      </c>
      <c r="JC33" s="133" t="n">
        <f aca="false">IF(OR(JC$4="",$B33=""),0,SUMIF('DADOS BRUTOS'!$A$3:$A$500,$B33,'DADOS BRUTOS'!GC$3:GC$500)+IF($C33="",0,SUMIF('DADOS BRUTOS'!$A$3:$A$500,$C33,'DADOS BRUTOS'!GC$3:GC$500)))</f>
        <v>0</v>
      </c>
      <c r="JD33" s="133" t="n">
        <f aca="false">IF(OR(JD$4="",$B33=""),0,SUMIF('DADOS BRUTOS'!$A$3:$A$500,$B33,'DADOS BRUTOS'!GD$3:GD$500)+IF($C33="",0,SUMIF('DADOS BRUTOS'!$A$3:$A$500,$C33,'DADOS BRUTOS'!GD$3:GD$500)))</f>
        <v>0</v>
      </c>
      <c r="JE33" s="133" t="n">
        <f aca="false">IF(OR(JE$4="",$B33=""),0,SUMIF('DADOS BRUTOS'!$A$3:$A$500,$B33,'DADOS BRUTOS'!GE$3:GE$500)+IF($C33="",0,SUMIF('DADOS BRUTOS'!$A$3:$A$500,$C33,'DADOS BRUTOS'!GE$3:GE$500)))</f>
        <v>0</v>
      </c>
      <c r="JF33" s="133" t="n">
        <f aca="false">IF(OR(JF$4="",$B33=""),0,SUMIF('DADOS BRUTOS'!$A$3:$A$500,$B33,'DADOS BRUTOS'!GF$3:GF$500)+IF($C33="",0,SUMIF('DADOS BRUTOS'!$A$3:$A$500,$C33,'DADOS BRUTOS'!GF$3:GF$500)))</f>
        <v>0</v>
      </c>
      <c r="JG33" s="133" t="n">
        <f aca="false">IF(OR(JG$4="",$B33=""),0,SUMIF('DADOS BRUTOS'!$A$3:$A$500,$B33,'DADOS BRUTOS'!GG$3:GG$500)+IF($C33="",0,SUMIF('DADOS BRUTOS'!$A$3:$A$500,$C33,'DADOS BRUTOS'!GG$3:GG$500)))</f>
        <v>0</v>
      </c>
      <c r="JH33" s="133" t="n">
        <f aca="false">IF(OR(JH$4="",$B33=""),0,SUMIF('DADOS BRUTOS'!$A$3:$A$500,$B33,'DADOS BRUTOS'!GH$3:GH$500)+IF($C33="",0,SUMIF('DADOS BRUTOS'!$A$3:$A$500,$C33,'DADOS BRUTOS'!GH$3:GH$500)))</f>
        <v>0</v>
      </c>
      <c r="JI33" s="133" t="n">
        <f aca="false">IF(OR(JI$4="",$B33=""),0,SUMIF('DADOS BRUTOS'!$A$3:$A$500,$B33,'DADOS BRUTOS'!GI$3:GI$500)+IF($C33="",0,SUMIF('DADOS BRUTOS'!$A$3:$A$500,$C33,'DADOS BRUTOS'!GI$3:GI$500)))</f>
        <v>0</v>
      </c>
      <c r="JJ33" s="133" t="n">
        <f aca="false">IF(OR(JJ$4="",$B33=""),0,SUMIF('DADOS BRUTOS'!$A$3:$A$500,$B33,'DADOS BRUTOS'!GJ$3:GJ$500)+IF($C33="",0,SUMIF('DADOS BRUTOS'!$A$3:$A$500,$C33,'DADOS BRUTOS'!GJ$3:GJ$500)))</f>
        <v>0</v>
      </c>
      <c r="JK33" s="133" t="n">
        <f aca="false">IF(OR(JK$4="",$B33=""),0,SUMIF('DADOS BRUTOS'!$A$3:$A$500,$B33,'DADOS BRUTOS'!GK$3:GK$500)+IF($C33="",0,SUMIF('DADOS BRUTOS'!$A$3:$A$500,$C33,'DADOS BRUTOS'!GK$3:GK$500)))</f>
        <v>0</v>
      </c>
      <c r="JL33" s="133" t="n">
        <f aca="false">IF(OR(JL$4="",$B33=""),0,SUMIF('DADOS BRUTOS'!$A$3:$A$500,$B33,'DADOS BRUTOS'!GL$3:GL$500)+IF($C33="",0,SUMIF('DADOS BRUTOS'!$A$3:$A$500,$C33,'DADOS BRUTOS'!GL$3:GL$500)))</f>
        <v>0</v>
      </c>
      <c r="JM33" s="133" t="n">
        <f aca="false">IF(OR(JM$4="",$B33=""),0,SUMIF('DADOS BRUTOS'!$A$3:$A$500,$B33,'DADOS BRUTOS'!GM$3:GM$500)+IF($C33="",0,SUMIF('DADOS BRUTOS'!$A$3:$A$500,$C33,'DADOS BRUTOS'!GM$3:GM$500)))</f>
        <v>0</v>
      </c>
      <c r="JN33" s="133" t="n">
        <f aca="false">IF(OR(JN$4="",$B33=""),0,SUMIF('DADOS BRUTOS'!$A$3:$A$500,$B33,'DADOS BRUTOS'!GN$3:GN$500)+IF($C33="",0,SUMIF('DADOS BRUTOS'!$A$3:$A$500,$C33,'DADOS BRUTOS'!GN$3:GN$500)))</f>
        <v>0</v>
      </c>
      <c r="JO33" s="133" t="n">
        <f aca="false">IF(OR(JO$4="",$B33=""),0,SUMIF('DADOS BRUTOS'!$A$3:$A$500,$B33,'DADOS BRUTOS'!GO$3:GO$500)+IF($C33="",0,SUMIF('DADOS BRUTOS'!$A$3:$A$500,$C33,'DADOS BRUTOS'!GO$3:GO$500)))</f>
        <v>0</v>
      </c>
      <c r="JP33" s="133" t="n">
        <f aca="false">IF(OR(JP$4="",$B33=""),0,SUMIF('DADOS BRUTOS'!$A$3:$A$500,$B33,'DADOS BRUTOS'!GP$3:GP$500)+IF($C33="",0,SUMIF('DADOS BRUTOS'!$A$3:$A$500,$C33,'DADOS BRUTOS'!GP$3:GP$500)))</f>
        <v>0</v>
      </c>
      <c r="JQ33" s="133" t="n">
        <f aca="false">IF(OR(JQ$4="",$B33=""),0,SUMIF('DADOS BRUTOS'!$A$3:$A$500,$B33,'DADOS BRUTOS'!GQ$3:GQ$500)+IF($C33="",0,SUMIF('DADOS BRUTOS'!$A$3:$A$500,$C33,'DADOS BRUTOS'!GQ$3:GQ$500)))</f>
        <v>0</v>
      </c>
      <c r="JR33" s="133" t="n">
        <f aca="false">IF(OR(JR$4="",$B33=""),0,SUMIF('DADOS BRUTOS'!$A$3:$A$500,$B33,'DADOS BRUTOS'!GR$3:GR$500)+IF($C33="",0,SUMIF('DADOS BRUTOS'!$A$3:$A$500,$C33,'DADOS BRUTOS'!GR$3:GR$500)))</f>
        <v>0</v>
      </c>
      <c r="JS33" s="133" t="n">
        <f aca="false">IF(OR(JS$4="",$B33=""),0,SUMIF('DADOS BRUTOS'!$A$3:$A$500,$B33,'DADOS BRUTOS'!GS$3:GS$500)+IF($C33="",0,SUMIF('DADOS BRUTOS'!$A$3:$A$500,$C33,'DADOS BRUTOS'!GS$3:GS$500)))</f>
        <v>0</v>
      </c>
    </row>
    <row r="34" customFormat="false" ht="15" hidden="false" customHeight="false" outlineLevel="0" collapsed="false">
      <c r="A34" s="57" t="str">
        <f aca="false">'VALOR POR PL'!D40</f>
        <v>REVESTIMENTOS DE ACABAMENTO</v>
      </c>
      <c r="B34" s="55" t="s">
        <v>2877</v>
      </c>
      <c r="C34" s="55"/>
      <c r="D34" s="50" t="n">
        <f aca="false">SUMIF($CB$4:$JS$4,"&lt;="&amp;D$4,$CB34:$JS34)</f>
        <v>0</v>
      </c>
      <c r="E34" s="50" t="n">
        <f aca="false">SUMIF($CB$4:$JS$4,E$4,$CB34:$JS34)</f>
        <v>0</v>
      </c>
      <c r="F34" s="50" t="n">
        <f aca="false">SUMIF($CB$4:$JS$4,F$4,$CB34:$JS34)</f>
        <v>0</v>
      </c>
      <c r="G34" s="50" t="n">
        <f aca="false">SUMIF($CB$4:$JS$4,G$4,$CB34:$JS34)</f>
        <v>0</v>
      </c>
      <c r="H34" s="50" t="n">
        <f aca="false">SUMIF($CB$4:$JS$4,H$4,$CB34:$JS34)</f>
        <v>0</v>
      </c>
      <c r="I34" s="50" t="n">
        <f aca="false">SUMIF($CB$4:$JS$4,I$4,$CB34:$JS34)</f>
        <v>0</v>
      </c>
      <c r="J34" s="50" t="n">
        <f aca="false">SUMIF($CB$4:$JS$4,J$4,$CB34:$JS34)</f>
        <v>0</v>
      </c>
      <c r="K34" s="50" t="n">
        <f aca="false">SUMIF($CB$4:$JS$4,K$4,$CB34:$JS34)</f>
        <v>0</v>
      </c>
      <c r="L34" s="50" t="n">
        <f aca="false">SUMIF($CB$4:$JS$4,L$4,$CB34:$JS34)</f>
        <v>0</v>
      </c>
      <c r="M34" s="50" t="n">
        <f aca="false">SUMIF($CB$4:$JS$4,M$4,$CB34:$JS34)</f>
        <v>0</v>
      </c>
      <c r="N34" s="50" t="n">
        <f aca="false">SUMIF($CB$4:$JS$4,N$4,$CB34:$JS34)</f>
        <v>0</v>
      </c>
      <c r="O34" s="50" t="n">
        <f aca="false">SUMIF($CB$4:$JS$4,O$4,$CB34:$JS34)</f>
        <v>0</v>
      </c>
      <c r="P34" s="50" t="n">
        <f aca="false">SUMIF($CB$4:$JS$4,P$4,$CB34:$JS34)</f>
        <v>0</v>
      </c>
      <c r="Q34" s="50" t="n">
        <f aca="false">SUMIF($CB$4:$JS$4,Q$4,$CB34:$JS34)</f>
        <v>0</v>
      </c>
      <c r="R34" s="50" t="n">
        <f aca="false">SUMIF($CB$4:$JS$4,R$4,$CB34:$JS34)</f>
        <v>0</v>
      </c>
      <c r="S34" s="50" t="n">
        <f aca="false">SUMIF($CB$4:$JS$4,S$4,$CB34:$JS34)</f>
        <v>0</v>
      </c>
      <c r="T34" s="50" t="n">
        <f aca="false">SUMIF($CB$4:$JS$4,T$4,$CB34:$JS34)</f>
        <v>0</v>
      </c>
      <c r="U34" s="50" t="n">
        <f aca="false">SUMIF($CB$4:$JS$4,U$4,$CB34:$JS34)</f>
        <v>0</v>
      </c>
      <c r="V34" s="50" t="n">
        <f aca="false">SUMIF($CB$4:$JS$4,V$4,$CB34:$JS34)</f>
        <v>0</v>
      </c>
      <c r="W34" s="50" t="n">
        <f aca="false">SUMIF($CB$4:$JS$4,W$4,$CB34:$JS34)</f>
        <v>0</v>
      </c>
      <c r="X34" s="50" t="n">
        <f aca="false">SUMIF($CB$4:$JS$4,X$4,$CB34:$JS34)</f>
        <v>0</v>
      </c>
      <c r="Y34" s="50" t="n">
        <f aca="false">SUMIF($CB$4:$JS$4,Y$4,$CB34:$JS34)</f>
        <v>0</v>
      </c>
      <c r="Z34" s="50" t="n">
        <f aca="false">SUMIF($CB$4:$JS$4,Z$4,$CB34:$JS34)</f>
        <v>0</v>
      </c>
      <c r="AA34" s="50" t="n">
        <f aca="false">SUMIF($CB$4:$JS$4,AA$4,$CB34:$JS34)</f>
        <v>0</v>
      </c>
      <c r="AB34" s="50" t="n">
        <f aca="false">SUMIF($CB$4:$JS$4,AB$4,$CB34:$JS34)</f>
        <v>0</v>
      </c>
      <c r="AC34" s="50" t="n">
        <f aca="false">SUMIF($CB$4:$JS$4,AC$4,$CB34:$JS34)</f>
        <v>0</v>
      </c>
      <c r="AD34" s="50" t="n">
        <f aca="false">SUMIF($CB$4:$JS$4,AD$4,$CB34:$JS34)</f>
        <v>0</v>
      </c>
      <c r="AE34" s="50" t="n">
        <f aca="false">SUMIF($CB$4:$JS$4,AE$4,$CB34:$JS34)</f>
        <v>0</v>
      </c>
      <c r="AF34" s="50" t="n">
        <f aca="false">SUMIF($CB$4:$JS$4,AF$4,$CB34:$JS34)</f>
        <v>0</v>
      </c>
      <c r="AG34" s="50" t="n">
        <f aca="false">SUMIF($CB$4:$JS$4,AG$4,$CB34:$JS34)</f>
        <v>0</v>
      </c>
      <c r="AH34" s="50" t="n">
        <f aca="false">SUMIF($CB$4:$JS$4,AH$4,$CB34:$JS34)</f>
        <v>0</v>
      </c>
      <c r="AI34" s="50" t="n">
        <f aca="false">SUMIF($CB$4:$JS$4,AI$4,$CB34:$JS34)</f>
        <v>0</v>
      </c>
      <c r="AJ34" s="50" t="n">
        <f aca="false">SUMIF($CB$4:$JS$4,AJ$4,$CB34:$JS34)</f>
        <v>0</v>
      </c>
      <c r="AK34" s="50" t="n">
        <f aca="false">SUMIF($CB$4:$JS$4,AK$4,$CB34:$JS34)</f>
        <v>0</v>
      </c>
      <c r="AL34" s="50" t="n">
        <f aca="false">SUMIF($CB$4:$JS$4,AL$4,$CB34:$JS34)</f>
        <v>0</v>
      </c>
      <c r="AM34" s="50" t="n">
        <f aca="false">SUMIF($CB$4:$JS$4,AM$4,$CB34:$JS34)</f>
        <v>0</v>
      </c>
      <c r="AN34" s="50" t="n">
        <f aca="false">SUMIF($CB$4:$JS$4,AN$4,$CB34:$JS34)</f>
        <v>0</v>
      </c>
      <c r="AO34" s="50" t="n">
        <f aca="false">SUMIF($CB$4:$JS$4,AO$4,$CB34:$JS34)</f>
        <v>0</v>
      </c>
      <c r="AP34" s="50" t="n">
        <f aca="false">SUMIF($CB$4:$JS$4,AP$4,$CB34:$JS34)</f>
        <v>0</v>
      </c>
      <c r="AQ34" s="50" t="n">
        <f aca="false">SUMIF($CB$4:$JS$4,AQ$4,$CB34:$JS34)</f>
        <v>0</v>
      </c>
      <c r="AR34" s="50" t="n">
        <f aca="false">SUMIF($CB$4:$JS$4,AR$4,$CB34:$JS34)</f>
        <v>0</v>
      </c>
      <c r="AS34" s="50" t="n">
        <f aca="false">SUMIF($CB$4:$JS$4,AS$4,$CB34:$JS34)</f>
        <v>0</v>
      </c>
      <c r="AT34" s="50" t="n">
        <f aca="false">SUMIF($CB$4:$JS$4,AT$4,$CB34:$JS34)</f>
        <v>0</v>
      </c>
      <c r="AU34" s="50" t="n">
        <f aca="false">SUMIF($CB$4:$JS$4,AU$4,$CB34:$JS34)</f>
        <v>0</v>
      </c>
      <c r="AV34" s="50" t="n">
        <f aca="false">SUMIF($CB$4:$JS$4,AV$4,$CB34:$JS34)</f>
        <v>0</v>
      </c>
      <c r="AW34" s="50" t="n">
        <f aca="false">SUMIF($CB$4:$JS$4,AW$4,$CB34:$JS34)</f>
        <v>0</v>
      </c>
      <c r="AX34" s="50" t="n">
        <f aca="false">SUMIF($CB$4:$JS$4,AX$4,$CB34:$JS34)</f>
        <v>0</v>
      </c>
      <c r="AY34" s="50" t="n">
        <f aca="false">SUMIF($CB$4:$JS$4,AY$4,$CB34:$JS34)</f>
        <v>0</v>
      </c>
      <c r="AZ34" s="50" t="n">
        <f aca="false">SUMIF($CB$4:$JS$4,AZ$4,$CB34:$JS34)</f>
        <v>0</v>
      </c>
      <c r="BA34" s="50" t="n">
        <f aca="false">SUMIF($CB$4:$JS$4,BA$4,$CB34:$JS34)</f>
        <v>0</v>
      </c>
      <c r="BB34" s="50" t="n">
        <f aca="false">SUMIF($CB$4:$JS$4,BB$4,$CB34:$JS34)</f>
        <v>0</v>
      </c>
      <c r="BC34" s="50" t="n">
        <f aca="false">SUMIF($CB$4:$JS$4,BC$4,$CB34:$JS34)</f>
        <v>0</v>
      </c>
      <c r="BD34" s="50" t="n">
        <f aca="false">SUMIF($CB$4:$JS$4,BD$4,$CB34:$JS34)</f>
        <v>0</v>
      </c>
      <c r="BE34" s="50" t="n">
        <f aca="false">SUMIF($CB$4:$JS$4,BE$4,$CB34:$JS34)</f>
        <v>0</v>
      </c>
      <c r="BF34" s="50" t="n">
        <f aca="false">SUMIF($CB$4:$JS$4,BF$4,$CB34:$JS34)</f>
        <v>0</v>
      </c>
      <c r="BG34" s="50" t="n">
        <f aca="false">SUMIF($CB$4:$JS$4,BG$4,$CB34:$JS34)</f>
        <v>0</v>
      </c>
      <c r="BH34" s="50" t="n">
        <f aca="false">SUMIF($CB$4:$JS$4,BH$4,$CB34:$JS34)</f>
        <v>0</v>
      </c>
      <c r="BI34" s="50" t="n">
        <f aca="false">SUMIF($CB$4:$JS$4,BI$4,$CB34:$JS34)</f>
        <v>0</v>
      </c>
      <c r="BJ34" s="50" t="n">
        <f aca="false">SUMIF($CB$4:$JS$4,BJ$4,$CB34:$JS34)</f>
        <v>0</v>
      </c>
      <c r="BK34" s="50" t="n">
        <f aca="false">SUMIF($CB$4:$JS$4,BK$4,$CB34:$JS34)</f>
        <v>0</v>
      </c>
      <c r="BL34" s="50" t="n">
        <f aca="false">SUMIF($CB$4:$JS$4,BL$4,$CB34:$JS34)</f>
        <v>0</v>
      </c>
      <c r="BM34" s="50" t="n">
        <f aca="false">SUMIF($CB$4:$JS$4,BM$4,$CB34:$JS34)</f>
        <v>0</v>
      </c>
      <c r="BN34" s="50" t="n">
        <f aca="false">SUMIF($CB$4:$JS$4,BN$4,$CB34:$JS34)</f>
        <v>0</v>
      </c>
      <c r="BO34" s="50" t="n">
        <f aca="false">SUMIF($CB$4:$JS$4,BO$4,$CB34:$JS34)</f>
        <v>0</v>
      </c>
      <c r="BP34" s="50" t="n">
        <f aca="false">SUMIF($CB$4:$JS$4,BP$4,$CB34:$JS34)</f>
        <v>0</v>
      </c>
      <c r="BQ34" s="50" t="n">
        <f aca="false">SUMIF($CB$4:$JS$4,BQ$4,$CB34:$JS34)</f>
        <v>0</v>
      </c>
      <c r="BR34" s="50" t="n">
        <f aca="false">SUMIF($CB$4:$JS$4,BR$4,$CB34:$JS34)</f>
        <v>0</v>
      </c>
      <c r="BS34" s="50" t="n">
        <f aca="false">SUMIF($CB$4:$JS$4,BS$4,$CB34:$JS34)</f>
        <v>0</v>
      </c>
      <c r="BT34" s="50" t="n">
        <f aca="false">SUMIF($CB$4:$JS$4,BT$4,$CB34:$JS34)</f>
        <v>0</v>
      </c>
      <c r="BU34" s="50" t="n">
        <f aca="false">SUMIF($CB$4:$JS$4,BU$4,$CB34:$JS34)</f>
        <v>0</v>
      </c>
      <c r="BV34" s="50" t="n">
        <f aca="false">SUMIF($CB$4:$JS$4,BV$4,$CB34:$JS34)</f>
        <v>0</v>
      </c>
      <c r="BW34" s="50" t="n">
        <f aca="false">SUMIF($CB$4:$JS$4,BW$4,$CB34:$JS34)</f>
        <v>0</v>
      </c>
      <c r="BX34" s="50" t="n">
        <f aca="false">SUMIF($CB$4:$JS$4,"&gt;"&amp;'VALOR POR PL'!$P$8,$CB34:$JS34)</f>
        <v>0</v>
      </c>
      <c r="BY34" s="50" t="n">
        <f aca="false">SUM($CB34:$JS34)</f>
        <v>0</v>
      </c>
      <c r="BZ34" s="45" t="n">
        <f aca="false">SUMPRODUCT(($CB$4:$JS$4&lt;&gt;"")*($CB$4:$JS$4&lt;=$D$4),$CB34:$JS34,$CB$1:$JS$1)</f>
        <v>0</v>
      </c>
      <c r="CB34" s="133" t="n">
        <f aca="false">IF(OR(CB$4="",$B34=""),0,SUMIF('DADOS BRUTOS'!$A$3:$A$500,$B34,'DADOS BRUTOS'!B$3:B$500)+IF($C34="",0,SUMIF('DADOS BRUTOS'!$A$3:$A$500,$C34,'DADOS BRUTOS'!B$3:B$500)))</f>
        <v>0</v>
      </c>
      <c r="CC34" s="133" t="n">
        <f aca="false">IF(OR(CC$4="",$B34=""),0,SUMIF('DADOS BRUTOS'!$A$3:$A$500,$B34,'DADOS BRUTOS'!C$3:C$500)+IF($C34="",0,SUMIF('DADOS BRUTOS'!$A$3:$A$500,$C34,'DADOS BRUTOS'!C$3:C$500)))</f>
        <v>0</v>
      </c>
      <c r="CD34" s="133" t="n">
        <f aca="false">IF(OR(CD$4="",$B34=""),0,SUMIF('DADOS BRUTOS'!$A$3:$A$500,$B34,'DADOS BRUTOS'!D$3:D$500)+IF($C34="",0,SUMIF('DADOS BRUTOS'!$A$3:$A$500,$C34,'DADOS BRUTOS'!D$3:D$500)))</f>
        <v>0</v>
      </c>
      <c r="CE34" s="133" t="n">
        <f aca="false">IF(OR(CE$4="",$B34=""),0,SUMIF('DADOS BRUTOS'!$A$3:$A$500,$B34,'DADOS BRUTOS'!E$3:E$500)+IF($C34="",0,SUMIF('DADOS BRUTOS'!$A$3:$A$500,$C34,'DADOS BRUTOS'!E$3:E$500)))</f>
        <v>0</v>
      </c>
      <c r="CF34" s="133" t="n">
        <f aca="false">IF(OR(CF$4="",$B34=""),0,SUMIF('DADOS BRUTOS'!$A$3:$A$500,$B34,'DADOS BRUTOS'!F$3:F$500)+IF($C34="",0,SUMIF('DADOS BRUTOS'!$A$3:$A$500,$C34,'DADOS BRUTOS'!F$3:F$500)))</f>
        <v>0</v>
      </c>
      <c r="CG34" s="133" t="n">
        <f aca="false">IF(OR(CG$4="",$B34=""),0,SUMIF('DADOS BRUTOS'!$A$3:$A$500,$B34,'DADOS BRUTOS'!G$3:G$500)+IF($C34="",0,SUMIF('DADOS BRUTOS'!$A$3:$A$500,$C34,'DADOS BRUTOS'!G$3:G$500)))</f>
        <v>0</v>
      </c>
      <c r="CH34" s="133" t="n">
        <f aca="false">IF(OR(CH$4="",$B34=""),0,SUMIF('DADOS BRUTOS'!$A$3:$A$500,$B34,'DADOS BRUTOS'!H$3:H$500)+IF($C34="",0,SUMIF('DADOS BRUTOS'!$A$3:$A$500,$C34,'DADOS BRUTOS'!H$3:H$500)))</f>
        <v>0</v>
      </c>
      <c r="CI34" s="133" t="n">
        <f aca="false">IF(OR(CI$4="",$B34=""),0,SUMIF('DADOS BRUTOS'!$A$3:$A$500,$B34,'DADOS BRUTOS'!I$3:I$500)+IF($C34="",0,SUMIF('DADOS BRUTOS'!$A$3:$A$500,$C34,'DADOS BRUTOS'!I$3:I$500)))</f>
        <v>0</v>
      </c>
      <c r="CJ34" s="133" t="n">
        <f aca="false">IF(OR(CJ$4="",$B34=""),0,SUMIF('DADOS BRUTOS'!$A$3:$A$500,$B34,'DADOS BRUTOS'!J$3:J$500)+IF($C34="",0,SUMIF('DADOS BRUTOS'!$A$3:$A$500,$C34,'DADOS BRUTOS'!J$3:J$500)))</f>
        <v>0</v>
      </c>
      <c r="CK34" s="133" t="n">
        <f aca="false">IF(OR(CK$4="",$B34=""),0,SUMIF('DADOS BRUTOS'!$A$3:$A$500,$B34,'DADOS BRUTOS'!K$3:K$500)+IF($C34="",0,SUMIF('DADOS BRUTOS'!$A$3:$A$500,$C34,'DADOS BRUTOS'!K$3:K$500)))</f>
        <v>0</v>
      </c>
      <c r="CL34" s="133" t="n">
        <f aca="false">IF(OR(CL$4="",$B34=""),0,SUMIF('DADOS BRUTOS'!$A$3:$A$500,$B34,'DADOS BRUTOS'!L$3:L$500)+IF($C34="",0,SUMIF('DADOS BRUTOS'!$A$3:$A$500,$C34,'DADOS BRUTOS'!L$3:L$500)))</f>
        <v>0</v>
      </c>
      <c r="CM34" s="133" t="n">
        <f aca="false">IF(OR(CM$4="",$B34=""),0,SUMIF('DADOS BRUTOS'!$A$3:$A$500,$B34,'DADOS BRUTOS'!M$3:M$500)+IF($C34="",0,SUMIF('DADOS BRUTOS'!$A$3:$A$500,$C34,'DADOS BRUTOS'!M$3:M$500)))</f>
        <v>0</v>
      </c>
      <c r="CN34" s="133" t="n">
        <f aca="false">IF(OR(CN$4="",$B34=""),0,SUMIF('DADOS BRUTOS'!$A$3:$A$500,$B34,'DADOS BRUTOS'!N$3:N$500)+IF($C34="",0,SUMIF('DADOS BRUTOS'!$A$3:$A$500,$C34,'DADOS BRUTOS'!N$3:N$500)))</f>
        <v>0</v>
      </c>
      <c r="CO34" s="133" t="n">
        <f aca="false">IF(OR(CO$4="",$B34=""),0,SUMIF('DADOS BRUTOS'!$A$3:$A$500,$B34,'DADOS BRUTOS'!O$3:O$500)+IF($C34="",0,SUMIF('DADOS BRUTOS'!$A$3:$A$500,$C34,'DADOS BRUTOS'!O$3:O$500)))</f>
        <v>0</v>
      </c>
      <c r="CP34" s="133" t="n">
        <f aca="false">IF(OR(CP$4="",$B34=""),0,SUMIF('DADOS BRUTOS'!$A$3:$A$500,$B34,'DADOS BRUTOS'!P$3:P$500)+IF($C34="",0,SUMIF('DADOS BRUTOS'!$A$3:$A$500,$C34,'DADOS BRUTOS'!P$3:P$500)))</f>
        <v>0</v>
      </c>
      <c r="CQ34" s="133" t="n">
        <f aca="false">IF(OR(CQ$4="",$B34=""),0,SUMIF('DADOS BRUTOS'!$A$3:$A$500,$B34,'DADOS BRUTOS'!Q$3:Q$500)+IF($C34="",0,SUMIF('DADOS BRUTOS'!$A$3:$A$500,$C34,'DADOS BRUTOS'!Q$3:Q$500)))</f>
        <v>0</v>
      </c>
      <c r="CR34" s="133" t="n">
        <f aca="false">IF(OR(CR$4="",$B34=""),0,SUMIF('DADOS BRUTOS'!$A$3:$A$500,$B34,'DADOS BRUTOS'!R$3:R$500)+IF($C34="",0,SUMIF('DADOS BRUTOS'!$A$3:$A$500,$C34,'DADOS BRUTOS'!R$3:R$500)))</f>
        <v>0</v>
      </c>
      <c r="CS34" s="133" t="n">
        <f aca="false">IF(OR(CS$4="",$B34=""),0,SUMIF('DADOS BRUTOS'!$A$3:$A$500,$B34,'DADOS BRUTOS'!S$3:S$500)+IF($C34="",0,SUMIF('DADOS BRUTOS'!$A$3:$A$500,$C34,'DADOS BRUTOS'!S$3:S$500)))</f>
        <v>0</v>
      </c>
      <c r="CT34" s="133" t="n">
        <f aca="false">IF(OR(CT$4="",$B34=""),0,SUMIF('DADOS BRUTOS'!$A$3:$A$500,$B34,'DADOS BRUTOS'!T$3:T$500)+IF($C34="",0,SUMIF('DADOS BRUTOS'!$A$3:$A$500,$C34,'DADOS BRUTOS'!T$3:T$500)))</f>
        <v>0</v>
      </c>
      <c r="CU34" s="133" t="n">
        <f aca="false">IF(OR(CU$4="",$B34=""),0,SUMIF('DADOS BRUTOS'!$A$3:$A$500,$B34,'DADOS BRUTOS'!U$3:U$500)+IF($C34="",0,SUMIF('DADOS BRUTOS'!$A$3:$A$500,$C34,'DADOS BRUTOS'!U$3:U$500)))</f>
        <v>0</v>
      </c>
      <c r="CV34" s="133" t="n">
        <f aca="false">IF(OR(CV$4="",$B34=""),0,SUMIF('DADOS BRUTOS'!$A$3:$A$500,$B34,'DADOS BRUTOS'!V$3:V$500)+IF($C34="",0,SUMIF('DADOS BRUTOS'!$A$3:$A$500,$C34,'DADOS BRUTOS'!V$3:V$500)))</f>
        <v>0</v>
      </c>
      <c r="CW34" s="133" t="n">
        <f aca="false">IF(OR(CW$4="",$B34=""),0,SUMIF('DADOS BRUTOS'!$A$3:$A$500,$B34,'DADOS BRUTOS'!W$3:W$500)+IF($C34="",0,SUMIF('DADOS BRUTOS'!$A$3:$A$500,$C34,'DADOS BRUTOS'!W$3:W$500)))</f>
        <v>0</v>
      </c>
      <c r="CX34" s="133" t="n">
        <f aca="false">IF(OR(CX$4="",$B34=""),0,SUMIF('DADOS BRUTOS'!$A$3:$A$500,$B34,'DADOS BRUTOS'!X$3:X$500)+IF($C34="",0,SUMIF('DADOS BRUTOS'!$A$3:$A$500,$C34,'DADOS BRUTOS'!X$3:X$500)))</f>
        <v>0</v>
      </c>
      <c r="CY34" s="133" t="n">
        <f aca="false">IF(OR(CY$4="",$B34=""),0,SUMIF('DADOS BRUTOS'!$A$3:$A$500,$B34,'DADOS BRUTOS'!Y$3:Y$500)+IF($C34="",0,SUMIF('DADOS BRUTOS'!$A$3:$A$500,$C34,'DADOS BRUTOS'!Y$3:Y$500)))</f>
        <v>0</v>
      </c>
      <c r="CZ34" s="133" t="n">
        <f aca="false">IF(OR(CZ$4="",$B34=""),0,SUMIF('DADOS BRUTOS'!$A$3:$A$500,$B34,'DADOS BRUTOS'!Z$3:Z$500)+IF($C34="",0,SUMIF('DADOS BRUTOS'!$A$3:$A$500,$C34,'DADOS BRUTOS'!Z$3:Z$500)))</f>
        <v>0</v>
      </c>
      <c r="DA34" s="133" t="n">
        <f aca="false">IF(OR(DA$4="",$B34=""),0,SUMIF('DADOS BRUTOS'!$A$3:$A$500,$B34,'DADOS BRUTOS'!AA$3:AA$500)+IF($C34="",0,SUMIF('DADOS BRUTOS'!$A$3:$A$500,$C34,'DADOS BRUTOS'!AA$3:AA$500)))</f>
        <v>0</v>
      </c>
      <c r="DB34" s="133" t="n">
        <f aca="false">IF(OR(DB$4="",$B34=""),0,SUMIF('DADOS BRUTOS'!$A$3:$A$500,$B34,'DADOS BRUTOS'!AB$3:AB$500)+IF($C34="",0,SUMIF('DADOS BRUTOS'!$A$3:$A$500,$C34,'DADOS BRUTOS'!AB$3:AB$500)))</f>
        <v>0</v>
      </c>
      <c r="DC34" s="133" t="n">
        <f aca="false">IF(OR(DC$4="",$B34=""),0,SUMIF('DADOS BRUTOS'!$A$3:$A$500,$B34,'DADOS BRUTOS'!AC$3:AC$500)+IF($C34="",0,SUMIF('DADOS BRUTOS'!$A$3:$A$500,$C34,'DADOS BRUTOS'!AC$3:AC$500)))</f>
        <v>0</v>
      </c>
      <c r="DD34" s="133" t="n">
        <f aca="false">IF(OR(DD$4="",$B34=""),0,SUMIF('DADOS BRUTOS'!$A$3:$A$500,$B34,'DADOS BRUTOS'!AD$3:AD$500)+IF($C34="",0,SUMIF('DADOS BRUTOS'!$A$3:$A$500,$C34,'DADOS BRUTOS'!AD$3:AD$500)))</f>
        <v>0</v>
      </c>
      <c r="DE34" s="133" t="n">
        <f aca="false">IF(OR(DE$4="",$B34=""),0,SUMIF('DADOS BRUTOS'!$A$3:$A$500,$B34,'DADOS BRUTOS'!AE$3:AE$500)+IF($C34="",0,SUMIF('DADOS BRUTOS'!$A$3:$A$500,$C34,'DADOS BRUTOS'!AE$3:AE$500)))</f>
        <v>0</v>
      </c>
      <c r="DF34" s="133" t="n">
        <f aca="false">IF(OR(DF$4="",$B34=""),0,SUMIF('DADOS BRUTOS'!$A$3:$A$500,$B34,'DADOS BRUTOS'!AF$3:AF$500)+IF($C34="",0,SUMIF('DADOS BRUTOS'!$A$3:$A$500,$C34,'DADOS BRUTOS'!AF$3:AF$500)))</f>
        <v>0</v>
      </c>
      <c r="DG34" s="133" t="n">
        <f aca="false">IF(OR(DG$4="",$B34=""),0,SUMIF('DADOS BRUTOS'!$A$3:$A$500,$B34,'DADOS BRUTOS'!AG$3:AG$500)+IF($C34="",0,SUMIF('DADOS BRUTOS'!$A$3:$A$500,$C34,'DADOS BRUTOS'!AG$3:AG$500)))</f>
        <v>0</v>
      </c>
      <c r="DH34" s="133" t="n">
        <f aca="false">IF(OR(DH$4="",$B34=""),0,SUMIF('DADOS BRUTOS'!$A$3:$A$500,$B34,'DADOS BRUTOS'!AH$3:AH$500)+IF($C34="",0,SUMIF('DADOS BRUTOS'!$A$3:$A$500,$C34,'DADOS BRUTOS'!AH$3:AH$500)))</f>
        <v>0</v>
      </c>
      <c r="DI34" s="133" t="n">
        <f aca="false">IF(OR(DI$4="",$B34=""),0,SUMIF('DADOS BRUTOS'!$A$3:$A$500,$B34,'DADOS BRUTOS'!AI$3:AI$500)+IF($C34="",0,SUMIF('DADOS BRUTOS'!$A$3:$A$500,$C34,'DADOS BRUTOS'!AI$3:AI$500)))</f>
        <v>0</v>
      </c>
      <c r="DJ34" s="133" t="n">
        <f aca="false">IF(OR(DJ$4="",$B34=""),0,SUMIF('DADOS BRUTOS'!$A$3:$A$500,$B34,'DADOS BRUTOS'!AJ$3:AJ$500)+IF($C34="",0,SUMIF('DADOS BRUTOS'!$A$3:$A$500,$C34,'DADOS BRUTOS'!AJ$3:AJ$500)))</f>
        <v>0</v>
      </c>
      <c r="DK34" s="133" t="n">
        <f aca="false">IF(OR(DK$4="",$B34=""),0,SUMIF('DADOS BRUTOS'!$A$3:$A$500,$B34,'DADOS BRUTOS'!AK$3:AK$500)+IF($C34="",0,SUMIF('DADOS BRUTOS'!$A$3:$A$500,$C34,'DADOS BRUTOS'!AK$3:AK$500)))</f>
        <v>0</v>
      </c>
      <c r="DL34" s="133" t="n">
        <f aca="false">IF(OR(DL$4="",$B34=""),0,SUMIF('DADOS BRUTOS'!$A$3:$A$500,$B34,'DADOS BRUTOS'!AL$3:AL$500)+IF($C34="",0,SUMIF('DADOS BRUTOS'!$A$3:$A$500,$C34,'DADOS BRUTOS'!AL$3:AL$500)))</f>
        <v>0</v>
      </c>
      <c r="DM34" s="133" t="n">
        <f aca="false">IF(OR(DM$4="",$B34=""),0,SUMIF('DADOS BRUTOS'!$A$3:$A$500,$B34,'DADOS BRUTOS'!AM$3:AM$500)+IF($C34="",0,SUMIF('DADOS BRUTOS'!$A$3:$A$500,$C34,'DADOS BRUTOS'!AM$3:AM$500)))</f>
        <v>0</v>
      </c>
      <c r="DN34" s="133" t="n">
        <f aca="false">IF(OR(DN$4="",$B34=""),0,SUMIF('DADOS BRUTOS'!$A$3:$A$500,$B34,'DADOS BRUTOS'!AN$3:AN$500)+IF($C34="",0,SUMIF('DADOS BRUTOS'!$A$3:$A$500,$C34,'DADOS BRUTOS'!AN$3:AN$500)))</f>
        <v>0</v>
      </c>
      <c r="DO34" s="133" t="n">
        <f aca="false">IF(OR(DO$4="",$B34=""),0,SUMIF('DADOS BRUTOS'!$A$3:$A$500,$B34,'DADOS BRUTOS'!AO$3:AO$500)+IF($C34="",0,SUMIF('DADOS BRUTOS'!$A$3:$A$500,$C34,'DADOS BRUTOS'!AO$3:AO$500)))</f>
        <v>0</v>
      </c>
      <c r="DP34" s="133" t="n">
        <f aca="false">IF(OR(DP$4="",$B34=""),0,SUMIF('DADOS BRUTOS'!$A$3:$A$500,$B34,'DADOS BRUTOS'!AP$3:AP$500)+IF($C34="",0,SUMIF('DADOS BRUTOS'!$A$3:$A$500,$C34,'DADOS BRUTOS'!AP$3:AP$500)))</f>
        <v>0</v>
      </c>
      <c r="DQ34" s="133" t="n">
        <f aca="false">IF(OR(DQ$4="",$B34=""),0,SUMIF('DADOS BRUTOS'!$A$3:$A$500,$B34,'DADOS BRUTOS'!AQ$3:AQ$500)+IF($C34="",0,SUMIF('DADOS BRUTOS'!$A$3:$A$500,$C34,'DADOS BRUTOS'!AQ$3:AQ$500)))</f>
        <v>0</v>
      </c>
      <c r="DR34" s="133" t="n">
        <f aca="false">IF(OR(DR$4="",$B34=""),0,SUMIF('DADOS BRUTOS'!$A$3:$A$500,$B34,'DADOS BRUTOS'!AR$3:AR$500)+IF($C34="",0,SUMIF('DADOS BRUTOS'!$A$3:$A$500,$C34,'DADOS BRUTOS'!AR$3:AR$500)))</f>
        <v>0</v>
      </c>
      <c r="DS34" s="133" t="n">
        <f aca="false">IF(OR(DS$4="",$B34=""),0,SUMIF('DADOS BRUTOS'!$A$3:$A$500,$B34,'DADOS BRUTOS'!AS$3:AS$500)+IF($C34="",0,SUMIF('DADOS BRUTOS'!$A$3:$A$500,$C34,'DADOS BRUTOS'!AS$3:AS$500)))</f>
        <v>0</v>
      </c>
      <c r="DT34" s="133" t="n">
        <f aca="false">IF(OR(DT$4="",$B34=""),0,SUMIF('DADOS BRUTOS'!$A$3:$A$500,$B34,'DADOS BRUTOS'!AT$3:AT$500)+IF($C34="",0,SUMIF('DADOS BRUTOS'!$A$3:$A$500,$C34,'DADOS BRUTOS'!AT$3:AT$500)))</f>
        <v>0</v>
      </c>
      <c r="DU34" s="133" t="n">
        <f aca="false">IF(OR(DU$4="",$B34=""),0,SUMIF('DADOS BRUTOS'!$A$3:$A$500,$B34,'DADOS BRUTOS'!AU$3:AU$500)+IF($C34="",0,SUMIF('DADOS BRUTOS'!$A$3:$A$500,$C34,'DADOS BRUTOS'!AU$3:AU$500)))</f>
        <v>0</v>
      </c>
      <c r="DV34" s="133" t="n">
        <f aca="false">IF(OR(DV$4="",$B34=""),0,SUMIF('DADOS BRUTOS'!$A$3:$A$500,$B34,'DADOS BRUTOS'!AV$3:AV$500)+IF($C34="",0,SUMIF('DADOS BRUTOS'!$A$3:$A$500,$C34,'DADOS BRUTOS'!AV$3:AV$500)))</f>
        <v>0</v>
      </c>
      <c r="DW34" s="133" t="n">
        <f aca="false">IF(OR(DW$4="",$B34=""),0,SUMIF('DADOS BRUTOS'!$A$3:$A$500,$B34,'DADOS BRUTOS'!AW$3:AW$500)+IF($C34="",0,SUMIF('DADOS BRUTOS'!$A$3:$A$500,$C34,'DADOS BRUTOS'!AW$3:AW$500)))</f>
        <v>0</v>
      </c>
      <c r="DX34" s="133" t="n">
        <f aca="false">IF(OR(DX$4="",$B34=""),0,SUMIF('DADOS BRUTOS'!$A$3:$A$500,$B34,'DADOS BRUTOS'!AX$3:AX$500)+IF($C34="",0,SUMIF('DADOS BRUTOS'!$A$3:$A$500,$C34,'DADOS BRUTOS'!AX$3:AX$500)))</f>
        <v>0</v>
      </c>
      <c r="DY34" s="133" t="n">
        <f aca="false">IF(OR(DY$4="",$B34=""),0,SUMIF('DADOS BRUTOS'!$A$3:$A$500,$B34,'DADOS BRUTOS'!AY$3:AY$500)+IF($C34="",0,SUMIF('DADOS BRUTOS'!$A$3:$A$500,$C34,'DADOS BRUTOS'!AY$3:AY$500)))</f>
        <v>0</v>
      </c>
      <c r="DZ34" s="133" t="n">
        <f aca="false">IF(OR(DZ$4="",$B34=""),0,SUMIF('DADOS BRUTOS'!$A$3:$A$500,$B34,'DADOS BRUTOS'!AZ$3:AZ$500)+IF($C34="",0,SUMIF('DADOS BRUTOS'!$A$3:$A$500,$C34,'DADOS BRUTOS'!AZ$3:AZ$500)))</f>
        <v>0</v>
      </c>
      <c r="EA34" s="133" t="n">
        <f aca="false">IF(OR(EA$4="",$B34=""),0,SUMIF('DADOS BRUTOS'!$A$3:$A$500,$B34,'DADOS BRUTOS'!BA$3:BA$500)+IF($C34="",0,SUMIF('DADOS BRUTOS'!$A$3:$A$500,$C34,'DADOS BRUTOS'!BA$3:BA$500)))</f>
        <v>0</v>
      </c>
      <c r="EB34" s="133" t="n">
        <f aca="false">IF(OR(EB$4="",$B34=""),0,SUMIF('DADOS BRUTOS'!$A$3:$A$500,$B34,'DADOS BRUTOS'!BB$3:BB$500)+IF($C34="",0,SUMIF('DADOS BRUTOS'!$A$3:$A$500,$C34,'DADOS BRUTOS'!BB$3:BB$500)))</f>
        <v>0</v>
      </c>
      <c r="EC34" s="133" t="n">
        <f aca="false">IF(OR(EC$4="",$B34=""),0,SUMIF('DADOS BRUTOS'!$A$3:$A$500,$B34,'DADOS BRUTOS'!BC$3:BC$500)+IF($C34="",0,SUMIF('DADOS BRUTOS'!$A$3:$A$500,$C34,'DADOS BRUTOS'!BC$3:BC$500)))</f>
        <v>0</v>
      </c>
      <c r="ED34" s="133" t="n">
        <f aca="false">IF(OR(ED$4="",$B34=""),0,SUMIF('DADOS BRUTOS'!$A$3:$A$500,$B34,'DADOS BRUTOS'!BD$3:BD$500)+IF($C34="",0,SUMIF('DADOS BRUTOS'!$A$3:$A$500,$C34,'DADOS BRUTOS'!BD$3:BD$500)))</f>
        <v>0</v>
      </c>
      <c r="EE34" s="133" t="n">
        <f aca="false">IF(OR(EE$4="",$B34=""),0,SUMIF('DADOS BRUTOS'!$A$3:$A$500,$B34,'DADOS BRUTOS'!BE$3:BE$500)+IF($C34="",0,SUMIF('DADOS BRUTOS'!$A$3:$A$500,$C34,'DADOS BRUTOS'!BE$3:BE$500)))</f>
        <v>0</v>
      </c>
      <c r="EF34" s="133" t="n">
        <f aca="false">IF(OR(EF$4="",$B34=""),0,SUMIF('DADOS BRUTOS'!$A$3:$A$500,$B34,'DADOS BRUTOS'!BF$3:BF$500)+IF($C34="",0,SUMIF('DADOS BRUTOS'!$A$3:$A$500,$C34,'DADOS BRUTOS'!BF$3:BF$500)))</f>
        <v>0</v>
      </c>
      <c r="EG34" s="133" t="n">
        <f aca="false">IF(OR(EG$4="",$B34=""),0,SUMIF('DADOS BRUTOS'!$A$3:$A$500,$B34,'DADOS BRUTOS'!BG$3:BG$500)+IF($C34="",0,SUMIF('DADOS BRUTOS'!$A$3:$A$500,$C34,'DADOS BRUTOS'!BG$3:BG$500)))</f>
        <v>0</v>
      </c>
      <c r="EH34" s="133" t="n">
        <f aca="false">IF(OR(EH$4="",$B34=""),0,SUMIF('DADOS BRUTOS'!$A$3:$A$500,$B34,'DADOS BRUTOS'!BH$3:BH$500)+IF($C34="",0,SUMIF('DADOS BRUTOS'!$A$3:$A$500,$C34,'DADOS BRUTOS'!BH$3:BH$500)))</f>
        <v>0</v>
      </c>
      <c r="EI34" s="133" t="n">
        <f aca="false">IF(OR(EI$4="",$B34=""),0,SUMIF('DADOS BRUTOS'!$A$3:$A$500,$B34,'DADOS BRUTOS'!BI$3:BI$500)+IF($C34="",0,SUMIF('DADOS BRUTOS'!$A$3:$A$500,$C34,'DADOS BRUTOS'!BI$3:BI$500)))</f>
        <v>0</v>
      </c>
      <c r="EJ34" s="133" t="n">
        <f aca="false">IF(OR(EJ$4="",$B34=""),0,SUMIF('DADOS BRUTOS'!$A$3:$A$500,$B34,'DADOS BRUTOS'!BJ$3:BJ$500)+IF($C34="",0,SUMIF('DADOS BRUTOS'!$A$3:$A$500,$C34,'DADOS BRUTOS'!BJ$3:BJ$500)))</f>
        <v>0</v>
      </c>
      <c r="EK34" s="133" t="n">
        <f aca="false">IF(OR(EK$4="",$B34=""),0,SUMIF('DADOS BRUTOS'!$A$3:$A$500,$B34,'DADOS BRUTOS'!BK$3:BK$500)+IF($C34="",0,SUMIF('DADOS BRUTOS'!$A$3:$A$500,$C34,'DADOS BRUTOS'!BK$3:BK$500)))</f>
        <v>0</v>
      </c>
      <c r="EL34" s="133" t="n">
        <f aca="false">IF(OR(EL$4="",$B34=""),0,SUMIF('DADOS BRUTOS'!$A$3:$A$500,$B34,'DADOS BRUTOS'!BL$3:BL$500)+IF($C34="",0,SUMIF('DADOS BRUTOS'!$A$3:$A$500,$C34,'DADOS BRUTOS'!BL$3:BL$500)))</f>
        <v>0</v>
      </c>
      <c r="EM34" s="133" t="n">
        <f aca="false">IF(OR(EM$4="",$B34=""),0,SUMIF('DADOS BRUTOS'!$A$3:$A$500,$B34,'DADOS BRUTOS'!BM$3:BM$500)+IF($C34="",0,SUMIF('DADOS BRUTOS'!$A$3:$A$500,$C34,'DADOS BRUTOS'!BM$3:BM$500)))</f>
        <v>0</v>
      </c>
      <c r="EN34" s="133" t="n">
        <f aca="false">IF(OR(EN$4="",$B34=""),0,SUMIF('DADOS BRUTOS'!$A$3:$A$500,$B34,'DADOS BRUTOS'!BN$3:BN$500)+IF($C34="",0,SUMIF('DADOS BRUTOS'!$A$3:$A$500,$C34,'DADOS BRUTOS'!BN$3:BN$500)))</f>
        <v>0</v>
      </c>
      <c r="EO34" s="133" t="n">
        <f aca="false">IF(OR(EO$4="",$B34=""),0,SUMIF('DADOS BRUTOS'!$A$3:$A$500,$B34,'DADOS BRUTOS'!BO$3:BO$500)+IF($C34="",0,SUMIF('DADOS BRUTOS'!$A$3:$A$500,$C34,'DADOS BRUTOS'!BO$3:BO$500)))</f>
        <v>0</v>
      </c>
      <c r="EP34" s="133" t="n">
        <f aca="false">IF(OR(EP$4="",$B34=""),0,SUMIF('DADOS BRUTOS'!$A$3:$A$500,$B34,'DADOS BRUTOS'!BP$3:BP$500)+IF($C34="",0,SUMIF('DADOS BRUTOS'!$A$3:$A$500,$C34,'DADOS BRUTOS'!BP$3:BP$500)))</f>
        <v>0</v>
      </c>
      <c r="EQ34" s="133" t="n">
        <f aca="false">IF(OR(EQ$4="",$B34=""),0,SUMIF('DADOS BRUTOS'!$A$3:$A$500,$B34,'DADOS BRUTOS'!BQ$3:BQ$500)+IF($C34="",0,SUMIF('DADOS BRUTOS'!$A$3:$A$500,$C34,'DADOS BRUTOS'!BQ$3:BQ$500)))</f>
        <v>0</v>
      </c>
      <c r="ER34" s="133" t="n">
        <f aca="false">IF(OR(ER$4="",$B34=""),0,SUMIF('DADOS BRUTOS'!$A$3:$A$500,$B34,'DADOS BRUTOS'!BR$3:BR$500)+IF($C34="",0,SUMIF('DADOS BRUTOS'!$A$3:$A$500,$C34,'DADOS BRUTOS'!BR$3:BR$500)))</f>
        <v>0</v>
      </c>
      <c r="ES34" s="133" t="n">
        <f aca="false">IF(OR(ES$4="",$B34=""),0,SUMIF('DADOS BRUTOS'!$A$3:$A$500,$B34,'DADOS BRUTOS'!BS$3:BS$500)+IF($C34="",0,SUMIF('DADOS BRUTOS'!$A$3:$A$500,$C34,'DADOS BRUTOS'!BS$3:BS$500)))</f>
        <v>0</v>
      </c>
      <c r="ET34" s="133" t="n">
        <f aca="false">IF(OR(ET$4="",$B34=""),0,SUMIF('DADOS BRUTOS'!$A$3:$A$500,$B34,'DADOS BRUTOS'!BT$3:BT$500)+IF($C34="",0,SUMIF('DADOS BRUTOS'!$A$3:$A$500,$C34,'DADOS BRUTOS'!BT$3:BT$500)))</f>
        <v>0</v>
      </c>
      <c r="EU34" s="133" t="n">
        <f aca="false">IF(OR(EU$4="",$B34=""),0,SUMIF('DADOS BRUTOS'!$A$3:$A$500,$B34,'DADOS BRUTOS'!BU$3:BU$500)+IF($C34="",0,SUMIF('DADOS BRUTOS'!$A$3:$A$500,$C34,'DADOS BRUTOS'!BU$3:BU$500)))</f>
        <v>0</v>
      </c>
      <c r="EV34" s="133" t="n">
        <f aca="false">IF(OR(EV$4="",$B34=""),0,SUMIF('DADOS BRUTOS'!$A$3:$A$500,$B34,'DADOS BRUTOS'!BV$3:BV$500)+IF($C34="",0,SUMIF('DADOS BRUTOS'!$A$3:$A$500,$C34,'DADOS BRUTOS'!BV$3:BV$500)))</f>
        <v>0</v>
      </c>
      <c r="EW34" s="133" t="n">
        <f aca="false">IF(OR(EW$4="",$B34=""),0,SUMIF('DADOS BRUTOS'!$A$3:$A$500,$B34,'DADOS BRUTOS'!BW$3:BW$500)+IF($C34="",0,SUMIF('DADOS BRUTOS'!$A$3:$A$500,$C34,'DADOS BRUTOS'!BW$3:BW$500)))</f>
        <v>0</v>
      </c>
      <c r="EX34" s="133" t="n">
        <f aca="false">IF(OR(EX$4="",$B34=""),0,SUMIF('DADOS BRUTOS'!$A$3:$A$500,$B34,'DADOS BRUTOS'!BX$3:BX$500)+IF($C34="",0,SUMIF('DADOS BRUTOS'!$A$3:$A$500,$C34,'DADOS BRUTOS'!BX$3:BX$500)))</f>
        <v>0</v>
      </c>
      <c r="EY34" s="133" t="n">
        <f aca="false">IF(OR(EY$4="",$B34=""),0,SUMIF('DADOS BRUTOS'!$A$3:$A$500,$B34,'DADOS BRUTOS'!BY$3:BY$500)+IF($C34="",0,SUMIF('DADOS BRUTOS'!$A$3:$A$500,$C34,'DADOS BRUTOS'!BY$3:BY$500)))</f>
        <v>0</v>
      </c>
      <c r="EZ34" s="133" t="n">
        <f aca="false">IF(OR(EZ$4="",$B34=""),0,SUMIF('DADOS BRUTOS'!$A$3:$A$500,$B34,'DADOS BRUTOS'!BZ$3:BZ$500)+IF($C34="",0,SUMIF('DADOS BRUTOS'!$A$3:$A$500,$C34,'DADOS BRUTOS'!BZ$3:BZ$500)))</f>
        <v>0</v>
      </c>
      <c r="FA34" s="133" t="n">
        <f aca="false">IF(OR(FA$4="",$B34=""),0,SUMIF('DADOS BRUTOS'!$A$3:$A$500,$B34,'DADOS BRUTOS'!CA$3:CA$500)+IF($C34="",0,SUMIF('DADOS BRUTOS'!$A$3:$A$500,$C34,'DADOS BRUTOS'!CA$3:CA$500)))</f>
        <v>0</v>
      </c>
      <c r="FB34" s="133" t="n">
        <f aca="false">IF(OR(FB$4="",$B34=""),0,SUMIF('DADOS BRUTOS'!$A$3:$A$500,$B34,'DADOS BRUTOS'!CB$3:CB$500)+IF($C34="",0,SUMIF('DADOS BRUTOS'!$A$3:$A$500,$C34,'DADOS BRUTOS'!CB$3:CB$500)))</f>
        <v>0</v>
      </c>
      <c r="FC34" s="133" t="n">
        <f aca="false">IF(OR(FC$4="",$B34=""),0,SUMIF('DADOS BRUTOS'!$A$3:$A$500,$B34,'DADOS BRUTOS'!CC$3:CC$500)+IF($C34="",0,SUMIF('DADOS BRUTOS'!$A$3:$A$500,$C34,'DADOS BRUTOS'!CC$3:CC$500)))</f>
        <v>0</v>
      </c>
      <c r="FD34" s="133" t="n">
        <f aca="false">IF(OR(FD$4="",$B34=""),0,SUMIF('DADOS BRUTOS'!$A$3:$A$500,$B34,'DADOS BRUTOS'!CD$3:CD$500)+IF($C34="",0,SUMIF('DADOS BRUTOS'!$A$3:$A$500,$C34,'DADOS BRUTOS'!CD$3:CD$500)))</f>
        <v>0</v>
      </c>
      <c r="FE34" s="133" t="n">
        <f aca="false">IF(OR(FE$4="",$B34=""),0,SUMIF('DADOS BRUTOS'!$A$3:$A$500,$B34,'DADOS BRUTOS'!CE$3:CE$500)+IF($C34="",0,SUMIF('DADOS BRUTOS'!$A$3:$A$500,$C34,'DADOS BRUTOS'!CE$3:CE$500)))</f>
        <v>0</v>
      </c>
      <c r="FF34" s="133" t="n">
        <f aca="false">IF(OR(FF$4="",$B34=""),0,SUMIF('DADOS BRUTOS'!$A$3:$A$500,$B34,'DADOS BRUTOS'!CF$3:CF$500)+IF($C34="",0,SUMIF('DADOS BRUTOS'!$A$3:$A$500,$C34,'DADOS BRUTOS'!CF$3:CF$500)))</f>
        <v>0</v>
      </c>
      <c r="FG34" s="133" t="n">
        <f aca="false">IF(OR(FG$4="",$B34=""),0,SUMIF('DADOS BRUTOS'!$A$3:$A$500,$B34,'DADOS BRUTOS'!CG$3:CG$500)+IF($C34="",0,SUMIF('DADOS BRUTOS'!$A$3:$A$500,$C34,'DADOS BRUTOS'!CG$3:CG$500)))</f>
        <v>0</v>
      </c>
      <c r="FH34" s="133" t="n">
        <f aca="false">IF(OR(FH$4="",$B34=""),0,SUMIF('DADOS BRUTOS'!$A$3:$A$500,$B34,'DADOS BRUTOS'!CH$3:CH$500)+IF($C34="",0,SUMIF('DADOS BRUTOS'!$A$3:$A$500,$C34,'DADOS BRUTOS'!CH$3:CH$500)))</f>
        <v>0</v>
      </c>
      <c r="FI34" s="133" t="n">
        <f aca="false">IF(OR(FI$4="",$B34=""),0,SUMIF('DADOS BRUTOS'!$A$3:$A$500,$B34,'DADOS BRUTOS'!CI$3:CI$500)+IF($C34="",0,SUMIF('DADOS BRUTOS'!$A$3:$A$500,$C34,'DADOS BRUTOS'!CI$3:CI$500)))</f>
        <v>0</v>
      </c>
      <c r="FJ34" s="133" t="n">
        <f aca="false">IF(OR(FJ$4="",$B34=""),0,SUMIF('DADOS BRUTOS'!$A$3:$A$500,$B34,'DADOS BRUTOS'!CJ$3:CJ$500)+IF($C34="",0,SUMIF('DADOS BRUTOS'!$A$3:$A$500,$C34,'DADOS BRUTOS'!CJ$3:CJ$500)))</f>
        <v>0</v>
      </c>
      <c r="FK34" s="133" t="n">
        <f aca="false">IF(OR(FK$4="",$B34=""),0,SUMIF('DADOS BRUTOS'!$A$3:$A$500,$B34,'DADOS BRUTOS'!CK$3:CK$500)+IF($C34="",0,SUMIF('DADOS BRUTOS'!$A$3:$A$500,$C34,'DADOS BRUTOS'!CK$3:CK$500)))</f>
        <v>0</v>
      </c>
      <c r="FL34" s="133" t="n">
        <f aca="false">IF(OR(FL$4="",$B34=""),0,SUMIF('DADOS BRUTOS'!$A$3:$A$500,$B34,'DADOS BRUTOS'!CL$3:CL$500)+IF($C34="",0,SUMIF('DADOS BRUTOS'!$A$3:$A$500,$C34,'DADOS BRUTOS'!CL$3:CL$500)))</f>
        <v>0</v>
      </c>
      <c r="FM34" s="133" t="n">
        <f aca="false">IF(OR(FM$4="",$B34=""),0,SUMIF('DADOS BRUTOS'!$A$3:$A$500,$B34,'DADOS BRUTOS'!CM$3:CM$500)+IF($C34="",0,SUMIF('DADOS BRUTOS'!$A$3:$A$500,$C34,'DADOS BRUTOS'!CM$3:CM$500)))</f>
        <v>0</v>
      </c>
      <c r="FN34" s="133" t="n">
        <f aca="false">IF(OR(FN$4="",$B34=""),0,SUMIF('DADOS BRUTOS'!$A$3:$A$500,$B34,'DADOS BRUTOS'!CN$3:CN$500)+IF($C34="",0,SUMIF('DADOS BRUTOS'!$A$3:$A$500,$C34,'DADOS BRUTOS'!CN$3:CN$500)))</f>
        <v>0</v>
      </c>
      <c r="FO34" s="133" t="n">
        <f aca="false">IF(OR(FO$4="",$B34=""),0,SUMIF('DADOS BRUTOS'!$A$3:$A$500,$B34,'DADOS BRUTOS'!CO$3:CO$500)+IF($C34="",0,SUMIF('DADOS BRUTOS'!$A$3:$A$500,$C34,'DADOS BRUTOS'!CO$3:CO$500)))</f>
        <v>0</v>
      </c>
      <c r="FP34" s="133" t="n">
        <f aca="false">IF(OR(FP$4="",$B34=""),0,SUMIF('DADOS BRUTOS'!$A$3:$A$500,$B34,'DADOS BRUTOS'!CP$3:CP$500)+IF($C34="",0,SUMIF('DADOS BRUTOS'!$A$3:$A$500,$C34,'DADOS BRUTOS'!CP$3:CP$500)))</f>
        <v>0</v>
      </c>
      <c r="FQ34" s="133" t="n">
        <f aca="false">IF(OR(FQ$4="",$B34=""),0,SUMIF('DADOS BRUTOS'!$A$3:$A$500,$B34,'DADOS BRUTOS'!CQ$3:CQ$500)+IF($C34="",0,SUMIF('DADOS BRUTOS'!$A$3:$A$500,$C34,'DADOS BRUTOS'!CQ$3:CQ$500)))</f>
        <v>0</v>
      </c>
      <c r="FR34" s="133" t="n">
        <f aca="false">IF(OR(FR$4="",$B34=""),0,SUMIF('DADOS BRUTOS'!$A$3:$A$500,$B34,'DADOS BRUTOS'!CR$3:CR$500)+IF($C34="",0,SUMIF('DADOS BRUTOS'!$A$3:$A$500,$C34,'DADOS BRUTOS'!CR$3:CR$500)))</f>
        <v>0</v>
      </c>
      <c r="FS34" s="133" t="n">
        <f aca="false">IF(OR(FS$4="",$B34=""),0,SUMIF('DADOS BRUTOS'!$A$3:$A$500,$B34,'DADOS BRUTOS'!CS$3:CS$500)+IF($C34="",0,SUMIF('DADOS BRUTOS'!$A$3:$A$500,$C34,'DADOS BRUTOS'!CS$3:CS$500)))</f>
        <v>0</v>
      </c>
      <c r="FT34" s="133" t="n">
        <f aca="false">IF(OR(FT$4="",$B34=""),0,SUMIF('DADOS BRUTOS'!$A$3:$A$500,$B34,'DADOS BRUTOS'!CT$3:CT$500)+IF($C34="",0,SUMIF('DADOS BRUTOS'!$A$3:$A$500,$C34,'DADOS BRUTOS'!CT$3:CT$500)))</f>
        <v>0</v>
      </c>
      <c r="FU34" s="133" t="n">
        <f aca="false">IF(OR(FU$4="",$B34=""),0,SUMIF('DADOS BRUTOS'!$A$3:$A$500,$B34,'DADOS BRUTOS'!CU$3:CU$500)+IF($C34="",0,SUMIF('DADOS BRUTOS'!$A$3:$A$500,$C34,'DADOS BRUTOS'!CU$3:CU$500)))</f>
        <v>0</v>
      </c>
      <c r="FV34" s="133" t="n">
        <f aca="false">IF(OR(FV$4="",$B34=""),0,SUMIF('DADOS BRUTOS'!$A$3:$A$500,$B34,'DADOS BRUTOS'!CV$3:CV$500)+IF($C34="",0,SUMIF('DADOS BRUTOS'!$A$3:$A$500,$C34,'DADOS BRUTOS'!CV$3:CV$500)))</f>
        <v>0</v>
      </c>
      <c r="FW34" s="133" t="n">
        <f aca="false">IF(OR(FW$4="",$B34=""),0,SUMIF('DADOS BRUTOS'!$A$3:$A$500,$B34,'DADOS BRUTOS'!CW$3:CW$500)+IF($C34="",0,SUMIF('DADOS BRUTOS'!$A$3:$A$500,$C34,'DADOS BRUTOS'!CW$3:CW$500)))</f>
        <v>0</v>
      </c>
      <c r="FX34" s="133" t="n">
        <f aca="false">IF(OR(FX$4="",$B34=""),0,SUMIF('DADOS BRUTOS'!$A$3:$A$500,$B34,'DADOS BRUTOS'!CX$3:CX$500)+IF($C34="",0,SUMIF('DADOS BRUTOS'!$A$3:$A$500,$C34,'DADOS BRUTOS'!CX$3:CX$500)))</f>
        <v>0</v>
      </c>
      <c r="FY34" s="133" t="n">
        <f aca="false">IF(OR(FY$4="",$B34=""),0,SUMIF('DADOS BRUTOS'!$A$3:$A$500,$B34,'DADOS BRUTOS'!CY$3:CY$500)+IF($C34="",0,SUMIF('DADOS BRUTOS'!$A$3:$A$500,$C34,'DADOS BRUTOS'!CY$3:CY$500)))</f>
        <v>0</v>
      </c>
      <c r="FZ34" s="133" t="n">
        <f aca="false">IF(OR(FZ$4="",$B34=""),0,SUMIF('DADOS BRUTOS'!$A$3:$A$500,$B34,'DADOS BRUTOS'!CZ$3:CZ$500)+IF($C34="",0,SUMIF('DADOS BRUTOS'!$A$3:$A$500,$C34,'DADOS BRUTOS'!CZ$3:CZ$500)))</f>
        <v>0</v>
      </c>
      <c r="GA34" s="133" t="n">
        <f aca="false">IF(OR(GA$4="",$B34=""),0,SUMIF('DADOS BRUTOS'!$A$3:$A$500,$B34,'DADOS BRUTOS'!DA$3:DA$500)+IF($C34="",0,SUMIF('DADOS BRUTOS'!$A$3:$A$500,$C34,'DADOS BRUTOS'!DA$3:DA$500)))</f>
        <v>0</v>
      </c>
      <c r="GB34" s="133" t="n">
        <f aca="false">IF(OR(GB$4="",$B34=""),0,SUMIF('DADOS BRUTOS'!$A$3:$A$500,$B34,'DADOS BRUTOS'!DB$3:DB$500)+IF($C34="",0,SUMIF('DADOS BRUTOS'!$A$3:$A$500,$C34,'DADOS BRUTOS'!DB$3:DB$500)))</f>
        <v>0</v>
      </c>
      <c r="GC34" s="133" t="n">
        <f aca="false">IF(OR(GC$4="",$B34=""),0,SUMIF('DADOS BRUTOS'!$A$3:$A$500,$B34,'DADOS BRUTOS'!DC$3:DC$500)+IF($C34="",0,SUMIF('DADOS BRUTOS'!$A$3:$A$500,$C34,'DADOS BRUTOS'!DC$3:DC$500)))</f>
        <v>0</v>
      </c>
      <c r="GD34" s="133" t="n">
        <f aca="false">IF(OR(GD$4="",$B34=""),0,SUMIF('DADOS BRUTOS'!$A$3:$A$500,$B34,'DADOS BRUTOS'!DD$3:DD$500)+IF($C34="",0,SUMIF('DADOS BRUTOS'!$A$3:$A$500,$C34,'DADOS BRUTOS'!DD$3:DD$500)))</f>
        <v>0</v>
      </c>
      <c r="GE34" s="133" t="n">
        <f aca="false">IF(OR(GE$4="",$B34=""),0,SUMIF('DADOS BRUTOS'!$A$3:$A$500,$B34,'DADOS BRUTOS'!DE$3:DE$500)+IF($C34="",0,SUMIF('DADOS BRUTOS'!$A$3:$A$500,$C34,'DADOS BRUTOS'!DE$3:DE$500)))</f>
        <v>0</v>
      </c>
      <c r="GF34" s="133" t="n">
        <f aca="false">IF(OR(GF$4="",$B34=""),0,SUMIF('DADOS BRUTOS'!$A$3:$A$500,$B34,'DADOS BRUTOS'!DF$3:DF$500)+IF($C34="",0,SUMIF('DADOS BRUTOS'!$A$3:$A$500,$C34,'DADOS BRUTOS'!DF$3:DF$500)))</f>
        <v>0</v>
      </c>
      <c r="GG34" s="133" t="n">
        <f aca="false">IF(OR(GG$4="",$B34=""),0,SUMIF('DADOS BRUTOS'!$A$3:$A$500,$B34,'DADOS BRUTOS'!DG$3:DG$500)+IF($C34="",0,SUMIF('DADOS BRUTOS'!$A$3:$A$500,$C34,'DADOS BRUTOS'!DG$3:DG$500)))</f>
        <v>0</v>
      </c>
      <c r="GH34" s="133" t="n">
        <f aca="false">IF(OR(GH$4="",$B34=""),0,SUMIF('DADOS BRUTOS'!$A$3:$A$500,$B34,'DADOS BRUTOS'!DH$3:DH$500)+IF($C34="",0,SUMIF('DADOS BRUTOS'!$A$3:$A$500,$C34,'DADOS BRUTOS'!DH$3:DH$500)))</f>
        <v>0</v>
      </c>
      <c r="GI34" s="133" t="n">
        <f aca="false">IF(OR(GI$4="",$B34=""),0,SUMIF('DADOS BRUTOS'!$A$3:$A$500,$B34,'DADOS BRUTOS'!DI$3:DI$500)+IF($C34="",0,SUMIF('DADOS BRUTOS'!$A$3:$A$500,$C34,'DADOS BRUTOS'!DI$3:DI$500)))</f>
        <v>0</v>
      </c>
      <c r="GJ34" s="133" t="n">
        <f aca="false">IF(OR(GJ$4="",$B34=""),0,SUMIF('DADOS BRUTOS'!$A$3:$A$500,$B34,'DADOS BRUTOS'!DJ$3:DJ$500)+IF($C34="",0,SUMIF('DADOS BRUTOS'!$A$3:$A$500,$C34,'DADOS BRUTOS'!DJ$3:DJ$500)))</f>
        <v>0</v>
      </c>
      <c r="GK34" s="133" t="n">
        <f aca="false">IF(OR(GK$4="",$B34=""),0,SUMIF('DADOS BRUTOS'!$A$3:$A$500,$B34,'DADOS BRUTOS'!DK$3:DK$500)+IF($C34="",0,SUMIF('DADOS BRUTOS'!$A$3:$A$500,$C34,'DADOS BRUTOS'!DK$3:DK$500)))</f>
        <v>0</v>
      </c>
      <c r="GL34" s="133" t="n">
        <f aca="false">IF(OR(GL$4="",$B34=""),0,SUMIF('DADOS BRUTOS'!$A$3:$A$500,$B34,'DADOS BRUTOS'!DL$3:DL$500)+IF($C34="",0,SUMIF('DADOS BRUTOS'!$A$3:$A$500,$C34,'DADOS BRUTOS'!DL$3:DL$500)))</f>
        <v>0</v>
      </c>
      <c r="GM34" s="133" t="n">
        <f aca="false">IF(OR(GM$4="",$B34=""),0,SUMIF('DADOS BRUTOS'!$A$3:$A$500,$B34,'DADOS BRUTOS'!DM$3:DM$500)+IF($C34="",0,SUMIF('DADOS BRUTOS'!$A$3:$A$500,$C34,'DADOS BRUTOS'!DM$3:DM$500)))</f>
        <v>0</v>
      </c>
      <c r="GN34" s="133" t="n">
        <f aca="false">IF(OR(GN$4="",$B34=""),0,SUMIF('DADOS BRUTOS'!$A$3:$A$500,$B34,'DADOS BRUTOS'!DN$3:DN$500)+IF($C34="",0,SUMIF('DADOS BRUTOS'!$A$3:$A$500,$C34,'DADOS BRUTOS'!DN$3:DN$500)))</f>
        <v>0</v>
      </c>
      <c r="GO34" s="133" t="n">
        <f aca="false">IF(OR(GO$4="",$B34=""),0,SUMIF('DADOS BRUTOS'!$A$3:$A$500,$B34,'DADOS BRUTOS'!DO$3:DO$500)+IF($C34="",0,SUMIF('DADOS BRUTOS'!$A$3:$A$500,$C34,'DADOS BRUTOS'!DO$3:DO$500)))</f>
        <v>0</v>
      </c>
      <c r="GP34" s="133" t="n">
        <f aca="false">IF(OR(GP$4="",$B34=""),0,SUMIF('DADOS BRUTOS'!$A$3:$A$500,$B34,'DADOS BRUTOS'!DP$3:DP$500)+IF($C34="",0,SUMIF('DADOS BRUTOS'!$A$3:$A$500,$C34,'DADOS BRUTOS'!DP$3:DP$500)))</f>
        <v>0</v>
      </c>
      <c r="GQ34" s="133" t="n">
        <f aca="false">IF(OR(GQ$4="",$B34=""),0,SUMIF('DADOS BRUTOS'!$A$3:$A$500,$B34,'DADOS BRUTOS'!DQ$3:DQ$500)+IF($C34="",0,SUMIF('DADOS BRUTOS'!$A$3:$A$500,$C34,'DADOS BRUTOS'!DQ$3:DQ$500)))</f>
        <v>0</v>
      </c>
      <c r="GR34" s="133" t="n">
        <f aca="false">IF(OR(GR$4="",$B34=""),0,SUMIF('DADOS BRUTOS'!$A$3:$A$500,$B34,'DADOS BRUTOS'!DR$3:DR$500)+IF($C34="",0,SUMIF('DADOS BRUTOS'!$A$3:$A$500,$C34,'DADOS BRUTOS'!DR$3:DR$500)))</f>
        <v>0</v>
      </c>
      <c r="GS34" s="133" t="n">
        <f aca="false">IF(OR(GS$4="",$B34=""),0,SUMIF('DADOS BRUTOS'!$A$3:$A$500,$B34,'DADOS BRUTOS'!DS$3:DS$500)+IF($C34="",0,SUMIF('DADOS BRUTOS'!$A$3:$A$500,$C34,'DADOS BRUTOS'!DS$3:DS$500)))</f>
        <v>0</v>
      </c>
      <c r="GT34" s="133" t="n">
        <f aca="false">IF(OR(GT$4="",$B34=""),0,SUMIF('DADOS BRUTOS'!$A$3:$A$500,$B34,'DADOS BRUTOS'!DT$3:DT$500)+IF($C34="",0,SUMIF('DADOS BRUTOS'!$A$3:$A$500,$C34,'DADOS BRUTOS'!DT$3:DT$500)))</f>
        <v>0</v>
      </c>
      <c r="GU34" s="133" t="n">
        <f aca="false">IF(OR(GU$4="",$B34=""),0,SUMIF('DADOS BRUTOS'!$A$3:$A$500,$B34,'DADOS BRUTOS'!DU$3:DU$500)+IF($C34="",0,SUMIF('DADOS BRUTOS'!$A$3:$A$500,$C34,'DADOS BRUTOS'!DU$3:DU$500)))</f>
        <v>0</v>
      </c>
      <c r="GV34" s="133" t="n">
        <f aca="false">IF(OR(GV$4="",$B34=""),0,SUMIF('DADOS BRUTOS'!$A$3:$A$500,$B34,'DADOS BRUTOS'!DV$3:DV$500)+IF($C34="",0,SUMIF('DADOS BRUTOS'!$A$3:$A$500,$C34,'DADOS BRUTOS'!DV$3:DV$500)))</f>
        <v>0</v>
      </c>
      <c r="GW34" s="133" t="n">
        <f aca="false">IF(OR(GW$4="",$B34=""),0,SUMIF('DADOS BRUTOS'!$A$3:$A$500,$B34,'DADOS BRUTOS'!DW$3:DW$500)+IF($C34="",0,SUMIF('DADOS BRUTOS'!$A$3:$A$500,$C34,'DADOS BRUTOS'!DW$3:DW$500)))</f>
        <v>0</v>
      </c>
      <c r="GX34" s="133" t="n">
        <f aca="false">IF(OR(GX$4="",$B34=""),0,SUMIF('DADOS BRUTOS'!$A$3:$A$500,$B34,'DADOS BRUTOS'!DX$3:DX$500)+IF($C34="",0,SUMIF('DADOS BRUTOS'!$A$3:$A$500,$C34,'DADOS BRUTOS'!DX$3:DX$500)))</f>
        <v>0</v>
      </c>
      <c r="GY34" s="133" t="n">
        <f aca="false">IF(OR(GY$4="",$B34=""),0,SUMIF('DADOS BRUTOS'!$A$3:$A$500,$B34,'DADOS BRUTOS'!DY$3:DY$500)+IF($C34="",0,SUMIF('DADOS BRUTOS'!$A$3:$A$500,$C34,'DADOS BRUTOS'!DY$3:DY$500)))</f>
        <v>0</v>
      </c>
      <c r="GZ34" s="133" t="n">
        <f aca="false">IF(OR(GZ$4="",$B34=""),0,SUMIF('DADOS BRUTOS'!$A$3:$A$500,$B34,'DADOS BRUTOS'!DZ$3:DZ$500)+IF($C34="",0,SUMIF('DADOS BRUTOS'!$A$3:$A$500,$C34,'DADOS BRUTOS'!DZ$3:DZ$500)))</f>
        <v>0</v>
      </c>
      <c r="HA34" s="133" t="n">
        <f aca="false">IF(OR(HA$4="",$B34=""),0,SUMIF('DADOS BRUTOS'!$A$3:$A$500,$B34,'DADOS BRUTOS'!EA$3:EA$500)+IF($C34="",0,SUMIF('DADOS BRUTOS'!$A$3:$A$500,$C34,'DADOS BRUTOS'!EA$3:EA$500)))</f>
        <v>0</v>
      </c>
      <c r="HB34" s="133" t="n">
        <f aca="false">IF(OR(HB$4="",$B34=""),0,SUMIF('DADOS BRUTOS'!$A$3:$A$500,$B34,'DADOS BRUTOS'!EB$3:EB$500)+IF($C34="",0,SUMIF('DADOS BRUTOS'!$A$3:$A$500,$C34,'DADOS BRUTOS'!EB$3:EB$500)))</f>
        <v>0</v>
      </c>
      <c r="HC34" s="133" t="n">
        <f aca="false">IF(OR(HC$4="",$B34=""),0,SUMIF('DADOS BRUTOS'!$A$3:$A$500,$B34,'DADOS BRUTOS'!EC$3:EC$500)+IF($C34="",0,SUMIF('DADOS BRUTOS'!$A$3:$A$500,$C34,'DADOS BRUTOS'!EC$3:EC$500)))</f>
        <v>0</v>
      </c>
      <c r="HD34" s="133" t="n">
        <f aca="false">IF(OR(HD$4="",$B34=""),0,SUMIF('DADOS BRUTOS'!$A$3:$A$500,$B34,'DADOS BRUTOS'!ED$3:ED$500)+IF($C34="",0,SUMIF('DADOS BRUTOS'!$A$3:$A$500,$C34,'DADOS BRUTOS'!ED$3:ED$500)))</f>
        <v>0</v>
      </c>
      <c r="HE34" s="133" t="n">
        <f aca="false">IF(OR(HE$4="",$B34=""),0,SUMIF('DADOS BRUTOS'!$A$3:$A$500,$B34,'DADOS BRUTOS'!EE$3:EE$500)+IF($C34="",0,SUMIF('DADOS BRUTOS'!$A$3:$A$500,$C34,'DADOS BRUTOS'!EE$3:EE$500)))</f>
        <v>0</v>
      </c>
      <c r="HF34" s="133" t="n">
        <f aca="false">IF(OR(HF$4="",$B34=""),0,SUMIF('DADOS BRUTOS'!$A$3:$A$500,$B34,'DADOS BRUTOS'!EF$3:EF$500)+IF($C34="",0,SUMIF('DADOS BRUTOS'!$A$3:$A$500,$C34,'DADOS BRUTOS'!EF$3:EF$500)))</f>
        <v>0</v>
      </c>
      <c r="HG34" s="133" t="n">
        <f aca="false">IF(OR(HG$4="",$B34=""),0,SUMIF('DADOS BRUTOS'!$A$3:$A$500,$B34,'DADOS BRUTOS'!EG$3:EG$500)+IF($C34="",0,SUMIF('DADOS BRUTOS'!$A$3:$A$500,$C34,'DADOS BRUTOS'!EG$3:EG$500)))</f>
        <v>0</v>
      </c>
      <c r="HH34" s="133" t="n">
        <f aca="false">IF(OR(HH$4="",$B34=""),0,SUMIF('DADOS BRUTOS'!$A$3:$A$500,$B34,'DADOS BRUTOS'!EH$3:EH$500)+IF($C34="",0,SUMIF('DADOS BRUTOS'!$A$3:$A$500,$C34,'DADOS BRUTOS'!EH$3:EH$500)))</f>
        <v>0</v>
      </c>
      <c r="HI34" s="133" t="n">
        <f aca="false">IF(OR(HI$4="",$B34=""),0,SUMIF('DADOS BRUTOS'!$A$3:$A$500,$B34,'DADOS BRUTOS'!EI$3:EI$500)+IF($C34="",0,SUMIF('DADOS BRUTOS'!$A$3:$A$500,$C34,'DADOS BRUTOS'!EI$3:EI$500)))</f>
        <v>0</v>
      </c>
      <c r="HJ34" s="133" t="n">
        <f aca="false">IF(OR(HJ$4="",$B34=""),0,SUMIF('DADOS BRUTOS'!$A$3:$A$500,$B34,'DADOS BRUTOS'!EJ$3:EJ$500)+IF($C34="",0,SUMIF('DADOS BRUTOS'!$A$3:$A$500,$C34,'DADOS BRUTOS'!EJ$3:EJ$500)))</f>
        <v>0</v>
      </c>
      <c r="HK34" s="133" t="n">
        <f aca="false">IF(OR(HK$4="",$B34=""),0,SUMIF('DADOS BRUTOS'!$A$3:$A$500,$B34,'DADOS BRUTOS'!EK$3:EK$500)+IF($C34="",0,SUMIF('DADOS BRUTOS'!$A$3:$A$500,$C34,'DADOS BRUTOS'!EK$3:EK$500)))</f>
        <v>0</v>
      </c>
      <c r="HL34" s="133" t="n">
        <f aca="false">IF(OR(HL$4="",$B34=""),0,SUMIF('DADOS BRUTOS'!$A$3:$A$500,$B34,'DADOS BRUTOS'!EL$3:EL$500)+IF($C34="",0,SUMIF('DADOS BRUTOS'!$A$3:$A$500,$C34,'DADOS BRUTOS'!EL$3:EL$500)))</f>
        <v>0</v>
      </c>
      <c r="HM34" s="133" t="n">
        <f aca="false">IF(OR(HM$4="",$B34=""),0,SUMIF('DADOS BRUTOS'!$A$3:$A$500,$B34,'DADOS BRUTOS'!EM$3:EM$500)+IF($C34="",0,SUMIF('DADOS BRUTOS'!$A$3:$A$500,$C34,'DADOS BRUTOS'!EM$3:EM$500)))</f>
        <v>0</v>
      </c>
      <c r="HN34" s="133" t="n">
        <f aca="false">IF(OR(HN$4="",$B34=""),0,SUMIF('DADOS BRUTOS'!$A$3:$A$500,$B34,'DADOS BRUTOS'!EN$3:EN$500)+IF($C34="",0,SUMIF('DADOS BRUTOS'!$A$3:$A$500,$C34,'DADOS BRUTOS'!EN$3:EN$500)))</f>
        <v>0</v>
      </c>
      <c r="HO34" s="133" t="n">
        <f aca="false">IF(OR(HO$4="",$B34=""),0,SUMIF('DADOS BRUTOS'!$A$3:$A$500,$B34,'DADOS BRUTOS'!EO$3:EO$500)+IF($C34="",0,SUMIF('DADOS BRUTOS'!$A$3:$A$500,$C34,'DADOS BRUTOS'!EO$3:EO$500)))</f>
        <v>0</v>
      </c>
      <c r="HP34" s="133" t="n">
        <f aca="false">IF(OR(HP$4="",$B34=""),0,SUMIF('DADOS BRUTOS'!$A$3:$A$500,$B34,'DADOS BRUTOS'!EP$3:EP$500)+IF($C34="",0,SUMIF('DADOS BRUTOS'!$A$3:$A$500,$C34,'DADOS BRUTOS'!EP$3:EP$500)))</f>
        <v>0</v>
      </c>
      <c r="HQ34" s="133" t="n">
        <f aca="false">IF(OR(HQ$4="",$B34=""),0,SUMIF('DADOS BRUTOS'!$A$3:$A$500,$B34,'DADOS BRUTOS'!EQ$3:EQ$500)+IF($C34="",0,SUMIF('DADOS BRUTOS'!$A$3:$A$500,$C34,'DADOS BRUTOS'!EQ$3:EQ$500)))</f>
        <v>0</v>
      </c>
      <c r="HR34" s="133" t="n">
        <f aca="false">IF(OR(HR$4="",$B34=""),0,SUMIF('DADOS BRUTOS'!$A$3:$A$500,$B34,'DADOS BRUTOS'!ER$3:ER$500)+IF($C34="",0,SUMIF('DADOS BRUTOS'!$A$3:$A$500,$C34,'DADOS BRUTOS'!ER$3:ER$500)))</f>
        <v>0</v>
      </c>
      <c r="HS34" s="133" t="n">
        <f aca="false">IF(OR(HS$4="",$B34=""),0,SUMIF('DADOS BRUTOS'!$A$3:$A$500,$B34,'DADOS BRUTOS'!ES$3:ES$500)+IF($C34="",0,SUMIF('DADOS BRUTOS'!$A$3:$A$500,$C34,'DADOS BRUTOS'!ES$3:ES$500)))</f>
        <v>0</v>
      </c>
      <c r="HT34" s="133" t="n">
        <f aca="false">IF(OR(HT$4="",$B34=""),0,SUMIF('DADOS BRUTOS'!$A$3:$A$500,$B34,'DADOS BRUTOS'!ET$3:ET$500)+IF($C34="",0,SUMIF('DADOS BRUTOS'!$A$3:$A$500,$C34,'DADOS BRUTOS'!ET$3:ET$500)))</f>
        <v>0</v>
      </c>
      <c r="HU34" s="133" t="n">
        <f aca="false">IF(OR(HU$4="",$B34=""),0,SUMIF('DADOS BRUTOS'!$A$3:$A$500,$B34,'DADOS BRUTOS'!EU$3:EU$500)+IF($C34="",0,SUMIF('DADOS BRUTOS'!$A$3:$A$500,$C34,'DADOS BRUTOS'!EU$3:EU$500)))</f>
        <v>0</v>
      </c>
      <c r="HV34" s="133" t="n">
        <f aca="false">IF(OR(HV$4="",$B34=""),0,SUMIF('DADOS BRUTOS'!$A$3:$A$500,$B34,'DADOS BRUTOS'!EV$3:EV$500)+IF($C34="",0,SUMIF('DADOS BRUTOS'!$A$3:$A$500,$C34,'DADOS BRUTOS'!EV$3:EV$500)))</f>
        <v>0</v>
      </c>
      <c r="HW34" s="133" t="n">
        <f aca="false">IF(OR(HW$4="",$B34=""),0,SUMIF('DADOS BRUTOS'!$A$3:$A$500,$B34,'DADOS BRUTOS'!EW$3:EW$500)+IF($C34="",0,SUMIF('DADOS BRUTOS'!$A$3:$A$500,$C34,'DADOS BRUTOS'!EW$3:EW$500)))</f>
        <v>0</v>
      </c>
      <c r="HX34" s="133" t="n">
        <f aca="false">IF(OR(HX$4="",$B34=""),0,SUMIF('DADOS BRUTOS'!$A$3:$A$500,$B34,'DADOS BRUTOS'!EX$3:EX$500)+IF($C34="",0,SUMIF('DADOS BRUTOS'!$A$3:$A$500,$C34,'DADOS BRUTOS'!EX$3:EX$500)))</f>
        <v>0</v>
      </c>
      <c r="HY34" s="133" t="n">
        <f aca="false">IF(OR(HY$4="",$B34=""),0,SUMIF('DADOS BRUTOS'!$A$3:$A$500,$B34,'DADOS BRUTOS'!EY$3:EY$500)+IF($C34="",0,SUMIF('DADOS BRUTOS'!$A$3:$A$500,$C34,'DADOS BRUTOS'!EY$3:EY$500)))</f>
        <v>0</v>
      </c>
      <c r="HZ34" s="133" t="n">
        <f aca="false">IF(OR(HZ$4="",$B34=""),0,SUMIF('DADOS BRUTOS'!$A$3:$A$500,$B34,'DADOS BRUTOS'!EZ$3:EZ$500)+IF($C34="",0,SUMIF('DADOS BRUTOS'!$A$3:$A$500,$C34,'DADOS BRUTOS'!EZ$3:EZ$500)))</f>
        <v>0</v>
      </c>
      <c r="IA34" s="133" t="n">
        <f aca="false">IF(OR(IA$4="",$B34=""),0,SUMIF('DADOS BRUTOS'!$A$3:$A$500,$B34,'DADOS BRUTOS'!FA$3:FA$500)+IF($C34="",0,SUMIF('DADOS BRUTOS'!$A$3:$A$500,$C34,'DADOS BRUTOS'!FA$3:FA$500)))</f>
        <v>0</v>
      </c>
      <c r="IB34" s="133" t="n">
        <f aca="false">IF(OR(IB$4="",$B34=""),0,SUMIF('DADOS BRUTOS'!$A$3:$A$500,$B34,'DADOS BRUTOS'!FB$3:FB$500)+IF($C34="",0,SUMIF('DADOS BRUTOS'!$A$3:$A$500,$C34,'DADOS BRUTOS'!FB$3:FB$500)))</f>
        <v>0</v>
      </c>
      <c r="IC34" s="133" t="n">
        <f aca="false">IF(OR(IC$4="",$B34=""),0,SUMIF('DADOS BRUTOS'!$A$3:$A$500,$B34,'DADOS BRUTOS'!FC$3:FC$500)+IF($C34="",0,SUMIF('DADOS BRUTOS'!$A$3:$A$500,$C34,'DADOS BRUTOS'!FC$3:FC$500)))</f>
        <v>0</v>
      </c>
      <c r="ID34" s="133" t="n">
        <f aca="false">IF(OR(ID$4="",$B34=""),0,SUMIF('DADOS BRUTOS'!$A$3:$A$500,$B34,'DADOS BRUTOS'!FD$3:FD$500)+IF($C34="",0,SUMIF('DADOS BRUTOS'!$A$3:$A$500,$C34,'DADOS BRUTOS'!FD$3:FD$500)))</f>
        <v>0</v>
      </c>
      <c r="IE34" s="133" t="n">
        <f aca="false">IF(OR(IE$4="",$B34=""),0,SUMIF('DADOS BRUTOS'!$A$3:$A$500,$B34,'DADOS BRUTOS'!FE$3:FE$500)+IF($C34="",0,SUMIF('DADOS BRUTOS'!$A$3:$A$500,$C34,'DADOS BRUTOS'!FE$3:FE$500)))</f>
        <v>0</v>
      </c>
      <c r="IF34" s="133" t="n">
        <f aca="false">IF(OR(IF$4="",$B34=""),0,SUMIF('DADOS BRUTOS'!$A$3:$A$500,$B34,'DADOS BRUTOS'!FF$3:FF$500)+IF($C34="",0,SUMIF('DADOS BRUTOS'!$A$3:$A$500,$C34,'DADOS BRUTOS'!FF$3:FF$500)))</f>
        <v>0</v>
      </c>
      <c r="IG34" s="133" t="n">
        <f aca="false">IF(OR(IG$4="",$B34=""),0,SUMIF('DADOS BRUTOS'!$A$3:$A$500,$B34,'DADOS BRUTOS'!FG$3:FG$500)+IF($C34="",0,SUMIF('DADOS BRUTOS'!$A$3:$A$500,$C34,'DADOS BRUTOS'!FG$3:FG$500)))</f>
        <v>0</v>
      </c>
      <c r="IH34" s="133" t="n">
        <f aca="false">IF(OR(IH$4="",$B34=""),0,SUMIF('DADOS BRUTOS'!$A$3:$A$500,$B34,'DADOS BRUTOS'!FH$3:FH$500)+IF($C34="",0,SUMIF('DADOS BRUTOS'!$A$3:$A$500,$C34,'DADOS BRUTOS'!FH$3:FH$500)))</f>
        <v>0</v>
      </c>
      <c r="II34" s="133" t="n">
        <f aca="false">IF(OR(II$4="",$B34=""),0,SUMIF('DADOS BRUTOS'!$A$3:$A$500,$B34,'DADOS BRUTOS'!FI$3:FI$500)+IF($C34="",0,SUMIF('DADOS BRUTOS'!$A$3:$A$500,$C34,'DADOS BRUTOS'!FI$3:FI$500)))</f>
        <v>0</v>
      </c>
      <c r="IJ34" s="133" t="n">
        <f aca="false">IF(OR(IJ$4="",$B34=""),0,SUMIF('DADOS BRUTOS'!$A$3:$A$500,$B34,'DADOS BRUTOS'!FJ$3:FJ$500)+IF($C34="",0,SUMIF('DADOS BRUTOS'!$A$3:$A$500,$C34,'DADOS BRUTOS'!FJ$3:FJ$500)))</f>
        <v>0</v>
      </c>
      <c r="IK34" s="133" t="n">
        <f aca="false">IF(OR(IK$4="",$B34=""),0,SUMIF('DADOS BRUTOS'!$A$3:$A$500,$B34,'DADOS BRUTOS'!FK$3:FK$500)+IF($C34="",0,SUMIF('DADOS BRUTOS'!$A$3:$A$500,$C34,'DADOS BRUTOS'!FK$3:FK$500)))</f>
        <v>0</v>
      </c>
      <c r="IL34" s="133" t="n">
        <f aca="false">IF(OR(IL$4="",$B34=""),0,SUMIF('DADOS BRUTOS'!$A$3:$A$500,$B34,'DADOS BRUTOS'!FL$3:FL$500)+IF($C34="",0,SUMIF('DADOS BRUTOS'!$A$3:$A$500,$C34,'DADOS BRUTOS'!FL$3:FL$500)))</f>
        <v>0</v>
      </c>
      <c r="IM34" s="133" t="n">
        <f aca="false">IF(OR(IM$4="",$B34=""),0,SUMIF('DADOS BRUTOS'!$A$3:$A$500,$B34,'DADOS BRUTOS'!FM$3:FM$500)+IF($C34="",0,SUMIF('DADOS BRUTOS'!$A$3:$A$500,$C34,'DADOS BRUTOS'!FM$3:FM$500)))</f>
        <v>0</v>
      </c>
      <c r="IN34" s="133" t="n">
        <f aca="false">IF(OR(IN$4="",$B34=""),0,SUMIF('DADOS BRUTOS'!$A$3:$A$500,$B34,'DADOS BRUTOS'!FN$3:FN$500)+IF($C34="",0,SUMIF('DADOS BRUTOS'!$A$3:$A$500,$C34,'DADOS BRUTOS'!FN$3:FN$500)))</f>
        <v>0</v>
      </c>
      <c r="IO34" s="133" t="n">
        <f aca="false">IF(OR(IO$4="",$B34=""),0,SUMIF('DADOS BRUTOS'!$A$3:$A$500,$B34,'DADOS BRUTOS'!FO$3:FO$500)+IF($C34="",0,SUMIF('DADOS BRUTOS'!$A$3:$A$500,$C34,'DADOS BRUTOS'!FO$3:FO$500)))</f>
        <v>0</v>
      </c>
      <c r="IP34" s="133" t="n">
        <f aca="false">IF(OR(IP$4="",$B34=""),0,SUMIF('DADOS BRUTOS'!$A$3:$A$500,$B34,'DADOS BRUTOS'!FP$3:FP$500)+IF($C34="",0,SUMIF('DADOS BRUTOS'!$A$3:$A$500,$C34,'DADOS BRUTOS'!FP$3:FP$500)))</f>
        <v>0</v>
      </c>
      <c r="IQ34" s="133" t="n">
        <f aca="false">IF(OR(IQ$4="",$B34=""),0,SUMIF('DADOS BRUTOS'!$A$3:$A$500,$B34,'DADOS BRUTOS'!FQ$3:FQ$500)+IF($C34="",0,SUMIF('DADOS BRUTOS'!$A$3:$A$500,$C34,'DADOS BRUTOS'!FQ$3:FQ$500)))</f>
        <v>0</v>
      </c>
      <c r="IR34" s="133" t="n">
        <f aca="false">IF(OR(IR$4="",$B34=""),0,SUMIF('DADOS BRUTOS'!$A$3:$A$500,$B34,'DADOS BRUTOS'!FR$3:FR$500)+IF($C34="",0,SUMIF('DADOS BRUTOS'!$A$3:$A$500,$C34,'DADOS BRUTOS'!FR$3:FR$500)))</f>
        <v>0</v>
      </c>
      <c r="IS34" s="133" t="n">
        <f aca="false">IF(OR(IS$4="",$B34=""),0,SUMIF('DADOS BRUTOS'!$A$3:$A$500,$B34,'DADOS BRUTOS'!FS$3:FS$500)+IF($C34="",0,SUMIF('DADOS BRUTOS'!$A$3:$A$500,$C34,'DADOS BRUTOS'!FS$3:FS$500)))</f>
        <v>0</v>
      </c>
      <c r="IT34" s="133" t="n">
        <f aca="false">IF(OR(IT$4="",$B34=""),0,SUMIF('DADOS BRUTOS'!$A$3:$A$500,$B34,'DADOS BRUTOS'!FT$3:FT$500)+IF($C34="",0,SUMIF('DADOS BRUTOS'!$A$3:$A$500,$C34,'DADOS BRUTOS'!FT$3:FT$500)))</f>
        <v>0</v>
      </c>
      <c r="IU34" s="133" t="n">
        <f aca="false">IF(OR(IU$4="",$B34=""),0,SUMIF('DADOS BRUTOS'!$A$3:$A$500,$B34,'DADOS BRUTOS'!FU$3:FU$500)+IF($C34="",0,SUMIF('DADOS BRUTOS'!$A$3:$A$500,$C34,'DADOS BRUTOS'!FU$3:FU$500)))</f>
        <v>0</v>
      </c>
      <c r="IV34" s="133" t="n">
        <f aca="false">IF(OR(IV$4="",$B34=""),0,SUMIF('DADOS BRUTOS'!$A$3:$A$500,$B34,'DADOS BRUTOS'!FV$3:FV$500)+IF($C34="",0,SUMIF('DADOS BRUTOS'!$A$3:$A$500,$C34,'DADOS BRUTOS'!FV$3:FV$500)))</f>
        <v>0</v>
      </c>
      <c r="IW34" s="133" t="n">
        <f aca="false">IF(OR(IW$4="",$B34=""),0,SUMIF('DADOS BRUTOS'!$A$3:$A$500,$B34,'DADOS BRUTOS'!FW$3:FW$500)+IF($C34="",0,SUMIF('DADOS BRUTOS'!$A$3:$A$500,$C34,'DADOS BRUTOS'!FW$3:FW$500)))</f>
        <v>0</v>
      </c>
      <c r="IX34" s="133" t="n">
        <f aca="false">IF(OR(IX$4="",$B34=""),0,SUMIF('DADOS BRUTOS'!$A$3:$A$500,$B34,'DADOS BRUTOS'!FX$3:FX$500)+IF($C34="",0,SUMIF('DADOS BRUTOS'!$A$3:$A$500,$C34,'DADOS BRUTOS'!FX$3:FX$500)))</f>
        <v>0</v>
      </c>
      <c r="IY34" s="133" t="n">
        <f aca="false">IF(OR(IY$4="",$B34=""),0,SUMIF('DADOS BRUTOS'!$A$3:$A$500,$B34,'DADOS BRUTOS'!FY$3:FY$500)+IF($C34="",0,SUMIF('DADOS BRUTOS'!$A$3:$A$500,$C34,'DADOS BRUTOS'!FY$3:FY$500)))</f>
        <v>0</v>
      </c>
      <c r="IZ34" s="133" t="n">
        <f aca="false">IF(OR(IZ$4="",$B34=""),0,SUMIF('DADOS BRUTOS'!$A$3:$A$500,$B34,'DADOS BRUTOS'!FZ$3:FZ$500)+IF($C34="",0,SUMIF('DADOS BRUTOS'!$A$3:$A$500,$C34,'DADOS BRUTOS'!FZ$3:FZ$500)))</f>
        <v>0</v>
      </c>
      <c r="JA34" s="133" t="n">
        <f aca="false">IF(OR(JA$4="",$B34=""),0,SUMIF('DADOS BRUTOS'!$A$3:$A$500,$B34,'DADOS BRUTOS'!GA$3:GA$500)+IF($C34="",0,SUMIF('DADOS BRUTOS'!$A$3:$A$500,$C34,'DADOS BRUTOS'!GA$3:GA$500)))</f>
        <v>0</v>
      </c>
      <c r="JB34" s="133" t="n">
        <f aca="false">IF(OR(JB$4="",$B34=""),0,SUMIF('DADOS BRUTOS'!$A$3:$A$500,$B34,'DADOS BRUTOS'!GB$3:GB$500)+IF($C34="",0,SUMIF('DADOS BRUTOS'!$A$3:$A$500,$C34,'DADOS BRUTOS'!GB$3:GB$500)))</f>
        <v>0</v>
      </c>
      <c r="JC34" s="133" t="n">
        <f aca="false">IF(OR(JC$4="",$B34=""),0,SUMIF('DADOS BRUTOS'!$A$3:$A$500,$B34,'DADOS BRUTOS'!GC$3:GC$500)+IF($C34="",0,SUMIF('DADOS BRUTOS'!$A$3:$A$500,$C34,'DADOS BRUTOS'!GC$3:GC$500)))</f>
        <v>0</v>
      </c>
      <c r="JD34" s="133" t="n">
        <f aca="false">IF(OR(JD$4="",$B34=""),0,SUMIF('DADOS BRUTOS'!$A$3:$A$500,$B34,'DADOS BRUTOS'!GD$3:GD$500)+IF($C34="",0,SUMIF('DADOS BRUTOS'!$A$3:$A$500,$C34,'DADOS BRUTOS'!GD$3:GD$500)))</f>
        <v>0</v>
      </c>
      <c r="JE34" s="133" t="n">
        <f aca="false">IF(OR(JE$4="",$B34=""),0,SUMIF('DADOS BRUTOS'!$A$3:$A$500,$B34,'DADOS BRUTOS'!GE$3:GE$500)+IF($C34="",0,SUMIF('DADOS BRUTOS'!$A$3:$A$500,$C34,'DADOS BRUTOS'!GE$3:GE$500)))</f>
        <v>0</v>
      </c>
      <c r="JF34" s="133" t="n">
        <f aca="false">IF(OR(JF$4="",$B34=""),0,SUMIF('DADOS BRUTOS'!$A$3:$A$500,$B34,'DADOS BRUTOS'!GF$3:GF$500)+IF($C34="",0,SUMIF('DADOS BRUTOS'!$A$3:$A$500,$C34,'DADOS BRUTOS'!GF$3:GF$500)))</f>
        <v>0</v>
      </c>
      <c r="JG34" s="133" t="n">
        <f aca="false">IF(OR(JG$4="",$B34=""),0,SUMIF('DADOS BRUTOS'!$A$3:$A$500,$B34,'DADOS BRUTOS'!GG$3:GG$500)+IF($C34="",0,SUMIF('DADOS BRUTOS'!$A$3:$A$500,$C34,'DADOS BRUTOS'!GG$3:GG$500)))</f>
        <v>0</v>
      </c>
      <c r="JH34" s="133" t="n">
        <f aca="false">IF(OR(JH$4="",$B34=""),0,SUMIF('DADOS BRUTOS'!$A$3:$A$500,$B34,'DADOS BRUTOS'!GH$3:GH$500)+IF($C34="",0,SUMIF('DADOS BRUTOS'!$A$3:$A$500,$C34,'DADOS BRUTOS'!GH$3:GH$500)))</f>
        <v>0</v>
      </c>
      <c r="JI34" s="133" t="n">
        <f aca="false">IF(OR(JI$4="",$B34=""),0,SUMIF('DADOS BRUTOS'!$A$3:$A$500,$B34,'DADOS BRUTOS'!GI$3:GI$500)+IF($C34="",0,SUMIF('DADOS BRUTOS'!$A$3:$A$500,$C34,'DADOS BRUTOS'!GI$3:GI$500)))</f>
        <v>0</v>
      </c>
      <c r="JJ34" s="133" t="n">
        <f aca="false">IF(OR(JJ$4="",$B34=""),0,SUMIF('DADOS BRUTOS'!$A$3:$A$500,$B34,'DADOS BRUTOS'!GJ$3:GJ$500)+IF($C34="",0,SUMIF('DADOS BRUTOS'!$A$3:$A$500,$C34,'DADOS BRUTOS'!GJ$3:GJ$500)))</f>
        <v>0</v>
      </c>
      <c r="JK34" s="133" t="n">
        <f aca="false">IF(OR(JK$4="",$B34=""),0,SUMIF('DADOS BRUTOS'!$A$3:$A$500,$B34,'DADOS BRUTOS'!GK$3:GK$500)+IF($C34="",0,SUMIF('DADOS BRUTOS'!$A$3:$A$500,$C34,'DADOS BRUTOS'!GK$3:GK$500)))</f>
        <v>0</v>
      </c>
      <c r="JL34" s="133" t="n">
        <f aca="false">IF(OR(JL$4="",$B34=""),0,SUMIF('DADOS BRUTOS'!$A$3:$A$500,$B34,'DADOS BRUTOS'!GL$3:GL$500)+IF($C34="",0,SUMIF('DADOS BRUTOS'!$A$3:$A$500,$C34,'DADOS BRUTOS'!GL$3:GL$500)))</f>
        <v>0</v>
      </c>
      <c r="JM34" s="133" t="n">
        <f aca="false">IF(OR(JM$4="",$B34=""),0,SUMIF('DADOS BRUTOS'!$A$3:$A$500,$B34,'DADOS BRUTOS'!GM$3:GM$500)+IF($C34="",0,SUMIF('DADOS BRUTOS'!$A$3:$A$500,$C34,'DADOS BRUTOS'!GM$3:GM$500)))</f>
        <v>0</v>
      </c>
      <c r="JN34" s="133" t="n">
        <f aca="false">IF(OR(JN$4="",$B34=""),0,SUMIF('DADOS BRUTOS'!$A$3:$A$500,$B34,'DADOS BRUTOS'!GN$3:GN$500)+IF($C34="",0,SUMIF('DADOS BRUTOS'!$A$3:$A$500,$C34,'DADOS BRUTOS'!GN$3:GN$500)))</f>
        <v>0</v>
      </c>
      <c r="JO34" s="133" t="n">
        <f aca="false">IF(OR(JO$4="",$B34=""),0,SUMIF('DADOS BRUTOS'!$A$3:$A$500,$B34,'DADOS BRUTOS'!GO$3:GO$500)+IF($C34="",0,SUMIF('DADOS BRUTOS'!$A$3:$A$500,$C34,'DADOS BRUTOS'!GO$3:GO$500)))</f>
        <v>0</v>
      </c>
      <c r="JP34" s="133" t="n">
        <f aca="false">IF(OR(JP$4="",$B34=""),0,SUMIF('DADOS BRUTOS'!$A$3:$A$500,$B34,'DADOS BRUTOS'!GP$3:GP$500)+IF($C34="",0,SUMIF('DADOS BRUTOS'!$A$3:$A$500,$C34,'DADOS BRUTOS'!GP$3:GP$500)))</f>
        <v>0</v>
      </c>
      <c r="JQ34" s="133" t="n">
        <f aca="false">IF(OR(JQ$4="",$B34=""),0,SUMIF('DADOS BRUTOS'!$A$3:$A$500,$B34,'DADOS BRUTOS'!GQ$3:GQ$500)+IF($C34="",0,SUMIF('DADOS BRUTOS'!$A$3:$A$500,$C34,'DADOS BRUTOS'!GQ$3:GQ$500)))</f>
        <v>0</v>
      </c>
      <c r="JR34" s="133" t="n">
        <f aca="false">IF(OR(JR$4="",$B34=""),0,SUMIF('DADOS BRUTOS'!$A$3:$A$500,$B34,'DADOS BRUTOS'!GR$3:GR$500)+IF($C34="",0,SUMIF('DADOS BRUTOS'!$A$3:$A$500,$C34,'DADOS BRUTOS'!GR$3:GR$500)))</f>
        <v>0</v>
      </c>
      <c r="JS34" s="133" t="n">
        <f aca="false">IF(OR(JS$4="",$B34=""),0,SUMIF('DADOS BRUTOS'!$A$3:$A$500,$B34,'DADOS BRUTOS'!GS$3:GS$500)+IF($C34="",0,SUMIF('DADOS BRUTOS'!$A$3:$A$500,$C34,'DADOS BRUTOS'!GS$3:GS$500)))</f>
        <v>0</v>
      </c>
    </row>
    <row r="35" customFormat="false" ht="15" hidden="false" customHeight="false" outlineLevel="0" collapsed="false">
      <c r="A35" s="57" t="str">
        <f aca="false">'VALOR POR PL'!D41</f>
        <v>PAVIMENTAÇÃO</v>
      </c>
      <c r="B35" s="55" t="s">
        <v>209</v>
      </c>
      <c r="C35" s="55"/>
      <c r="D35" s="50" t="n">
        <f aca="false">SUMIF($CB$4:$JS$4,"&lt;="&amp;D$4,$CB35:$JS35)</f>
        <v>0</v>
      </c>
      <c r="E35" s="50" t="n">
        <f aca="false">SUMIF($CB$4:$JS$4,E$4,$CB35:$JS35)</f>
        <v>0</v>
      </c>
      <c r="F35" s="50" t="n">
        <f aca="false">SUMIF($CB$4:$JS$4,F$4,$CB35:$JS35)</f>
        <v>0</v>
      </c>
      <c r="G35" s="50" t="n">
        <f aca="false">SUMIF($CB$4:$JS$4,G$4,$CB35:$JS35)</f>
        <v>0</v>
      </c>
      <c r="H35" s="50" t="n">
        <f aca="false">SUMIF($CB$4:$JS$4,H$4,$CB35:$JS35)</f>
        <v>0</v>
      </c>
      <c r="I35" s="50" t="n">
        <f aca="false">SUMIF($CB$4:$JS$4,I$4,$CB35:$JS35)</f>
        <v>0</v>
      </c>
      <c r="J35" s="50" t="n">
        <f aca="false">SUMIF($CB$4:$JS$4,J$4,$CB35:$JS35)</f>
        <v>0</v>
      </c>
      <c r="K35" s="50" t="n">
        <f aca="false">SUMIF($CB$4:$JS$4,K$4,$CB35:$JS35)</f>
        <v>0</v>
      </c>
      <c r="L35" s="50" t="n">
        <f aca="false">SUMIF($CB$4:$JS$4,L$4,$CB35:$JS35)</f>
        <v>0</v>
      </c>
      <c r="M35" s="50" t="n">
        <f aca="false">SUMIF($CB$4:$JS$4,M$4,$CB35:$JS35)</f>
        <v>0</v>
      </c>
      <c r="N35" s="50" t="n">
        <f aca="false">SUMIF($CB$4:$JS$4,N$4,$CB35:$JS35)</f>
        <v>0</v>
      </c>
      <c r="O35" s="50" t="n">
        <f aca="false">SUMIF($CB$4:$JS$4,O$4,$CB35:$JS35)</f>
        <v>0</v>
      </c>
      <c r="P35" s="50" t="n">
        <f aca="false">SUMIF($CB$4:$JS$4,P$4,$CB35:$JS35)</f>
        <v>0</v>
      </c>
      <c r="Q35" s="50" t="n">
        <f aca="false">SUMIF($CB$4:$JS$4,Q$4,$CB35:$JS35)</f>
        <v>0</v>
      </c>
      <c r="R35" s="50" t="n">
        <f aca="false">SUMIF($CB$4:$JS$4,R$4,$CB35:$JS35)</f>
        <v>0</v>
      </c>
      <c r="S35" s="50" t="n">
        <f aca="false">SUMIF($CB$4:$JS$4,S$4,$CB35:$JS35)</f>
        <v>0</v>
      </c>
      <c r="T35" s="50" t="n">
        <f aca="false">SUMIF($CB$4:$JS$4,T$4,$CB35:$JS35)</f>
        <v>0</v>
      </c>
      <c r="U35" s="50" t="n">
        <f aca="false">SUMIF($CB$4:$JS$4,U$4,$CB35:$JS35)</f>
        <v>0</v>
      </c>
      <c r="V35" s="50" t="n">
        <f aca="false">SUMIF($CB$4:$JS$4,V$4,$CB35:$JS35)</f>
        <v>0</v>
      </c>
      <c r="W35" s="50" t="n">
        <f aca="false">SUMIF($CB$4:$JS$4,W$4,$CB35:$JS35)</f>
        <v>0</v>
      </c>
      <c r="X35" s="50" t="n">
        <f aca="false">SUMIF($CB$4:$JS$4,X$4,$CB35:$JS35)</f>
        <v>0</v>
      </c>
      <c r="Y35" s="50" t="n">
        <f aca="false">SUMIF($CB$4:$JS$4,Y$4,$CB35:$JS35)</f>
        <v>0</v>
      </c>
      <c r="Z35" s="50" t="n">
        <f aca="false">SUMIF($CB$4:$JS$4,Z$4,$CB35:$JS35)</f>
        <v>0</v>
      </c>
      <c r="AA35" s="50" t="n">
        <f aca="false">SUMIF($CB$4:$JS$4,AA$4,$CB35:$JS35)</f>
        <v>0</v>
      </c>
      <c r="AB35" s="50" t="n">
        <f aca="false">SUMIF($CB$4:$JS$4,AB$4,$CB35:$JS35)</f>
        <v>0</v>
      </c>
      <c r="AC35" s="50" t="n">
        <f aca="false">SUMIF($CB$4:$JS$4,AC$4,$CB35:$JS35)</f>
        <v>0</v>
      </c>
      <c r="AD35" s="50" t="n">
        <f aca="false">SUMIF($CB$4:$JS$4,AD$4,$CB35:$JS35)</f>
        <v>0</v>
      </c>
      <c r="AE35" s="50" t="n">
        <f aca="false">SUMIF($CB$4:$JS$4,AE$4,$CB35:$JS35)</f>
        <v>0</v>
      </c>
      <c r="AF35" s="50" t="n">
        <f aca="false">SUMIF($CB$4:$JS$4,AF$4,$CB35:$JS35)</f>
        <v>0</v>
      </c>
      <c r="AG35" s="50" t="n">
        <f aca="false">SUMIF($CB$4:$JS$4,AG$4,$CB35:$JS35)</f>
        <v>0</v>
      </c>
      <c r="AH35" s="50" t="n">
        <f aca="false">SUMIF($CB$4:$JS$4,AH$4,$CB35:$JS35)</f>
        <v>0</v>
      </c>
      <c r="AI35" s="50" t="n">
        <f aca="false">SUMIF($CB$4:$JS$4,AI$4,$CB35:$JS35)</f>
        <v>0</v>
      </c>
      <c r="AJ35" s="50" t="n">
        <f aca="false">SUMIF($CB$4:$JS$4,AJ$4,$CB35:$JS35)</f>
        <v>0</v>
      </c>
      <c r="AK35" s="50" t="n">
        <f aca="false">SUMIF($CB$4:$JS$4,AK$4,$CB35:$JS35)</f>
        <v>0</v>
      </c>
      <c r="AL35" s="50" t="n">
        <f aca="false">SUMIF($CB$4:$JS$4,AL$4,$CB35:$JS35)</f>
        <v>0</v>
      </c>
      <c r="AM35" s="50" t="n">
        <f aca="false">SUMIF($CB$4:$JS$4,AM$4,$CB35:$JS35)</f>
        <v>0</v>
      </c>
      <c r="AN35" s="50" t="n">
        <f aca="false">SUMIF($CB$4:$JS$4,AN$4,$CB35:$JS35)</f>
        <v>0</v>
      </c>
      <c r="AO35" s="50" t="n">
        <f aca="false">SUMIF($CB$4:$JS$4,AO$4,$CB35:$JS35)</f>
        <v>0</v>
      </c>
      <c r="AP35" s="50" t="n">
        <f aca="false">SUMIF($CB$4:$JS$4,AP$4,$CB35:$JS35)</f>
        <v>0</v>
      </c>
      <c r="AQ35" s="50" t="n">
        <f aca="false">SUMIF($CB$4:$JS$4,AQ$4,$CB35:$JS35)</f>
        <v>0</v>
      </c>
      <c r="AR35" s="50" t="n">
        <f aca="false">SUMIF($CB$4:$JS$4,AR$4,$CB35:$JS35)</f>
        <v>0</v>
      </c>
      <c r="AS35" s="50" t="n">
        <f aca="false">SUMIF($CB$4:$JS$4,AS$4,$CB35:$JS35)</f>
        <v>0</v>
      </c>
      <c r="AT35" s="50" t="n">
        <f aca="false">SUMIF($CB$4:$JS$4,AT$4,$CB35:$JS35)</f>
        <v>0</v>
      </c>
      <c r="AU35" s="50" t="n">
        <f aca="false">SUMIF($CB$4:$JS$4,AU$4,$CB35:$JS35)</f>
        <v>0</v>
      </c>
      <c r="AV35" s="50" t="n">
        <f aca="false">SUMIF($CB$4:$JS$4,AV$4,$CB35:$JS35)</f>
        <v>0</v>
      </c>
      <c r="AW35" s="50" t="n">
        <f aca="false">SUMIF($CB$4:$JS$4,AW$4,$CB35:$JS35)</f>
        <v>0</v>
      </c>
      <c r="AX35" s="50" t="n">
        <f aca="false">SUMIF($CB$4:$JS$4,AX$4,$CB35:$JS35)</f>
        <v>0</v>
      </c>
      <c r="AY35" s="50" t="n">
        <f aca="false">SUMIF($CB$4:$JS$4,AY$4,$CB35:$JS35)</f>
        <v>0</v>
      </c>
      <c r="AZ35" s="50" t="n">
        <f aca="false">SUMIF($CB$4:$JS$4,AZ$4,$CB35:$JS35)</f>
        <v>0</v>
      </c>
      <c r="BA35" s="50" t="n">
        <f aca="false">SUMIF($CB$4:$JS$4,BA$4,$CB35:$JS35)</f>
        <v>0</v>
      </c>
      <c r="BB35" s="50" t="n">
        <f aca="false">SUMIF($CB$4:$JS$4,BB$4,$CB35:$JS35)</f>
        <v>0</v>
      </c>
      <c r="BC35" s="50" t="n">
        <f aca="false">SUMIF($CB$4:$JS$4,BC$4,$CB35:$JS35)</f>
        <v>0</v>
      </c>
      <c r="BD35" s="50" t="n">
        <f aca="false">SUMIF($CB$4:$JS$4,BD$4,$CB35:$JS35)</f>
        <v>0</v>
      </c>
      <c r="BE35" s="50" t="n">
        <f aca="false">SUMIF($CB$4:$JS$4,BE$4,$CB35:$JS35)</f>
        <v>0</v>
      </c>
      <c r="BF35" s="50" t="n">
        <f aca="false">SUMIF($CB$4:$JS$4,BF$4,$CB35:$JS35)</f>
        <v>0</v>
      </c>
      <c r="BG35" s="50" t="n">
        <f aca="false">SUMIF($CB$4:$JS$4,BG$4,$CB35:$JS35)</f>
        <v>0</v>
      </c>
      <c r="BH35" s="50" t="n">
        <f aca="false">SUMIF($CB$4:$JS$4,BH$4,$CB35:$JS35)</f>
        <v>0</v>
      </c>
      <c r="BI35" s="50" t="n">
        <f aca="false">SUMIF($CB$4:$JS$4,BI$4,$CB35:$JS35)</f>
        <v>0</v>
      </c>
      <c r="BJ35" s="50" t="n">
        <f aca="false">SUMIF($CB$4:$JS$4,BJ$4,$CB35:$JS35)</f>
        <v>0</v>
      </c>
      <c r="BK35" s="50" t="n">
        <f aca="false">SUMIF($CB$4:$JS$4,BK$4,$CB35:$JS35)</f>
        <v>0</v>
      </c>
      <c r="BL35" s="50" t="n">
        <f aca="false">SUMIF($CB$4:$JS$4,BL$4,$CB35:$JS35)</f>
        <v>0</v>
      </c>
      <c r="BM35" s="50" t="n">
        <f aca="false">SUMIF($CB$4:$JS$4,BM$4,$CB35:$JS35)</f>
        <v>0</v>
      </c>
      <c r="BN35" s="50" t="n">
        <f aca="false">SUMIF($CB$4:$JS$4,BN$4,$CB35:$JS35)</f>
        <v>0</v>
      </c>
      <c r="BO35" s="50" t="n">
        <f aca="false">SUMIF($CB$4:$JS$4,BO$4,$CB35:$JS35)</f>
        <v>0</v>
      </c>
      <c r="BP35" s="50" t="n">
        <f aca="false">SUMIF($CB$4:$JS$4,BP$4,$CB35:$JS35)</f>
        <v>0</v>
      </c>
      <c r="BQ35" s="50" t="n">
        <f aca="false">SUMIF($CB$4:$JS$4,BQ$4,$CB35:$JS35)</f>
        <v>0</v>
      </c>
      <c r="BR35" s="50" t="n">
        <f aca="false">SUMIF($CB$4:$JS$4,BR$4,$CB35:$JS35)</f>
        <v>0</v>
      </c>
      <c r="BS35" s="50" t="n">
        <f aca="false">SUMIF($CB$4:$JS$4,BS$4,$CB35:$JS35)</f>
        <v>0</v>
      </c>
      <c r="BT35" s="50" t="n">
        <f aca="false">SUMIF($CB$4:$JS$4,BT$4,$CB35:$JS35)</f>
        <v>0</v>
      </c>
      <c r="BU35" s="50" t="n">
        <f aca="false">SUMIF($CB$4:$JS$4,BU$4,$CB35:$JS35)</f>
        <v>0</v>
      </c>
      <c r="BV35" s="50" t="n">
        <f aca="false">SUMIF($CB$4:$JS$4,BV$4,$CB35:$JS35)</f>
        <v>0</v>
      </c>
      <c r="BW35" s="50" t="n">
        <f aca="false">SUMIF($CB$4:$JS$4,BW$4,$CB35:$JS35)</f>
        <v>0</v>
      </c>
      <c r="BX35" s="50" t="n">
        <f aca="false">SUMIF($CB$4:$JS$4,"&gt;"&amp;'VALOR POR PL'!$P$8,$CB35:$JS35)</f>
        <v>0</v>
      </c>
      <c r="BY35" s="50" t="n">
        <f aca="false">SUM($CB35:$JS35)</f>
        <v>0</v>
      </c>
      <c r="BZ35" s="45" t="n">
        <f aca="false">SUMPRODUCT(($CB$4:$JS$4&lt;&gt;"")*($CB$4:$JS$4&lt;=$D$4),$CB35:$JS35,$CB$1:$JS$1)</f>
        <v>0</v>
      </c>
      <c r="CB35" s="133" t="n">
        <f aca="false">IF(OR(CB$4="",$B35=""),0,SUMIF('DADOS BRUTOS'!$A$3:$A$500,$B35,'DADOS BRUTOS'!B$3:B$500)+IF($C35="",0,SUMIF('DADOS BRUTOS'!$A$3:$A$500,$C35,'DADOS BRUTOS'!B$3:B$500)))</f>
        <v>0</v>
      </c>
      <c r="CC35" s="133" t="n">
        <f aca="false">IF(OR(CC$4="",$B35=""),0,SUMIF('DADOS BRUTOS'!$A$3:$A$500,$B35,'DADOS BRUTOS'!C$3:C$500)+IF($C35="",0,SUMIF('DADOS BRUTOS'!$A$3:$A$500,$C35,'DADOS BRUTOS'!C$3:C$500)))</f>
        <v>0</v>
      </c>
      <c r="CD35" s="133" t="n">
        <f aca="false">IF(OR(CD$4="",$B35=""),0,SUMIF('DADOS BRUTOS'!$A$3:$A$500,$B35,'DADOS BRUTOS'!D$3:D$500)+IF($C35="",0,SUMIF('DADOS BRUTOS'!$A$3:$A$500,$C35,'DADOS BRUTOS'!D$3:D$500)))</f>
        <v>0</v>
      </c>
      <c r="CE35" s="133" t="n">
        <f aca="false">IF(OR(CE$4="",$B35=""),0,SUMIF('DADOS BRUTOS'!$A$3:$A$500,$B35,'DADOS BRUTOS'!E$3:E$500)+IF($C35="",0,SUMIF('DADOS BRUTOS'!$A$3:$A$500,$C35,'DADOS BRUTOS'!E$3:E$500)))</f>
        <v>0</v>
      </c>
      <c r="CF35" s="133" t="n">
        <f aca="false">IF(OR(CF$4="",$B35=""),0,SUMIF('DADOS BRUTOS'!$A$3:$A$500,$B35,'DADOS BRUTOS'!F$3:F$500)+IF($C35="",0,SUMIF('DADOS BRUTOS'!$A$3:$A$500,$C35,'DADOS BRUTOS'!F$3:F$500)))</f>
        <v>0</v>
      </c>
      <c r="CG35" s="133" t="n">
        <f aca="false">IF(OR(CG$4="",$B35=""),0,SUMIF('DADOS BRUTOS'!$A$3:$A$500,$B35,'DADOS BRUTOS'!G$3:G$500)+IF($C35="",0,SUMIF('DADOS BRUTOS'!$A$3:$A$500,$C35,'DADOS BRUTOS'!G$3:G$500)))</f>
        <v>0</v>
      </c>
      <c r="CH35" s="133" t="n">
        <f aca="false">IF(OR(CH$4="",$B35=""),0,SUMIF('DADOS BRUTOS'!$A$3:$A$500,$B35,'DADOS BRUTOS'!H$3:H$500)+IF($C35="",0,SUMIF('DADOS BRUTOS'!$A$3:$A$500,$C35,'DADOS BRUTOS'!H$3:H$500)))</f>
        <v>0</v>
      </c>
      <c r="CI35" s="133" t="n">
        <f aca="false">IF(OR(CI$4="",$B35=""),0,SUMIF('DADOS BRUTOS'!$A$3:$A$500,$B35,'DADOS BRUTOS'!I$3:I$500)+IF($C35="",0,SUMIF('DADOS BRUTOS'!$A$3:$A$500,$C35,'DADOS BRUTOS'!I$3:I$500)))</f>
        <v>0</v>
      </c>
      <c r="CJ35" s="133" t="n">
        <f aca="false">IF(OR(CJ$4="",$B35=""),0,SUMIF('DADOS BRUTOS'!$A$3:$A$500,$B35,'DADOS BRUTOS'!J$3:J$500)+IF($C35="",0,SUMIF('DADOS BRUTOS'!$A$3:$A$500,$C35,'DADOS BRUTOS'!J$3:J$500)))</f>
        <v>0</v>
      </c>
      <c r="CK35" s="133" t="n">
        <f aca="false">IF(OR(CK$4="",$B35=""),0,SUMIF('DADOS BRUTOS'!$A$3:$A$500,$B35,'DADOS BRUTOS'!K$3:K$500)+IF($C35="",0,SUMIF('DADOS BRUTOS'!$A$3:$A$500,$C35,'DADOS BRUTOS'!K$3:K$500)))</f>
        <v>0</v>
      </c>
      <c r="CL35" s="133" t="n">
        <f aca="false">IF(OR(CL$4="",$B35=""),0,SUMIF('DADOS BRUTOS'!$A$3:$A$500,$B35,'DADOS BRUTOS'!L$3:L$500)+IF($C35="",0,SUMIF('DADOS BRUTOS'!$A$3:$A$500,$C35,'DADOS BRUTOS'!L$3:L$500)))</f>
        <v>0</v>
      </c>
      <c r="CM35" s="133" t="n">
        <f aca="false">IF(OR(CM$4="",$B35=""),0,SUMIF('DADOS BRUTOS'!$A$3:$A$500,$B35,'DADOS BRUTOS'!M$3:M$500)+IF($C35="",0,SUMIF('DADOS BRUTOS'!$A$3:$A$500,$C35,'DADOS BRUTOS'!M$3:M$500)))</f>
        <v>0</v>
      </c>
      <c r="CN35" s="133" t="n">
        <f aca="false">IF(OR(CN$4="",$B35=""),0,SUMIF('DADOS BRUTOS'!$A$3:$A$500,$B35,'DADOS BRUTOS'!N$3:N$500)+IF($C35="",0,SUMIF('DADOS BRUTOS'!$A$3:$A$500,$C35,'DADOS BRUTOS'!N$3:N$500)))</f>
        <v>0</v>
      </c>
      <c r="CO35" s="133" t="n">
        <f aca="false">IF(OR(CO$4="",$B35=""),0,SUMIF('DADOS BRUTOS'!$A$3:$A$500,$B35,'DADOS BRUTOS'!O$3:O$500)+IF($C35="",0,SUMIF('DADOS BRUTOS'!$A$3:$A$500,$C35,'DADOS BRUTOS'!O$3:O$500)))</f>
        <v>0</v>
      </c>
      <c r="CP35" s="133" t="n">
        <f aca="false">IF(OR(CP$4="",$B35=""),0,SUMIF('DADOS BRUTOS'!$A$3:$A$500,$B35,'DADOS BRUTOS'!P$3:P$500)+IF($C35="",0,SUMIF('DADOS BRUTOS'!$A$3:$A$500,$C35,'DADOS BRUTOS'!P$3:P$500)))</f>
        <v>0</v>
      </c>
      <c r="CQ35" s="133" t="n">
        <f aca="false">IF(OR(CQ$4="",$B35=""),0,SUMIF('DADOS BRUTOS'!$A$3:$A$500,$B35,'DADOS BRUTOS'!Q$3:Q$500)+IF($C35="",0,SUMIF('DADOS BRUTOS'!$A$3:$A$500,$C35,'DADOS BRUTOS'!Q$3:Q$500)))</f>
        <v>0</v>
      </c>
      <c r="CR35" s="133" t="n">
        <f aca="false">IF(OR(CR$4="",$B35=""),0,SUMIF('DADOS BRUTOS'!$A$3:$A$500,$B35,'DADOS BRUTOS'!R$3:R$500)+IF($C35="",0,SUMIF('DADOS BRUTOS'!$A$3:$A$500,$C35,'DADOS BRUTOS'!R$3:R$500)))</f>
        <v>0</v>
      </c>
      <c r="CS35" s="133" t="n">
        <f aca="false">IF(OR(CS$4="",$B35=""),0,SUMIF('DADOS BRUTOS'!$A$3:$A$500,$B35,'DADOS BRUTOS'!S$3:S$500)+IF($C35="",0,SUMIF('DADOS BRUTOS'!$A$3:$A$500,$C35,'DADOS BRUTOS'!S$3:S$500)))</f>
        <v>0</v>
      </c>
      <c r="CT35" s="133" t="n">
        <f aca="false">IF(OR(CT$4="",$B35=""),0,SUMIF('DADOS BRUTOS'!$A$3:$A$500,$B35,'DADOS BRUTOS'!T$3:T$500)+IF($C35="",0,SUMIF('DADOS BRUTOS'!$A$3:$A$500,$C35,'DADOS BRUTOS'!T$3:T$500)))</f>
        <v>0</v>
      </c>
      <c r="CU35" s="133" t="n">
        <f aca="false">IF(OR(CU$4="",$B35=""),0,SUMIF('DADOS BRUTOS'!$A$3:$A$500,$B35,'DADOS BRUTOS'!U$3:U$500)+IF($C35="",0,SUMIF('DADOS BRUTOS'!$A$3:$A$500,$C35,'DADOS BRUTOS'!U$3:U$500)))</f>
        <v>0</v>
      </c>
      <c r="CV35" s="133" t="n">
        <f aca="false">IF(OR(CV$4="",$B35=""),0,SUMIF('DADOS BRUTOS'!$A$3:$A$500,$B35,'DADOS BRUTOS'!V$3:V$500)+IF($C35="",0,SUMIF('DADOS BRUTOS'!$A$3:$A$500,$C35,'DADOS BRUTOS'!V$3:V$500)))</f>
        <v>0</v>
      </c>
      <c r="CW35" s="133" t="n">
        <f aca="false">IF(OR(CW$4="",$B35=""),0,SUMIF('DADOS BRUTOS'!$A$3:$A$500,$B35,'DADOS BRUTOS'!W$3:W$500)+IF($C35="",0,SUMIF('DADOS BRUTOS'!$A$3:$A$500,$C35,'DADOS BRUTOS'!W$3:W$500)))</f>
        <v>0</v>
      </c>
      <c r="CX35" s="133" t="n">
        <f aca="false">IF(OR(CX$4="",$B35=""),0,SUMIF('DADOS BRUTOS'!$A$3:$A$500,$B35,'DADOS BRUTOS'!X$3:X$500)+IF($C35="",0,SUMIF('DADOS BRUTOS'!$A$3:$A$500,$C35,'DADOS BRUTOS'!X$3:X$500)))</f>
        <v>0</v>
      </c>
      <c r="CY35" s="133" t="n">
        <f aca="false">IF(OR(CY$4="",$B35=""),0,SUMIF('DADOS BRUTOS'!$A$3:$A$500,$B35,'DADOS BRUTOS'!Y$3:Y$500)+IF($C35="",0,SUMIF('DADOS BRUTOS'!$A$3:$A$500,$C35,'DADOS BRUTOS'!Y$3:Y$500)))</f>
        <v>0</v>
      </c>
      <c r="CZ35" s="133" t="n">
        <f aca="false">IF(OR(CZ$4="",$B35=""),0,SUMIF('DADOS BRUTOS'!$A$3:$A$500,$B35,'DADOS BRUTOS'!Z$3:Z$500)+IF($C35="",0,SUMIF('DADOS BRUTOS'!$A$3:$A$500,$C35,'DADOS BRUTOS'!Z$3:Z$500)))</f>
        <v>0</v>
      </c>
      <c r="DA35" s="133" t="n">
        <f aca="false">IF(OR(DA$4="",$B35=""),0,SUMIF('DADOS BRUTOS'!$A$3:$A$500,$B35,'DADOS BRUTOS'!AA$3:AA$500)+IF($C35="",0,SUMIF('DADOS BRUTOS'!$A$3:$A$500,$C35,'DADOS BRUTOS'!AA$3:AA$500)))</f>
        <v>0</v>
      </c>
      <c r="DB35" s="133" t="n">
        <f aca="false">IF(OR(DB$4="",$B35=""),0,SUMIF('DADOS BRUTOS'!$A$3:$A$500,$B35,'DADOS BRUTOS'!AB$3:AB$500)+IF($C35="",0,SUMIF('DADOS BRUTOS'!$A$3:$A$500,$C35,'DADOS BRUTOS'!AB$3:AB$500)))</f>
        <v>0</v>
      </c>
      <c r="DC35" s="133" t="n">
        <f aca="false">IF(OR(DC$4="",$B35=""),0,SUMIF('DADOS BRUTOS'!$A$3:$A$500,$B35,'DADOS BRUTOS'!AC$3:AC$500)+IF($C35="",0,SUMIF('DADOS BRUTOS'!$A$3:$A$500,$C35,'DADOS BRUTOS'!AC$3:AC$500)))</f>
        <v>0</v>
      </c>
      <c r="DD35" s="133" t="n">
        <f aca="false">IF(OR(DD$4="",$B35=""),0,SUMIF('DADOS BRUTOS'!$A$3:$A$500,$B35,'DADOS BRUTOS'!AD$3:AD$500)+IF($C35="",0,SUMIF('DADOS BRUTOS'!$A$3:$A$500,$C35,'DADOS BRUTOS'!AD$3:AD$500)))</f>
        <v>0</v>
      </c>
      <c r="DE35" s="133" t="n">
        <f aca="false">IF(OR(DE$4="",$B35=""),0,SUMIF('DADOS BRUTOS'!$A$3:$A$500,$B35,'DADOS BRUTOS'!AE$3:AE$500)+IF($C35="",0,SUMIF('DADOS BRUTOS'!$A$3:$A$500,$C35,'DADOS BRUTOS'!AE$3:AE$500)))</f>
        <v>0</v>
      </c>
      <c r="DF35" s="133" t="n">
        <f aca="false">IF(OR(DF$4="",$B35=""),0,SUMIF('DADOS BRUTOS'!$A$3:$A$500,$B35,'DADOS BRUTOS'!AF$3:AF$500)+IF($C35="",0,SUMIF('DADOS BRUTOS'!$A$3:$A$500,$C35,'DADOS BRUTOS'!AF$3:AF$500)))</f>
        <v>0</v>
      </c>
      <c r="DG35" s="133" t="n">
        <f aca="false">IF(OR(DG$4="",$B35=""),0,SUMIF('DADOS BRUTOS'!$A$3:$A$500,$B35,'DADOS BRUTOS'!AG$3:AG$500)+IF($C35="",0,SUMIF('DADOS BRUTOS'!$A$3:$A$500,$C35,'DADOS BRUTOS'!AG$3:AG$500)))</f>
        <v>0</v>
      </c>
      <c r="DH35" s="133" t="n">
        <f aca="false">IF(OR(DH$4="",$B35=""),0,SUMIF('DADOS BRUTOS'!$A$3:$A$500,$B35,'DADOS BRUTOS'!AH$3:AH$500)+IF($C35="",0,SUMIF('DADOS BRUTOS'!$A$3:$A$500,$C35,'DADOS BRUTOS'!AH$3:AH$500)))</f>
        <v>0</v>
      </c>
      <c r="DI35" s="133" t="n">
        <f aca="false">IF(OR(DI$4="",$B35=""),0,SUMIF('DADOS BRUTOS'!$A$3:$A$500,$B35,'DADOS BRUTOS'!AI$3:AI$500)+IF($C35="",0,SUMIF('DADOS BRUTOS'!$A$3:$A$500,$C35,'DADOS BRUTOS'!AI$3:AI$500)))</f>
        <v>0</v>
      </c>
      <c r="DJ35" s="133" t="n">
        <f aca="false">IF(OR(DJ$4="",$B35=""),0,SUMIF('DADOS BRUTOS'!$A$3:$A$500,$B35,'DADOS BRUTOS'!AJ$3:AJ$500)+IF($C35="",0,SUMIF('DADOS BRUTOS'!$A$3:$A$500,$C35,'DADOS BRUTOS'!AJ$3:AJ$500)))</f>
        <v>0</v>
      </c>
      <c r="DK35" s="133" t="n">
        <f aca="false">IF(OR(DK$4="",$B35=""),0,SUMIF('DADOS BRUTOS'!$A$3:$A$500,$B35,'DADOS BRUTOS'!AK$3:AK$500)+IF($C35="",0,SUMIF('DADOS BRUTOS'!$A$3:$A$500,$C35,'DADOS BRUTOS'!AK$3:AK$500)))</f>
        <v>0</v>
      </c>
      <c r="DL35" s="133" t="n">
        <f aca="false">IF(OR(DL$4="",$B35=""),0,SUMIF('DADOS BRUTOS'!$A$3:$A$500,$B35,'DADOS BRUTOS'!AL$3:AL$500)+IF($C35="",0,SUMIF('DADOS BRUTOS'!$A$3:$A$500,$C35,'DADOS BRUTOS'!AL$3:AL$500)))</f>
        <v>0</v>
      </c>
      <c r="DM35" s="133" t="n">
        <f aca="false">IF(OR(DM$4="",$B35=""),0,SUMIF('DADOS BRUTOS'!$A$3:$A$500,$B35,'DADOS BRUTOS'!AM$3:AM$500)+IF($C35="",0,SUMIF('DADOS BRUTOS'!$A$3:$A$500,$C35,'DADOS BRUTOS'!AM$3:AM$500)))</f>
        <v>0</v>
      </c>
      <c r="DN35" s="133" t="n">
        <f aca="false">IF(OR(DN$4="",$B35=""),0,SUMIF('DADOS BRUTOS'!$A$3:$A$500,$B35,'DADOS BRUTOS'!AN$3:AN$500)+IF($C35="",0,SUMIF('DADOS BRUTOS'!$A$3:$A$500,$C35,'DADOS BRUTOS'!AN$3:AN$500)))</f>
        <v>0</v>
      </c>
      <c r="DO35" s="133" t="n">
        <f aca="false">IF(OR(DO$4="",$B35=""),0,SUMIF('DADOS BRUTOS'!$A$3:$A$500,$B35,'DADOS BRUTOS'!AO$3:AO$500)+IF($C35="",0,SUMIF('DADOS BRUTOS'!$A$3:$A$500,$C35,'DADOS BRUTOS'!AO$3:AO$500)))</f>
        <v>0</v>
      </c>
      <c r="DP35" s="133" t="n">
        <f aca="false">IF(OR(DP$4="",$B35=""),0,SUMIF('DADOS BRUTOS'!$A$3:$A$500,$B35,'DADOS BRUTOS'!AP$3:AP$500)+IF($C35="",0,SUMIF('DADOS BRUTOS'!$A$3:$A$500,$C35,'DADOS BRUTOS'!AP$3:AP$500)))</f>
        <v>0</v>
      </c>
      <c r="DQ35" s="133" t="n">
        <f aca="false">IF(OR(DQ$4="",$B35=""),0,SUMIF('DADOS BRUTOS'!$A$3:$A$500,$B35,'DADOS BRUTOS'!AQ$3:AQ$500)+IF($C35="",0,SUMIF('DADOS BRUTOS'!$A$3:$A$500,$C35,'DADOS BRUTOS'!AQ$3:AQ$500)))</f>
        <v>0</v>
      </c>
      <c r="DR35" s="133" t="n">
        <f aca="false">IF(OR(DR$4="",$B35=""),0,SUMIF('DADOS BRUTOS'!$A$3:$A$500,$B35,'DADOS BRUTOS'!AR$3:AR$500)+IF($C35="",0,SUMIF('DADOS BRUTOS'!$A$3:$A$500,$C35,'DADOS BRUTOS'!AR$3:AR$500)))</f>
        <v>0</v>
      </c>
      <c r="DS35" s="133" t="n">
        <f aca="false">IF(OR(DS$4="",$B35=""),0,SUMIF('DADOS BRUTOS'!$A$3:$A$500,$B35,'DADOS BRUTOS'!AS$3:AS$500)+IF($C35="",0,SUMIF('DADOS BRUTOS'!$A$3:$A$500,$C35,'DADOS BRUTOS'!AS$3:AS$500)))</f>
        <v>0</v>
      </c>
      <c r="DT35" s="133" t="n">
        <f aca="false">IF(OR(DT$4="",$B35=""),0,SUMIF('DADOS BRUTOS'!$A$3:$A$500,$B35,'DADOS BRUTOS'!AT$3:AT$500)+IF($C35="",0,SUMIF('DADOS BRUTOS'!$A$3:$A$500,$C35,'DADOS BRUTOS'!AT$3:AT$500)))</f>
        <v>0</v>
      </c>
      <c r="DU35" s="133" t="n">
        <f aca="false">IF(OR(DU$4="",$B35=""),0,SUMIF('DADOS BRUTOS'!$A$3:$A$500,$B35,'DADOS BRUTOS'!AU$3:AU$500)+IF($C35="",0,SUMIF('DADOS BRUTOS'!$A$3:$A$500,$C35,'DADOS BRUTOS'!AU$3:AU$500)))</f>
        <v>0</v>
      </c>
      <c r="DV35" s="133" t="n">
        <f aca="false">IF(OR(DV$4="",$B35=""),0,SUMIF('DADOS BRUTOS'!$A$3:$A$500,$B35,'DADOS BRUTOS'!AV$3:AV$500)+IF($C35="",0,SUMIF('DADOS BRUTOS'!$A$3:$A$500,$C35,'DADOS BRUTOS'!AV$3:AV$500)))</f>
        <v>0</v>
      </c>
      <c r="DW35" s="133" t="n">
        <f aca="false">IF(OR(DW$4="",$B35=""),0,SUMIF('DADOS BRUTOS'!$A$3:$A$500,$B35,'DADOS BRUTOS'!AW$3:AW$500)+IF($C35="",0,SUMIF('DADOS BRUTOS'!$A$3:$A$500,$C35,'DADOS BRUTOS'!AW$3:AW$500)))</f>
        <v>0</v>
      </c>
      <c r="DX35" s="133" t="n">
        <f aca="false">IF(OR(DX$4="",$B35=""),0,SUMIF('DADOS BRUTOS'!$A$3:$A$500,$B35,'DADOS BRUTOS'!AX$3:AX$500)+IF($C35="",0,SUMIF('DADOS BRUTOS'!$A$3:$A$500,$C35,'DADOS BRUTOS'!AX$3:AX$500)))</f>
        <v>0</v>
      </c>
      <c r="DY35" s="133" t="n">
        <f aca="false">IF(OR(DY$4="",$B35=""),0,SUMIF('DADOS BRUTOS'!$A$3:$A$500,$B35,'DADOS BRUTOS'!AY$3:AY$500)+IF($C35="",0,SUMIF('DADOS BRUTOS'!$A$3:$A$500,$C35,'DADOS BRUTOS'!AY$3:AY$500)))</f>
        <v>0</v>
      </c>
      <c r="DZ35" s="133" t="n">
        <f aca="false">IF(OR(DZ$4="",$B35=""),0,SUMIF('DADOS BRUTOS'!$A$3:$A$500,$B35,'DADOS BRUTOS'!AZ$3:AZ$500)+IF($C35="",0,SUMIF('DADOS BRUTOS'!$A$3:$A$500,$C35,'DADOS BRUTOS'!AZ$3:AZ$500)))</f>
        <v>0</v>
      </c>
      <c r="EA35" s="133" t="n">
        <f aca="false">IF(OR(EA$4="",$B35=""),0,SUMIF('DADOS BRUTOS'!$A$3:$A$500,$B35,'DADOS BRUTOS'!BA$3:BA$500)+IF($C35="",0,SUMIF('DADOS BRUTOS'!$A$3:$A$500,$C35,'DADOS BRUTOS'!BA$3:BA$500)))</f>
        <v>0</v>
      </c>
      <c r="EB35" s="133" t="n">
        <f aca="false">IF(OR(EB$4="",$B35=""),0,SUMIF('DADOS BRUTOS'!$A$3:$A$500,$B35,'DADOS BRUTOS'!BB$3:BB$500)+IF($C35="",0,SUMIF('DADOS BRUTOS'!$A$3:$A$500,$C35,'DADOS BRUTOS'!BB$3:BB$500)))</f>
        <v>0</v>
      </c>
      <c r="EC35" s="133" t="n">
        <f aca="false">IF(OR(EC$4="",$B35=""),0,SUMIF('DADOS BRUTOS'!$A$3:$A$500,$B35,'DADOS BRUTOS'!BC$3:BC$500)+IF($C35="",0,SUMIF('DADOS BRUTOS'!$A$3:$A$500,$C35,'DADOS BRUTOS'!BC$3:BC$500)))</f>
        <v>0</v>
      </c>
      <c r="ED35" s="133" t="n">
        <f aca="false">IF(OR(ED$4="",$B35=""),0,SUMIF('DADOS BRUTOS'!$A$3:$A$500,$B35,'DADOS BRUTOS'!BD$3:BD$500)+IF($C35="",0,SUMIF('DADOS BRUTOS'!$A$3:$A$500,$C35,'DADOS BRUTOS'!BD$3:BD$500)))</f>
        <v>0</v>
      </c>
      <c r="EE35" s="133" t="n">
        <f aca="false">IF(OR(EE$4="",$B35=""),0,SUMIF('DADOS BRUTOS'!$A$3:$A$500,$B35,'DADOS BRUTOS'!BE$3:BE$500)+IF($C35="",0,SUMIF('DADOS BRUTOS'!$A$3:$A$500,$C35,'DADOS BRUTOS'!BE$3:BE$500)))</f>
        <v>0</v>
      </c>
      <c r="EF35" s="133" t="n">
        <f aca="false">IF(OR(EF$4="",$B35=""),0,SUMIF('DADOS BRUTOS'!$A$3:$A$500,$B35,'DADOS BRUTOS'!BF$3:BF$500)+IF($C35="",0,SUMIF('DADOS BRUTOS'!$A$3:$A$500,$C35,'DADOS BRUTOS'!BF$3:BF$500)))</f>
        <v>0</v>
      </c>
      <c r="EG35" s="133" t="n">
        <f aca="false">IF(OR(EG$4="",$B35=""),0,SUMIF('DADOS BRUTOS'!$A$3:$A$500,$B35,'DADOS BRUTOS'!BG$3:BG$500)+IF($C35="",0,SUMIF('DADOS BRUTOS'!$A$3:$A$500,$C35,'DADOS BRUTOS'!BG$3:BG$500)))</f>
        <v>0</v>
      </c>
      <c r="EH35" s="133" t="n">
        <f aca="false">IF(OR(EH$4="",$B35=""),0,SUMIF('DADOS BRUTOS'!$A$3:$A$500,$B35,'DADOS BRUTOS'!BH$3:BH$500)+IF($C35="",0,SUMIF('DADOS BRUTOS'!$A$3:$A$500,$C35,'DADOS BRUTOS'!BH$3:BH$500)))</f>
        <v>0</v>
      </c>
      <c r="EI35" s="133" t="n">
        <f aca="false">IF(OR(EI$4="",$B35=""),0,SUMIF('DADOS BRUTOS'!$A$3:$A$500,$B35,'DADOS BRUTOS'!BI$3:BI$500)+IF($C35="",0,SUMIF('DADOS BRUTOS'!$A$3:$A$500,$C35,'DADOS BRUTOS'!BI$3:BI$500)))</f>
        <v>0</v>
      </c>
      <c r="EJ35" s="133" t="n">
        <f aca="false">IF(OR(EJ$4="",$B35=""),0,SUMIF('DADOS BRUTOS'!$A$3:$A$500,$B35,'DADOS BRUTOS'!BJ$3:BJ$500)+IF($C35="",0,SUMIF('DADOS BRUTOS'!$A$3:$A$500,$C35,'DADOS BRUTOS'!BJ$3:BJ$500)))</f>
        <v>0</v>
      </c>
      <c r="EK35" s="133" t="n">
        <f aca="false">IF(OR(EK$4="",$B35=""),0,SUMIF('DADOS BRUTOS'!$A$3:$A$500,$B35,'DADOS BRUTOS'!BK$3:BK$500)+IF($C35="",0,SUMIF('DADOS BRUTOS'!$A$3:$A$500,$C35,'DADOS BRUTOS'!BK$3:BK$500)))</f>
        <v>0</v>
      </c>
      <c r="EL35" s="133" t="n">
        <f aca="false">IF(OR(EL$4="",$B35=""),0,SUMIF('DADOS BRUTOS'!$A$3:$A$500,$B35,'DADOS BRUTOS'!BL$3:BL$500)+IF($C35="",0,SUMIF('DADOS BRUTOS'!$A$3:$A$500,$C35,'DADOS BRUTOS'!BL$3:BL$500)))</f>
        <v>0</v>
      </c>
      <c r="EM35" s="133" t="n">
        <f aca="false">IF(OR(EM$4="",$B35=""),0,SUMIF('DADOS BRUTOS'!$A$3:$A$500,$B35,'DADOS BRUTOS'!BM$3:BM$500)+IF($C35="",0,SUMIF('DADOS BRUTOS'!$A$3:$A$500,$C35,'DADOS BRUTOS'!BM$3:BM$500)))</f>
        <v>0</v>
      </c>
      <c r="EN35" s="133" t="n">
        <f aca="false">IF(OR(EN$4="",$B35=""),0,SUMIF('DADOS BRUTOS'!$A$3:$A$500,$B35,'DADOS BRUTOS'!BN$3:BN$500)+IF($C35="",0,SUMIF('DADOS BRUTOS'!$A$3:$A$500,$C35,'DADOS BRUTOS'!BN$3:BN$500)))</f>
        <v>0</v>
      </c>
      <c r="EO35" s="133" t="n">
        <f aca="false">IF(OR(EO$4="",$B35=""),0,SUMIF('DADOS BRUTOS'!$A$3:$A$500,$B35,'DADOS BRUTOS'!BO$3:BO$500)+IF($C35="",0,SUMIF('DADOS BRUTOS'!$A$3:$A$500,$C35,'DADOS BRUTOS'!BO$3:BO$500)))</f>
        <v>0</v>
      </c>
      <c r="EP35" s="133" t="n">
        <f aca="false">IF(OR(EP$4="",$B35=""),0,SUMIF('DADOS BRUTOS'!$A$3:$A$500,$B35,'DADOS BRUTOS'!BP$3:BP$500)+IF($C35="",0,SUMIF('DADOS BRUTOS'!$A$3:$A$500,$C35,'DADOS BRUTOS'!BP$3:BP$500)))</f>
        <v>0</v>
      </c>
      <c r="EQ35" s="133" t="n">
        <f aca="false">IF(OR(EQ$4="",$B35=""),0,SUMIF('DADOS BRUTOS'!$A$3:$A$500,$B35,'DADOS BRUTOS'!BQ$3:BQ$500)+IF($C35="",0,SUMIF('DADOS BRUTOS'!$A$3:$A$500,$C35,'DADOS BRUTOS'!BQ$3:BQ$500)))</f>
        <v>0</v>
      </c>
      <c r="ER35" s="133" t="n">
        <f aca="false">IF(OR(ER$4="",$B35=""),0,SUMIF('DADOS BRUTOS'!$A$3:$A$500,$B35,'DADOS BRUTOS'!BR$3:BR$500)+IF($C35="",0,SUMIF('DADOS BRUTOS'!$A$3:$A$500,$C35,'DADOS BRUTOS'!BR$3:BR$500)))</f>
        <v>0</v>
      </c>
      <c r="ES35" s="133" t="n">
        <f aca="false">IF(OR(ES$4="",$B35=""),0,SUMIF('DADOS BRUTOS'!$A$3:$A$500,$B35,'DADOS BRUTOS'!BS$3:BS$500)+IF($C35="",0,SUMIF('DADOS BRUTOS'!$A$3:$A$500,$C35,'DADOS BRUTOS'!BS$3:BS$500)))</f>
        <v>0</v>
      </c>
      <c r="ET35" s="133" t="n">
        <f aca="false">IF(OR(ET$4="",$B35=""),0,SUMIF('DADOS BRUTOS'!$A$3:$A$500,$B35,'DADOS BRUTOS'!BT$3:BT$500)+IF($C35="",0,SUMIF('DADOS BRUTOS'!$A$3:$A$500,$C35,'DADOS BRUTOS'!BT$3:BT$500)))</f>
        <v>0</v>
      </c>
      <c r="EU35" s="133" t="n">
        <f aca="false">IF(OR(EU$4="",$B35=""),0,SUMIF('DADOS BRUTOS'!$A$3:$A$500,$B35,'DADOS BRUTOS'!BU$3:BU$500)+IF($C35="",0,SUMIF('DADOS BRUTOS'!$A$3:$A$500,$C35,'DADOS BRUTOS'!BU$3:BU$500)))</f>
        <v>0</v>
      </c>
      <c r="EV35" s="133" t="n">
        <f aca="false">IF(OR(EV$4="",$B35=""),0,SUMIF('DADOS BRUTOS'!$A$3:$A$500,$B35,'DADOS BRUTOS'!BV$3:BV$500)+IF($C35="",0,SUMIF('DADOS BRUTOS'!$A$3:$A$500,$C35,'DADOS BRUTOS'!BV$3:BV$500)))</f>
        <v>0</v>
      </c>
      <c r="EW35" s="133" t="n">
        <f aca="false">IF(OR(EW$4="",$B35=""),0,SUMIF('DADOS BRUTOS'!$A$3:$A$500,$B35,'DADOS BRUTOS'!BW$3:BW$500)+IF($C35="",0,SUMIF('DADOS BRUTOS'!$A$3:$A$500,$C35,'DADOS BRUTOS'!BW$3:BW$500)))</f>
        <v>0</v>
      </c>
      <c r="EX35" s="133" t="n">
        <f aca="false">IF(OR(EX$4="",$B35=""),0,SUMIF('DADOS BRUTOS'!$A$3:$A$500,$B35,'DADOS BRUTOS'!BX$3:BX$500)+IF($C35="",0,SUMIF('DADOS BRUTOS'!$A$3:$A$500,$C35,'DADOS BRUTOS'!BX$3:BX$500)))</f>
        <v>0</v>
      </c>
      <c r="EY35" s="133" t="n">
        <f aca="false">IF(OR(EY$4="",$B35=""),0,SUMIF('DADOS BRUTOS'!$A$3:$A$500,$B35,'DADOS BRUTOS'!BY$3:BY$500)+IF($C35="",0,SUMIF('DADOS BRUTOS'!$A$3:$A$500,$C35,'DADOS BRUTOS'!BY$3:BY$500)))</f>
        <v>0</v>
      </c>
      <c r="EZ35" s="133" t="n">
        <f aca="false">IF(OR(EZ$4="",$B35=""),0,SUMIF('DADOS BRUTOS'!$A$3:$A$500,$B35,'DADOS BRUTOS'!BZ$3:BZ$500)+IF($C35="",0,SUMIF('DADOS BRUTOS'!$A$3:$A$500,$C35,'DADOS BRUTOS'!BZ$3:BZ$500)))</f>
        <v>0</v>
      </c>
      <c r="FA35" s="133" t="n">
        <f aca="false">IF(OR(FA$4="",$B35=""),0,SUMIF('DADOS BRUTOS'!$A$3:$A$500,$B35,'DADOS BRUTOS'!CA$3:CA$500)+IF($C35="",0,SUMIF('DADOS BRUTOS'!$A$3:$A$500,$C35,'DADOS BRUTOS'!CA$3:CA$500)))</f>
        <v>0</v>
      </c>
      <c r="FB35" s="133" t="n">
        <f aca="false">IF(OR(FB$4="",$B35=""),0,SUMIF('DADOS BRUTOS'!$A$3:$A$500,$B35,'DADOS BRUTOS'!CB$3:CB$500)+IF($C35="",0,SUMIF('DADOS BRUTOS'!$A$3:$A$500,$C35,'DADOS BRUTOS'!CB$3:CB$500)))</f>
        <v>0</v>
      </c>
      <c r="FC35" s="133" t="n">
        <f aca="false">IF(OR(FC$4="",$B35=""),0,SUMIF('DADOS BRUTOS'!$A$3:$A$500,$B35,'DADOS BRUTOS'!CC$3:CC$500)+IF($C35="",0,SUMIF('DADOS BRUTOS'!$A$3:$A$500,$C35,'DADOS BRUTOS'!CC$3:CC$500)))</f>
        <v>0</v>
      </c>
      <c r="FD35" s="133" t="n">
        <f aca="false">IF(OR(FD$4="",$B35=""),0,SUMIF('DADOS BRUTOS'!$A$3:$A$500,$B35,'DADOS BRUTOS'!CD$3:CD$500)+IF($C35="",0,SUMIF('DADOS BRUTOS'!$A$3:$A$500,$C35,'DADOS BRUTOS'!CD$3:CD$500)))</f>
        <v>0</v>
      </c>
      <c r="FE35" s="133" t="n">
        <f aca="false">IF(OR(FE$4="",$B35=""),0,SUMIF('DADOS BRUTOS'!$A$3:$A$500,$B35,'DADOS BRUTOS'!CE$3:CE$500)+IF($C35="",0,SUMIF('DADOS BRUTOS'!$A$3:$A$500,$C35,'DADOS BRUTOS'!CE$3:CE$500)))</f>
        <v>0</v>
      </c>
      <c r="FF35" s="133" t="n">
        <f aca="false">IF(OR(FF$4="",$B35=""),0,SUMIF('DADOS BRUTOS'!$A$3:$A$500,$B35,'DADOS BRUTOS'!CF$3:CF$500)+IF($C35="",0,SUMIF('DADOS BRUTOS'!$A$3:$A$500,$C35,'DADOS BRUTOS'!CF$3:CF$500)))</f>
        <v>0</v>
      </c>
      <c r="FG35" s="133" t="n">
        <f aca="false">IF(OR(FG$4="",$B35=""),0,SUMIF('DADOS BRUTOS'!$A$3:$A$500,$B35,'DADOS BRUTOS'!CG$3:CG$500)+IF($C35="",0,SUMIF('DADOS BRUTOS'!$A$3:$A$500,$C35,'DADOS BRUTOS'!CG$3:CG$500)))</f>
        <v>0</v>
      </c>
      <c r="FH35" s="133" t="n">
        <f aca="false">IF(OR(FH$4="",$B35=""),0,SUMIF('DADOS BRUTOS'!$A$3:$A$500,$B35,'DADOS BRUTOS'!CH$3:CH$500)+IF($C35="",0,SUMIF('DADOS BRUTOS'!$A$3:$A$500,$C35,'DADOS BRUTOS'!CH$3:CH$500)))</f>
        <v>0</v>
      </c>
      <c r="FI35" s="133" t="n">
        <f aca="false">IF(OR(FI$4="",$B35=""),0,SUMIF('DADOS BRUTOS'!$A$3:$A$500,$B35,'DADOS BRUTOS'!CI$3:CI$500)+IF($C35="",0,SUMIF('DADOS BRUTOS'!$A$3:$A$500,$C35,'DADOS BRUTOS'!CI$3:CI$500)))</f>
        <v>0</v>
      </c>
      <c r="FJ35" s="133" t="n">
        <f aca="false">IF(OR(FJ$4="",$B35=""),0,SUMIF('DADOS BRUTOS'!$A$3:$A$500,$B35,'DADOS BRUTOS'!CJ$3:CJ$500)+IF($C35="",0,SUMIF('DADOS BRUTOS'!$A$3:$A$500,$C35,'DADOS BRUTOS'!CJ$3:CJ$500)))</f>
        <v>0</v>
      </c>
      <c r="FK35" s="133" t="n">
        <f aca="false">IF(OR(FK$4="",$B35=""),0,SUMIF('DADOS BRUTOS'!$A$3:$A$500,$B35,'DADOS BRUTOS'!CK$3:CK$500)+IF($C35="",0,SUMIF('DADOS BRUTOS'!$A$3:$A$500,$C35,'DADOS BRUTOS'!CK$3:CK$500)))</f>
        <v>0</v>
      </c>
      <c r="FL35" s="133" t="n">
        <f aca="false">IF(OR(FL$4="",$B35=""),0,SUMIF('DADOS BRUTOS'!$A$3:$A$500,$B35,'DADOS BRUTOS'!CL$3:CL$500)+IF($C35="",0,SUMIF('DADOS BRUTOS'!$A$3:$A$500,$C35,'DADOS BRUTOS'!CL$3:CL$500)))</f>
        <v>0</v>
      </c>
      <c r="FM35" s="133" t="n">
        <f aca="false">IF(OR(FM$4="",$B35=""),0,SUMIF('DADOS BRUTOS'!$A$3:$A$500,$B35,'DADOS BRUTOS'!CM$3:CM$500)+IF($C35="",0,SUMIF('DADOS BRUTOS'!$A$3:$A$500,$C35,'DADOS BRUTOS'!CM$3:CM$500)))</f>
        <v>0</v>
      </c>
      <c r="FN35" s="133" t="n">
        <f aca="false">IF(OR(FN$4="",$B35=""),0,SUMIF('DADOS BRUTOS'!$A$3:$A$500,$B35,'DADOS BRUTOS'!CN$3:CN$500)+IF($C35="",0,SUMIF('DADOS BRUTOS'!$A$3:$A$500,$C35,'DADOS BRUTOS'!CN$3:CN$500)))</f>
        <v>0</v>
      </c>
      <c r="FO35" s="133" t="n">
        <f aca="false">IF(OR(FO$4="",$B35=""),0,SUMIF('DADOS BRUTOS'!$A$3:$A$500,$B35,'DADOS BRUTOS'!CO$3:CO$500)+IF($C35="",0,SUMIF('DADOS BRUTOS'!$A$3:$A$500,$C35,'DADOS BRUTOS'!CO$3:CO$500)))</f>
        <v>0</v>
      </c>
      <c r="FP35" s="133" t="n">
        <f aca="false">IF(OR(FP$4="",$B35=""),0,SUMIF('DADOS BRUTOS'!$A$3:$A$500,$B35,'DADOS BRUTOS'!CP$3:CP$500)+IF($C35="",0,SUMIF('DADOS BRUTOS'!$A$3:$A$500,$C35,'DADOS BRUTOS'!CP$3:CP$500)))</f>
        <v>0</v>
      </c>
      <c r="FQ35" s="133" t="n">
        <f aca="false">IF(OR(FQ$4="",$B35=""),0,SUMIF('DADOS BRUTOS'!$A$3:$A$500,$B35,'DADOS BRUTOS'!CQ$3:CQ$500)+IF($C35="",0,SUMIF('DADOS BRUTOS'!$A$3:$A$500,$C35,'DADOS BRUTOS'!CQ$3:CQ$500)))</f>
        <v>0</v>
      </c>
      <c r="FR35" s="133" t="n">
        <f aca="false">IF(OR(FR$4="",$B35=""),0,SUMIF('DADOS BRUTOS'!$A$3:$A$500,$B35,'DADOS BRUTOS'!CR$3:CR$500)+IF($C35="",0,SUMIF('DADOS BRUTOS'!$A$3:$A$500,$C35,'DADOS BRUTOS'!CR$3:CR$500)))</f>
        <v>0</v>
      </c>
      <c r="FS35" s="133" t="n">
        <f aca="false">IF(OR(FS$4="",$B35=""),0,SUMIF('DADOS BRUTOS'!$A$3:$A$500,$B35,'DADOS BRUTOS'!CS$3:CS$500)+IF($C35="",0,SUMIF('DADOS BRUTOS'!$A$3:$A$500,$C35,'DADOS BRUTOS'!CS$3:CS$500)))</f>
        <v>0</v>
      </c>
      <c r="FT35" s="133" t="n">
        <f aca="false">IF(OR(FT$4="",$B35=""),0,SUMIF('DADOS BRUTOS'!$A$3:$A$500,$B35,'DADOS BRUTOS'!CT$3:CT$500)+IF($C35="",0,SUMIF('DADOS BRUTOS'!$A$3:$A$500,$C35,'DADOS BRUTOS'!CT$3:CT$500)))</f>
        <v>0</v>
      </c>
      <c r="FU35" s="133" t="n">
        <f aca="false">IF(OR(FU$4="",$B35=""),0,SUMIF('DADOS BRUTOS'!$A$3:$A$500,$B35,'DADOS BRUTOS'!CU$3:CU$500)+IF($C35="",0,SUMIF('DADOS BRUTOS'!$A$3:$A$500,$C35,'DADOS BRUTOS'!CU$3:CU$500)))</f>
        <v>0</v>
      </c>
      <c r="FV35" s="133" t="n">
        <f aca="false">IF(OR(FV$4="",$B35=""),0,SUMIF('DADOS BRUTOS'!$A$3:$A$500,$B35,'DADOS BRUTOS'!CV$3:CV$500)+IF($C35="",0,SUMIF('DADOS BRUTOS'!$A$3:$A$500,$C35,'DADOS BRUTOS'!CV$3:CV$500)))</f>
        <v>0</v>
      </c>
      <c r="FW35" s="133" t="n">
        <f aca="false">IF(OR(FW$4="",$B35=""),0,SUMIF('DADOS BRUTOS'!$A$3:$A$500,$B35,'DADOS BRUTOS'!CW$3:CW$500)+IF($C35="",0,SUMIF('DADOS BRUTOS'!$A$3:$A$500,$C35,'DADOS BRUTOS'!CW$3:CW$500)))</f>
        <v>0</v>
      </c>
      <c r="FX35" s="133" t="n">
        <f aca="false">IF(OR(FX$4="",$B35=""),0,SUMIF('DADOS BRUTOS'!$A$3:$A$500,$B35,'DADOS BRUTOS'!CX$3:CX$500)+IF($C35="",0,SUMIF('DADOS BRUTOS'!$A$3:$A$500,$C35,'DADOS BRUTOS'!CX$3:CX$500)))</f>
        <v>0</v>
      </c>
      <c r="FY35" s="133" t="n">
        <f aca="false">IF(OR(FY$4="",$B35=""),0,SUMIF('DADOS BRUTOS'!$A$3:$A$500,$B35,'DADOS BRUTOS'!CY$3:CY$500)+IF($C35="",0,SUMIF('DADOS BRUTOS'!$A$3:$A$500,$C35,'DADOS BRUTOS'!CY$3:CY$500)))</f>
        <v>0</v>
      </c>
      <c r="FZ35" s="133" t="n">
        <f aca="false">IF(OR(FZ$4="",$B35=""),0,SUMIF('DADOS BRUTOS'!$A$3:$A$500,$B35,'DADOS BRUTOS'!CZ$3:CZ$500)+IF($C35="",0,SUMIF('DADOS BRUTOS'!$A$3:$A$500,$C35,'DADOS BRUTOS'!CZ$3:CZ$500)))</f>
        <v>0</v>
      </c>
      <c r="GA35" s="133" t="n">
        <f aca="false">IF(OR(GA$4="",$B35=""),0,SUMIF('DADOS BRUTOS'!$A$3:$A$500,$B35,'DADOS BRUTOS'!DA$3:DA$500)+IF($C35="",0,SUMIF('DADOS BRUTOS'!$A$3:$A$500,$C35,'DADOS BRUTOS'!DA$3:DA$500)))</f>
        <v>0</v>
      </c>
      <c r="GB35" s="133" t="n">
        <f aca="false">IF(OR(GB$4="",$B35=""),0,SUMIF('DADOS BRUTOS'!$A$3:$A$500,$B35,'DADOS BRUTOS'!DB$3:DB$500)+IF($C35="",0,SUMIF('DADOS BRUTOS'!$A$3:$A$500,$C35,'DADOS BRUTOS'!DB$3:DB$500)))</f>
        <v>0</v>
      </c>
      <c r="GC35" s="133" t="n">
        <f aca="false">IF(OR(GC$4="",$B35=""),0,SUMIF('DADOS BRUTOS'!$A$3:$A$500,$B35,'DADOS BRUTOS'!DC$3:DC$500)+IF($C35="",0,SUMIF('DADOS BRUTOS'!$A$3:$A$500,$C35,'DADOS BRUTOS'!DC$3:DC$500)))</f>
        <v>0</v>
      </c>
      <c r="GD35" s="133" t="n">
        <f aca="false">IF(OR(GD$4="",$B35=""),0,SUMIF('DADOS BRUTOS'!$A$3:$A$500,$B35,'DADOS BRUTOS'!DD$3:DD$500)+IF($C35="",0,SUMIF('DADOS BRUTOS'!$A$3:$A$500,$C35,'DADOS BRUTOS'!DD$3:DD$500)))</f>
        <v>0</v>
      </c>
      <c r="GE35" s="133" t="n">
        <f aca="false">IF(OR(GE$4="",$B35=""),0,SUMIF('DADOS BRUTOS'!$A$3:$A$500,$B35,'DADOS BRUTOS'!DE$3:DE$500)+IF($C35="",0,SUMIF('DADOS BRUTOS'!$A$3:$A$500,$C35,'DADOS BRUTOS'!DE$3:DE$500)))</f>
        <v>0</v>
      </c>
      <c r="GF35" s="133" t="n">
        <f aca="false">IF(OR(GF$4="",$B35=""),0,SUMIF('DADOS BRUTOS'!$A$3:$A$500,$B35,'DADOS BRUTOS'!DF$3:DF$500)+IF($C35="",0,SUMIF('DADOS BRUTOS'!$A$3:$A$500,$C35,'DADOS BRUTOS'!DF$3:DF$500)))</f>
        <v>0</v>
      </c>
      <c r="GG35" s="133" t="n">
        <f aca="false">IF(OR(GG$4="",$B35=""),0,SUMIF('DADOS BRUTOS'!$A$3:$A$500,$B35,'DADOS BRUTOS'!DG$3:DG$500)+IF($C35="",0,SUMIF('DADOS BRUTOS'!$A$3:$A$500,$C35,'DADOS BRUTOS'!DG$3:DG$500)))</f>
        <v>0</v>
      </c>
      <c r="GH35" s="133" t="n">
        <f aca="false">IF(OR(GH$4="",$B35=""),0,SUMIF('DADOS BRUTOS'!$A$3:$A$500,$B35,'DADOS BRUTOS'!DH$3:DH$500)+IF($C35="",0,SUMIF('DADOS BRUTOS'!$A$3:$A$500,$C35,'DADOS BRUTOS'!DH$3:DH$500)))</f>
        <v>0</v>
      </c>
      <c r="GI35" s="133" t="n">
        <f aca="false">IF(OR(GI$4="",$B35=""),0,SUMIF('DADOS BRUTOS'!$A$3:$A$500,$B35,'DADOS BRUTOS'!DI$3:DI$500)+IF($C35="",0,SUMIF('DADOS BRUTOS'!$A$3:$A$500,$C35,'DADOS BRUTOS'!DI$3:DI$500)))</f>
        <v>0</v>
      </c>
      <c r="GJ35" s="133" t="n">
        <f aca="false">IF(OR(GJ$4="",$B35=""),0,SUMIF('DADOS BRUTOS'!$A$3:$A$500,$B35,'DADOS BRUTOS'!DJ$3:DJ$500)+IF($C35="",0,SUMIF('DADOS BRUTOS'!$A$3:$A$500,$C35,'DADOS BRUTOS'!DJ$3:DJ$500)))</f>
        <v>0</v>
      </c>
      <c r="GK35" s="133" t="n">
        <f aca="false">IF(OR(GK$4="",$B35=""),0,SUMIF('DADOS BRUTOS'!$A$3:$A$500,$B35,'DADOS BRUTOS'!DK$3:DK$500)+IF($C35="",0,SUMIF('DADOS BRUTOS'!$A$3:$A$500,$C35,'DADOS BRUTOS'!DK$3:DK$500)))</f>
        <v>0</v>
      </c>
      <c r="GL35" s="133" t="n">
        <f aca="false">IF(OR(GL$4="",$B35=""),0,SUMIF('DADOS BRUTOS'!$A$3:$A$500,$B35,'DADOS BRUTOS'!DL$3:DL$500)+IF($C35="",0,SUMIF('DADOS BRUTOS'!$A$3:$A$500,$C35,'DADOS BRUTOS'!DL$3:DL$500)))</f>
        <v>0</v>
      </c>
      <c r="GM35" s="133" t="n">
        <f aca="false">IF(OR(GM$4="",$B35=""),0,SUMIF('DADOS BRUTOS'!$A$3:$A$500,$B35,'DADOS BRUTOS'!DM$3:DM$500)+IF($C35="",0,SUMIF('DADOS BRUTOS'!$A$3:$A$500,$C35,'DADOS BRUTOS'!DM$3:DM$500)))</f>
        <v>0</v>
      </c>
      <c r="GN35" s="133" t="n">
        <f aca="false">IF(OR(GN$4="",$B35=""),0,SUMIF('DADOS BRUTOS'!$A$3:$A$500,$B35,'DADOS BRUTOS'!DN$3:DN$500)+IF($C35="",0,SUMIF('DADOS BRUTOS'!$A$3:$A$500,$C35,'DADOS BRUTOS'!DN$3:DN$500)))</f>
        <v>0</v>
      </c>
      <c r="GO35" s="133" t="n">
        <f aca="false">IF(OR(GO$4="",$B35=""),0,SUMIF('DADOS BRUTOS'!$A$3:$A$500,$B35,'DADOS BRUTOS'!DO$3:DO$500)+IF($C35="",0,SUMIF('DADOS BRUTOS'!$A$3:$A$500,$C35,'DADOS BRUTOS'!DO$3:DO$500)))</f>
        <v>0</v>
      </c>
      <c r="GP35" s="133" t="n">
        <f aca="false">IF(OR(GP$4="",$B35=""),0,SUMIF('DADOS BRUTOS'!$A$3:$A$500,$B35,'DADOS BRUTOS'!DP$3:DP$500)+IF($C35="",0,SUMIF('DADOS BRUTOS'!$A$3:$A$500,$C35,'DADOS BRUTOS'!DP$3:DP$500)))</f>
        <v>0</v>
      </c>
      <c r="GQ35" s="133" t="n">
        <f aca="false">IF(OR(GQ$4="",$B35=""),0,SUMIF('DADOS BRUTOS'!$A$3:$A$500,$B35,'DADOS BRUTOS'!DQ$3:DQ$500)+IF($C35="",0,SUMIF('DADOS BRUTOS'!$A$3:$A$500,$C35,'DADOS BRUTOS'!DQ$3:DQ$500)))</f>
        <v>0</v>
      </c>
      <c r="GR35" s="133" t="n">
        <f aca="false">IF(OR(GR$4="",$B35=""),0,SUMIF('DADOS BRUTOS'!$A$3:$A$500,$B35,'DADOS BRUTOS'!DR$3:DR$500)+IF($C35="",0,SUMIF('DADOS BRUTOS'!$A$3:$A$500,$C35,'DADOS BRUTOS'!DR$3:DR$500)))</f>
        <v>0</v>
      </c>
      <c r="GS35" s="133" t="n">
        <f aca="false">IF(OR(GS$4="",$B35=""),0,SUMIF('DADOS BRUTOS'!$A$3:$A$500,$B35,'DADOS BRUTOS'!DS$3:DS$500)+IF($C35="",0,SUMIF('DADOS BRUTOS'!$A$3:$A$500,$C35,'DADOS BRUTOS'!DS$3:DS$500)))</f>
        <v>0</v>
      </c>
      <c r="GT35" s="133" t="n">
        <f aca="false">IF(OR(GT$4="",$B35=""),0,SUMIF('DADOS BRUTOS'!$A$3:$A$500,$B35,'DADOS BRUTOS'!DT$3:DT$500)+IF($C35="",0,SUMIF('DADOS BRUTOS'!$A$3:$A$500,$C35,'DADOS BRUTOS'!DT$3:DT$500)))</f>
        <v>0</v>
      </c>
      <c r="GU35" s="133" t="n">
        <f aca="false">IF(OR(GU$4="",$B35=""),0,SUMIF('DADOS BRUTOS'!$A$3:$A$500,$B35,'DADOS BRUTOS'!DU$3:DU$500)+IF($C35="",0,SUMIF('DADOS BRUTOS'!$A$3:$A$500,$C35,'DADOS BRUTOS'!DU$3:DU$500)))</f>
        <v>0</v>
      </c>
      <c r="GV35" s="133" t="n">
        <f aca="false">IF(OR(GV$4="",$B35=""),0,SUMIF('DADOS BRUTOS'!$A$3:$A$500,$B35,'DADOS BRUTOS'!DV$3:DV$500)+IF($C35="",0,SUMIF('DADOS BRUTOS'!$A$3:$A$500,$C35,'DADOS BRUTOS'!DV$3:DV$500)))</f>
        <v>0</v>
      </c>
      <c r="GW35" s="133" t="n">
        <f aca="false">IF(OR(GW$4="",$B35=""),0,SUMIF('DADOS BRUTOS'!$A$3:$A$500,$B35,'DADOS BRUTOS'!DW$3:DW$500)+IF($C35="",0,SUMIF('DADOS BRUTOS'!$A$3:$A$500,$C35,'DADOS BRUTOS'!DW$3:DW$500)))</f>
        <v>0</v>
      </c>
      <c r="GX35" s="133" t="n">
        <f aca="false">IF(OR(GX$4="",$B35=""),0,SUMIF('DADOS BRUTOS'!$A$3:$A$500,$B35,'DADOS BRUTOS'!DX$3:DX$500)+IF($C35="",0,SUMIF('DADOS BRUTOS'!$A$3:$A$500,$C35,'DADOS BRUTOS'!DX$3:DX$500)))</f>
        <v>0</v>
      </c>
      <c r="GY35" s="133" t="n">
        <f aca="false">IF(OR(GY$4="",$B35=""),0,SUMIF('DADOS BRUTOS'!$A$3:$A$500,$B35,'DADOS BRUTOS'!DY$3:DY$500)+IF($C35="",0,SUMIF('DADOS BRUTOS'!$A$3:$A$500,$C35,'DADOS BRUTOS'!DY$3:DY$500)))</f>
        <v>0</v>
      </c>
      <c r="GZ35" s="133" t="n">
        <f aca="false">IF(OR(GZ$4="",$B35=""),0,SUMIF('DADOS BRUTOS'!$A$3:$A$500,$B35,'DADOS BRUTOS'!DZ$3:DZ$500)+IF($C35="",0,SUMIF('DADOS BRUTOS'!$A$3:$A$500,$C35,'DADOS BRUTOS'!DZ$3:DZ$500)))</f>
        <v>0</v>
      </c>
      <c r="HA35" s="133" t="n">
        <f aca="false">IF(OR(HA$4="",$B35=""),0,SUMIF('DADOS BRUTOS'!$A$3:$A$500,$B35,'DADOS BRUTOS'!EA$3:EA$500)+IF($C35="",0,SUMIF('DADOS BRUTOS'!$A$3:$A$500,$C35,'DADOS BRUTOS'!EA$3:EA$500)))</f>
        <v>0</v>
      </c>
      <c r="HB35" s="133" t="n">
        <f aca="false">IF(OR(HB$4="",$B35=""),0,SUMIF('DADOS BRUTOS'!$A$3:$A$500,$B35,'DADOS BRUTOS'!EB$3:EB$500)+IF($C35="",0,SUMIF('DADOS BRUTOS'!$A$3:$A$500,$C35,'DADOS BRUTOS'!EB$3:EB$500)))</f>
        <v>0</v>
      </c>
      <c r="HC35" s="133" t="n">
        <f aca="false">IF(OR(HC$4="",$B35=""),0,SUMIF('DADOS BRUTOS'!$A$3:$A$500,$B35,'DADOS BRUTOS'!EC$3:EC$500)+IF($C35="",0,SUMIF('DADOS BRUTOS'!$A$3:$A$500,$C35,'DADOS BRUTOS'!EC$3:EC$500)))</f>
        <v>0</v>
      </c>
      <c r="HD35" s="133" t="n">
        <f aca="false">IF(OR(HD$4="",$B35=""),0,SUMIF('DADOS BRUTOS'!$A$3:$A$500,$B35,'DADOS BRUTOS'!ED$3:ED$500)+IF($C35="",0,SUMIF('DADOS BRUTOS'!$A$3:$A$500,$C35,'DADOS BRUTOS'!ED$3:ED$500)))</f>
        <v>0</v>
      </c>
      <c r="HE35" s="133" t="n">
        <f aca="false">IF(OR(HE$4="",$B35=""),0,SUMIF('DADOS BRUTOS'!$A$3:$A$500,$B35,'DADOS BRUTOS'!EE$3:EE$500)+IF($C35="",0,SUMIF('DADOS BRUTOS'!$A$3:$A$500,$C35,'DADOS BRUTOS'!EE$3:EE$500)))</f>
        <v>0</v>
      </c>
      <c r="HF35" s="133" t="n">
        <f aca="false">IF(OR(HF$4="",$B35=""),0,SUMIF('DADOS BRUTOS'!$A$3:$A$500,$B35,'DADOS BRUTOS'!EF$3:EF$500)+IF($C35="",0,SUMIF('DADOS BRUTOS'!$A$3:$A$500,$C35,'DADOS BRUTOS'!EF$3:EF$500)))</f>
        <v>0</v>
      </c>
      <c r="HG35" s="133" t="n">
        <f aca="false">IF(OR(HG$4="",$B35=""),0,SUMIF('DADOS BRUTOS'!$A$3:$A$500,$B35,'DADOS BRUTOS'!EG$3:EG$500)+IF($C35="",0,SUMIF('DADOS BRUTOS'!$A$3:$A$500,$C35,'DADOS BRUTOS'!EG$3:EG$500)))</f>
        <v>0</v>
      </c>
      <c r="HH35" s="133" t="n">
        <f aca="false">IF(OR(HH$4="",$B35=""),0,SUMIF('DADOS BRUTOS'!$A$3:$A$500,$B35,'DADOS BRUTOS'!EH$3:EH$500)+IF($C35="",0,SUMIF('DADOS BRUTOS'!$A$3:$A$500,$C35,'DADOS BRUTOS'!EH$3:EH$500)))</f>
        <v>0</v>
      </c>
      <c r="HI35" s="133" t="n">
        <f aca="false">IF(OR(HI$4="",$B35=""),0,SUMIF('DADOS BRUTOS'!$A$3:$A$500,$B35,'DADOS BRUTOS'!EI$3:EI$500)+IF($C35="",0,SUMIF('DADOS BRUTOS'!$A$3:$A$500,$C35,'DADOS BRUTOS'!EI$3:EI$500)))</f>
        <v>0</v>
      </c>
      <c r="HJ35" s="133" t="n">
        <f aca="false">IF(OR(HJ$4="",$B35=""),0,SUMIF('DADOS BRUTOS'!$A$3:$A$500,$B35,'DADOS BRUTOS'!EJ$3:EJ$500)+IF($C35="",0,SUMIF('DADOS BRUTOS'!$A$3:$A$500,$C35,'DADOS BRUTOS'!EJ$3:EJ$500)))</f>
        <v>0</v>
      </c>
      <c r="HK35" s="133" t="n">
        <f aca="false">IF(OR(HK$4="",$B35=""),0,SUMIF('DADOS BRUTOS'!$A$3:$A$500,$B35,'DADOS BRUTOS'!EK$3:EK$500)+IF($C35="",0,SUMIF('DADOS BRUTOS'!$A$3:$A$500,$C35,'DADOS BRUTOS'!EK$3:EK$500)))</f>
        <v>0</v>
      </c>
      <c r="HL35" s="133" t="n">
        <f aca="false">IF(OR(HL$4="",$B35=""),0,SUMIF('DADOS BRUTOS'!$A$3:$A$500,$B35,'DADOS BRUTOS'!EL$3:EL$500)+IF($C35="",0,SUMIF('DADOS BRUTOS'!$A$3:$A$500,$C35,'DADOS BRUTOS'!EL$3:EL$500)))</f>
        <v>0</v>
      </c>
      <c r="HM35" s="133" t="n">
        <f aca="false">IF(OR(HM$4="",$B35=""),0,SUMIF('DADOS BRUTOS'!$A$3:$A$500,$B35,'DADOS BRUTOS'!EM$3:EM$500)+IF($C35="",0,SUMIF('DADOS BRUTOS'!$A$3:$A$500,$C35,'DADOS BRUTOS'!EM$3:EM$500)))</f>
        <v>0</v>
      </c>
      <c r="HN35" s="133" t="n">
        <f aca="false">IF(OR(HN$4="",$B35=""),0,SUMIF('DADOS BRUTOS'!$A$3:$A$500,$B35,'DADOS BRUTOS'!EN$3:EN$500)+IF($C35="",0,SUMIF('DADOS BRUTOS'!$A$3:$A$500,$C35,'DADOS BRUTOS'!EN$3:EN$500)))</f>
        <v>0</v>
      </c>
      <c r="HO35" s="133" t="n">
        <f aca="false">IF(OR(HO$4="",$B35=""),0,SUMIF('DADOS BRUTOS'!$A$3:$A$500,$B35,'DADOS BRUTOS'!EO$3:EO$500)+IF($C35="",0,SUMIF('DADOS BRUTOS'!$A$3:$A$500,$C35,'DADOS BRUTOS'!EO$3:EO$500)))</f>
        <v>0</v>
      </c>
      <c r="HP35" s="133" t="n">
        <f aca="false">IF(OR(HP$4="",$B35=""),0,SUMIF('DADOS BRUTOS'!$A$3:$A$500,$B35,'DADOS BRUTOS'!EP$3:EP$500)+IF($C35="",0,SUMIF('DADOS BRUTOS'!$A$3:$A$500,$C35,'DADOS BRUTOS'!EP$3:EP$500)))</f>
        <v>0</v>
      </c>
      <c r="HQ35" s="133" t="n">
        <f aca="false">IF(OR(HQ$4="",$B35=""),0,SUMIF('DADOS BRUTOS'!$A$3:$A$500,$B35,'DADOS BRUTOS'!EQ$3:EQ$500)+IF($C35="",0,SUMIF('DADOS BRUTOS'!$A$3:$A$500,$C35,'DADOS BRUTOS'!EQ$3:EQ$500)))</f>
        <v>0</v>
      </c>
      <c r="HR35" s="133" t="n">
        <f aca="false">IF(OR(HR$4="",$B35=""),0,SUMIF('DADOS BRUTOS'!$A$3:$A$500,$B35,'DADOS BRUTOS'!ER$3:ER$500)+IF($C35="",0,SUMIF('DADOS BRUTOS'!$A$3:$A$500,$C35,'DADOS BRUTOS'!ER$3:ER$500)))</f>
        <v>0</v>
      </c>
      <c r="HS35" s="133" t="n">
        <f aca="false">IF(OR(HS$4="",$B35=""),0,SUMIF('DADOS BRUTOS'!$A$3:$A$500,$B35,'DADOS BRUTOS'!ES$3:ES$500)+IF($C35="",0,SUMIF('DADOS BRUTOS'!$A$3:$A$500,$C35,'DADOS BRUTOS'!ES$3:ES$500)))</f>
        <v>0</v>
      </c>
      <c r="HT35" s="133" t="n">
        <f aca="false">IF(OR(HT$4="",$B35=""),0,SUMIF('DADOS BRUTOS'!$A$3:$A$500,$B35,'DADOS BRUTOS'!ET$3:ET$500)+IF($C35="",0,SUMIF('DADOS BRUTOS'!$A$3:$A$500,$C35,'DADOS BRUTOS'!ET$3:ET$500)))</f>
        <v>0</v>
      </c>
      <c r="HU35" s="133" t="n">
        <f aca="false">IF(OR(HU$4="",$B35=""),0,SUMIF('DADOS BRUTOS'!$A$3:$A$500,$B35,'DADOS BRUTOS'!EU$3:EU$500)+IF($C35="",0,SUMIF('DADOS BRUTOS'!$A$3:$A$500,$C35,'DADOS BRUTOS'!EU$3:EU$500)))</f>
        <v>0</v>
      </c>
      <c r="HV35" s="133" t="n">
        <f aca="false">IF(OR(HV$4="",$B35=""),0,SUMIF('DADOS BRUTOS'!$A$3:$A$500,$B35,'DADOS BRUTOS'!EV$3:EV$500)+IF($C35="",0,SUMIF('DADOS BRUTOS'!$A$3:$A$500,$C35,'DADOS BRUTOS'!EV$3:EV$500)))</f>
        <v>0</v>
      </c>
      <c r="HW35" s="133" t="n">
        <f aca="false">IF(OR(HW$4="",$B35=""),0,SUMIF('DADOS BRUTOS'!$A$3:$A$500,$B35,'DADOS BRUTOS'!EW$3:EW$500)+IF($C35="",0,SUMIF('DADOS BRUTOS'!$A$3:$A$500,$C35,'DADOS BRUTOS'!EW$3:EW$500)))</f>
        <v>0</v>
      </c>
      <c r="HX35" s="133" t="n">
        <f aca="false">IF(OR(HX$4="",$B35=""),0,SUMIF('DADOS BRUTOS'!$A$3:$A$500,$B35,'DADOS BRUTOS'!EX$3:EX$500)+IF($C35="",0,SUMIF('DADOS BRUTOS'!$A$3:$A$500,$C35,'DADOS BRUTOS'!EX$3:EX$500)))</f>
        <v>0</v>
      </c>
      <c r="HY35" s="133" t="n">
        <f aca="false">IF(OR(HY$4="",$B35=""),0,SUMIF('DADOS BRUTOS'!$A$3:$A$500,$B35,'DADOS BRUTOS'!EY$3:EY$500)+IF($C35="",0,SUMIF('DADOS BRUTOS'!$A$3:$A$500,$C35,'DADOS BRUTOS'!EY$3:EY$500)))</f>
        <v>0</v>
      </c>
      <c r="HZ35" s="133" t="n">
        <f aca="false">IF(OR(HZ$4="",$B35=""),0,SUMIF('DADOS BRUTOS'!$A$3:$A$500,$B35,'DADOS BRUTOS'!EZ$3:EZ$500)+IF($C35="",0,SUMIF('DADOS BRUTOS'!$A$3:$A$500,$C35,'DADOS BRUTOS'!EZ$3:EZ$500)))</f>
        <v>0</v>
      </c>
      <c r="IA35" s="133" t="n">
        <f aca="false">IF(OR(IA$4="",$B35=""),0,SUMIF('DADOS BRUTOS'!$A$3:$A$500,$B35,'DADOS BRUTOS'!FA$3:FA$500)+IF($C35="",0,SUMIF('DADOS BRUTOS'!$A$3:$A$500,$C35,'DADOS BRUTOS'!FA$3:FA$500)))</f>
        <v>0</v>
      </c>
      <c r="IB35" s="133" t="n">
        <f aca="false">IF(OR(IB$4="",$B35=""),0,SUMIF('DADOS BRUTOS'!$A$3:$A$500,$B35,'DADOS BRUTOS'!FB$3:FB$500)+IF($C35="",0,SUMIF('DADOS BRUTOS'!$A$3:$A$500,$C35,'DADOS BRUTOS'!FB$3:FB$500)))</f>
        <v>0</v>
      </c>
      <c r="IC35" s="133" t="n">
        <f aca="false">IF(OR(IC$4="",$B35=""),0,SUMIF('DADOS BRUTOS'!$A$3:$A$500,$B35,'DADOS BRUTOS'!FC$3:FC$500)+IF($C35="",0,SUMIF('DADOS BRUTOS'!$A$3:$A$500,$C35,'DADOS BRUTOS'!FC$3:FC$500)))</f>
        <v>0</v>
      </c>
      <c r="ID35" s="133" t="n">
        <f aca="false">IF(OR(ID$4="",$B35=""),0,SUMIF('DADOS BRUTOS'!$A$3:$A$500,$B35,'DADOS BRUTOS'!FD$3:FD$500)+IF($C35="",0,SUMIF('DADOS BRUTOS'!$A$3:$A$500,$C35,'DADOS BRUTOS'!FD$3:FD$500)))</f>
        <v>0</v>
      </c>
      <c r="IE35" s="133" t="n">
        <f aca="false">IF(OR(IE$4="",$B35=""),0,SUMIF('DADOS BRUTOS'!$A$3:$A$500,$B35,'DADOS BRUTOS'!FE$3:FE$500)+IF($C35="",0,SUMIF('DADOS BRUTOS'!$A$3:$A$500,$C35,'DADOS BRUTOS'!FE$3:FE$500)))</f>
        <v>0</v>
      </c>
      <c r="IF35" s="133" t="n">
        <f aca="false">IF(OR(IF$4="",$B35=""),0,SUMIF('DADOS BRUTOS'!$A$3:$A$500,$B35,'DADOS BRUTOS'!FF$3:FF$500)+IF($C35="",0,SUMIF('DADOS BRUTOS'!$A$3:$A$500,$C35,'DADOS BRUTOS'!FF$3:FF$500)))</f>
        <v>0</v>
      </c>
      <c r="IG35" s="133" t="n">
        <f aca="false">IF(OR(IG$4="",$B35=""),0,SUMIF('DADOS BRUTOS'!$A$3:$A$500,$B35,'DADOS BRUTOS'!FG$3:FG$500)+IF($C35="",0,SUMIF('DADOS BRUTOS'!$A$3:$A$500,$C35,'DADOS BRUTOS'!FG$3:FG$500)))</f>
        <v>0</v>
      </c>
      <c r="IH35" s="133" t="n">
        <f aca="false">IF(OR(IH$4="",$B35=""),0,SUMIF('DADOS BRUTOS'!$A$3:$A$500,$B35,'DADOS BRUTOS'!FH$3:FH$500)+IF($C35="",0,SUMIF('DADOS BRUTOS'!$A$3:$A$500,$C35,'DADOS BRUTOS'!FH$3:FH$500)))</f>
        <v>0</v>
      </c>
      <c r="II35" s="133" t="n">
        <f aca="false">IF(OR(II$4="",$B35=""),0,SUMIF('DADOS BRUTOS'!$A$3:$A$500,$B35,'DADOS BRUTOS'!FI$3:FI$500)+IF($C35="",0,SUMIF('DADOS BRUTOS'!$A$3:$A$500,$C35,'DADOS BRUTOS'!FI$3:FI$500)))</f>
        <v>0</v>
      </c>
      <c r="IJ35" s="133" t="n">
        <f aca="false">IF(OR(IJ$4="",$B35=""),0,SUMIF('DADOS BRUTOS'!$A$3:$A$500,$B35,'DADOS BRUTOS'!FJ$3:FJ$500)+IF($C35="",0,SUMIF('DADOS BRUTOS'!$A$3:$A$500,$C35,'DADOS BRUTOS'!FJ$3:FJ$500)))</f>
        <v>0</v>
      </c>
      <c r="IK35" s="133" t="n">
        <f aca="false">IF(OR(IK$4="",$B35=""),0,SUMIF('DADOS BRUTOS'!$A$3:$A$500,$B35,'DADOS BRUTOS'!FK$3:FK$500)+IF($C35="",0,SUMIF('DADOS BRUTOS'!$A$3:$A$500,$C35,'DADOS BRUTOS'!FK$3:FK$500)))</f>
        <v>0</v>
      </c>
      <c r="IL35" s="133" t="n">
        <f aca="false">IF(OR(IL$4="",$B35=""),0,SUMIF('DADOS BRUTOS'!$A$3:$A$500,$B35,'DADOS BRUTOS'!FL$3:FL$500)+IF($C35="",0,SUMIF('DADOS BRUTOS'!$A$3:$A$500,$C35,'DADOS BRUTOS'!FL$3:FL$500)))</f>
        <v>0</v>
      </c>
      <c r="IM35" s="133" t="n">
        <f aca="false">IF(OR(IM$4="",$B35=""),0,SUMIF('DADOS BRUTOS'!$A$3:$A$500,$B35,'DADOS BRUTOS'!FM$3:FM$500)+IF($C35="",0,SUMIF('DADOS BRUTOS'!$A$3:$A$500,$C35,'DADOS BRUTOS'!FM$3:FM$500)))</f>
        <v>0</v>
      </c>
      <c r="IN35" s="133" t="n">
        <f aca="false">IF(OR(IN$4="",$B35=""),0,SUMIF('DADOS BRUTOS'!$A$3:$A$500,$B35,'DADOS BRUTOS'!FN$3:FN$500)+IF($C35="",0,SUMIF('DADOS BRUTOS'!$A$3:$A$500,$C35,'DADOS BRUTOS'!FN$3:FN$500)))</f>
        <v>0</v>
      </c>
      <c r="IO35" s="133" t="n">
        <f aca="false">IF(OR(IO$4="",$B35=""),0,SUMIF('DADOS BRUTOS'!$A$3:$A$500,$B35,'DADOS BRUTOS'!FO$3:FO$500)+IF($C35="",0,SUMIF('DADOS BRUTOS'!$A$3:$A$500,$C35,'DADOS BRUTOS'!FO$3:FO$500)))</f>
        <v>0</v>
      </c>
      <c r="IP35" s="133" t="n">
        <f aca="false">IF(OR(IP$4="",$B35=""),0,SUMIF('DADOS BRUTOS'!$A$3:$A$500,$B35,'DADOS BRUTOS'!FP$3:FP$500)+IF($C35="",0,SUMIF('DADOS BRUTOS'!$A$3:$A$500,$C35,'DADOS BRUTOS'!FP$3:FP$500)))</f>
        <v>0</v>
      </c>
      <c r="IQ35" s="133" t="n">
        <f aca="false">IF(OR(IQ$4="",$B35=""),0,SUMIF('DADOS BRUTOS'!$A$3:$A$500,$B35,'DADOS BRUTOS'!FQ$3:FQ$500)+IF($C35="",0,SUMIF('DADOS BRUTOS'!$A$3:$A$500,$C35,'DADOS BRUTOS'!FQ$3:FQ$500)))</f>
        <v>0</v>
      </c>
      <c r="IR35" s="133" t="n">
        <f aca="false">IF(OR(IR$4="",$B35=""),0,SUMIF('DADOS BRUTOS'!$A$3:$A$500,$B35,'DADOS BRUTOS'!FR$3:FR$500)+IF($C35="",0,SUMIF('DADOS BRUTOS'!$A$3:$A$500,$C35,'DADOS BRUTOS'!FR$3:FR$500)))</f>
        <v>0</v>
      </c>
      <c r="IS35" s="133" t="n">
        <f aca="false">IF(OR(IS$4="",$B35=""),0,SUMIF('DADOS BRUTOS'!$A$3:$A$500,$B35,'DADOS BRUTOS'!FS$3:FS$500)+IF($C35="",0,SUMIF('DADOS BRUTOS'!$A$3:$A$500,$C35,'DADOS BRUTOS'!FS$3:FS$500)))</f>
        <v>0</v>
      </c>
      <c r="IT35" s="133" t="n">
        <f aca="false">IF(OR(IT$4="",$B35=""),0,SUMIF('DADOS BRUTOS'!$A$3:$A$500,$B35,'DADOS BRUTOS'!FT$3:FT$500)+IF($C35="",0,SUMIF('DADOS BRUTOS'!$A$3:$A$500,$C35,'DADOS BRUTOS'!FT$3:FT$500)))</f>
        <v>0</v>
      </c>
      <c r="IU35" s="133" t="n">
        <f aca="false">IF(OR(IU$4="",$B35=""),0,SUMIF('DADOS BRUTOS'!$A$3:$A$500,$B35,'DADOS BRUTOS'!FU$3:FU$500)+IF($C35="",0,SUMIF('DADOS BRUTOS'!$A$3:$A$500,$C35,'DADOS BRUTOS'!FU$3:FU$500)))</f>
        <v>0</v>
      </c>
      <c r="IV35" s="133" t="n">
        <f aca="false">IF(OR(IV$4="",$B35=""),0,SUMIF('DADOS BRUTOS'!$A$3:$A$500,$B35,'DADOS BRUTOS'!FV$3:FV$500)+IF($C35="",0,SUMIF('DADOS BRUTOS'!$A$3:$A$500,$C35,'DADOS BRUTOS'!FV$3:FV$500)))</f>
        <v>0</v>
      </c>
      <c r="IW35" s="133" t="n">
        <f aca="false">IF(OR(IW$4="",$B35=""),0,SUMIF('DADOS BRUTOS'!$A$3:$A$500,$B35,'DADOS BRUTOS'!FW$3:FW$500)+IF($C35="",0,SUMIF('DADOS BRUTOS'!$A$3:$A$500,$C35,'DADOS BRUTOS'!FW$3:FW$500)))</f>
        <v>0</v>
      </c>
      <c r="IX35" s="133" t="n">
        <f aca="false">IF(OR(IX$4="",$B35=""),0,SUMIF('DADOS BRUTOS'!$A$3:$A$500,$B35,'DADOS BRUTOS'!FX$3:FX$500)+IF($C35="",0,SUMIF('DADOS BRUTOS'!$A$3:$A$500,$C35,'DADOS BRUTOS'!FX$3:FX$500)))</f>
        <v>0</v>
      </c>
      <c r="IY35" s="133" t="n">
        <f aca="false">IF(OR(IY$4="",$B35=""),0,SUMIF('DADOS BRUTOS'!$A$3:$A$500,$B35,'DADOS BRUTOS'!FY$3:FY$500)+IF($C35="",0,SUMIF('DADOS BRUTOS'!$A$3:$A$500,$C35,'DADOS BRUTOS'!FY$3:FY$500)))</f>
        <v>0</v>
      </c>
      <c r="IZ35" s="133" t="n">
        <f aca="false">IF(OR(IZ$4="",$B35=""),0,SUMIF('DADOS BRUTOS'!$A$3:$A$500,$B35,'DADOS BRUTOS'!FZ$3:FZ$500)+IF($C35="",0,SUMIF('DADOS BRUTOS'!$A$3:$A$500,$C35,'DADOS BRUTOS'!FZ$3:FZ$500)))</f>
        <v>0</v>
      </c>
      <c r="JA35" s="133" t="n">
        <f aca="false">IF(OR(JA$4="",$B35=""),0,SUMIF('DADOS BRUTOS'!$A$3:$A$500,$B35,'DADOS BRUTOS'!GA$3:GA$500)+IF($C35="",0,SUMIF('DADOS BRUTOS'!$A$3:$A$500,$C35,'DADOS BRUTOS'!GA$3:GA$500)))</f>
        <v>0</v>
      </c>
      <c r="JB35" s="133" t="n">
        <f aca="false">IF(OR(JB$4="",$B35=""),0,SUMIF('DADOS BRUTOS'!$A$3:$A$500,$B35,'DADOS BRUTOS'!GB$3:GB$500)+IF($C35="",0,SUMIF('DADOS BRUTOS'!$A$3:$A$500,$C35,'DADOS BRUTOS'!GB$3:GB$500)))</f>
        <v>0</v>
      </c>
      <c r="JC35" s="133" t="n">
        <f aca="false">IF(OR(JC$4="",$B35=""),0,SUMIF('DADOS BRUTOS'!$A$3:$A$500,$B35,'DADOS BRUTOS'!GC$3:GC$500)+IF($C35="",0,SUMIF('DADOS BRUTOS'!$A$3:$A$500,$C35,'DADOS BRUTOS'!GC$3:GC$500)))</f>
        <v>0</v>
      </c>
      <c r="JD35" s="133" t="n">
        <f aca="false">IF(OR(JD$4="",$B35=""),0,SUMIF('DADOS BRUTOS'!$A$3:$A$500,$B35,'DADOS BRUTOS'!GD$3:GD$500)+IF($C35="",0,SUMIF('DADOS BRUTOS'!$A$3:$A$500,$C35,'DADOS BRUTOS'!GD$3:GD$500)))</f>
        <v>0</v>
      </c>
      <c r="JE35" s="133" t="n">
        <f aca="false">IF(OR(JE$4="",$B35=""),0,SUMIF('DADOS BRUTOS'!$A$3:$A$500,$B35,'DADOS BRUTOS'!GE$3:GE$500)+IF($C35="",0,SUMIF('DADOS BRUTOS'!$A$3:$A$500,$C35,'DADOS BRUTOS'!GE$3:GE$500)))</f>
        <v>0</v>
      </c>
      <c r="JF35" s="133" t="n">
        <f aca="false">IF(OR(JF$4="",$B35=""),0,SUMIF('DADOS BRUTOS'!$A$3:$A$500,$B35,'DADOS BRUTOS'!GF$3:GF$500)+IF($C35="",0,SUMIF('DADOS BRUTOS'!$A$3:$A$500,$C35,'DADOS BRUTOS'!GF$3:GF$500)))</f>
        <v>0</v>
      </c>
      <c r="JG35" s="133" t="n">
        <f aca="false">IF(OR(JG$4="",$B35=""),0,SUMIF('DADOS BRUTOS'!$A$3:$A$500,$B35,'DADOS BRUTOS'!GG$3:GG$500)+IF($C35="",0,SUMIF('DADOS BRUTOS'!$A$3:$A$500,$C35,'DADOS BRUTOS'!GG$3:GG$500)))</f>
        <v>0</v>
      </c>
      <c r="JH35" s="133" t="n">
        <f aca="false">IF(OR(JH$4="",$B35=""),0,SUMIF('DADOS BRUTOS'!$A$3:$A$500,$B35,'DADOS BRUTOS'!GH$3:GH$500)+IF($C35="",0,SUMIF('DADOS BRUTOS'!$A$3:$A$500,$C35,'DADOS BRUTOS'!GH$3:GH$500)))</f>
        <v>0</v>
      </c>
      <c r="JI35" s="133" t="n">
        <f aca="false">IF(OR(JI$4="",$B35=""),0,SUMIF('DADOS BRUTOS'!$A$3:$A$500,$B35,'DADOS BRUTOS'!GI$3:GI$500)+IF($C35="",0,SUMIF('DADOS BRUTOS'!$A$3:$A$500,$C35,'DADOS BRUTOS'!GI$3:GI$500)))</f>
        <v>0</v>
      </c>
      <c r="JJ35" s="133" t="n">
        <f aca="false">IF(OR(JJ$4="",$B35=""),0,SUMIF('DADOS BRUTOS'!$A$3:$A$500,$B35,'DADOS BRUTOS'!GJ$3:GJ$500)+IF($C35="",0,SUMIF('DADOS BRUTOS'!$A$3:$A$500,$C35,'DADOS BRUTOS'!GJ$3:GJ$500)))</f>
        <v>0</v>
      </c>
      <c r="JK35" s="133" t="n">
        <f aca="false">IF(OR(JK$4="",$B35=""),0,SUMIF('DADOS BRUTOS'!$A$3:$A$500,$B35,'DADOS BRUTOS'!GK$3:GK$500)+IF($C35="",0,SUMIF('DADOS BRUTOS'!$A$3:$A$500,$C35,'DADOS BRUTOS'!GK$3:GK$500)))</f>
        <v>0</v>
      </c>
      <c r="JL35" s="133" t="n">
        <f aca="false">IF(OR(JL$4="",$B35=""),0,SUMIF('DADOS BRUTOS'!$A$3:$A$500,$B35,'DADOS BRUTOS'!GL$3:GL$500)+IF($C35="",0,SUMIF('DADOS BRUTOS'!$A$3:$A$500,$C35,'DADOS BRUTOS'!GL$3:GL$500)))</f>
        <v>0</v>
      </c>
      <c r="JM35" s="133" t="n">
        <f aca="false">IF(OR(JM$4="",$B35=""),0,SUMIF('DADOS BRUTOS'!$A$3:$A$500,$B35,'DADOS BRUTOS'!GM$3:GM$500)+IF($C35="",0,SUMIF('DADOS BRUTOS'!$A$3:$A$500,$C35,'DADOS BRUTOS'!GM$3:GM$500)))</f>
        <v>0</v>
      </c>
      <c r="JN35" s="133" t="n">
        <f aca="false">IF(OR(JN$4="",$B35=""),0,SUMIF('DADOS BRUTOS'!$A$3:$A$500,$B35,'DADOS BRUTOS'!GN$3:GN$500)+IF($C35="",0,SUMIF('DADOS BRUTOS'!$A$3:$A$500,$C35,'DADOS BRUTOS'!GN$3:GN$500)))</f>
        <v>0</v>
      </c>
      <c r="JO35" s="133" t="n">
        <f aca="false">IF(OR(JO$4="",$B35=""),0,SUMIF('DADOS BRUTOS'!$A$3:$A$500,$B35,'DADOS BRUTOS'!GO$3:GO$500)+IF($C35="",0,SUMIF('DADOS BRUTOS'!$A$3:$A$500,$C35,'DADOS BRUTOS'!GO$3:GO$500)))</f>
        <v>0</v>
      </c>
      <c r="JP35" s="133" t="n">
        <f aca="false">IF(OR(JP$4="",$B35=""),0,SUMIF('DADOS BRUTOS'!$A$3:$A$500,$B35,'DADOS BRUTOS'!GP$3:GP$500)+IF($C35="",0,SUMIF('DADOS BRUTOS'!$A$3:$A$500,$C35,'DADOS BRUTOS'!GP$3:GP$500)))</f>
        <v>0</v>
      </c>
      <c r="JQ35" s="133" t="n">
        <f aca="false">IF(OR(JQ$4="",$B35=""),0,SUMIF('DADOS BRUTOS'!$A$3:$A$500,$B35,'DADOS BRUTOS'!GQ$3:GQ$500)+IF($C35="",0,SUMIF('DADOS BRUTOS'!$A$3:$A$500,$C35,'DADOS BRUTOS'!GQ$3:GQ$500)))</f>
        <v>0</v>
      </c>
      <c r="JR35" s="133" t="n">
        <f aca="false">IF(OR(JR$4="",$B35=""),0,SUMIF('DADOS BRUTOS'!$A$3:$A$500,$B35,'DADOS BRUTOS'!GR$3:GR$500)+IF($C35="",0,SUMIF('DADOS BRUTOS'!$A$3:$A$500,$C35,'DADOS BRUTOS'!GR$3:GR$500)))</f>
        <v>0</v>
      </c>
      <c r="JS35" s="133" t="n">
        <f aca="false">IF(OR(JS$4="",$B35=""),0,SUMIF('DADOS BRUTOS'!$A$3:$A$500,$B35,'DADOS BRUTOS'!GS$3:GS$500)+IF($C35="",0,SUMIF('DADOS BRUTOS'!$A$3:$A$500,$C35,'DADOS BRUTOS'!GS$3:GS$500)))</f>
        <v>0</v>
      </c>
    </row>
    <row r="36" customFormat="false" ht="15" hidden="false" customHeight="false" outlineLevel="0" collapsed="false">
      <c r="A36" s="57" t="str">
        <f aca="false">'VALOR POR PL'!D42</f>
        <v>REVESTIMENTO DIVERSOS - FACHADA</v>
      </c>
      <c r="B36" s="55" t="s">
        <v>2878</v>
      </c>
      <c r="C36" s="55" t="s">
        <v>213</v>
      </c>
      <c r="D36" s="50" t="n">
        <f aca="false">SUMIF($CB$4:$JS$4,"&lt;="&amp;D$4,$CB36:$JS36)</f>
        <v>0</v>
      </c>
      <c r="E36" s="50" t="n">
        <f aca="false">SUMIF($CB$4:$JS$4,E$4,$CB36:$JS36)</f>
        <v>0</v>
      </c>
      <c r="F36" s="50" t="n">
        <f aca="false">SUMIF($CB$4:$JS$4,F$4,$CB36:$JS36)</f>
        <v>0</v>
      </c>
      <c r="G36" s="50" t="n">
        <f aca="false">SUMIF($CB$4:$JS$4,G$4,$CB36:$JS36)</f>
        <v>0</v>
      </c>
      <c r="H36" s="50" t="n">
        <f aca="false">SUMIF($CB$4:$JS$4,H$4,$CB36:$JS36)</f>
        <v>0</v>
      </c>
      <c r="I36" s="50" t="n">
        <f aca="false">SUMIF($CB$4:$JS$4,I$4,$CB36:$JS36)</f>
        <v>0</v>
      </c>
      <c r="J36" s="50" t="n">
        <f aca="false">SUMIF($CB$4:$JS$4,J$4,$CB36:$JS36)</f>
        <v>0</v>
      </c>
      <c r="K36" s="50" t="n">
        <f aca="false">SUMIF($CB$4:$JS$4,K$4,$CB36:$JS36)</f>
        <v>0</v>
      </c>
      <c r="L36" s="50" t="n">
        <f aca="false">SUMIF($CB$4:$JS$4,L$4,$CB36:$JS36)</f>
        <v>0</v>
      </c>
      <c r="M36" s="50" t="n">
        <f aca="false">SUMIF($CB$4:$JS$4,M$4,$CB36:$JS36)</f>
        <v>0</v>
      </c>
      <c r="N36" s="50" t="n">
        <f aca="false">SUMIF($CB$4:$JS$4,N$4,$CB36:$JS36)</f>
        <v>0</v>
      </c>
      <c r="O36" s="50" t="n">
        <f aca="false">SUMIF($CB$4:$JS$4,O$4,$CB36:$JS36)</f>
        <v>0</v>
      </c>
      <c r="P36" s="50" t="n">
        <f aca="false">SUMIF($CB$4:$JS$4,P$4,$CB36:$JS36)</f>
        <v>0</v>
      </c>
      <c r="Q36" s="50" t="n">
        <f aca="false">SUMIF($CB$4:$JS$4,Q$4,$CB36:$JS36)</f>
        <v>0</v>
      </c>
      <c r="R36" s="50" t="n">
        <f aca="false">SUMIF($CB$4:$JS$4,R$4,$CB36:$JS36)</f>
        <v>0</v>
      </c>
      <c r="S36" s="50" t="n">
        <f aca="false">SUMIF($CB$4:$JS$4,S$4,$CB36:$JS36)</f>
        <v>0</v>
      </c>
      <c r="T36" s="50" t="n">
        <f aca="false">SUMIF($CB$4:$JS$4,T$4,$CB36:$JS36)</f>
        <v>0</v>
      </c>
      <c r="U36" s="50" t="n">
        <f aca="false">SUMIF($CB$4:$JS$4,U$4,$CB36:$JS36)</f>
        <v>0</v>
      </c>
      <c r="V36" s="50" t="n">
        <f aca="false">SUMIF($CB$4:$JS$4,V$4,$CB36:$JS36)</f>
        <v>0</v>
      </c>
      <c r="W36" s="50" t="n">
        <f aca="false">SUMIF($CB$4:$JS$4,W$4,$CB36:$JS36)</f>
        <v>0</v>
      </c>
      <c r="X36" s="50" t="n">
        <f aca="false">SUMIF($CB$4:$JS$4,X$4,$CB36:$JS36)</f>
        <v>0</v>
      </c>
      <c r="Y36" s="50" t="n">
        <f aca="false">SUMIF($CB$4:$JS$4,Y$4,$CB36:$JS36)</f>
        <v>0</v>
      </c>
      <c r="Z36" s="50" t="n">
        <f aca="false">SUMIF($CB$4:$JS$4,Z$4,$CB36:$JS36)</f>
        <v>0</v>
      </c>
      <c r="AA36" s="50" t="n">
        <f aca="false">SUMIF($CB$4:$JS$4,AA$4,$CB36:$JS36)</f>
        <v>0</v>
      </c>
      <c r="AB36" s="50" t="n">
        <f aca="false">SUMIF($CB$4:$JS$4,AB$4,$CB36:$JS36)</f>
        <v>0</v>
      </c>
      <c r="AC36" s="50" t="n">
        <f aca="false">SUMIF($CB$4:$JS$4,AC$4,$CB36:$JS36)</f>
        <v>0</v>
      </c>
      <c r="AD36" s="50" t="n">
        <f aca="false">SUMIF($CB$4:$JS$4,AD$4,$CB36:$JS36)</f>
        <v>0</v>
      </c>
      <c r="AE36" s="50" t="n">
        <f aca="false">SUMIF($CB$4:$JS$4,AE$4,$CB36:$JS36)</f>
        <v>0</v>
      </c>
      <c r="AF36" s="50" t="n">
        <f aca="false">SUMIF($CB$4:$JS$4,AF$4,$CB36:$JS36)</f>
        <v>0</v>
      </c>
      <c r="AG36" s="50" t="n">
        <f aca="false">SUMIF($CB$4:$JS$4,AG$4,$CB36:$JS36)</f>
        <v>0</v>
      </c>
      <c r="AH36" s="50" t="n">
        <f aca="false">SUMIF($CB$4:$JS$4,AH$4,$CB36:$JS36)</f>
        <v>0</v>
      </c>
      <c r="AI36" s="50" t="n">
        <f aca="false">SUMIF($CB$4:$JS$4,AI$4,$CB36:$JS36)</f>
        <v>0</v>
      </c>
      <c r="AJ36" s="50" t="n">
        <f aca="false">SUMIF($CB$4:$JS$4,AJ$4,$CB36:$JS36)</f>
        <v>0</v>
      </c>
      <c r="AK36" s="50" t="n">
        <f aca="false">SUMIF($CB$4:$JS$4,AK$4,$CB36:$JS36)</f>
        <v>0</v>
      </c>
      <c r="AL36" s="50" t="n">
        <f aca="false">SUMIF($CB$4:$JS$4,AL$4,$CB36:$JS36)</f>
        <v>0</v>
      </c>
      <c r="AM36" s="50" t="n">
        <f aca="false">SUMIF($CB$4:$JS$4,AM$4,$CB36:$JS36)</f>
        <v>0</v>
      </c>
      <c r="AN36" s="50" t="n">
        <f aca="false">SUMIF($CB$4:$JS$4,AN$4,$CB36:$JS36)</f>
        <v>0</v>
      </c>
      <c r="AO36" s="50" t="n">
        <f aca="false">SUMIF($CB$4:$JS$4,AO$4,$CB36:$JS36)</f>
        <v>0</v>
      </c>
      <c r="AP36" s="50" t="n">
        <f aca="false">SUMIF($CB$4:$JS$4,AP$4,$CB36:$JS36)</f>
        <v>0</v>
      </c>
      <c r="AQ36" s="50" t="n">
        <f aca="false">SUMIF($CB$4:$JS$4,AQ$4,$CB36:$JS36)</f>
        <v>0</v>
      </c>
      <c r="AR36" s="50" t="n">
        <f aca="false">SUMIF($CB$4:$JS$4,AR$4,$CB36:$JS36)</f>
        <v>0</v>
      </c>
      <c r="AS36" s="50" t="n">
        <f aca="false">SUMIF($CB$4:$JS$4,AS$4,$CB36:$JS36)</f>
        <v>0</v>
      </c>
      <c r="AT36" s="50" t="n">
        <f aca="false">SUMIF($CB$4:$JS$4,AT$4,$CB36:$JS36)</f>
        <v>0</v>
      </c>
      <c r="AU36" s="50" t="n">
        <f aca="false">SUMIF($CB$4:$JS$4,AU$4,$CB36:$JS36)</f>
        <v>0</v>
      </c>
      <c r="AV36" s="50" t="n">
        <f aca="false">SUMIF($CB$4:$JS$4,AV$4,$CB36:$JS36)</f>
        <v>0</v>
      </c>
      <c r="AW36" s="50" t="n">
        <f aca="false">SUMIF($CB$4:$JS$4,AW$4,$CB36:$JS36)</f>
        <v>0</v>
      </c>
      <c r="AX36" s="50" t="n">
        <f aca="false">SUMIF($CB$4:$JS$4,AX$4,$CB36:$JS36)</f>
        <v>0</v>
      </c>
      <c r="AY36" s="50" t="n">
        <f aca="false">SUMIF($CB$4:$JS$4,AY$4,$CB36:$JS36)</f>
        <v>0</v>
      </c>
      <c r="AZ36" s="50" t="n">
        <f aca="false">SUMIF($CB$4:$JS$4,AZ$4,$CB36:$JS36)</f>
        <v>0</v>
      </c>
      <c r="BA36" s="50" t="n">
        <f aca="false">SUMIF($CB$4:$JS$4,BA$4,$CB36:$JS36)</f>
        <v>0</v>
      </c>
      <c r="BB36" s="50" t="n">
        <f aca="false">SUMIF($CB$4:$JS$4,BB$4,$CB36:$JS36)</f>
        <v>0</v>
      </c>
      <c r="BC36" s="50" t="n">
        <f aca="false">SUMIF($CB$4:$JS$4,BC$4,$CB36:$JS36)</f>
        <v>0</v>
      </c>
      <c r="BD36" s="50" t="n">
        <f aca="false">SUMIF($CB$4:$JS$4,BD$4,$CB36:$JS36)</f>
        <v>0</v>
      </c>
      <c r="BE36" s="50" t="n">
        <f aca="false">SUMIF($CB$4:$JS$4,BE$4,$CB36:$JS36)</f>
        <v>0</v>
      </c>
      <c r="BF36" s="50" t="n">
        <f aca="false">SUMIF($CB$4:$JS$4,BF$4,$CB36:$JS36)</f>
        <v>0</v>
      </c>
      <c r="BG36" s="50" t="n">
        <f aca="false">SUMIF($CB$4:$JS$4,BG$4,$CB36:$JS36)</f>
        <v>0</v>
      </c>
      <c r="BH36" s="50" t="n">
        <f aca="false">SUMIF($CB$4:$JS$4,BH$4,$CB36:$JS36)</f>
        <v>0</v>
      </c>
      <c r="BI36" s="50" t="n">
        <f aca="false">SUMIF($CB$4:$JS$4,BI$4,$CB36:$JS36)</f>
        <v>0</v>
      </c>
      <c r="BJ36" s="50" t="n">
        <f aca="false">SUMIF($CB$4:$JS$4,BJ$4,$CB36:$JS36)</f>
        <v>0</v>
      </c>
      <c r="BK36" s="50" t="n">
        <f aca="false">SUMIF($CB$4:$JS$4,BK$4,$CB36:$JS36)</f>
        <v>0</v>
      </c>
      <c r="BL36" s="50" t="n">
        <f aca="false">SUMIF($CB$4:$JS$4,BL$4,$CB36:$JS36)</f>
        <v>0</v>
      </c>
      <c r="BM36" s="50" t="n">
        <f aca="false">SUMIF($CB$4:$JS$4,BM$4,$CB36:$JS36)</f>
        <v>0</v>
      </c>
      <c r="BN36" s="50" t="n">
        <f aca="false">SUMIF($CB$4:$JS$4,BN$4,$CB36:$JS36)</f>
        <v>0</v>
      </c>
      <c r="BO36" s="50" t="n">
        <f aca="false">SUMIF($CB$4:$JS$4,BO$4,$CB36:$JS36)</f>
        <v>0</v>
      </c>
      <c r="BP36" s="50" t="n">
        <f aca="false">SUMIF($CB$4:$JS$4,BP$4,$CB36:$JS36)</f>
        <v>0</v>
      </c>
      <c r="BQ36" s="50" t="n">
        <f aca="false">SUMIF($CB$4:$JS$4,BQ$4,$CB36:$JS36)</f>
        <v>0</v>
      </c>
      <c r="BR36" s="50" t="n">
        <f aca="false">SUMIF($CB$4:$JS$4,BR$4,$CB36:$JS36)</f>
        <v>0</v>
      </c>
      <c r="BS36" s="50" t="n">
        <f aca="false">SUMIF($CB$4:$JS$4,BS$4,$CB36:$JS36)</f>
        <v>0</v>
      </c>
      <c r="BT36" s="50" t="n">
        <f aca="false">SUMIF($CB$4:$JS$4,BT$4,$CB36:$JS36)</f>
        <v>0</v>
      </c>
      <c r="BU36" s="50" t="n">
        <f aca="false">SUMIF($CB$4:$JS$4,BU$4,$CB36:$JS36)</f>
        <v>0</v>
      </c>
      <c r="BV36" s="50" t="n">
        <f aca="false">SUMIF($CB$4:$JS$4,BV$4,$CB36:$JS36)</f>
        <v>0</v>
      </c>
      <c r="BW36" s="50" t="n">
        <f aca="false">SUMIF($CB$4:$JS$4,BW$4,$CB36:$JS36)</f>
        <v>0</v>
      </c>
      <c r="BX36" s="50" t="n">
        <f aca="false">SUMIF($CB$4:$JS$4,"&gt;"&amp;'VALOR POR PL'!$P$8,$CB36:$JS36)</f>
        <v>0</v>
      </c>
      <c r="BY36" s="50" t="n">
        <f aca="false">SUM($CB36:$JS36)</f>
        <v>0</v>
      </c>
      <c r="BZ36" s="45" t="n">
        <f aca="false">SUMPRODUCT(($CB$4:$JS$4&lt;&gt;"")*($CB$4:$JS$4&lt;=$D$4),$CB36:$JS36,$CB$1:$JS$1)</f>
        <v>0</v>
      </c>
      <c r="CB36" s="133" t="n">
        <f aca="false">IF(OR(CB$4="",$B36=""),0,SUMIF('DADOS BRUTOS'!$A$3:$A$500,$B36,'DADOS BRUTOS'!B$3:B$500)+IF($C36="",0,SUMIF('DADOS BRUTOS'!$A$3:$A$500,$C36,'DADOS BRUTOS'!B$3:B$500)))</f>
        <v>0</v>
      </c>
      <c r="CC36" s="133" t="n">
        <f aca="false">IF(OR(CC$4="",$B36=""),0,SUMIF('DADOS BRUTOS'!$A$3:$A$500,$B36,'DADOS BRUTOS'!C$3:C$500)+IF($C36="",0,SUMIF('DADOS BRUTOS'!$A$3:$A$500,$C36,'DADOS BRUTOS'!C$3:C$500)))</f>
        <v>0</v>
      </c>
      <c r="CD36" s="133" t="n">
        <f aca="false">IF(OR(CD$4="",$B36=""),0,SUMIF('DADOS BRUTOS'!$A$3:$A$500,$B36,'DADOS BRUTOS'!D$3:D$500)+IF($C36="",0,SUMIF('DADOS BRUTOS'!$A$3:$A$500,$C36,'DADOS BRUTOS'!D$3:D$500)))</f>
        <v>0</v>
      </c>
      <c r="CE36" s="133" t="n">
        <f aca="false">IF(OR(CE$4="",$B36=""),0,SUMIF('DADOS BRUTOS'!$A$3:$A$500,$B36,'DADOS BRUTOS'!E$3:E$500)+IF($C36="",0,SUMIF('DADOS BRUTOS'!$A$3:$A$500,$C36,'DADOS BRUTOS'!E$3:E$500)))</f>
        <v>0</v>
      </c>
      <c r="CF36" s="133" t="n">
        <f aca="false">IF(OR(CF$4="",$B36=""),0,SUMIF('DADOS BRUTOS'!$A$3:$A$500,$B36,'DADOS BRUTOS'!F$3:F$500)+IF($C36="",0,SUMIF('DADOS BRUTOS'!$A$3:$A$500,$C36,'DADOS BRUTOS'!F$3:F$500)))</f>
        <v>0</v>
      </c>
      <c r="CG36" s="133" t="n">
        <f aca="false">IF(OR(CG$4="",$B36=""),0,SUMIF('DADOS BRUTOS'!$A$3:$A$500,$B36,'DADOS BRUTOS'!G$3:G$500)+IF($C36="",0,SUMIF('DADOS BRUTOS'!$A$3:$A$500,$C36,'DADOS BRUTOS'!G$3:G$500)))</f>
        <v>0</v>
      </c>
      <c r="CH36" s="133" t="n">
        <f aca="false">IF(OR(CH$4="",$B36=""),0,SUMIF('DADOS BRUTOS'!$A$3:$A$500,$B36,'DADOS BRUTOS'!H$3:H$500)+IF($C36="",0,SUMIF('DADOS BRUTOS'!$A$3:$A$500,$C36,'DADOS BRUTOS'!H$3:H$500)))</f>
        <v>0</v>
      </c>
      <c r="CI36" s="133" t="n">
        <f aca="false">IF(OR(CI$4="",$B36=""),0,SUMIF('DADOS BRUTOS'!$A$3:$A$500,$B36,'DADOS BRUTOS'!I$3:I$500)+IF($C36="",0,SUMIF('DADOS BRUTOS'!$A$3:$A$500,$C36,'DADOS BRUTOS'!I$3:I$500)))</f>
        <v>0</v>
      </c>
      <c r="CJ36" s="133" t="n">
        <f aca="false">IF(OR(CJ$4="",$B36=""),0,SUMIF('DADOS BRUTOS'!$A$3:$A$500,$B36,'DADOS BRUTOS'!J$3:J$500)+IF($C36="",0,SUMIF('DADOS BRUTOS'!$A$3:$A$500,$C36,'DADOS BRUTOS'!J$3:J$500)))</f>
        <v>0</v>
      </c>
      <c r="CK36" s="133" t="n">
        <f aca="false">IF(OR(CK$4="",$B36=""),0,SUMIF('DADOS BRUTOS'!$A$3:$A$500,$B36,'DADOS BRUTOS'!K$3:K$500)+IF($C36="",0,SUMIF('DADOS BRUTOS'!$A$3:$A$500,$C36,'DADOS BRUTOS'!K$3:K$500)))</f>
        <v>0</v>
      </c>
      <c r="CL36" s="133" t="n">
        <f aca="false">IF(OR(CL$4="",$B36=""),0,SUMIF('DADOS BRUTOS'!$A$3:$A$500,$B36,'DADOS BRUTOS'!L$3:L$500)+IF($C36="",0,SUMIF('DADOS BRUTOS'!$A$3:$A$500,$C36,'DADOS BRUTOS'!L$3:L$500)))</f>
        <v>0</v>
      </c>
      <c r="CM36" s="133" t="n">
        <f aca="false">IF(OR(CM$4="",$B36=""),0,SUMIF('DADOS BRUTOS'!$A$3:$A$500,$B36,'DADOS BRUTOS'!M$3:M$500)+IF($C36="",0,SUMIF('DADOS BRUTOS'!$A$3:$A$500,$C36,'DADOS BRUTOS'!M$3:M$500)))</f>
        <v>0</v>
      </c>
      <c r="CN36" s="133" t="n">
        <f aca="false">IF(OR(CN$4="",$B36=""),0,SUMIF('DADOS BRUTOS'!$A$3:$A$500,$B36,'DADOS BRUTOS'!N$3:N$500)+IF($C36="",0,SUMIF('DADOS BRUTOS'!$A$3:$A$500,$C36,'DADOS BRUTOS'!N$3:N$500)))</f>
        <v>0</v>
      </c>
      <c r="CO36" s="133" t="n">
        <f aca="false">IF(OR(CO$4="",$B36=""),0,SUMIF('DADOS BRUTOS'!$A$3:$A$500,$B36,'DADOS BRUTOS'!O$3:O$500)+IF($C36="",0,SUMIF('DADOS BRUTOS'!$A$3:$A$500,$C36,'DADOS BRUTOS'!O$3:O$500)))</f>
        <v>0</v>
      </c>
      <c r="CP36" s="133" t="n">
        <f aca="false">IF(OR(CP$4="",$B36=""),0,SUMIF('DADOS BRUTOS'!$A$3:$A$500,$B36,'DADOS BRUTOS'!P$3:P$500)+IF($C36="",0,SUMIF('DADOS BRUTOS'!$A$3:$A$500,$C36,'DADOS BRUTOS'!P$3:P$500)))</f>
        <v>0</v>
      </c>
      <c r="CQ36" s="133" t="n">
        <f aca="false">IF(OR(CQ$4="",$B36=""),0,SUMIF('DADOS BRUTOS'!$A$3:$A$500,$B36,'DADOS BRUTOS'!Q$3:Q$500)+IF($C36="",0,SUMIF('DADOS BRUTOS'!$A$3:$A$500,$C36,'DADOS BRUTOS'!Q$3:Q$500)))</f>
        <v>0</v>
      </c>
      <c r="CR36" s="133" t="n">
        <f aca="false">IF(OR(CR$4="",$B36=""),0,SUMIF('DADOS BRUTOS'!$A$3:$A$500,$B36,'DADOS BRUTOS'!R$3:R$500)+IF($C36="",0,SUMIF('DADOS BRUTOS'!$A$3:$A$500,$C36,'DADOS BRUTOS'!R$3:R$500)))</f>
        <v>0</v>
      </c>
      <c r="CS36" s="133" t="n">
        <f aca="false">IF(OR(CS$4="",$B36=""),0,SUMIF('DADOS BRUTOS'!$A$3:$A$500,$B36,'DADOS BRUTOS'!S$3:S$500)+IF($C36="",0,SUMIF('DADOS BRUTOS'!$A$3:$A$500,$C36,'DADOS BRUTOS'!S$3:S$500)))</f>
        <v>0</v>
      </c>
      <c r="CT36" s="133" t="n">
        <f aca="false">IF(OR(CT$4="",$B36=""),0,SUMIF('DADOS BRUTOS'!$A$3:$A$500,$B36,'DADOS BRUTOS'!T$3:T$500)+IF($C36="",0,SUMIF('DADOS BRUTOS'!$A$3:$A$500,$C36,'DADOS BRUTOS'!T$3:T$500)))</f>
        <v>0</v>
      </c>
      <c r="CU36" s="133" t="n">
        <f aca="false">IF(OR(CU$4="",$B36=""),0,SUMIF('DADOS BRUTOS'!$A$3:$A$500,$B36,'DADOS BRUTOS'!U$3:U$500)+IF($C36="",0,SUMIF('DADOS BRUTOS'!$A$3:$A$500,$C36,'DADOS BRUTOS'!U$3:U$500)))</f>
        <v>0</v>
      </c>
      <c r="CV36" s="133" t="n">
        <f aca="false">IF(OR(CV$4="",$B36=""),0,SUMIF('DADOS BRUTOS'!$A$3:$A$500,$B36,'DADOS BRUTOS'!V$3:V$500)+IF($C36="",0,SUMIF('DADOS BRUTOS'!$A$3:$A$500,$C36,'DADOS BRUTOS'!V$3:V$500)))</f>
        <v>0</v>
      </c>
      <c r="CW36" s="133" t="n">
        <f aca="false">IF(OR(CW$4="",$B36=""),0,SUMIF('DADOS BRUTOS'!$A$3:$A$500,$B36,'DADOS BRUTOS'!W$3:W$500)+IF($C36="",0,SUMIF('DADOS BRUTOS'!$A$3:$A$500,$C36,'DADOS BRUTOS'!W$3:W$500)))</f>
        <v>0</v>
      </c>
      <c r="CX36" s="133" t="n">
        <f aca="false">IF(OR(CX$4="",$B36=""),0,SUMIF('DADOS BRUTOS'!$A$3:$A$500,$B36,'DADOS BRUTOS'!X$3:X$500)+IF($C36="",0,SUMIF('DADOS BRUTOS'!$A$3:$A$500,$C36,'DADOS BRUTOS'!X$3:X$500)))</f>
        <v>0</v>
      </c>
      <c r="CY36" s="133" t="n">
        <f aca="false">IF(OR(CY$4="",$B36=""),0,SUMIF('DADOS BRUTOS'!$A$3:$A$500,$B36,'DADOS BRUTOS'!Y$3:Y$500)+IF($C36="",0,SUMIF('DADOS BRUTOS'!$A$3:$A$500,$C36,'DADOS BRUTOS'!Y$3:Y$500)))</f>
        <v>0</v>
      </c>
      <c r="CZ36" s="133" t="n">
        <f aca="false">IF(OR(CZ$4="",$B36=""),0,SUMIF('DADOS BRUTOS'!$A$3:$A$500,$B36,'DADOS BRUTOS'!Z$3:Z$500)+IF($C36="",0,SUMIF('DADOS BRUTOS'!$A$3:$A$500,$C36,'DADOS BRUTOS'!Z$3:Z$500)))</f>
        <v>0</v>
      </c>
      <c r="DA36" s="133" t="n">
        <f aca="false">IF(OR(DA$4="",$B36=""),0,SUMIF('DADOS BRUTOS'!$A$3:$A$500,$B36,'DADOS BRUTOS'!AA$3:AA$500)+IF($C36="",0,SUMIF('DADOS BRUTOS'!$A$3:$A$500,$C36,'DADOS BRUTOS'!AA$3:AA$500)))</f>
        <v>0</v>
      </c>
      <c r="DB36" s="133" t="n">
        <f aca="false">IF(OR(DB$4="",$B36=""),0,SUMIF('DADOS BRUTOS'!$A$3:$A$500,$B36,'DADOS BRUTOS'!AB$3:AB$500)+IF($C36="",0,SUMIF('DADOS BRUTOS'!$A$3:$A$500,$C36,'DADOS BRUTOS'!AB$3:AB$500)))</f>
        <v>0</v>
      </c>
      <c r="DC36" s="133" t="n">
        <f aca="false">IF(OR(DC$4="",$B36=""),0,SUMIF('DADOS BRUTOS'!$A$3:$A$500,$B36,'DADOS BRUTOS'!AC$3:AC$500)+IF($C36="",0,SUMIF('DADOS BRUTOS'!$A$3:$A$500,$C36,'DADOS BRUTOS'!AC$3:AC$500)))</f>
        <v>0</v>
      </c>
      <c r="DD36" s="133" t="n">
        <f aca="false">IF(OR(DD$4="",$B36=""),0,SUMIF('DADOS BRUTOS'!$A$3:$A$500,$B36,'DADOS BRUTOS'!AD$3:AD$500)+IF($C36="",0,SUMIF('DADOS BRUTOS'!$A$3:$A$500,$C36,'DADOS BRUTOS'!AD$3:AD$500)))</f>
        <v>0</v>
      </c>
      <c r="DE36" s="133" t="n">
        <f aca="false">IF(OR(DE$4="",$B36=""),0,SUMIF('DADOS BRUTOS'!$A$3:$A$500,$B36,'DADOS BRUTOS'!AE$3:AE$500)+IF($C36="",0,SUMIF('DADOS BRUTOS'!$A$3:$A$500,$C36,'DADOS BRUTOS'!AE$3:AE$500)))</f>
        <v>0</v>
      </c>
      <c r="DF36" s="133" t="n">
        <f aca="false">IF(OR(DF$4="",$B36=""),0,SUMIF('DADOS BRUTOS'!$A$3:$A$500,$B36,'DADOS BRUTOS'!AF$3:AF$500)+IF($C36="",0,SUMIF('DADOS BRUTOS'!$A$3:$A$500,$C36,'DADOS BRUTOS'!AF$3:AF$500)))</f>
        <v>0</v>
      </c>
      <c r="DG36" s="133" t="n">
        <f aca="false">IF(OR(DG$4="",$B36=""),0,SUMIF('DADOS BRUTOS'!$A$3:$A$500,$B36,'DADOS BRUTOS'!AG$3:AG$500)+IF($C36="",0,SUMIF('DADOS BRUTOS'!$A$3:$A$500,$C36,'DADOS BRUTOS'!AG$3:AG$500)))</f>
        <v>0</v>
      </c>
      <c r="DH36" s="133" t="n">
        <f aca="false">IF(OR(DH$4="",$B36=""),0,SUMIF('DADOS BRUTOS'!$A$3:$A$500,$B36,'DADOS BRUTOS'!AH$3:AH$500)+IF($C36="",0,SUMIF('DADOS BRUTOS'!$A$3:$A$500,$C36,'DADOS BRUTOS'!AH$3:AH$500)))</f>
        <v>0</v>
      </c>
      <c r="DI36" s="133" t="n">
        <f aca="false">IF(OR(DI$4="",$B36=""),0,SUMIF('DADOS BRUTOS'!$A$3:$A$500,$B36,'DADOS BRUTOS'!AI$3:AI$500)+IF($C36="",0,SUMIF('DADOS BRUTOS'!$A$3:$A$500,$C36,'DADOS BRUTOS'!AI$3:AI$500)))</f>
        <v>0</v>
      </c>
      <c r="DJ36" s="133" t="n">
        <f aca="false">IF(OR(DJ$4="",$B36=""),0,SUMIF('DADOS BRUTOS'!$A$3:$A$500,$B36,'DADOS BRUTOS'!AJ$3:AJ$500)+IF($C36="",0,SUMIF('DADOS BRUTOS'!$A$3:$A$500,$C36,'DADOS BRUTOS'!AJ$3:AJ$500)))</f>
        <v>0</v>
      </c>
      <c r="DK36" s="133" t="n">
        <f aca="false">IF(OR(DK$4="",$B36=""),0,SUMIF('DADOS BRUTOS'!$A$3:$A$500,$B36,'DADOS BRUTOS'!AK$3:AK$500)+IF($C36="",0,SUMIF('DADOS BRUTOS'!$A$3:$A$500,$C36,'DADOS BRUTOS'!AK$3:AK$500)))</f>
        <v>0</v>
      </c>
      <c r="DL36" s="133" t="n">
        <f aca="false">IF(OR(DL$4="",$B36=""),0,SUMIF('DADOS BRUTOS'!$A$3:$A$500,$B36,'DADOS BRUTOS'!AL$3:AL$500)+IF($C36="",0,SUMIF('DADOS BRUTOS'!$A$3:$A$500,$C36,'DADOS BRUTOS'!AL$3:AL$500)))</f>
        <v>0</v>
      </c>
      <c r="DM36" s="133" t="n">
        <f aca="false">IF(OR(DM$4="",$B36=""),0,SUMIF('DADOS BRUTOS'!$A$3:$A$500,$B36,'DADOS BRUTOS'!AM$3:AM$500)+IF($C36="",0,SUMIF('DADOS BRUTOS'!$A$3:$A$500,$C36,'DADOS BRUTOS'!AM$3:AM$500)))</f>
        <v>0</v>
      </c>
      <c r="DN36" s="133" t="n">
        <f aca="false">IF(OR(DN$4="",$B36=""),0,SUMIF('DADOS BRUTOS'!$A$3:$A$500,$B36,'DADOS BRUTOS'!AN$3:AN$500)+IF($C36="",0,SUMIF('DADOS BRUTOS'!$A$3:$A$500,$C36,'DADOS BRUTOS'!AN$3:AN$500)))</f>
        <v>0</v>
      </c>
      <c r="DO36" s="133" t="n">
        <f aca="false">IF(OR(DO$4="",$B36=""),0,SUMIF('DADOS BRUTOS'!$A$3:$A$500,$B36,'DADOS BRUTOS'!AO$3:AO$500)+IF($C36="",0,SUMIF('DADOS BRUTOS'!$A$3:$A$500,$C36,'DADOS BRUTOS'!AO$3:AO$500)))</f>
        <v>0</v>
      </c>
      <c r="DP36" s="133" t="n">
        <f aca="false">IF(OR(DP$4="",$B36=""),0,SUMIF('DADOS BRUTOS'!$A$3:$A$500,$B36,'DADOS BRUTOS'!AP$3:AP$500)+IF($C36="",0,SUMIF('DADOS BRUTOS'!$A$3:$A$500,$C36,'DADOS BRUTOS'!AP$3:AP$500)))</f>
        <v>0</v>
      </c>
      <c r="DQ36" s="133" t="n">
        <f aca="false">IF(OR(DQ$4="",$B36=""),0,SUMIF('DADOS BRUTOS'!$A$3:$A$500,$B36,'DADOS BRUTOS'!AQ$3:AQ$500)+IF($C36="",0,SUMIF('DADOS BRUTOS'!$A$3:$A$500,$C36,'DADOS BRUTOS'!AQ$3:AQ$500)))</f>
        <v>0</v>
      </c>
      <c r="DR36" s="133" t="n">
        <f aca="false">IF(OR(DR$4="",$B36=""),0,SUMIF('DADOS BRUTOS'!$A$3:$A$500,$B36,'DADOS BRUTOS'!AR$3:AR$500)+IF($C36="",0,SUMIF('DADOS BRUTOS'!$A$3:$A$500,$C36,'DADOS BRUTOS'!AR$3:AR$500)))</f>
        <v>0</v>
      </c>
      <c r="DS36" s="133" t="n">
        <f aca="false">IF(OR(DS$4="",$B36=""),0,SUMIF('DADOS BRUTOS'!$A$3:$A$500,$B36,'DADOS BRUTOS'!AS$3:AS$500)+IF($C36="",0,SUMIF('DADOS BRUTOS'!$A$3:$A$500,$C36,'DADOS BRUTOS'!AS$3:AS$500)))</f>
        <v>0</v>
      </c>
      <c r="DT36" s="133" t="n">
        <f aca="false">IF(OR(DT$4="",$B36=""),0,SUMIF('DADOS BRUTOS'!$A$3:$A$500,$B36,'DADOS BRUTOS'!AT$3:AT$500)+IF($C36="",0,SUMIF('DADOS BRUTOS'!$A$3:$A$500,$C36,'DADOS BRUTOS'!AT$3:AT$500)))</f>
        <v>0</v>
      </c>
      <c r="DU36" s="133" t="n">
        <f aca="false">IF(OR(DU$4="",$B36=""),0,SUMIF('DADOS BRUTOS'!$A$3:$A$500,$B36,'DADOS BRUTOS'!AU$3:AU$500)+IF($C36="",0,SUMIF('DADOS BRUTOS'!$A$3:$A$500,$C36,'DADOS BRUTOS'!AU$3:AU$500)))</f>
        <v>0</v>
      </c>
      <c r="DV36" s="133" t="n">
        <f aca="false">IF(OR(DV$4="",$B36=""),0,SUMIF('DADOS BRUTOS'!$A$3:$A$500,$B36,'DADOS BRUTOS'!AV$3:AV$500)+IF($C36="",0,SUMIF('DADOS BRUTOS'!$A$3:$A$500,$C36,'DADOS BRUTOS'!AV$3:AV$500)))</f>
        <v>0</v>
      </c>
      <c r="DW36" s="133" t="n">
        <f aca="false">IF(OR(DW$4="",$B36=""),0,SUMIF('DADOS BRUTOS'!$A$3:$A$500,$B36,'DADOS BRUTOS'!AW$3:AW$500)+IF($C36="",0,SUMIF('DADOS BRUTOS'!$A$3:$A$500,$C36,'DADOS BRUTOS'!AW$3:AW$500)))</f>
        <v>0</v>
      </c>
      <c r="DX36" s="133" t="n">
        <f aca="false">IF(OR(DX$4="",$B36=""),0,SUMIF('DADOS BRUTOS'!$A$3:$A$500,$B36,'DADOS BRUTOS'!AX$3:AX$500)+IF($C36="",0,SUMIF('DADOS BRUTOS'!$A$3:$A$500,$C36,'DADOS BRUTOS'!AX$3:AX$500)))</f>
        <v>0</v>
      </c>
      <c r="DY36" s="133" t="n">
        <f aca="false">IF(OR(DY$4="",$B36=""),0,SUMIF('DADOS BRUTOS'!$A$3:$A$500,$B36,'DADOS BRUTOS'!AY$3:AY$500)+IF($C36="",0,SUMIF('DADOS BRUTOS'!$A$3:$A$500,$C36,'DADOS BRUTOS'!AY$3:AY$500)))</f>
        <v>0</v>
      </c>
      <c r="DZ36" s="133" t="n">
        <f aca="false">IF(OR(DZ$4="",$B36=""),0,SUMIF('DADOS BRUTOS'!$A$3:$A$500,$B36,'DADOS BRUTOS'!AZ$3:AZ$500)+IF($C36="",0,SUMIF('DADOS BRUTOS'!$A$3:$A$500,$C36,'DADOS BRUTOS'!AZ$3:AZ$500)))</f>
        <v>0</v>
      </c>
      <c r="EA36" s="133" t="n">
        <f aca="false">IF(OR(EA$4="",$B36=""),0,SUMIF('DADOS BRUTOS'!$A$3:$A$500,$B36,'DADOS BRUTOS'!BA$3:BA$500)+IF($C36="",0,SUMIF('DADOS BRUTOS'!$A$3:$A$500,$C36,'DADOS BRUTOS'!BA$3:BA$500)))</f>
        <v>0</v>
      </c>
      <c r="EB36" s="133" t="n">
        <f aca="false">IF(OR(EB$4="",$B36=""),0,SUMIF('DADOS BRUTOS'!$A$3:$A$500,$B36,'DADOS BRUTOS'!BB$3:BB$500)+IF($C36="",0,SUMIF('DADOS BRUTOS'!$A$3:$A$500,$C36,'DADOS BRUTOS'!BB$3:BB$500)))</f>
        <v>0</v>
      </c>
      <c r="EC36" s="133" t="n">
        <f aca="false">IF(OR(EC$4="",$B36=""),0,SUMIF('DADOS BRUTOS'!$A$3:$A$500,$B36,'DADOS BRUTOS'!BC$3:BC$500)+IF($C36="",0,SUMIF('DADOS BRUTOS'!$A$3:$A$500,$C36,'DADOS BRUTOS'!BC$3:BC$500)))</f>
        <v>0</v>
      </c>
      <c r="ED36" s="133" t="n">
        <f aca="false">IF(OR(ED$4="",$B36=""),0,SUMIF('DADOS BRUTOS'!$A$3:$A$500,$B36,'DADOS BRUTOS'!BD$3:BD$500)+IF($C36="",0,SUMIF('DADOS BRUTOS'!$A$3:$A$500,$C36,'DADOS BRUTOS'!BD$3:BD$500)))</f>
        <v>0</v>
      </c>
      <c r="EE36" s="133" t="n">
        <f aca="false">IF(OR(EE$4="",$B36=""),0,SUMIF('DADOS BRUTOS'!$A$3:$A$500,$B36,'DADOS BRUTOS'!BE$3:BE$500)+IF($C36="",0,SUMIF('DADOS BRUTOS'!$A$3:$A$500,$C36,'DADOS BRUTOS'!BE$3:BE$500)))</f>
        <v>0</v>
      </c>
      <c r="EF36" s="133" t="n">
        <f aca="false">IF(OR(EF$4="",$B36=""),0,SUMIF('DADOS BRUTOS'!$A$3:$A$500,$B36,'DADOS BRUTOS'!BF$3:BF$500)+IF($C36="",0,SUMIF('DADOS BRUTOS'!$A$3:$A$500,$C36,'DADOS BRUTOS'!BF$3:BF$500)))</f>
        <v>0</v>
      </c>
      <c r="EG36" s="133" t="n">
        <f aca="false">IF(OR(EG$4="",$B36=""),0,SUMIF('DADOS BRUTOS'!$A$3:$A$500,$B36,'DADOS BRUTOS'!BG$3:BG$500)+IF($C36="",0,SUMIF('DADOS BRUTOS'!$A$3:$A$500,$C36,'DADOS BRUTOS'!BG$3:BG$500)))</f>
        <v>0</v>
      </c>
      <c r="EH36" s="133" t="n">
        <f aca="false">IF(OR(EH$4="",$B36=""),0,SUMIF('DADOS BRUTOS'!$A$3:$A$500,$B36,'DADOS BRUTOS'!BH$3:BH$500)+IF($C36="",0,SUMIF('DADOS BRUTOS'!$A$3:$A$500,$C36,'DADOS BRUTOS'!BH$3:BH$500)))</f>
        <v>0</v>
      </c>
      <c r="EI36" s="133" t="n">
        <f aca="false">IF(OR(EI$4="",$B36=""),0,SUMIF('DADOS BRUTOS'!$A$3:$A$500,$B36,'DADOS BRUTOS'!BI$3:BI$500)+IF($C36="",0,SUMIF('DADOS BRUTOS'!$A$3:$A$500,$C36,'DADOS BRUTOS'!BI$3:BI$500)))</f>
        <v>0</v>
      </c>
      <c r="EJ36" s="133" t="n">
        <f aca="false">IF(OR(EJ$4="",$B36=""),0,SUMIF('DADOS BRUTOS'!$A$3:$A$500,$B36,'DADOS BRUTOS'!BJ$3:BJ$500)+IF($C36="",0,SUMIF('DADOS BRUTOS'!$A$3:$A$500,$C36,'DADOS BRUTOS'!BJ$3:BJ$500)))</f>
        <v>0</v>
      </c>
      <c r="EK36" s="133" t="n">
        <f aca="false">IF(OR(EK$4="",$B36=""),0,SUMIF('DADOS BRUTOS'!$A$3:$A$500,$B36,'DADOS BRUTOS'!BK$3:BK$500)+IF($C36="",0,SUMIF('DADOS BRUTOS'!$A$3:$A$500,$C36,'DADOS BRUTOS'!BK$3:BK$500)))</f>
        <v>0</v>
      </c>
      <c r="EL36" s="133" t="n">
        <f aca="false">IF(OR(EL$4="",$B36=""),0,SUMIF('DADOS BRUTOS'!$A$3:$A$500,$B36,'DADOS BRUTOS'!BL$3:BL$500)+IF($C36="",0,SUMIF('DADOS BRUTOS'!$A$3:$A$500,$C36,'DADOS BRUTOS'!BL$3:BL$500)))</f>
        <v>0</v>
      </c>
      <c r="EM36" s="133" t="n">
        <f aca="false">IF(OR(EM$4="",$B36=""),0,SUMIF('DADOS BRUTOS'!$A$3:$A$500,$B36,'DADOS BRUTOS'!BM$3:BM$500)+IF($C36="",0,SUMIF('DADOS BRUTOS'!$A$3:$A$500,$C36,'DADOS BRUTOS'!BM$3:BM$500)))</f>
        <v>0</v>
      </c>
      <c r="EN36" s="133" t="n">
        <f aca="false">IF(OR(EN$4="",$B36=""),0,SUMIF('DADOS BRUTOS'!$A$3:$A$500,$B36,'DADOS BRUTOS'!BN$3:BN$500)+IF($C36="",0,SUMIF('DADOS BRUTOS'!$A$3:$A$500,$C36,'DADOS BRUTOS'!BN$3:BN$500)))</f>
        <v>0</v>
      </c>
      <c r="EO36" s="133" t="n">
        <f aca="false">IF(OR(EO$4="",$B36=""),0,SUMIF('DADOS BRUTOS'!$A$3:$A$500,$B36,'DADOS BRUTOS'!BO$3:BO$500)+IF($C36="",0,SUMIF('DADOS BRUTOS'!$A$3:$A$500,$C36,'DADOS BRUTOS'!BO$3:BO$500)))</f>
        <v>0</v>
      </c>
      <c r="EP36" s="133" t="n">
        <f aca="false">IF(OR(EP$4="",$B36=""),0,SUMIF('DADOS BRUTOS'!$A$3:$A$500,$B36,'DADOS BRUTOS'!BP$3:BP$500)+IF($C36="",0,SUMIF('DADOS BRUTOS'!$A$3:$A$500,$C36,'DADOS BRUTOS'!BP$3:BP$500)))</f>
        <v>0</v>
      </c>
      <c r="EQ36" s="133" t="n">
        <f aca="false">IF(OR(EQ$4="",$B36=""),0,SUMIF('DADOS BRUTOS'!$A$3:$A$500,$B36,'DADOS BRUTOS'!BQ$3:BQ$500)+IF($C36="",0,SUMIF('DADOS BRUTOS'!$A$3:$A$500,$C36,'DADOS BRUTOS'!BQ$3:BQ$500)))</f>
        <v>0</v>
      </c>
      <c r="ER36" s="133" t="n">
        <f aca="false">IF(OR(ER$4="",$B36=""),0,SUMIF('DADOS BRUTOS'!$A$3:$A$500,$B36,'DADOS BRUTOS'!BR$3:BR$500)+IF($C36="",0,SUMIF('DADOS BRUTOS'!$A$3:$A$500,$C36,'DADOS BRUTOS'!BR$3:BR$500)))</f>
        <v>0</v>
      </c>
      <c r="ES36" s="133" t="n">
        <f aca="false">IF(OR(ES$4="",$B36=""),0,SUMIF('DADOS BRUTOS'!$A$3:$A$500,$B36,'DADOS BRUTOS'!BS$3:BS$500)+IF($C36="",0,SUMIF('DADOS BRUTOS'!$A$3:$A$500,$C36,'DADOS BRUTOS'!BS$3:BS$500)))</f>
        <v>0</v>
      </c>
      <c r="ET36" s="133" t="n">
        <f aca="false">IF(OR(ET$4="",$B36=""),0,SUMIF('DADOS BRUTOS'!$A$3:$A$500,$B36,'DADOS BRUTOS'!BT$3:BT$500)+IF($C36="",0,SUMIF('DADOS BRUTOS'!$A$3:$A$500,$C36,'DADOS BRUTOS'!BT$3:BT$500)))</f>
        <v>0</v>
      </c>
      <c r="EU36" s="133" t="n">
        <f aca="false">IF(OR(EU$4="",$B36=""),0,SUMIF('DADOS BRUTOS'!$A$3:$A$500,$B36,'DADOS BRUTOS'!BU$3:BU$500)+IF($C36="",0,SUMIF('DADOS BRUTOS'!$A$3:$A$500,$C36,'DADOS BRUTOS'!BU$3:BU$500)))</f>
        <v>0</v>
      </c>
      <c r="EV36" s="133" t="n">
        <f aca="false">IF(OR(EV$4="",$B36=""),0,SUMIF('DADOS BRUTOS'!$A$3:$A$500,$B36,'DADOS BRUTOS'!BV$3:BV$500)+IF($C36="",0,SUMIF('DADOS BRUTOS'!$A$3:$A$500,$C36,'DADOS BRUTOS'!BV$3:BV$500)))</f>
        <v>0</v>
      </c>
      <c r="EW36" s="133" t="n">
        <f aca="false">IF(OR(EW$4="",$B36=""),0,SUMIF('DADOS BRUTOS'!$A$3:$A$500,$B36,'DADOS BRUTOS'!BW$3:BW$500)+IF($C36="",0,SUMIF('DADOS BRUTOS'!$A$3:$A$500,$C36,'DADOS BRUTOS'!BW$3:BW$500)))</f>
        <v>0</v>
      </c>
      <c r="EX36" s="133" t="n">
        <f aca="false">IF(OR(EX$4="",$B36=""),0,SUMIF('DADOS BRUTOS'!$A$3:$A$500,$B36,'DADOS BRUTOS'!BX$3:BX$500)+IF($C36="",0,SUMIF('DADOS BRUTOS'!$A$3:$A$500,$C36,'DADOS BRUTOS'!BX$3:BX$500)))</f>
        <v>0</v>
      </c>
      <c r="EY36" s="133" t="n">
        <f aca="false">IF(OR(EY$4="",$B36=""),0,SUMIF('DADOS BRUTOS'!$A$3:$A$500,$B36,'DADOS BRUTOS'!BY$3:BY$500)+IF($C36="",0,SUMIF('DADOS BRUTOS'!$A$3:$A$500,$C36,'DADOS BRUTOS'!BY$3:BY$500)))</f>
        <v>0</v>
      </c>
      <c r="EZ36" s="133" t="n">
        <f aca="false">IF(OR(EZ$4="",$B36=""),0,SUMIF('DADOS BRUTOS'!$A$3:$A$500,$B36,'DADOS BRUTOS'!BZ$3:BZ$500)+IF($C36="",0,SUMIF('DADOS BRUTOS'!$A$3:$A$500,$C36,'DADOS BRUTOS'!BZ$3:BZ$500)))</f>
        <v>0</v>
      </c>
      <c r="FA36" s="133" t="n">
        <f aca="false">IF(OR(FA$4="",$B36=""),0,SUMIF('DADOS BRUTOS'!$A$3:$A$500,$B36,'DADOS BRUTOS'!CA$3:CA$500)+IF($C36="",0,SUMIF('DADOS BRUTOS'!$A$3:$A$500,$C36,'DADOS BRUTOS'!CA$3:CA$500)))</f>
        <v>0</v>
      </c>
      <c r="FB36" s="133" t="n">
        <f aca="false">IF(OR(FB$4="",$B36=""),0,SUMIF('DADOS BRUTOS'!$A$3:$A$500,$B36,'DADOS BRUTOS'!CB$3:CB$500)+IF($C36="",0,SUMIF('DADOS BRUTOS'!$A$3:$A$500,$C36,'DADOS BRUTOS'!CB$3:CB$500)))</f>
        <v>0</v>
      </c>
      <c r="FC36" s="133" t="n">
        <f aca="false">IF(OR(FC$4="",$B36=""),0,SUMIF('DADOS BRUTOS'!$A$3:$A$500,$B36,'DADOS BRUTOS'!CC$3:CC$500)+IF($C36="",0,SUMIF('DADOS BRUTOS'!$A$3:$A$500,$C36,'DADOS BRUTOS'!CC$3:CC$500)))</f>
        <v>0</v>
      </c>
      <c r="FD36" s="133" t="n">
        <f aca="false">IF(OR(FD$4="",$B36=""),0,SUMIF('DADOS BRUTOS'!$A$3:$A$500,$B36,'DADOS BRUTOS'!CD$3:CD$500)+IF($C36="",0,SUMIF('DADOS BRUTOS'!$A$3:$A$500,$C36,'DADOS BRUTOS'!CD$3:CD$500)))</f>
        <v>0</v>
      </c>
      <c r="FE36" s="133" t="n">
        <f aca="false">IF(OR(FE$4="",$B36=""),0,SUMIF('DADOS BRUTOS'!$A$3:$A$500,$B36,'DADOS BRUTOS'!CE$3:CE$500)+IF($C36="",0,SUMIF('DADOS BRUTOS'!$A$3:$A$500,$C36,'DADOS BRUTOS'!CE$3:CE$500)))</f>
        <v>0</v>
      </c>
      <c r="FF36" s="133" t="n">
        <f aca="false">IF(OR(FF$4="",$B36=""),0,SUMIF('DADOS BRUTOS'!$A$3:$A$500,$B36,'DADOS BRUTOS'!CF$3:CF$500)+IF($C36="",0,SUMIF('DADOS BRUTOS'!$A$3:$A$500,$C36,'DADOS BRUTOS'!CF$3:CF$500)))</f>
        <v>0</v>
      </c>
      <c r="FG36" s="133" t="n">
        <f aca="false">IF(OR(FG$4="",$B36=""),0,SUMIF('DADOS BRUTOS'!$A$3:$A$500,$B36,'DADOS BRUTOS'!CG$3:CG$500)+IF($C36="",0,SUMIF('DADOS BRUTOS'!$A$3:$A$500,$C36,'DADOS BRUTOS'!CG$3:CG$500)))</f>
        <v>0</v>
      </c>
      <c r="FH36" s="133" t="n">
        <f aca="false">IF(OR(FH$4="",$B36=""),0,SUMIF('DADOS BRUTOS'!$A$3:$A$500,$B36,'DADOS BRUTOS'!CH$3:CH$500)+IF($C36="",0,SUMIF('DADOS BRUTOS'!$A$3:$A$500,$C36,'DADOS BRUTOS'!CH$3:CH$500)))</f>
        <v>0</v>
      </c>
      <c r="FI36" s="133" t="n">
        <f aca="false">IF(OR(FI$4="",$B36=""),0,SUMIF('DADOS BRUTOS'!$A$3:$A$500,$B36,'DADOS BRUTOS'!CI$3:CI$500)+IF($C36="",0,SUMIF('DADOS BRUTOS'!$A$3:$A$500,$C36,'DADOS BRUTOS'!CI$3:CI$500)))</f>
        <v>0</v>
      </c>
      <c r="FJ36" s="133" t="n">
        <f aca="false">IF(OR(FJ$4="",$B36=""),0,SUMIF('DADOS BRUTOS'!$A$3:$A$500,$B36,'DADOS BRUTOS'!CJ$3:CJ$500)+IF($C36="",0,SUMIF('DADOS BRUTOS'!$A$3:$A$500,$C36,'DADOS BRUTOS'!CJ$3:CJ$500)))</f>
        <v>0</v>
      </c>
      <c r="FK36" s="133" t="n">
        <f aca="false">IF(OR(FK$4="",$B36=""),0,SUMIF('DADOS BRUTOS'!$A$3:$A$500,$B36,'DADOS BRUTOS'!CK$3:CK$500)+IF($C36="",0,SUMIF('DADOS BRUTOS'!$A$3:$A$500,$C36,'DADOS BRUTOS'!CK$3:CK$500)))</f>
        <v>0</v>
      </c>
      <c r="FL36" s="133" t="n">
        <f aca="false">IF(OR(FL$4="",$B36=""),0,SUMIF('DADOS BRUTOS'!$A$3:$A$500,$B36,'DADOS BRUTOS'!CL$3:CL$500)+IF($C36="",0,SUMIF('DADOS BRUTOS'!$A$3:$A$500,$C36,'DADOS BRUTOS'!CL$3:CL$500)))</f>
        <v>0</v>
      </c>
      <c r="FM36" s="133" t="n">
        <f aca="false">IF(OR(FM$4="",$B36=""),0,SUMIF('DADOS BRUTOS'!$A$3:$A$500,$B36,'DADOS BRUTOS'!CM$3:CM$500)+IF($C36="",0,SUMIF('DADOS BRUTOS'!$A$3:$A$500,$C36,'DADOS BRUTOS'!CM$3:CM$500)))</f>
        <v>0</v>
      </c>
      <c r="FN36" s="133" t="n">
        <f aca="false">IF(OR(FN$4="",$B36=""),0,SUMIF('DADOS BRUTOS'!$A$3:$A$500,$B36,'DADOS BRUTOS'!CN$3:CN$500)+IF($C36="",0,SUMIF('DADOS BRUTOS'!$A$3:$A$500,$C36,'DADOS BRUTOS'!CN$3:CN$500)))</f>
        <v>0</v>
      </c>
      <c r="FO36" s="133" t="n">
        <f aca="false">IF(OR(FO$4="",$B36=""),0,SUMIF('DADOS BRUTOS'!$A$3:$A$500,$B36,'DADOS BRUTOS'!CO$3:CO$500)+IF($C36="",0,SUMIF('DADOS BRUTOS'!$A$3:$A$500,$C36,'DADOS BRUTOS'!CO$3:CO$500)))</f>
        <v>0</v>
      </c>
      <c r="FP36" s="133" t="n">
        <f aca="false">IF(OR(FP$4="",$B36=""),0,SUMIF('DADOS BRUTOS'!$A$3:$A$500,$B36,'DADOS BRUTOS'!CP$3:CP$500)+IF($C36="",0,SUMIF('DADOS BRUTOS'!$A$3:$A$500,$C36,'DADOS BRUTOS'!CP$3:CP$500)))</f>
        <v>0</v>
      </c>
      <c r="FQ36" s="133" t="n">
        <f aca="false">IF(OR(FQ$4="",$B36=""),0,SUMIF('DADOS BRUTOS'!$A$3:$A$500,$B36,'DADOS BRUTOS'!CQ$3:CQ$500)+IF($C36="",0,SUMIF('DADOS BRUTOS'!$A$3:$A$500,$C36,'DADOS BRUTOS'!CQ$3:CQ$500)))</f>
        <v>0</v>
      </c>
      <c r="FR36" s="133" t="n">
        <f aca="false">IF(OR(FR$4="",$B36=""),0,SUMIF('DADOS BRUTOS'!$A$3:$A$500,$B36,'DADOS BRUTOS'!CR$3:CR$500)+IF($C36="",0,SUMIF('DADOS BRUTOS'!$A$3:$A$500,$C36,'DADOS BRUTOS'!CR$3:CR$500)))</f>
        <v>0</v>
      </c>
      <c r="FS36" s="133" t="n">
        <f aca="false">IF(OR(FS$4="",$B36=""),0,SUMIF('DADOS BRUTOS'!$A$3:$A$500,$B36,'DADOS BRUTOS'!CS$3:CS$500)+IF($C36="",0,SUMIF('DADOS BRUTOS'!$A$3:$A$500,$C36,'DADOS BRUTOS'!CS$3:CS$500)))</f>
        <v>0</v>
      </c>
      <c r="FT36" s="133" t="n">
        <f aca="false">IF(OR(FT$4="",$B36=""),0,SUMIF('DADOS BRUTOS'!$A$3:$A$500,$B36,'DADOS BRUTOS'!CT$3:CT$500)+IF($C36="",0,SUMIF('DADOS BRUTOS'!$A$3:$A$500,$C36,'DADOS BRUTOS'!CT$3:CT$500)))</f>
        <v>0</v>
      </c>
      <c r="FU36" s="133" t="n">
        <f aca="false">IF(OR(FU$4="",$B36=""),0,SUMIF('DADOS BRUTOS'!$A$3:$A$500,$B36,'DADOS BRUTOS'!CU$3:CU$500)+IF($C36="",0,SUMIF('DADOS BRUTOS'!$A$3:$A$500,$C36,'DADOS BRUTOS'!CU$3:CU$500)))</f>
        <v>0</v>
      </c>
      <c r="FV36" s="133" t="n">
        <f aca="false">IF(OR(FV$4="",$B36=""),0,SUMIF('DADOS BRUTOS'!$A$3:$A$500,$B36,'DADOS BRUTOS'!CV$3:CV$500)+IF($C36="",0,SUMIF('DADOS BRUTOS'!$A$3:$A$500,$C36,'DADOS BRUTOS'!CV$3:CV$500)))</f>
        <v>0</v>
      </c>
      <c r="FW36" s="133" t="n">
        <f aca="false">IF(OR(FW$4="",$B36=""),0,SUMIF('DADOS BRUTOS'!$A$3:$A$500,$B36,'DADOS BRUTOS'!CW$3:CW$500)+IF($C36="",0,SUMIF('DADOS BRUTOS'!$A$3:$A$500,$C36,'DADOS BRUTOS'!CW$3:CW$500)))</f>
        <v>0</v>
      </c>
      <c r="FX36" s="133" t="n">
        <f aca="false">IF(OR(FX$4="",$B36=""),0,SUMIF('DADOS BRUTOS'!$A$3:$A$500,$B36,'DADOS BRUTOS'!CX$3:CX$500)+IF($C36="",0,SUMIF('DADOS BRUTOS'!$A$3:$A$500,$C36,'DADOS BRUTOS'!CX$3:CX$500)))</f>
        <v>0</v>
      </c>
      <c r="FY36" s="133" t="n">
        <f aca="false">IF(OR(FY$4="",$B36=""),0,SUMIF('DADOS BRUTOS'!$A$3:$A$500,$B36,'DADOS BRUTOS'!CY$3:CY$500)+IF($C36="",0,SUMIF('DADOS BRUTOS'!$A$3:$A$500,$C36,'DADOS BRUTOS'!CY$3:CY$500)))</f>
        <v>0</v>
      </c>
      <c r="FZ36" s="133" t="n">
        <f aca="false">IF(OR(FZ$4="",$B36=""),0,SUMIF('DADOS BRUTOS'!$A$3:$A$500,$B36,'DADOS BRUTOS'!CZ$3:CZ$500)+IF($C36="",0,SUMIF('DADOS BRUTOS'!$A$3:$A$500,$C36,'DADOS BRUTOS'!CZ$3:CZ$500)))</f>
        <v>0</v>
      </c>
      <c r="GA36" s="133" t="n">
        <f aca="false">IF(OR(GA$4="",$B36=""),0,SUMIF('DADOS BRUTOS'!$A$3:$A$500,$B36,'DADOS BRUTOS'!DA$3:DA$500)+IF($C36="",0,SUMIF('DADOS BRUTOS'!$A$3:$A$500,$C36,'DADOS BRUTOS'!DA$3:DA$500)))</f>
        <v>0</v>
      </c>
      <c r="GB36" s="133" t="n">
        <f aca="false">IF(OR(GB$4="",$B36=""),0,SUMIF('DADOS BRUTOS'!$A$3:$A$500,$B36,'DADOS BRUTOS'!DB$3:DB$500)+IF($C36="",0,SUMIF('DADOS BRUTOS'!$A$3:$A$500,$C36,'DADOS BRUTOS'!DB$3:DB$500)))</f>
        <v>0</v>
      </c>
      <c r="GC36" s="133" t="n">
        <f aca="false">IF(OR(GC$4="",$B36=""),0,SUMIF('DADOS BRUTOS'!$A$3:$A$500,$B36,'DADOS BRUTOS'!DC$3:DC$500)+IF($C36="",0,SUMIF('DADOS BRUTOS'!$A$3:$A$500,$C36,'DADOS BRUTOS'!DC$3:DC$500)))</f>
        <v>0</v>
      </c>
      <c r="GD36" s="133" t="n">
        <f aca="false">IF(OR(GD$4="",$B36=""),0,SUMIF('DADOS BRUTOS'!$A$3:$A$500,$B36,'DADOS BRUTOS'!DD$3:DD$500)+IF($C36="",0,SUMIF('DADOS BRUTOS'!$A$3:$A$500,$C36,'DADOS BRUTOS'!DD$3:DD$500)))</f>
        <v>0</v>
      </c>
      <c r="GE36" s="133" t="n">
        <f aca="false">IF(OR(GE$4="",$B36=""),0,SUMIF('DADOS BRUTOS'!$A$3:$A$500,$B36,'DADOS BRUTOS'!DE$3:DE$500)+IF($C36="",0,SUMIF('DADOS BRUTOS'!$A$3:$A$500,$C36,'DADOS BRUTOS'!DE$3:DE$500)))</f>
        <v>0</v>
      </c>
      <c r="GF36" s="133" t="n">
        <f aca="false">IF(OR(GF$4="",$B36=""),0,SUMIF('DADOS BRUTOS'!$A$3:$A$500,$B36,'DADOS BRUTOS'!DF$3:DF$500)+IF($C36="",0,SUMIF('DADOS BRUTOS'!$A$3:$A$500,$C36,'DADOS BRUTOS'!DF$3:DF$500)))</f>
        <v>0</v>
      </c>
      <c r="GG36" s="133" t="n">
        <f aca="false">IF(OR(GG$4="",$B36=""),0,SUMIF('DADOS BRUTOS'!$A$3:$A$500,$B36,'DADOS BRUTOS'!DG$3:DG$500)+IF($C36="",0,SUMIF('DADOS BRUTOS'!$A$3:$A$500,$C36,'DADOS BRUTOS'!DG$3:DG$500)))</f>
        <v>0</v>
      </c>
      <c r="GH36" s="133" t="n">
        <f aca="false">IF(OR(GH$4="",$B36=""),0,SUMIF('DADOS BRUTOS'!$A$3:$A$500,$B36,'DADOS BRUTOS'!DH$3:DH$500)+IF($C36="",0,SUMIF('DADOS BRUTOS'!$A$3:$A$500,$C36,'DADOS BRUTOS'!DH$3:DH$500)))</f>
        <v>0</v>
      </c>
      <c r="GI36" s="133" t="n">
        <f aca="false">IF(OR(GI$4="",$B36=""),0,SUMIF('DADOS BRUTOS'!$A$3:$A$500,$B36,'DADOS BRUTOS'!DI$3:DI$500)+IF($C36="",0,SUMIF('DADOS BRUTOS'!$A$3:$A$500,$C36,'DADOS BRUTOS'!DI$3:DI$500)))</f>
        <v>0</v>
      </c>
      <c r="GJ36" s="133" t="n">
        <f aca="false">IF(OR(GJ$4="",$B36=""),0,SUMIF('DADOS BRUTOS'!$A$3:$A$500,$B36,'DADOS BRUTOS'!DJ$3:DJ$500)+IF($C36="",0,SUMIF('DADOS BRUTOS'!$A$3:$A$500,$C36,'DADOS BRUTOS'!DJ$3:DJ$500)))</f>
        <v>0</v>
      </c>
      <c r="GK36" s="133" t="n">
        <f aca="false">IF(OR(GK$4="",$B36=""),0,SUMIF('DADOS BRUTOS'!$A$3:$A$500,$B36,'DADOS BRUTOS'!DK$3:DK$500)+IF($C36="",0,SUMIF('DADOS BRUTOS'!$A$3:$A$500,$C36,'DADOS BRUTOS'!DK$3:DK$500)))</f>
        <v>0</v>
      </c>
      <c r="GL36" s="133" t="n">
        <f aca="false">IF(OR(GL$4="",$B36=""),0,SUMIF('DADOS BRUTOS'!$A$3:$A$500,$B36,'DADOS BRUTOS'!DL$3:DL$500)+IF($C36="",0,SUMIF('DADOS BRUTOS'!$A$3:$A$500,$C36,'DADOS BRUTOS'!DL$3:DL$500)))</f>
        <v>0</v>
      </c>
      <c r="GM36" s="133" t="n">
        <f aca="false">IF(OR(GM$4="",$B36=""),0,SUMIF('DADOS BRUTOS'!$A$3:$A$500,$B36,'DADOS BRUTOS'!DM$3:DM$500)+IF($C36="",0,SUMIF('DADOS BRUTOS'!$A$3:$A$500,$C36,'DADOS BRUTOS'!DM$3:DM$500)))</f>
        <v>0</v>
      </c>
      <c r="GN36" s="133" t="n">
        <f aca="false">IF(OR(GN$4="",$B36=""),0,SUMIF('DADOS BRUTOS'!$A$3:$A$500,$B36,'DADOS BRUTOS'!DN$3:DN$500)+IF($C36="",0,SUMIF('DADOS BRUTOS'!$A$3:$A$500,$C36,'DADOS BRUTOS'!DN$3:DN$500)))</f>
        <v>0</v>
      </c>
      <c r="GO36" s="133" t="n">
        <f aca="false">IF(OR(GO$4="",$B36=""),0,SUMIF('DADOS BRUTOS'!$A$3:$A$500,$B36,'DADOS BRUTOS'!DO$3:DO$500)+IF($C36="",0,SUMIF('DADOS BRUTOS'!$A$3:$A$500,$C36,'DADOS BRUTOS'!DO$3:DO$500)))</f>
        <v>0</v>
      </c>
      <c r="GP36" s="133" t="n">
        <f aca="false">IF(OR(GP$4="",$B36=""),0,SUMIF('DADOS BRUTOS'!$A$3:$A$500,$B36,'DADOS BRUTOS'!DP$3:DP$500)+IF($C36="",0,SUMIF('DADOS BRUTOS'!$A$3:$A$500,$C36,'DADOS BRUTOS'!DP$3:DP$500)))</f>
        <v>0</v>
      </c>
      <c r="GQ36" s="133" t="n">
        <f aca="false">IF(OR(GQ$4="",$B36=""),0,SUMIF('DADOS BRUTOS'!$A$3:$A$500,$B36,'DADOS BRUTOS'!DQ$3:DQ$500)+IF($C36="",0,SUMIF('DADOS BRUTOS'!$A$3:$A$500,$C36,'DADOS BRUTOS'!DQ$3:DQ$500)))</f>
        <v>0</v>
      </c>
      <c r="GR36" s="133" t="n">
        <f aca="false">IF(OR(GR$4="",$B36=""),0,SUMIF('DADOS BRUTOS'!$A$3:$A$500,$B36,'DADOS BRUTOS'!DR$3:DR$500)+IF($C36="",0,SUMIF('DADOS BRUTOS'!$A$3:$A$500,$C36,'DADOS BRUTOS'!DR$3:DR$500)))</f>
        <v>0</v>
      </c>
      <c r="GS36" s="133" t="n">
        <f aca="false">IF(OR(GS$4="",$B36=""),0,SUMIF('DADOS BRUTOS'!$A$3:$A$500,$B36,'DADOS BRUTOS'!DS$3:DS$500)+IF($C36="",0,SUMIF('DADOS BRUTOS'!$A$3:$A$500,$C36,'DADOS BRUTOS'!DS$3:DS$500)))</f>
        <v>0</v>
      </c>
      <c r="GT36" s="133" t="n">
        <f aca="false">IF(OR(GT$4="",$B36=""),0,SUMIF('DADOS BRUTOS'!$A$3:$A$500,$B36,'DADOS BRUTOS'!DT$3:DT$500)+IF($C36="",0,SUMIF('DADOS BRUTOS'!$A$3:$A$500,$C36,'DADOS BRUTOS'!DT$3:DT$500)))</f>
        <v>0</v>
      </c>
      <c r="GU36" s="133" t="n">
        <f aca="false">IF(OR(GU$4="",$B36=""),0,SUMIF('DADOS BRUTOS'!$A$3:$A$500,$B36,'DADOS BRUTOS'!DU$3:DU$500)+IF($C36="",0,SUMIF('DADOS BRUTOS'!$A$3:$A$500,$C36,'DADOS BRUTOS'!DU$3:DU$500)))</f>
        <v>0</v>
      </c>
      <c r="GV36" s="133" t="n">
        <f aca="false">IF(OR(GV$4="",$B36=""),0,SUMIF('DADOS BRUTOS'!$A$3:$A$500,$B36,'DADOS BRUTOS'!DV$3:DV$500)+IF($C36="",0,SUMIF('DADOS BRUTOS'!$A$3:$A$500,$C36,'DADOS BRUTOS'!DV$3:DV$500)))</f>
        <v>0</v>
      </c>
      <c r="GW36" s="133" t="n">
        <f aca="false">IF(OR(GW$4="",$B36=""),0,SUMIF('DADOS BRUTOS'!$A$3:$A$500,$B36,'DADOS BRUTOS'!DW$3:DW$500)+IF($C36="",0,SUMIF('DADOS BRUTOS'!$A$3:$A$500,$C36,'DADOS BRUTOS'!DW$3:DW$500)))</f>
        <v>0</v>
      </c>
      <c r="GX36" s="133" t="n">
        <f aca="false">IF(OR(GX$4="",$B36=""),0,SUMIF('DADOS BRUTOS'!$A$3:$A$500,$B36,'DADOS BRUTOS'!DX$3:DX$500)+IF($C36="",0,SUMIF('DADOS BRUTOS'!$A$3:$A$500,$C36,'DADOS BRUTOS'!DX$3:DX$500)))</f>
        <v>0</v>
      </c>
      <c r="GY36" s="133" t="n">
        <f aca="false">IF(OR(GY$4="",$B36=""),0,SUMIF('DADOS BRUTOS'!$A$3:$A$500,$B36,'DADOS BRUTOS'!DY$3:DY$500)+IF($C36="",0,SUMIF('DADOS BRUTOS'!$A$3:$A$500,$C36,'DADOS BRUTOS'!DY$3:DY$500)))</f>
        <v>0</v>
      </c>
      <c r="GZ36" s="133" t="n">
        <f aca="false">IF(OR(GZ$4="",$B36=""),0,SUMIF('DADOS BRUTOS'!$A$3:$A$500,$B36,'DADOS BRUTOS'!DZ$3:DZ$500)+IF($C36="",0,SUMIF('DADOS BRUTOS'!$A$3:$A$500,$C36,'DADOS BRUTOS'!DZ$3:DZ$500)))</f>
        <v>0</v>
      </c>
      <c r="HA36" s="133" t="n">
        <f aca="false">IF(OR(HA$4="",$B36=""),0,SUMIF('DADOS BRUTOS'!$A$3:$A$500,$B36,'DADOS BRUTOS'!EA$3:EA$500)+IF($C36="",0,SUMIF('DADOS BRUTOS'!$A$3:$A$500,$C36,'DADOS BRUTOS'!EA$3:EA$500)))</f>
        <v>0</v>
      </c>
      <c r="HB36" s="133" t="n">
        <f aca="false">IF(OR(HB$4="",$B36=""),0,SUMIF('DADOS BRUTOS'!$A$3:$A$500,$B36,'DADOS BRUTOS'!EB$3:EB$500)+IF($C36="",0,SUMIF('DADOS BRUTOS'!$A$3:$A$500,$C36,'DADOS BRUTOS'!EB$3:EB$500)))</f>
        <v>0</v>
      </c>
      <c r="HC36" s="133" t="n">
        <f aca="false">IF(OR(HC$4="",$B36=""),0,SUMIF('DADOS BRUTOS'!$A$3:$A$500,$B36,'DADOS BRUTOS'!EC$3:EC$500)+IF($C36="",0,SUMIF('DADOS BRUTOS'!$A$3:$A$500,$C36,'DADOS BRUTOS'!EC$3:EC$500)))</f>
        <v>0</v>
      </c>
      <c r="HD36" s="133" t="n">
        <f aca="false">IF(OR(HD$4="",$B36=""),0,SUMIF('DADOS BRUTOS'!$A$3:$A$500,$B36,'DADOS BRUTOS'!ED$3:ED$500)+IF($C36="",0,SUMIF('DADOS BRUTOS'!$A$3:$A$500,$C36,'DADOS BRUTOS'!ED$3:ED$500)))</f>
        <v>0</v>
      </c>
      <c r="HE36" s="133" t="n">
        <f aca="false">IF(OR(HE$4="",$B36=""),0,SUMIF('DADOS BRUTOS'!$A$3:$A$500,$B36,'DADOS BRUTOS'!EE$3:EE$500)+IF($C36="",0,SUMIF('DADOS BRUTOS'!$A$3:$A$500,$C36,'DADOS BRUTOS'!EE$3:EE$500)))</f>
        <v>0</v>
      </c>
      <c r="HF36" s="133" t="n">
        <f aca="false">IF(OR(HF$4="",$B36=""),0,SUMIF('DADOS BRUTOS'!$A$3:$A$500,$B36,'DADOS BRUTOS'!EF$3:EF$500)+IF($C36="",0,SUMIF('DADOS BRUTOS'!$A$3:$A$500,$C36,'DADOS BRUTOS'!EF$3:EF$500)))</f>
        <v>0</v>
      </c>
      <c r="HG36" s="133" t="n">
        <f aca="false">IF(OR(HG$4="",$B36=""),0,SUMIF('DADOS BRUTOS'!$A$3:$A$500,$B36,'DADOS BRUTOS'!EG$3:EG$500)+IF($C36="",0,SUMIF('DADOS BRUTOS'!$A$3:$A$500,$C36,'DADOS BRUTOS'!EG$3:EG$500)))</f>
        <v>0</v>
      </c>
      <c r="HH36" s="133" t="n">
        <f aca="false">IF(OR(HH$4="",$B36=""),0,SUMIF('DADOS BRUTOS'!$A$3:$A$500,$B36,'DADOS BRUTOS'!EH$3:EH$500)+IF($C36="",0,SUMIF('DADOS BRUTOS'!$A$3:$A$500,$C36,'DADOS BRUTOS'!EH$3:EH$500)))</f>
        <v>0</v>
      </c>
      <c r="HI36" s="133" t="n">
        <f aca="false">IF(OR(HI$4="",$B36=""),0,SUMIF('DADOS BRUTOS'!$A$3:$A$500,$B36,'DADOS BRUTOS'!EI$3:EI$500)+IF($C36="",0,SUMIF('DADOS BRUTOS'!$A$3:$A$500,$C36,'DADOS BRUTOS'!EI$3:EI$500)))</f>
        <v>0</v>
      </c>
      <c r="HJ36" s="133" t="n">
        <f aca="false">IF(OR(HJ$4="",$B36=""),0,SUMIF('DADOS BRUTOS'!$A$3:$A$500,$B36,'DADOS BRUTOS'!EJ$3:EJ$500)+IF($C36="",0,SUMIF('DADOS BRUTOS'!$A$3:$A$500,$C36,'DADOS BRUTOS'!EJ$3:EJ$500)))</f>
        <v>0</v>
      </c>
      <c r="HK36" s="133" t="n">
        <f aca="false">IF(OR(HK$4="",$B36=""),0,SUMIF('DADOS BRUTOS'!$A$3:$A$500,$B36,'DADOS BRUTOS'!EK$3:EK$500)+IF($C36="",0,SUMIF('DADOS BRUTOS'!$A$3:$A$500,$C36,'DADOS BRUTOS'!EK$3:EK$500)))</f>
        <v>0</v>
      </c>
      <c r="HL36" s="133" t="n">
        <f aca="false">IF(OR(HL$4="",$B36=""),0,SUMIF('DADOS BRUTOS'!$A$3:$A$500,$B36,'DADOS BRUTOS'!EL$3:EL$500)+IF($C36="",0,SUMIF('DADOS BRUTOS'!$A$3:$A$500,$C36,'DADOS BRUTOS'!EL$3:EL$500)))</f>
        <v>0</v>
      </c>
      <c r="HM36" s="133" t="n">
        <f aca="false">IF(OR(HM$4="",$B36=""),0,SUMIF('DADOS BRUTOS'!$A$3:$A$500,$B36,'DADOS BRUTOS'!EM$3:EM$500)+IF($C36="",0,SUMIF('DADOS BRUTOS'!$A$3:$A$500,$C36,'DADOS BRUTOS'!EM$3:EM$500)))</f>
        <v>0</v>
      </c>
      <c r="HN36" s="133" t="n">
        <f aca="false">IF(OR(HN$4="",$B36=""),0,SUMIF('DADOS BRUTOS'!$A$3:$A$500,$B36,'DADOS BRUTOS'!EN$3:EN$500)+IF($C36="",0,SUMIF('DADOS BRUTOS'!$A$3:$A$500,$C36,'DADOS BRUTOS'!EN$3:EN$500)))</f>
        <v>0</v>
      </c>
      <c r="HO36" s="133" t="n">
        <f aca="false">IF(OR(HO$4="",$B36=""),0,SUMIF('DADOS BRUTOS'!$A$3:$A$500,$B36,'DADOS BRUTOS'!EO$3:EO$500)+IF($C36="",0,SUMIF('DADOS BRUTOS'!$A$3:$A$500,$C36,'DADOS BRUTOS'!EO$3:EO$500)))</f>
        <v>0</v>
      </c>
      <c r="HP36" s="133" t="n">
        <f aca="false">IF(OR(HP$4="",$B36=""),0,SUMIF('DADOS BRUTOS'!$A$3:$A$500,$B36,'DADOS BRUTOS'!EP$3:EP$500)+IF($C36="",0,SUMIF('DADOS BRUTOS'!$A$3:$A$500,$C36,'DADOS BRUTOS'!EP$3:EP$500)))</f>
        <v>0</v>
      </c>
      <c r="HQ36" s="133" t="n">
        <f aca="false">IF(OR(HQ$4="",$B36=""),0,SUMIF('DADOS BRUTOS'!$A$3:$A$500,$B36,'DADOS BRUTOS'!EQ$3:EQ$500)+IF($C36="",0,SUMIF('DADOS BRUTOS'!$A$3:$A$500,$C36,'DADOS BRUTOS'!EQ$3:EQ$500)))</f>
        <v>0</v>
      </c>
      <c r="HR36" s="133" t="n">
        <f aca="false">IF(OR(HR$4="",$B36=""),0,SUMIF('DADOS BRUTOS'!$A$3:$A$500,$B36,'DADOS BRUTOS'!ER$3:ER$500)+IF($C36="",0,SUMIF('DADOS BRUTOS'!$A$3:$A$500,$C36,'DADOS BRUTOS'!ER$3:ER$500)))</f>
        <v>0</v>
      </c>
      <c r="HS36" s="133" t="n">
        <f aca="false">IF(OR(HS$4="",$B36=""),0,SUMIF('DADOS BRUTOS'!$A$3:$A$500,$B36,'DADOS BRUTOS'!ES$3:ES$500)+IF($C36="",0,SUMIF('DADOS BRUTOS'!$A$3:$A$500,$C36,'DADOS BRUTOS'!ES$3:ES$500)))</f>
        <v>0</v>
      </c>
      <c r="HT36" s="133" t="n">
        <f aca="false">IF(OR(HT$4="",$B36=""),0,SUMIF('DADOS BRUTOS'!$A$3:$A$500,$B36,'DADOS BRUTOS'!ET$3:ET$500)+IF($C36="",0,SUMIF('DADOS BRUTOS'!$A$3:$A$500,$C36,'DADOS BRUTOS'!ET$3:ET$500)))</f>
        <v>0</v>
      </c>
      <c r="HU36" s="133" t="n">
        <f aca="false">IF(OR(HU$4="",$B36=""),0,SUMIF('DADOS BRUTOS'!$A$3:$A$500,$B36,'DADOS BRUTOS'!EU$3:EU$500)+IF($C36="",0,SUMIF('DADOS BRUTOS'!$A$3:$A$500,$C36,'DADOS BRUTOS'!EU$3:EU$500)))</f>
        <v>0</v>
      </c>
      <c r="HV36" s="133" t="n">
        <f aca="false">IF(OR(HV$4="",$B36=""),0,SUMIF('DADOS BRUTOS'!$A$3:$A$500,$B36,'DADOS BRUTOS'!EV$3:EV$500)+IF($C36="",0,SUMIF('DADOS BRUTOS'!$A$3:$A$500,$C36,'DADOS BRUTOS'!EV$3:EV$500)))</f>
        <v>0</v>
      </c>
      <c r="HW36" s="133" t="n">
        <f aca="false">IF(OR(HW$4="",$B36=""),0,SUMIF('DADOS BRUTOS'!$A$3:$A$500,$B36,'DADOS BRUTOS'!EW$3:EW$500)+IF($C36="",0,SUMIF('DADOS BRUTOS'!$A$3:$A$500,$C36,'DADOS BRUTOS'!EW$3:EW$500)))</f>
        <v>0</v>
      </c>
      <c r="HX36" s="133" t="n">
        <f aca="false">IF(OR(HX$4="",$B36=""),0,SUMIF('DADOS BRUTOS'!$A$3:$A$500,$B36,'DADOS BRUTOS'!EX$3:EX$500)+IF($C36="",0,SUMIF('DADOS BRUTOS'!$A$3:$A$500,$C36,'DADOS BRUTOS'!EX$3:EX$500)))</f>
        <v>0</v>
      </c>
      <c r="HY36" s="133" t="n">
        <f aca="false">IF(OR(HY$4="",$B36=""),0,SUMIF('DADOS BRUTOS'!$A$3:$A$500,$B36,'DADOS BRUTOS'!EY$3:EY$500)+IF($C36="",0,SUMIF('DADOS BRUTOS'!$A$3:$A$500,$C36,'DADOS BRUTOS'!EY$3:EY$500)))</f>
        <v>0</v>
      </c>
      <c r="HZ36" s="133" t="n">
        <f aca="false">IF(OR(HZ$4="",$B36=""),0,SUMIF('DADOS BRUTOS'!$A$3:$A$500,$B36,'DADOS BRUTOS'!EZ$3:EZ$500)+IF($C36="",0,SUMIF('DADOS BRUTOS'!$A$3:$A$500,$C36,'DADOS BRUTOS'!EZ$3:EZ$500)))</f>
        <v>0</v>
      </c>
      <c r="IA36" s="133" t="n">
        <f aca="false">IF(OR(IA$4="",$B36=""),0,SUMIF('DADOS BRUTOS'!$A$3:$A$500,$B36,'DADOS BRUTOS'!FA$3:FA$500)+IF($C36="",0,SUMIF('DADOS BRUTOS'!$A$3:$A$500,$C36,'DADOS BRUTOS'!FA$3:FA$500)))</f>
        <v>0</v>
      </c>
      <c r="IB36" s="133" t="n">
        <f aca="false">IF(OR(IB$4="",$B36=""),0,SUMIF('DADOS BRUTOS'!$A$3:$A$500,$B36,'DADOS BRUTOS'!FB$3:FB$500)+IF($C36="",0,SUMIF('DADOS BRUTOS'!$A$3:$A$500,$C36,'DADOS BRUTOS'!FB$3:FB$500)))</f>
        <v>0</v>
      </c>
      <c r="IC36" s="133" t="n">
        <f aca="false">IF(OR(IC$4="",$B36=""),0,SUMIF('DADOS BRUTOS'!$A$3:$A$500,$B36,'DADOS BRUTOS'!FC$3:FC$500)+IF($C36="",0,SUMIF('DADOS BRUTOS'!$A$3:$A$500,$C36,'DADOS BRUTOS'!FC$3:FC$500)))</f>
        <v>0</v>
      </c>
      <c r="ID36" s="133" t="n">
        <f aca="false">IF(OR(ID$4="",$B36=""),0,SUMIF('DADOS BRUTOS'!$A$3:$A$500,$B36,'DADOS BRUTOS'!FD$3:FD$500)+IF($C36="",0,SUMIF('DADOS BRUTOS'!$A$3:$A$500,$C36,'DADOS BRUTOS'!FD$3:FD$500)))</f>
        <v>0</v>
      </c>
      <c r="IE36" s="133" t="n">
        <f aca="false">IF(OR(IE$4="",$B36=""),0,SUMIF('DADOS BRUTOS'!$A$3:$A$500,$B36,'DADOS BRUTOS'!FE$3:FE$500)+IF($C36="",0,SUMIF('DADOS BRUTOS'!$A$3:$A$500,$C36,'DADOS BRUTOS'!FE$3:FE$500)))</f>
        <v>0</v>
      </c>
      <c r="IF36" s="133" t="n">
        <f aca="false">IF(OR(IF$4="",$B36=""),0,SUMIF('DADOS BRUTOS'!$A$3:$A$500,$B36,'DADOS BRUTOS'!FF$3:FF$500)+IF($C36="",0,SUMIF('DADOS BRUTOS'!$A$3:$A$500,$C36,'DADOS BRUTOS'!FF$3:FF$500)))</f>
        <v>0</v>
      </c>
      <c r="IG36" s="133" t="n">
        <f aca="false">IF(OR(IG$4="",$B36=""),0,SUMIF('DADOS BRUTOS'!$A$3:$A$500,$B36,'DADOS BRUTOS'!FG$3:FG$500)+IF($C36="",0,SUMIF('DADOS BRUTOS'!$A$3:$A$500,$C36,'DADOS BRUTOS'!FG$3:FG$500)))</f>
        <v>0</v>
      </c>
      <c r="IH36" s="133" t="n">
        <f aca="false">IF(OR(IH$4="",$B36=""),0,SUMIF('DADOS BRUTOS'!$A$3:$A$500,$B36,'DADOS BRUTOS'!FH$3:FH$500)+IF($C36="",0,SUMIF('DADOS BRUTOS'!$A$3:$A$500,$C36,'DADOS BRUTOS'!FH$3:FH$500)))</f>
        <v>0</v>
      </c>
      <c r="II36" s="133" t="n">
        <f aca="false">IF(OR(II$4="",$B36=""),0,SUMIF('DADOS BRUTOS'!$A$3:$A$500,$B36,'DADOS BRUTOS'!FI$3:FI$500)+IF($C36="",0,SUMIF('DADOS BRUTOS'!$A$3:$A$500,$C36,'DADOS BRUTOS'!FI$3:FI$500)))</f>
        <v>0</v>
      </c>
      <c r="IJ36" s="133" t="n">
        <f aca="false">IF(OR(IJ$4="",$B36=""),0,SUMIF('DADOS BRUTOS'!$A$3:$A$500,$B36,'DADOS BRUTOS'!FJ$3:FJ$500)+IF($C36="",0,SUMIF('DADOS BRUTOS'!$A$3:$A$500,$C36,'DADOS BRUTOS'!FJ$3:FJ$500)))</f>
        <v>0</v>
      </c>
      <c r="IK36" s="133" t="n">
        <f aca="false">IF(OR(IK$4="",$B36=""),0,SUMIF('DADOS BRUTOS'!$A$3:$A$500,$B36,'DADOS BRUTOS'!FK$3:FK$500)+IF($C36="",0,SUMIF('DADOS BRUTOS'!$A$3:$A$500,$C36,'DADOS BRUTOS'!FK$3:FK$500)))</f>
        <v>0</v>
      </c>
      <c r="IL36" s="133" t="n">
        <f aca="false">IF(OR(IL$4="",$B36=""),0,SUMIF('DADOS BRUTOS'!$A$3:$A$500,$B36,'DADOS BRUTOS'!FL$3:FL$500)+IF($C36="",0,SUMIF('DADOS BRUTOS'!$A$3:$A$500,$C36,'DADOS BRUTOS'!FL$3:FL$500)))</f>
        <v>0</v>
      </c>
      <c r="IM36" s="133" t="n">
        <f aca="false">IF(OR(IM$4="",$B36=""),0,SUMIF('DADOS BRUTOS'!$A$3:$A$500,$B36,'DADOS BRUTOS'!FM$3:FM$500)+IF($C36="",0,SUMIF('DADOS BRUTOS'!$A$3:$A$500,$C36,'DADOS BRUTOS'!FM$3:FM$500)))</f>
        <v>0</v>
      </c>
      <c r="IN36" s="133" t="n">
        <f aca="false">IF(OR(IN$4="",$B36=""),0,SUMIF('DADOS BRUTOS'!$A$3:$A$500,$B36,'DADOS BRUTOS'!FN$3:FN$500)+IF($C36="",0,SUMIF('DADOS BRUTOS'!$A$3:$A$500,$C36,'DADOS BRUTOS'!FN$3:FN$500)))</f>
        <v>0</v>
      </c>
      <c r="IO36" s="133" t="n">
        <f aca="false">IF(OR(IO$4="",$B36=""),0,SUMIF('DADOS BRUTOS'!$A$3:$A$500,$B36,'DADOS BRUTOS'!FO$3:FO$500)+IF($C36="",0,SUMIF('DADOS BRUTOS'!$A$3:$A$500,$C36,'DADOS BRUTOS'!FO$3:FO$500)))</f>
        <v>0</v>
      </c>
      <c r="IP36" s="133" t="n">
        <f aca="false">IF(OR(IP$4="",$B36=""),0,SUMIF('DADOS BRUTOS'!$A$3:$A$500,$B36,'DADOS BRUTOS'!FP$3:FP$500)+IF($C36="",0,SUMIF('DADOS BRUTOS'!$A$3:$A$500,$C36,'DADOS BRUTOS'!FP$3:FP$500)))</f>
        <v>0</v>
      </c>
      <c r="IQ36" s="133" t="n">
        <f aca="false">IF(OR(IQ$4="",$B36=""),0,SUMIF('DADOS BRUTOS'!$A$3:$A$500,$B36,'DADOS BRUTOS'!FQ$3:FQ$500)+IF($C36="",0,SUMIF('DADOS BRUTOS'!$A$3:$A$500,$C36,'DADOS BRUTOS'!FQ$3:FQ$500)))</f>
        <v>0</v>
      </c>
      <c r="IR36" s="133" t="n">
        <f aca="false">IF(OR(IR$4="",$B36=""),0,SUMIF('DADOS BRUTOS'!$A$3:$A$500,$B36,'DADOS BRUTOS'!FR$3:FR$500)+IF($C36="",0,SUMIF('DADOS BRUTOS'!$A$3:$A$500,$C36,'DADOS BRUTOS'!FR$3:FR$500)))</f>
        <v>0</v>
      </c>
      <c r="IS36" s="133" t="n">
        <f aca="false">IF(OR(IS$4="",$B36=""),0,SUMIF('DADOS BRUTOS'!$A$3:$A$500,$B36,'DADOS BRUTOS'!FS$3:FS$500)+IF($C36="",0,SUMIF('DADOS BRUTOS'!$A$3:$A$500,$C36,'DADOS BRUTOS'!FS$3:FS$500)))</f>
        <v>0</v>
      </c>
      <c r="IT36" s="133" t="n">
        <f aca="false">IF(OR(IT$4="",$B36=""),0,SUMIF('DADOS BRUTOS'!$A$3:$A$500,$B36,'DADOS BRUTOS'!FT$3:FT$500)+IF($C36="",0,SUMIF('DADOS BRUTOS'!$A$3:$A$500,$C36,'DADOS BRUTOS'!FT$3:FT$500)))</f>
        <v>0</v>
      </c>
      <c r="IU36" s="133" t="n">
        <f aca="false">IF(OR(IU$4="",$B36=""),0,SUMIF('DADOS BRUTOS'!$A$3:$A$500,$B36,'DADOS BRUTOS'!FU$3:FU$500)+IF($C36="",0,SUMIF('DADOS BRUTOS'!$A$3:$A$500,$C36,'DADOS BRUTOS'!FU$3:FU$500)))</f>
        <v>0</v>
      </c>
      <c r="IV36" s="133" t="n">
        <f aca="false">IF(OR(IV$4="",$B36=""),0,SUMIF('DADOS BRUTOS'!$A$3:$A$500,$B36,'DADOS BRUTOS'!FV$3:FV$500)+IF($C36="",0,SUMIF('DADOS BRUTOS'!$A$3:$A$500,$C36,'DADOS BRUTOS'!FV$3:FV$500)))</f>
        <v>0</v>
      </c>
      <c r="IW36" s="133" t="n">
        <f aca="false">IF(OR(IW$4="",$B36=""),0,SUMIF('DADOS BRUTOS'!$A$3:$A$500,$B36,'DADOS BRUTOS'!FW$3:FW$500)+IF($C36="",0,SUMIF('DADOS BRUTOS'!$A$3:$A$500,$C36,'DADOS BRUTOS'!FW$3:FW$500)))</f>
        <v>0</v>
      </c>
      <c r="IX36" s="133" t="n">
        <f aca="false">IF(OR(IX$4="",$B36=""),0,SUMIF('DADOS BRUTOS'!$A$3:$A$500,$B36,'DADOS BRUTOS'!FX$3:FX$500)+IF($C36="",0,SUMIF('DADOS BRUTOS'!$A$3:$A$500,$C36,'DADOS BRUTOS'!FX$3:FX$500)))</f>
        <v>0</v>
      </c>
      <c r="IY36" s="133" t="n">
        <f aca="false">IF(OR(IY$4="",$B36=""),0,SUMIF('DADOS BRUTOS'!$A$3:$A$500,$B36,'DADOS BRUTOS'!FY$3:FY$500)+IF($C36="",0,SUMIF('DADOS BRUTOS'!$A$3:$A$500,$C36,'DADOS BRUTOS'!FY$3:FY$500)))</f>
        <v>0</v>
      </c>
      <c r="IZ36" s="133" t="n">
        <f aca="false">IF(OR(IZ$4="",$B36=""),0,SUMIF('DADOS BRUTOS'!$A$3:$A$500,$B36,'DADOS BRUTOS'!FZ$3:FZ$500)+IF($C36="",0,SUMIF('DADOS BRUTOS'!$A$3:$A$500,$C36,'DADOS BRUTOS'!FZ$3:FZ$500)))</f>
        <v>0</v>
      </c>
      <c r="JA36" s="133" t="n">
        <f aca="false">IF(OR(JA$4="",$B36=""),0,SUMIF('DADOS BRUTOS'!$A$3:$A$500,$B36,'DADOS BRUTOS'!GA$3:GA$500)+IF($C36="",0,SUMIF('DADOS BRUTOS'!$A$3:$A$500,$C36,'DADOS BRUTOS'!GA$3:GA$500)))</f>
        <v>0</v>
      </c>
      <c r="JB36" s="133" t="n">
        <f aca="false">IF(OR(JB$4="",$B36=""),0,SUMIF('DADOS BRUTOS'!$A$3:$A$500,$B36,'DADOS BRUTOS'!GB$3:GB$500)+IF($C36="",0,SUMIF('DADOS BRUTOS'!$A$3:$A$500,$C36,'DADOS BRUTOS'!GB$3:GB$500)))</f>
        <v>0</v>
      </c>
      <c r="JC36" s="133" t="n">
        <f aca="false">IF(OR(JC$4="",$B36=""),0,SUMIF('DADOS BRUTOS'!$A$3:$A$500,$B36,'DADOS BRUTOS'!GC$3:GC$500)+IF($C36="",0,SUMIF('DADOS BRUTOS'!$A$3:$A$500,$C36,'DADOS BRUTOS'!GC$3:GC$500)))</f>
        <v>0</v>
      </c>
      <c r="JD36" s="133" t="n">
        <f aca="false">IF(OR(JD$4="",$B36=""),0,SUMIF('DADOS BRUTOS'!$A$3:$A$500,$B36,'DADOS BRUTOS'!GD$3:GD$500)+IF($C36="",0,SUMIF('DADOS BRUTOS'!$A$3:$A$500,$C36,'DADOS BRUTOS'!GD$3:GD$500)))</f>
        <v>0</v>
      </c>
      <c r="JE36" s="133" t="n">
        <f aca="false">IF(OR(JE$4="",$B36=""),0,SUMIF('DADOS BRUTOS'!$A$3:$A$500,$B36,'DADOS BRUTOS'!GE$3:GE$500)+IF($C36="",0,SUMIF('DADOS BRUTOS'!$A$3:$A$500,$C36,'DADOS BRUTOS'!GE$3:GE$500)))</f>
        <v>0</v>
      </c>
      <c r="JF36" s="133" t="n">
        <f aca="false">IF(OR(JF$4="",$B36=""),0,SUMIF('DADOS BRUTOS'!$A$3:$A$500,$B36,'DADOS BRUTOS'!GF$3:GF$500)+IF($C36="",0,SUMIF('DADOS BRUTOS'!$A$3:$A$500,$C36,'DADOS BRUTOS'!GF$3:GF$500)))</f>
        <v>0</v>
      </c>
      <c r="JG36" s="133" t="n">
        <f aca="false">IF(OR(JG$4="",$B36=""),0,SUMIF('DADOS BRUTOS'!$A$3:$A$500,$B36,'DADOS BRUTOS'!GG$3:GG$500)+IF($C36="",0,SUMIF('DADOS BRUTOS'!$A$3:$A$500,$C36,'DADOS BRUTOS'!GG$3:GG$500)))</f>
        <v>0</v>
      </c>
      <c r="JH36" s="133" t="n">
        <f aca="false">IF(OR(JH$4="",$B36=""),0,SUMIF('DADOS BRUTOS'!$A$3:$A$500,$B36,'DADOS BRUTOS'!GH$3:GH$500)+IF($C36="",0,SUMIF('DADOS BRUTOS'!$A$3:$A$500,$C36,'DADOS BRUTOS'!GH$3:GH$500)))</f>
        <v>0</v>
      </c>
      <c r="JI36" s="133" t="n">
        <f aca="false">IF(OR(JI$4="",$B36=""),0,SUMIF('DADOS BRUTOS'!$A$3:$A$500,$B36,'DADOS BRUTOS'!GI$3:GI$500)+IF($C36="",0,SUMIF('DADOS BRUTOS'!$A$3:$A$500,$C36,'DADOS BRUTOS'!GI$3:GI$500)))</f>
        <v>0</v>
      </c>
      <c r="JJ36" s="133" t="n">
        <f aca="false">IF(OR(JJ$4="",$B36=""),0,SUMIF('DADOS BRUTOS'!$A$3:$A$500,$B36,'DADOS BRUTOS'!GJ$3:GJ$500)+IF($C36="",0,SUMIF('DADOS BRUTOS'!$A$3:$A$500,$C36,'DADOS BRUTOS'!GJ$3:GJ$500)))</f>
        <v>0</v>
      </c>
      <c r="JK36" s="133" t="n">
        <f aca="false">IF(OR(JK$4="",$B36=""),0,SUMIF('DADOS BRUTOS'!$A$3:$A$500,$B36,'DADOS BRUTOS'!GK$3:GK$500)+IF($C36="",0,SUMIF('DADOS BRUTOS'!$A$3:$A$500,$C36,'DADOS BRUTOS'!GK$3:GK$500)))</f>
        <v>0</v>
      </c>
      <c r="JL36" s="133" t="n">
        <f aca="false">IF(OR(JL$4="",$B36=""),0,SUMIF('DADOS BRUTOS'!$A$3:$A$500,$B36,'DADOS BRUTOS'!GL$3:GL$500)+IF($C36="",0,SUMIF('DADOS BRUTOS'!$A$3:$A$500,$C36,'DADOS BRUTOS'!GL$3:GL$500)))</f>
        <v>0</v>
      </c>
      <c r="JM36" s="133" t="n">
        <f aca="false">IF(OR(JM$4="",$B36=""),0,SUMIF('DADOS BRUTOS'!$A$3:$A$500,$B36,'DADOS BRUTOS'!GM$3:GM$500)+IF($C36="",0,SUMIF('DADOS BRUTOS'!$A$3:$A$500,$C36,'DADOS BRUTOS'!GM$3:GM$500)))</f>
        <v>0</v>
      </c>
      <c r="JN36" s="133" t="n">
        <f aca="false">IF(OR(JN$4="",$B36=""),0,SUMIF('DADOS BRUTOS'!$A$3:$A$500,$B36,'DADOS BRUTOS'!GN$3:GN$500)+IF($C36="",0,SUMIF('DADOS BRUTOS'!$A$3:$A$500,$C36,'DADOS BRUTOS'!GN$3:GN$500)))</f>
        <v>0</v>
      </c>
      <c r="JO36" s="133" t="n">
        <f aca="false">IF(OR(JO$4="",$B36=""),0,SUMIF('DADOS BRUTOS'!$A$3:$A$500,$B36,'DADOS BRUTOS'!GO$3:GO$500)+IF($C36="",0,SUMIF('DADOS BRUTOS'!$A$3:$A$500,$C36,'DADOS BRUTOS'!GO$3:GO$500)))</f>
        <v>0</v>
      </c>
      <c r="JP36" s="133" t="n">
        <f aca="false">IF(OR(JP$4="",$B36=""),0,SUMIF('DADOS BRUTOS'!$A$3:$A$500,$B36,'DADOS BRUTOS'!GP$3:GP$500)+IF($C36="",0,SUMIF('DADOS BRUTOS'!$A$3:$A$500,$C36,'DADOS BRUTOS'!GP$3:GP$500)))</f>
        <v>0</v>
      </c>
      <c r="JQ36" s="133" t="n">
        <f aca="false">IF(OR(JQ$4="",$B36=""),0,SUMIF('DADOS BRUTOS'!$A$3:$A$500,$B36,'DADOS BRUTOS'!GQ$3:GQ$500)+IF($C36="",0,SUMIF('DADOS BRUTOS'!$A$3:$A$500,$C36,'DADOS BRUTOS'!GQ$3:GQ$500)))</f>
        <v>0</v>
      </c>
      <c r="JR36" s="133" t="n">
        <f aca="false">IF(OR(JR$4="",$B36=""),0,SUMIF('DADOS BRUTOS'!$A$3:$A$500,$B36,'DADOS BRUTOS'!GR$3:GR$500)+IF($C36="",0,SUMIF('DADOS BRUTOS'!$A$3:$A$500,$C36,'DADOS BRUTOS'!GR$3:GR$500)))</f>
        <v>0</v>
      </c>
      <c r="JS36" s="133" t="n">
        <f aca="false">IF(OR(JS$4="",$B36=""),0,SUMIF('DADOS BRUTOS'!$A$3:$A$500,$B36,'DADOS BRUTOS'!GS$3:GS$500)+IF($C36="",0,SUMIF('DADOS BRUTOS'!$A$3:$A$500,$C36,'DADOS BRUTOS'!GS$3:GS$500)))</f>
        <v>0</v>
      </c>
    </row>
    <row r="37" customFormat="false" ht="15" hidden="false" customHeight="false" outlineLevel="0" collapsed="false">
      <c r="A37" s="57" t="str">
        <f aca="false">'VALOR POR PL'!D43</f>
        <v>FORRO</v>
      </c>
      <c r="B37" s="55" t="s">
        <v>216</v>
      </c>
      <c r="C37" s="55"/>
      <c r="D37" s="50" t="n">
        <f aca="false">SUMIF($CB$4:$JS$4,"&lt;="&amp;D$4,$CB37:$JS37)</f>
        <v>0</v>
      </c>
      <c r="E37" s="50" t="n">
        <f aca="false">SUMIF($CB$4:$JS$4,E$4,$CB37:$JS37)</f>
        <v>0</v>
      </c>
      <c r="F37" s="50" t="n">
        <f aca="false">SUMIF($CB$4:$JS$4,F$4,$CB37:$JS37)</f>
        <v>0</v>
      </c>
      <c r="G37" s="50" t="n">
        <f aca="false">SUMIF($CB$4:$JS$4,G$4,$CB37:$JS37)</f>
        <v>0</v>
      </c>
      <c r="H37" s="50" t="n">
        <f aca="false">SUMIF($CB$4:$JS$4,H$4,$CB37:$JS37)</f>
        <v>0</v>
      </c>
      <c r="I37" s="50" t="n">
        <f aca="false">SUMIF($CB$4:$JS$4,I$4,$CB37:$JS37)</f>
        <v>0</v>
      </c>
      <c r="J37" s="50" t="n">
        <f aca="false">SUMIF($CB$4:$JS$4,J$4,$CB37:$JS37)</f>
        <v>0</v>
      </c>
      <c r="K37" s="50" t="n">
        <f aca="false">SUMIF($CB$4:$JS$4,K$4,$CB37:$JS37)</f>
        <v>0</v>
      </c>
      <c r="L37" s="50" t="n">
        <f aca="false">SUMIF($CB$4:$JS$4,L$4,$CB37:$JS37)</f>
        <v>0</v>
      </c>
      <c r="M37" s="50" t="n">
        <f aca="false">SUMIF($CB$4:$JS$4,M$4,$CB37:$JS37)</f>
        <v>0</v>
      </c>
      <c r="N37" s="50" t="n">
        <f aca="false">SUMIF($CB$4:$JS$4,N$4,$CB37:$JS37)</f>
        <v>0</v>
      </c>
      <c r="O37" s="50" t="n">
        <f aca="false">SUMIF($CB$4:$JS$4,O$4,$CB37:$JS37)</f>
        <v>0</v>
      </c>
      <c r="P37" s="50" t="n">
        <f aca="false">SUMIF($CB$4:$JS$4,P$4,$CB37:$JS37)</f>
        <v>0</v>
      </c>
      <c r="Q37" s="50" t="n">
        <f aca="false">SUMIF($CB$4:$JS$4,Q$4,$CB37:$JS37)</f>
        <v>0</v>
      </c>
      <c r="R37" s="50" t="n">
        <f aca="false">SUMIF($CB$4:$JS$4,R$4,$CB37:$JS37)</f>
        <v>0</v>
      </c>
      <c r="S37" s="50" t="n">
        <f aca="false">SUMIF($CB$4:$JS$4,S$4,$CB37:$JS37)</f>
        <v>0</v>
      </c>
      <c r="T37" s="50" t="n">
        <f aca="false">SUMIF($CB$4:$JS$4,T$4,$CB37:$JS37)</f>
        <v>0</v>
      </c>
      <c r="U37" s="50" t="n">
        <f aca="false">SUMIF($CB$4:$JS$4,U$4,$CB37:$JS37)</f>
        <v>0</v>
      </c>
      <c r="V37" s="50" t="n">
        <f aca="false">SUMIF($CB$4:$JS$4,V$4,$CB37:$JS37)</f>
        <v>0</v>
      </c>
      <c r="W37" s="50" t="n">
        <f aca="false">SUMIF($CB$4:$JS$4,W$4,$CB37:$JS37)</f>
        <v>0</v>
      </c>
      <c r="X37" s="50" t="n">
        <f aca="false">SUMIF($CB$4:$JS$4,X$4,$CB37:$JS37)</f>
        <v>0</v>
      </c>
      <c r="Y37" s="50" t="n">
        <f aca="false">SUMIF($CB$4:$JS$4,Y$4,$CB37:$JS37)</f>
        <v>0</v>
      </c>
      <c r="Z37" s="50" t="n">
        <f aca="false">SUMIF($CB$4:$JS$4,Z$4,$CB37:$JS37)</f>
        <v>0</v>
      </c>
      <c r="AA37" s="50" t="n">
        <f aca="false">SUMIF($CB$4:$JS$4,AA$4,$CB37:$JS37)</f>
        <v>0</v>
      </c>
      <c r="AB37" s="50" t="n">
        <f aca="false">SUMIF($CB$4:$JS$4,AB$4,$CB37:$JS37)</f>
        <v>0</v>
      </c>
      <c r="AC37" s="50" t="n">
        <f aca="false">SUMIF($CB$4:$JS$4,AC$4,$CB37:$JS37)</f>
        <v>0</v>
      </c>
      <c r="AD37" s="50" t="n">
        <f aca="false">SUMIF($CB$4:$JS$4,AD$4,$CB37:$JS37)</f>
        <v>0</v>
      </c>
      <c r="AE37" s="50" t="n">
        <f aca="false">SUMIF($CB$4:$JS$4,AE$4,$CB37:$JS37)</f>
        <v>0</v>
      </c>
      <c r="AF37" s="50" t="n">
        <f aca="false">SUMIF($CB$4:$JS$4,AF$4,$CB37:$JS37)</f>
        <v>0</v>
      </c>
      <c r="AG37" s="50" t="n">
        <f aca="false">SUMIF($CB$4:$JS$4,AG$4,$CB37:$JS37)</f>
        <v>0</v>
      </c>
      <c r="AH37" s="50" t="n">
        <f aca="false">SUMIF($CB$4:$JS$4,AH$4,$CB37:$JS37)</f>
        <v>0</v>
      </c>
      <c r="AI37" s="50" t="n">
        <f aca="false">SUMIF($CB$4:$JS$4,AI$4,$CB37:$JS37)</f>
        <v>0</v>
      </c>
      <c r="AJ37" s="50" t="n">
        <f aca="false">SUMIF($CB$4:$JS$4,AJ$4,$CB37:$JS37)</f>
        <v>0</v>
      </c>
      <c r="AK37" s="50" t="n">
        <f aca="false">SUMIF($CB$4:$JS$4,AK$4,$CB37:$JS37)</f>
        <v>0</v>
      </c>
      <c r="AL37" s="50" t="n">
        <f aca="false">SUMIF($CB$4:$JS$4,AL$4,$CB37:$JS37)</f>
        <v>0</v>
      </c>
      <c r="AM37" s="50" t="n">
        <f aca="false">SUMIF($CB$4:$JS$4,AM$4,$CB37:$JS37)</f>
        <v>0</v>
      </c>
      <c r="AN37" s="50" t="n">
        <f aca="false">SUMIF($CB$4:$JS$4,AN$4,$CB37:$JS37)</f>
        <v>0</v>
      </c>
      <c r="AO37" s="50" t="n">
        <f aca="false">SUMIF($CB$4:$JS$4,AO$4,$CB37:$JS37)</f>
        <v>0</v>
      </c>
      <c r="AP37" s="50" t="n">
        <f aca="false">SUMIF($CB$4:$JS$4,AP$4,$CB37:$JS37)</f>
        <v>0</v>
      </c>
      <c r="AQ37" s="50" t="n">
        <f aca="false">SUMIF($CB$4:$JS$4,AQ$4,$CB37:$JS37)</f>
        <v>0</v>
      </c>
      <c r="AR37" s="50" t="n">
        <f aca="false">SUMIF($CB$4:$JS$4,AR$4,$CB37:$JS37)</f>
        <v>0</v>
      </c>
      <c r="AS37" s="50" t="n">
        <f aca="false">SUMIF($CB$4:$JS$4,AS$4,$CB37:$JS37)</f>
        <v>0</v>
      </c>
      <c r="AT37" s="50" t="n">
        <f aca="false">SUMIF($CB$4:$JS$4,AT$4,$CB37:$JS37)</f>
        <v>0</v>
      </c>
      <c r="AU37" s="50" t="n">
        <f aca="false">SUMIF($CB$4:$JS$4,AU$4,$CB37:$JS37)</f>
        <v>0</v>
      </c>
      <c r="AV37" s="50" t="n">
        <f aca="false">SUMIF($CB$4:$JS$4,AV$4,$CB37:$JS37)</f>
        <v>0</v>
      </c>
      <c r="AW37" s="50" t="n">
        <f aca="false">SUMIF($CB$4:$JS$4,AW$4,$CB37:$JS37)</f>
        <v>0</v>
      </c>
      <c r="AX37" s="50" t="n">
        <f aca="false">SUMIF($CB$4:$JS$4,AX$4,$CB37:$JS37)</f>
        <v>0</v>
      </c>
      <c r="AY37" s="50" t="n">
        <f aca="false">SUMIF($CB$4:$JS$4,AY$4,$CB37:$JS37)</f>
        <v>0</v>
      </c>
      <c r="AZ37" s="50" t="n">
        <f aca="false">SUMIF($CB$4:$JS$4,AZ$4,$CB37:$JS37)</f>
        <v>0</v>
      </c>
      <c r="BA37" s="50" t="n">
        <f aca="false">SUMIF($CB$4:$JS$4,BA$4,$CB37:$JS37)</f>
        <v>0</v>
      </c>
      <c r="BB37" s="50" t="n">
        <f aca="false">SUMIF($CB$4:$JS$4,BB$4,$CB37:$JS37)</f>
        <v>0</v>
      </c>
      <c r="BC37" s="50" t="n">
        <f aca="false">SUMIF($CB$4:$JS$4,BC$4,$CB37:$JS37)</f>
        <v>0</v>
      </c>
      <c r="BD37" s="50" t="n">
        <f aca="false">SUMIF($CB$4:$JS$4,BD$4,$CB37:$JS37)</f>
        <v>0</v>
      </c>
      <c r="BE37" s="50" t="n">
        <f aca="false">SUMIF($CB$4:$JS$4,BE$4,$CB37:$JS37)</f>
        <v>0</v>
      </c>
      <c r="BF37" s="50" t="n">
        <f aca="false">SUMIF($CB$4:$JS$4,BF$4,$CB37:$JS37)</f>
        <v>0</v>
      </c>
      <c r="BG37" s="50" t="n">
        <f aca="false">SUMIF($CB$4:$JS$4,BG$4,$CB37:$JS37)</f>
        <v>0</v>
      </c>
      <c r="BH37" s="50" t="n">
        <f aca="false">SUMIF($CB$4:$JS$4,BH$4,$CB37:$JS37)</f>
        <v>0</v>
      </c>
      <c r="BI37" s="50" t="n">
        <f aca="false">SUMIF($CB$4:$JS$4,BI$4,$CB37:$JS37)</f>
        <v>0</v>
      </c>
      <c r="BJ37" s="50" t="n">
        <f aca="false">SUMIF($CB$4:$JS$4,BJ$4,$CB37:$JS37)</f>
        <v>0</v>
      </c>
      <c r="BK37" s="50" t="n">
        <f aca="false">SUMIF($CB$4:$JS$4,BK$4,$CB37:$JS37)</f>
        <v>0</v>
      </c>
      <c r="BL37" s="50" t="n">
        <f aca="false">SUMIF($CB$4:$JS$4,BL$4,$CB37:$JS37)</f>
        <v>0</v>
      </c>
      <c r="BM37" s="50" t="n">
        <f aca="false">SUMIF($CB$4:$JS$4,BM$4,$CB37:$JS37)</f>
        <v>0</v>
      </c>
      <c r="BN37" s="50" t="n">
        <f aca="false">SUMIF($CB$4:$JS$4,BN$4,$CB37:$JS37)</f>
        <v>0</v>
      </c>
      <c r="BO37" s="50" t="n">
        <f aca="false">SUMIF($CB$4:$JS$4,BO$4,$CB37:$JS37)</f>
        <v>0</v>
      </c>
      <c r="BP37" s="50" t="n">
        <f aca="false">SUMIF($CB$4:$JS$4,BP$4,$CB37:$JS37)</f>
        <v>0</v>
      </c>
      <c r="BQ37" s="50" t="n">
        <f aca="false">SUMIF($CB$4:$JS$4,BQ$4,$CB37:$JS37)</f>
        <v>0</v>
      </c>
      <c r="BR37" s="50" t="n">
        <f aca="false">SUMIF($CB$4:$JS$4,BR$4,$CB37:$JS37)</f>
        <v>0</v>
      </c>
      <c r="BS37" s="50" t="n">
        <f aca="false">SUMIF($CB$4:$JS$4,BS$4,$CB37:$JS37)</f>
        <v>0</v>
      </c>
      <c r="BT37" s="50" t="n">
        <f aca="false">SUMIF($CB$4:$JS$4,BT$4,$CB37:$JS37)</f>
        <v>0</v>
      </c>
      <c r="BU37" s="50" t="n">
        <f aca="false">SUMIF($CB$4:$JS$4,BU$4,$CB37:$JS37)</f>
        <v>0</v>
      </c>
      <c r="BV37" s="50" t="n">
        <f aca="false">SUMIF($CB$4:$JS$4,BV$4,$CB37:$JS37)</f>
        <v>0</v>
      </c>
      <c r="BW37" s="50" t="n">
        <f aca="false">SUMIF($CB$4:$JS$4,BW$4,$CB37:$JS37)</f>
        <v>0</v>
      </c>
      <c r="BX37" s="50" t="n">
        <f aca="false">SUMIF($CB$4:$JS$4,"&gt;"&amp;'VALOR POR PL'!$P$8,$CB37:$JS37)</f>
        <v>0</v>
      </c>
      <c r="BY37" s="50" t="n">
        <f aca="false">SUM($CB37:$JS37)</f>
        <v>0</v>
      </c>
      <c r="BZ37" s="45" t="n">
        <f aca="false">SUMPRODUCT(($CB$4:$JS$4&lt;&gt;"")*($CB$4:$JS$4&lt;=$D$4),$CB37:$JS37,$CB$1:$JS$1)</f>
        <v>0</v>
      </c>
      <c r="CB37" s="133" t="n">
        <f aca="false">IF(OR(CB$4="",$B37=""),0,SUMIF('DADOS BRUTOS'!$A$3:$A$500,$B37,'DADOS BRUTOS'!B$3:B$500)+IF($C37="",0,SUMIF('DADOS BRUTOS'!$A$3:$A$500,$C37,'DADOS BRUTOS'!B$3:B$500)))</f>
        <v>0</v>
      </c>
      <c r="CC37" s="133" t="n">
        <f aca="false">IF(OR(CC$4="",$B37=""),0,SUMIF('DADOS BRUTOS'!$A$3:$A$500,$B37,'DADOS BRUTOS'!C$3:C$500)+IF($C37="",0,SUMIF('DADOS BRUTOS'!$A$3:$A$500,$C37,'DADOS BRUTOS'!C$3:C$500)))</f>
        <v>0</v>
      </c>
      <c r="CD37" s="133" t="n">
        <f aca="false">IF(OR(CD$4="",$B37=""),0,SUMIF('DADOS BRUTOS'!$A$3:$A$500,$B37,'DADOS BRUTOS'!D$3:D$500)+IF($C37="",0,SUMIF('DADOS BRUTOS'!$A$3:$A$500,$C37,'DADOS BRUTOS'!D$3:D$500)))</f>
        <v>0</v>
      </c>
      <c r="CE37" s="133" t="n">
        <f aca="false">IF(OR(CE$4="",$B37=""),0,SUMIF('DADOS BRUTOS'!$A$3:$A$500,$B37,'DADOS BRUTOS'!E$3:E$500)+IF($C37="",0,SUMIF('DADOS BRUTOS'!$A$3:$A$500,$C37,'DADOS BRUTOS'!E$3:E$500)))</f>
        <v>0</v>
      </c>
      <c r="CF37" s="133" t="n">
        <f aca="false">IF(OR(CF$4="",$B37=""),0,SUMIF('DADOS BRUTOS'!$A$3:$A$500,$B37,'DADOS BRUTOS'!F$3:F$500)+IF($C37="",0,SUMIF('DADOS BRUTOS'!$A$3:$A$500,$C37,'DADOS BRUTOS'!F$3:F$500)))</f>
        <v>0</v>
      </c>
      <c r="CG37" s="133" t="n">
        <f aca="false">IF(OR(CG$4="",$B37=""),0,SUMIF('DADOS BRUTOS'!$A$3:$A$500,$B37,'DADOS BRUTOS'!G$3:G$500)+IF($C37="",0,SUMIF('DADOS BRUTOS'!$A$3:$A$500,$C37,'DADOS BRUTOS'!G$3:G$500)))</f>
        <v>0</v>
      </c>
      <c r="CH37" s="133" t="n">
        <f aca="false">IF(OR(CH$4="",$B37=""),0,SUMIF('DADOS BRUTOS'!$A$3:$A$500,$B37,'DADOS BRUTOS'!H$3:H$500)+IF($C37="",0,SUMIF('DADOS BRUTOS'!$A$3:$A$500,$C37,'DADOS BRUTOS'!H$3:H$500)))</f>
        <v>0</v>
      </c>
      <c r="CI37" s="133" t="n">
        <f aca="false">IF(OR(CI$4="",$B37=""),0,SUMIF('DADOS BRUTOS'!$A$3:$A$500,$B37,'DADOS BRUTOS'!I$3:I$500)+IF($C37="",0,SUMIF('DADOS BRUTOS'!$A$3:$A$500,$C37,'DADOS BRUTOS'!I$3:I$500)))</f>
        <v>0</v>
      </c>
      <c r="CJ37" s="133" t="n">
        <f aca="false">IF(OR(CJ$4="",$B37=""),0,SUMIF('DADOS BRUTOS'!$A$3:$A$500,$B37,'DADOS BRUTOS'!J$3:J$500)+IF($C37="",0,SUMIF('DADOS BRUTOS'!$A$3:$A$500,$C37,'DADOS BRUTOS'!J$3:J$500)))</f>
        <v>0</v>
      </c>
      <c r="CK37" s="133" t="n">
        <f aca="false">IF(OR(CK$4="",$B37=""),0,SUMIF('DADOS BRUTOS'!$A$3:$A$500,$B37,'DADOS BRUTOS'!K$3:K$500)+IF($C37="",0,SUMIF('DADOS BRUTOS'!$A$3:$A$500,$C37,'DADOS BRUTOS'!K$3:K$500)))</f>
        <v>0</v>
      </c>
      <c r="CL37" s="133" t="n">
        <f aca="false">IF(OR(CL$4="",$B37=""),0,SUMIF('DADOS BRUTOS'!$A$3:$A$500,$B37,'DADOS BRUTOS'!L$3:L$500)+IF($C37="",0,SUMIF('DADOS BRUTOS'!$A$3:$A$500,$C37,'DADOS BRUTOS'!L$3:L$500)))</f>
        <v>0</v>
      </c>
      <c r="CM37" s="133" t="n">
        <f aca="false">IF(OR(CM$4="",$B37=""),0,SUMIF('DADOS BRUTOS'!$A$3:$A$500,$B37,'DADOS BRUTOS'!M$3:M$500)+IF($C37="",0,SUMIF('DADOS BRUTOS'!$A$3:$A$500,$C37,'DADOS BRUTOS'!M$3:M$500)))</f>
        <v>0</v>
      </c>
      <c r="CN37" s="133" t="n">
        <f aca="false">IF(OR(CN$4="",$B37=""),0,SUMIF('DADOS BRUTOS'!$A$3:$A$500,$B37,'DADOS BRUTOS'!N$3:N$500)+IF($C37="",0,SUMIF('DADOS BRUTOS'!$A$3:$A$500,$C37,'DADOS BRUTOS'!N$3:N$500)))</f>
        <v>0</v>
      </c>
      <c r="CO37" s="133" t="n">
        <f aca="false">IF(OR(CO$4="",$B37=""),0,SUMIF('DADOS BRUTOS'!$A$3:$A$500,$B37,'DADOS BRUTOS'!O$3:O$500)+IF($C37="",0,SUMIF('DADOS BRUTOS'!$A$3:$A$500,$C37,'DADOS BRUTOS'!O$3:O$500)))</f>
        <v>0</v>
      </c>
      <c r="CP37" s="133" t="n">
        <f aca="false">IF(OR(CP$4="",$B37=""),0,SUMIF('DADOS BRUTOS'!$A$3:$A$500,$B37,'DADOS BRUTOS'!P$3:P$500)+IF($C37="",0,SUMIF('DADOS BRUTOS'!$A$3:$A$500,$C37,'DADOS BRUTOS'!P$3:P$500)))</f>
        <v>0</v>
      </c>
      <c r="CQ37" s="133" t="n">
        <f aca="false">IF(OR(CQ$4="",$B37=""),0,SUMIF('DADOS BRUTOS'!$A$3:$A$500,$B37,'DADOS BRUTOS'!Q$3:Q$500)+IF($C37="",0,SUMIF('DADOS BRUTOS'!$A$3:$A$500,$C37,'DADOS BRUTOS'!Q$3:Q$500)))</f>
        <v>0</v>
      </c>
      <c r="CR37" s="133" t="n">
        <f aca="false">IF(OR(CR$4="",$B37=""),0,SUMIF('DADOS BRUTOS'!$A$3:$A$500,$B37,'DADOS BRUTOS'!R$3:R$500)+IF($C37="",0,SUMIF('DADOS BRUTOS'!$A$3:$A$500,$C37,'DADOS BRUTOS'!R$3:R$500)))</f>
        <v>0</v>
      </c>
      <c r="CS37" s="133" t="n">
        <f aca="false">IF(OR(CS$4="",$B37=""),0,SUMIF('DADOS BRUTOS'!$A$3:$A$500,$B37,'DADOS BRUTOS'!S$3:S$500)+IF($C37="",0,SUMIF('DADOS BRUTOS'!$A$3:$A$500,$C37,'DADOS BRUTOS'!S$3:S$500)))</f>
        <v>0</v>
      </c>
      <c r="CT37" s="133" t="n">
        <f aca="false">IF(OR(CT$4="",$B37=""),0,SUMIF('DADOS BRUTOS'!$A$3:$A$500,$B37,'DADOS BRUTOS'!T$3:T$500)+IF($C37="",0,SUMIF('DADOS BRUTOS'!$A$3:$A$500,$C37,'DADOS BRUTOS'!T$3:T$500)))</f>
        <v>0</v>
      </c>
      <c r="CU37" s="133" t="n">
        <f aca="false">IF(OR(CU$4="",$B37=""),0,SUMIF('DADOS BRUTOS'!$A$3:$A$500,$B37,'DADOS BRUTOS'!U$3:U$500)+IF($C37="",0,SUMIF('DADOS BRUTOS'!$A$3:$A$500,$C37,'DADOS BRUTOS'!U$3:U$500)))</f>
        <v>0</v>
      </c>
      <c r="CV37" s="133" t="n">
        <f aca="false">IF(OR(CV$4="",$B37=""),0,SUMIF('DADOS BRUTOS'!$A$3:$A$500,$B37,'DADOS BRUTOS'!V$3:V$500)+IF($C37="",0,SUMIF('DADOS BRUTOS'!$A$3:$A$500,$C37,'DADOS BRUTOS'!V$3:V$500)))</f>
        <v>0</v>
      </c>
      <c r="CW37" s="133" t="n">
        <f aca="false">IF(OR(CW$4="",$B37=""),0,SUMIF('DADOS BRUTOS'!$A$3:$A$500,$B37,'DADOS BRUTOS'!W$3:W$500)+IF($C37="",0,SUMIF('DADOS BRUTOS'!$A$3:$A$500,$C37,'DADOS BRUTOS'!W$3:W$500)))</f>
        <v>0</v>
      </c>
      <c r="CX37" s="133" t="n">
        <f aca="false">IF(OR(CX$4="",$B37=""),0,SUMIF('DADOS BRUTOS'!$A$3:$A$500,$B37,'DADOS BRUTOS'!X$3:X$500)+IF($C37="",0,SUMIF('DADOS BRUTOS'!$A$3:$A$500,$C37,'DADOS BRUTOS'!X$3:X$500)))</f>
        <v>0</v>
      </c>
      <c r="CY37" s="133" t="n">
        <f aca="false">IF(OR(CY$4="",$B37=""),0,SUMIF('DADOS BRUTOS'!$A$3:$A$500,$B37,'DADOS BRUTOS'!Y$3:Y$500)+IF($C37="",0,SUMIF('DADOS BRUTOS'!$A$3:$A$500,$C37,'DADOS BRUTOS'!Y$3:Y$500)))</f>
        <v>0</v>
      </c>
      <c r="CZ37" s="133" t="n">
        <f aca="false">IF(OR(CZ$4="",$B37=""),0,SUMIF('DADOS BRUTOS'!$A$3:$A$500,$B37,'DADOS BRUTOS'!Z$3:Z$500)+IF($C37="",0,SUMIF('DADOS BRUTOS'!$A$3:$A$500,$C37,'DADOS BRUTOS'!Z$3:Z$500)))</f>
        <v>0</v>
      </c>
      <c r="DA37" s="133" t="n">
        <f aca="false">IF(OR(DA$4="",$B37=""),0,SUMIF('DADOS BRUTOS'!$A$3:$A$500,$B37,'DADOS BRUTOS'!AA$3:AA$500)+IF($C37="",0,SUMIF('DADOS BRUTOS'!$A$3:$A$500,$C37,'DADOS BRUTOS'!AA$3:AA$500)))</f>
        <v>0</v>
      </c>
      <c r="DB37" s="133" t="n">
        <f aca="false">IF(OR(DB$4="",$B37=""),0,SUMIF('DADOS BRUTOS'!$A$3:$A$500,$B37,'DADOS BRUTOS'!AB$3:AB$500)+IF($C37="",0,SUMIF('DADOS BRUTOS'!$A$3:$A$500,$C37,'DADOS BRUTOS'!AB$3:AB$500)))</f>
        <v>0</v>
      </c>
      <c r="DC37" s="133" t="n">
        <f aca="false">IF(OR(DC$4="",$B37=""),0,SUMIF('DADOS BRUTOS'!$A$3:$A$500,$B37,'DADOS BRUTOS'!AC$3:AC$500)+IF($C37="",0,SUMIF('DADOS BRUTOS'!$A$3:$A$500,$C37,'DADOS BRUTOS'!AC$3:AC$500)))</f>
        <v>0</v>
      </c>
      <c r="DD37" s="133" t="n">
        <f aca="false">IF(OR(DD$4="",$B37=""),0,SUMIF('DADOS BRUTOS'!$A$3:$A$500,$B37,'DADOS BRUTOS'!AD$3:AD$500)+IF($C37="",0,SUMIF('DADOS BRUTOS'!$A$3:$A$500,$C37,'DADOS BRUTOS'!AD$3:AD$500)))</f>
        <v>0</v>
      </c>
      <c r="DE37" s="133" t="n">
        <f aca="false">IF(OR(DE$4="",$B37=""),0,SUMIF('DADOS BRUTOS'!$A$3:$A$500,$B37,'DADOS BRUTOS'!AE$3:AE$500)+IF($C37="",0,SUMIF('DADOS BRUTOS'!$A$3:$A$500,$C37,'DADOS BRUTOS'!AE$3:AE$500)))</f>
        <v>0</v>
      </c>
      <c r="DF37" s="133" t="n">
        <f aca="false">IF(OR(DF$4="",$B37=""),0,SUMIF('DADOS BRUTOS'!$A$3:$A$500,$B37,'DADOS BRUTOS'!AF$3:AF$500)+IF($C37="",0,SUMIF('DADOS BRUTOS'!$A$3:$A$500,$C37,'DADOS BRUTOS'!AF$3:AF$500)))</f>
        <v>0</v>
      </c>
      <c r="DG37" s="133" t="n">
        <f aca="false">IF(OR(DG$4="",$B37=""),0,SUMIF('DADOS BRUTOS'!$A$3:$A$500,$B37,'DADOS BRUTOS'!AG$3:AG$500)+IF($C37="",0,SUMIF('DADOS BRUTOS'!$A$3:$A$500,$C37,'DADOS BRUTOS'!AG$3:AG$500)))</f>
        <v>0</v>
      </c>
      <c r="DH37" s="133" t="n">
        <f aca="false">IF(OR(DH$4="",$B37=""),0,SUMIF('DADOS BRUTOS'!$A$3:$A$500,$B37,'DADOS BRUTOS'!AH$3:AH$500)+IF($C37="",0,SUMIF('DADOS BRUTOS'!$A$3:$A$500,$C37,'DADOS BRUTOS'!AH$3:AH$500)))</f>
        <v>0</v>
      </c>
      <c r="DI37" s="133" t="n">
        <f aca="false">IF(OR(DI$4="",$B37=""),0,SUMIF('DADOS BRUTOS'!$A$3:$A$500,$B37,'DADOS BRUTOS'!AI$3:AI$500)+IF($C37="",0,SUMIF('DADOS BRUTOS'!$A$3:$A$500,$C37,'DADOS BRUTOS'!AI$3:AI$500)))</f>
        <v>0</v>
      </c>
      <c r="DJ37" s="133" t="n">
        <f aca="false">IF(OR(DJ$4="",$B37=""),0,SUMIF('DADOS BRUTOS'!$A$3:$A$500,$B37,'DADOS BRUTOS'!AJ$3:AJ$500)+IF($C37="",0,SUMIF('DADOS BRUTOS'!$A$3:$A$500,$C37,'DADOS BRUTOS'!AJ$3:AJ$500)))</f>
        <v>0</v>
      </c>
      <c r="DK37" s="133" t="n">
        <f aca="false">IF(OR(DK$4="",$B37=""),0,SUMIF('DADOS BRUTOS'!$A$3:$A$500,$B37,'DADOS BRUTOS'!AK$3:AK$500)+IF($C37="",0,SUMIF('DADOS BRUTOS'!$A$3:$A$500,$C37,'DADOS BRUTOS'!AK$3:AK$500)))</f>
        <v>0</v>
      </c>
      <c r="DL37" s="133" t="n">
        <f aca="false">IF(OR(DL$4="",$B37=""),0,SUMIF('DADOS BRUTOS'!$A$3:$A$500,$B37,'DADOS BRUTOS'!AL$3:AL$500)+IF($C37="",0,SUMIF('DADOS BRUTOS'!$A$3:$A$500,$C37,'DADOS BRUTOS'!AL$3:AL$500)))</f>
        <v>0</v>
      </c>
      <c r="DM37" s="133" t="n">
        <f aca="false">IF(OR(DM$4="",$B37=""),0,SUMIF('DADOS BRUTOS'!$A$3:$A$500,$B37,'DADOS BRUTOS'!AM$3:AM$500)+IF($C37="",0,SUMIF('DADOS BRUTOS'!$A$3:$A$500,$C37,'DADOS BRUTOS'!AM$3:AM$500)))</f>
        <v>0</v>
      </c>
      <c r="DN37" s="133" t="n">
        <f aca="false">IF(OR(DN$4="",$B37=""),0,SUMIF('DADOS BRUTOS'!$A$3:$A$500,$B37,'DADOS BRUTOS'!AN$3:AN$500)+IF($C37="",0,SUMIF('DADOS BRUTOS'!$A$3:$A$500,$C37,'DADOS BRUTOS'!AN$3:AN$500)))</f>
        <v>0</v>
      </c>
      <c r="DO37" s="133" t="n">
        <f aca="false">IF(OR(DO$4="",$B37=""),0,SUMIF('DADOS BRUTOS'!$A$3:$A$500,$B37,'DADOS BRUTOS'!AO$3:AO$500)+IF($C37="",0,SUMIF('DADOS BRUTOS'!$A$3:$A$500,$C37,'DADOS BRUTOS'!AO$3:AO$500)))</f>
        <v>0</v>
      </c>
      <c r="DP37" s="133" t="n">
        <f aca="false">IF(OR(DP$4="",$B37=""),0,SUMIF('DADOS BRUTOS'!$A$3:$A$500,$B37,'DADOS BRUTOS'!AP$3:AP$500)+IF($C37="",0,SUMIF('DADOS BRUTOS'!$A$3:$A$500,$C37,'DADOS BRUTOS'!AP$3:AP$500)))</f>
        <v>0</v>
      </c>
      <c r="DQ37" s="133" t="n">
        <f aca="false">IF(OR(DQ$4="",$B37=""),0,SUMIF('DADOS BRUTOS'!$A$3:$A$500,$B37,'DADOS BRUTOS'!AQ$3:AQ$500)+IF($C37="",0,SUMIF('DADOS BRUTOS'!$A$3:$A$500,$C37,'DADOS BRUTOS'!AQ$3:AQ$500)))</f>
        <v>0</v>
      </c>
      <c r="DR37" s="133" t="n">
        <f aca="false">IF(OR(DR$4="",$B37=""),0,SUMIF('DADOS BRUTOS'!$A$3:$A$500,$B37,'DADOS BRUTOS'!AR$3:AR$500)+IF($C37="",0,SUMIF('DADOS BRUTOS'!$A$3:$A$500,$C37,'DADOS BRUTOS'!AR$3:AR$500)))</f>
        <v>0</v>
      </c>
      <c r="DS37" s="133" t="n">
        <f aca="false">IF(OR(DS$4="",$B37=""),0,SUMIF('DADOS BRUTOS'!$A$3:$A$500,$B37,'DADOS BRUTOS'!AS$3:AS$500)+IF($C37="",0,SUMIF('DADOS BRUTOS'!$A$3:$A$500,$C37,'DADOS BRUTOS'!AS$3:AS$500)))</f>
        <v>0</v>
      </c>
      <c r="DT37" s="133" t="n">
        <f aca="false">IF(OR(DT$4="",$B37=""),0,SUMIF('DADOS BRUTOS'!$A$3:$A$500,$B37,'DADOS BRUTOS'!AT$3:AT$500)+IF($C37="",0,SUMIF('DADOS BRUTOS'!$A$3:$A$500,$C37,'DADOS BRUTOS'!AT$3:AT$500)))</f>
        <v>0</v>
      </c>
      <c r="DU37" s="133" t="n">
        <f aca="false">IF(OR(DU$4="",$B37=""),0,SUMIF('DADOS BRUTOS'!$A$3:$A$500,$B37,'DADOS BRUTOS'!AU$3:AU$500)+IF($C37="",0,SUMIF('DADOS BRUTOS'!$A$3:$A$500,$C37,'DADOS BRUTOS'!AU$3:AU$500)))</f>
        <v>0</v>
      </c>
      <c r="DV37" s="133" t="n">
        <f aca="false">IF(OR(DV$4="",$B37=""),0,SUMIF('DADOS BRUTOS'!$A$3:$A$500,$B37,'DADOS BRUTOS'!AV$3:AV$500)+IF($C37="",0,SUMIF('DADOS BRUTOS'!$A$3:$A$500,$C37,'DADOS BRUTOS'!AV$3:AV$500)))</f>
        <v>0</v>
      </c>
      <c r="DW37" s="133" t="n">
        <f aca="false">IF(OR(DW$4="",$B37=""),0,SUMIF('DADOS BRUTOS'!$A$3:$A$500,$B37,'DADOS BRUTOS'!AW$3:AW$500)+IF($C37="",0,SUMIF('DADOS BRUTOS'!$A$3:$A$500,$C37,'DADOS BRUTOS'!AW$3:AW$500)))</f>
        <v>0</v>
      </c>
      <c r="DX37" s="133" t="n">
        <f aca="false">IF(OR(DX$4="",$B37=""),0,SUMIF('DADOS BRUTOS'!$A$3:$A$500,$B37,'DADOS BRUTOS'!AX$3:AX$500)+IF($C37="",0,SUMIF('DADOS BRUTOS'!$A$3:$A$500,$C37,'DADOS BRUTOS'!AX$3:AX$500)))</f>
        <v>0</v>
      </c>
      <c r="DY37" s="133" t="n">
        <f aca="false">IF(OR(DY$4="",$B37=""),0,SUMIF('DADOS BRUTOS'!$A$3:$A$500,$B37,'DADOS BRUTOS'!AY$3:AY$500)+IF($C37="",0,SUMIF('DADOS BRUTOS'!$A$3:$A$500,$C37,'DADOS BRUTOS'!AY$3:AY$500)))</f>
        <v>0</v>
      </c>
      <c r="DZ37" s="133" t="n">
        <f aca="false">IF(OR(DZ$4="",$B37=""),0,SUMIF('DADOS BRUTOS'!$A$3:$A$500,$B37,'DADOS BRUTOS'!AZ$3:AZ$500)+IF($C37="",0,SUMIF('DADOS BRUTOS'!$A$3:$A$500,$C37,'DADOS BRUTOS'!AZ$3:AZ$500)))</f>
        <v>0</v>
      </c>
      <c r="EA37" s="133" t="n">
        <f aca="false">IF(OR(EA$4="",$B37=""),0,SUMIF('DADOS BRUTOS'!$A$3:$A$500,$B37,'DADOS BRUTOS'!BA$3:BA$500)+IF($C37="",0,SUMIF('DADOS BRUTOS'!$A$3:$A$500,$C37,'DADOS BRUTOS'!BA$3:BA$500)))</f>
        <v>0</v>
      </c>
      <c r="EB37" s="133" t="n">
        <f aca="false">IF(OR(EB$4="",$B37=""),0,SUMIF('DADOS BRUTOS'!$A$3:$A$500,$B37,'DADOS BRUTOS'!BB$3:BB$500)+IF($C37="",0,SUMIF('DADOS BRUTOS'!$A$3:$A$500,$C37,'DADOS BRUTOS'!BB$3:BB$500)))</f>
        <v>0</v>
      </c>
      <c r="EC37" s="133" t="n">
        <f aca="false">IF(OR(EC$4="",$B37=""),0,SUMIF('DADOS BRUTOS'!$A$3:$A$500,$B37,'DADOS BRUTOS'!BC$3:BC$500)+IF($C37="",0,SUMIF('DADOS BRUTOS'!$A$3:$A$500,$C37,'DADOS BRUTOS'!BC$3:BC$500)))</f>
        <v>0</v>
      </c>
      <c r="ED37" s="133" t="n">
        <f aca="false">IF(OR(ED$4="",$B37=""),0,SUMIF('DADOS BRUTOS'!$A$3:$A$500,$B37,'DADOS BRUTOS'!BD$3:BD$500)+IF($C37="",0,SUMIF('DADOS BRUTOS'!$A$3:$A$500,$C37,'DADOS BRUTOS'!BD$3:BD$500)))</f>
        <v>0</v>
      </c>
      <c r="EE37" s="133" t="n">
        <f aca="false">IF(OR(EE$4="",$B37=""),0,SUMIF('DADOS BRUTOS'!$A$3:$A$500,$B37,'DADOS BRUTOS'!BE$3:BE$500)+IF($C37="",0,SUMIF('DADOS BRUTOS'!$A$3:$A$500,$C37,'DADOS BRUTOS'!BE$3:BE$500)))</f>
        <v>0</v>
      </c>
      <c r="EF37" s="133" t="n">
        <f aca="false">IF(OR(EF$4="",$B37=""),0,SUMIF('DADOS BRUTOS'!$A$3:$A$500,$B37,'DADOS BRUTOS'!BF$3:BF$500)+IF($C37="",0,SUMIF('DADOS BRUTOS'!$A$3:$A$500,$C37,'DADOS BRUTOS'!BF$3:BF$500)))</f>
        <v>0</v>
      </c>
      <c r="EG37" s="133" t="n">
        <f aca="false">IF(OR(EG$4="",$B37=""),0,SUMIF('DADOS BRUTOS'!$A$3:$A$500,$B37,'DADOS BRUTOS'!BG$3:BG$500)+IF($C37="",0,SUMIF('DADOS BRUTOS'!$A$3:$A$500,$C37,'DADOS BRUTOS'!BG$3:BG$500)))</f>
        <v>0</v>
      </c>
      <c r="EH37" s="133" t="n">
        <f aca="false">IF(OR(EH$4="",$B37=""),0,SUMIF('DADOS BRUTOS'!$A$3:$A$500,$B37,'DADOS BRUTOS'!BH$3:BH$500)+IF($C37="",0,SUMIF('DADOS BRUTOS'!$A$3:$A$500,$C37,'DADOS BRUTOS'!BH$3:BH$500)))</f>
        <v>0</v>
      </c>
      <c r="EI37" s="133" t="n">
        <f aca="false">IF(OR(EI$4="",$B37=""),0,SUMIF('DADOS BRUTOS'!$A$3:$A$500,$B37,'DADOS BRUTOS'!BI$3:BI$500)+IF($C37="",0,SUMIF('DADOS BRUTOS'!$A$3:$A$500,$C37,'DADOS BRUTOS'!BI$3:BI$500)))</f>
        <v>0</v>
      </c>
      <c r="EJ37" s="133" t="n">
        <f aca="false">IF(OR(EJ$4="",$B37=""),0,SUMIF('DADOS BRUTOS'!$A$3:$A$500,$B37,'DADOS BRUTOS'!BJ$3:BJ$500)+IF($C37="",0,SUMIF('DADOS BRUTOS'!$A$3:$A$500,$C37,'DADOS BRUTOS'!BJ$3:BJ$500)))</f>
        <v>0</v>
      </c>
      <c r="EK37" s="133" t="n">
        <f aca="false">IF(OR(EK$4="",$B37=""),0,SUMIF('DADOS BRUTOS'!$A$3:$A$500,$B37,'DADOS BRUTOS'!BK$3:BK$500)+IF($C37="",0,SUMIF('DADOS BRUTOS'!$A$3:$A$500,$C37,'DADOS BRUTOS'!BK$3:BK$500)))</f>
        <v>0</v>
      </c>
      <c r="EL37" s="133" t="n">
        <f aca="false">IF(OR(EL$4="",$B37=""),0,SUMIF('DADOS BRUTOS'!$A$3:$A$500,$B37,'DADOS BRUTOS'!BL$3:BL$500)+IF($C37="",0,SUMIF('DADOS BRUTOS'!$A$3:$A$500,$C37,'DADOS BRUTOS'!BL$3:BL$500)))</f>
        <v>0</v>
      </c>
      <c r="EM37" s="133" t="n">
        <f aca="false">IF(OR(EM$4="",$B37=""),0,SUMIF('DADOS BRUTOS'!$A$3:$A$500,$B37,'DADOS BRUTOS'!BM$3:BM$500)+IF($C37="",0,SUMIF('DADOS BRUTOS'!$A$3:$A$500,$C37,'DADOS BRUTOS'!BM$3:BM$500)))</f>
        <v>0</v>
      </c>
      <c r="EN37" s="133" t="n">
        <f aca="false">IF(OR(EN$4="",$B37=""),0,SUMIF('DADOS BRUTOS'!$A$3:$A$500,$B37,'DADOS BRUTOS'!BN$3:BN$500)+IF($C37="",0,SUMIF('DADOS BRUTOS'!$A$3:$A$500,$C37,'DADOS BRUTOS'!BN$3:BN$500)))</f>
        <v>0</v>
      </c>
      <c r="EO37" s="133" t="n">
        <f aca="false">IF(OR(EO$4="",$B37=""),0,SUMIF('DADOS BRUTOS'!$A$3:$A$500,$B37,'DADOS BRUTOS'!BO$3:BO$500)+IF($C37="",0,SUMIF('DADOS BRUTOS'!$A$3:$A$500,$C37,'DADOS BRUTOS'!BO$3:BO$500)))</f>
        <v>0</v>
      </c>
      <c r="EP37" s="133" t="n">
        <f aca="false">IF(OR(EP$4="",$B37=""),0,SUMIF('DADOS BRUTOS'!$A$3:$A$500,$B37,'DADOS BRUTOS'!BP$3:BP$500)+IF($C37="",0,SUMIF('DADOS BRUTOS'!$A$3:$A$500,$C37,'DADOS BRUTOS'!BP$3:BP$500)))</f>
        <v>0</v>
      </c>
      <c r="EQ37" s="133" t="n">
        <f aca="false">IF(OR(EQ$4="",$B37=""),0,SUMIF('DADOS BRUTOS'!$A$3:$A$500,$B37,'DADOS BRUTOS'!BQ$3:BQ$500)+IF($C37="",0,SUMIF('DADOS BRUTOS'!$A$3:$A$500,$C37,'DADOS BRUTOS'!BQ$3:BQ$500)))</f>
        <v>0</v>
      </c>
      <c r="ER37" s="133" t="n">
        <f aca="false">IF(OR(ER$4="",$B37=""),0,SUMIF('DADOS BRUTOS'!$A$3:$A$500,$B37,'DADOS BRUTOS'!BR$3:BR$500)+IF($C37="",0,SUMIF('DADOS BRUTOS'!$A$3:$A$500,$C37,'DADOS BRUTOS'!BR$3:BR$500)))</f>
        <v>0</v>
      </c>
      <c r="ES37" s="133" t="n">
        <f aca="false">IF(OR(ES$4="",$B37=""),0,SUMIF('DADOS BRUTOS'!$A$3:$A$500,$B37,'DADOS BRUTOS'!BS$3:BS$500)+IF($C37="",0,SUMIF('DADOS BRUTOS'!$A$3:$A$500,$C37,'DADOS BRUTOS'!BS$3:BS$500)))</f>
        <v>0</v>
      </c>
      <c r="ET37" s="133" t="n">
        <f aca="false">IF(OR(ET$4="",$B37=""),0,SUMIF('DADOS BRUTOS'!$A$3:$A$500,$B37,'DADOS BRUTOS'!BT$3:BT$500)+IF($C37="",0,SUMIF('DADOS BRUTOS'!$A$3:$A$500,$C37,'DADOS BRUTOS'!BT$3:BT$500)))</f>
        <v>0</v>
      </c>
      <c r="EU37" s="133" t="n">
        <f aca="false">IF(OR(EU$4="",$B37=""),0,SUMIF('DADOS BRUTOS'!$A$3:$A$500,$B37,'DADOS BRUTOS'!BU$3:BU$500)+IF($C37="",0,SUMIF('DADOS BRUTOS'!$A$3:$A$500,$C37,'DADOS BRUTOS'!BU$3:BU$500)))</f>
        <v>0</v>
      </c>
      <c r="EV37" s="133" t="n">
        <f aca="false">IF(OR(EV$4="",$B37=""),0,SUMIF('DADOS BRUTOS'!$A$3:$A$500,$B37,'DADOS BRUTOS'!BV$3:BV$500)+IF($C37="",0,SUMIF('DADOS BRUTOS'!$A$3:$A$500,$C37,'DADOS BRUTOS'!BV$3:BV$500)))</f>
        <v>0</v>
      </c>
      <c r="EW37" s="133" t="n">
        <f aca="false">IF(OR(EW$4="",$B37=""),0,SUMIF('DADOS BRUTOS'!$A$3:$A$500,$B37,'DADOS BRUTOS'!BW$3:BW$500)+IF($C37="",0,SUMIF('DADOS BRUTOS'!$A$3:$A$500,$C37,'DADOS BRUTOS'!BW$3:BW$500)))</f>
        <v>0</v>
      </c>
      <c r="EX37" s="133" t="n">
        <f aca="false">IF(OR(EX$4="",$B37=""),0,SUMIF('DADOS BRUTOS'!$A$3:$A$500,$B37,'DADOS BRUTOS'!BX$3:BX$500)+IF($C37="",0,SUMIF('DADOS BRUTOS'!$A$3:$A$500,$C37,'DADOS BRUTOS'!BX$3:BX$500)))</f>
        <v>0</v>
      </c>
      <c r="EY37" s="133" t="n">
        <f aca="false">IF(OR(EY$4="",$B37=""),0,SUMIF('DADOS BRUTOS'!$A$3:$A$500,$B37,'DADOS BRUTOS'!BY$3:BY$500)+IF($C37="",0,SUMIF('DADOS BRUTOS'!$A$3:$A$500,$C37,'DADOS BRUTOS'!BY$3:BY$500)))</f>
        <v>0</v>
      </c>
      <c r="EZ37" s="133" t="n">
        <f aca="false">IF(OR(EZ$4="",$B37=""),0,SUMIF('DADOS BRUTOS'!$A$3:$A$500,$B37,'DADOS BRUTOS'!BZ$3:BZ$500)+IF($C37="",0,SUMIF('DADOS BRUTOS'!$A$3:$A$500,$C37,'DADOS BRUTOS'!BZ$3:BZ$500)))</f>
        <v>0</v>
      </c>
      <c r="FA37" s="133" t="n">
        <f aca="false">IF(OR(FA$4="",$B37=""),0,SUMIF('DADOS BRUTOS'!$A$3:$A$500,$B37,'DADOS BRUTOS'!CA$3:CA$500)+IF($C37="",0,SUMIF('DADOS BRUTOS'!$A$3:$A$500,$C37,'DADOS BRUTOS'!CA$3:CA$500)))</f>
        <v>0</v>
      </c>
      <c r="FB37" s="133" t="n">
        <f aca="false">IF(OR(FB$4="",$B37=""),0,SUMIF('DADOS BRUTOS'!$A$3:$A$500,$B37,'DADOS BRUTOS'!CB$3:CB$500)+IF($C37="",0,SUMIF('DADOS BRUTOS'!$A$3:$A$500,$C37,'DADOS BRUTOS'!CB$3:CB$500)))</f>
        <v>0</v>
      </c>
      <c r="FC37" s="133" t="n">
        <f aca="false">IF(OR(FC$4="",$B37=""),0,SUMIF('DADOS BRUTOS'!$A$3:$A$500,$B37,'DADOS BRUTOS'!CC$3:CC$500)+IF($C37="",0,SUMIF('DADOS BRUTOS'!$A$3:$A$500,$C37,'DADOS BRUTOS'!CC$3:CC$500)))</f>
        <v>0</v>
      </c>
      <c r="FD37" s="133" t="n">
        <f aca="false">IF(OR(FD$4="",$B37=""),0,SUMIF('DADOS BRUTOS'!$A$3:$A$500,$B37,'DADOS BRUTOS'!CD$3:CD$500)+IF($C37="",0,SUMIF('DADOS BRUTOS'!$A$3:$A$500,$C37,'DADOS BRUTOS'!CD$3:CD$500)))</f>
        <v>0</v>
      </c>
      <c r="FE37" s="133" t="n">
        <f aca="false">IF(OR(FE$4="",$B37=""),0,SUMIF('DADOS BRUTOS'!$A$3:$A$500,$B37,'DADOS BRUTOS'!CE$3:CE$500)+IF($C37="",0,SUMIF('DADOS BRUTOS'!$A$3:$A$500,$C37,'DADOS BRUTOS'!CE$3:CE$500)))</f>
        <v>0</v>
      </c>
      <c r="FF37" s="133" t="n">
        <f aca="false">IF(OR(FF$4="",$B37=""),0,SUMIF('DADOS BRUTOS'!$A$3:$A$500,$B37,'DADOS BRUTOS'!CF$3:CF$500)+IF($C37="",0,SUMIF('DADOS BRUTOS'!$A$3:$A$500,$C37,'DADOS BRUTOS'!CF$3:CF$500)))</f>
        <v>0</v>
      </c>
      <c r="FG37" s="133" t="n">
        <f aca="false">IF(OR(FG$4="",$B37=""),0,SUMIF('DADOS BRUTOS'!$A$3:$A$500,$B37,'DADOS BRUTOS'!CG$3:CG$500)+IF($C37="",0,SUMIF('DADOS BRUTOS'!$A$3:$A$500,$C37,'DADOS BRUTOS'!CG$3:CG$500)))</f>
        <v>0</v>
      </c>
      <c r="FH37" s="133" t="n">
        <f aca="false">IF(OR(FH$4="",$B37=""),0,SUMIF('DADOS BRUTOS'!$A$3:$A$500,$B37,'DADOS BRUTOS'!CH$3:CH$500)+IF($C37="",0,SUMIF('DADOS BRUTOS'!$A$3:$A$500,$C37,'DADOS BRUTOS'!CH$3:CH$500)))</f>
        <v>0</v>
      </c>
      <c r="FI37" s="133" t="n">
        <f aca="false">IF(OR(FI$4="",$B37=""),0,SUMIF('DADOS BRUTOS'!$A$3:$A$500,$B37,'DADOS BRUTOS'!CI$3:CI$500)+IF($C37="",0,SUMIF('DADOS BRUTOS'!$A$3:$A$500,$C37,'DADOS BRUTOS'!CI$3:CI$500)))</f>
        <v>0</v>
      </c>
      <c r="FJ37" s="133" t="n">
        <f aca="false">IF(OR(FJ$4="",$B37=""),0,SUMIF('DADOS BRUTOS'!$A$3:$A$500,$B37,'DADOS BRUTOS'!CJ$3:CJ$500)+IF($C37="",0,SUMIF('DADOS BRUTOS'!$A$3:$A$500,$C37,'DADOS BRUTOS'!CJ$3:CJ$500)))</f>
        <v>0</v>
      </c>
      <c r="FK37" s="133" t="n">
        <f aca="false">IF(OR(FK$4="",$B37=""),0,SUMIF('DADOS BRUTOS'!$A$3:$A$500,$B37,'DADOS BRUTOS'!CK$3:CK$500)+IF($C37="",0,SUMIF('DADOS BRUTOS'!$A$3:$A$500,$C37,'DADOS BRUTOS'!CK$3:CK$500)))</f>
        <v>0</v>
      </c>
      <c r="FL37" s="133" t="n">
        <f aca="false">IF(OR(FL$4="",$B37=""),0,SUMIF('DADOS BRUTOS'!$A$3:$A$500,$B37,'DADOS BRUTOS'!CL$3:CL$500)+IF($C37="",0,SUMIF('DADOS BRUTOS'!$A$3:$A$500,$C37,'DADOS BRUTOS'!CL$3:CL$500)))</f>
        <v>0</v>
      </c>
      <c r="FM37" s="133" t="n">
        <f aca="false">IF(OR(FM$4="",$B37=""),0,SUMIF('DADOS BRUTOS'!$A$3:$A$500,$B37,'DADOS BRUTOS'!CM$3:CM$500)+IF($C37="",0,SUMIF('DADOS BRUTOS'!$A$3:$A$500,$C37,'DADOS BRUTOS'!CM$3:CM$500)))</f>
        <v>0</v>
      </c>
      <c r="FN37" s="133" t="n">
        <f aca="false">IF(OR(FN$4="",$B37=""),0,SUMIF('DADOS BRUTOS'!$A$3:$A$500,$B37,'DADOS BRUTOS'!CN$3:CN$500)+IF($C37="",0,SUMIF('DADOS BRUTOS'!$A$3:$A$500,$C37,'DADOS BRUTOS'!CN$3:CN$500)))</f>
        <v>0</v>
      </c>
      <c r="FO37" s="133" t="n">
        <f aca="false">IF(OR(FO$4="",$B37=""),0,SUMIF('DADOS BRUTOS'!$A$3:$A$500,$B37,'DADOS BRUTOS'!CO$3:CO$500)+IF($C37="",0,SUMIF('DADOS BRUTOS'!$A$3:$A$500,$C37,'DADOS BRUTOS'!CO$3:CO$500)))</f>
        <v>0</v>
      </c>
      <c r="FP37" s="133" t="n">
        <f aca="false">IF(OR(FP$4="",$B37=""),0,SUMIF('DADOS BRUTOS'!$A$3:$A$500,$B37,'DADOS BRUTOS'!CP$3:CP$500)+IF($C37="",0,SUMIF('DADOS BRUTOS'!$A$3:$A$500,$C37,'DADOS BRUTOS'!CP$3:CP$500)))</f>
        <v>0</v>
      </c>
      <c r="FQ37" s="133" t="n">
        <f aca="false">IF(OR(FQ$4="",$B37=""),0,SUMIF('DADOS BRUTOS'!$A$3:$A$500,$B37,'DADOS BRUTOS'!CQ$3:CQ$500)+IF($C37="",0,SUMIF('DADOS BRUTOS'!$A$3:$A$500,$C37,'DADOS BRUTOS'!CQ$3:CQ$500)))</f>
        <v>0</v>
      </c>
      <c r="FR37" s="133" t="n">
        <f aca="false">IF(OR(FR$4="",$B37=""),0,SUMIF('DADOS BRUTOS'!$A$3:$A$500,$B37,'DADOS BRUTOS'!CR$3:CR$500)+IF($C37="",0,SUMIF('DADOS BRUTOS'!$A$3:$A$500,$C37,'DADOS BRUTOS'!CR$3:CR$500)))</f>
        <v>0</v>
      </c>
      <c r="FS37" s="133" t="n">
        <f aca="false">IF(OR(FS$4="",$B37=""),0,SUMIF('DADOS BRUTOS'!$A$3:$A$500,$B37,'DADOS BRUTOS'!CS$3:CS$500)+IF($C37="",0,SUMIF('DADOS BRUTOS'!$A$3:$A$500,$C37,'DADOS BRUTOS'!CS$3:CS$500)))</f>
        <v>0</v>
      </c>
      <c r="FT37" s="133" t="n">
        <f aca="false">IF(OR(FT$4="",$B37=""),0,SUMIF('DADOS BRUTOS'!$A$3:$A$500,$B37,'DADOS BRUTOS'!CT$3:CT$500)+IF($C37="",0,SUMIF('DADOS BRUTOS'!$A$3:$A$500,$C37,'DADOS BRUTOS'!CT$3:CT$500)))</f>
        <v>0</v>
      </c>
      <c r="FU37" s="133" t="n">
        <f aca="false">IF(OR(FU$4="",$B37=""),0,SUMIF('DADOS BRUTOS'!$A$3:$A$500,$B37,'DADOS BRUTOS'!CU$3:CU$500)+IF($C37="",0,SUMIF('DADOS BRUTOS'!$A$3:$A$500,$C37,'DADOS BRUTOS'!CU$3:CU$500)))</f>
        <v>0</v>
      </c>
      <c r="FV37" s="133" t="n">
        <f aca="false">IF(OR(FV$4="",$B37=""),0,SUMIF('DADOS BRUTOS'!$A$3:$A$500,$B37,'DADOS BRUTOS'!CV$3:CV$500)+IF($C37="",0,SUMIF('DADOS BRUTOS'!$A$3:$A$500,$C37,'DADOS BRUTOS'!CV$3:CV$500)))</f>
        <v>0</v>
      </c>
      <c r="FW37" s="133" t="n">
        <f aca="false">IF(OR(FW$4="",$B37=""),0,SUMIF('DADOS BRUTOS'!$A$3:$A$500,$B37,'DADOS BRUTOS'!CW$3:CW$500)+IF($C37="",0,SUMIF('DADOS BRUTOS'!$A$3:$A$500,$C37,'DADOS BRUTOS'!CW$3:CW$500)))</f>
        <v>0</v>
      </c>
      <c r="FX37" s="133" t="n">
        <f aca="false">IF(OR(FX$4="",$B37=""),0,SUMIF('DADOS BRUTOS'!$A$3:$A$500,$B37,'DADOS BRUTOS'!CX$3:CX$500)+IF($C37="",0,SUMIF('DADOS BRUTOS'!$A$3:$A$500,$C37,'DADOS BRUTOS'!CX$3:CX$500)))</f>
        <v>0</v>
      </c>
      <c r="FY37" s="133" t="n">
        <f aca="false">IF(OR(FY$4="",$B37=""),0,SUMIF('DADOS BRUTOS'!$A$3:$A$500,$B37,'DADOS BRUTOS'!CY$3:CY$500)+IF($C37="",0,SUMIF('DADOS BRUTOS'!$A$3:$A$500,$C37,'DADOS BRUTOS'!CY$3:CY$500)))</f>
        <v>0</v>
      </c>
      <c r="FZ37" s="133" t="n">
        <f aca="false">IF(OR(FZ$4="",$B37=""),0,SUMIF('DADOS BRUTOS'!$A$3:$A$500,$B37,'DADOS BRUTOS'!CZ$3:CZ$500)+IF($C37="",0,SUMIF('DADOS BRUTOS'!$A$3:$A$500,$C37,'DADOS BRUTOS'!CZ$3:CZ$500)))</f>
        <v>0</v>
      </c>
      <c r="GA37" s="133" t="n">
        <f aca="false">IF(OR(GA$4="",$B37=""),0,SUMIF('DADOS BRUTOS'!$A$3:$A$500,$B37,'DADOS BRUTOS'!DA$3:DA$500)+IF($C37="",0,SUMIF('DADOS BRUTOS'!$A$3:$A$500,$C37,'DADOS BRUTOS'!DA$3:DA$500)))</f>
        <v>0</v>
      </c>
      <c r="GB37" s="133" t="n">
        <f aca="false">IF(OR(GB$4="",$B37=""),0,SUMIF('DADOS BRUTOS'!$A$3:$A$500,$B37,'DADOS BRUTOS'!DB$3:DB$500)+IF($C37="",0,SUMIF('DADOS BRUTOS'!$A$3:$A$500,$C37,'DADOS BRUTOS'!DB$3:DB$500)))</f>
        <v>0</v>
      </c>
      <c r="GC37" s="133" t="n">
        <f aca="false">IF(OR(GC$4="",$B37=""),0,SUMIF('DADOS BRUTOS'!$A$3:$A$500,$B37,'DADOS BRUTOS'!DC$3:DC$500)+IF($C37="",0,SUMIF('DADOS BRUTOS'!$A$3:$A$500,$C37,'DADOS BRUTOS'!DC$3:DC$500)))</f>
        <v>0</v>
      </c>
      <c r="GD37" s="133" t="n">
        <f aca="false">IF(OR(GD$4="",$B37=""),0,SUMIF('DADOS BRUTOS'!$A$3:$A$500,$B37,'DADOS BRUTOS'!DD$3:DD$500)+IF($C37="",0,SUMIF('DADOS BRUTOS'!$A$3:$A$500,$C37,'DADOS BRUTOS'!DD$3:DD$500)))</f>
        <v>0</v>
      </c>
      <c r="GE37" s="133" t="n">
        <f aca="false">IF(OR(GE$4="",$B37=""),0,SUMIF('DADOS BRUTOS'!$A$3:$A$500,$B37,'DADOS BRUTOS'!DE$3:DE$500)+IF($C37="",0,SUMIF('DADOS BRUTOS'!$A$3:$A$500,$C37,'DADOS BRUTOS'!DE$3:DE$500)))</f>
        <v>0</v>
      </c>
      <c r="GF37" s="133" t="n">
        <f aca="false">IF(OR(GF$4="",$B37=""),0,SUMIF('DADOS BRUTOS'!$A$3:$A$500,$B37,'DADOS BRUTOS'!DF$3:DF$500)+IF($C37="",0,SUMIF('DADOS BRUTOS'!$A$3:$A$500,$C37,'DADOS BRUTOS'!DF$3:DF$500)))</f>
        <v>0</v>
      </c>
      <c r="GG37" s="133" t="n">
        <f aca="false">IF(OR(GG$4="",$B37=""),0,SUMIF('DADOS BRUTOS'!$A$3:$A$500,$B37,'DADOS BRUTOS'!DG$3:DG$500)+IF($C37="",0,SUMIF('DADOS BRUTOS'!$A$3:$A$500,$C37,'DADOS BRUTOS'!DG$3:DG$500)))</f>
        <v>0</v>
      </c>
      <c r="GH37" s="133" t="n">
        <f aca="false">IF(OR(GH$4="",$B37=""),0,SUMIF('DADOS BRUTOS'!$A$3:$A$500,$B37,'DADOS BRUTOS'!DH$3:DH$500)+IF($C37="",0,SUMIF('DADOS BRUTOS'!$A$3:$A$500,$C37,'DADOS BRUTOS'!DH$3:DH$500)))</f>
        <v>0</v>
      </c>
      <c r="GI37" s="133" t="n">
        <f aca="false">IF(OR(GI$4="",$B37=""),0,SUMIF('DADOS BRUTOS'!$A$3:$A$500,$B37,'DADOS BRUTOS'!DI$3:DI$500)+IF($C37="",0,SUMIF('DADOS BRUTOS'!$A$3:$A$500,$C37,'DADOS BRUTOS'!DI$3:DI$500)))</f>
        <v>0</v>
      </c>
      <c r="GJ37" s="133" t="n">
        <f aca="false">IF(OR(GJ$4="",$B37=""),0,SUMIF('DADOS BRUTOS'!$A$3:$A$500,$B37,'DADOS BRUTOS'!DJ$3:DJ$500)+IF($C37="",0,SUMIF('DADOS BRUTOS'!$A$3:$A$500,$C37,'DADOS BRUTOS'!DJ$3:DJ$500)))</f>
        <v>0</v>
      </c>
      <c r="GK37" s="133" t="n">
        <f aca="false">IF(OR(GK$4="",$B37=""),0,SUMIF('DADOS BRUTOS'!$A$3:$A$500,$B37,'DADOS BRUTOS'!DK$3:DK$500)+IF($C37="",0,SUMIF('DADOS BRUTOS'!$A$3:$A$500,$C37,'DADOS BRUTOS'!DK$3:DK$500)))</f>
        <v>0</v>
      </c>
      <c r="GL37" s="133" t="n">
        <f aca="false">IF(OR(GL$4="",$B37=""),0,SUMIF('DADOS BRUTOS'!$A$3:$A$500,$B37,'DADOS BRUTOS'!DL$3:DL$500)+IF($C37="",0,SUMIF('DADOS BRUTOS'!$A$3:$A$500,$C37,'DADOS BRUTOS'!DL$3:DL$500)))</f>
        <v>0</v>
      </c>
      <c r="GM37" s="133" t="n">
        <f aca="false">IF(OR(GM$4="",$B37=""),0,SUMIF('DADOS BRUTOS'!$A$3:$A$500,$B37,'DADOS BRUTOS'!DM$3:DM$500)+IF($C37="",0,SUMIF('DADOS BRUTOS'!$A$3:$A$500,$C37,'DADOS BRUTOS'!DM$3:DM$500)))</f>
        <v>0</v>
      </c>
      <c r="GN37" s="133" t="n">
        <f aca="false">IF(OR(GN$4="",$B37=""),0,SUMIF('DADOS BRUTOS'!$A$3:$A$500,$B37,'DADOS BRUTOS'!DN$3:DN$500)+IF($C37="",0,SUMIF('DADOS BRUTOS'!$A$3:$A$500,$C37,'DADOS BRUTOS'!DN$3:DN$500)))</f>
        <v>0</v>
      </c>
      <c r="GO37" s="133" t="n">
        <f aca="false">IF(OR(GO$4="",$B37=""),0,SUMIF('DADOS BRUTOS'!$A$3:$A$500,$B37,'DADOS BRUTOS'!DO$3:DO$500)+IF($C37="",0,SUMIF('DADOS BRUTOS'!$A$3:$A$500,$C37,'DADOS BRUTOS'!DO$3:DO$500)))</f>
        <v>0</v>
      </c>
      <c r="GP37" s="133" t="n">
        <f aca="false">IF(OR(GP$4="",$B37=""),0,SUMIF('DADOS BRUTOS'!$A$3:$A$500,$B37,'DADOS BRUTOS'!DP$3:DP$500)+IF($C37="",0,SUMIF('DADOS BRUTOS'!$A$3:$A$500,$C37,'DADOS BRUTOS'!DP$3:DP$500)))</f>
        <v>0</v>
      </c>
      <c r="GQ37" s="133" t="n">
        <f aca="false">IF(OR(GQ$4="",$B37=""),0,SUMIF('DADOS BRUTOS'!$A$3:$A$500,$B37,'DADOS BRUTOS'!DQ$3:DQ$500)+IF($C37="",0,SUMIF('DADOS BRUTOS'!$A$3:$A$500,$C37,'DADOS BRUTOS'!DQ$3:DQ$500)))</f>
        <v>0</v>
      </c>
      <c r="GR37" s="133" t="n">
        <f aca="false">IF(OR(GR$4="",$B37=""),0,SUMIF('DADOS BRUTOS'!$A$3:$A$500,$B37,'DADOS BRUTOS'!DR$3:DR$500)+IF($C37="",0,SUMIF('DADOS BRUTOS'!$A$3:$A$500,$C37,'DADOS BRUTOS'!DR$3:DR$500)))</f>
        <v>0</v>
      </c>
      <c r="GS37" s="133" t="n">
        <f aca="false">IF(OR(GS$4="",$B37=""),0,SUMIF('DADOS BRUTOS'!$A$3:$A$500,$B37,'DADOS BRUTOS'!DS$3:DS$500)+IF($C37="",0,SUMIF('DADOS BRUTOS'!$A$3:$A$500,$C37,'DADOS BRUTOS'!DS$3:DS$500)))</f>
        <v>0</v>
      </c>
      <c r="GT37" s="133" t="n">
        <f aca="false">IF(OR(GT$4="",$B37=""),0,SUMIF('DADOS BRUTOS'!$A$3:$A$500,$B37,'DADOS BRUTOS'!DT$3:DT$500)+IF($C37="",0,SUMIF('DADOS BRUTOS'!$A$3:$A$500,$C37,'DADOS BRUTOS'!DT$3:DT$500)))</f>
        <v>0</v>
      </c>
      <c r="GU37" s="133" t="n">
        <f aca="false">IF(OR(GU$4="",$B37=""),0,SUMIF('DADOS BRUTOS'!$A$3:$A$500,$B37,'DADOS BRUTOS'!DU$3:DU$500)+IF($C37="",0,SUMIF('DADOS BRUTOS'!$A$3:$A$500,$C37,'DADOS BRUTOS'!DU$3:DU$500)))</f>
        <v>0</v>
      </c>
      <c r="GV37" s="133" t="n">
        <f aca="false">IF(OR(GV$4="",$B37=""),0,SUMIF('DADOS BRUTOS'!$A$3:$A$500,$B37,'DADOS BRUTOS'!DV$3:DV$500)+IF($C37="",0,SUMIF('DADOS BRUTOS'!$A$3:$A$500,$C37,'DADOS BRUTOS'!DV$3:DV$500)))</f>
        <v>0</v>
      </c>
      <c r="GW37" s="133" t="n">
        <f aca="false">IF(OR(GW$4="",$B37=""),0,SUMIF('DADOS BRUTOS'!$A$3:$A$500,$B37,'DADOS BRUTOS'!DW$3:DW$500)+IF($C37="",0,SUMIF('DADOS BRUTOS'!$A$3:$A$500,$C37,'DADOS BRUTOS'!DW$3:DW$500)))</f>
        <v>0</v>
      </c>
      <c r="GX37" s="133" t="n">
        <f aca="false">IF(OR(GX$4="",$B37=""),0,SUMIF('DADOS BRUTOS'!$A$3:$A$500,$B37,'DADOS BRUTOS'!DX$3:DX$500)+IF($C37="",0,SUMIF('DADOS BRUTOS'!$A$3:$A$500,$C37,'DADOS BRUTOS'!DX$3:DX$500)))</f>
        <v>0</v>
      </c>
      <c r="GY37" s="133" t="n">
        <f aca="false">IF(OR(GY$4="",$B37=""),0,SUMIF('DADOS BRUTOS'!$A$3:$A$500,$B37,'DADOS BRUTOS'!DY$3:DY$500)+IF($C37="",0,SUMIF('DADOS BRUTOS'!$A$3:$A$500,$C37,'DADOS BRUTOS'!DY$3:DY$500)))</f>
        <v>0</v>
      </c>
      <c r="GZ37" s="133" t="n">
        <f aca="false">IF(OR(GZ$4="",$B37=""),0,SUMIF('DADOS BRUTOS'!$A$3:$A$500,$B37,'DADOS BRUTOS'!DZ$3:DZ$500)+IF($C37="",0,SUMIF('DADOS BRUTOS'!$A$3:$A$500,$C37,'DADOS BRUTOS'!DZ$3:DZ$500)))</f>
        <v>0</v>
      </c>
      <c r="HA37" s="133" t="n">
        <f aca="false">IF(OR(HA$4="",$B37=""),0,SUMIF('DADOS BRUTOS'!$A$3:$A$500,$B37,'DADOS BRUTOS'!EA$3:EA$500)+IF($C37="",0,SUMIF('DADOS BRUTOS'!$A$3:$A$500,$C37,'DADOS BRUTOS'!EA$3:EA$500)))</f>
        <v>0</v>
      </c>
      <c r="HB37" s="133" t="n">
        <f aca="false">IF(OR(HB$4="",$B37=""),0,SUMIF('DADOS BRUTOS'!$A$3:$A$500,$B37,'DADOS BRUTOS'!EB$3:EB$500)+IF($C37="",0,SUMIF('DADOS BRUTOS'!$A$3:$A$500,$C37,'DADOS BRUTOS'!EB$3:EB$500)))</f>
        <v>0</v>
      </c>
      <c r="HC37" s="133" t="n">
        <f aca="false">IF(OR(HC$4="",$B37=""),0,SUMIF('DADOS BRUTOS'!$A$3:$A$500,$B37,'DADOS BRUTOS'!EC$3:EC$500)+IF($C37="",0,SUMIF('DADOS BRUTOS'!$A$3:$A$500,$C37,'DADOS BRUTOS'!EC$3:EC$500)))</f>
        <v>0</v>
      </c>
      <c r="HD37" s="133" t="n">
        <f aca="false">IF(OR(HD$4="",$B37=""),0,SUMIF('DADOS BRUTOS'!$A$3:$A$500,$B37,'DADOS BRUTOS'!ED$3:ED$500)+IF($C37="",0,SUMIF('DADOS BRUTOS'!$A$3:$A$500,$C37,'DADOS BRUTOS'!ED$3:ED$500)))</f>
        <v>0</v>
      </c>
      <c r="HE37" s="133" t="n">
        <f aca="false">IF(OR(HE$4="",$B37=""),0,SUMIF('DADOS BRUTOS'!$A$3:$A$500,$B37,'DADOS BRUTOS'!EE$3:EE$500)+IF($C37="",0,SUMIF('DADOS BRUTOS'!$A$3:$A$500,$C37,'DADOS BRUTOS'!EE$3:EE$500)))</f>
        <v>0</v>
      </c>
      <c r="HF37" s="133" t="n">
        <f aca="false">IF(OR(HF$4="",$B37=""),0,SUMIF('DADOS BRUTOS'!$A$3:$A$500,$B37,'DADOS BRUTOS'!EF$3:EF$500)+IF($C37="",0,SUMIF('DADOS BRUTOS'!$A$3:$A$500,$C37,'DADOS BRUTOS'!EF$3:EF$500)))</f>
        <v>0</v>
      </c>
      <c r="HG37" s="133" t="n">
        <f aca="false">IF(OR(HG$4="",$B37=""),0,SUMIF('DADOS BRUTOS'!$A$3:$A$500,$B37,'DADOS BRUTOS'!EG$3:EG$500)+IF($C37="",0,SUMIF('DADOS BRUTOS'!$A$3:$A$500,$C37,'DADOS BRUTOS'!EG$3:EG$500)))</f>
        <v>0</v>
      </c>
      <c r="HH37" s="133" t="n">
        <f aca="false">IF(OR(HH$4="",$B37=""),0,SUMIF('DADOS BRUTOS'!$A$3:$A$500,$B37,'DADOS BRUTOS'!EH$3:EH$500)+IF($C37="",0,SUMIF('DADOS BRUTOS'!$A$3:$A$500,$C37,'DADOS BRUTOS'!EH$3:EH$500)))</f>
        <v>0</v>
      </c>
      <c r="HI37" s="133" t="n">
        <f aca="false">IF(OR(HI$4="",$B37=""),0,SUMIF('DADOS BRUTOS'!$A$3:$A$500,$B37,'DADOS BRUTOS'!EI$3:EI$500)+IF($C37="",0,SUMIF('DADOS BRUTOS'!$A$3:$A$500,$C37,'DADOS BRUTOS'!EI$3:EI$500)))</f>
        <v>0</v>
      </c>
      <c r="HJ37" s="133" t="n">
        <f aca="false">IF(OR(HJ$4="",$B37=""),0,SUMIF('DADOS BRUTOS'!$A$3:$A$500,$B37,'DADOS BRUTOS'!EJ$3:EJ$500)+IF($C37="",0,SUMIF('DADOS BRUTOS'!$A$3:$A$500,$C37,'DADOS BRUTOS'!EJ$3:EJ$500)))</f>
        <v>0</v>
      </c>
      <c r="HK37" s="133" t="n">
        <f aca="false">IF(OR(HK$4="",$B37=""),0,SUMIF('DADOS BRUTOS'!$A$3:$A$500,$B37,'DADOS BRUTOS'!EK$3:EK$500)+IF($C37="",0,SUMIF('DADOS BRUTOS'!$A$3:$A$500,$C37,'DADOS BRUTOS'!EK$3:EK$500)))</f>
        <v>0</v>
      </c>
      <c r="HL37" s="133" t="n">
        <f aca="false">IF(OR(HL$4="",$B37=""),0,SUMIF('DADOS BRUTOS'!$A$3:$A$500,$B37,'DADOS BRUTOS'!EL$3:EL$500)+IF($C37="",0,SUMIF('DADOS BRUTOS'!$A$3:$A$500,$C37,'DADOS BRUTOS'!EL$3:EL$500)))</f>
        <v>0</v>
      </c>
      <c r="HM37" s="133" t="n">
        <f aca="false">IF(OR(HM$4="",$B37=""),0,SUMIF('DADOS BRUTOS'!$A$3:$A$500,$B37,'DADOS BRUTOS'!EM$3:EM$500)+IF($C37="",0,SUMIF('DADOS BRUTOS'!$A$3:$A$500,$C37,'DADOS BRUTOS'!EM$3:EM$500)))</f>
        <v>0</v>
      </c>
      <c r="HN37" s="133" t="n">
        <f aca="false">IF(OR(HN$4="",$B37=""),0,SUMIF('DADOS BRUTOS'!$A$3:$A$500,$B37,'DADOS BRUTOS'!EN$3:EN$500)+IF($C37="",0,SUMIF('DADOS BRUTOS'!$A$3:$A$500,$C37,'DADOS BRUTOS'!EN$3:EN$500)))</f>
        <v>0</v>
      </c>
      <c r="HO37" s="133" t="n">
        <f aca="false">IF(OR(HO$4="",$B37=""),0,SUMIF('DADOS BRUTOS'!$A$3:$A$500,$B37,'DADOS BRUTOS'!EO$3:EO$500)+IF($C37="",0,SUMIF('DADOS BRUTOS'!$A$3:$A$500,$C37,'DADOS BRUTOS'!EO$3:EO$500)))</f>
        <v>0</v>
      </c>
      <c r="HP37" s="133" t="n">
        <f aca="false">IF(OR(HP$4="",$B37=""),0,SUMIF('DADOS BRUTOS'!$A$3:$A$500,$B37,'DADOS BRUTOS'!EP$3:EP$500)+IF($C37="",0,SUMIF('DADOS BRUTOS'!$A$3:$A$500,$C37,'DADOS BRUTOS'!EP$3:EP$500)))</f>
        <v>0</v>
      </c>
      <c r="HQ37" s="133" t="n">
        <f aca="false">IF(OR(HQ$4="",$B37=""),0,SUMIF('DADOS BRUTOS'!$A$3:$A$500,$B37,'DADOS BRUTOS'!EQ$3:EQ$500)+IF($C37="",0,SUMIF('DADOS BRUTOS'!$A$3:$A$500,$C37,'DADOS BRUTOS'!EQ$3:EQ$500)))</f>
        <v>0</v>
      </c>
      <c r="HR37" s="133" t="n">
        <f aca="false">IF(OR(HR$4="",$B37=""),0,SUMIF('DADOS BRUTOS'!$A$3:$A$500,$B37,'DADOS BRUTOS'!ER$3:ER$500)+IF($C37="",0,SUMIF('DADOS BRUTOS'!$A$3:$A$500,$C37,'DADOS BRUTOS'!ER$3:ER$500)))</f>
        <v>0</v>
      </c>
      <c r="HS37" s="133" t="n">
        <f aca="false">IF(OR(HS$4="",$B37=""),0,SUMIF('DADOS BRUTOS'!$A$3:$A$500,$B37,'DADOS BRUTOS'!ES$3:ES$500)+IF($C37="",0,SUMIF('DADOS BRUTOS'!$A$3:$A$500,$C37,'DADOS BRUTOS'!ES$3:ES$500)))</f>
        <v>0</v>
      </c>
      <c r="HT37" s="133" t="n">
        <f aca="false">IF(OR(HT$4="",$B37=""),0,SUMIF('DADOS BRUTOS'!$A$3:$A$500,$B37,'DADOS BRUTOS'!ET$3:ET$500)+IF($C37="",0,SUMIF('DADOS BRUTOS'!$A$3:$A$500,$C37,'DADOS BRUTOS'!ET$3:ET$500)))</f>
        <v>0</v>
      </c>
      <c r="HU37" s="133" t="n">
        <f aca="false">IF(OR(HU$4="",$B37=""),0,SUMIF('DADOS BRUTOS'!$A$3:$A$500,$B37,'DADOS BRUTOS'!EU$3:EU$500)+IF($C37="",0,SUMIF('DADOS BRUTOS'!$A$3:$A$500,$C37,'DADOS BRUTOS'!EU$3:EU$500)))</f>
        <v>0</v>
      </c>
      <c r="HV37" s="133" t="n">
        <f aca="false">IF(OR(HV$4="",$B37=""),0,SUMIF('DADOS BRUTOS'!$A$3:$A$500,$B37,'DADOS BRUTOS'!EV$3:EV$500)+IF($C37="",0,SUMIF('DADOS BRUTOS'!$A$3:$A$500,$C37,'DADOS BRUTOS'!EV$3:EV$500)))</f>
        <v>0</v>
      </c>
      <c r="HW37" s="133" t="n">
        <f aca="false">IF(OR(HW$4="",$B37=""),0,SUMIF('DADOS BRUTOS'!$A$3:$A$500,$B37,'DADOS BRUTOS'!EW$3:EW$500)+IF($C37="",0,SUMIF('DADOS BRUTOS'!$A$3:$A$500,$C37,'DADOS BRUTOS'!EW$3:EW$500)))</f>
        <v>0</v>
      </c>
      <c r="HX37" s="133" t="n">
        <f aca="false">IF(OR(HX$4="",$B37=""),0,SUMIF('DADOS BRUTOS'!$A$3:$A$500,$B37,'DADOS BRUTOS'!EX$3:EX$500)+IF($C37="",0,SUMIF('DADOS BRUTOS'!$A$3:$A$500,$C37,'DADOS BRUTOS'!EX$3:EX$500)))</f>
        <v>0</v>
      </c>
      <c r="HY37" s="133" t="n">
        <f aca="false">IF(OR(HY$4="",$B37=""),0,SUMIF('DADOS BRUTOS'!$A$3:$A$500,$B37,'DADOS BRUTOS'!EY$3:EY$500)+IF($C37="",0,SUMIF('DADOS BRUTOS'!$A$3:$A$500,$C37,'DADOS BRUTOS'!EY$3:EY$500)))</f>
        <v>0</v>
      </c>
      <c r="HZ37" s="133" t="n">
        <f aca="false">IF(OR(HZ$4="",$B37=""),0,SUMIF('DADOS BRUTOS'!$A$3:$A$500,$B37,'DADOS BRUTOS'!EZ$3:EZ$500)+IF($C37="",0,SUMIF('DADOS BRUTOS'!$A$3:$A$500,$C37,'DADOS BRUTOS'!EZ$3:EZ$500)))</f>
        <v>0</v>
      </c>
      <c r="IA37" s="133" t="n">
        <f aca="false">IF(OR(IA$4="",$B37=""),0,SUMIF('DADOS BRUTOS'!$A$3:$A$500,$B37,'DADOS BRUTOS'!FA$3:FA$500)+IF($C37="",0,SUMIF('DADOS BRUTOS'!$A$3:$A$500,$C37,'DADOS BRUTOS'!FA$3:FA$500)))</f>
        <v>0</v>
      </c>
      <c r="IB37" s="133" t="n">
        <f aca="false">IF(OR(IB$4="",$B37=""),0,SUMIF('DADOS BRUTOS'!$A$3:$A$500,$B37,'DADOS BRUTOS'!FB$3:FB$500)+IF($C37="",0,SUMIF('DADOS BRUTOS'!$A$3:$A$500,$C37,'DADOS BRUTOS'!FB$3:FB$500)))</f>
        <v>0</v>
      </c>
      <c r="IC37" s="133" t="n">
        <f aca="false">IF(OR(IC$4="",$B37=""),0,SUMIF('DADOS BRUTOS'!$A$3:$A$500,$B37,'DADOS BRUTOS'!FC$3:FC$500)+IF($C37="",0,SUMIF('DADOS BRUTOS'!$A$3:$A$500,$C37,'DADOS BRUTOS'!FC$3:FC$500)))</f>
        <v>0</v>
      </c>
      <c r="ID37" s="133" t="n">
        <f aca="false">IF(OR(ID$4="",$B37=""),0,SUMIF('DADOS BRUTOS'!$A$3:$A$500,$B37,'DADOS BRUTOS'!FD$3:FD$500)+IF($C37="",0,SUMIF('DADOS BRUTOS'!$A$3:$A$500,$C37,'DADOS BRUTOS'!FD$3:FD$500)))</f>
        <v>0</v>
      </c>
      <c r="IE37" s="133" t="n">
        <f aca="false">IF(OR(IE$4="",$B37=""),0,SUMIF('DADOS BRUTOS'!$A$3:$A$500,$B37,'DADOS BRUTOS'!FE$3:FE$500)+IF($C37="",0,SUMIF('DADOS BRUTOS'!$A$3:$A$500,$C37,'DADOS BRUTOS'!FE$3:FE$500)))</f>
        <v>0</v>
      </c>
      <c r="IF37" s="133" t="n">
        <f aca="false">IF(OR(IF$4="",$B37=""),0,SUMIF('DADOS BRUTOS'!$A$3:$A$500,$B37,'DADOS BRUTOS'!FF$3:FF$500)+IF($C37="",0,SUMIF('DADOS BRUTOS'!$A$3:$A$500,$C37,'DADOS BRUTOS'!FF$3:FF$500)))</f>
        <v>0</v>
      </c>
      <c r="IG37" s="133" t="n">
        <f aca="false">IF(OR(IG$4="",$B37=""),0,SUMIF('DADOS BRUTOS'!$A$3:$A$500,$B37,'DADOS BRUTOS'!FG$3:FG$500)+IF($C37="",0,SUMIF('DADOS BRUTOS'!$A$3:$A$500,$C37,'DADOS BRUTOS'!FG$3:FG$500)))</f>
        <v>0</v>
      </c>
      <c r="IH37" s="133" t="n">
        <f aca="false">IF(OR(IH$4="",$B37=""),0,SUMIF('DADOS BRUTOS'!$A$3:$A$500,$B37,'DADOS BRUTOS'!FH$3:FH$500)+IF($C37="",0,SUMIF('DADOS BRUTOS'!$A$3:$A$500,$C37,'DADOS BRUTOS'!FH$3:FH$500)))</f>
        <v>0</v>
      </c>
      <c r="II37" s="133" t="n">
        <f aca="false">IF(OR(II$4="",$B37=""),0,SUMIF('DADOS BRUTOS'!$A$3:$A$500,$B37,'DADOS BRUTOS'!FI$3:FI$500)+IF($C37="",0,SUMIF('DADOS BRUTOS'!$A$3:$A$500,$C37,'DADOS BRUTOS'!FI$3:FI$500)))</f>
        <v>0</v>
      </c>
      <c r="IJ37" s="133" t="n">
        <f aca="false">IF(OR(IJ$4="",$B37=""),0,SUMIF('DADOS BRUTOS'!$A$3:$A$500,$B37,'DADOS BRUTOS'!FJ$3:FJ$500)+IF($C37="",0,SUMIF('DADOS BRUTOS'!$A$3:$A$500,$C37,'DADOS BRUTOS'!FJ$3:FJ$500)))</f>
        <v>0</v>
      </c>
      <c r="IK37" s="133" t="n">
        <f aca="false">IF(OR(IK$4="",$B37=""),0,SUMIF('DADOS BRUTOS'!$A$3:$A$500,$B37,'DADOS BRUTOS'!FK$3:FK$500)+IF($C37="",0,SUMIF('DADOS BRUTOS'!$A$3:$A$500,$C37,'DADOS BRUTOS'!FK$3:FK$500)))</f>
        <v>0</v>
      </c>
      <c r="IL37" s="133" t="n">
        <f aca="false">IF(OR(IL$4="",$B37=""),0,SUMIF('DADOS BRUTOS'!$A$3:$A$500,$B37,'DADOS BRUTOS'!FL$3:FL$500)+IF($C37="",0,SUMIF('DADOS BRUTOS'!$A$3:$A$500,$C37,'DADOS BRUTOS'!FL$3:FL$500)))</f>
        <v>0</v>
      </c>
      <c r="IM37" s="133" t="n">
        <f aca="false">IF(OR(IM$4="",$B37=""),0,SUMIF('DADOS BRUTOS'!$A$3:$A$500,$B37,'DADOS BRUTOS'!FM$3:FM$500)+IF($C37="",0,SUMIF('DADOS BRUTOS'!$A$3:$A$500,$C37,'DADOS BRUTOS'!FM$3:FM$500)))</f>
        <v>0</v>
      </c>
      <c r="IN37" s="133" t="n">
        <f aca="false">IF(OR(IN$4="",$B37=""),0,SUMIF('DADOS BRUTOS'!$A$3:$A$500,$B37,'DADOS BRUTOS'!FN$3:FN$500)+IF($C37="",0,SUMIF('DADOS BRUTOS'!$A$3:$A$500,$C37,'DADOS BRUTOS'!FN$3:FN$500)))</f>
        <v>0</v>
      </c>
      <c r="IO37" s="133" t="n">
        <f aca="false">IF(OR(IO$4="",$B37=""),0,SUMIF('DADOS BRUTOS'!$A$3:$A$500,$B37,'DADOS BRUTOS'!FO$3:FO$500)+IF($C37="",0,SUMIF('DADOS BRUTOS'!$A$3:$A$500,$C37,'DADOS BRUTOS'!FO$3:FO$500)))</f>
        <v>0</v>
      </c>
      <c r="IP37" s="133" t="n">
        <f aca="false">IF(OR(IP$4="",$B37=""),0,SUMIF('DADOS BRUTOS'!$A$3:$A$500,$B37,'DADOS BRUTOS'!FP$3:FP$500)+IF($C37="",0,SUMIF('DADOS BRUTOS'!$A$3:$A$500,$C37,'DADOS BRUTOS'!FP$3:FP$500)))</f>
        <v>0</v>
      </c>
      <c r="IQ37" s="133" t="n">
        <f aca="false">IF(OR(IQ$4="",$B37=""),0,SUMIF('DADOS BRUTOS'!$A$3:$A$500,$B37,'DADOS BRUTOS'!FQ$3:FQ$500)+IF($C37="",0,SUMIF('DADOS BRUTOS'!$A$3:$A$500,$C37,'DADOS BRUTOS'!FQ$3:FQ$500)))</f>
        <v>0</v>
      </c>
      <c r="IR37" s="133" t="n">
        <f aca="false">IF(OR(IR$4="",$B37=""),0,SUMIF('DADOS BRUTOS'!$A$3:$A$500,$B37,'DADOS BRUTOS'!FR$3:FR$500)+IF($C37="",0,SUMIF('DADOS BRUTOS'!$A$3:$A$500,$C37,'DADOS BRUTOS'!FR$3:FR$500)))</f>
        <v>0</v>
      </c>
      <c r="IS37" s="133" t="n">
        <f aca="false">IF(OR(IS$4="",$B37=""),0,SUMIF('DADOS BRUTOS'!$A$3:$A$500,$B37,'DADOS BRUTOS'!FS$3:FS$500)+IF($C37="",0,SUMIF('DADOS BRUTOS'!$A$3:$A$500,$C37,'DADOS BRUTOS'!FS$3:FS$500)))</f>
        <v>0</v>
      </c>
      <c r="IT37" s="133" t="n">
        <f aca="false">IF(OR(IT$4="",$B37=""),0,SUMIF('DADOS BRUTOS'!$A$3:$A$500,$B37,'DADOS BRUTOS'!FT$3:FT$500)+IF($C37="",0,SUMIF('DADOS BRUTOS'!$A$3:$A$500,$C37,'DADOS BRUTOS'!FT$3:FT$500)))</f>
        <v>0</v>
      </c>
      <c r="IU37" s="133" t="n">
        <f aca="false">IF(OR(IU$4="",$B37=""),0,SUMIF('DADOS BRUTOS'!$A$3:$A$500,$B37,'DADOS BRUTOS'!FU$3:FU$500)+IF($C37="",0,SUMIF('DADOS BRUTOS'!$A$3:$A$500,$C37,'DADOS BRUTOS'!FU$3:FU$500)))</f>
        <v>0</v>
      </c>
      <c r="IV37" s="133" t="n">
        <f aca="false">IF(OR(IV$4="",$B37=""),0,SUMIF('DADOS BRUTOS'!$A$3:$A$500,$B37,'DADOS BRUTOS'!FV$3:FV$500)+IF($C37="",0,SUMIF('DADOS BRUTOS'!$A$3:$A$500,$C37,'DADOS BRUTOS'!FV$3:FV$500)))</f>
        <v>0</v>
      </c>
      <c r="IW37" s="133" t="n">
        <f aca="false">IF(OR(IW$4="",$B37=""),0,SUMIF('DADOS BRUTOS'!$A$3:$A$500,$B37,'DADOS BRUTOS'!FW$3:FW$500)+IF($C37="",0,SUMIF('DADOS BRUTOS'!$A$3:$A$500,$C37,'DADOS BRUTOS'!FW$3:FW$500)))</f>
        <v>0</v>
      </c>
      <c r="IX37" s="133" t="n">
        <f aca="false">IF(OR(IX$4="",$B37=""),0,SUMIF('DADOS BRUTOS'!$A$3:$A$500,$B37,'DADOS BRUTOS'!FX$3:FX$500)+IF($C37="",0,SUMIF('DADOS BRUTOS'!$A$3:$A$500,$C37,'DADOS BRUTOS'!FX$3:FX$500)))</f>
        <v>0</v>
      </c>
      <c r="IY37" s="133" t="n">
        <f aca="false">IF(OR(IY$4="",$B37=""),0,SUMIF('DADOS BRUTOS'!$A$3:$A$500,$B37,'DADOS BRUTOS'!FY$3:FY$500)+IF($C37="",0,SUMIF('DADOS BRUTOS'!$A$3:$A$500,$C37,'DADOS BRUTOS'!FY$3:FY$500)))</f>
        <v>0</v>
      </c>
      <c r="IZ37" s="133" t="n">
        <f aca="false">IF(OR(IZ$4="",$B37=""),0,SUMIF('DADOS BRUTOS'!$A$3:$A$500,$B37,'DADOS BRUTOS'!FZ$3:FZ$500)+IF($C37="",0,SUMIF('DADOS BRUTOS'!$A$3:$A$500,$C37,'DADOS BRUTOS'!FZ$3:FZ$500)))</f>
        <v>0</v>
      </c>
      <c r="JA37" s="133" t="n">
        <f aca="false">IF(OR(JA$4="",$B37=""),0,SUMIF('DADOS BRUTOS'!$A$3:$A$500,$B37,'DADOS BRUTOS'!GA$3:GA$500)+IF($C37="",0,SUMIF('DADOS BRUTOS'!$A$3:$A$500,$C37,'DADOS BRUTOS'!GA$3:GA$500)))</f>
        <v>0</v>
      </c>
      <c r="JB37" s="133" t="n">
        <f aca="false">IF(OR(JB$4="",$B37=""),0,SUMIF('DADOS BRUTOS'!$A$3:$A$500,$B37,'DADOS BRUTOS'!GB$3:GB$500)+IF($C37="",0,SUMIF('DADOS BRUTOS'!$A$3:$A$500,$C37,'DADOS BRUTOS'!GB$3:GB$500)))</f>
        <v>0</v>
      </c>
      <c r="JC37" s="133" t="n">
        <f aca="false">IF(OR(JC$4="",$B37=""),0,SUMIF('DADOS BRUTOS'!$A$3:$A$500,$B37,'DADOS BRUTOS'!GC$3:GC$500)+IF($C37="",0,SUMIF('DADOS BRUTOS'!$A$3:$A$500,$C37,'DADOS BRUTOS'!GC$3:GC$500)))</f>
        <v>0</v>
      </c>
      <c r="JD37" s="133" t="n">
        <f aca="false">IF(OR(JD$4="",$B37=""),0,SUMIF('DADOS BRUTOS'!$A$3:$A$500,$B37,'DADOS BRUTOS'!GD$3:GD$500)+IF($C37="",0,SUMIF('DADOS BRUTOS'!$A$3:$A$500,$C37,'DADOS BRUTOS'!GD$3:GD$500)))</f>
        <v>0</v>
      </c>
      <c r="JE37" s="133" t="n">
        <f aca="false">IF(OR(JE$4="",$B37=""),0,SUMIF('DADOS BRUTOS'!$A$3:$A$500,$B37,'DADOS BRUTOS'!GE$3:GE$500)+IF($C37="",0,SUMIF('DADOS BRUTOS'!$A$3:$A$500,$C37,'DADOS BRUTOS'!GE$3:GE$500)))</f>
        <v>0</v>
      </c>
      <c r="JF37" s="133" t="n">
        <f aca="false">IF(OR(JF$4="",$B37=""),0,SUMIF('DADOS BRUTOS'!$A$3:$A$500,$B37,'DADOS BRUTOS'!GF$3:GF$500)+IF($C37="",0,SUMIF('DADOS BRUTOS'!$A$3:$A$500,$C37,'DADOS BRUTOS'!GF$3:GF$500)))</f>
        <v>0</v>
      </c>
      <c r="JG37" s="133" t="n">
        <f aca="false">IF(OR(JG$4="",$B37=""),0,SUMIF('DADOS BRUTOS'!$A$3:$A$500,$B37,'DADOS BRUTOS'!GG$3:GG$500)+IF($C37="",0,SUMIF('DADOS BRUTOS'!$A$3:$A$500,$C37,'DADOS BRUTOS'!GG$3:GG$500)))</f>
        <v>0</v>
      </c>
      <c r="JH37" s="133" t="n">
        <f aca="false">IF(OR(JH$4="",$B37=""),0,SUMIF('DADOS BRUTOS'!$A$3:$A$500,$B37,'DADOS BRUTOS'!GH$3:GH$500)+IF($C37="",0,SUMIF('DADOS BRUTOS'!$A$3:$A$500,$C37,'DADOS BRUTOS'!GH$3:GH$500)))</f>
        <v>0</v>
      </c>
      <c r="JI37" s="133" t="n">
        <f aca="false">IF(OR(JI$4="",$B37=""),0,SUMIF('DADOS BRUTOS'!$A$3:$A$500,$B37,'DADOS BRUTOS'!GI$3:GI$500)+IF($C37="",0,SUMIF('DADOS BRUTOS'!$A$3:$A$500,$C37,'DADOS BRUTOS'!GI$3:GI$500)))</f>
        <v>0</v>
      </c>
      <c r="JJ37" s="133" t="n">
        <f aca="false">IF(OR(JJ$4="",$B37=""),0,SUMIF('DADOS BRUTOS'!$A$3:$A$500,$B37,'DADOS BRUTOS'!GJ$3:GJ$500)+IF($C37="",0,SUMIF('DADOS BRUTOS'!$A$3:$A$500,$C37,'DADOS BRUTOS'!GJ$3:GJ$500)))</f>
        <v>0</v>
      </c>
      <c r="JK37" s="133" t="n">
        <f aca="false">IF(OR(JK$4="",$B37=""),0,SUMIF('DADOS BRUTOS'!$A$3:$A$500,$B37,'DADOS BRUTOS'!GK$3:GK$500)+IF($C37="",0,SUMIF('DADOS BRUTOS'!$A$3:$A$500,$C37,'DADOS BRUTOS'!GK$3:GK$500)))</f>
        <v>0</v>
      </c>
      <c r="JL37" s="133" t="n">
        <f aca="false">IF(OR(JL$4="",$B37=""),0,SUMIF('DADOS BRUTOS'!$A$3:$A$500,$B37,'DADOS BRUTOS'!GL$3:GL$500)+IF($C37="",0,SUMIF('DADOS BRUTOS'!$A$3:$A$500,$C37,'DADOS BRUTOS'!GL$3:GL$500)))</f>
        <v>0</v>
      </c>
      <c r="JM37" s="133" t="n">
        <f aca="false">IF(OR(JM$4="",$B37=""),0,SUMIF('DADOS BRUTOS'!$A$3:$A$500,$B37,'DADOS BRUTOS'!GM$3:GM$500)+IF($C37="",0,SUMIF('DADOS BRUTOS'!$A$3:$A$500,$C37,'DADOS BRUTOS'!GM$3:GM$500)))</f>
        <v>0</v>
      </c>
      <c r="JN37" s="133" t="n">
        <f aca="false">IF(OR(JN$4="",$B37=""),0,SUMIF('DADOS BRUTOS'!$A$3:$A$500,$B37,'DADOS BRUTOS'!GN$3:GN$500)+IF($C37="",0,SUMIF('DADOS BRUTOS'!$A$3:$A$500,$C37,'DADOS BRUTOS'!GN$3:GN$500)))</f>
        <v>0</v>
      </c>
      <c r="JO37" s="133" t="n">
        <f aca="false">IF(OR(JO$4="",$B37=""),0,SUMIF('DADOS BRUTOS'!$A$3:$A$500,$B37,'DADOS BRUTOS'!GO$3:GO$500)+IF($C37="",0,SUMIF('DADOS BRUTOS'!$A$3:$A$500,$C37,'DADOS BRUTOS'!GO$3:GO$500)))</f>
        <v>0</v>
      </c>
      <c r="JP37" s="133" t="n">
        <f aca="false">IF(OR(JP$4="",$B37=""),0,SUMIF('DADOS BRUTOS'!$A$3:$A$500,$B37,'DADOS BRUTOS'!GP$3:GP$500)+IF($C37="",0,SUMIF('DADOS BRUTOS'!$A$3:$A$500,$C37,'DADOS BRUTOS'!GP$3:GP$500)))</f>
        <v>0</v>
      </c>
      <c r="JQ37" s="133" t="n">
        <f aca="false">IF(OR(JQ$4="",$B37=""),0,SUMIF('DADOS BRUTOS'!$A$3:$A$500,$B37,'DADOS BRUTOS'!GQ$3:GQ$500)+IF($C37="",0,SUMIF('DADOS BRUTOS'!$A$3:$A$500,$C37,'DADOS BRUTOS'!GQ$3:GQ$500)))</f>
        <v>0</v>
      </c>
      <c r="JR37" s="133" t="n">
        <f aca="false">IF(OR(JR$4="",$B37=""),0,SUMIF('DADOS BRUTOS'!$A$3:$A$500,$B37,'DADOS BRUTOS'!GR$3:GR$500)+IF($C37="",0,SUMIF('DADOS BRUTOS'!$A$3:$A$500,$C37,'DADOS BRUTOS'!GR$3:GR$500)))</f>
        <v>0</v>
      </c>
      <c r="JS37" s="133" t="n">
        <f aca="false">IF(OR(JS$4="",$B37=""),0,SUMIF('DADOS BRUTOS'!$A$3:$A$500,$B37,'DADOS BRUTOS'!GS$3:GS$500)+IF($C37="",0,SUMIF('DADOS BRUTOS'!$A$3:$A$500,$C37,'DADOS BRUTOS'!GS$3:GS$500)))</f>
        <v>0</v>
      </c>
    </row>
    <row r="38" customFormat="false" ht="15" hidden="false" customHeight="false" outlineLevel="0" collapsed="false">
      <c r="A38" s="57" t="str">
        <f aca="false">'VALOR POR PL'!D44</f>
        <v>LOUÇAS SANITÁRIAS</v>
      </c>
      <c r="B38" s="55" t="s">
        <v>220</v>
      </c>
      <c r="C38" s="55"/>
      <c r="D38" s="50" t="n">
        <f aca="false">SUMIF($CB$4:$JS$4,"&lt;="&amp;D$4,$CB38:$JS38)</f>
        <v>0</v>
      </c>
      <c r="E38" s="50" t="n">
        <f aca="false">SUMIF($CB$4:$JS$4,E$4,$CB38:$JS38)</f>
        <v>0</v>
      </c>
      <c r="F38" s="50" t="n">
        <f aca="false">SUMIF($CB$4:$JS$4,F$4,$CB38:$JS38)</f>
        <v>0</v>
      </c>
      <c r="G38" s="50" t="n">
        <f aca="false">SUMIF($CB$4:$JS$4,G$4,$CB38:$JS38)</f>
        <v>0</v>
      </c>
      <c r="H38" s="50" t="n">
        <f aca="false">SUMIF($CB$4:$JS$4,H$4,$CB38:$JS38)</f>
        <v>0</v>
      </c>
      <c r="I38" s="50" t="n">
        <f aca="false">SUMIF($CB$4:$JS$4,I$4,$CB38:$JS38)</f>
        <v>0</v>
      </c>
      <c r="J38" s="50" t="n">
        <f aca="false">SUMIF($CB$4:$JS$4,J$4,$CB38:$JS38)</f>
        <v>0</v>
      </c>
      <c r="K38" s="50" t="n">
        <f aca="false">SUMIF($CB$4:$JS$4,K$4,$CB38:$JS38)</f>
        <v>0</v>
      </c>
      <c r="L38" s="50" t="n">
        <f aca="false">SUMIF($CB$4:$JS$4,L$4,$CB38:$JS38)</f>
        <v>0</v>
      </c>
      <c r="M38" s="50" t="n">
        <f aca="false">SUMIF($CB$4:$JS$4,M$4,$CB38:$JS38)</f>
        <v>0</v>
      </c>
      <c r="N38" s="50" t="n">
        <f aca="false">SUMIF($CB$4:$JS$4,N$4,$CB38:$JS38)</f>
        <v>0</v>
      </c>
      <c r="O38" s="50" t="n">
        <f aca="false">SUMIF($CB$4:$JS$4,O$4,$CB38:$JS38)</f>
        <v>0</v>
      </c>
      <c r="P38" s="50" t="n">
        <f aca="false">SUMIF($CB$4:$JS$4,P$4,$CB38:$JS38)</f>
        <v>0</v>
      </c>
      <c r="Q38" s="50" t="n">
        <f aca="false">SUMIF($CB$4:$JS$4,Q$4,$CB38:$JS38)</f>
        <v>0</v>
      </c>
      <c r="R38" s="50" t="n">
        <f aca="false">SUMIF($CB$4:$JS$4,R$4,$CB38:$JS38)</f>
        <v>0</v>
      </c>
      <c r="S38" s="50" t="n">
        <f aca="false">SUMIF($CB$4:$JS$4,S$4,$CB38:$JS38)</f>
        <v>0</v>
      </c>
      <c r="T38" s="50" t="n">
        <f aca="false">SUMIF($CB$4:$JS$4,T$4,$CB38:$JS38)</f>
        <v>0</v>
      </c>
      <c r="U38" s="50" t="n">
        <f aca="false">SUMIF($CB$4:$JS$4,U$4,$CB38:$JS38)</f>
        <v>0</v>
      </c>
      <c r="V38" s="50" t="n">
        <f aca="false">SUMIF($CB$4:$JS$4,V$4,$CB38:$JS38)</f>
        <v>0</v>
      </c>
      <c r="W38" s="50" t="n">
        <f aca="false">SUMIF($CB$4:$JS$4,W$4,$CB38:$JS38)</f>
        <v>0</v>
      </c>
      <c r="X38" s="50" t="n">
        <f aca="false">SUMIF($CB$4:$JS$4,X$4,$CB38:$JS38)</f>
        <v>0</v>
      </c>
      <c r="Y38" s="50" t="n">
        <f aca="false">SUMIF($CB$4:$JS$4,Y$4,$CB38:$JS38)</f>
        <v>0</v>
      </c>
      <c r="Z38" s="50" t="n">
        <f aca="false">SUMIF($CB$4:$JS$4,Z$4,$CB38:$JS38)</f>
        <v>0</v>
      </c>
      <c r="AA38" s="50" t="n">
        <f aca="false">SUMIF($CB$4:$JS$4,AA$4,$CB38:$JS38)</f>
        <v>0</v>
      </c>
      <c r="AB38" s="50" t="n">
        <f aca="false">SUMIF($CB$4:$JS$4,AB$4,$CB38:$JS38)</f>
        <v>0</v>
      </c>
      <c r="AC38" s="50" t="n">
        <f aca="false">SUMIF($CB$4:$JS$4,AC$4,$CB38:$JS38)</f>
        <v>0</v>
      </c>
      <c r="AD38" s="50" t="n">
        <f aca="false">SUMIF($CB$4:$JS$4,AD$4,$CB38:$JS38)</f>
        <v>0</v>
      </c>
      <c r="AE38" s="50" t="n">
        <f aca="false">SUMIF($CB$4:$JS$4,AE$4,$CB38:$JS38)</f>
        <v>0</v>
      </c>
      <c r="AF38" s="50" t="n">
        <f aca="false">SUMIF($CB$4:$JS$4,AF$4,$CB38:$JS38)</f>
        <v>0</v>
      </c>
      <c r="AG38" s="50" t="n">
        <f aca="false">SUMIF($CB$4:$JS$4,AG$4,$CB38:$JS38)</f>
        <v>0</v>
      </c>
      <c r="AH38" s="50" t="n">
        <f aca="false">SUMIF($CB$4:$JS$4,AH$4,$CB38:$JS38)</f>
        <v>0</v>
      </c>
      <c r="AI38" s="50" t="n">
        <f aca="false">SUMIF($CB$4:$JS$4,AI$4,$CB38:$JS38)</f>
        <v>0</v>
      </c>
      <c r="AJ38" s="50" t="n">
        <f aca="false">SUMIF($CB$4:$JS$4,AJ$4,$CB38:$JS38)</f>
        <v>0</v>
      </c>
      <c r="AK38" s="50" t="n">
        <f aca="false">SUMIF($CB$4:$JS$4,AK$4,$CB38:$JS38)</f>
        <v>0</v>
      </c>
      <c r="AL38" s="50" t="n">
        <f aca="false">SUMIF($CB$4:$JS$4,AL$4,$CB38:$JS38)</f>
        <v>0</v>
      </c>
      <c r="AM38" s="50" t="n">
        <f aca="false">SUMIF($CB$4:$JS$4,AM$4,$CB38:$JS38)</f>
        <v>0</v>
      </c>
      <c r="AN38" s="50" t="n">
        <f aca="false">SUMIF($CB$4:$JS$4,AN$4,$CB38:$JS38)</f>
        <v>0</v>
      </c>
      <c r="AO38" s="50" t="n">
        <f aca="false">SUMIF($CB$4:$JS$4,AO$4,$CB38:$JS38)</f>
        <v>0</v>
      </c>
      <c r="AP38" s="50" t="n">
        <f aca="false">SUMIF($CB$4:$JS$4,AP$4,$CB38:$JS38)</f>
        <v>0</v>
      </c>
      <c r="AQ38" s="50" t="n">
        <f aca="false">SUMIF($CB$4:$JS$4,AQ$4,$CB38:$JS38)</f>
        <v>0</v>
      </c>
      <c r="AR38" s="50" t="n">
        <f aca="false">SUMIF($CB$4:$JS$4,AR$4,$CB38:$JS38)</f>
        <v>0</v>
      </c>
      <c r="AS38" s="50" t="n">
        <f aca="false">SUMIF($CB$4:$JS$4,AS$4,$CB38:$JS38)</f>
        <v>0</v>
      </c>
      <c r="AT38" s="50" t="n">
        <f aca="false">SUMIF($CB$4:$JS$4,AT$4,$CB38:$JS38)</f>
        <v>0</v>
      </c>
      <c r="AU38" s="50" t="n">
        <f aca="false">SUMIF($CB$4:$JS$4,AU$4,$CB38:$JS38)</f>
        <v>0</v>
      </c>
      <c r="AV38" s="50" t="n">
        <f aca="false">SUMIF($CB$4:$JS$4,AV$4,$CB38:$JS38)</f>
        <v>0</v>
      </c>
      <c r="AW38" s="50" t="n">
        <f aca="false">SUMIF($CB$4:$JS$4,AW$4,$CB38:$JS38)</f>
        <v>0</v>
      </c>
      <c r="AX38" s="50" t="n">
        <f aca="false">SUMIF($CB$4:$JS$4,AX$4,$CB38:$JS38)</f>
        <v>0</v>
      </c>
      <c r="AY38" s="50" t="n">
        <f aca="false">SUMIF($CB$4:$JS$4,AY$4,$CB38:$JS38)</f>
        <v>0</v>
      </c>
      <c r="AZ38" s="50" t="n">
        <f aca="false">SUMIF($CB$4:$JS$4,AZ$4,$CB38:$JS38)</f>
        <v>0</v>
      </c>
      <c r="BA38" s="50" t="n">
        <f aca="false">SUMIF($CB$4:$JS$4,BA$4,$CB38:$JS38)</f>
        <v>0</v>
      </c>
      <c r="BB38" s="50" t="n">
        <f aca="false">SUMIF($CB$4:$JS$4,BB$4,$CB38:$JS38)</f>
        <v>0</v>
      </c>
      <c r="BC38" s="50" t="n">
        <f aca="false">SUMIF($CB$4:$JS$4,BC$4,$CB38:$JS38)</f>
        <v>0</v>
      </c>
      <c r="BD38" s="50" t="n">
        <f aca="false">SUMIF($CB$4:$JS$4,BD$4,$CB38:$JS38)</f>
        <v>0</v>
      </c>
      <c r="BE38" s="50" t="n">
        <f aca="false">SUMIF($CB$4:$JS$4,BE$4,$CB38:$JS38)</f>
        <v>0</v>
      </c>
      <c r="BF38" s="50" t="n">
        <f aca="false">SUMIF($CB$4:$JS$4,BF$4,$CB38:$JS38)</f>
        <v>0</v>
      </c>
      <c r="BG38" s="50" t="n">
        <f aca="false">SUMIF($CB$4:$JS$4,BG$4,$CB38:$JS38)</f>
        <v>0</v>
      </c>
      <c r="BH38" s="50" t="n">
        <f aca="false">SUMIF($CB$4:$JS$4,BH$4,$CB38:$JS38)</f>
        <v>0</v>
      </c>
      <c r="BI38" s="50" t="n">
        <f aca="false">SUMIF($CB$4:$JS$4,BI$4,$CB38:$JS38)</f>
        <v>0</v>
      </c>
      <c r="BJ38" s="50" t="n">
        <f aca="false">SUMIF($CB$4:$JS$4,BJ$4,$CB38:$JS38)</f>
        <v>0</v>
      </c>
      <c r="BK38" s="50" t="n">
        <f aca="false">SUMIF($CB$4:$JS$4,BK$4,$CB38:$JS38)</f>
        <v>0</v>
      </c>
      <c r="BL38" s="50" t="n">
        <f aca="false">SUMIF($CB$4:$JS$4,BL$4,$CB38:$JS38)</f>
        <v>0</v>
      </c>
      <c r="BM38" s="50" t="n">
        <f aca="false">SUMIF($CB$4:$JS$4,BM$4,$CB38:$JS38)</f>
        <v>0</v>
      </c>
      <c r="BN38" s="50" t="n">
        <f aca="false">SUMIF($CB$4:$JS$4,BN$4,$CB38:$JS38)</f>
        <v>0</v>
      </c>
      <c r="BO38" s="50" t="n">
        <f aca="false">SUMIF($CB$4:$JS$4,BO$4,$CB38:$JS38)</f>
        <v>0</v>
      </c>
      <c r="BP38" s="50" t="n">
        <f aca="false">SUMIF($CB$4:$JS$4,BP$4,$CB38:$JS38)</f>
        <v>0</v>
      </c>
      <c r="BQ38" s="50" t="n">
        <f aca="false">SUMIF($CB$4:$JS$4,BQ$4,$CB38:$JS38)</f>
        <v>0</v>
      </c>
      <c r="BR38" s="50" t="n">
        <f aca="false">SUMIF($CB$4:$JS$4,BR$4,$CB38:$JS38)</f>
        <v>0</v>
      </c>
      <c r="BS38" s="50" t="n">
        <f aca="false">SUMIF($CB$4:$JS$4,BS$4,$CB38:$JS38)</f>
        <v>0</v>
      </c>
      <c r="BT38" s="50" t="n">
        <f aca="false">SUMIF($CB$4:$JS$4,BT$4,$CB38:$JS38)</f>
        <v>0</v>
      </c>
      <c r="BU38" s="50" t="n">
        <f aca="false">SUMIF($CB$4:$JS$4,BU$4,$CB38:$JS38)</f>
        <v>0</v>
      </c>
      <c r="BV38" s="50" t="n">
        <f aca="false">SUMIF($CB$4:$JS$4,BV$4,$CB38:$JS38)</f>
        <v>0</v>
      </c>
      <c r="BW38" s="50" t="n">
        <f aca="false">SUMIF($CB$4:$JS$4,BW$4,$CB38:$JS38)</f>
        <v>0</v>
      </c>
      <c r="BX38" s="50" t="n">
        <f aca="false">SUMIF($CB$4:$JS$4,"&gt;"&amp;'VALOR POR PL'!$P$8,$CB38:$JS38)</f>
        <v>0</v>
      </c>
      <c r="BY38" s="50" t="n">
        <f aca="false">SUM($CB38:$JS38)</f>
        <v>0</v>
      </c>
      <c r="BZ38" s="45" t="n">
        <f aca="false">SUMPRODUCT(($CB$4:$JS$4&lt;&gt;"")*($CB$4:$JS$4&lt;=$D$4),$CB38:$JS38,$CB$1:$JS$1)</f>
        <v>0</v>
      </c>
      <c r="CB38" s="133" t="n">
        <f aca="false">IF(OR(CB$4="",$B38=""),0,SUMIF('DADOS BRUTOS'!$A$3:$A$500,$B38,'DADOS BRUTOS'!B$3:B$500)+IF($C38="",0,SUMIF('DADOS BRUTOS'!$A$3:$A$500,$C38,'DADOS BRUTOS'!B$3:B$500)))</f>
        <v>0</v>
      </c>
      <c r="CC38" s="133" t="n">
        <f aca="false">IF(OR(CC$4="",$B38=""),0,SUMIF('DADOS BRUTOS'!$A$3:$A$500,$B38,'DADOS BRUTOS'!C$3:C$500)+IF($C38="",0,SUMIF('DADOS BRUTOS'!$A$3:$A$500,$C38,'DADOS BRUTOS'!C$3:C$500)))</f>
        <v>0</v>
      </c>
      <c r="CD38" s="133" t="n">
        <f aca="false">IF(OR(CD$4="",$B38=""),0,SUMIF('DADOS BRUTOS'!$A$3:$A$500,$B38,'DADOS BRUTOS'!D$3:D$500)+IF($C38="",0,SUMIF('DADOS BRUTOS'!$A$3:$A$500,$C38,'DADOS BRUTOS'!D$3:D$500)))</f>
        <v>0</v>
      </c>
      <c r="CE38" s="133" t="n">
        <f aca="false">IF(OR(CE$4="",$B38=""),0,SUMIF('DADOS BRUTOS'!$A$3:$A$500,$B38,'DADOS BRUTOS'!E$3:E$500)+IF($C38="",0,SUMIF('DADOS BRUTOS'!$A$3:$A$500,$C38,'DADOS BRUTOS'!E$3:E$500)))</f>
        <v>0</v>
      </c>
      <c r="CF38" s="133" t="n">
        <f aca="false">IF(OR(CF$4="",$B38=""),0,SUMIF('DADOS BRUTOS'!$A$3:$A$500,$B38,'DADOS BRUTOS'!F$3:F$500)+IF($C38="",0,SUMIF('DADOS BRUTOS'!$A$3:$A$500,$C38,'DADOS BRUTOS'!F$3:F$500)))</f>
        <v>0</v>
      </c>
      <c r="CG38" s="133" t="n">
        <f aca="false">IF(OR(CG$4="",$B38=""),0,SUMIF('DADOS BRUTOS'!$A$3:$A$500,$B38,'DADOS BRUTOS'!G$3:G$500)+IF($C38="",0,SUMIF('DADOS BRUTOS'!$A$3:$A$500,$C38,'DADOS BRUTOS'!G$3:G$500)))</f>
        <v>0</v>
      </c>
      <c r="CH38" s="133" t="n">
        <f aca="false">IF(OR(CH$4="",$B38=""),0,SUMIF('DADOS BRUTOS'!$A$3:$A$500,$B38,'DADOS BRUTOS'!H$3:H$500)+IF($C38="",0,SUMIF('DADOS BRUTOS'!$A$3:$A$500,$C38,'DADOS BRUTOS'!H$3:H$500)))</f>
        <v>0</v>
      </c>
      <c r="CI38" s="133" t="n">
        <f aca="false">IF(OR(CI$4="",$B38=""),0,SUMIF('DADOS BRUTOS'!$A$3:$A$500,$B38,'DADOS BRUTOS'!I$3:I$500)+IF($C38="",0,SUMIF('DADOS BRUTOS'!$A$3:$A$500,$C38,'DADOS BRUTOS'!I$3:I$500)))</f>
        <v>0</v>
      </c>
      <c r="CJ38" s="133" t="n">
        <f aca="false">IF(OR(CJ$4="",$B38=""),0,SUMIF('DADOS BRUTOS'!$A$3:$A$500,$B38,'DADOS BRUTOS'!J$3:J$500)+IF($C38="",0,SUMIF('DADOS BRUTOS'!$A$3:$A$500,$C38,'DADOS BRUTOS'!J$3:J$500)))</f>
        <v>0</v>
      </c>
      <c r="CK38" s="133" t="n">
        <f aca="false">IF(OR(CK$4="",$B38=""),0,SUMIF('DADOS BRUTOS'!$A$3:$A$500,$B38,'DADOS BRUTOS'!K$3:K$500)+IF($C38="",0,SUMIF('DADOS BRUTOS'!$A$3:$A$500,$C38,'DADOS BRUTOS'!K$3:K$500)))</f>
        <v>0</v>
      </c>
      <c r="CL38" s="133" t="n">
        <f aca="false">IF(OR(CL$4="",$B38=""),0,SUMIF('DADOS BRUTOS'!$A$3:$A$500,$B38,'DADOS BRUTOS'!L$3:L$500)+IF($C38="",0,SUMIF('DADOS BRUTOS'!$A$3:$A$500,$C38,'DADOS BRUTOS'!L$3:L$500)))</f>
        <v>0</v>
      </c>
      <c r="CM38" s="133" t="n">
        <f aca="false">IF(OR(CM$4="",$B38=""),0,SUMIF('DADOS BRUTOS'!$A$3:$A$500,$B38,'DADOS BRUTOS'!M$3:M$500)+IF($C38="",0,SUMIF('DADOS BRUTOS'!$A$3:$A$500,$C38,'DADOS BRUTOS'!M$3:M$500)))</f>
        <v>0</v>
      </c>
      <c r="CN38" s="133" t="n">
        <f aca="false">IF(OR(CN$4="",$B38=""),0,SUMIF('DADOS BRUTOS'!$A$3:$A$500,$B38,'DADOS BRUTOS'!N$3:N$500)+IF($C38="",0,SUMIF('DADOS BRUTOS'!$A$3:$A$500,$C38,'DADOS BRUTOS'!N$3:N$500)))</f>
        <v>0</v>
      </c>
      <c r="CO38" s="133" t="n">
        <f aca="false">IF(OR(CO$4="",$B38=""),0,SUMIF('DADOS BRUTOS'!$A$3:$A$500,$B38,'DADOS BRUTOS'!O$3:O$500)+IF($C38="",0,SUMIF('DADOS BRUTOS'!$A$3:$A$500,$C38,'DADOS BRUTOS'!O$3:O$500)))</f>
        <v>0</v>
      </c>
      <c r="CP38" s="133" t="n">
        <f aca="false">IF(OR(CP$4="",$B38=""),0,SUMIF('DADOS BRUTOS'!$A$3:$A$500,$B38,'DADOS BRUTOS'!P$3:P$500)+IF($C38="",0,SUMIF('DADOS BRUTOS'!$A$3:$A$500,$C38,'DADOS BRUTOS'!P$3:P$500)))</f>
        <v>0</v>
      </c>
      <c r="CQ38" s="133" t="n">
        <f aca="false">IF(OR(CQ$4="",$B38=""),0,SUMIF('DADOS BRUTOS'!$A$3:$A$500,$B38,'DADOS BRUTOS'!Q$3:Q$500)+IF($C38="",0,SUMIF('DADOS BRUTOS'!$A$3:$A$500,$C38,'DADOS BRUTOS'!Q$3:Q$500)))</f>
        <v>0</v>
      </c>
      <c r="CR38" s="133" t="n">
        <f aca="false">IF(OR(CR$4="",$B38=""),0,SUMIF('DADOS BRUTOS'!$A$3:$A$500,$B38,'DADOS BRUTOS'!R$3:R$500)+IF($C38="",0,SUMIF('DADOS BRUTOS'!$A$3:$A$500,$C38,'DADOS BRUTOS'!R$3:R$500)))</f>
        <v>0</v>
      </c>
      <c r="CS38" s="133" t="n">
        <f aca="false">IF(OR(CS$4="",$B38=""),0,SUMIF('DADOS BRUTOS'!$A$3:$A$500,$B38,'DADOS BRUTOS'!S$3:S$500)+IF($C38="",0,SUMIF('DADOS BRUTOS'!$A$3:$A$500,$C38,'DADOS BRUTOS'!S$3:S$500)))</f>
        <v>0</v>
      </c>
      <c r="CT38" s="133" t="n">
        <f aca="false">IF(OR(CT$4="",$B38=""),0,SUMIF('DADOS BRUTOS'!$A$3:$A$500,$B38,'DADOS BRUTOS'!T$3:T$500)+IF($C38="",0,SUMIF('DADOS BRUTOS'!$A$3:$A$500,$C38,'DADOS BRUTOS'!T$3:T$500)))</f>
        <v>0</v>
      </c>
      <c r="CU38" s="133" t="n">
        <f aca="false">IF(OR(CU$4="",$B38=""),0,SUMIF('DADOS BRUTOS'!$A$3:$A$500,$B38,'DADOS BRUTOS'!U$3:U$500)+IF($C38="",0,SUMIF('DADOS BRUTOS'!$A$3:$A$500,$C38,'DADOS BRUTOS'!U$3:U$500)))</f>
        <v>0</v>
      </c>
      <c r="CV38" s="133" t="n">
        <f aca="false">IF(OR(CV$4="",$B38=""),0,SUMIF('DADOS BRUTOS'!$A$3:$A$500,$B38,'DADOS BRUTOS'!V$3:V$500)+IF($C38="",0,SUMIF('DADOS BRUTOS'!$A$3:$A$500,$C38,'DADOS BRUTOS'!V$3:V$500)))</f>
        <v>0</v>
      </c>
      <c r="CW38" s="133" t="n">
        <f aca="false">IF(OR(CW$4="",$B38=""),0,SUMIF('DADOS BRUTOS'!$A$3:$A$500,$B38,'DADOS BRUTOS'!W$3:W$500)+IF($C38="",0,SUMIF('DADOS BRUTOS'!$A$3:$A$500,$C38,'DADOS BRUTOS'!W$3:W$500)))</f>
        <v>0</v>
      </c>
      <c r="CX38" s="133" t="n">
        <f aca="false">IF(OR(CX$4="",$B38=""),0,SUMIF('DADOS BRUTOS'!$A$3:$A$500,$B38,'DADOS BRUTOS'!X$3:X$500)+IF($C38="",0,SUMIF('DADOS BRUTOS'!$A$3:$A$500,$C38,'DADOS BRUTOS'!X$3:X$500)))</f>
        <v>0</v>
      </c>
      <c r="CY38" s="133" t="n">
        <f aca="false">IF(OR(CY$4="",$B38=""),0,SUMIF('DADOS BRUTOS'!$A$3:$A$500,$B38,'DADOS BRUTOS'!Y$3:Y$500)+IF($C38="",0,SUMIF('DADOS BRUTOS'!$A$3:$A$500,$C38,'DADOS BRUTOS'!Y$3:Y$500)))</f>
        <v>0</v>
      </c>
      <c r="CZ38" s="133" t="n">
        <f aca="false">IF(OR(CZ$4="",$B38=""),0,SUMIF('DADOS BRUTOS'!$A$3:$A$500,$B38,'DADOS BRUTOS'!Z$3:Z$500)+IF($C38="",0,SUMIF('DADOS BRUTOS'!$A$3:$A$500,$C38,'DADOS BRUTOS'!Z$3:Z$500)))</f>
        <v>0</v>
      </c>
      <c r="DA38" s="133" t="n">
        <f aca="false">IF(OR(DA$4="",$B38=""),0,SUMIF('DADOS BRUTOS'!$A$3:$A$500,$B38,'DADOS BRUTOS'!AA$3:AA$500)+IF($C38="",0,SUMIF('DADOS BRUTOS'!$A$3:$A$500,$C38,'DADOS BRUTOS'!AA$3:AA$500)))</f>
        <v>0</v>
      </c>
      <c r="DB38" s="133" t="n">
        <f aca="false">IF(OR(DB$4="",$B38=""),0,SUMIF('DADOS BRUTOS'!$A$3:$A$500,$B38,'DADOS BRUTOS'!AB$3:AB$500)+IF($C38="",0,SUMIF('DADOS BRUTOS'!$A$3:$A$500,$C38,'DADOS BRUTOS'!AB$3:AB$500)))</f>
        <v>0</v>
      </c>
      <c r="DC38" s="133" t="n">
        <f aca="false">IF(OR(DC$4="",$B38=""),0,SUMIF('DADOS BRUTOS'!$A$3:$A$500,$B38,'DADOS BRUTOS'!AC$3:AC$500)+IF($C38="",0,SUMIF('DADOS BRUTOS'!$A$3:$A$500,$C38,'DADOS BRUTOS'!AC$3:AC$500)))</f>
        <v>0</v>
      </c>
      <c r="DD38" s="133" t="n">
        <f aca="false">IF(OR(DD$4="",$B38=""),0,SUMIF('DADOS BRUTOS'!$A$3:$A$500,$B38,'DADOS BRUTOS'!AD$3:AD$500)+IF($C38="",0,SUMIF('DADOS BRUTOS'!$A$3:$A$500,$C38,'DADOS BRUTOS'!AD$3:AD$500)))</f>
        <v>0</v>
      </c>
      <c r="DE38" s="133" t="n">
        <f aca="false">IF(OR(DE$4="",$B38=""),0,SUMIF('DADOS BRUTOS'!$A$3:$A$500,$B38,'DADOS BRUTOS'!AE$3:AE$500)+IF($C38="",0,SUMIF('DADOS BRUTOS'!$A$3:$A$500,$C38,'DADOS BRUTOS'!AE$3:AE$500)))</f>
        <v>0</v>
      </c>
      <c r="DF38" s="133" t="n">
        <f aca="false">IF(OR(DF$4="",$B38=""),0,SUMIF('DADOS BRUTOS'!$A$3:$A$500,$B38,'DADOS BRUTOS'!AF$3:AF$500)+IF($C38="",0,SUMIF('DADOS BRUTOS'!$A$3:$A$500,$C38,'DADOS BRUTOS'!AF$3:AF$500)))</f>
        <v>0</v>
      </c>
      <c r="DG38" s="133" t="n">
        <f aca="false">IF(OR(DG$4="",$B38=""),0,SUMIF('DADOS BRUTOS'!$A$3:$A$500,$B38,'DADOS BRUTOS'!AG$3:AG$500)+IF($C38="",0,SUMIF('DADOS BRUTOS'!$A$3:$A$500,$C38,'DADOS BRUTOS'!AG$3:AG$500)))</f>
        <v>0</v>
      </c>
      <c r="DH38" s="133" t="n">
        <f aca="false">IF(OR(DH$4="",$B38=""),0,SUMIF('DADOS BRUTOS'!$A$3:$A$500,$B38,'DADOS BRUTOS'!AH$3:AH$500)+IF($C38="",0,SUMIF('DADOS BRUTOS'!$A$3:$A$500,$C38,'DADOS BRUTOS'!AH$3:AH$500)))</f>
        <v>0</v>
      </c>
      <c r="DI38" s="133" t="n">
        <f aca="false">IF(OR(DI$4="",$B38=""),0,SUMIF('DADOS BRUTOS'!$A$3:$A$500,$B38,'DADOS BRUTOS'!AI$3:AI$500)+IF($C38="",0,SUMIF('DADOS BRUTOS'!$A$3:$A$500,$C38,'DADOS BRUTOS'!AI$3:AI$500)))</f>
        <v>0</v>
      </c>
      <c r="DJ38" s="133" t="n">
        <f aca="false">IF(OR(DJ$4="",$B38=""),0,SUMIF('DADOS BRUTOS'!$A$3:$A$500,$B38,'DADOS BRUTOS'!AJ$3:AJ$500)+IF($C38="",0,SUMIF('DADOS BRUTOS'!$A$3:$A$500,$C38,'DADOS BRUTOS'!AJ$3:AJ$500)))</f>
        <v>0</v>
      </c>
      <c r="DK38" s="133" t="n">
        <f aca="false">IF(OR(DK$4="",$B38=""),0,SUMIF('DADOS BRUTOS'!$A$3:$A$500,$B38,'DADOS BRUTOS'!AK$3:AK$500)+IF($C38="",0,SUMIF('DADOS BRUTOS'!$A$3:$A$500,$C38,'DADOS BRUTOS'!AK$3:AK$500)))</f>
        <v>0</v>
      </c>
      <c r="DL38" s="133" t="n">
        <f aca="false">IF(OR(DL$4="",$B38=""),0,SUMIF('DADOS BRUTOS'!$A$3:$A$500,$B38,'DADOS BRUTOS'!AL$3:AL$500)+IF($C38="",0,SUMIF('DADOS BRUTOS'!$A$3:$A$500,$C38,'DADOS BRUTOS'!AL$3:AL$500)))</f>
        <v>0</v>
      </c>
      <c r="DM38" s="133" t="n">
        <f aca="false">IF(OR(DM$4="",$B38=""),0,SUMIF('DADOS BRUTOS'!$A$3:$A$500,$B38,'DADOS BRUTOS'!AM$3:AM$500)+IF($C38="",0,SUMIF('DADOS BRUTOS'!$A$3:$A$500,$C38,'DADOS BRUTOS'!AM$3:AM$500)))</f>
        <v>0</v>
      </c>
      <c r="DN38" s="133" t="n">
        <f aca="false">IF(OR(DN$4="",$B38=""),0,SUMIF('DADOS BRUTOS'!$A$3:$A$500,$B38,'DADOS BRUTOS'!AN$3:AN$500)+IF($C38="",0,SUMIF('DADOS BRUTOS'!$A$3:$A$500,$C38,'DADOS BRUTOS'!AN$3:AN$500)))</f>
        <v>0</v>
      </c>
      <c r="DO38" s="133" t="n">
        <f aca="false">IF(OR(DO$4="",$B38=""),0,SUMIF('DADOS BRUTOS'!$A$3:$A$500,$B38,'DADOS BRUTOS'!AO$3:AO$500)+IF($C38="",0,SUMIF('DADOS BRUTOS'!$A$3:$A$500,$C38,'DADOS BRUTOS'!AO$3:AO$500)))</f>
        <v>0</v>
      </c>
      <c r="DP38" s="133" t="n">
        <f aca="false">IF(OR(DP$4="",$B38=""),0,SUMIF('DADOS BRUTOS'!$A$3:$A$500,$B38,'DADOS BRUTOS'!AP$3:AP$500)+IF($C38="",0,SUMIF('DADOS BRUTOS'!$A$3:$A$500,$C38,'DADOS BRUTOS'!AP$3:AP$500)))</f>
        <v>0</v>
      </c>
      <c r="DQ38" s="133" t="n">
        <f aca="false">IF(OR(DQ$4="",$B38=""),0,SUMIF('DADOS BRUTOS'!$A$3:$A$500,$B38,'DADOS BRUTOS'!AQ$3:AQ$500)+IF($C38="",0,SUMIF('DADOS BRUTOS'!$A$3:$A$500,$C38,'DADOS BRUTOS'!AQ$3:AQ$500)))</f>
        <v>0</v>
      </c>
      <c r="DR38" s="133" t="n">
        <f aca="false">IF(OR(DR$4="",$B38=""),0,SUMIF('DADOS BRUTOS'!$A$3:$A$500,$B38,'DADOS BRUTOS'!AR$3:AR$500)+IF($C38="",0,SUMIF('DADOS BRUTOS'!$A$3:$A$500,$C38,'DADOS BRUTOS'!AR$3:AR$500)))</f>
        <v>0</v>
      </c>
      <c r="DS38" s="133" t="n">
        <f aca="false">IF(OR(DS$4="",$B38=""),0,SUMIF('DADOS BRUTOS'!$A$3:$A$500,$B38,'DADOS BRUTOS'!AS$3:AS$500)+IF($C38="",0,SUMIF('DADOS BRUTOS'!$A$3:$A$500,$C38,'DADOS BRUTOS'!AS$3:AS$500)))</f>
        <v>0</v>
      </c>
      <c r="DT38" s="133" t="n">
        <f aca="false">IF(OR(DT$4="",$B38=""),0,SUMIF('DADOS BRUTOS'!$A$3:$A$500,$B38,'DADOS BRUTOS'!AT$3:AT$500)+IF($C38="",0,SUMIF('DADOS BRUTOS'!$A$3:$A$500,$C38,'DADOS BRUTOS'!AT$3:AT$500)))</f>
        <v>0</v>
      </c>
      <c r="DU38" s="133" t="n">
        <f aca="false">IF(OR(DU$4="",$B38=""),0,SUMIF('DADOS BRUTOS'!$A$3:$A$500,$B38,'DADOS BRUTOS'!AU$3:AU$500)+IF($C38="",0,SUMIF('DADOS BRUTOS'!$A$3:$A$500,$C38,'DADOS BRUTOS'!AU$3:AU$500)))</f>
        <v>0</v>
      </c>
      <c r="DV38" s="133" t="n">
        <f aca="false">IF(OR(DV$4="",$B38=""),0,SUMIF('DADOS BRUTOS'!$A$3:$A$500,$B38,'DADOS BRUTOS'!AV$3:AV$500)+IF($C38="",0,SUMIF('DADOS BRUTOS'!$A$3:$A$500,$C38,'DADOS BRUTOS'!AV$3:AV$500)))</f>
        <v>0</v>
      </c>
      <c r="DW38" s="133" t="n">
        <f aca="false">IF(OR(DW$4="",$B38=""),0,SUMIF('DADOS BRUTOS'!$A$3:$A$500,$B38,'DADOS BRUTOS'!AW$3:AW$500)+IF($C38="",0,SUMIF('DADOS BRUTOS'!$A$3:$A$500,$C38,'DADOS BRUTOS'!AW$3:AW$500)))</f>
        <v>0</v>
      </c>
      <c r="DX38" s="133" t="n">
        <f aca="false">IF(OR(DX$4="",$B38=""),0,SUMIF('DADOS BRUTOS'!$A$3:$A$500,$B38,'DADOS BRUTOS'!AX$3:AX$500)+IF($C38="",0,SUMIF('DADOS BRUTOS'!$A$3:$A$500,$C38,'DADOS BRUTOS'!AX$3:AX$500)))</f>
        <v>0</v>
      </c>
      <c r="DY38" s="133" t="n">
        <f aca="false">IF(OR(DY$4="",$B38=""),0,SUMIF('DADOS BRUTOS'!$A$3:$A$500,$B38,'DADOS BRUTOS'!AY$3:AY$500)+IF($C38="",0,SUMIF('DADOS BRUTOS'!$A$3:$A$500,$C38,'DADOS BRUTOS'!AY$3:AY$500)))</f>
        <v>0</v>
      </c>
      <c r="DZ38" s="133" t="n">
        <f aca="false">IF(OR(DZ$4="",$B38=""),0,SUMIF('DADOS BRUTOS'!$A$3:$A$500,$B38,'DADOS BRUTOS'!AZ$3:AZ$500)+IF($C38="",0,SUMIF('DADOS BRUTOS'!$A$3:$A$500,$C38,'DADOS BRUTOS'!AZ$3:AZ$500)))</f>
        <v>0</v>
      </c>
      <c r="EA38" s="133" t="n">
        <f aca="false">IF(OR(EA$4="",$B38=""),0,SUMIF('DADOS BRUTOS'!$A$3:$A$500,$B38,'DADOS BRUTOS'!BA$3:BA$500)+IF($C38="",0,SUMIF('DADOS BRUTOS'!$A$3:$A$500,$C38,'DADOS BRUTOS'!BA$3:BA$500)))</f>
        <v>0</v>
      </c>
      <c r="EB38" s="133" t="n">
        <f aca="false">IF(OR(EB$4="",$B38=""),0,SUMIF('DADOS BRUTOS'!$A$3:$A$500,$B38,'DADOS BRUTOS'!BB$3:BB$500)+IF($C38="",0,SUMIF('DADOS BRUTOS'!$A$3:$A$500,$C38,'DADOS BRUTOS'!BB$3:BB$500)))</f>
        <v>0</v>
      </c>
      <c r="EC38" s="133" t="n">
        <f aca="false">IF(OR(EC$4="",$B38=""),0,SUMIF('DADOS BRUTOS'!$A$3:$A$500,$B38,'DADOS BRUTOS'!BC$3:BC$500)+IF($C38="",0,SUMIF('DADOS BRUTOS'!$A$3:$A$500,$C38,'DADOS BRUTOS'!BC$3:BC$500)))</f>
        <v>0</v>
      </c>
      <c r="ED38" s="133" t="n">
        <f aca="false">IF(OR(ED$4="",$B38=""),0,SUMIF('DADOS BRUTOS'!$A$3:$A$500,$B38,'DADOS BRUTOS'!BD$3:BD$500)+IF($C38="",0,SUMIF('DADOS BRUTOS'!$A$3:$A$500,$C38,'DADOS BRUTOS'!BD$3:BD$500)))</f>
        <v>0</v>
      </c>
      <c r="EE38" s="133" t="n">
        <f aca="false">IF(OR(EE$4="",$B38=""),0,SUMIF('DADOS BRUTOS'!$A$3:$A$500,$B38,'DADOS BRUTOS'!BE$3:BE$500)+IF($C38="",0,SUMIF('DADOS BRUTOS'!$A$3:$A$500,$C38,'DADOS BRUTOS'!BE$3:BE$500)))</f>
        <v>0</v>
      </c>
      <c r="EF38" s="133" t="n">
        <f aca="false">IF(OR(EF$4="",$B38=""),0,SUMIF('DADOS BRUTOS'!$A$3:$A$500,$B38,'DADOS BRUTOS'!BF$3:BF$500)+IF($C38="",0,SUMIF('DADOS BRUTOS'!$A$3:$A$500,$C38,'DADOS BRUTOS'!BF$3:BF$500)))</f>
        <v>0</v>
      </c>
      <c r="EG38" s="133" t="n">
        <f aca="false">IF(OR(EG$4="",$B38=""),0,SUMIF('DADOS BRUTOS'!$A$3:$A$500,$B38,'DADOS BRUTOS'!BG$3:BG$500)+IF($C38="",0,SUMIF('DADOS BRUTOS'!$A$3:$A$500,$C38,'DADOS BRUTOS'!BG$3:BG$500)))</f>
        <v>0</v>
      </c>
      <c r="EH38" s="133" t="n">
        <f aca="false">IF(OR(EH$4="",$B38=""),0,SUMIF('DADOS BRUTOS'!$A$3:$A$500,$B38,'DADOS BRUTOS'!BH$3:BH$500)+IF($C38="",0,SUMIF('DADOS BRUTOS'!$A$3:$A$500,$C38,'DADOS BRUTOS'!BH$3:BH$500)))</f>
        <v>0</v>
      </c>
      <c r="EI38" s="133" t="n">
        <f aca="false">IF(OR(EI$4="",$B38=""),0,SUMIF('DADOS BRUTOS'!$A$3:$A$500,$B38,'DADOS BRUTOS'!BI$3:BI$500)+IF($C38="",0,SUMIF('DADOS BRUTOS'!$A$3:$A$500,$C38,'DADOS BRUTOS'!BI$3:BI$500)))</f>
        <v>0</v>
      </c>
      <c r="EJ38" s="133" t="n">
        <f aca="false">IF(OR(EJ$4="",$B38=""),0,SUMIF('DADOS BRUTOS'!$A$3:$A$500,$B38,'DADOS BRUTOS'!BJ$3:BJ$500)+IF($C38="",0,SUMIF('DADOS BRUTOS'!$A$3:$A$500,$C38,'DADOS BRUTOS'!BJ$3:BJ$500)))</f>
        <v>0</v>
      </c>
      <c r="EK38" s="133" t="n">
        <f aca="false">IF(OR(EK$4="",$B38=""),0,SUMIF('DADOS BRUTOS'!$A$3:$A$500,$B38,'DADOS BRUTOS'!BK$3:BK$500)+IF($C38="",0,SUMIF('DADOS BRUTOS'!$A$3:$A$500,$C38,'DADOS BRUTOS'!BK$3:BK$500)))</f>
        <v>0</v>
      </c>
      <c r="EL38" s="133" t="n">
        <f aca="false">IF(OR(EL$4="",$B38=""),0,SUMIF('DADOS BRUTOS'!$A$3:$A$500,$B38,'DADOS BRUTOS'!BL$3:BL$500)+IF($C38="",0,SUMIF('DADOS BRUTOS'!$A$3:$A$500,$C38,'DADOS BRUTOS'!BL$3:BL$500)))</f>
        <v>0</v>
      </c>
      <c r="EM38" s="133" t="n">
        <f aca="false">IF(OR(EM$4="",$B38=""),0,SUMIF('DADOS BRUTOS'!$A$3:$A$500,$B38,'DADOS BRUTOS'!BM$3:BM$500)+IF($C38="",0,SUMIF('DADOS BRUTOS'!$A$3:$A$500,$C38,'DADOS BRUTOS'!BM$3:BM$500)))</f>
        <v>0</v>
      </c>
      <c r="EN38" s="133" t="n">
        <f aca="false">IF(OR(EN$4="",$B38=""),0,SUMIF('DADOS BRUTOS'!$A$3:$A$500,$B38,'DADOS BRUTOS'!BN$3:BN$500)+IF($C38="",0,SUMIF('DADOS BRUTOS'!$A$3:$A$500,$C38,'DADOS BRUTOS'!BN$3:BN$500)))</f>
        <v>0</v>
      </c>
      <c r="EO38" s="133" t="n">
        <f aca="false">IF(OR(EO$4="",$B38=""),0,SUMIF('DADOS BRUTOS'!$A$3:$A$500,$B38,'DADOS BRUTOS'!BO$3:BO$500)+IF($C38="",0,SUMIF('DADOS BRUTOS'!$A$3:$A$500,$C38,'DADOS BRUTOS'!BO$3:BO$500)))</f>
        <v>0</v>
      </c>
      <c r="EP38" s="133" t="n">
        <f aca="false">IF(OR(EP$4="",$B38=""),0,SUMIF('DADOS BRUTOS'!$A$3:$A$500,$B38,'DADOS BRUTOS'!BP$3:BP$500)+IF($C38="",0,SUMIF('DADOS BRUTOS'!$A$3:$A$500,$C38,'DADOS BRUTOS'!BP$3:BP$500)))</f>
        <v>0</v>
      </c>
      <c r="EQ38" s="133" t="n">
        <f aca="false">IF(OR(EQ$4="",$B38=""),0,SUMIF('DADOS BRUTOS'!$A$3:$A$500,$B38,'DADOS BRUTOS'!BQ$3:BQ$500)+IF($C38="",0,SUMIF('DADOS BRUTOS'!$A$3:$A$500,$C38,'DADOS BRUTOS'!BQ$3:BQ$500)))</f>
        <v>0</v>
      </c>
      <c r="ER38" s="133" t="n">
        <f aca="false">IF(OR(ER$4="",$B38=""),0,SUMIF('DADOS BRUTOS'!$A$3:$A$500,$B38,'DADOS BRUTOS'!BR$3:BR$500)+IF($C38="",0,SUMIF('DADOS BRUTOS'!$A$3:$A$500,$C38,'DADOS BRUTOS'!BR$3:BR$500)))</f>
        <v>0</v>
      </c>
      <c r="ES38" s="133" t="n">
        <f aca="false">IF(OR(ES$4="",$B38=""),0,SUMIF('DADOS BRUTOS'!$A$3:$A$500,$B38,'DADOS BRUTOS'!BS$3:BS$500)+IF($C38="",0,SUMIF('DADOS BRUTOS'!$A$3:$A$500,$C38,'DADOS BRUTOS'!BS$3:BS$500)))</f>
        <v>0</v>
      </c>
      <c r="ET38" s="133" t="n">
        <f aca="false">IF(OR(ET$4="",$B38=""),0,SUMIF('DADOS BRUTOS'!$A$3:$A$500,$B38,'DADOS BRUTOS'!BT$3:BT$500)+IF($C38="",0,SUMIF('DADOS BRUTOS'!$A$3:$A$500,$C38,'DADOS BRUTOS'!BT$3:BT$500)))</f>
        <v>0</v>
      </c>
      <c r="EU38" s="133" t="n">
        <f aca="false">IF(OR(EU$4="",$B38=""),0,SUMIF('DADOS BRUTOS'!$A$3:$A$500,$B38,'DADOS BRUTOS'!BU$3:BU$500)+IF($C38="",0,SUMIF('DADOS BRUTOS'!$A$3:$A$500,$C38,'DADOS BRUTOS'!BU$3:BU$500)))</f>
        <v>0</v>
      </c>
      <c r="EV38" s="133" t="n">
        <f aca="false">IF(OR(EV$4="",$B38=""),0,SUMIF('DADOS BRUTOS'!$A$3:$A$500,$B38,'DADOS BRUTOS'!BV$3:BV$500)+IF($C38="",0,SUMIF('DADOS BRUTOS'!$A$3:$A$500,$C38,'DADOS BRUTOS'!BV$3:BV$500)))</f>
        <v>0</v>
      </c>
      <c r="EW38" s="133" t="n">
        <f aca="false">IF(OR(EW$4="",$B38=""),0,SUMIF('DADOS BRUTOS'!$A$3:$A$500,$B38,'DADOS BRUTOS'!BW$3:BW$500)+IF($C38="",0,SUMIF('DADOS BRUTOS'!$A$3:$A$500,$C38,'DADOS BRUTOS'!BW$3:BW$500)))</f>
        <v>0</v>
      </c>
      <c r="EX38" s="133" t="n">
        <f aca="false">IF(OR(EX$4="",$B38=""),0,SUMIF('DADOS BRUTOS'!$A$3:$A$500,$B38,'DADOS BRUTOS'!BX$3:BX$500)+IF($C38="",0,SUMIF('DADOS BRUTOS'!$A$3:$A$500,$C38,'DADOS BRUTOS'!BX$3:BX$500)))</f>
        <v>0</v>
      </c>
      <c r="EY38" s="133" t="n">
        <f aca="false">IF(OR(EY$4="",$B38=""),0,SUMIF('DADOS BRUTOS'!$A$3:$A$500,$B38,'DADOS BRUTOS'!BY$3:BY$500)+IF($C38="",0,SUMIF('DADOS BRUTOS'!$A$3:$A$500,$C38,'DADOS BRUTOS'!BY$3:BY$500)))</f>
        <v>0</v>
      </c>
      <c r="EZ38" s="133" t="n">
        <f aca="false">IF(OR(EZ$4="",$B38=""),0,SUMIF('DADOS BRUTOS'!$A$3:$A$500,$B38,'DADOS BRUTOS'!BZ$3:BZ$500)+IF($C38="",0,SUMIF('DADOS BRUTOS'!$A$3:$A$500,$C38,'DADOS BRUTOS'!BZ$3:BZ$500)))</f>
        <v>0</v>
      </c>
      <c r="FA38" s="133" t="n">
        <f aca="false">IF(OR(FA$4="",$B38=""),0,SUMIF('DADOS BRUTOS'!$A$3:$A$500,$B38,'DADOS BRUTOS'!CA$3:CA$500)+IF($C38="",0,SUMIF('DADOS BRUTOS'!$A$3:$A$500,$C38,'DADOS BRUTOS'!CA$3:CA$500)))</f>
        <v>0</v>
      </c>
      <c r="FB38" s="133" t="n">
        <f aca="false">IF(OR(FB$4="",$B38=""),0,SUMIF('DADOS BRUTOS'!$A$3:$A$500,$B38,'DADOS BRUTOS'!CB$3:CB$500)+IF($C38="",0,SUMIF('DADOS BRUTOS'!$A$3:$A$500,$C38,'DADOS BRUTOS'!CB$3:CB$500)))</f>
        <v>0</v>
      </c>
      <c r="FC38" s="133" t="n">
        <f aca="false">IF(OR(FC$4="",$B38=""),0,SUMIF('DADOS BRUTOS'!$A$3:$A$500,$B38,'DADOS BRUTOS'!CC$3:CC$500)+IF($C38="",0,SUMIF('DADOS BRUTOS'!$A$3:$A$500,$C38,'DADOS BRUTOS'!CC$3:CC$500)))</f>
        <v>0</v>
      </c>
      <c r="FD38" s="133" t="n">
        <f aca="false">IF(OR(FD$4="",$B38=""),0,SUMIF('DADOS BRUTOS'!$A$3:$A$500,$B38,'DADOS BRUTOS'!CD$3:CD$500)+IF($C38="",0,SUMIF('DADOS BRUTOS'!$A$3:$A$500,$C38,'DADOS BRUTOS'!CD$3:CD$500)))</f>
        <v>0</v>
      </c>
      <c r="FE38" s="133" t="n">
        <f aca="false">IF(OR(FE$4="",$B38=""),0,SUMIF('DADOS BRUTOS'!$A$3:$A$500,$B38,'DADOS BRUTOS'!CE$3:CE$500)+IF($C38="",0,SUMIF('DADOS BRUTOS'!$A$3:$A$500,$C38,'DADOS BRUTOS'!CE$3:CE$500)))</f>
        <v>0</v>
      </c>
      <c r="FF38" s="133" t="n">
        <f aca="false">IF(OR(FF$4="",$B38=""),0,SUMIF('DADOS BRUTOS'!$A$3:$A$500,$B38,'DADOS BRUTOS'!CF$3:CF$500)+IF($C38="",0,SUMIF('DADOS BRUTOS'!$A$3:$A$500,$C38,'DADOS BRUTOS'!CF$3:CF$500)))</f>
        <v>0</v>
      </c>
      <c r="FG38" s="133" t="n">
        <f aca="false">IF(OR(FG$4="",$B38=""),0,SUMIF('DADOS BRUTOS'!$A$3:$A$500,$B38,'DADOS BRUTOS'!CG$3:CG$500)+IF($C38="",0,SUMIF('DADOS BRUTOS'!$A$3:$A$500,$C38,'DADOS BRUTOS'!CG$3:CG$500)))</f>
        <v>0</v>
      </c>
      <c r="FH38" s="133" t="n">
        <f aca="false">IF(OR(FH$4="",$B38=""),0,SUMIF('DADOS BRUTOS'!$A$3:$A$500,$B38,'DADOS BRUTOS'!CH$3:CH$500)+IF($C38="",0,SUMIF('DADOS BRUTOS'!$A$3:$A$500,$C38,'DADOS BRUTOS'!CH$3:CH$500)))</f>
        <v>0</v>
      </c>
      <c r="FI38" s="133" t="n">
        <f aca="false">IF(OR(FI$4="",$B38=""),0,SUMIF('DADOS BRUTOS'!$A$3:$A$500,$B38,'DADOS BRUTOS'!CI$3:CI$500)+IF($C38="",0,SUMIF('DADOS BRUTOS'!$A$3:$A$500,$C38,'DADOS BRUTOS'!CI$3:CI$500)))</f>
        <v>0</v>
      </c>
      <c r="FJ38" s="133" t="n">
        <f aca="false">IF(OR(FJ$4="",$B38=""),0,SUMIF('DADOS BRUTOS'!$A$3:$A$500,$B38,'DADOS BRUTOS'!CJ$3:CJ$500)+IF($C38="",0,SUMIF('DADOS BRUTOS'!$A$3:$A$500,$C38,'DADOS BRUTOS'!CJ$3:CJ$500)))</f>
        <v>0</v>
      </c>
      <c r="FK38" s="133" t="n">
        <f aca="false">IF(OR(FK$4="",$B38=""),0,SUMIF('DADOS BRUTOS'!$A$3:$A$500,$B38,'DADOS BRUTOS'!CK$3:CK$500)+IF($C38="",0,SUMIF('DADOS BRUTOS'!$A$3:$A$500,$C38,'DADOS BRUTOS'!CK$3:CK$500)))</f>
        <v>0</v>
      </c>
      <c r="FL38" s="133" t="n">
        <f aca="false">IF(OR(FL$4="",$B38=""),0,SUMIF('DADOS BRUTOS'!$A$3:$A$500,$B38,'DADOS BRUTOS'!CL$3:CL$500)+IF($C38="",0,SUMIF('DADOS BRUTOS'!$A$3:$A$500,$C38,'DADOS BRUTOS'!CL$3:CL$500)))</f>
        <v>0</v>
      </c>
      <c r="FM38" s="133" t="n">
        <f aca="false">IF(OR(FM$4="",$B38=""),0,SUMIF('DADOS BRUTOS'!$A$3:$A$500,$B38,'DADOS BRUTOS'!CM$3:CM$500)+IF($C38="",0,SUMIF('DADOS BRUTOS'!$A$3:$A$500,$C38,'DADOS BRUTOS'!CM$3:CM$500)))</f>
        <v>0</v>
      </c>
      <c r="FN38" s="133" t="n">
        <f aca="false">IF(OR(FN$4="",$B38=""),0,SUMIF('DADOS BRUTOS'!$A$3:$A$500,$B38,'DADOS BRUTOS'!CN$3:CN$500)+IF($C38="",0,SUMIF('DADOS BRUTOS'!$A$3:$A$500,$C38,'DADOS BRUTOS'!CN$3:CN$500)))</f>
        <v>0</v>
      </c>
      <c r="FO38" s="133" t="n">
        <f aca="false">IF(OR(FO$4="",$B38=""),0,SUMIF('DADOS BRUTOS'!$A$3:$A$500,$B38,'DADOS BRUTOS'!CO$3:CO$500)+IF($C38="",0,SUMIF('DADOS BRUTOS'!$A$3:$A$500,$C38,'DADOS BRUTOS'!CO$3:CO$500)))</f>
        <v>0</v>
      </c>
      <c r="FP38" s="133" t="n">
        <f aca="false">IF(OR(FP$4="",$B38=""),0,SUMIF('DADOS BRUTOS'!$A$3:$A$500,$B38,'DADOS BRUTOS'!CP$3:CP$500)+IF($C38="",0,SUMIF('DADOS BRUTOS'!$A$3:$A$500,$C38,'DADOS BRUTOS'!CP$3:CP$500)))</f>
        <v>0</v>
      </c>
      <c r="FQ38" s="133" t="n">
        <f aca="false">IF(OR(FQ$4="",$B38=""),0,SUMIF('DADOS BRUTOS'!$A$3:$A$500,$B38,'DADOS BRUTOS'!CQ$3:CQ$500)+IF($C38="",0,SUMIF('DADOS BRUTOS'!$A$3:$A$500,$C38,'DADOS BRUTOS'!CQ$3:CQ$500)))</f>
        <v>0</v>
      </c>
      <c r="FR38" s="133" t="n">
        <f aca="false">IF(OR(FR$4="",$B38=""),0,SUMIF('DADOS BRUTOS'!$A$3:$A$500,$B38,'DADOS BRUTOS'!CR$3:CR$500)+IF($C38="",0,SUMIF('DADOS BRUTOS'!$A$3:$A$500,$C38,'DADOS BRUTOS'!CR$3:CR$500)))</f>
        <v>0</v>
      </c>
      <c r="FS38" s="133" t="n">
        <f aca="false">IF(OR(FS$4="",$B38=""),0,SUMIF('DADOS BRUTOS'!$A$3:$A$500,$B38,'DADOS BRUTOS'!CS$3:CS$500)+IF($C38="",0,SUMIF('DADOS BRUTOS'!$A$3:$A$500,$C38,'DADOS BRUTOS'!CS$3:CS$500)))</f>
        <v>0</v>
      </c>
      <c r="FT38" s="133" t="n">
        <f aca="false">IF(OR(FT$4="",$B38=""),0,SUMIF('DADOS BRUTOS'!$A$3:$A$500,$B38,'DADOS BRUTOS'!CT$3:CT$500)+IF($C38="",0,SUMIF('DADOS BRUTOS'!$A$3:$A$500,$C38,'DADOS BRUTOS'!CT$3:CT$500)))</f>
        <v>0</v>
      </c>
      <c r="FU38" s="133" t="n">
        <f aca="false">IF(OR(FU$4="",$B38=""),0,SUMIF('DADOS BRUTOS'!$A$3:$A$500,$B38,'DADOS BRUTOS'!CU$3:CU$500)+IF($C38="",0,SUMIF('DADOS BRUTOS'!$A$3:$A$500,$C38,'DADOS BRUTOS'!CU$3:CU$500)))</f>
        <v>0</v>
      </c>
      <c r="FV38" s="133" t="n">
        <f aca="false">IF(OR(FV$4="",$B38=""),0,SUMIF('DADOS BRUTOS'!$A$3:$A$500,$B38,'DADOS BRUTOS'!CV$3:CV$500)+IF($C38="",0,SUMIF('DADOS BRUTOS'!$A$3:$A$500,$C38,'DADOS BRUTOS'!CV$3:CV$500)))</f>
        <v>0</v>
      </c>
      <c r="FW38" s="133" t="n">
        <f aca="false">IF(OR(FW$4="",$B38=""),0,SUMIF('DADOS BRUTOS'!$A$3:$A$500,$B38,'DADOS BRUTOS'!CW$3:CW$500)+IF($C38="",0,SUMIF('DADOS BRUTOS'!$A$3:$A$500,$C38,'DADOS BRUTOS'!CW$3:CW$500)))</f>
        <v>0</v>
      </c>
      <c r="FX38" s="133" t="n">
        <f aca="false">IF(OR(FX$4="",$B38=""),0,SUMIF('DADOS BRUTOS'!$A$3:$A$500,$B38,'DADOS BRUTOS'!CX$3:CX$500)+IF($C38="",0,SUMIF('DADOS BRUTOS'!$A$3:$A$500,$C38,'DADOS BRUTOS'!CX$3:CX$500)))</f>
        <v>0</v>
      </c>
      <c r="FY38" s="133" t="n">
        <f aca="false">IF(OR(FY$4="",$B38=""),0,SUMIF('DADOS BRUTOS'!$A$3:$A$500,$B38,'DADOS BRUTOS'!CY$3:CY$500)+IF($C38="",0,SUMIF('DADOS BRUTOS'!$A$3:$A$500,$C38,'DADOS BRUTOS'!CY$3:CY$500)))</f>
        <v>0</v>
      </c>
      <c r="FZ38" s="133" t="n">
        <f aca="false">IF(OR(FZ$4="",$B38=""),0,SUMIF('DADOS BRUTOS'!$A$3:$A$500,$B38,'DADOS BRUTOS'!CZ$3:CZ$500)+IF($C38="",0,SUMIF('DADOS BRUTOS'!$A$3:$A$500,$C38,'DADOS BRUTOS'!CZ$3:CZ$500)))</f>
        <v>0</v>
      </c>
      <c r="GA38" s="133" t="n">
        <f aca="false">IF(OR(GA$4="",$B38=""),0,SUMIF('DADOS BRUTOS'!$A$3:$A$500,$B38,'DADOS BRUTOS'!DA$3:DA$500)+IF($C38="",0,SUMIF('DADOS BRUTOS'!$A$3:$A$500,$C38,'DADOS BRUTOS'!DA$3:DA$500)))</f>
        <v>0</v>
      </c>
      <c r="GB38" s="133" t="n">
        <f aca="false">IF(OR(GB$4="",$B38=""),0,SUMIF('DADOS BRUTOS'!$A$3:$A$500,$B38,'DADOS BRUTOS'!DB$3:DB$500)+IF($C38="",0,SUMIF('DADOS BRUTOS'!$A$3:$A$500,$C38,'DADOS BRUTOS'!DB$3:DB$500)))</f>
        <v>0</v>
      </c>
      <c r="GC38" s="133" t="n">
        <f aca="false">IF(OR(GC$4="",$B38=""),0,SUMIF('DADOS BRUTOS'!$A$3:$A$500,$B38,'DADOS BRUTOS'!DC$3:DC$500)+IF($C38="",0,SUMIF('DADOS BRUTOS'!$A$3:$A$500,$C38,'DADOS BRUTOS'!DC$3:DC$500)))</f>
        <v>0</v>
      </c>
      <c r="GD38" s="133" t="n">
        <f aca="false">IF(OR(GD$4="",$B38=""),0,SUMIF('DADOS BRUTOS'!$A$3:$A$500,$B38,'DADOS BRUTOS'!DD$3:DD$500)+IF($C38="",0,SUMIF('DADOS BRUTOS'!$A$3:$A$500,$C38,'DADOS BRUTOS'!DD$3:DD$500)))</f>
        <v>0</v>
      </c>
      <c r="GE38" s="133" t="n">
        <f aca="false">IF(OR(GE$4="",$B38=""),0,SUMIF('DADOS BRUTOS'!$A$3:$A$500,$B38,'DADOS BRUTOS'!DE$3:DE$500)+IF($C38="",0,SUMIF('DADOS BRUTOS'!$A$3:$A$500,$C38,'DADOS BRUTOS'!DE$3:DE$500)))</f>
        <v>0</v>
      </c>
      <c r="GF38" s="133" t="n">
        <f aca="false">IF(OR(GF$4="",$B38=""),0,SUMIF('DADOS BRUTOS'!$A$3:$A$500,$B38,'DADOS BRUTOS'!DF$3:DF$500)+IF($C38="",0,SUMIF('DADOS BRUTOS'!$A$3:$A$500,$C38,'DADOS BRUTOS'!DF$3:DF$500)))</f>
        <v>0</v>
      </c>
      <c r="GG38" s="133" t="n">
        <f aca="false">IF(OR(GG$4="",$B38=""),0,SUMIF('DADOS BRUTOS'!$A$3:$A$500,$B38,'DADOS BRUTOS'!DG$3:DG$500)+IF($C38="",0,SUMIF('DADOS BRUTOS'!$A$3:$A$500,$C38,'DADOS BRUTOS'!DG$3:DG$500)))</f>
        <v>0</v>
      </c>
      <c r="GH38" s="133" t="n">
        <f aca="false">IF(OR(GH$4="",$B38=""),0,SUMIF('DADOS BRUTOS'!$A$3:$A$500,$B38,'DADOS BRUTOS'!DH$3:DH$500)+IF($C38="",0,SUMIF('DADOS BRUTOS'!$A$3:$A$500,$C38,'DADOS BRUTOS'!DH$3:DH$500)))</f>
        <v>0</v>
      </c>
      <c r="GI38" s="133" t="n">
        <f aca="false">IF(OR(GI$4="",$B38=""),0,SUMIF('DADOS BRUTOS'!$A$3:$A$500,$B38,'DADOS BRUTOS'!DI$3:DI$500)+IF($C38="",0,SUMIF('DADOS BRUTOS'!$A$3:$A$500,$C38,'DADOS BRUTOS'!DI$3:DI$500)))</f>
        <v>0</v>
      </c>
      <c r="GJ38" s="133" t="n">
        <f aca="false">IF(OR(GJ$4="",$B38=""),0,SUMIF('DADOS BRUTOS'!$A$3:$A$500,$B38,'DADOS BRUTOS'!DJ$3:DJ$500)+IF($C38="",0,SUMIF('DADOS BRUTOS'!$A$3:$A$500,$C38,'DADOS BRUTOS'!DJ$3:DJ$500)))</f>
        <v>0</v>
      </c>
      <c r="GK38" s="133" t="n">
        <f aca="false">IF(OR(GK$4="",$B38=""),0,SUMIF('DADOS BRUTOS'!$A$3:$A$500,$B38,'DADOS BRUTOS'!DK$3:DK$500)+IF($C38="",0,SUMIF('DADOS BRUTOS'!$A$3:$A$500,$C38,'DADOS BRUTOS'!DK$3:DK$500)))</f>
        <v>0</v>
      </c>
      <c r="GL38" s="133" t="n">
        <f aca="false">IF(OR(GL$4="",$B38=""),0,SUMIF('DADOS BRUTOS'!$A$3:$A$500,$B38,'DADOS BRUTOS'!DL$3:DL$500)+IF($C38="",0,SUMIF('DADOS BRUTOS'!$A$3:$A$500,$C38,'DADOS BRUTOS'!DL$3:DL$500)))</f>
        <v>0</v>
      </c>
      <c r="GM38" s="133" t="n">
        <f aca="false">IF(OR(GM$4="",$B38=""),0,SUMIF('DADOS BRUTOS'!$A$3:$A$500,$B38,'DADOS BRUTOS'!DM$3:DM$500)+IF($C38="",0,SUMIF('DADOS BRUTOS'!$A$3:$A$500,$C38,'DADOS BRUTOS'!DM$3:DM$500)))</f>
        <v>0</v>
      </c>
      <c r="GN38" s="133" t="n">
        <f aca="false">IF(OR(GN$4="",$B38=""),0,SUMIF('DADOS BRUTOS'!$A$3:$A$500,$B38,'DADOS BRUTOS'!DN$3:DN$500)+IF($C38="",0,SUMIF('DADOS BRUTOS'!$A$3:$A$500,$C38,'DADOS BRUTOS'!DN$3:DN$500)))</f>
        <v>0</v>
      </c>
      <c r="GO38" s="133" t="n">
        <f aca="false">IF(OR(GO$4="",$B38=""),0,SUMIF('DADOS BRUTOS'!$A$3:$A$500,$B38,'DADOS BRUTOS'!DO$3:DO$500)+IF($C38="",0,SUMIF('DADOS BRUTOS'!$A$3:$A$500,$C38,'DADOS BRUTOS'!DO$3:DO$500)))</f>
        <v>0</v>
      </c>
      <c r="GP38" s="133" t="n">
        <f aca="false">IF(OR(GP$4="",$B38=""),0,SUMIF('DADOS BRUTOS'!$A$3:$A$500,$B38,'DADOS BRUTOS'!DP$3:DP$500)+IF($C38="",0,SUMIF('DADOS BRUTOS'!$A$3:$A$500,$C38,'DADOS BRUTOS'!DP$3:DP$500)))</f>
        <v>0</v>
      </c>
      <c r="GQ38" s="133" t="n">
        <f aca="false">IF(OR(GQ$4="",$B38=""),0,SUMIF('DADOS BRUTOS'!$A$3:$A$500,$B38,'DADOS BRUTOS'!DQ$3:DQ$500)+IF($C38="",0,SUMIF('DADOS BRUTOS'!$A$3:$A$500,$C38,'DADOS BRUTOS'!DQ$3:DQ$500)))</f>
        <v>0</v>
      </c>
      <c r="GR38" s="133" t="n">
        <f aca="false">IF(OR(GR$4="",$B38=""),0,SUMIF('DADOS BRUTOS'!$A$3:$A$500,$B38,'DADOS BRUTOS'!DR$3:DR$500)+IF($C38="",0,SUMIF('DADOS BRUTOS'!$A$3:$A$500,$C38,'DADOS BRUTOS'!DR$3:DR$500)))</f>
        <v>0</v>
      </c>
      <c r="GS38" s="133" t="n">
        <f aca="false">IF(OR(GS$4="",$B38=""),0,SUMIF('DADOS BRUTOS'!$A$3:$A$500,$B38,'DADOS BRUTOS'!DS$3:DS$500)+IF($C38="",0,SUMIF('DADOS BRUTOS'!$A$3:$A$500,$C38,'DADOS BRUTOS'!DS$3:DS$500)))</f>
        <v>0</v>
      </c>
      <c r="GT38" s="133" t="n">
        <f aca="false">IF(OR(GT$4="",$B38=""),0,SUMIF('DADOS BRUTOS'!$A$3:$A$500,$B38,'DADOS BRUTOS'!DT$3:DT$500)+IF($C38="",0,SUMIF('DADOS BRUTOS'!$A$3:$A$500,$C38,'DADOS BRUTOS'!DT$3:DT$500)))</f>
        <v>0</v>
      </c>
      <c r="GU38" s="133" t="n">
        <f aca="false">IF(OR(GU$4="",$B38=""),0,SUMIF('DADOS BRUTOS'!$A$3:$A$500,$B38,'DADOS BRUTOS'!DU$3:DU$500)+IF($C38="",0,SUMIF('DADOS BRUTOS'!$A$3:$A$500,$C38,'DADOS BRUTOS'!DU$3:DU$500)))</f>
        <v>0</v>
      </c>
      <c r="GV38" s="133" t="n">
        <f aca="false">IF(OR(GV$4="",$B38=""),0,SUMIF('DADOS BRUTOS'!$A$3:$A$500,$B38,'DADOS BRUTOS'!DV$3:DV$500)+IF($C38="",0,SUMIF('DADOS BRUTOS'!$A$3:$A$500,$C38,'DADOS BRUTOS'!DV$3:DV$500)))</f>
        <v>0</v>
      </c>
      <c r="GW38" s="133" t="n">
        <f aca="false">IF(OR(GW$4="",$B38=""),0,SUMIF('DADOS BRUTOS'!$A$3:$A$500,$B38,'DADOS BRUTOS'!DW$3:DW$500)+IF($C38="",0,SUMIF('DADOS BRUTOS'!$A$3:$A$500,$C38,'DADOS BRUTOS'!DW$3:DW$500)))</f>
        <v>0</v>
      </c>
      <c r="GX38" s="133" t="n">
        <f aca="false">IF(OR(GX$4="",$B38=""),0,SUMIF('DADOS BRUTOS'!$A$3:$A$500,$B38,'DADOS BRUTOS'!DX$3:DX$500)+IF($C38="",0,SUMIF('DADOS BRUTOS'!$A$3:$A$500,$C38,'DADOS BRUTOS'!DX$3:DX$500)))</f>
        <v>0</v>
      </c>
      <c r="GY38" s="133" t="n">
        <f aca="false">IF(OR(GY$4="",$B38=""),0,SUMIF('DADOS BRUTOS'!$A$3:$A$500,$B38,'DADOS BRUTOS'!DY$3:DY$500)+IF($C38="",0,SUMIF('DADOS BRUTOS'!$A$3:$A$500,$C38,'DADOS BRUTOS'!DY$3:DY$500)))</f>
        <v>0</v>
      </c>
      <c r="GZ38" s="133" t="n">
        <f aca="false">IF(OR(GZ$4="",$B38=""),0,SUMIF('DADOS BRUTOS'!$A$3:$A$500,$B38,'DADOS BRUTOS'!DZ$3:DZ$500)+IF($C38="",0,SUMIF('DADOS BRUTOS'!$A$3:$A$500,$C38,'DADOS BRUTOS'!DZ$3:DZ$500)))</f>
        <v>0</v>
      </c>
      <c r="HA38" s="133" t="n">
        <f aca="false">IF(OR(HA$4="",$B38=""),0,SUMIF('DADOS BRUTOS'!$A$3:$A$500,$B38,'DADOS BRUTOS'!EA$3:EA$500)+IF($C38="",0,SUMIF('DADOS BRUTOS'!$A$3:$A$500,$C38,'DADOS BRUTOS'!EA$3:EA$500)))</f>
        <v>0</v>
      </c>
      <c r="HB38" s="133" t="n">
        <f aca="false">IF(OR(HB$4="",$B38=""),0,SUMIF('DADOS BRUTOS'!$A$3:$A$500,$B38,'DADOS BRUTOS'!EB$3:EB$500)+IF($C38="",0,SUMIF('DADOS BRUTOS'!$A$3:$A$500,$C38,'DADOS BRUTOS'!EB$3:EB$500)))</f>
        <v>0</v>
      </c>
      <c r="HC38" s="133" t="n">
        <f aca="false">IF(OR(HC$4="",$B38=""),0,SUMIF('DADOS BRUTOS'!$A$3:$A$500,$B38,'DADOS BRUTOS'!EC$3:EC$500)+IF($C38="",0,SUMIF('DADOS BRUTOS'!$A$3:$A$500,$C38,'DADOS BRUTOS'!EC$3:EC$500)))</f>
        <v>0</v>
      </c>
      <c r="HD38" s="133" t="n">
        <f aca="false">IF(OR(HD$4="",$B38=""),0,SUMIF('DADOS BRUTOS'!$A$3:$A$500,$B38,'DADOS BRUTOS'!ED$3:ED$500)+IF($C38="",0,SUMIF('DADOS BRUTOS'!$A$3:$A$500,$C38,'DADOS BRUTOS'!ED$3:ED$500)))</f>
        <v>0</v>
      </c>
      <c r="HE38" s="133" t="n">
        <f aca="false">IF(OR(HE$4="",$B38=""),0,SUMIF('DADOS BRUTOS'!$A$3:$A$500,$B38,'DADOS BRUTOS'!EE$3:EE$500)+IF($C38="",0,SUMIF('DADOS BRUTOS'!$A$3:$A$500,$C38,'DADOS BRUTOS'!EE$3:EE$500)))</f>
        <v>0</v>
      </c>
      <c r="HF38" s="133" t="n">
        <f aca="false">IF(OR(HF$4="",$B38=""),0,SUMIF('DADOS BRUTOS'!$A$3:$A$500,$B38,'DADOS BRUTOS'!EF$3:EF$500)+IF($C38="",0,SUMIF('DADOS BRUTOS'!$A$3:$A$500,$C38,'DADOS BRUTOS'!EF$3:EF$500)))</f>
        <v>0</v>
      </c>
      <c r="HG38" s="133" t="n">
        <f aca="false">IF(OR(HG$4="",$B38=""),0,SUMIF('DADOS BRUTOS'!$A$3:$A$500,$B38,'DADOS BRUTOS'!EG$3:EG$500)+IF($C38="",0,SUMIF('DADOS BRUTOS'!$A$3:$A$500,$C38,'DADOS BRUTOS'!EG$3:EG$500)))</f>
        <v>0</v>
      </c>
      <c r="HH38" s="133" t="n">
        <f aca="false">IF(OR(HH$4="",$B38=""),0,SUMIF('DADOS BRUTOS'!$A$3:$A$500,$B38,'DADOS BRUTOS'!EH$3:EH$500)+IF($C38="",0,SUMIF('DADOS BRUTOS'!$A$3:$A$500,$C38,'DADOS BRUTOS'!EH$3:EH$500)))</f>
        <v>0</v>
      </c>
      <c r="HI38" s="133" t="n">
        <f aca="false">IF(OR(HI$4="",$B38=""),0,SUMIF('DADOS BRUTOS'!$A$3:$A$500,$B38,'DADOS BRUTOS'!EI$3:EI$500)+IF($C38="",0,SUMIF('DADOS BRUTOS'!$A$3:$A$500,$C38,'DADOS BRUTOS'!EI$3:EI$500)))</f>
        <v>0</v>
      </c>
      <c r="HJ38" s="133" t="n">
        <f aca="false">IF(OR(HJ$4="",$B38=""),0,SUMIF('DADOS BRUTOS'!$A$3:$A$500,$B38,'DADOS BRUTOS'!EJ$3:EJ$500)+IF($C38="",0,SUMIF('DADOS BRUTOS'!$A$3:$A$500,$C38,'DADOS BRUTOS'!EJ$3:EJ$500)))</f>
        <v>0</v>
      </c>
      <c r="HK38" s="133" t="n">
        <f aca="false">IF(OR(HK$4="",$B38=""),0,SUMIF('DADOS BRUTOS'!$A$3:$A$500,$B38,'DADOS BRUTOS'!EK$3:EK$500)+IF($C38="",0,SUMIF('DADOS BRUTOS'!$A$3:$A$500,$C38,'DADOS BRUTOS'!EK$3:EK$500)))</f>
        <v>0</v>
      </c>
      <c r="HL38" s="133" t="n">
        <f aca="false">IF(OR(HL$4="",$B38=""),0,SUMIF('DADOS BRUTOS'!$A$3:$A$500,$B38,'DADOS BRUTOS'!EL$3:EL$500)+IF($C38="",0,SUMIF('DADOS BRUTOS'!$A$3:$A$500,$C38,'DADOS BRUTOS'!EL$3:EL$500)))</f>
        <v>0</v>
      </c>
      <c r="HM38" s="133" t="n">
        <f aca="false">IF(OR(HM$4="",$B38=""),0,SUMIF('DADOS BRUTOS'!$A$3:$A$500,$B38,'DADOS BRUTOS'!EM$3:EM$500)+IF($C38="",0,SUMIF('DADOS BRUTOS'!$A$3:$A$500,$C38,'DADOS BRUTOS'!EM$3:EM$500)))</f>
        <v>0</v>
      </c>
      <c r="HN38" s="133" t="n">
        <f aca="false">IF(OR(HN$4="",$B38=""),0,SUMIF('DADOS BRUTOS'!$A$3:$A$500,$B38,'DADOS BRUTOS'!EN$3:EN$500)+IF($C38="",0,SUMIF('DADOS BRUTOS'!$A$3:$A$500,$C38,'DADOS BRUTOS'!EN$3:EN$500)))</f>
        <v>0</v>
      </c>
      <c r="HO38" s="133" t="n">
        <f aca="false">IF(OR(HO$4="",$B38=""),0,SUMIF('DADOS BRUTOS'!$A$3:$A$500,$B38,'DADOS BRUTOS'!EO$3:EO$500)+IF($C38="",0,SUMIF('DADOS BRUTOS'!$A$3:$A$500,$C38,'DADOS BRUTOS'!EO$3:EO$500)))</f>
        <v>0</v>
      </c>
      <c r="HP38" s="133" t="n">
        <f aca="false">IF(OR(HP$4="",$B38=""),0,SUMIF('DADOS BRUTOS'!$A$3:$A$500,$B38,'DADOS BRUTOS'!EP$3:EP$500)+IF($C38="",0,SUMIF('DADOS BRUTOS'!$A$3:$A$500,$C38,'DADOS BRUTOS'!EP$3:EP$500)))</f>
        <v>0</v>
      </c>
      <c r="HQ38" s="133" t="n">
        <f aca="false">IF(OR(HQ$4="",$B38=""),0,SUMIF('DADOS BRUTOS'!$A$3:$A$500,$B38,'DADOS BRUTOS'!EQ$3:EQ$500)+IF($C38="",0,SUMIF('DADOS BRUTOS'!$A$3:$A$500,$C38,'DADOS BRUTOS'!EQ$3:EQ$500)))</f>
        <v>0</v>
      </c>
      <c r="HR38" s="133" t="n">
        <f aca="false">IF(OR(HR$4="",$B38=""),0,SUMIF('DADOS BRUTOS'!$A$3:$A$500,$B38,'DADOS BRUTOS'!ER$3:ER$500)+IF($C38="",0,SUMIF('DADOS BRUTOS'!$A$3:$A$500,$C38,'DADOS BRUTOS'!ER$3:ER$500)))</f>
        <v>0</v>
      </c>
      <c r="HS38" s="133" t="n">
        <f aca="false">IF(OR(HS$4="",$B38=""),0,SUMIF('DADOS BRUTOS'!$A$3:$A$500,$B38,'DADOS BRUTOS'!ES$3:ES$500)+IF($C38="",0,SUMIF('DADOS BRUTOS'!$A$3:$A$500,$C38,'DADOS BRUTOS'!ES$3:ES$500)))</f>
        <v>0</v>
      </c>
      <c r="HT38" s="133" t="n">
        <f aca="false">IF(OR(HT$4="",$B38=""),0,SUMIF('DADOS BRUTOS'!$A$3:$A$500,$B38,'DADOS BRUTOS'!ET$3:ET$500)+IF($C38="",0,SUMIF('DADOS BRUTOS'!$A$3:$A$500,$C38,'DADOS BRUTOS'!ET$3:ET$500)))</f>
        <v>0</v>
      </c>
      <c r="HU38" s="133" t="n">
        <f aca="false">IF(OR(HU$4="",$B38=""),0,SUMIF('DADOS BRUTOS'!$A$3:$A$500,$B38,'DADOS BRUTOS'!EU$3:EU$500)+IF($C38="",0,SUMIF('DADOS BRUTOS'!$A$3:$A$500,$C38,'DADOS BRUTOS'!EU$3:EU$500)))</f>
        <v>0</v>
      </c>
      <c r="HV38" s="133" t="n">
        <f aca="false">IF(OR(HV$4="",$B38=""),0,SUMIF('DADOS BRUTOS'!$A$3:$A$500,$B38,'DADOS BRUTOS'!EV$3:EV$500)+IF($C38="",0,SUMIF('DADOS BRUTOS'!$A$3:$A$500,$C38,'DADOS BRUTOS'!EV$3:EV$500)))</f>
        <v>0</v>
      </c>
      <c r="HW38" s="133" t="n">
        <f aca="false">IF(OR(HW$4="",$B38=""),0,SUMIF('DADOS BRUTOS'!$A$3:$A$500,$B38,'DADOS BRUTOS'!EW$3:EW$500)+IF($C38="",0,SUMIF('DADOS BRUTOS'!$A$3:$A$500,$C38,'DADOS BRUTOS'!EW$3:EW$500)))</f>
        <v>0</v>
      </c>
      <c r="HX38" s="133" t="n">
        <f aca="false">IF(OR(HX$4="",$B38=""),0,SUMIF('DADOS BRUTOS'!$A$3:$A$500,$B38,'DADOS BRUTOS'!EX$3:EX$500)+IF($C38="",0,SUMIF('DADOS BRUTOS'!$A$3:$A$500,$C38,'DADOS BRUTOS'!EX$3:EX$500)))</f>
        <v>0</v>
      </c>
      <c r="HY38" s="133" t="n">
        <f aca="false">IF(OR(HY$4="",$B38=""),0,SUMIF('DADOS BRUTOS'!$A$3:$A$500,$B38,'DADOS BRUTOS'!EY$3:EY$500)+IF($C38="",0,SUMIF('DADOS BRUTOS'!$A$3:$A$500,$C38,'DADOS BRUTOS'!EY$3:EY$500)))</f>
        <v>0</v>
      </c>
      <c r="HZ38" s="133" t="n">
        <f aca="false">IF(OR(HZ$4="",$B38=""),0,SUMIF('DADOS BRUTOS'!$A$3:$A$500,$B38,'DADOS BRUTOS'!EZ$3:EZ$500)+IF($C38="",0,SUMIF('DADOS BRUTOS'!$A$3:$A$500,$C38,'DADOS BRUTOS'!EZ$3:EZ$500)))</f>
        <v>0</v>
      </c>
      <c r="IA38" s="133" t="n">
        <f aca="false">IF(OR(IA$4="",$B38=""),0,SUMIF('DADOS BRUTOS'!$A$3:$A$500,$B38,'DADOS BRUTOS'!FA$3:FA$500)+IF($C38="",0,SUMIF('DADOS BRUTOS'!$A$3:$A$500,$C38,'DADOS BRUTOS'!FA$3:FA$500)))</f>
        <v>0</v>
      </c>
      <c r="IB38" s="133" t="n">
        <f aca="false">IF(OR(IB$4="",$B38=""),0,SUMIF('DADOS BRUTOS'!$A$3:$A$500,$B38,'DADOS BRUTOS'!FB$3:FB$500)+IF($C38="",0,SUMIF('DADOS BRUTOS'!$A$3:$A$500,$C38,'DADOS BRUTOS'!FB$3:FB$500)))</f>
        <v>0</v>
      </c>
      <c r="IC38" s="133" t="n">
        <f aca="false">IF(OR(IC$4="",$B38=""),0,SUMIF('DADOS BRUTOS'!$A$3:$A$500,$B38,'DADOS BRUTOS'!FC$3:FC$500)+IF($C38="",0,SUMIF('DADOS BRUTOS'!$A$3:$A$500,$C38,'DADOS BRUTOS'!FC$3:FC$500)))</f>
        <v>0</v>
      </c>
      <c r="ID38" s="133" t="n">
        <f aca="false">IF(OR(ID$4="",$B38=""),0,SUMIF('DADOS BRUTOS'!$A$3:$A$500,$B38,'DADOS BRUTOS'!FD$3:FD$500)+IF($C38="",0,SUMIF('DADOS BRUTOS'!$A$3:$A$500,$C38,'DADOS BRUTOS'!FD$3:FD$500)))</f>
        <v>0</v>
      </c>
      <c r="IE38" s="133" t="n">
        <f aca="false">IF(OR(IE$4="",$B38=""),0,SUMIF('DADOS BRUTOS'!$A$3:$A$500,$B38,'DADOS BRUTOS'!FE$3:FE$500)+IF($C38="",0,SUMIF('DADOS BRUTOS'!$A$3:$A$500,$C38,'DADOS BRUTOS'!FE$3:FE$500)))</f>
        <v>0</v>
      </c>
      <c r="IF38" s="133" t="n">
        <f aca="false">IF(OR(IF$4="",$B38=""),0,SUMIF('DADOS BRUTOS'!$A$3:$A$500,$B38,'DADOS BRUTOS'!FF$3:FF$500)+IF($C38="",0,SUMIF('DADOS BRUTOS'!$A$3:$A$500,$C38,'DADOS BRUTOS'!FF$3:FF$500)))</f>
        <v>0</v>
      </c>
      <c r="IG38" s="133" t="n">
        <f aca="false">IF(OR(IG$4="",$B38=""),0,SUMIF('DADOS BRUTOS'!$A$3:$A$500,$B38,'DADOS BRUTOS'!FG$3:FG$500)+IF($C38="",0,SUMIF('DADOS BRUTOS'!$A$3:$A$500,$C38,'DADOS BRUTOS'!FG$3:FG$500)))</f>
        <v>0</v>
      </c>
      <c r="IH38" s="133" t="n">
        <f aca="false">IF(OR(IH$4="",$B38=""),0,SUMIF('DADOS BRUTOS'!$A$3:$A$500,$B38,'DADOS BRUTOS'!FH$3:FH$500)+IF($C38="",0,SUMIF('DADOS BRUTOS'!$A$3:$A$500,$C38,'DADOS BRUTOS'!FH$3:FH$500)))</f>
        <v>0</v>
      </c>
      <c r="II38" s="133" t="n">
        <f aca="false">IF(OR(II$4="",$B38=""),0,SUMIF('DADOS BRUTOS'!$A$3:$A$500,$B38,'DADOS BRUTOS'!FI$3:FI$500)+IF($C38="",0,SUMIF('DADOS BRUTOS'!$A$3:$A$500,$C38,'DADOS BRUTOS'!FI$3:FI$500)))</f>
        <v>0</v>
      </c>
      <c r="IJ38" s="133" t="n">
        <f aca="false">IF(OR(IJ$4="",$B38=""),0,SUMIF('DADOS BRUTOS'!$A$3:$A$500,$B38,'DADOS BRUTOS'!FJ$3:FJ$500)+IF($C38="",0,SUMIF('DADOS BRUTOS'!$A$3:$A$500,$C38,'DADOS BRUTOS'!FJ$3:FJ$500)))</f>
        <v>0</v>
      </c>
      <c r="IK38" s="133" t="n">
        <f aca="false">IF(OR(IK$4="",$B38=""),0,SUMIF('DADOS BRUTOS'!$A$3:$A$500,$B38,'DADOS BRUTOS'!FK$3:FK$500)+IF($C38="",0,SUMIF('DADOS BRUTOS'!$A$3:$A$500,$C38,'DADOS BRUTOS'!FK$3:FK$500)))</f>
        <v>0</v>
      </c>
      <c r="IL38" s="133" t="n">
        <f aca="false">IF(OR(IL$4="",$B38=""),0,SUMIF('DADOS BRUTOS'!$A$3:$A$500,$B38,'DADOS BRUTOS'!FL$3:FL$500)+IF($C38="",0,SUMIF('DADOS BRUTOS'!$A$3:$A$500,$C38,'DADOS BRUTOS'!FL$3:FL$500)))</f>
        <v>0</v>
      </c>
      <c r="IM38" s="133" t="n">
        <f aca="false">IF(OR(IM$4="",$B38=""),0,SUMIF('DADOS BRUTOS'!$A$3:$A$500,$B38,'DADOS BRUTOS'!FM$3:FM$500)+IF($C38="",0,SUMIF('DADOS BRUTOS'!$A$3:$A$500,$C38,'DADOS BRUTOS'!FM$3:FM$500)))</f>
        <v>0</v>
      </c>
      <c r="IN38" s="133" t="n">
        <f aca="false">IF(OR(IN$4="",$B38=""),0,SUMIF('DADOS BRUTOS'!$A$3:$A$500,$B38,'DADOS BRUTOS'!FN$3:FN$500)+IF($C38="",0,SUMIF('DADOS BRUTOS'!$A$3:$A$500,$C38,'DADOS BRUTOS'!FN$3:FN$500)))</f>
        <v>0</v>
      </c>
      <c r="IO38" s="133" t="n">
        <f aca="false">IF(OR(IO$4="",$B38=""),0,SUMIF('DADOS BRUTOS'!$A$3:$A$500,$B38,'DADOS BRUTOS'!FO$3:FO$500)+IF($C38="",0,SUMIF('DADOS BRUTOS'!$A$3:$A$500,$C38,'DADOS BRUTOS'!FO$3:FO$500)))</f>
        <v>0</v>
      </c>
      <c r="IP38" s="133" t="n">
        <f aca="false">IF(OR(IP$4="",$B38=""),0,SUMIF('DADOS BRUTOS'!$A$3:$A$500,$B38,'DADOS BRUTOS'!FP$3:FP$500)+IF($C38="",0,SUMIF('DADOS BRUTOS'!$A$3:$A$500,$C38,'DADOS BRUTOS'!FP$3:FP$500)))</f>
        <v>0</v>
      </c>
      <c r="IQ38" s="133" t="n">
        <f aca="false">IF(OR(IQ$4="",$B38=""),0,SUMIF('DADOS BRUTOS'!$A$3:$A$500,$B38,'DADOS BRUTOS'!FQ$3:FQ$500)+IF($C38="",0,SUMIF('DADOS BRUTOS'!$A$3:$A$500,$C38,'DADOS BRUTOS'!FQ$3:FQ$500)))</f>
        <v>0</v>
      </c>
      <c r="IR38" s="133" t="n">
        <f aca="false">IF(OR(IR$4="",$B38=""),0,SUMIF('DADOS BRUTOS'!$A$3:$A$500,$B38,'DADOS BRUTOS'!FR$3:FR$500)+IF($C38="",0,SUMIF('DADOS BRUTOS'!$A$3:$A$500,$C38,'DADOS BRUTOS'!FR$3:FR$500)))</f>
        <v>0</v>
      </c>
      <c r="IS38" s="133" t="n">
        <f aca="false">IF(OR(IS$4="",$B38=""),0,SUMIF('DADOS BRUTOS'!$A$3:$A$500,$B38,'DADOS BRUTOS'!FS$3:FS$500)+IF($C38="",0,SUMIF('DADOS BRUTOS'!$A$3:$A$500,$C38,'DADOS BRUTOS'!FS$3:FS$500)))</f>
        <v>0</v>
      </c>
      <c r="IT38" s="133" t="n">
        <f aca="false">IF(OR(IT$4="",$B38=""),0,SUMIF('DADOS BRUTOS'!$A$3:$A$500,$B38,'DADOS BRUTOS'!FT$3:FT$500)+IF($C38="",0,SUMIF('DADOS BRUTOS'!$A$3:$A$500,$C38,'DADOS BRUTOS'!FT$3:FT$500)))</f>
        <v>0</v>
      </c>
      <c r="IU38" s="133" t="n">
        <f aca="false">IF(OR(IU$4="",$B38=""),0,SUMIF('DADOS BRUTOS'!$A$3:$A$500,$B38,'DADOS BRUTOS'!FU$3:FU$500)+IF($C38="",0,SUMIF('DADOS BRUTOS'!$A$3:$A$500,$C38,'DADOS BRUTOS'!FU$3:FU$500)))</f>
        <v>0</v>
      </c>
      <c r="IV38" s="133" t="n">
        <f aca="false">IF(OR(IV$4="",$B38=""),0,SUMIF('DADOS BRUTOS'!$A$3:$A$500,$B38,'DADOS BRUTOS'!FV$3:FV$500)+IF($C38="",0,SUMIF('DADOS BRUTOS'!$A$3:$A$500,$C38,'DADOS BRUTOS'!FV$3:FV$500)))</f>
        <v>0</v>
      </c>
      <c r="IW38" s="133" t="n">
        <f aca="false">IF(OR(IW$4="",$B38=""),0,SUMIF('DADOS BRUTOS'!$A$3:$A$500,$B38,'DADOS BRUTOS'!FW$3:FW$500)+IF($C38="",0,SUMIF('DADOS BRUTOS'!$A$3:$A$500,$C38,'DADOS BRUTOS'!FW$3:FW$500)))</f>
        <v>0</v>
      </c>
      <c r="IX38" s="133" t="n">
        <f aca="false">IF(OR(IX$4="",$B38=""),0,SUMIF('DADOS BRUTOS'!$A$3:$A$500,$B38,'DADOS BRUTOS'!FX$3:FX$500)+IF($C38="",0,SUMIF('DADOS BRUTOS'!$A$3:$A$500,$C38,'DADOS BRUTOS'!FX$3:FX$500)))</f>
        <v>0</v>
      </c>
      <c r="IY38" s="133" t="n">
        <f aca="false">IF(OR(IY$4="",$B38=""),0,SUMIF('DADOS BRUTOS'!$A$3:$A$500,$B38,'DADOS BRUTOS'!FY$3:FY$500)+IF($C38="",0,SUMIF('DADOS BRUTOS'!$A$3:$A$500,$C38,'DADOS BRUTOS'!FY$3:FY$500)))</f>
        <v>0</v>
      </c>
      <c r="IZ38" s="133" t="n">
        <f aca="false">IF(OR(IZ$4="",$B38=""),0,SUMIF('DADOS BRUTOS'!$A$3:$A$500,$B38,'DADOS BRUTOS'!FZ$3:FZ$500)+IF($C38="",0,SUMIF('DADOS BRUTOS'!$A$3:$A$500,$C38,'DADOS BRUTOS'!FZ$3:FZ$500)))</f>
        <v>0</v>
      </c>
      <c r="JA38" s="133" t="n">
        <f aca="false">IF(OR(JA$4="",$B38=""),0,SUMIF('DADOS BRUTOS'!$A$3:$A$500,$B38,'DADOS BRUTOS'!GA$3:GA$500)+IF($C38="",0,SUMIF('DADOS BRUTOS'!$A$3:$A$500,$C38,'DADOS BRUTOS'!GA$3:GA$500)))</f>
        <v>0</v>
      </c>
      <c r="JB38" s="133" t="n">
        <f aca="false">IF(OR(JB$4="",$B38=""),0,SUMIF('DADOS BRUTOS'!$A$3:$A$500,$B38,'DADOS BRUTOS'!GB$3:GB$500)+IF($C38="",0,SUMIF('DADOS BRUTOS'!$A$3:$A$500,$C38,'DADOS BRUTOS'!GB$3:GB$500)))</f>
        <v>0</v>
      </c>
      <c r="JC38" s="133" t="n">
        <f aca="false">IF(OR(JC$4="",$B38=""),0,SUMIF('DADOS BRUTOS'!$A$3:$A$500,$B38,'DADOS BRUTOS'!GC$3:GC$500)+IF($C38="",0,SUMIF('DADOS BRUTOS'!$A$3:$A$500,$C38,'DADOS BRUTOS'!GC$3:GC$500)))</f>
        <v>0</v>
      </c>
      <c r="JD38" s="133" t="n">
        <f aca="false">IF(OR(JD$4="",$B38=""),0,SUMIF('DADOS BRUTOS'!$A$3:$A$500,$B38,'DADOS BRUTOS'!GD$3:GD$500)+IF($C38="",0,SUMIF('DADOS BRUTOS'!$A$3:$A$500,$C38,'DADOS BRUTOS'!GD$3:GD$500)))</f>
        <v>0</v>
      </c>
      <c r="JE38" s="133" t="n">
        <f aca="false">IF(OR(JE$4="",$B38=""),0,SUMIF('DADOS BRUTOS'!$A$3:$A$500,$B38,'DADOS BRUTOS'!GE$3:GE$500)+IF($C38="",0,SUMIF('DADOS BRUTOS'!$A$3:$A$500,$C38,'DADOS BRUTOS'!GE$3:GE$500)))</f>
        <v>0</v>
      </c>
      <c r="JF38" s="133" t="n">
        <f aca="false">IF(OR(JF$4="",$B38=""),0,SUMIF('DADOS BRUTOS'!$A$3:$A$500,$B38,'DADOS BRUTOS'!GF$3:GF$500)+IF($C38="",0,SUMIF('DADOS BRUTOS'!$A$3:$A$500,$C38,'DADOS BRUTOS'!GF$3:GF$500)))</f>
        <v>0</v>
      </c>
      <c r="JG38" s="133" t="n">
        <f aca="false">IF(OR(JG$4="",$B38=""),0,SUMIF('DADOS BRUTOS'!$A$3:$A$500,$B38,'DADOS BRUTOS'!GG$3:GG$500)+IF($C38="",0,SUMIF('DADOS BRUTOS'!$A$3:$A$500,$C38,'DADOS BRUTOS'!GG$3:GG$500)))</f>
        <v>0</v>
      </c>
      <c r="JH38" s="133" t="n">
        <f aca="false">IF(OR(JH$4="",$B38=""),0,SUMIF('DADOS BRUTOS'!$A$3:$A$500,$B38,'DADOS BRUTOS'!GH$3:GH$500)+IF($C38="",0,SUMIF('DADOS BRUTOS'!$A$3:$A$500,$C38,'DADOS BRUTOS'!GH$3:GH$500)))</f>
        <v>0</v>
      </c>
      <c r="JI38" s="133" t="n">
        <f aca="false">IF(OR(JI$4="",$B38=""),0,SUMIF('DADOS BRUTOS'!$A$3:$A$500,$B38,'DADOS BRUTOS'!GI$3:GI$500)+IF($C38="",0,SUMIF('DADOS BRUTOS'!$A$3:$A$500,$C38,'DADOS BRUTOS'!GI$3:GI$500)))</f>
        <v>0</v>
      </c>
      <c r="JJ38" s="133" t="n">
        <f aca="false">IF(OR(JJ$4="",$B38=""),0,SUMIF('DADOS BRUTOS'!$A$3:$A$500,$B38,'DADOS BRUTOS'!GJ$3:GJ$500)+IF($C38="",0,SUMIF('DADOS BRUTOS'!$A$3:$A$500,$C38,'DADOS BRUTOS'!GJ$3:GJ$500)))</f>
        <v>0</v>
      </c>
      <c r="JK38" s="133" t="n">
        <f aca="false">IF(OR(JK$4="",$B38=""),0,SUMIF('DADOS BRUTOS'!$A$3:$A$500,$B38,'DADOS BRUTOS'!GK$3:GK$500)+IF($C38="",0,SUMIF('DADOS BRUTOS'!$A$3:$A$500,$C38,'DADOS BRUTOS'!GK$3:GK$500)))</f>
        <v>0</v>
      </c>
      <c r="JL38" s="133" t="n">
        <f aca="false">IF(OR(JL$4="",$B38=""),0,SUMIF('DADOS BRUTOS'!$A$3:$A$500,$B38,'DADOS BRUTOS'!GL$3:GL$500)+IF($C38="",0,SUMIF('DADOS BRUTOS'!$A$3:$A$500,$C38,'DADOS BRUTOS'!GL$3:GL$500)))</f>
        <v>0</v>
      </c>
      <c r="JM38" s="133" t="n">
        <f aca="false">IF(OR(JM$4="",$B38=""),0,SUMIF('DADOS BRUTOS'!$A$3:$A$500,$B38,'DADOS BRUTOS'!GM$3:GM$500)+IF($C38="",0,SUMIF('DADOS BRUTOS'!$A$3:$A$500,$C38,'DADOS BRUTOS'!GM$3:GM$500)))</f>
        <v>0</v>
      </c>
      <c r="JN38" s="133" t="n">
        <f aca="false">IF(OR(JN$4="",$B38=""),0,SUMIF('DADOS BRUTOS'!$A$3:$A$500,$B38,'DADOS BRUTOS'!GN$3:GN$500)+IF($C38="",0,SUMIF('DADOS BRUTOS'!$A$3:$A$500,$C38,'DADOS BRUTOS'!GN$3:GN$500)))</f>
        <v>0</v>
      </c>
      <c r="JO38" s="133" t="n">
        <f aca="false">IF(OR(JO$4="",$B38=""),0,SUMIF('DADOS BRUTOS'!$A$3:$A$500,$B38,'DADOS BRUTOS'!GO$3:GO$500)+IF($C38="",0,SUMIF('DADOS BRUTOS'!$A$3:$A$500,$C38,'DADOS BRUTOS'!GO$3:GO$500)))</f>
        <v>0</v>
      </c>
      <c r="JP38" s="133" t="n">
        <f aca="false">IF(OR(JP$4="",$B38=""),0,SUMIF('DADOS BRUTOS'!$A$3:$A$500,$B38,'DADOS BRUTOS'!GP$3:GP$500)+IF($C38="",0,SUMIF('DADOS BRUTOS'!$A$3:$A$500,$C38,'DADOS BRUTOS'!GP$3:GP$500)))</f>
        <v>0</v>
      </c>
      <c r="JQ38" s="133" t="n">
        <f aca="false">IF(OR(JQ$4="",$B38=""),0,SUMIF('DADOS BRUTOS'!$A$3:$A$500,$B38,'DADOS BRUTOS'!GQ$3:GQ$500)+IF($C38="",0,SUMIF('DADOS BRUTOS'!$A$3:$A$500,$C38,'DADOS BRUTOS'!GQ$3:GQ$500)))</f>
        <v>0</v>
      </c>
      <c r="JR38" s="133" t="n">
        <f aca="false">IF(OR(JR$4="",$B38=""),0,SUMIF('DADOS BRUTOS'!$A$3:$A$500,$B38,'DADOS BRUTOS'!GR$3:GR$500)+IF($C38="",0,SUMIF('DADOS BRUTOS'!$A$3:$A$500,$C38,'DADOS BRUTOS'!GR$3:GR$500)))</f>
        <v>0</v>
      </c>
      <c r="JS38" s="133" t="n">
        <f aca="false">IF(OR(JS$4="",$B38=""),0,SUMIF('DADOS BRUTOS'!$A$3:$A$500,$B38,'DADOS BRUTOS'!GS$3:GS$500)+IF($C38="",0,SUMIF('DADOS BRUTOS'!$A$3:$A$500,$C38,'DADOS BRUTOS'!GS$3:GS$500)))</f>
        <v>0</v>
      </c>
    </row>
    <row r="39" customFormat="false" ht="15" hidden="false" customHeight="false" outlineLevel="0" collapsed="false">
      <c r="A39" s="57" t="str">
        <f aca="false">'VALOR POR PL'!D45</f>
        <v>PINTURA</v>
      </c>
      <c r="B39" s="55" t="s">
        <v>224</v>
      </c>
      <c r="C39" s="55"/>
      <c r="D39" s="50" t="n">
        <f aca="false">SUMIF($CB$4:$JS$4,"&lt;="&amp;D$4,$CB39:$JS39)</f>
        <v>0</v>
      </c>
      <c r="E39" s="50" t="n">
        <f aca="false">SUMIF($CB$4:$JS$4,E$4,$CB39:$JS39)</f>
        <v>0</v>
      </c>
      <c r="F39" s="50" t="n">
        <f aca="false">SUMIF($CB$4:$JS$4,F$4,$CB39:$JS39)</f>
        <v>0</v>
      </c>
      <c r="G39" s="50" t="n">
        <f aca="false">SUMIF($CB$4:$JS$4,G$4,$CB39:$JS39)</f>
        <v>0</v>
      </c>
      <c r="H39" s="50" t="n">
        <f aca="false">SUMIF($CB$4:$JS$4,H$4,$CB39:$JS39)</f>
        <v>0</v>
      </c>
      <c r="I39" s="50" t="n">
        <f aca="false">SUMIF($CB$4:$JS$4,I$4,$CB39:$JS39)</f>
        <v>0</v>
      </c>
      <c r="J39" s="50" t="n">
        <f aca="false">SUMIF($CB$4:$JS$4,J$4,$CB39:$JS39)</f>
        <v>0</v>
      </c>
      <c r="K39" s="50" t="n">
        <f aca="false">SUMIF($CB$4:$JS$4,K$4,$CB39:$JS39)</f>
        <v>0</v>
      </c>
      <c r="L39" s="50" t="n">
        <f aca="false">SUMIF($CB$4:$JS$4,L$4,$CB39:$JS39)</f>
        <v>0</v>
      </c>
      <c r="M39" s="50" t="n">
        <f aca="false">SUMIF($CB$4:$JS$4,M$4,$CB39:$JS39)</f>
        <v>0</v>
      </c>
      <c r="N39" s="50" t="n">
        <f aca="false">SUMIF($CB$4:$JS$4,N$4,$CB39:$JS39)</f>
        <v>0</v>
      </c>
      <c r="O39" s="50" t="n">
        <f aca="false">SUMIF($CB$4:$JS$4,O$4,$CB39:$JS39)</f>
        <v>0</v>
      </c>
      <c r="P39" s="50" t="n">
        <f aca="false">SUMIF($CB$4:$JS$4,P$4,$CB39:$JS39)</f>
        <v>0</v>
      </c>
      <c r="Q39" s="50" t="n">
        <f aca="false">SUMIF($CB$4:$JS$4,Q$4,$CB39:$JS39)</f>
        <v>0</v>
      </c>
      <c r="R39" s="50" t="n">
        <f aca="false">SUMIF($CB$4:$JS$4,R$4,$CB39:$JS39)</f>
        <v>0</v>
      </c>
      <c r="S39" s="50" t="n">
        <f aca="false">SUMIF($CB$4:$JS$4,S$4,$CB39:$JS39)</f>
        <v>0</v>
      </c>
      <c r="T39" s="50" t="n">
        <f aca="false">SUMIF($CB$4:$JS$4,T$4,$CB39:$JS39)</f>
        <v>0</v>
      </c>
      <c r="U39" s="50" t="n">
        <f aca="false">SUMIF($CB$4:$JS$4,U$4,$CB39:$JS39)</f>
        <v>0</v>
      </c>
      <c r="V39" s="50" t="n">
        <f aca="false">SUMIF($CB$4:$JS$4,V$4,$CB39:$JS39)</f>
        <v>0</v>
      </c>
      <c r="W39" s="50" t="n">
        <f aca="false">SUMIF($CB$4:$JS$4,W$4,$CB39:$JS39)</f>
        <v>0</v>
      </c>
      <c r="X39" s="50" t="n">
        <f aca="false">SUMIF($CB$4:$JS$4,X$4,$CB39:$JS39)</f>
        <v>0</v>
      </c>
      <c r="Y39" s="50" t="n">
        <f aca="false">SUMIF($CB$4:$JS$4,Y$4,$CB39:$JS39)</f>
        <v>0</v>
      </c>
      <c r="Z39" s="50" t="n">
        <f aca="false">SUMIF($CB$4:$JS$4,Z$4,$CB39:$JS39)</f>
        <v>0</v>
      </c>
      <c r="AA39" s="50" t="n">
        <f aca="false">SUMIF($CB$4:$JS$4,AA$4,$CB39:$JS39)</f>
        <v>0</v>
      </c>
      <c r="AB39" s="50" t="n">
        <f aca="false">SUMIF($CB$4:$JS$4,AB$4,$CB39:$JS39)</f>
        <v>0</v>
      </c>
      <c r="AC39" s="50" t="n">
        <f aca="false">SUMIF($CB$4:$JS$4,AC$4,$CB39:$JS39)</f>
        <v>0</v>
      </c>
      <c r="AD39" s="50" t="n">
        <f aca="false">SUMIF($CB$4:$JS$4,AD$4,$CB39:$JS39)</f>
        <v>0</v>
      </c>
      <c r="AE39" s="50" t="n">
        <f aca="false">SUMIF($CB$4:$JS$4,AE$4,$CB39:$JS39)</f>
        <v>0</v>
      </c>
      <c r="AF39" s="50" t="n">
        <f aca="false">SUMIF($CB$4:$JS$4,AF$4,$CB39:$JS39)</f>
        <v>0</v>
      </c>
      <c r="AG39" s="50" t="n">
        <f aca="false">SUMIF($CB$4:$JS$4,AG$4,$CB39:$JS39)</f>
        <v>0</v>
      </c>
      <c r="AH39" s="50" t="n">
        <f aca="false">SUMIF($CB$4:$JS$4,AH$4,$CB39:$JS39)</f>
        <v>0</v>
      </c>
      <c r="AI39" s="50" t="n">
        <f aca="false">SUMIF($CB$4:$JS$4,AI$4,$CB39:$JS39)</f>
        <v>0</v>
      </c>
      <c r="AJ39" s="50" t="n">
        <f aca="false">SUMIF($CB$4:$JS$4,AJ$4,$CB39:$JS39)</f>
        <v>0</v>
      </c>
      <c r="AK39" s="50" t="n">
        <f aca="false">SUMIF($CB$4:$JS$4,AK$4,$CB39:$JS39)</f>
        <v>0</v>
      </c>
      <c r="AL39" s="50" t="n">
        <f aca="false">SUMIF($CB$4:$JS$4,AL$4,$CB39:$JS39)</f>
        <v>0</v>
      </c>
      <c r="AM39" s="50" t="n">
        <f aca="false">SUMIF($CB$4:$JS$4,AM$4,$CB39:$JS39)</f>
        <v>0</v>
      </c>
      <c r="AN39" s="50" t="n">
        <f aca="false">SUMIF($CB$4:$JS$4,AN$4,$CB39:$JS39)</f>
        <v>0</v>
      </c>
      <c r="AO39" s="50" t="n">
        <f aca="false">SUMIF($CB$4:$JS$4,AO$4,$CB39:$JS39)</f>
        <v>0</v>
      </c>
      <c r="AP39" s="50" t="n">
        <f aca="false">SUMIF($CB$4:$JS$4,AP$4,$CB39:$JS39)</f>
        <v>0</v>
      </c>
      <c r="AQ39" s="50" t="n">
        <f aca="false">SUMIF($CB$4:$JS$4,AQ$4,$CB39:$JS39)</f>
        <v>0</v>
      </c>
      <c r="AR39" s="50" t="n">
        <f aca="false">SUMIF($CB$4:$JS$4,AR$4,$CB39:$JS39)</f>
        <v>0</v>
      </c>
      <c r="AS39" s="50" t="n">
        <f aca="false">SUMIF($CB$4:$JS$4,AS$4,$CB39:$JS39)</f>
        <v>0</v>
      </c>
      <c r="AT39" s="50" t="n">
        <f aca="false">SUMIF($CB$4:$JS$4,AT$4,$CB39:$JS39)</f>
        <v>0</v>
      </c>
      <c r="AU39" s="50" t="n">
        <f aca="false">SUMIF($CB$4:$JS$4,AU$4,$CB39:$JS39)</f>
        <v>0</v>
      </c>
      <c r="AV39" s="50" t="n">
        <f aca="false">SUMIF($CB$4:$JS$4,AV$4,$CB39:$JS39)</f>
        <v>0</v>
      </c>
      <c r="AW39" s="50" t="n">
        <f aca="false">SUMIF($CB$4:$JS$4,AW$4,$CB39:$JS39)</f>
        <v>0</v>
      </c>
      <c r="AX39" s="50" t="n">
        <f aca="false">SUMIF($CB$4:$JS$4,AX$4,$CB39:$JS39)</f>
        <v>0</v>
      </c>
      <c r="AY39" s="50" t="n">
        <f aca="false">SUMIF($CB$4:$JS$4,AY$4,$CB39:$JS39)</f>
        <v>0</v>
      </c>
      <c r="AZ39" s="50" t="n">
        <f aca="false">SUMIF($CB$4:$JS$4,AZ$4,$CB39:$JS39)</f>
        <v>0</v>
      </c>
      <c r="BA39" s="50" t="n">
        <f aca="false">SUMIF($CB$4:$JS$4,BA$4,$CB39:$JS39)</f>
        <v>0</v>
      </c>
      <c r="BB39" s="50" t="n">
        <f aca="false">SUMIF($CB$4:$JS$4,BB$4,$CB39:$JS39)</f>
        <v>0</v>
      </c>
      <c r="BC39" s="50" t="n">
        <f aca="false">SUMIF($CB$4:$JS$4,BC$4,$CB39:$JS39)</f>
        <v>0</v>
      </c>
      <c r="BD39" s="50" t="n">
        <f aca="false">SUMIF($CB$4:$JS$4,BD$4,$CB39:$JS39)</f>
        <v>0</v>
      </c>
      <c r="BE39" s="50" t="n">
        <f aca="false">SUMIF($CB$4:$JS$4,BE$4,$CB39:$JS39)</f>
        <v>0</v>
      </c>
      <c r="BF39" s="50" t="n">
        <f aca="false">SUMIF($CB$4:$JS$4,BF$4,$CB39:$JS39)</f>
        <v>0</v>
      </c>
      <c r="BG39" s="50" t="n">
        <f aca="false">SUMIF($CB$4:$JS$4,BG$4,$CB39:$JS39)</f>
        <v>0</v>
      </c>
      <c r="BH39" s="50" t="n">
        <f aca="false">SUMIF($CB$4:$JS$4,BH$4,$CB39:$JS39)</f>
        <v>0</v>
      </c>
      <c r="BI39" s="50" t="n">
        <f aca="false">SUMIF($CB$4:$JS$4,BI$4,$CB39:$JS39)</f>
        <v>0</v>
      </c>
      <c r="BJ39" s="50" t="n">
        <f aca="false">SUMIF($CB$4:$JS$4,BJ$4,$CB39:$JS39)</f>
        <v>0</v>
      </c>
      <c r="BK39" s="50" t="n">
        <f aca="false">SUMIF($CB$4:$JS$4,BK$4,$CB39:$JS39)</f>
        <v>0</v>
      </c>
      <c r="BL39" s="50" t="n">
        <f aca="false">SUMIF($CB$4:$JS$4,BL$4,$CB39:$JS39)</f>
        <v>0</v>
      </c>
      <c r="BM39" s="50" t="n">
        <f aca="false">SUMIF($CB$4:$JS$4,BM$4,$CB39:$JS39)</f>
        <v>0</v>
      </c>
      <c r="BN39" s="50" t="n">
        <f aca="false">SUMIF($CB$4:$JS$4,BN$4,$CB39:$JS39)</f>
        <v>0</v>
      </c>
      <c r="BO39" s="50" t="n">
        <f aca="false">SUMIF($CB$4:$JS$4,BO$4,$CB39:$JS39)</f>
        <v>0</v>
      </c>
      <c r="BP39" s="50" t="n">
        <f aca="false">SUMIF($CB$4:$JS$4,BP$4,$CB39:$JS39)</f>
        <v>0</v>
      </c>
      <c r="BQ39" s="50" t="n">
        <f aca="false">SUMIF($CB$4:$JS$4,BQ$4,$CB39:$JS39)</f>
        <v>0</v>
      </c>
      <c r="BR39" s="50" t="n">
        <f aca="false">SUMIF($CB$4:$JS$4,BR$4,$CB39:$JS39)</f>
        <v>0</v>
      </c>
      <c r="BS39" s="50" t="n">
        <f aca="false">SUMIF($CB$4:$JS$4,BS$4,$CB39:$JS39)</f>
        <v>0</v>
      </c>
      <c r="BT39" s="50" t="n">
        <f aca="false">SUMIF($CB$4:$JS$4,BT$4,$CB39:$JS39)</f>
        <v>0</v>
      </c>
      <c r="BU39" s="50" t="n">
        <f aca="false">SUMIF($CB$4:$JS$4,BU$4,$CB39:$JS39)</f>
        <v>0</v>
      </c>
      <c r="BV39" s="50" t="n">
        <f aca="false">SUMIF($CB$4:$JS$4,BV$4,$CB39:$JS39)</f>
        <v>0</v>
      </c>
      <c r="BW39" s="50" t="n">
        <f aca="false">SUMIF($CB$4:$JS$4,BW$4,$CB39:$JS39)</f>
        <v>0</v>
      </c>
      <c r="BX39" s="50" t="n">
        <f aca="false">SUMIF($CB$4:$JS$4,"&gt;"&amp;'VALOR POR PL'!$P$8,$CB39:$JS39)</f>
        <v>0</v>
      </c>
      <c r="BY39" s="50" t="n">
        <f aca="false">SUM($CB39:$JS39)</f>
        <v>0</v>
      </c>
      <c r="BZ39" s="45" t="n">
        <f aca="false">SUMPRODUCT(($CB$4:$JS$4&lt;&gt;"")*($CB$4:$JS$4&lt;=$D$4),$CB39:$JS39,$CB$1:$JS$1)</f>
        <v>0</v>
      </c>
      <c r="CB39" s="133" t="n">
        <f aca="false">IF(OR(CB$4="",$B39=""),0,SUMIF('DADOS BRUTOS'!$A$3:$A$500,$B39,'DADOS BRUTOS'!B$3:B$500)+IF($C39="",0,SUMIF('DADOS BRUTOS'!$A$3:$A$500,$C39,'DADOS BRUTOS'!B$3:B$500)))</f>
        <v>0</v>
      </c>
      <c r="CC39" s="133" t="n">
        <f aca="false">IF(OR(CC$4="",$B39=""),0,SUMIF('DADOS BRUTOS'!$A$3:$A$500,$B39,'DADOS BRUTOS'!C$3:C$500)+IF($C39="",0,SUMIF('DADOS BRUTOS'!$A$3:$A$500,$C39,'DADOS BRUTOS'!C$3:C$500)))</f>
        <v>0</v>
      </c>
      <c r="CD39" s="133" t="n">
        <f aca="false">IF(OR(CD$4="",$B39=""),0,SUMIF('DADOS BRUTOS'!$A$3:$A$500,$B39,'DADOS BRUTOS'!D$3:D$500)+IF($C39="",0,SUMIF('DADOS BRUTOS'!$A$3:$A$500,$C39,'DADOS BRUTOS'!D$3:D$500)))</f>
        <v>0</v>
      </c>
      <c r="CE39" s="133" t="n">
        <f aca="false">IF(OR(CE$4="",$B39=""),0,SUMIF('DADOS BRUTOS'!$A$3:$A$500,$B39,'DADOS BRUTOS'!E$3:E$500)+IF($C39="",0,SUMIF('DADOS BRUTOS'!$A$3:$A$500,$C39,'DADOS BRUTOS'!E$3:E$500)))</f>
        <v>0</v>
      </c>
      <c r="CF39" s="133" t="n">
        <f aca="false">IF(OR(CF$4="",$B39=""),0,SUMIF('DADOS BRUTOS'!$A$3:$A$500,$B39,'DADOS BRUTOS'!F$3:F$500)+IF($C39="",0,SUMIF('DADOS BRUTOS'!$A$3:$A$500,$C39,'DADOS BRUTOS'!F$3:F$500)))</f>
        <v>0</v>
      </c>
      <c r="CG39" s="133" t="n">
        <f aca="false">IF(OR(CG$4="",$B39=""),0,SUMIF('DADOS BRUTOS'!$A$3:$A$500,$B39,'DADOS BRUTOS'!G$3:G$500)+IF($C39="",0,SUMIF('DADOS BRUTOS'!$A$3:$A$500,$C39,'DADOS BRUTOS'!G$3:G$500)))</f>
        <v>0</v>
      </c>
      <c r="CH39" s="133" t="n">
        <f aca="false">IF(OR(CH$4="",$B39=""),0,SUMIF('DADOS BRUTOS'!$A$3:$A$500,$B39,'DADOS BRUTOS'!H$3:H$500)+IF($C39="",0,SUMIF('DADOS BRUTOS'!$A$3:$A$500,$C39,'DADOS BRUTOS'!H$3:H$500)))</f>
        <v>0</v>
      </c>
      <c r="CI39" s="133" t="n">
        <f aca="false">IF(OR(CI$4="",$B39=""),0,SUMIF('DADOS BRUTOS'!$A$3:$A$500,$B39,'DADOS BRUTOS'!I$3:I$500)+IF($C39="",0,SUMIF('DADOS BRUTOS'!$A$3:$A$500,$C39,'DADOS BRUTOS'!I$3:I$500)))</f>
        <v>0</v>
      </c>
      <c r="CJ39" s="133" t="n">
        <f aca="false">IF(OR(CJ$4="",$B39=""),0,SUMIF('DADOS BRUTOS'!$A$3:$A$500,$B39,'DADOS BRUTOS'!J$3:J$500)+IF($C39="",0,SUMIF('DADOS BRUTOS'!$A$3:$A$500,$C39,'DADOS BRUTOS'!J$3:J$500)))</f>
        <v>0</v>
      </c>
      <c r="CK39" s="133" t="n">
        <f aca="false">IF(OR(CK$4="",$B39=""),0,SUMIF('DADOS BRUTOS'!$A$3:$A$500,$B39,'DADOS BRUTOS'!K$3:K$500)+IF($C39="",0,SUMIF('DADOS BRUTOS'!$A$3:$A$500,$C39,'DADOS BRUTOS'!K$3:K$500)))</f>
        <v>0</v>
      </c>
      <c r="CL39" s="133" t="n">
        <f aca="false">IF(OR(CL$4="",$B39=""),0,SUMIF('DADOS BRUTOS'!$A$3:$A$500,$B39,'DADOS BRUTOS'!L$3:L$500)+IF($C39="",0,SUMIF('DADOS BRUTOS'!$A$3:$A$500,$C39,'DADOS BRUTOS'!L$3:L$500)))</f>
        <v>0</v>
      </c>
      <c r="CM39" s="133" t="n">
        <f aca="false">IF(OR(CM$4="",$B39=""),0,SUMIF('DADOS BRUTOS'!$A$3:$A$500,$B39,'DADOS BRUTOS'!M$3:M$500)+IF($C39="",0,SUMIF('DADOS BRUTOS'!$A$3:$A$500,$C39,'DADOS BRUTOS'!M$3:M$500)))</f>
        <v>0</v>
      </c>
      <c r="CN39" s="133" t="n">
        <f aca="false">IF(OR(CN$4="",$B39=""),0,SUMIF('DADOS BRUTOS'!$A$3:$A$500,$B39,'DADOS BRUTOS'!N$3:N$500)+IF($C39="",0,SUMIF('DADOS BRUTOS'!$A$3:$A$500,$C39,'DADOS BRUTOS'!N$3:N$500)))</f>
        <v>0</v>
      </c>
      <c r="CO39" s="133" t="n">
        <f aca="false">IF(OR(CO$4="",$B39=""),0,SUMIF('DADOS BRUTOS'!$A$3:$A$500,$B39,'DADOS BRUTOS'!O$3:O$500)+IF($C39="",0,SUMIF('DADOS BRUTOS'!$A$3:$A$500,$C39,'DADOS BRUTOS'!O$3:O$500)))</f>
        <v>0</v>
      </c>
      <c r="CP39" s="133" t="n">
        <f aca="false">IF(OR(CP$4="",$B39=""),0,SUMIF('DADOS BRUTOS'!$A$3:$A$500,$B39,'DADOS BRUTOS'!P$3:P$500)+IF($C39="",0,SUMIF('DADOS BRUTOS'!$A$3:$A$500,$C39,'DADOS BRUTOS'!P$3:P$500)))</f>
        <v>0</v>
      </c>
      <c r="CQ39" s="133" t="n">
        <f aca="false">IF(OR(CQ$4="",$B39=""),0,SUMIF('DADOS BRUTOS'!$A$3:$A$500,$B39,'DADOS BRUTOS'!Q$3:Q$500)+IF($C39="",0,SUMIF('DADOS BRUTOS'!$A$3:$A$500,$C39,'DADOS BRUTOS'!Q$3:Q$500)))</f>
        <v>0</v>
      </c>
      <c r="CR39" s="133" t="n">
        <f aca="false">IF(OR(CR$4="",$B39=""),0,SUMIF('DADOS BRUTOS'!$A$3:$A$500,$B39,'DADOS BRUTOS'!R$3:R$500)+IF($C39="",0,SUMIF('DADOS BRUTOS'!$A$3:$A$500,$C39,'DADOS BRUTOS'!R$3:R$500)))</f>
        <v>0</v>
      </c>
      <c r="CS39" s="133" t="n">
        <f aca="false">IF(OR(CS$4="",$B39=""),0,SUMIF('DADOS BRUTOS'!$A$3:$A$500,$B39,'DADOS BRUTOS'!S$3:S$500)+IF($C39="",0,SUMIF('DADOS BRUTOS'!$A$3:$A$500,$C39,'DADOS BRUTOS'!S$3:S$500)))</f>
        <v>0</v>
      </c>
      <c r="CT39" s="133" t="n">
        <f aca="false">IF(OR(CT$4="",$B39=""),0,SUMIF('DADOS BRUTOS'!$A$3:$A$500,$B39,'DADOS BRUTOS'!T$3:T$500)+IF($C39="",0,SUMIF('DADOS BRUTOS'!$A$3:$A$500,$C39,'DADOS BRUTOS'!T$3:T$500)))</f>
        <v>0</v>
      </c>
      <c r="CU39" s="133" t="n">
        <f aca="false">IF(OR(CU$4="",$B39=""),0,SUMIF('DADOS BRUTOS'!$A$3:$A$500,$B39,'DADOS BRUTOS'!U$3:U$500)+IF($C39="",0,SUMIF('DADOS BRUTOS'!$A$3:$A$500,$C39,'DADOS BRUTOS'!U$3:U$500)))</f>
        <v>0</v>
      </c>
      <c r="CV39" s="133" t="n">
        <f aca="false">IF(OR(CV$4="",$B39=""),0,SUMIF('DADOS BRUTOS'!$A$3:$A$500,$B39,'DADOS BRUTOS'!V$3:V$500)+IF($C39="",0,SUMIF('DADOS BRUTOS'!$A$3:$A$500,$C39,'DADOS BRUTOS'!V$3:V$500)))</f>
        <v>0</v>
      </c>
      <c r="CW39" s="133" t="n">
        <f aca="false">IF(OR(CW$4="",$B39=""),0,SUMIF('DADOS BRUTOS'!$A$3:$A$500,$B39,'DADOS BRUTOS'!W$3:W$500)+IF($C39="",0,SUMIF('DADOS BRUTOS'!$A$3:$A$500,$C39,'DADOS BRUTOS'!W$3:W$500)))</f>
        <v>0</v>
      </c>
      <c r="CX39" s="133" t="n">
        <f aca="false">IF(OR(CX$4="",$B39=""),0,SUMIF('DADOS BRUTOS'!$A$3:$A$500,$B39,'DADOS BRUTOS'!X$3:X$500)+IF($C39="",0,SUMIF('DADOS BRUTOS'!$A$3:$A$500,$C39,'DADOS BRUTOS'!X$3:X$500)))</f>
        <v>0</v>
      </c>
      <c r="CY39" s="133" t="n">
        <f aca="false">IF(OR(CY$4="",$B39=""),0,SUMIF('DADOS BRUTOS'!$A$3:$A$500,$B39,'DADOS BRUTOS'!Y$3:Y$500)+IF($C39="",0,SUMIF('DADOS BRUTOS'!$A$3:$A$500,$C39,'DADOS BRUTOS'!Y$3:Y$500)))</f>
        <v>0</v>
      </c>
      <c r="CZ39" s="133" t="n">
        <f aca="false">IF(OR(CZ$4="",$B39=""),0,SUMIF('DADOS BRUTOS'!$A$3:$A$500,$B39,'DADOS BRUTOS'!Z$3:Z$500)+IF($C39="",0,SUMIF('DADOS BRUTOS'!$A$3:$A$500,$C39,'DADOS BRUTOS'!Z$3:Z$500)))</f>
        <v>0</v>
      </c>
      <c r="DA39" s="133" t="n">
        <f aca="false">IF(OR(DA$4="",$B39=""),0,SUMIF('DADOS BRUTOS'!$A$3:$A$500,$B39,'DADOS BRUTOS'!AA$3:AA$500)+IF($C39="",0,SUMIF('DADOS BRUTOS'!$A$3:$A$500,$C39,'DADOS BRUTOS'!AA$3:AA$500)))</f>
        <v>0</v>
      </c>
      <c r="DB39" s="133" t="n">
        <f aca="false">IF(OR(DB$4="",$B39=""),0,SUMIF('DADOS BRUTOS'!$A$3:$A$500,$B39,'DADOS BRUTOS'!AB$3:AB$500)+IF($C39="",0,SUMIF('DADOS BRUTOS'!$A$3:$A$500,$C39,'DADOS BRUTOS'!AB$3:AB$500)))</f>
        <v>0</v>
      </c>
      <c r="DC39" s="133" t="n">
        <f aca="false">IF(OR(DC$4="",$B39=""),0,SUMIF('DADOS BRUTOS'!$A$3:$A$500,$B39,'DADOS BRUTOS'!AC$3:AC$500)+IF($C39="",0,SUMIF('DADOS BRUTOS'!$A$3:$A$500,$C39,'DADOS BRUTOS'!AC$3:AC$500)))</f>
        <v>0</v>
      </c>
      <c r="DD39" s="133" t="n">
        <f aca="false">IF(OR(DD$4="",$B39=""),0,SUMIF('DADOS BRUTOS'!$A$3:$A$500,$B39,'DADOS BRUTOS'!AD$3:AD$500)+IF($C39="",0,SUMIF('DADOS BRUTOS'!$A$3:$A$500,$C39,'DADOS BRUTOS'!AD$3:AD$500)))</f>
        <v>0</v>
      </c>
      <c r="DE39" s="133" t="n">
        <f aca="false">IF(OR(DE$4="",$B39=""),0,SUMIF('DADOS BRUTOS'!$A$3:$A$500,$B39,'DADOS BRUTOS'!AE$3:AE$500)+IF($C39="",0,SUMIF('DADOS BRUTOS'!$A$3:$A$500,$C39,'DADOS BRUTOS'!AE$3:AE$500)))</f>
        <v>0</v>
      </c>
      <c r="DF39" s="133" t="n">
        <f aca="false">IF(OR(DF$4="",$B39=""),0,SUMIF('DADOS BRUTOS'!$A$3:$A$500,$B39,'DADOS BRUTOS'!AF$3:AF$500)+IF($C39="",0,SUMIF('DADOS BRUTOS'!$A$3:$A$500,$C39,'DADOS BRUTOS'!AF$3:AF$500)))</f>
        <v>0</v>
      </c>
      <c r="DG39" s="133" t="n">
        <f aca="false">IF(OR(DG$4="",$B39=""),0,SUMIF('DADOS BRUTOS'!$A$3:$A$500,$B39,'DADOS BRUTOS'!AG$3:AG$500)+IF($C39="",0,SUMIF('DADOS BRUTOS'!$A$3:$A$500,$C39,'DADOS BRUTOS'!AG$3:AG$500)))</f>
        <v>0</v>
      </c>
      <c r="DH39" s="133" t="n">
        <f aca="false">IF(OR(DH$4="",$B39=""),0,SUMIF('DADOS BRUTOS'!$A$3:$A$500,$B39,'DADOS BRUTOS'!AH$3:AH$500)+IF($C39="",0,SUMIF('DADOS BRUTOS'!$A$3:$A$500,$C39,'DADOS BRUTOS'!AH$3:AH$500)))</f>
        <v>0</v>
      </c>
      <c r="DI39" s="133" t="n">
        <f aca="false">IF(OR(DI$4="",$B39=""),0,SUMIF('DADOS BRUTOS'!$A$3:$A$500,$B39,'DADOS BRUTOS'!AI$3:AI$500)+IF($C39="",0,SUMIF('DADOS BRUTOS'!$A$3:$A$500,$C39,'DADOS BRUTOS'!AI$3:AI$500)))</f>
        <v>0</v>
      </c>
      <c r="DJ39" s="133" t="n">
        <f aca="false">IF(OR(DJ$4="",$B39=""),0,SUMIF('DADOS BRUTOS'!$A$3:$A$500,$B39,'DADOS BRUTOS'!AJ$3:AJ$500)+IF($C39="",0,SUMIF('DADOS BRUTOS'!$A$3:$A$500,$C39,'DADOS BRUTOS'!AJ$3:AJ$500)))</f>
        <v>0</v>
      </c>
      <c r="DK39" s="133" t="n">
        <f aca="false">IF(OR(DK$4="",$B39=""),0,SUMIF('DADOS BRUTOS'!$A$3:$A$500,$B39,'DADOS BRUTOS'!AK$3:AK$500)+IF($C39="",0,SUMIF('DADOS BRUTOS'!$A$3:$A$500,$C39,'DADOS BRUTOS'!AK$3:AK$500)))</f>
        <v>0</v>
      </c>
      <c r="DL39" s="133" t="n">
        <f aca="false">IF(OR(DL$4="",$B39=""),0,SUMIF('DADOS BRUTOS'!$A$3:$A$500,$B39,'DADOS BRUTOS'!AL$3:AL$500)+IF($C39="",0,SUMIF('DADOS BRUTOS'!$A$3:$A$500,$C39,'DADOS BRUTOS'!AL$3:AL$500)))</f>
        <v>0</v>
      </c>
      <c r="DM39" s="133" t="n">
        <f aca="false">IF(OR(DM$4="",$B39=""),0,SUMIF('DADOS BRUTOS'!$A$3:$A$500,$B39,'DADOS BRUTOS'!AM$3:AM$500)+IF($C39="",0,SUMIF('DADOS BRUTOS'!$A$3:$A$500,$C39,'DADOS BRUTOS'!AM$3:AM$500)))</f>
        <v>0</v>
      </c>
      <c r="DN39" s="133" t="n">
        <f aca="false">IF(OR(DN$4="",$B39=""),0,SUMIF('DADOS BRUTOS'!$A$3:$A$500,$B39,'DADOS BRUTOS'!AN$3:AN$500)+IF($C39="",0,SUMIF('DADOS BRUTOS'!$A$3:$A$500,$C39,'DADOS BRUTOS'!AN$3:AN$500)))</f>
        <v>0</v>
      </c>
      <c r="DO39" s="133" t="n">
        <f aca="false">IF(OR(DO$4="",$B39=""),0,SUMIF('DADOS BRUTOS'!$A$3:$A$500,$B39,'DADOS BRUTOS'!AO$3:AO$500)+IF($C39="",0,SUMIF('DADOS BRUTOS'!$A$3:$A$500,$C39,'DADOS BRUTOS'!AO$3:AO$500)))</f>
        <v>0</v>
      </c>
      <c r="DP39" s="133" t="n">
        <f aca="false">IF(OR(DP$4="",$B39=""),0,SUMIF('DADOS BRUTOS'!$A$3:$A$500,$B39,'DADOS BRUTOS'!AP$3:AP$500)+IF($C39="",0,SUMIF('DADOS BRUTOS'!$A$3:$A$500,$C39,'DADOS BRUTOS'!AP$3:AP$500)))</f>
        <v>0</v>
      </c>
      <c r="DQ39" s="133" t="n">
        <f aca="false">IF(OR(DQ$4="",$B39=""),0,SUMIF('DADOS BRUTOS'!$A$3:$A$500,$B39,'DADOS BRUTOS'!AQ$3:AQ$500)+IF($C39="",0,SUMIF('DADOS BRUTOS'!$A$3:$A$500,$C39,'DADOS BRUTOS'!AQ$3:AQ$500)))</f>
        <v>0</v>
      </c>
      <c r="DR39" s="133" t="n">
        <f aca="false">IF(OR(DR$4="",$B39=""),0,SUMIF('DADOS BRUTOS'!$A$3:$A$500,$B39,'DADOS BRUTOS'!AR$3:AR$500)+IF($C39="",0,SUMIF('DADOS BRUTOS'!$A$3:$A$500,$C39,'DADOS BRUTOS'!AR$3:AR$500)))</f>
        <v>0</v>
      </c>
      <c r="DS39" s="133" t="n">
        <f aca="false">IF(OR(DS$4="",$B39=""),0,SUMIF('DADOS BRUTOS'!$A$3:$A$500,$B39,'DADOS BRUTOS'!AS$3:AS$500)+IF($C39="",0,SUMIF('DADOS BRUTOS'!$A$3:$A$500,$C39,'DADOS BRUTOS'!AS$3:AS$500)))</f>
        <v>0</v>
      </c>
      <c r="DT39" s="133" t="n">
        <f aca="false">IF(OR(DT$4="",$B39=""),0,SUMIF('DADOS BRUTOS'!$A$3:$A$500,$B39,'DADOS BRUTOS'!AT$3:AT$500)+IF($C39="",0,SUMIF('DADOS BRUTOS'!$A$3:$A$500,$C39,'DADOS BRUTOS'!AT$3:AT$500)))</f>
        <v>0</v>
      </c>
      <c r="DU39" s="133" t="n">
        <f aca="false">IF(OR(DU$4="",$B39=""),0,SUMIF('DADOS BRUTOS'!$A$3:$A$500,$B39,'DADOS BRUTOS'!AU$3:AU$500)+IF($C39="",0,SUMIF('DADOS BRUTOS'!$A$3:$A$500,$C39,'DADOS BRUTOS'!AU$3:AU$500)))</f>
        <v>0</v>
      </c>
      <c r="DV39" s="133" t="n">
        <f aca="false">IF(OR(DV$4="",$B39=""),0,SUMIF('DADOS BRUTOS'!$A$3:$A$500,$B39,'DADOS BRUTOS'!AV$3:AV$500)+IF($C39="",0,SUMIF('DADOS BRUTOS'!$A$3:$A$500,$C39,'DADOS BRUTOS'!AV$3:AV$500)))</f>
        <v>0</v>
      </c>
      <c r="DW39" s="133" t="n">
        <f aca="false">IF(OR(DW$4="",$B39=""),0,SUMIF('DADOS BRUTOS'!$A$3:$A$500,$B39,'DADOS BRUTOS'!AW$3:AW$500)+IF($C39="",0,SUMIF('DADOS BRUTOS'!$A$3:$A$500,$C39,'DADOS BRUTOS'!AW$3:AW$500)))</f>
        <v>0</v>
      </c>
      <c r="DX39" s="133" t="n">
        <f aca="false">IF(OR(DX$4="",$B39=""),0,SUMIF('DADOS BRUTOS'!$A$3:$A$500,$B39,'DADOS BRUTOS'!AX$3:AX$500)+IF($C39="",0,SUMIF('DADOS BRUTOS'!$A$3:$A$500,$C39,'DADOS BRUTOS'!AX$3:AX$500)))</f>
        <v>0</v>
      </c>
      <c r="DY39" s="133" t="n">
        <f aca="false">IF(OR(DY$4="",$B39=""),0,SUMIF('DADOS BRUTOS'!$A$3:$A$500,$B39,'DADOS BRUTOS'!AY$3:AY$500)+IF($C39="",0,SUMIF('DADOS BRUTOS'!$A$3:$A$500,$C39,'DADOS BRUTOS'!AY$3:AY$500)))</f>
        <v>0</v>
      </c>
      <c r="DZ39" s="133" t="n">
        <f aca="false">IF(OR(DZ$4="",$B39=""),0,SUMIF('DADOS BRUTOS'!$A$3:$A$500,$B39,'DADOS BRUTOS'!AZ$3:AZ$500)+IF($C39="",0,SUMIF('DADOS BRUTOS'!$A$3:$A$500,$C39,'DADOS BRUTOS'!AZ$3:AZ$500)))</f>
        <v>0</v>
      </c>
      <c r="EA39" s="133" t="n">
        <f aca="false">IF(OR(EA$4="",$B39=""),0,SUMIF('DADOS BRUTOS'!$A$3:$A$500,$B39,'DADOS BRUTOS'!BA$3:BA$500)+IF($C39="",0,SUMIF('DADOS BRUTOS'!$A$3:$A$500,$C39,'DADOS BRUTOS'!BA$3:BA$500)))</f>
        <v>0</v>
      </c>
      <c r="EB39" s="133" t="n">
        <f aca="false">IF(OR(EB$4="",$B39=""),0,SUMIF('DADOS BRUTOS'!$A$3:$A$500,$B39,'DADOS BRUTOS'!BB$3:BB$500)+IF($C39="",0,SUMIF('DADOS BRUTOS'!$A$3:$A$500,$C39,'DADOS BRUTOS'!BB$3:BB$500)))</f>
        <v>0</v>
      </c>
      <c r="EC39" s="133" t="n">
        <f aca="false">IF(OR(EC$4="",$B39=""),0,SUMIF('DADOS BRUTOS'!$A$3:$A$500,$B39,'DADOS BRUTOS'!BC$3:BC$500)+IF($C39="",0,SUMIF('DADOS BRUTOS'!$A$3:$A$500,$C39,'DADOS BRUTOS'!BC$3:BC$500)))</f>
        <v>0</v>
      </c>
      <c r="ED39" s="133" t="n">
        <f aca="false">IF(OR(ED$4="",$B39=""),0,SUMIF('DADOS BRUTOS'!$A$3:$A$500,$B39,'DADOS BRUTOS'!BD$3:BD$500)+IF($C39="",0,SUMIF('DADOS BRUTOS'!$A$3:$A$500,$C39,'DADOS BRUTOS'!BD$3:BD$500)))</f>
        <v>0</v>
      </c>
      <c r="EE39" s="133" t="n">
        <f aca="false">IF(OR(EE$4="",$B39=""),0,SUMIF('DADOS BRUTOS'!$A$3:$A$500,$B39,'DADOS BRUTOS'!BE$3:BE$500)+IF($C39="",0,SUMIF('DADOS BRUTOS'!$A$3:$A$500,$C39,'DADOS BRUTOS'!BE$3:BE$500)))</f>
        <v>0</v>
      </c>
      <c r="EF39" s="133" t="n">
        <f aca="false">IF(OR(EF$4="",$B39=""),0,SUMIF('DADOS BRUTOS'!$A$3:$A$500,$B39,'DADOS BRUTOS'!BF$3:BF$500)+IF($C39="",0,SUMIF('DADOS BRUTOS'!$A$3:$A$500,$C39,'DADOS BRUTOS'!BF$3:BF$500)))</f>
        <v>0</v>
      </c>
      <c r="EG39" s="133" t="n">
        <f aca="false">IF(OR(EG$4="",$B39=""),0,SUMIF('DADOS BRUTOS'!$A$3:$A$500,$B39,'DADOS BRUTOS'!BG$3:BG$500)+IF($C39="",0,SUMIF('DADOS BRUTOS'!$A$3:$A$500,$C39,'DADOS BRUTOS'!BG$3:BG$500)))</f>
        <v>0</v>
      </c>
      <c r="EH39" s="133" t="n">
        <f aca="false">IF(OR(EH$4="",$B39=""),0,SUMIF('DADOS BRUTOS'!$A$3:$A$500,$B39,'DADOS BRUTOS'!BH$3:BH$500)+IF($C39="",0,SUMIF('DADOS BRUTOS'!$A$3:$A$500,$C39,'DADOS BRUTOS'!BH$3:BH$500)))</f>
        <v>0</v>
      </c>
      <c r="EI39" s="133" t="n">
        <f aca="false">IF(OR(EI$4="",$B39=""),0,SUMIF('DADOS BRUTOS'!$A$3:$A$500,$B39,'DADOS BRUTOS'!BI$3:BI$500)+IF($C39="",0,SUMIF('DADOS BRUTOS'!$A$3:$A$500,$C39,'DADOS BRUTOS'!BI$3:BI$500)))</f>
        <v>0</v>
      </c>
      <c r="EJ39" s="133" t="n">
        <f aca="false">IF(OR(EJ$4="",$B39=""),0,SUMIF('DADOS BRUTOS'!$A$3:$A$500,$B39,'DADOS BRUTOS'!BJ$3:BJ$500)+IF($C39="",0,SUMIF('DADOS BRUTOS'!$A$3:$A$500,$C39,'DADOS BRUTOS'!BJ$3:BJ$500)))</f>
        <v>0</v>
      </c>
      <c r="EK39" s="133" t="n">
        <f aca="false">IF(OR(EK$4="",$B39=""),0,SUMIF('DADOS BRUTOS'!$A$3:$A$500,$B39,'DADOS BRUTOS'!BK$3:BK$500)+IF($C39="",0,SUMIF('DADOS BRUTOS'!$A$3:$A$500,$C39,'DADOS BRUTOS'!BK$3:BK$500)))</f>
        <v>0</v>
      </c>
      <c r="EL39" s="133" t="n">
        <f aca="false">IF(OR(EL$4="",$B39=""),0,SUMIF('DADOS BRUTOS'!$A$3:$A$500,$B39,'DADOS BRUTOS'!BL$3:BL$500)+IF($C39="",0,SUMIF('DADOS BRUTOS'!$A$3:$A$500,$C39,'DADOS BRUTOS'!BL$3:BL$500)))</f>
        <v>0</v>
      </c>
      <c r="EM39" s="133" t="n">
        <f aca="false">IF(OR(EM$4="",$B39=""),0,SUMIF('DADOS BRUTOS'!$A$3:$A$500,$B39,'DADOS BRUTOS'!BM$3:BM$500)+IF($C39="",0,SUMIF('DADOS BRUTOS'!$A$3:$A$500,$C39,'DADOS BRUTOS'!BM$3:BM$500)))</f>
        <v>0</v>
      </c>
      <c r="EN39" s="133" t="n">
        <f aca="false">IF(OR(EN$4="",$B39=""),0,SUMIF('DADOS BRUTOS'!$A$3:$A$500,$B39,'DADOS BRUTOS'!BN$3:BN$500)+IF($C39="",0,SUMIF('DADOS BRUTOS'!$A$3:$A$500,$C39,'DADOS BRUTOS'!BN$3:BN$500)))</f>
        <v>0</v>
      </c>
      <c r="EO39" s="133" t="n">
        <f aca="false">IF(OR(EO$4="",$B39=""),0,SUMIF('DADOS BRUTOS'!$A$3:$A$500,$B39,'DADOS BRUTOS'!BO$3:BO$500)+IF($C39="",0,SUMIF('DADOS BRUTOS'!$A$3:$A$500,$C39,'DADOS BRUTOS'!BO$3:BO$500)))</f>
        <v>0</v>
      </c>
      <c r="EP39" s="133" t="n">
        <f aca="false">IF(OR(EP$4="",$B39=""),0,SUMIF('DADOS BRUTOS'!$A$3:$A$500,$B39,'DADOS BRUTOS'!BP$3:BP$500)+IF($C39="",0,SUMIF('DADOS BRUTOS'!$A$3:$A$500,$C39,'DADOS BRUTOS'!BP$3:BP$500)))</f>
        <v>0</v>
      </c>
      <c r="EQ39" s="133" t="n">
        <f aca="false">IF(OR(EQ$4="",$B39=""),0,SUMIF('DADOS BRUTOS'!$A$3:$A$500,$B39,'DADOS BRUTOS'!BQ$3:BQ$500)+IF($C39="",0,SUMIF('DADOS BRUTOS'!$A$3:$A$500,$C39,'DADOS BRUTOS'!BQ$3:BQ$500)))</f>
        <v>0</v>
      </c>
      <c r="ER39" s="133" t="n">
        <f aca="false">IF(OR(ER$4="",$B39=""),0,SUMIF('DADOS BRUTOS'!$A$3:$A$500,$B39,'DADOS BRUTOS'!BR$3:BR$500)+IF($C39="",0,SUMIF('DADOS BRUTOS'!$A$3:$A$500,$C39,'DADOS BRUTOS'!BR$3:BR$500)))</f>
        <v>0</v>
      </c>
      <c r="ES39" s="133" t="n">
        <f aca="false">IF(OR(ES$4="",$B39=""),0,SUMIF('DADOS BRUTOS'!$A$3:$A$500,$B39,'DADOS BRUTOS'!BS$3:BS$500)+IF($C39="",0,SUMIF('DADOS BRUTOS'!$A$3:$A$500,$C39,'DADOS BRUTOS'!BS$3:BS$500)))</f>
        <v>0</v>
      </c>
      <c r="ET39" s="133" t="n">
        <f aca="false">IF(OR(ET$4="",$B39=""),0,SUMIF('DADOS BRUTOS'!$A$3:$A$500,$B39,'DADOS BRUTOS'!BT$3:BT$500)+IF($C39="",0,SUMIF('DADOS BRUTOS'!$A$3:$A$500,$C39,'DADOS BRUTOS'!BT$3:BT$500)))</f>
        <v>0</v>
      </c>
      <c r="EU39" s="133" t="n">
        <f aca="false">IF(OR(EU$4="",$B39=""),0,SUMIF('DADOS BRUTOS'!$A$3:$A$500,$B39,'DADOS BRUTOS'!BU$3:BU$500)+IF($C39="",0,SUMIF('DADOS BRUTOS'!$A$3:$A$500,$C39,'DADOS BRUTOS'!BU$3:BU$500)))</f>
        <v>0</v>
      </c>
      <c r="EV39" s="133" t="n">
        <f aca="false">IF(OR(EV$4="",$B39=""),0,SUMIF('DADOS BRUTOS'!$A$3:$A$500,$B39,'DADOS BRUTOS'!BV$3:BV$500)+IF($C39="",0,SUMIF('DADOS BRUTOS'!$A$3:$A$500,$C39,'DADOS BRUTOS'!BV$3:BV$500)))</f>
        <v>0</v>
      </c>
      <c r="EW39" s="133" t="n">
        <f aca="false">IF(OR(EW$4="",$B39=""),0,SUMIF('DADOS BRUTOS'!$A$3:$A$500,$B39,'DADOS BRUTOS'!BW$3:BW$500)+IF($C39="",0,SUMIF('DADOS BRUTOS'!$A$3:$A$500,$C39,'DADOS BRUTOS'!BW$3:BW$500)))</f>
        <v>0</v>
      </c>
      <c r="EX39" s="133" t="n">
        <f aca="false">IF(OR(EX$4="",$B39=""),0,SUMIF('DADOS BRUTOS'!$A$3:$A$500,$B39,'DADOS BRUTOS'!BX$3:BX$500)+IF($C39="",0,SUMIF('DADOS BRUTOS'!$A$3:$A$500,$C39,'DADOS BRUTOS'!BX$3:BX$500)))</f>
        <v>0</v>
      </c>
      <c r="EY39" s="133" t="n">
        <f aca="false">IF(OR(EY$4="",$B39=""),0,SUMIF('DADOS BRUTOS'!$A$3:$A$500,$B39,'DADOS BRUTOS'!BY$3:BY$500)+IF($C39="",0,SUMIF('DADOS BRUTOS'!$A$3:$A$500,$C39,'DADOS BRUTOS'!BY$3:BY$500)))</f>
        <v>0</v>
      </c>
      <c r="EZ39" s="133" t="n">
        <f aca="false">IF(OR(EZ$4="",$B39=""),0,SUMIF('DADOS BRUTOS'!$A$3:$A$500,$B39,'DADOS BRUTOS'!BZ$3:BZ$500)+IF($C39="",0,SUMIF('DADOS BRUTOS'!$A$3:$A$500,$C39,'DADOS BRUTOS'!BZ$3:BZ$500)))</f>
        <v>0</v>
      </c>
      <c r="FA39" s="133" t="n">
        <f aca="false">IF(OR(FA$4="",$B39=""),0,SUMIF('DADOS BRUTOS'!$A$3:$A$500,$B39,'DADOS BRUTOS'!CA$3:CA$500)+IF($C39="",0,SUMIF('DADOS BRUTOS'!$A$3:$A$500,$C39,'DADOS BRUTOS'!CA$3:CA$500)))</f>
        <v>0</v>
      </c>
      <c r="FB39" s="133" t="n">
        <f aca="false">IF(OR(FB$4="",$B39=""),0,SUMIF('DADOS BRUTOS'!$A$3:$A$500,$B39,'DADOS BRUTOS'!CB$3:CB$500)+IF($C39="",0,SUMIF('DADOS BRUTOS'!$A$3:$A$500,$C39,'DADOS BRUTOS'!CB$3:CB$500)))</f>
        <v>0</v>
      </c>
      <c r="FC39" s="133" t="n">
        <f aca="false">IF(OR(FC$4="",$B39=""),0,SUMIF('DADOS BRUTOS'!$A$3:$A$500,$B39,'DADOS BRUTOS'!CC$3:CC$500)+IF($C39="",0,SUMIF('DADOS BRUTOS'!$A$3:$A$500,$C39,'DADOS BRUTOS'!CC$3:CC$500)))</f>
        <v>0</v>
      </c>
      <c r="FD39" s="133" t="n">
        <f aca="false">IF(OR(FD$4="",$B39=""),0,SUMIF('DADOS BRUTOS'!$A$3:$A$500,$B39,'DADOS BRUTOS'!CD$3:CD$500)+IF($C39="",0,SUMIF('DADOS BRUTOS'!$A$3:$A$500,$C39,'DADOS BRUTOS'!CD$3:CD$500)))</f>
        <v>0</v>
      </c>
      <c r="FE39" s="133" t="n">
        <f aca="false">IF(OR(FE$4="",$B39=""),0,SUMIF('DADOS BRUTOS'!$A$3:$A$500,$B39,'DADOS BRUTOS'!CE$3:CE$500)+IF($C39="",0,SUMIF('DADOS BRUTOS'!$A$3:$A$500,$C39,'DADOS BRUTOS'!CE$3:CE$500)))</f>
        <v>0</v>
      </c>
      <c r="FF39" s="133" t="n">
        <f aca="false">IF(OR(FF$4="",$B39=""),0,SUMIF('DADOS BRUTOS'!$A$3:$A$500,$B39,'DADOS BRUTOS'!CF$3:CF$500)+IF($C39="",0,SUMIF('DADOS BRUTOS'!$A$3:$A$500,$C39,'DADOS BRUTOS'!CF$3:CF$500)))</f>
        <v>0</v>
      </c>
      <c r="FG39" s="133" t="n">
        <f aca="false">IF(OR(FG$4="",$B39=""),0,SUMIF('DADOS BRUTOS'!$A$3:$A$500,$B39,'DADOS BRUTOS'!CG$3:CG$500)+IF($C39="",0,SUMIF('DADOS BRUTOS'!$A$3:$A$500,$C39,'DADOS BRUTOS'!CG$3:CG$500)))</f>
        <v>0</v>
      </c>
      <c r="FH39" s="133" t="n">
        <f aca="false">IF(OR(FH$4="",$B39=""),0,SUMIF('DADOS BRUTOS'!$A$3:$A$500,$B39,'DADOS BRUTOS'!CH$3:CH$500)+IF($C39="",0,SUMIF('DADOS BRUTOS'!$A$3:$A$500,$C39,'DADOS BRUTOS'!CH$3:CH$500)))</f>
        <v>0</v>
      </c>
      <c r="FI39" s="133" t="n">
        <f aca="false">IF(OR(FI$4="",$B39=""),0,SUMIF('DADOS BRUTOS'!$A$3:$A$500,$B39,'DADOS BRUTOS'!CI$3:CI$500)+IF($C39="",0,SUMIF('DADOS BRUTOS'!$A$3:$A$500,$C39,'DADOS BRUTOS'!CI$3:CI$500)))</f>
        <v>0</v>
      </c>
      <c r="FJ39" s="133" t="n">
        <f aca="false">IF(OR(FJ$4="",$B39=""),0,SUMIF('DADOS BRUTOS'!$A$3:$A$500,$B39,'DADOS BRUTOS'!CJ$3:CJ$500)+IF($C39="",0,SUMIF('DADOS BRUTOS'!$A$3:$A$500,$C39,'DADOS BRUTOS'!CJ$3:CJ$500)))</f>
        <v>0</v>
      </c>
      <c r="FK39" s="133" t="n">
        <f aca="false">IF(OR(FK$4="",$B39=""),0,SUMIF('DADOS BRUTOS'!$A$3:$A$500,$B39,'DADOS BRUTOS'!CK$3:CK$500)+IF($C39="",0,SUMIF('DADOS BRUTOS'!$A$3:$A$500,$C39,'DADOS BRUTOS'!CK$3:CK$500)))</f>
        <v>0</v>
      </c>
      <c r="FL39" s="133" t="n">
        <f aca="false">IF(OR(FL$4="",$B39=""),0,SUMIF('DADOS BRUTOS'!$A$3:$A$500,$B39,'DADOS BRUTOS'!CL$3:CL$500)+IF($C39="",0,SUMIF('DADOS BRUTOS'!$A$3:$A$500,$C39,'DADOS BRUTOS'!CL$3:CL$500)))</f>
        <v>0</v>
      </c>
      <c r="FM39" s="133" t="n">
        <f aca="false">IF(OR(FM$4="",$B39=""),0,SUMIF('DADOS BRUTOS'!$A$3:$A$500,$B39,'DADOS BRUTOS'!CM$3:CM$500)+IF($C39="",0,SUMIF('DADOS BRUTOS'!$A$3:$A$500,$C39,'DADOS BRUTOS'!CM$3:CM$500)))</f>
        <v>0</v>
      </c>
      <c r="FN39" s="133" t="n">
        <f aca="false">IF(OR(FN$4="",$B39=""),0,SUMIF('DADOS BRUTOS'!$A$3:$A$500,$B39,'DADOS BRUTOS'!CN$3:CN$500)+IF($C39="",0,SUMIF('DADOS BRUTOS'!$A$3:$A$500,$C39,'DADOS BRUTOS'!CN$3:CN$500)))</f>
        <v>0</v>
      </c>
      <c r="FO39" s="133" t="n">
        <f aca="false">IF(OR(FO$4="",$B39=""),0,SUMIF('DADOS BRUTOS'!$A$3:$A$500,$B39,'DADOS BRUTOS'!CO$3:CO$500)+IF($C39="",0,SUMIF('DADOS BRUTOS'!$A$3:$A$500,$C39,'DADOS BRUTOS'!CO$3:CO$500)))</f>
        <v>0</v>
      </c>
      <c r="FP39" s="133" t="n">
        <f aca="false">IF(OR(FP$4="",$B39=""),0,SUMIF('DADOS BRUTOS'!$A$3:$A$500,$B39,'DADOS BRUTOS'!CP$3:CP$500)+IF($C39="",0,SUMIF('DADOS BRUTOS'!$A$3:$A$500,$C39,'DADOS BRUTOS'!CP$3:CP$500)))</f>
        <v>0</v>
      </c>
      <c r="FQ39" s="133" t="n">
        <f aca="false">IF(OR(FQ$4="",$B39=""),0,SUMIF('DADOS BRUTOS'!$A$3:$A$500,$B39,'DADOS BRUTOS'!CQ$3:CQ$500)+IF($C39="",0,SUMIF('DADOS BRUTOS'!$A$3:$A$500,$C39,'DADOS BRUTOS'!CQ$3:CQ$500)))</f>
        <v>0</v>
      </c>
      <c r="FR39" s="133" t="n">
        <f aca="false">IF(OR(FR$4="",$B39=""),0,SUMIF('DADOS BRUTOS'!$A$3:$A$500,$B39,'DADOS BRUTOS'!CR$3:CR$500)+IF($C39="",0,SUMIF('DADOS BRUTOS'!$A$3:$A$500,$C39,'DADOS BRUTOS'!CR$3:CR$500)))</f>
        <v>0</v>
      </c>
      <c r="FS39" s="133" t="n">
        <f aca="false">IF(OR(FS$4="",$B39=""),0,SUMIF('DADOS BRUTOS'!$A$3:$A$500,$B39,'DADOS BRUTOS'!CS$3:CS$500)+IF($C39="",0,SUMIF('DADOS BRUTOS'!$A$3:$A$500,$C39,'DADOS BRUTOS'!CS$3:CS$500)))</f>
        <v>0</v>
      </c>
      <c r="FT39" s="133" t="n">
        <f aca="false">IF(OR(FT$4="",$B39=""),0,SUMIF('DADOS BRUTOS'!$A$3:$A$500,$B39,'DADOS BRUTOS'!CT$3:CT$500)+IF($C39="",0,SUMIF('DADOS BRUTOS'!$A$3:$A$500,$C39,'DADOS BRUTOS'!CT$3:CT$500)))</f>
        <v>0</v>
      </c>
      <c r="FU39" s="133" t="n">
        <f aca="false">IF(OR(FU$4="",$B39=""),0,SUMIF('DADOS BRUTOS'!$A$3:$A$500,$B39,'DADOS BRUTOS'!CU$3:CU$500)+IF($C39="",0,SUMIF('DADOS BRUTOS'!$A$3:$A$500,$C39,'DADOS BRUTOS'!CU$3:CU$500)))</f>
        <v>0</v>
      </c>
      <c r="FV39" s="133" t="n">
        <f aca="false">IF(OR(FV$4="",$B39=""),0,SUMIF('DADOS BRUTOS'!$A$3:$A$500,$B39,'DADOS BRUTOS'!CV$3:CV$500)+IF($C39="",0,SUMIF('DADOS BRUTOS'!$A$3:$A$500,$C39,'DADOS BRUTOS'!CV$3:CV$500)))</f>
        <v>0</v>
      </c>
      <c r="FW39" s="133" t="n">
        <f aca="false">IF(OR(FW$4="",$B39=""),0,SUMIF('DADOS BRUTOS'!$A$3:$A$500,$B39,'DADOS BRUTOS'!CW$3:CW$500)+IF($C39="",0,SUMIF('DADOS BRUTOS'!$A$3:$A$500,$C39,'DADOS BRUTOS'!CW$3:CW$500)))</f>
        <v>0</v>
      </c>
      <c r="FX39" s="133" t="n">
        <f aca="false">IF(OR(FX$4="",$B39=""),0,SUMIF('DADOS BRUTOS'!$A$3:$A$500,$B39,'DADOS BRUTOS'!CX$3:CX$500)+IF($C39="",0,SUMIF('DADOS BRUTOS'!$A$3:$A$500,$C39,'DADOS BRUTOS'!CX$3:CX$500)))</f>
        <v>0</v>
      </c>
      <c r="FY39" s="133" t="n">
        <f aca="false">IF(OR(FY$4="",$B39=""),0,SUMIF('DADOS BRUTOS'!$A$3:$A$500,$B39,'DADOS BRUTOS'!CY$3:CY$500)+IF($C39="",0,SUMIF('DADOS BRUTOS'!$A$3:$A$500,$C39,'DADOS BRUTOS'!CY$3:CY$500)))</f>
        <v>0</v>
      </c>
      <c r="FZ39" s="133" t="n">
        <f aca="false">IF(OR(FZ$4="",$B39=""),0,SUMIF('DADOS BRUTOS'!$A$3:$A$500,$B39,'DADOS BRUTOS'!CZ$3:CZ$500)+IF($C39="",0,SUMIF('DADOS BRUTOS'!$A$3:$A$500,$C39,'DADOS BRUTOS'!CZ$3:CZ$500)))</f>
        <v>0</v>
      </c>
      <c r="GA39" s="133" t="n">
        <f aca="false">IF(OR(GA$4="",$B39=""),0,SUMIF('DADOS BRUTOS'!$A$3:$A$500,$B39,'DADOS BRUTOS'!DA$3:DA$500)+IF($C39="",0,SUMIF('DADOS BRUTOS'!$A$3:$A$500,$C39,'DADOS BRUTOS'!DA$3:DA$500)))</f>
        <v>0</v>
      </c>
      <c r="GB39" s="133" t="n">
        <f aca="false">IF(OR(GB$4="",$B39=""),0,SUMIF('DADOS BRUTOS'!$A$3:$A$500,$B39,'DADOS BRUTOS'!DB$3:DB$500)+IF($C39="",0,SUMIF('DADOS BRUTOS'!$A$3:$A$500,$C39,'DADOS BRUTOS'!DB$3:DB$500)))</f>
        <v>0</v>
      </c>
      <c r="GC39" s="133" t="n">
        <f aca="false">IF(OR(GC$4="",$B39=""),0,SUMIF('DADOS BRUTOS'!$A$3:$A$500,$B39,'DADOS BRUTOS'!DC$3:DC$500)+IF($C39="",0,SUMIF('DADOS BRUTOS'!$A$3:$A$500,$C39,'DADOS BRUTOS'!DC$3:DC$500)))</f>
        <v>0</v>
      </c>
      <c r="GD39" s="133" t="n">
        <f aca="false">IF(OR(GD$4="",$B39=""),0,SUMIF('DADOS BRUTOS'!$A$3:$A$500,$B39,'DADOS BRUTOS'!DD$3:DD$500)+IF($C39="",0,SUMIF('DADOS BRUTOS'!$A$3:$A$500,$C39,'DADOS BRUTOS'!DD$3:DD$500)))</f>
        <v>0</v>
      </c>
      <c r="GE39" s="133" t="n">
        <f aca="false">IF(OR(GE$4="",$B39=""),0,SUMIF('DADOS BRUTOS'!$A$3:$A$500,$B39,'DADOS BRUTOS'!DE$3:DE$500)+IF($C39="",0,SUMIF('DADOS BRUTOS'!$A$3:$A$500,$C39,'DADOS BRUTOS'!DE$3:DE$500)))</f>
        <v>0</v>
      </c>
      <c r="GF39" s="133" t="n">
        <f aca="false">IF(OR(GF$4="",$B39=""),0,SUMIF('DADOS BRUTOS'!$A$3:$A$500,$B39,'DADOS BRUTOS'!DF$3:DF$500)+IF($C39="",0,SUMIF('DADOS BRUTOS'!$A$3:$A$500,$C39,'DADOS BRUTOS'!DF$3:DF$500)))</f>
        <v>0</v>
      </c>
      <c r="GG39" s="133" t="n">
        <f aca="false">IF(OR(GG$4="",$B39=""),0,SUMIF('DADOS BRUTOS'!$A$3:$A$500,$B39,'DADOS BRUTOS'!DG$3:DG$500)+IF($C39="",0,SUMIF('DADOS BRUTOS'!$A$3:$A$500,$C39,'DADOS BRUTOS'!DG$3:DG$500)))</f>
        <v>0</v>
      </c>
      <c r="GH39" s="133" t="n">
        <f aca="false">IF(OR(GH$4="",$B39=""),0,SUMIF('DADOS BRUTOS'!$A$3:$A$500,$B39,'DADOS BRUTOS'!DH$3:DH$500)+IF($C39="",0,SUMIF('DADOS BRUTOS'!$A$3:$A$500,$C39,'DADOS BRUTOS'!DH$3:DH$500)))</f>
        <v>0</v>
      </c>
      <c r="GI39" s="133" t="n">
        <f aca="false">IF(OR(GI$4="",$B39=""),0,SUMIF('DADOS BRUTOS'!$A$3:$A$500,$B39,'DADOS BRUTOS'!DI$3:DI$500)+IF($C39="",0,SUMIF('DADOS BRUTOS'!$A$3:$A$500,$C39,'DADOS BRUTOS'!DI$3:DI$500)))</f>
        <v>0</v>
      </c>
      <c r="GJ39" s="133" t="n">
        <f aca="false">IF(OR(GJ$4="",$B39=""),0,SUMIF('DADOS BRUTOS'!$A$3:$A$500,$B39,'DADOS BRUTOS'!DJ$3:DJ$500)+IF($C39="",0,SUMIF('DADOS BRUTOS'!$A$3:$A$500,$C39,'DADOS BRUTOS'!DJ$3:DJ$500)))</f>
        <v>0</v>
      </c>
      <c r="GK39" s="133" t="n">
        <f aca="false">IF(OR(GK$4="",$B39=""),0,SUMIF('DADOS BRUTOS'!$A$3:$A$500,$B39,'DADOS BRUTOS'!DK$3:DK$500)+IF($C39="",0,SUMIF('DADOS BRUTOS'!$A$3:$A$500,$C39,'DADOS BRUTOS'!DK$3:DK$500)))</f>
        <v>0</v>
      </c>
      <c r="GL39" s="133" t="n">
        <f aca="false">IF(OR(GL$4="",$B39=""),0,SUMIF('DADOS BRUTOS'!$A$3:$A$500,$B39,'DADOS BRUTOS'!DL$3:DL$500)+IF($C39="",0,SUMIF('DADOS BRUTOS'!$A$3:$A$500,$C39,'DADOS BRUTOS'!DL$3:DL$500)))</f>
        <v>0</v>
      </c>
      <c r="GM39" s="133" t="n">
        <f aca="false">IF(OR(GM$4="",$B39=""),0,SUMIF('DADOS BRUTOS'!$A$3:$A$500,$B39,'DADOS BRUTOS'!DM$3:DM$500)+IF($C39="",0,SUMIF('DADOS BRUTOS'!$A$3:$A$500,$C39,'DADOS BRUTOS'!DM$3:DM$500)))</f>
        <v>0</v>
      </c>
      <c r="GN39" s="133" t="n">
        <f aca="false">IF(OR(GN$4="",$B39=""),0,SUMIF('DADOS BRUTOS'!$A$3:$A$500,$B39,'DADOS BRUTOS'!DN$3:DN$500)+IF($C39="",0,SUMIF('DADOS BRUTOS'!$A$3:$A$500,$C39,'DADOS BRUTOS'!DN$3:DN$500)))</f>
        <v>0</v>
      </c>
      <c r="GO39" s="133" t="n">
        <f aca="false">IF(OR(GO$4="",$B39=""),0,SUMIF('DADOS BRUTOS'!$A$3:$A$500,$B39,'DADOS BRUTOS'!DO$3:DO$500)+IF($C39="",0,SUMIF('DADOS BRUTOS'!$A$3:$A$500,$C39,'DADOS BRUTOS'!DO$3:DO$500)))</f>
        <v>0</v>
      </c>
      <c r="GP39" s="133" t="n">
        <f aca="false">IF(OR(GP$4="",$B39=""),0,SUMIF('DADOS BRUTOS'!$A$3:$A$500,$B39,'DADOS BRUTOS'!DP$3:DP$500)+IF($C39="",0,SUMIF('DADOS BRUTOS'!$A$3:$A$500,$C39,'DADOS BRUTOS'!DP$3:DP$500)))</f>
        <v>0</v>
      </c>
      <c r="GQ39" s="133" t="n">
        <f aca="false">IF(OR(GQ$4="",$B39=""),0,SUMIF('DADOS BRUTOS'!$A$3:$A$500,$B39,'DADOS BRUTOS'!DQ$3:DQ$500)+IF($C39="",0,SUMIF('DADOS BRUTOS'!$A$3:$A$500,$C39,'DADOS BRUTOS'!DQ$3:DQ$500)))</f>
        <v>0</v>
      </c>
      <c r="GR39" s="133" t="n">
        <f aca="false">IF(OR(GR$4="",$B39=""),0,SUMIF('DADOS BRUTOS'!$A$3:$A$500,$B39,'DADOS BRUTOS'!DR$3:DR$500)+IF($C39="",0,SUMIF('DADOS BRUTOS'!$A$3:$A$500,$C39,'DADOS BRUTOS'!DR$3:DR$500)))</f>
        <v>0</v>
      </c>
      <c r="GS39" s="133" t="n">
        <f aca="false">IF(OR(GS$4="",$B39=""),0,SUMIF('DADOS BRUTOS'!$A$3:$A$500,$B39,'DADOS BRUTOS'!DS$3:DS$500)+IF($C39="",0,SUMIF('DADOS BRUTOS'!$A$3:$A$500,$C39,'DADOS BRUTOS'!DS$3:DS$500)))</f>
        <v>0</v>
      </c>
      <c r="GT39" s="133" t="n">
        <f aca="false">IF(OR(GT$4="",$B39=""),0,SUMIF('DADOS BRUTOS'!$A$3:$A$500,$B39,'DADOS BRUTOS'!DT$3:DT$500)+IF($C39="",0,SUMIF('DADOS BRUTOS'!$A$3:$A$500,$C39,'DADOS BRUTOS'!DT$3:DT$500)))</f>
        <v>0</v>
      </c>
      <c r="GU39" s="133" t="n">
        <f aca="false">IF(OR(GU$4="",$B39=""),0,SUMIF('DADOS BRUTOS'!$A$3:$A$500,$B39,'DADOS BRUTOS'!DU$3:DU$500)+IF($C39="",0,SUMIF('DADOS BRUTOS'!$A$3:$A$500,$C39,'DADOS BRUTOS'!DU$3:DU$500)))</f>
        <v>0</v>
      </c>
      <c r="GV39" s="133" t="n">
        <f aca="false">IF(OR(GV$4="",$B39=""),0,SUMIF('DADOS BRUTOS'!$A$3:$A$500,$B39,'DADOS BRUTOS'!DV$3:DV$500)+IF($C39="",0,SUMIF('DADOS BRUTOS'!$A$3:$A$500,$C39,'DADOS BRUTOS'!DV$3:DV$500)))</f>
        <v>0</v>
      </c>
      <c r="GW39" s="133" t="n">
        <f aca="false">IF(OR(GW$4="",$B39=""),0,SUMIF('DADOS BRUTOS'!$A$3:$A$500,$B39,'DADOS BRUTOS'!DW$3:DW$500)+IF($C39="",0,SUMIF('DADOS BRUTOS'!$A$3:$A$500,$C39,'DADOS BRUTOS'!DW$3:DW$500)))</f>
        <v>0</v>
      </c>
      <c r="GX39" s="133" t="n">
        <f aca="false">IF(OR(GX$4="",$B39=""),0,SUMIF('DADOS BRUTOS'!$A$3:$A$500,$B39,'DADOS BRUTOS'!DX$3:DX$500)+IF($C39="",0,SUMIF('DADOS BRUTOS'!$A$3:$A$500,$C39,'DADOS BRUTOS'!DX$3:DX$500)))</f>
        <v>0</v>
      </c>
      <c r="GY39" s="133" t="n">
        <f aca="false">IF(OR(GY$4="",$B39=""),0,SUMIF('DADOS BRUTOS'!$A$3:$A$500,$B39,'DADOS BRUTOS'!DY$3:DY$500)+IF($C39="",0,SUMIF('DADOS BRUTOS'!$A$3:$A$500,$C39,'DADOS BRUTOS'!DY$3:DY$500)))</f>
        <v>0</v>
      </c>
      <c r="GZ39" s="133" t="n">
        <f aca="false">IF(OR(GZ$4="",$B39=""),0,SUMIF('DADOS BRUTOS'!$A$3:$A$500,$B39,'DADOS BRUTOS'!DZ$3:DZ$500)+IF($C39="",0,SUMIF('DADOS BRUTOS'!$A$3:$A$500,$C39,'DADOS BRUTOS'!DZ$3:DZ$500)))</f>
        <v>0</v>
      </c>
      <c r="HA39" s="133" t="n">
        <f aca="false">IF(OR(HA$4="",$B39=""),0,SUMIF('DADOS BRUTOS'!$A$3:$A$500,$B39,'DADOS BRUTOS'!EA$3:EA$500)+IF($C39="",0,SUMIF('DADOS BRUTOS'!$A$3:$A$500,$C39,'DADOS BRUTOS'!EA$3:EA$500)))</f>
        <v>0</v>
      </c>
      <c r="HB39" s="133" t="n">
        <f aca="false">IF(OR(HB$4="",$B39=""),0,SUMIF('DADOS BRUTOS'!$A$3:$A$500,$B39,'DADOS BRUTOS'!EB$3:EB$500)+IF($C39="",0,SUMIF('DADOS BRUTOS'!$A$3:$A$500,$C39,'DADOS BRUTOS'!EB$3:EB$500)))</f>
        <v>0</v>
      </c>
      <c r="HC39" s="133" t="n">
        <f aca="false">IF(OR(HC$4="",$B39=""),0,SUMIF('DADOS BRUTOS'!$A$3:$A$500,$B39,'DADOS BRUTOS'!EC$3:EC$500)+IF($C39="",0,SUMIF('DADOS BRUTOS'!$A$3:$A$500,$C39,'DADOS BRUTOS'!EC$3:EC$500)))</f>
        <v>0</v>
      </c>
      <c r="HD39" s="133" t="n">
        <f aca="false">IF(OR(HD$4="",$B39=""),0,SUMIF('DADOS BRUTOS'!$A$3:$A$500,$B39,'DADOS BRUTOS'!ED$3:ED$500)+IF($C39="",0,SUMIF('DADOS BRUTOS'!$A$3:$A$500,$C39,'DADOS BRUTOS'!ED$3:ED$500)))</f>
        <v>0</v>
      </c>
      <c r="HE39" s="133" t="n">
        <f aca="false">IF(OR(HE$4="",$B39=""),0,SUMIF('DADOS BRUTOS'!$A$3:$A$500,$B39,'DADOS BRUTOS'!EE$3:EE$500)+IF($C39="",0,SUMIF('DADOS BRUTOS'!$A$3:$A$500,$C39,'DADOS BRUTOS'!EE$3:EE$500)))</f>
        <v>0</v>
      </c>
      <c r="HF39" s="133" t="n">
        <f aca="false">IF(OR(HF$4="",$B39=""),0,SUMIF('DADOS BRUTOS'!$A$3:$A$500,$B39,'DADOS BRUTOS'!EF$3:EF$500)+IF($C39="",0,SUMIF('DADOS BRUTOS'!$A$3:$A$500,$C39,'DADOS BRUTOS'!EF$3:EF$500)))</f>
        <v>0</v>
      </c>
      <c r="HG39" s="133" t="n">
        <f aca="false">IF(OR(HG$4="",$B39=""),0,SUMIF('DADOS BRUTOS'!$A$3:$A$500,$B39,'DADOS BRUTOS'!EG$3:EG$500)+IF($C39="",0,SUMIF('DADOS BRUTOS'!$A$3:$A$500,$C39,'DADOS BRUTOS'!EG$3:EG$500)))</f>
        <v>0</v>
      </c>
      <c r="HH39" s="133" t="n">
        <f aca="false">IF(OR(HH$4="",$B39=""),0,SUMIF('DADOS BRUTOS'!$A$3:$A$500,$B39,'DADOS BRUTOS'!EH$3:EH$500)+IF($C39="",0,SUMIF('DADOS BRUTOS'!$A$3:$A$500,$C39,'DADOS BRUTOS'!EH$3:EH$500)))</f>
        <v>0</v>
      </c>
      <c r="HI39" s="133" t="n">
        <f aca="false">IF(OR(HI$4="",$B39=""),0,SUMIF('DADOS BRUTOS'!$A$3:$A$500,$B39,'DADOS BRUTOS'!EI$3:EI$500)+IF($C39="",0,SUMIF('DADOS BRUTOS'!$A$3:$A$500,$C39,'DADOS BRUTOS'!EI$3:EI$500)))</f>
        <v>0</v>
      </c>
      <c r="HJ39" s="133" t="n">
        <f aca="false">IF(OR(HJ$4="",$B39=""),0,SUMIF('DADOS BRUTOS'!$A$3:$A$500,$B39,'DADOS BRUTOS'!EJ$3:EJ$500)+IF($C39="",0,SUMIF('DADOS BRUTOS'!$A$3:$A$500,$C39,'DADOS BRUTOS'!EJ$3:EJ$500)))</f>
        <v>0</v>
      </c>
      <c r="HK39" s="133" t="n">
        <f aca="false">IF(OR(HK$4="",$B39=""),0,SUMIF('DADOS BRUTOS'!$A$3:$A$500,$B39,'DADOS BRUTOS'!EK$3:EK$500)+IF($C39="",0,SUMIF('DADOS BRUTOS'!$A$3:$A$500,$C39,'DADOS BRUTOS'!EK$3:EK$500)))</f>
        <v>0</v>
      </c>
      <c r="HL39" s="133" t="n">
        <f aca="false">IF(OR(HL$4="",$B39=""),0,SUMIF('DADOS BRUTOS'!$A$3:$A$500,$B39,'DADOS BRUTOS'!EL$3:EL$500)+IF($C39="",0,SUMIF('DADOS BRUTOS'!$A$3:$A$500,$C39,'DADOS BRUTOS'!EL$3:EL$500)))</f>
        <v>0</v>
      </c>
      <c r="HM39" s="133" t="n">
        <f aca="false">IF(OR(HM$4="",$B39=""),0,SUMIF('DADOS BRUTOS'!$A$3:$A$500,$B39,'DADOS BRUTOS'!EM$3:EM$500)+IF($C39="",0,SUMIF('DADOS BRUTOS'!$A$3:$A$500,$C39,'DADOS BRUTOS'!EM$3:EM$500)))</f>
        <v>0</v>
      </c>
      <c r="HN39" s="133" t="n">
        <f aca="false">IF(OR(HN$4="",$B39=""),0,SUMIF('DADOS BRUTOS'!$A$3:$A$500,$B39,'DADOS BRUTOS'!EN$3:EN$500)+IF($C39="",0,SUMIF('DADOS BRUTOS'!$A$3:$A$500,$C39,'DADOS BRUTOS'!EN$3:EN$500)))</f>
        <v>0</v>
      </c>
      <c r="HO39" s="133" t="n">
        <f aca="false">IF(OR(HO$4="",$B39=""),0,SUMIF('DADOS BRUTOS'!$A$3:$A$500,$B39,'DADOS BRUTOS'!EO$3:EO$500)+IF($C39="",0,SUMIF('DADOS BRUTOS'!$A$3:$A$500,$C39,'DADOS BRUTOS'!EO$3:EO$500)))</f>
        <v>0</v>
      </c>
      <c r="HP39" s="133" t="n">
        <f aca="false">IF(OR(HP$4="",$B39=""),0,SUMIF('DADOS BRUTOS'!$A$3:$A$500,$B39,'DADOS BRUTOS'!EP$3:EP$500)+IF($C39="",0,SUMIF('DADOS BRUTOS'!$A$3:$A$500,$C39,'DADOS BRUTOS'!EP$3:EP$500)))</f>
        <v>0</v>
      </c>
      <c r="HQ39" s="133" t="n">
        <f aca="false">IF(OR(HQ$4="",$B39=""),0,SUMIF('DADOS BRUTOS'!$A$3:$A$500,$B39,'DADOS BRUTOS'!EQ$3:EQ$500)+IF($C39="",0,SUMIF('DADOS BRUTOS'!$A$3:$A$500,$C39,'DADOS BRUTOS'!EQ$3:EQ$500)))</f>
        <v>0</v>
      </c>
      <c r="HR39" s="133" t="n">
        <f aca="false">IF(OR(HR$4="",$B39=""),0,SUMIF('DADOS BRUTOS'!$A$3:$A$500,$B39,'DADOS BRUTOS'!ER$3:ER$500)+IF($C39="",0,SUMIF('DADOS BRUTOS'!$A$3:$A$500,$C39,'DADOS BRUTOS'!ER$3:ER$500)))</f>
        <v>0</v>
      </c>
      <c r="HS39" s="133" t="n">
        <f aca="false">IF(OR(HS$4="",$B39=""),0,SUMIF('DADOS BRUTOS'!$A$3:$A$500,$B39,'DADOS BRUTOS'!ES$3:ES$500)+IF($C39="",0,SUMIF('DADOS BRUTOS'!$A$3:$A$500,$C39,'DADOS BRUTOS'!ES$3:ES$500)))</f>
        <v>0</v>
      </c>
      <c r="HT39" s="133" t="n">
        <f aca="false">IF(OR(HT$4="",$B39=""),0,SUMIF('DADOS BRUTOS'!$A$3:$A$500,$B39,'DADOS BRUTOS'!ET$3:ET$500)+IF($C39="",0,SUMIF('DADOS BRUTOS'!$A$3:$A$500,$C39,'DADOS BRUTOS'!ET$3:ET$500)))</f>
        <v>0</v>
      </c>
      <c r="HU39" s="133" t="n">
        <f aca="false">IF(OR(HU$4="",$B39=""),0,SUMIF('DADOS BRUTOS'!$A$3:$A$500,$B39,'DADOS BRUTOS'!EU$3:EU$500)+IF($C39="",0,SUMIF('DADOS BRUTOS'!$A$3:$A$500,$C39,'DADOS BRUTOS'!EU$3:EU$500)))</f>
        <v>0</v>
      </c>
      <c r="HV39" s="133" t="n">
        <f aca="false">IF(OR(HV$4="",$B39=""),0,SUMIF('DADOS BRUTOS'!$A$3:$A$500,$B39,'DADOS BRUTOS'!EV$3:EV$500)+IF($C39="",0,SUMIF('DADOS BRUTOS'!$A$3:$A$500,$C39,'DADOS BRUTOS'!EV$3:EV$500)))</f>
        <v>0</v>
      </c>
      <c r="HW39" s="133" t="n">
        <f aca="false">IF(OR(HW$4="",$B39=""),0,SUMIF('DADOS BRUTOS'!$A$3:$A$500,$B39,'DADOS BRUTOS'!EW$3:EW$500)+IF($C39="",0,SUMIF('DADOS BRUTOS'!$A$3:$A$500,$C39,'DADOS BRUTOS'!EW$3:EW$500)))</f>
        <v>0</v>
      </c>
      <c r="HX39" s="133" t="n">
        <f aca="false">IF(OR(HX$4="",$B39=""),0,SUMIF('DADOS BRUTOS'!$A$3:$A$500,$B39,'DADOS BRUTOS'!EX$3:EX$500)+IF($C39="",0,SUMIF('DADOS BRUTOS'!$A$3:$A$500,$C39,'DADOS BRUTOS'!EX$3:EX$500)))</f>
        <v>0</v>
      </c>
      <c r="HY39" s="133" t="n">
        <f aca="false">IF(OR(HY$4="",$B39=""),0,SUMIF('DADOS BRUTOS'!$A$3:$A$500,$B39,'DADOS BRUTOS'!EY$3:EY$500)+IF($C39="",0,SUMIF('DADOS BRUTOS'!$A$3:$A$500,$C39,'DADOS BRUTOS'!EY$3:EY$500)))</f>
        <v>0</v>
      </c>
      <c r="HZ39" s="133" t="n">
        <f aca="false">IF(OR(HZ$4="",$B39=""),0,SUMIF('DADOS BRUTOS'!$A$3:$A$500,$B39,'DADOS BRUTOS'!EZ$3:EZ$500)+IF($C39="",0,SUMIF('DADOS BRUTOS'!$A$3:$A$500,$C39,'DADOS BRUTOS'!EZ$3:EZ$500)))</f>
        <v>0</v>
      </c>
      <c r="IA39" s="133" t="n">
        <f aca="false">IF(OR(IA$4="",$B39=""),0,SUMIF('DADOS BRUTOS'!$A$3:$A$500,$B39,'DADOS BRUTOS'!FA$3:FA$500)+IF($C39="",0,SUMIF('DADOS BRUTOS'!$A$3:$A$500,$C39,'DADOS BRUTOS'!FA$3:FA$500)))</f>
        <v>0</v>
      </c>
      <c r="IB39" s="133" t="n">
        <f aca="false">IF(OR(IB$4="",$B39=""),0,SUMIF('DADOS BRUTOS'!$A$3:$A$500,$B39,'DADOS BRUTOS'!FB$3:FB$500)+IF($C39="",0,SUMIF('DADOS BRUTOS'!$A$3:$A$500,$C39,'DADOS BRUTOS'!FB$3:FB$500)))</f>
        <v>0</v>
      </c>
      <c r="IC39" s="133" t="n">
        <f aca="false">IF(OR(IC$4="",$B39=""),0,SUMIF('DADOS BRUTOS'!$A$3:$A$500,$B39,'DADOS BRUTOS'!FC$3:FC$500)+IF($C39="",0,SUMIF('DADOS BRUTOS'!$A$3:$A$500,$C39,'DADOS BRUTOS'!FC$3:FC$500)))</f>
        <v>0</v>
      </c>
      <c r="ID39" s="133" t="n">
        <f aca="false">IF(OR(ID$4="",$B39=""),0,SUMIF('DADOS BRUTOS'!$A$3:$A$500,$B39,'DADOS BRUTOS'!FD$3:FD$500)+IF($C39="",0,SUMIF('DADOS BRUTOS'!$A$3:$A$500,$C39,'DADOS BRUTOS'!FD$3:FD$500)))</f>
        <v>0</v>
      </c>
      <c r="IE39" s="133" t="n">
        <f aca="false">IF(OR(IE$4="",$B39=""),0,SUMIF('DADOS BRUTOS'!$A$3:$A$500,$B39,'DADOS BRUTOS'!FE$3:FE$500)+IF($C39="",0,SUMIF('DADOS BRUTOS'!$A$3:$A$500,$C39,'DADOS BRUTOS'!FE$3:FE$500)))</f>
        <v>0</v>
      </c>
      <c r="IF39" s="133" t="n">
        <f aca="false">IF(OR(IF$4="",$B39=""),0,SUMIF('DADOS BRUTOS'!$A$3:$A$500,$B39,'DADOS BRUTOS'!FF$3:FF$500)+IF($C39="",0,SUMIF('DADOS BRUTOS'!$A$3:$A$500,$C39,'DADOS BRUTOS'!FF$3:FF$500)))</f>
        <v>0</v>
      </c>
      <c r="IG39" s="133" t="n">
        <f aca="false">IF(OR(IG$4="",$B39=""),0,SUMIF('DADOS BRUTOS'!$A$3:$A$500,$B39,'DADOS BRUTOS'!FG$3:FG$500)+IF($C39="",0,SUMIF('DADOS BRUTOS'!$A$3:$A$500,$C39,'DADOS BRUTOS'!FG$3:FG$500)))</f>
        <v>0</v>
      </c>
      <c r="IH39" s="133" t="n">
        <f aca="false">IF(OR(IH$4="",$B39=""),0,SUMIF('DADOS BRUTOS'!$A$3:$A$500,$B39,'DADOS BRUTOS'!FH$3:FH$500)+IF($C39="",0,SUMIF('DADOS BRUTOS'!$A$3:$A$500,$C39,'DADOS BRUTOS'!FH$3:FH$500)))</f>
        <v>0</v>
      </c>
      <c r="II39" s="133" t="n">
        <f aca="false">IF(OR(II$4="",$B39=""),0,SUMIF('DADOS BRUTOS'!$A$3:$A$500,$B39,'DADOS BRUTOS'!FI$3:FI$500)+IF($C39="",0,SUMIF('DADOS BRUTOS'!$A$3:$A$500,$C39,'DADOS BRUTOS'!FI$3:FI$500)))</f>
        <v>0</v>
      </c>
      <c r="IJ39" s="133" t="n">
        <f aca="false">IF(OR(IJ$4="",$B39=""),0,SUMIF('DADOS BRUTOS'!$A$3:$A$500,$B39,'DADOS BRUTOS'!FJ$3:FJ$500)+IF($C39="",0,SUMIF('DADOS BRUTOS'!$A$3:$A$500,$C39,'DADOS BRUTOS'!FJ$3:FJ$500)))</f>
        <v>0</v>
      </c>
      <c r="IK39" s="133" t="n">
        <f aca="false">IF(OR(IK$4="",$B39=""),0,SUMIF('DADOS BRUTOS'!$A$3:$A$500,$B39,'DADOS BRUTOS'!FK$3:FK$500)+IF($C39="",0,SUMIF('DADOS BRUTOS'!$A$3:$A$500,$C39,'DADOS BRUTOS'!FK$3:FK$500)))</f>
        <v>0</v>
      </c>
      <c r="IL39" s="133" t="n">
        <f aca="false">IF(OR(IL$4="",$B39=""),0,SUMIF('DADOS BRUTOS'!$A$3:$A$500,$B39,'DADOS BRUTOS'!FL$3:FL$500)+IF($C39="",0,SUMIF('DADOS BRUTOS'!$A$3:$A$500,$C39,'DADOS BRUTOS'!FL$3:FL$500)))</f>
        <v>0</v>
      </c>
      <c r="IM39" s="133" t="n">
        <f aca="false">IF(OR(IM$4="",$B39=""),0,SUMIF('DADOS BRUTOS'!$A$3:$A$500,$B39,'DADOS BRUTOS'!FM$3:FM$500)+IF($C39="",0,SUMIF('DADOS BRUTOS'!$A$3:$A$500,$C39,'DADOS BRUTOS'!FM$3:FM$500)))</f>
        <v>0</v>
      </c>
      <c r="IN39" s="133" t="n">
        <f aca="false">IF(OR(IN$4="",$B39=""),0,SUMIF('DADOS BRUTOS'!$A$3:$A$500,$B39,'DADOS BRUTOS'!FN$3:FN$500)+IF($C39="",0,SUMIF('DADOS BRUTOS'!$A$3:$A$500,$C39,'DADOS BRUTOS'!FN$3:FN$500)))</f>
        <v>0</v>
      </c>
      <c r="IO39" s="133" t="n">
        <f aca="false">IF(OR(IO$4="",$B39=""),0,SUMIF('DADOS BRUTOS'!$A$3:$A$500,$B39,'DADOS BRUTOS'!FO$3:FO$500)+IF($C39="",0,SUMIF('DADOS BRUTOS'!$A$3:$A$500,$C39,'DADOS BRUTOS'!FO$3:FO$500)))</f>
        <v>0</v>
      </c>
      <c r="IP39" s="133" t="n">
        <f aca="false">IF(OR(IP$4="",$B39=""),0,SUMIF('DADOS BRUTOS'!$A$3:$A$500,$B39,'DADOS BRUTOS'!FP$3:FP$500)+IF($C39="",0,SUMIF('DADOS BRUTOS'!$A$3:$A$500,$C39,'DADOS BRUTOS'!FP$3:FP$500)))</f>
        <v>0</v>
      </c>
      <c r="IQ39" s="133" t="n">
        <f aca="false">IF(OR(IQ$4="",$B39=""),0,SUMIF('DADOS BRUTOS'!$A$3:$A$500,$B39,'DADOS BRUTOS'!FQ$3:FQ$500)+IF($C39="",0,SUMIF('DADOS BRUTOS'!$A$3:$A$500,$C39,'DADOS BRUTOS'!FQ$3:FQ$500)))</f>
        <v>0</v>
      </c>
      <c r="IR39" s="133" t="n">
        <f aca="false">IF(OR(IR$4="",$B39=""),0,SUMIF('DADOS BRUTOS'!$A$3:$A$500,$B39,'DADOS BRUTOS'!FR$3:FR$500)+IF($C39="",0,SUMIF('DADOS BRUTOS'!$A$3:$A$500,$C39,'DADOS BRUTOS'!FR$3:FR$500)))</f>
        <v>0</v>
      </c>
      <c r="IS39" s="133" t="n">
        <f aca="false">IF(OR(IS$4="",$B39=""),0,SUMIF('DADOS BRUTOS'!$A$3:$A$500,$B39,'DADOS BRUTOS'!FS$3:FS$500)+IF($C39="",0,SUMIF('DADOS BRUTOS'!$A$3:$A$500,$C39,'DADOS BRUTOS'!FS$3:FS$500)))</f>
        <v>0</v>
      </c>
      <c r="IT39" s="133" t="n">
        <f aca="false">IF(OR(IT$4="",$B39=""),0,SUMIF('DADOS BRUTOS'!$A$3:$A$500,$B39,'DADOS BRUTOS'!FT$3:FT$500)+IF($C39="",0,SUMIF('DADOS BRUTOS'!$A$3:$A$500,$C39,'DADOS BRUTOS'!FT$3:FT$500)))</f>
        <v>0</v>
      </c>
      <c r="IU39" s="133" t="n">
        <f aca="false">IF(OR(IU$4="",$B39=""),0,SUMIF('DADOS BRUTOS'!$A$3:$A$500,$B39,'DADOS BRUTOS'!FU$3:FU$500)+IF($C39="",0,SUMIF('DADOS BRUTOS'!$A$3:$A$500,$C39,'DADOS BRUTOS'!FU$3:FU$500)))</f>
        <v>0</v>
      </c>
      <c r="IV39" s="133" t="n">
        <f aca="false">IF(OR(IV$4="",$B39=""),0,SUMIF('DADOS BRUTOS'!$A$3:$A$500,$B39,'DADOS BRUTOS'!FV$3:FV$500)+IF($C39="",0,SUMIF('DADOS BRUTOS'!$A$3:$A$500,$C39,'DADOS BRUTOS'!FV$3:FV$500)))</f>
        <v>0</v>
      </c>
      <c r="IW39" s="133" t="n">
        <f aca="false">IF(OR(IW$4="",$B39=""),0,SUMIF('DADOS BRUTOS'!$A$3:$A$500,$B39,'DADOS BRUTOS'!FW$3:FW$500)+IF($C39="",0,SUMIF('DADOS BRUTOS'!$A$3:$A$500,$C39,'DADOS BRUTOS'!FW$3:FW$500)))</f>
        <v>0</v>
      </c>
      <c r="IX39" s="133" t="n">
        <f aca="false">IF(OR(IX$4="",$B39=""),0,SUMIF('DADOS BRUTOS'!$A$3:$A$500,$B39,'DADOS BRUTOS'!FX$3:FX$500)+IF($C39="",0,SUMIF('DADOS BRUTOS'!$A$3:$A$500,$C39,'DADOS BRUTOS'!FX$3:FX$500)))</f>
        <v>0</v>
      </c>
      <c r="IY39" s="133" t="n">
        <f aca="false">IF(OR(IY$4="",$B39=""),0,SUMIF('DADOS BRUTOS'!$A$3:$A$500,$B39,'DADOS BRUTOS'!FY$3:FY$500)+IF($C39="",0,SUMIF('DADOS BRUTOS'!$A$3:$A$500,$C39,'DADOS BRUTOS'!FY$3:FY$500)))</f>
        <v>0</v>
      </c>
      <c r="IZ39" s="133" t="n">
        <f aca="false">IF(OR(IZ$4="",$B39=""),0,SUMIF('DADOS BRUTOS'!$A$3:$A$500,$B39,'DADOS BRUTOS'!FZ$3:FZ$500)+IF($C39="",0,SUMIF('DADOS BRUTOS'!$A$3:$A$500,$C39,'DADOS BRUTOS'!FZ$3:FZ$500)))</f>
        <v>0</v>
      </c>
      <c r="JA39" s="133" t="n">
        <f aca="false">IF(OR(JA$4="",$B39=""),0,SUMIF('DADOS BRUTOS'!$A$3:$A$500,$B39,'DADOS BRUTOS'!GA$3:GA$500)+IF($C39="",0,SUMIF('DADOS BRUTOS'!$A$3:$A$500,$C39,'DADOS BRUTOS'!GA$3:GA$500)))</f>
        <v>0</v>
      </c>
      <c r="JB39" s="133" t="n">
        <f aca="false">IF(OR(JB$4="",$B39=""),0,SUMIF('DADOS BRUTOS'!$A$3:$A$500,$B39,'DADOS BRUTOS'!GB$3:GB$500)+IF($C39="",0,SUMIF('DADOS BRUTOS'!$A$3:$A$500,$C39,'DADOS BRUTOS'!GB$3:GB$500)))</f>
        <v>0</v>
      </c>
      <c r="JC39" s="133" t="n">
        <f aca="false">IF(OR(JC$4="",$B39=""),0,SUMIF('DADOS BRUTOS'!$A$3:$A$500,$B39,'DADOS BRUTOS'!GC$3:GC$500)+IF($C39="",0,SUMIF('DADOS BRUTOS'!$A$3:$A$500,$C39,'DADOS BRUTOS'!GC$3:GC$500)))</f>
        <v>0</v>
      </c>
      <c r="JD39" s="133" t="n">
        <f aca="false">IF(OR(JD$4="",$B39=""),0,SUMIF('DADOS BRUTOS'!$A$3:$A$500,$B39,'DADOS BRUTOS'!GD$3:GD$500)+IF($C39="",0,SUMIF('DADOS BRUTOS'!$A$3:$A$500,$C39,'DADOS BRUTOS'!GD$3:GD$500)))</f>
        <v>0</v>
      </c>
      <c r="JE39" s="133" t="n">
        <f aca="false">IF(OR(JE$4="",$B39=""),0,SUMIF('DADOS BRUTOS'!$A$3:$A$500,$B39,'DADOS BRUTOS'!GE$3:GE$500)+IF($C39="",0,SUMIF('DADOS BRUTOS'!$A$3:$A$500,$C39,'DADOS BRUTOS'!GE$3:GE$500)))</f>
        <v>0</v>
      </c>
      <c r="JF39" s="133" t="n">
        <f aca="false">IF(OR(JF$4="",$B39=""),0,SUMIF('DADOS BRUTOS'!$A$3:$A$500,$B39,'DADOS BRUTOS'!GF$3:GF$500)+IF($C39="",0,SUMIF('DADOS BRUTOS'!$A$3:$A$500,$C39,'DADOS BRUTOS'!GF$3:GF$500)))</f>
        <v>0</v>
      </c>
      <c r="JG39" s="133" t="n">
        <f aca="false">IF(OR(JG$4="",$B39=""),0,SUMIF('DADOS BRUTOS'!$A$3:$A$500,$B39,'DADOS BRUTOS'!GG$3:GG$500)+IF($C39="",0,SUMIF('DADOS BRUTOS'!$A$3:$A$500,$C39,'DADOS BRUTOS'!GG$3:GG$500)))</f>
        <v>0</v>
      </c>
      <c r="JH39" s="133" t="n">
        <f aca="false">IF(OR(JH$4="",$B39=""),0,SUMIF('DADOS BRUTOS'!$A$3:$A$500,$B39,'DADOS BRUTOS'!GH$3:GH$500)+IF($C39="",0,SUMIF('DADOS BRUTOS'!$A$3:$A$500,$C39,'DADOS BRUTOS'!GH$3:GH$500)))</f>
        <v>0</v>
      </c>
      <c r="JI39" s="133" t="n">
        <f aca="false">IF(OR(JI$4="",$B39=""),0,SUMIF('DADOS BRUTOS'!$A$3:$A$500,$B39,'DADOS BRUTOS'!GI$3:GI$500)+IF($C39="",0,SUMIF('DADOS BRUTOS'!$A$3:$A$500,$C39,'DADOS BRUTOS'!GI$3:GI$500)))</f>
        <v>0</v>
      </c>
      <c r="JJ39" s="133" t="n">
        <f aca="false">IF(OR(JJ$4="",$B39=""),0,SUMIF('DADOS BRUTOS'!$A$3:$A$500,$B39,'DADOS BRUTOS'!GJ$3:GJ$500)+IF($C39="",0,SUMIF('DADOS BRUTOS'!$A$3:$A$500,$C39,'DADOS BRUTOS'!GJ$3:GJ$500)))</f>
        <v>0</v>
      </c>
      <c r="JK39" s="133" t="n">
        <f aca="false">IF(OR(JK$4="",$B39=""),0,SUMIF('DADOS BRUTOS'!$A$3:$A$500,$B39,'DADOS BRUTOS'!GK$3:GK$500)+IF($C39="",0,SUMIF('DADOS BRUTOS'!$A$3:$A$500,$C39,'DADOS BRUTOS'!GK$3:GK$500)))</f>
        <v>0</v>
      </c>
      <c r="JL39" s="133" t="n">
        <f aca="false">IF(OR(JL$4="",$B39=""),0,SUMIF('DADOS BRUTOS'!$A$3:$A$500,$B39,'DADOS BRUTOS'!GL$3:GL$500)+IF($C39="",0,SUMIF('DADOS BRUTOS'!$A$3:$A$500,$C39,'DADOS BRUTOS'!GL$3:GL$500)))</f>
        <v>0</v>
      </c>
      <c r="JM39" s="133" t="n">
        <f aca="false">IF(OR(JM$4="",$B39=""),0,SUMIF('DADOS BRUTOS'!$A$3:$A$500,$B39,'DADOS BRUTOS'!GM$3:GM$500)+IF($C39="",0,SUMIF('DADOS BRUTOS'!$A$3:$A$500,$C39,'DADOS BRUTOS'!GM$3:GM$500)))</f>
        <v>0</v>
      </c>
      <c r="JN39" s="133" t="n">
        <f aca="false">IF(OR(JN$4="",$B39=""),0,SUMIF('DADOS BRUTOS'!$A$3:$A$500,$B39,'DADOS BRUTOS'!GN$3:GN$500)+IF($C39="",0,SUMIF('DADOS BRUTOS'!$A$3:$A$500,$C39,'DADOS BRUTOS'!GN$3:GN$500)))</f>
        <v>0</v>
      </c>
      <c r="JO39" s="133" t="n">
        <f aca="false">IF(OR(JO$4="",$B39=""),0,SUMIF('DADOS BRUTOS'!$A$3:$A$500,$B39,'DADOS BRUTOS'!GO$3:GO$500)+IF($C39="",0,SUMIF('DADOS BRUTOS'!$A$3:$A$500,$C39,'DADOS BRUTOS'!GO$3:GO$500)))</f>
        <v>0</v>
      </c>
      <c r="JP39" s="133" t="n">
        <f aca="false">IF(OR(JP$4="",$B39=""),0,SUMIF('DADOS BRUTOS'!$A$3:$A$500,$B39,'DADOS BRUTOS'!GP$3:GP$500)+IF($C39="",0,SUMIF('DADOS BRUTOS'!$A$3:$A$500,$C39,'DADOS BRUTOS'!GP$3:GP$500)))</f>
        <v>0</v>
      </c>
      <c r="JQ39" s="133" t="n">
        <f aca="false">IF(OR(JQ$4="",$B39=""),0,SUMIF('DADOS BRUTOS'!$A$3:$A$500,$B39,'DADOS BRUTOS'!GQ$3:GQ$500)+IF($C39="",0,SUMIF('DADOS BRUTOS'!$A$3:$A$500,$C39,'DADOS BRUTOS'!GQ$3:GQ$500)))</f>
        <v>0</v>
      </c>
      <c r="JR39" s="133" t="n">
        <f aca="false">IF(OR(JR$4="",$B39=""),0,SUMIF('DADOS BRUTOS'!$A$3:$A$500,$B39,'DADOS BRUTOS'!GR$3:GR$500)+IF($C39="",0,SUMIF('DADOS BRUTOS'!$A$3:$A$500,$C39,'DADOS BRUTOS'!GR$3:GR$500)))</f>
        <v>0</v>
      </c>
      <c r="JS39" s="133" t="n">
        <f aca="false">IF(OR(JS$4="",$B39=""),0,SUMIF('DADOS BRUTOS'!$A$3:$A$500,$B39,'DADOS BRUTOS'!GS$3:GS$500)+IF($C39="",0,SUMIF('DADOS BRUTOS'!$A$3:$A$500,$C39,'DADOS BRUTOS'!GS$3:GS$500)))</f>
        <v>0</v>
      </c>
    </row>
    <row r="40" customFormat="false" ht="15" hidden="false" customHeight="false" outlineLevel="0" collapsed="false">
      <c r="A40" s="57" t="str">
        <f aca="false">'VALOR POR PL'!D46</f>
        <v>PAISAGISMO</v>
      </c>
      <c r="B40" s="55" t="s">
        <v>228</v>
      </c>
      <c r="C40" s="55"/>
      <c r="D40" s="50" t="n">
        <f aca="false">SUMIF($CB$4:$JS$4,"&lt;="&amp;D$4,$CB40:$JS40)</f>
        <v>0</v>
      </c>
      <c r="E40" s="50" t="n">
        <f aca="false">SUMIF($CB$4:$JS$4,E$4,$CB40:$JS40)</f>
        <v>0</v>
      </c>
      <c r="F40" s="50" t="n">
        <f aca="false">SUMIF($CB$4:$JS$4,F$4,$CB40:$JS40)</f>
        <v>0</v>
      </c>
      <c r="G40" s="50" t="n">
        <f aca="false">SUMIF($CB$4:$JS$4,G$4,$CB40:$JS40)</f>
        <v>0</v>
      </c>
      <c r="H40" s="50" t="n">
        <f aca="false">SUMIF($CB$4:$JS$4,H$4,$CB40:$JS40)</f>
        <v>0</v>
      </c>
      <c r="I40" s="50" t="n">
        <f aca="false">SUMIF($CB$4:$JS$4,I$4,$CB40:$JS40)</f>
        <v>0</v>
      </c>
      <c r="J40" s="50" t="n">
        <f aca="false">SUMIF($CB$4:$JS$4,J$4,$CB40:$JS40)</f>
        <v>0</v>
      </c>
      <c r="K40" s="50" t="n">
        <f aca="false">SUMIF($CB$4:$JS$4,K$4,$CB40:$JS40)</f>
        <v>0</v>
      </c>
      <c r="L40" s="50" t="n">
        <f aca="false">SUMIF($CB$4:$JS$4,L$4,$CB40:$JS40)</f>
        <v>0</v>
      </c>
      <c r="M40" s="50" t="n">
        <f aca="false">SUMIF($CB$4:$JS$4,M$4,$CB40:$JS40)</f>
        <v>0</v>
      </c>
      <c r="N40" s="50" t="n">
        <f aca="false">SUMIF($CB$4:$JS$4,N$4,$CB40:$JS40)</f>
        <v>0</v>
      </c>
      <c r="O40" s="50" t="n">
        <f aca="false">SUMIF($CB$4:$JS$4,O$4,$CB40:$JS40)</f>
        <v>0</v>
      </c>
      <c r="P40" s="50" t="n">
        <f aca="false">SUMIF($CB$4:$JS$4,P$4,$CB40:$JS40)</f>
        <v>0</v>
      </c>
      <c r="Q40" s="50" t="n">
        <f aca="false">SUMIF($CB$4:$JS$4,Q$4,$CB40:$JS40)</f>
        <v>0</v>
      </c>
      <c r="R40" s="50" t="n">
        <f aca="false">SUMIF($CB$4:$JS$4,R$4,$CB40:$JS40)</f>
        <v>0</v>
      </c>
      <c r="S40" s="50" t="n">
        <f aca="false">SUMIF($CB$4:$JS$4,S$4,$CB40:$JS40)</f>
        <v>0</v>
      </c>
      <c r="T40" s="50" t="n">
        <f aca="false">SUMIF($CB$4:$JS$4,T$4,$CB40:$JS40)</f>
        <v>0</v>
      </c>
      <c r="U40" s="50" t="n">
        <f aca="false">SUMIF($CB$4:$JS$4,U$4,$CB40:$JS40)</f>
        <v>0</v>
      </c>
      <c r="V40" s="50" t="n">
        <f aca="false">SUMIF($CB$4:$JS$4,V$4,$CB40:$JS40)</f>
        <v>0</v>
      </c>
      <c r="W40" s="50" t="n">
        <f aca="false">SUMIF($CB$4:$JS$4,W$4,$CB40:$JS40)</f>
        <v>0</v>
      </c>
      <c r="X40" s="50" t="n">
        <f aca="false">SUMIF($CB$4:$JS$4,X$4,$CB40:$JS40)</f>
        <v>0</v>
      </c>
      <c r="Y40" s="50" t="n">
        <f aca="false">SUMIF($CB$4:$JS$4,Y$4,$CB40:$JS40)</f>
        <v>0</v>
      </c>
      <c r="Z40" s="50" t="n">
        <f aca="false">SUMIF($CB$4:$JS$4,Z$4,$CB40:$JS40)</f>
        <v>0</v>
      </c>
      <c r="AA40" s="50" t="n">
        <f aca="false">SUMIF($CB$4:$JS$4,AA$4,$CB40:$JS40)</f>
        <v>0</v>
      </c>
      <c r="AB40" s="50" t="n">
        <f aca="false">SUMIF($CB$4:$JS$4,AB$4,$CB40:$JS40)</f>
        <v>0</v>
      </c>
      <c r="AC40" s="50" t="n">
        <f aca="false">SUMIF($CB$4:$JS$4,AC$4,$CB40:$JS40)</f>
        <v>0</v>
      </c>
      <c r="AD40" s="50" t="n">
        <f aca="false">SUMIF($CB$4:$JS$4,AD$4,$CB40:$JS40)</f>
        <v>0</v>
      </c>
      <c r="AE40" s="50" t="n">
        <f aca="false">SUMIF($CB$4:$JS$4,AE$4,$CB40:$JS40)</f>
        <v>0</v>
      </c>
      <c r="AF40" s="50" t="n">
        <f aca="false">SUMIF($CB$4:$JS$4,AF$4,$CB40:$JS40)</f>
        <v>0</v>
      </c>
      <c r="AG40" s="50" t="n">
        <f aca="false">SUMIF($CB$4:$JS$4,AG$4,$CB40:$JS40)</f>
        <v>0</v>
      </c>
      <c r="AH40" s="50" t="n">
        <f aca="false">SUMIF($CB$4:$JS$4,AH$4,$CB40:$JS40)</f>
        <v>0</v>
      </c>
      <c r="AI40" s="50" t="n">
        <f aca="false">SUMIF($CB$4:$JS$4,AI$4,$CB40:$JS40)</f>
        <v>0</v>
      </c>
      <c r="AJ40" s="50" t="n">
        <f aca="false">SUMIF($CB$4:$JS$4,AJ$4,$CB40:$JS40)</f>
        <v>0</v>
      </c>
      <c r="AK40" s="50" t="n">
        <f aca="false">SUMIF($CB$4:$JS$4,AK$4,$CB40:$JS40)</f>
        <v>0</v>
      </c>
      <c r="AL40" s="50" t="n">
        <f aca="false">SUMIF($CB$4:$JS$4,AL$4,$CB40:$JS40)</f>
        <v>0</v>
      </c>
      <c r="AM40" s="50" t="n">
        <f aca="false">SUMIF($CB$4:$JS$4,AM$4,$CB40:$JS40)</f>
        <v>0</v>
      </c>
      <c r="AN40" s="50" t="n">
        <f aca="false">SUMIF($CB$4:$JS$4,AN$4,$CB40:$JS40)</f>
        <v>0</v>
      </c>
      <c r="AO40" s="50" t="n">
        <f aca="false">SUMIF($CB$4:$JS$4,AO$4,$CB40:$JS40)</f>
        <v>0</v>
      </c>
      <c r="AP40" s="50" t="n">
        <f aca="false">SUMIF($CB$4:$JS$4,AP$4,$CB40:$JS40)</f>
        <v>0</v>
      </c>
      <c r="AQ40" s="50" t="n">
        <f aca="false">SUMIF($CB$4:$JS$4,AQ$4,$CB40:$JS40)</f>
        <v>0</v>
      </c>
      <c r="AR40" s="50" t="n">
        <f aca="false">SUMIF($CB$4:$JS$4,AR$4,$CB40:$JS40)</f>
        <v>0</v>
      </c>
      <c r="AS40" s="50" t="n">
        <f aca="false">SUMIF($CB$4:$JS$4,AS$4,$CB40:$JS40)</f>
        <v>0</v>
      </c>
      <c r="AT40" s="50" t="n">
        <f aca="false">SUMIF($CB$4:$JS$4,AT$4,$CB40:$JS40)</f>
        <v>0</v>
      </c>
      <c r="AU40" s="50" t="n">
        <f aca="false">SUMIF($CB$4:$JS$4,AU$4,$CB40:$JS40)</f>
        <v>0</v>
      </c>
      <c r="AV40" s="50" t="n">
        <f aca="false">SUMIF($CB$4:$JS$4,AV$4,$CB40:$JS40)</f>
        <v>0</v>
      </c>
      <c r="AW40" s="50" t="n">
        <f aca="false">SUMIF($CB$4:$JS$4,AW$4,$CB40:$JS40)</f>
        <v>0</v>
      </c>
      <c r="AX40" s="50" t="n">
        <f aca="false">SUMIF($CB$4:$JS$4,AX$4,$CB40:$JS40)</f>
        <v>0</v>
      </c>
      <c r="AY40" s="50" t="n">
        <f aca="false">SUMIF($CB$4:$JS$4,AY$4,$CB40:$JS40)</f>
        <v>0</v>
      </c>
      <c r="AZ40" s="50" t="n">
        <f aca="false">SUMIF($CB$4:$JS$4,AZ$4,$CB40:$JS40)</f>
        <v>0</v>
      </c>
      <c r="BA40" s="50" t="n">
        <f aca="false">SUMIF($CB$4:$JS$4,BA$4,$CB40:$JS40)</f>
        <v>0</v>
      </c>
      <c r="BB40" s="50" t="n">
        <f aca="false">SUMIF($CB$4:$JS$4,BB$4,$CB40:$JS40)</f>
        <v>0</v>
      </c>
      <c r="BC40" s="50" t="n">
        <f aca="false">SUMIF($CB$4:$JS$4,BC$4,$CB40:$JS40)</f>
        <v>0</v>
      </c>
      <c r="BD40" s="50" t="n">
        <f aca="false">SUMIF($CB$4:$JS$4,BD$4,$CB40:$JS40)</f>
        <v>0</v>
      </c>
      <c r="BE40" s="50" t="n">
        <f aca="false">SUMIF($CB$4:$JS$4,BE$4,$CB40:$JS40)</f>
        <v>0</v>
      </c>
      <c r="BF40" s="50" t="n">
        <f aca="false">SUMIF($CB$4:$JS$4,BF$4,$CB40:$JS40)</f>
        <v>0</v>
      </c>
      <c r="BG40" s="50" t="n">
        <f aca="false">SUMIF($CB$4:$JS$4,BG$4,$CB40:$JS40)</f>
        <v>0</v>
      </c>
      <c r="BH40" s="50" t="n">
        <f aca="false">SUMIF($CB$4:$JS$4,BH$4,$CB40:$JS40)</f>
        <v>0</v>
      </c>
      <c r="BI40" s="50" t="n">
        <f aca="false">SUMIF($CB$4:$JS$4,BI$4,$CB40:$JS40)</f>
        <v>0</v>
      </c>
      <c r="BJ40" s="50" t="n">
        <f aca="false">SUMIF($CB$4:$JS$4,BJ$4,$CB40:$JS40)</f>
        <v>0</v>
      </c>
      <c r="BK40" s="50" t="n">
        <f aca="false">SUMIF($CB$4:$JS$4,BK$4,$CB40:$JS40)</f>
        <v>0</v>
      </c>
      <c r="BL40" s="50" t="n">
        <f aca="false">SUMIF($CB$4:$JS$4,BL$4,$CB40:$JS40)</f>
        <v>0</v>
      </c>
      <c r="BM40" s="50" t="n">
        <f aca="false">SUMIF($CB$4:$JS$4,BM$4,$CB40:$JS40)</f>
        <v>0</v>
      </c>
      <c r="BN40" s="50" t="n">
        <f aca="false">SUMIF($CB$4:$JS$4,BN$4,$CB40:$JS40)</f>
        <v>0</v>
      </c>
      <c r="BO40" s="50" t="n">
        <f aca="false">SUMIF($CB$4:$JS$4,BO$4,$CB40:$JS40)</f>
        <v>0</v>
      </c>
      <c r="BP40" s="50" t="n">
        <f aca="false">SUMIF($CB$4:$JS$4,BP$4,$CB40:$JS40)</f>
        <v>0</v>
      </c>
      <c r="BQ40" s="50" t="n">
        <f aca="false">SUMIF($CB$4:$JS$4,BQ$4,$CB40:$JS40)</f>
        <v>0</v>
      </c>
      <c r="BR40" s="50" t="n">
        <f aca="false">SUMIF($CB$4:$JS$4,BR$4,$CB40:$JS40)</f>
        <v>0</v>
      </c>
      <c r="BS40" s="50" t="n">
        <f aca="false">SUMIF($CB$4:$JS$4,BS$4,$CB40:$JS40)</f>
        <v>0</v>
      </c>
      <c r="BT40" s="50" t="n">
        <f aca="false">SUMIF($CB$4:$JS$4,BT$4,$CB40:$JS40)</f>
        <v>0</v>
      </c>
      <c r="BU40" s="50" t="n">
        <f aca="false">SUMIF($CB$4:$JS$4,BU$4,$CB40:$JS40)</f>
        <v>0</v>
      </c>
      <c r="BV40" s="50" t="n">
        <f aca="false">SUMIF($CB$4:$JS$4,BV$4,$CB40:$JS40)</f>
        <v>0</v>
      </c>
      <c r="BW40" s="50" t="n">
        <f aca="false">SUMIF($CB$4:$JS$4,BW$4,$CB40:$JS40)</f>
        <v>0</v>
      </c>
      <c r="BX40" s="50" t="n">
        <f aca="false">SUMIF($CB$4:$JS$4,"&gt;"&amp;'VALOR POR PL'!$P$8,$CB40:$JS40)</f>
        <v>0</v>
      </c>
      <c r="BY40" s="50" t="n">
        <f aca="false">SUM($CB40:$JS40)</f>
        <v>0</v>
      </c>
      <c r="BZ40" s="45" t="n">
        <f aca="false">SUMPRODUCT(($CB$4:$JS$4&lt;&gt;"")*($CB$4:$JS$4&lt;=$D$4),$CB40:$JS40,$CB$1:$JS$1)</f>
        <v>0</v>
      </c>
      <c r="CB40" s="133" t="n">
        <f aca="false">IF(OR(CB$4="",$B40=""),0,SUMIF('DADOS BRUTOS'!$A$3:$A$500,$B40,'DADOS BRUTOS'!B$3:B$500)+IF($C40="",0,SUMIF('DADOS BRUTOS'!$A$3:$A$500,$C40,'DADOS BRUTOS'!B$3:B$500)))</f>
        <v>0</v>
      </c>
      <c r="CC40" s="133" t="n">
        <f aca="false">IF(OR(CC$4="",$B40=""),0,SUMIF('DADOS BRUTOS'!$A$3:$A$500,$B40,'DADOS BRUTOS'!C$3:C$500)+IF($C40="",0,SUMIF('DADOS BRUTOS'!$A$3:$A$500,$C40,'DADOS BRUTOS'!C$3:C$500)))</f>
        <v>0</v>
      </c>
      <c r="CD40" s="133" t="n">
        <f aca="false">IF(OR(CD$4="",$B40=""),0,SUMIF('DADOS BRUTOS'!$A$3:$A$500,$B40,'DADOS BRUTOS'!D$3:D$500)+IF($C40="",0,SUMIF('DADOS BRUTOS'!$A$3:$A$500,$C40,'DADOS BRUTOS'!D$3:D$500)))</f>
        <v>0</v>
      </c>
      <c r="CE40" s="133" t="n">
        <f aca="false">IF(OR(CE$4="",$B40=""),0,SUMIF('DADOS BRUTOS'!$A$3:$A$500,$B40,'DADOS BRUTOS'!E$3:E$500)+IF($C40="",0,SUMIF('DADOS BRUTOS'!$A$3:$A$500,$C40,'DADOS BRUTOS'!E$3:E$500)))</f>
        <v>0</v>
      </c>
      <c r="CF40" s="133" t="n">
        <f aca="false">IF(OR(CF$4="",$B40=""),0,SUMIF('DADOS BRUTOS'!$A$3:$A$500,$B40,'DADOS BRUTOS'!F$3:F$500)+IF($C40="",0,SUMIF('DADOS BRUTOS'!$A$3:$A$500,$C40,'DADOS BRUTOS'!F$3:F$500)))</f>
        <v>0</v>
      </c>
      <c r="CG40" s="133" t="n">
        <f aca="false">IF(OR(CG$4="",$B40=""),0,SUMIF('DADOS BRUTOS'!$A$3:$A$500,$B40,'DADOS BRUTOS'!G$3:G$500)+IF($C40="",0,SUMIF('DADOS BRUTOS'!$A$3:$A$500,$C40,'DADOS BRUTOS'!G$3:G$500)))</f>
        <v>0</v>
      </c>
      <c r="CH40" s="133" t="n">
        <f aca="false">IF(OR(CH$4="",$B40=""),0,SUMIF('DADOS BRUTOS'!$A$3:$A$500,$B40,'DADOS BRUTOS'!H$3:H$500)+IF($C40="",0,SUMIF('DADOS BRUTOS'!$A$3:$A$500,$C40,'DADOS BRUTOS'!H$3:H$500)))</f>
        <v>0</v>
      </c>
      <c r="CI40" s="133" t="n">
        <f aca="false">IF(OR(CI$4="",$B40=""),0,SUMIF('DADOS BRUTOS'!$A$3:$A$500,$B40,'DADOS BRUTOS'!I$3:I$500)+IF($C40="",0,SUMIF('DADOS BRUTOS'!$A$3:$A$500,$C40,'DADOS BRUTOS'!I$3:I$500)))</f>
        <v>0</v>
      </c>
      <c r="CJ40" s="133" t="n">
        <f aca="false">IF(OR(CJ$4="",$B40=""),0,SUMIF('DADOS BRUTOS'!$A$3:$A$500,$B40,'DADOS BRUTOS'!J$3:J$500)+IF($C40="",0,SUMIF('DADOS BRUTOS'!$A$3:$A$500,$C40,'DADOS BRUTOS'!J$3:J$500)))</f>
        <v>0</v>
      </c>
      <c r="CK40" s="133" t="n">
        <f aca="false">IF(OR(CK$4="",$B40=""),0,SUMIF('DADOS BRUTOS'!$A$3:$A$500,$B40,'DADOS BRUTOS'!K$3:K$500)+IF($C40="",0,SUMIF('DADOS BRUTOS'!$A$3:$A$500,$C40,'DADOS BRUTOS'!K$3:K$500)))</f>
        <v>0</v>
      </c>
      <c r="CL40" s="133" t="n">
        <f aca="false">IF(OR(CL$4="",$B40=""),0,SUMIF('DADOS BRUTOS'!$A$3:$A$500,$B40,'DADOS BRUTOS'!L$3:L$500)+IF($C40="",0,SUMIF('DADOS BRUTOS'!$A$3:$A$500,$C40,'DADOS BRUTOS'!L$3:L$500)))</f>
        <v>0</v>
      </c>
      <c r="CM40" s="133" t="n">
        <f aca="false">IF(OR(CM$4="",$B40=""),0,SUMIF('DADOS BRUTOS'!$A$3:$A$500,$B40,'DADOS BRUTOS'!M$3:M$500)+IF($C40="",0,SUMIF('DADOS BRUTOS'!$A$3:$A$500,$C40,'DADOS BRUTOS'!M$3:M$500)))</f>
        <v>0</v>
      </c>
      <c r="CN40" s="133" t="n">
        <f aca="false">IF(OR(CN$4="",$B40=""),0,SUMIF('DADOS BRUTOS'!$A$3:$A$500,$B40,'DADOS BRUTOS'!N$3:N$500)+IF($C40="",0,SUMIF('DADOS BRUTOS'!$A$3:$A$500,$C40,'DADOS BRUTOS'!N$3:N$500)))</f>
        <v>0</v>
      </c>
      <c r="CO40" s="133" t="n">
        <f aca="false">IF(OR(CO$4="",$B40=""),0,SUMIF('DADOS BRUTOS'!$A$3:$A$500,$B40,'DADOS BRUTOS'!O$3:O$500)+IF($C40="",0,SUMIF('DADOS BRUTOS'!$A$3:$A$500,$C40,'DADOS BRUTOS'!O$3:O$500)))</f>
        <v>0</v>
      </c>
      <c r="CP40" s="133" t="n">
        <f aca="false">IF(OR(CP$4="",$B40=""),0,SUMIF('DADOS BRUTOS'!$A$3:$A$500,$B40,'DADOS BRUTOS'!P$3:P$500)+IF($C40="",0,SUMIF('DADOS BRUTOS'!$A$3:$A$500,$C40,'DADOS BRUTOS'!P$3:P$500)))</f>
        <v>0</v>
      </c>
      <c r="CQ40" s="133" t="n">
        <f aca="false">IF(OR(CQ$4="",$B40=""),0,SUMIF('DADOS BRUTOS'!$A$3:$A$500,$B40,'DADOS BRUTOS'!Q$3:Q$500)+IF($C40="",0,SUMIF('DADOS BRUTOS'!$A$3:$A$500,$C40,'DADOS BRUTOS'!Q$3:Q$500)))</f>
        <v>0</v>
      </c>
      <c r="CR40" s="133" t="n">
        <f aca="false">IF(OR(CR$4="",$B40=""),0,SUMIF('DADOS BRUTOS'!$A$3:$A$500,$B40,'DADOS BRUTOS'!R$3:R$500)+IF($C40="",0,SUMIF('DADOS BRUTOS'!$A$3:$A$500,$C40,'DADOS BRUTOS'!R$3:R$500)))</f>
        <v>0</v>
      </c>
      <c r="CS40" s="133" t="n">
        <f aca="false">IF(OR(CS$4="",$B40=""),0,SUMIF('DADOS BRUTOS'!$A$3:$A$500,$B40,'DADOS BRUTOS'!S$3:S$500)+IF($C40="",0,SUMIF('DADOS BRUTOS'!$A$3:$A$500,$C40,'DADOS BRUTOS'!S$3:S$500)))</f>
        <v>0</v>
      </c>
      <c r="CT40" s="133" t="n">
        <f aca="false">IF(OR(CT$4="",$B40=""),0,SUMIF('DADOS BRUTOS'!$A$3:$A$500,$B40,'DADOS BRUTOS'!T$3:T$500)+IF($C40="",0,SUMIF('DADOS BRUTOS'!$A$3:$A$500,$C40,'DADOS BRUTOS'!T$3:T$500)))</f>
        <v>0</v>
      </c>
      <c r="CU40" s="133" t="n">
        <f aca="false">IF(OR(CU$4="",$B40=""),0,SUMIF('DADOS BRUTOS'!$A$3:$A$500,$B40,'DADOS BRUTOS'!U$3:U$500)+IF($C40="",0,SUMIF('DADOS BRUTOS'!$A$3:$A$500,$C40,'DADOS BRUTOS'!U$3:U$500)))</f>
        <v>0</v>
      </c>
      <c r="CV40" s="133" t="n">
        <f aca="false">IF(OR(CV$4="",$B40=""),0,SUMIF('DADOS BRUTOS'!$A$3:$A$500,$B40,'DADOS BRUTOS'!V$3:V$500)+IF($C40="",0,SUMIF('DADOS BRUTOS'!$A$3:$A$500,$C40,'DADOS BRUTOS'!V$3:V$500)))</f>
        <v>0</v>
      </c>
      <c r="CW40" s="133" t="n">
        <f aca="false">IF(OR(CW$4="",$B40=""),0,SUMIF('DADOS BRUTOS'!$A$3:$A$500,$B40,'DADOS BRUTOS'!W$3:W$500)+IF($C40="",0,SUMIF('DADOS BRUTOS'!$A$3:$A$500,$C40,'DADOS BRUTOS'!W$3:W$500)))</f>
        <v>0</v>
      </c>
      <c r="CX40" s="133" t="n">
        <f aca="false">IF(OR(CX$4="",$B40=""),0,SUMIF('DADOS BRUTOS'!$A$3:$A$500,$B40,'DADOS BRUTOS'!X$3:X$500)+IF($C40="",0,SUMIF('DADOS BRUTOS'!$A$3:$A$500,$C40,'DADOS BRUTOS'!X$3:X$500)))</f>
        <v>0</v>
      </c>
      <c r="CY40" s="133" t="n">
        <f aca="false">IF(OR(CY$4="",$B40=""),0,SUMIF('DADOS BRUTOS'!$A$3:$A$500,$B40,'DADOS BRUTOS'!Y$3:Y$500)+IF($C40="",0,SUMIF('DADOS BRUTOS'!$A$3:$A$500,$C40,'DADOS BRUTOS'!Y$3:Y$500)))</f>
        <v>0</v>
      </c>
      <c r="CZ40" s="133" t="n">
        <f aca="false">IF(OR(CZ$4="",$B40=""),0,SUMIF('DADOS BRUTOS'!$A$3:$A$500,$B40,'DADOS BRUTOS'!Z$3:Z$500)+IF($C40="",0,SUMIF('DADOS BRUTOS'!$A$3:$A$500,$C40,'DADOS BRUTOS'!Z$3:Z$500)))</f>
        <v>0</v>
      </c>
      <c r="DA40" s="133" t="n">
        <f aca="false">IF(OR(DA$4="",$B40=""),0,SUMIF('DADOS BRUTOS'!$A$3:$A$500,$B40,'DADOS BRUTOS'!AA$3:AA$500)+IF($C40="",0,SUMIF('DADOS BRUTOS'!$A$3:$A$500,$C40,'DADOS BRUTOS'!AA$3:AA$500)))</f>
        <v>0</v>
      </c>
      <c r="DB40" s="133" t="n">
        <f aca="false">IF(OR(DB$4="",$B40=""),0,SUMIF('DADOS BRUTOS'!$A$3:$A$500,$B40,'DADOS BRUTOS'!AB$3:AB$500)+IF($C40="",0,SUMIF('DADOS BRUTOS'!$A$3:$A$500,$C40,'DADOS BRUTOS'!AB$3:AB$500)))</f>
        <v>0</v>
      </c>
      <c r="DC40" s="133" t="n">
        <f aca="false">IF(OR(DC$4="",$B40=""),0,SUMIF('DADOS BRUTOS'!$A$3:$A$500,$B40,'DADOS BRUTOS'!AC$3:AC$500)+IF($C40="",0,SUMIF('DADOS BRUTOS'!$A$3:$A$500,$C40,'DADOS BRUTOS'!AC$3:AC$500)))</f>
        <v>0</v>
      </c>
      <c r="DD40" s="133" t="n">
        <f aca="false">IF(OR(DD$4="",$B40=""),0,SUMIF('DADOS BRUTOS'!$A$3:$A$500,$B40,'DADOS BRUTOS'!AD$3:AD$500)+IF($C40="",0,SUMIF('DADOS BRUTOS'!$A$3:$A$500,$C40,'DADOS BRUTOS'!AD$3:AD$500)))</f>
        <v>0</v>
      </c>
      <c r="DE40" s="133" t="n">
        <f aca="false">IF(OR(DE$4="",$B40=""),0,SUMIF('DADOS BRUTOS'!$A$3:$A$500,$B40,'DADOS BRUTOS'!AE$3:AE$500)+IF($C40="",0,SUMIF('DADOS BRUTOS'!$A$3:$A$500,$C40,'DADOS BRUTOS'!AE$3:AE$500)))</f>
        <v>0</v>
      </c>
      <c r="DF40" s="133" t="n">
        <f aca="false">IF(OR(DF$4="",$B40=""),0,SUMIF('DADOS BRUTOS'!$A$3:$A$500,$B40,'DADOS BRUTOS'!AF$3:AF$500)+IF($C40="",0,SUMIF('DADOS BRUTOS'!$A$3:$A$500,$C40,'DADOS BRUTOS'!AF$3:AF$500)))</f>
        <v>0</v>
      </c>
      <c r="DG40" s="133" t="n">
        <f aca="false">IF(OR(DG$4="",$B40=""),0,SUMIF('DADOS BRUTOS'!$A$3:$A$500,$B40,'DADOS BRUTOS'!AG$3:AG$500)+IF($C40="",0,SUMIF('DADOS BRUTOS'!$A$3:$A$500,$C40,'DADOS BRUTOS'!AG$3:AG$500)))</f>
        <v>0</v>
      </c>
      <c r="DH40" s="133" t="n">
        <f aca="false">IF(OR(DH$4="",$B40=""),0,SUMIF('DADOS BRUTOS'!$A$3:$A$500,$B40,'DADOS BRUTOS'!AH$3:AH$500)+IF($C40="",0,SUMIF('DADOS BRUTOS'!$A$3:$A$500,$C40,'DADOS BRUTOS'!AH$3:AH$500)))</f>
        <v>0</v>
      </c>
      <c r="DI40" s="133" t="n">
        <f aca="false">IF(OR(DI$4="",$B40=""),0,SUMIF('DADOS BRUTOS'!$A$3:$A$500,$B40,'DADOS BRUTOS'!AI$3:AI$500)+IF($C40="",0,SUMIF('DADOS BRUTOS'!$A$3:$A$500,$C40,'DADOS BRUTOS'!AI$3:AI$500)))</f>
        <v>0</v>
      </c>
      <c r="DJ40" s="133" t="n">
        <f aca="false">IF(OR(DJ$4="",$B40=""),0,SUMIF('DADOS BRUTOS'!$A$3:$A$500,$B40,'DADOS BRUTOS'!AJ$3:AJ$500)+IF($C40="",0,SUMIF('DADOS BRUTOS'!$A$3:$A$500,$C40,'DADOS BRUTOS'!AJ$3:AJ$500)))</f>
        <v>0</v>
      </c>
      <c r="DK40" s="133" t="n">
        <f aca="false">IF(OR(DK$4="",$B40=""),0,SUMIF('DADOS BRUTOS'!$A$3:$A$500,$B40,'DADOS BRUTOS'!AK$3:AK$500)+IF($C40="",0,SUMIF('DADOS BRUTOS'!$A$3:$A$500,$C40,'DADOS BRUTOS'!AK$3:AK$500)))</f>
        <v>0</v>
      </c>
      <c r="DL40" s="133" t="n">
        <f aca="false">IF(OR(DL$4="",$B40=""),0,SUMIF('DADOS BRUTOS'!$A$3:$A$500,$B40,'DADOS BRUTOS'!AL$3:AL$500)+IF($C40="",0,SUMIF('DADOS BRUTOS'!$A$3:$A$500,$C40,'DADOS BRUTOS'!AL$3:AL$500)))</f>
        <v>0</v>
      </c>
      <c r="DM40" s="133" t="n">
        <f aca="false">IF(OR(DM$4="",$B40=""),0,SUMIF('DADOS BRUTOS'!$A$3:$A$500,$B40,'DADOS BRUTOS'!AM$3:AM$500)+IF($C40="",0,SUMIF('DADOS BRUTOS'!$A$3:$A$500,$C40,'DADOS BRUTOS'!AM$3:AM$500)))</f>
        <v>0</v>
      </c>
      <c r="DN40" s="133" t="n">
        <f aca="false">IF(OR(DN$4="",$B40=""),0,SUMIF('DADOS BRUTOS'!$A$3:$A$500,$B40,'DADOS BRUTOS'!AN$3:AN$500)+IF($C40="",0,SUMIF('DADOS BRUTOS'!$A$3:$A$500,$C40,'DADOS BRUTOS'!AN$3:AN$500)))</f>
        <v>0</v>
      </c>
      <c r="DO40" s="133" t="n">
        <f aca="false">IF(OR(DO$4="",$B40=""),0,SUMIF('DADOS BRUTOS'!$A$3:$A$500,$B40,'DADOS BRUTOS'!AO$3:AO$500)+IF($C40="",0,SUMIF('DADOS BRUTOS'!$A$3:$A$500,$C40,'DADOS BRUTOS'!AO$3:AO$500)))</f>
        <v>0</v>
      </c>
      <c r="DP40" s="133" t="n">
        <f aca="false">IF(OR(DP$4="",$B40=""),0,SUMIF('DADOS BRUTOS'!$A$3:$A$500,$B40,'DADOS BRUTOS'!AP$3:AP$500)+IF($C40="",0,SUMIF('DADOS BRUTOS'!$A$3:$A$500,$C40,'DADOS BRUTOS'!AP$3:AP$500)))</f>
        <v>0</v>
      </c>
      <c r="DQ40" s="133" t="n">
        <f aca="false">IF(OR(DQ$4="",$B40=""),0,SUMIF('DADOS BRUTOS'!$A$3:$A$500,$B40,'DADOS BRUTOS'!AQ$3:AQ$500)+IF($C40="",0,SUMIF('DADOS BRUTOS'!$A$3:$A$500,$C40,'DADOS BRUTOS'!AQ$3:AQ$500)))</f>
        <v>0</v>
      </c>
      <c r="DR40" s="133" t="n">
        <f aca="false">IF(OR(DR$4="",$B40=""),0,SUMIF('DADOS BRUTOS'!$A$3:$A$500,$B40,'DADOS BRUTOS'!AR$3:AR$500)+IF($C40="",0,SUMIF('DADOS BRUTOS'!$A$3:$A$500,$C40,'DADOS BRUTOS'!AR$3:AR$500)))</f>
        <v>0</v>
      </c>
      <c r="DS40" s="133" t="n">
        <f aca="false">IF(OR(DS$4="",$B40=""),0,SUMIF('DADOS BRUTOS'!$A$3:$A$500,$B40,'DADOS BRUTOS'!AS$3:AS$500)+IF($C40="",0,SUMIF('DADOS BRUTOS'!$A$3:$A$500,$C40,'DADOS BRUTOS'!AS$3:AS$500)))</f>
        <v>0</v>
      </c>
      <c r="DT40" s="133" t="n">
        <f aca="false">IF(OR(DT$4="",$B40=""),0,SUMIF('DADOS BRUTOS'!$A$3:$A$500,$B40,'DADOS BRUTOS'!AT$3:AT$500)+IF($C40="",0,SUMIF('DADOS BRUTOS'!$A$3:$A$500,$C40,'DADOS BRUTOS'!AT$3:AT$500)))</f>
        <v>0</v>
      </c>
      <c r="DU40" s="133" t="n">
        <f aca="false">IF(OR(DU$4="",$B40=""),0,SUMIF('DADOS BRUTOS'!$A$3:$A$500,$B40,'DADOS BRUTOS'!AU$3:AU$500)+IF($C40="",0,SUMIF('DADOS BRUTOS'!$A$3:$A$500,$C40,'DADOS BRUTOS'!AU$3:AU$500)))</f>
        <v>0</v>
      </c>
      <c r="DV40" s="133" t="n">
        <f aca="false">IF(OR(DV$4="",$B40=""),0,SUMIF('DADOS BRUTOS'!$A$3:$A$500,$B40,'DADOS BRUTOS'!AV$3:AV$500)+IF($C40="",0,SUMIF('DADOS BRUTOS'!$A$3:$A$500,$C40,'DADOS BRUTOS'!AV$3:AV$500)))</f>
        <v>0</v>
      </c>
      <c r="DW40" s="133" t="n">
        <f aca="false">IF(OR(DW$4="",$B40=""),0,SUMIF('DADOS BRUTOS'!$A$3:$A$500,$B40,'DADOS BRUTOS'!AW$3:AW$500)+IF($C40="",0,SUMIF('DADOS BRUTOS'!$A$3:$A$500,$C40,'DADOS BRUTOS'!AW$3:AW$500)))</f>
        <v>0</v>
      </c>
      <c r="DX40" s="133" t="n">
        <f aca="false">IF(OR(DX$4="",$B40=""),0,SUMIF('DADOS BRUTOS'!$A$3:$A$500,$B40,'DADOS BRUTOS'!AX$3:AX$500)+IF($C40="",0,SUMIF('DADOS BRUTOS'!$A$3:$A$500,$C40,'DADOS BRUTOS'!AX$3:AX$500)))</f>
        <v>0</v>
      </c>
      <c r="DY40" s="133" t="n">
        <f aca="false">IF(OR(DY$4="",$B40=""),0,SUMIF('DADOS BRUTOS'!$A$3:$A$500,$B40,'DADOS BRUTOS'!AY$3:AY$500)+IF($C40="",0,SUMIF('DADOS BRUTOS'!$A$3:$A$500,$C40,'DADOS BRUTOS'!AY$3:AY$500)))</f>
        <v>0</v>
      </c>
      <c r="DZ40" s="133" t="n">
        <f aca="false">IF(OR(DZ$4="",$B40=""),0,SUMIF('DADOS BRUTOS'!$A$3:$A$500,$B40,'DADOS BRUTOS'!AZ$3:AZ$500)+IF($C40="",0,SUMIF('DADOS BRUTOS'!$A$3:$A$500,$C40,'DADOS BRUTOS'!AZ$3:AZ$500)))</f>
        <v>0</v>
      </c>
      <c r="EA40" s="133" t="n">
        <f aca="false">IF(OR(EA$4="",$B40=""),0,SUMIF('DADOS BRUTOS'!$A$3:$A$500,$B40,'DADOS BRUTOS'!BA$3:BA$500)+IF($C40="",0,SUMIF('DADOS BRUTOS'!$A$3:$A$500,$C40,'DADOS BRUTOS'!BA$3:BA$500)))</f>
        <v>0</v>
      </c>
      <c r="EB40" s="133" t="n">
        <f aca="false">IF(OR(EB$4="",$B40=""),0,SUMIF('DADOS BRUTOS'!$A$3:$A$500,$B40,'DADOS BRUTOS'!BB$3:BB$500)+IF($C40="",0,SUMIF('DADOS BRUTOS'!$A$3:$A$500,$C40,'DADOS BRUTOS'!BB$3:BB$500)))</f>
        <v>0</v>
      </c>
      <c r="EC40" s="133" t="n">
        <f aca="false">IF(OR(EC$4="",$B40=""),0,SUMIF('DADOS BRUTOS'!$A$3:$A$500,$B40,'DADOS BRUTOS'!BC$3:BC$500)+IF($C40="",0,SUMIF('DADOS BRUTOS'!$A$3:$A$500,$C40,'DADOS BRUTOS'!BC$3:BC$500)))</f>
        <v>0</v>
      </c>
      <c r="ED40" s="133" t="n">
        <f aca="false">IF(OR(ED$4="",$B40=""),0,SUMIF('DADOS BRUTOS'!$A$3:$A$500,$B40,'DADOS BRUTOS'!BD$3:BD$500)+IF($C40="",0,SUMIF('DADOS BRUTOS'!$A$3:$A$500,$C40,'DADOS BRUTOS'!BD$3:BD$500)))</f>
        <v>0</v>
      </c>
      <c r="EE40" s="133" t="n">
        <f aca="false">IF(OR(EE$4="",$B40=""),0,SUMIF('DADOS BRUTOS'!$A$3:$A$500,$B40,'DADOS BRUTOS'!BE$3:BE$500)+IF($C40="",0,SUMIF('DADOS BRUTOS'!$A$3:$A$500,$C40,'DADOS BRUTOS'!BE$3:BE$500)))</f>
        <v>0</v>
      </c>
      <c r="EF40" s="133" t="n">
        <f aca="false">IF(OR(EF$4="",$B40=""),0,SUMIF('DADOS BRUTOS'!$A$3:$A$500,$B40,'DADOS BRUTOS'!BF$3:BF$500)+IF($C40="",0,SUMIF('DADOS BRUTOS'!$A$3:$A$500,$C40,'DADOS BRUTOS'!BF$3:BF$500)))</f>
        <v>0</v>
      </c>
      <c r="EG40" s="133" t="n">
        <f aca="false">IF(OR(EG$4="",$B40=""),0,SUMIF('DADOS BRUTOS'!$A$3:$A$500,$B40,'DADOS BRUTOS'!BG$3:BG$500)+IF($C40="",0,SUMIF('DADOS BRUTOS'!$A$3:$A$500,$C40,'DADOS BRUTOS'!BG$3:BG$500)))</f>
        <v>0</v>
      </c>
      <c r="EH40" s="133" t="n">
        <f aca="false">IF(OR(EH$4="",$B40=""),0,SUMIF('DADOS BRUTOS'!$A$3:$A$500,$B40,'DADOS BRUTOS'!BH$3:BH$500)+IF($C40="",0,SUMIF('DADOS BRUTOS'!$A$3:$A$500,$C40,'DADOS BRUTOS'!BH$3:BH$500)))</f>
        <v>0</v>
      </c>
      <c r="EI40" s="133" t="n">
        <f aca="false">IF(OR(EI$4="",$B40=""),0,SUMIF('DADOS BRUTOS'!$A$3:$A$500,$B40,'DADOS BRUTOS'!BI$3:BI$500)+IF($C40="",0,SUMIF('DADOS BRUTOS'!$A$3:$A$500,$C40,'DADOS BRUTOS'!BI$3:BI$500)))</f>
        <v>0</v>
      </c>
      <c r="EJ40" s="133" t="n">
        <f aca="false">IF(OR(EJ$4="",$B40=""),0,SUMIF('DADOS BRUTOS'!$A$3:$A$500,$B40,'DADOS BRUTOS'!BJ$3:BJ$500)+IF($C40="",0,SUMIF('DADOS BRUTOS'!$A$3:$A$500,$C40,'DADOS BRUTOS'!BJ$3:BJ$500)))</f>
        <v>0</v>
      </c>
      <c r="EK40" s="133" t="n">
        <f aca="false">IF(OR(EK$4="",$B40=""),0,SUMIF('DADOS BRUTOS'!$A$3:$A$500,$B40,'DADOS BRUTOS'!BK$3:BK$500)+IF($C40="",0,SUMIF('DADOS BRUTOS'!$A$3:$A$500,$C40,'DADOS BRUTOS'!BK$3:BK$500)))</f>
        <v>0</v>
      </c>
      <c r="EL40" s="133" t="n">
        <f aca="false">IF(OR(EL$4="",$B40=""),0,SUMIF('DADOS BRUTOS'!$A$3:$A$500,$B40,'DADOS BRUTOS'!BL$3:BL$500)+IF($C40="",0,SUMIF('DADOS BRUTOS'!$A$3:$A$500,$C40,'DADOS BRUTOS'!BL$3:BL$500)))</f>
        <v>0</v>
      </c>
      <c r="EM40" s="133" t="n">
        <f aca="false">IF(OR(EM$4="",$B40=""),0,SUMIF('DADOS BRUTOS'!$A$3:$A$500,$B40,'DADOS BRUTOS'!BM$3:BM$500)+IF($C40="",0,SUMIF('DADOS BRUTOS'!$A$3:$A$500,$C40,'DADOS BRUTOS'!BM$3:BM$500)))</f>
        <v>0</v>
      </c>
      <c r="EN40" s="133" t="n">
        <f aca="false">IF(OR(EN$4="",$B40=""),0,SUMIF('DADOS BRUTOS'!$A$3:$A$500,$B40,'DADOS BRUTOS'!BN$3:BN$500)+IF($C40="",0,SUMIF('DADOS BRUTOS'!$A$3:$A$500,$C40,'DADOS BRUTOS'!BN$3:BN$500)))</f>
        <v>0</v>
      </c>
      <c r="EO40" s="133" t="n">
        <f aca="false">IF(OR(EO$4="",$B40=""),0,SUMIF('DADOS BRUTOS'!$A$3:$A$500,$B40,'DADOS BRUTOS'!BO$3:BO$500)+IF($C40="",0,SUMIF('DADOS BRUTOS'!$A$3:$A$500,$C40,'DADOS BRUTOS'!BO$3:BO$500)))</f>
        <v>0</v>
      </c>
      <c r="EP40" s="133" t="n">
        <f aca="false">IF(OR(EP$4="",$B40=""),0,SUMIF('DADOS BRUTOS'!$A$3:$A$500,$B40,'DADOS BRUTOS'!BP$3:BP$500)+IF($C40="",0,SUMIF('DADOS BRUTOS'!$A$3:$A$500,$C40,'DADOS BRUTOS'!BP$3:BP$500)))</f>
        <v>0</v>
      </c>
      <c r="EQ40" s="133" t="n">
        <f aca="false">IF(OR(EQ$4="",$B40=""),0,SUMIF('DADOS BRUTOS'!$A$3:$A$500,$B40,'DADOS BRUTOS'!BQ$3:BQ$500)+IF($C40="",0,SUMIF('DADOS BRUTOS'!$A$3:$A$500,$C40,'DADOS BRUTOS'!BQ$3:BQ$500)))</f>
        <v>0</v>
      </c>
      <c r="ER40" s="133" t="n">
        <f aca="false">IF(OR(ER$4="",$B40=""),0,SUMIF('DADOS BRUTOS'!$A$3:$A$500,$B40,'DADOS BRUTOS'!BR$3:BR$500)+IF($C40="",0,SUMIF('DADOS BRUTOS'!$A$3:$A$500,$C40,'DADOS BRUTOS'!BR$3:BR$500)))</f>
        <v>0</v>
      </c>
      <c r="ES40" s="133" t="n">
        <f aca="false">IF(OR(ES$4="",$B40=""),0,SUMIF('DADOS BRUTOS'!$A$3:$A$500,$B40,'DADOS BRUTOS'!BS$3:BS$500)+IF($C40="",0,SUMIF('DADOS BRUTOS'!$A$3:$A$500,$C40,'DADOS BRUTOS'!BS$3:BS$500)))</f>
        <v>0</v>
      </c>
      <c r="ET40" s="133" t="n">
        <f aca="false">IF(OR(ET$4="",$B40=""),0,SUMIF('DADOS BRUTOS'!$A$3:$A$500,$B40,'DADOS BRUTOS'!BT$3:BT$500)+IF($C40="",0,SUMIF('DADOS BRUTOS'!$A$3:$A$500,$C40,'DADOS BRUTOS'!BT$3:BT$500)))</f>
        <v>0</v>
      </c>
      <c r="EU40" s="133" t="n">
        <f aca="false">IF(OR(EU$4="",$B40=""),0,SUMIF('DADOS BRUTOS'!$A$3:$A$500,$B40,'DADOS BRUTOS'!BU$3:BU$500)+IF($C40="",0,SUMIF('DADOS BRUTOS'!$A$3:$A$500,$C40,'DADOS BRUTOS'!BU$3:BU$500)))</f>
        <v>0</v>
      </c>
      <c r="EV40" s="133" t="n">
        <f aca="false">IF(OR(EV$4="",$B40=""),0,SUMIF('DADOS BRUTOS'!$A$3:$A$500,$B40,'DADOS BRUTOS'!BV$3:BV$500)+IF($C40="",0,SUMIF('DADOS BRUTOS'!$A$3:$A$500,$C40,'DADOS BRUTOS'!BV$3:BV$500)))</f>
        <v>0</v>
      </c>
      <c r="EW40" s="133" t="n">
        <f aca="false">IF(OR(EW$4="",$B40=""),0,SUMIF('DADOS BRUTOS'!$A$3:$A$500,$B40,'DADOS BRUTOS'!BW$3:BW$500)+IF($C40="",0,SUMIF('DADOS BRUTOS'!$A$3:$A$500,$C40,'DADOS BRUTOS'!BW$3:BW$500)))</f>
        <v>0</v>
      </c>
      <c r="EX40" s="133" t="n">
        <f aca="false">IF(OR(EX$4="",$B40=""),0,SUMIF('DADOS BRUTOS'!$A$3:$A$500,$B40,'DADOS BRUTOS'!BX$3:BX$500)+IF($C40="",0,SUMIF('DADOS BRUTOS'!$A$3:$A$500,$C40,'DADOS BRUTOS'!BX$3:BX$500)))</f>
        <v>0</v>
      </c>
      <c r="EY40" s="133" t="n">
        <f aca="false">IF(OR(EY$4="",$B40=""),0,SUMIF('DADOS BRUTOS'!$A$3:$A$500,$B40,'DADOS BRUTOS'!BY$3:BY$500)+IF($C40="",0,SUMIF('DADOS BRUTOS'!$A$3:$A$500,$C40,'DADOS BRUTOS'!BY$3:BY$500)))</f>
        <v>0</v>
      </c>
      <c r="EZ40" s="133" t="n">
        <f aca="false">IF(OR(EZ$4="",$B40=""),0,SUMIF('DADOS BRUTOS'!$A$3:$A$500,$B40,'DADOS BRUTOS'!BZ$3:BZ$500)+IF($C40="",0,SUMIF('DADOS BRUTOS'!$A$3:$A$500,$C40,'DADOS BRUTOS'!BZ$3:BZ$500)))</f>
        <v>0</v>
      </c>
      <c r="FA40" s="133" t="n">
        <f aca="false">IF(OR(FA$4="",$B40=""),0,SUMIF('DADOS BRUTOS'!$A$3:$A$500,$B40,'DADOS BRUTOS'!CA$3:CA$500)+IF($C40="",0,SUMIF('DADOS BRUTOS'!$A$3:$A$500,$C40,'DADOS BRUTOS'!CA$3:CA$500)))</f>
        <v>0</v>
      </c>
      <c r="FB40" s="133" t="n">
        <f aca="false">IF(OR(FB$4="",$B40=""),0,SUMIF('DADOS BRUTOS'!$A$3:$A$500,$B40,'DADOS BRUTOS'!CB$3:CB$500)+IF($C40="",0,SUMIF('DADOS BRUTOS'!$A$3:$A$500,$C40,'DADOS BRUTOS'!CB$3:CB$500)))</f>
        <v>0</v>
      </c>
      <c r="FC40" s="133" t="n">
        <f aca="false">IF(OR(FC$4="",$B40=""),0,SUMIF('DADOS BRUTOS'!$A$3:$A$500,$B40,'DADOS BRUTOS'!CC$3:CC$500)+IF($C40="",0,SUMIF('DADOS BRUTOS'!$A$3:$A$500,$C40,'DADOS BRUTOS'!CC$3:CC$500)))</f>
        <v>0</v>
      </c>
      <c r="FD40" s="133" t="n">
        <f aca="false">IF(OR(FD$4="",$B40=""),0,SUMIF('DADOS BRUTOS'!$A$3:$A$500,$B40,'DADOS BRUTOS'!CD$3:CD$500)+IF($C40="",0,SUMIF('DADOS BRUTOS'!$A$3:$A$500,$C40,'DADOS BRUTOS'!CD$3:CD$500)))</f>
        <v>0</v>
      </c>
      <c r="FE40" s="133" t="n">
        <f aca="false">IF(OR(FE$4="",$B40=""),0,SUMIF('DADOS BRUTOS'!$A$3:$A$500,$B40,'DADOS BRUTOS'!CE$3:CE$500)+IF($C40="",0,SUMIF('DADOS BRUTOS'!$A$3:$A$500,$C40,'DADOS BRUTOS'!CE$3:CE$500)))</f>
        <v>0</v>
      </c>
      <c r="FF40" s="133" t="n">
        <f aca="false">IF(OR(FF$4="",$B40=""),0,SUMIF('DADOS BRUTOS'!$A$3:$A$500,$B40,'DADOS BRUTOS'!CF$3:CF$500)+IF($C40="",0,SUMIF('DADOS BRUTOS'!$A$3:$A$500,$C40,'DADOS BRUTOS'!CF$3:CF$500)))</f>
        <v>0</v>
      </c>
      <c r="FG40" s="133" t="n">
        <f aca="false">IF(OR(FG$4="",$B40=""),0,SUMIF('DADOS BRUTOS'!$A$3:$A$500,$B40,'DADOS BRUTOS'!CG$3:CG$500)+IF($C40="",0,SUMIF('DADOS BRUTOS'!$A$3:$A$500,$C40,'DADOS BRUTOS'!CG$3:CG$500)))</f>
        <v>0</v>
      </c>
      <c r="FH40" s="133" t="n">
        <f aca="false">IF(OR(FH$4="",$B40=""),0,SUMIF('DADOS BRUTOS'!$A$3:$A$500,$B40,'DADOS BRUTOS'!CH$3:CH$500)+IF($C40="",0,SUMIF('DADOS BRUTOS'!$A$3:$A$500,$C40,'DADOS BRUTOS'!CH$3:CH$500)))</f>
        <v>0</v>
      </c>
      <c r="FI40" s="133" t="n">
        <f aca="false">IF(OR(FI$4="",$B40=""),0,SUMIF('DADOS BRUTOS'!$A$3:$A$500,$B40,'DADOS BRUTOS'!CI$3:CI$500)+IF($C40="",0,SUMIF('DADOS BRUTOS'!$A$3:$A$500,$C40,'DADOS BRUTOS'!CI$3:CI$500)))</f>
        <v>0</v>
      </c>
      <c r="FJ40" s="133" t="n">
        <f aca="false">IF(OR(FJ$4="",$B40=""),0,SUMIF('DADOS BRUTOS'!$A$3:$A$500,$B40,'DADOS BRUTOS'!CJ$3:CJ$500)+IF($C40="",0,SUMIF('DADOS BRUTOS'!$A$3:$A$500,$C40,'DADOS BRUTOS'!CJ$3:CJ$500)))</f>
        <v>0</v>
      </c>
      <c r="FK40" s="133" t="n">
        <f aca="false">IF(OR(FK$4="",$B40=""),0,SUMIF('DADOS BRUTOS'!$A$3:$A$500,$B40,'DADOS BRUTOS'!CK$3:CK$500)+IF($C40="",0,SUMIF('DADOS BRUTOS'!$A$3:$A$500,$C40,'DADOS BRUTOS'!CK$3:CK$500)))</f>
        <v>0</v>
      </c>
      <c r="FL40" s="133" t="n">
        <f aca="false">IF(OR(FL$4="",$B40=""),0,SUMIF('DADOS BRUTOS'!$A$3:$A$500,$B40,'DADOS BRUTOS'!CL$3:CL$500)+IF($C40="",0,SUMIF('DADOS BRUTOS'!$A$3:$A$500,$C40,'DADOS BRUTOS'!CL$3:CL$500)))</f>
        <v>0</v>
      </c>
      <c r="FM40" s="133" t="n">
        <f aca="false">IF(OR(FM$4="",$B40=""),0,SUMIF('DADOS BRUTOS'!$A$3:$A$500,$B40,'DADOS BRUTOS'!CM$3:CM$500)+IF($C40="",0,SUMIF('DADOS BRUTOS'!$A$3:$A$500,$C40,'DADOS BRUTOS'!CM$3:CM$500)))</f>
        <v>0</v>
      </c>
      <c r="FN40" s="133" t="n">
        <f aca="false">IF(OR(FN$4="",$B40=""),0,SUMIF('DADOS BRUTOS'!$A$3:$A$500,$B40,'DADOS BRUTOS'!CN$3:CN$500)+IF($C40="",0,SUMIF('DADOS BRUTOS'!$A$3:$A$500,$C40,'DADOS BRUTOS'!CN$3:CN$500)))</f>
        <v>0</v>
      </c>
      <c r="FO40" s="133" t="n">
        <f aca="false">IF(OR(FO$4="",$B40=""),0,SUMIF('DADOS BRUTOS'!$A$3:$A$500,$B40,'DADOS BRUTOS'!CO$3:CO$500)+IF($C40="",0,SUMIF('DADOS BRUTOS'!$A$3:$A$500,$C40,'DADOS BRUTOS'!CO$3:CO$500)))</f>
        <v>0</v>
      </c>
      <c r="FP40" s="133" t="n">
        <f aca="false">IF(OR(FP$4="",$B40=""),0,SUMIF('DADOS BRUTOS'!$A$3:$A$500,$B40,'DADOS BRUTOS'!CP$3:CP$500)+IF($C40="",0,SUMIF('DADOS BRUTOS'!$A$3:$A$500,$C40,'DADOS BRUTOS'!CP$3:CP$500)))</f>
        <v>0</v>
      </c>
      <c r="FQ40" s="133" t="n">
        <f aca="false">IF(OR(FQ$4="",$B40=""),0,SUMIF('DADOS BRUTOS'!$A$3:$A$500,$B40,'DADOS BRUTOS'!CQ$3:CQ$500)+IF($C40="",0,SUMIF('DADOS BRUTOS'!$A$3:$A$500,$C40,'DADOS BRUTOS'!CQ$3:CQ$500)))</f>
        <v>0</v>
      </c>
      <c r="FR40" s="133" t="n">
        <f aca="false">IF(OR(FR$4="",$B40=""),0,SUMIF('DADOS BRUTOS'!$A$3:$A$500,$B40,'DADOS BRUTOS'!CR$3:CR$500)+IF($C40="",0,SUMIF('DADOS BRUTOS'!$A$3:$A$500,$C40,'DADOS BRUTOS'!CR$3:CR$500)))</f>
        <v>0</v>
      </c>
      <c r="FS40" s="133" t="n">
        <f aca="false">IF(OR(FS$4="",$B40=""),0,SUMIF('DADOS BRUTOS'!$A$3:$A$500,$B40,'DADOS BRUTOS'!CS$3:CS$500)+IF($C40="",0,SUMIF('DADOS BRUTOS'!$A$3:$A$500,$C40,'DADOS BRUTOS'!CS$3:CS$500)))</f>
        <v>0</v>
      </c>
      <c r="FT40" s="133" t="n">
        <f aca="false">IF(OR(FT$4="",$B40=""),0,SUMIF('DADOS BRUTOS'!$A$3:$A$500,$B40,'DADOS BRUTOS'!CT$3:CT$500)+IF($C40="",0,SUMIF('DADOS BRUTOS'!$A$3:$A$500,$C40,'DADOS BRUTOS'!CT$3:CT$500)))</f>
        <v>0</v>
      </c>
      <c r="FU40" s="133" t="n">
        <f aca="false">IF(OR(FU$4="",$B40=""),0,SUMIF('DADOS BRUTOS'!$A$3:$A$500,$B40,'DADOS BRUTOS'!CU$3:CU$500)+IF($C40="",0,SUMIF('DADOS BRUTOS'!$A$3:$A$500,$C40,'DADOS BRUTOS'!CU$3:CU$500)))</f>
        <v>0</v>
      </c>
      <c r="FV40" s="133" t="n">
        <f aca="false">IF(OR(FV$4="",$B40=""),0,SUMIF('DADOS BRUTOS'!$A$3:$A$500,$B40,'DADOS BRUTOS'!CV$3:CV$500)+IF($C40="",0,SUMIF('DADOS BRUTOS'!$A$3:$A$500,$C40,'DADOS BRUTOS'!CV$3:CV$500)))</f>
        <v>0</v>
      </c>
      <c r="FW40" s="133" t="n">
        <f aca="false">IF(OR(FW$4="",$B40=""),0,SUMIF('DADOS BRUTOS'!$A$3:$A$500,$B40,'DADOS BRUTOS'!CW$3:CW$500)+IF($C40="",0,SUMIF('DADOS BRUTOS'!$A$3:$A$500,$C40,'DADOS BRUTOS'!CW$3:CW$500)))</f>
        <v>0</v>
      </c>
      <c r="FX40" s="133" t="n">
        <f aca="false">IF(OR(FX$4="",$B40=""),0,SUMIF('DADOS BRUTOS'!$A$3:$A$500,$B40,'DADOS BRUTOS'!CX$3:CX$500)+IF($C40="",0,SUMIF('DADOS BRUTOS'!$A$3:$A$500,$C40,'DADOS BRUTOS'!CX$3:CX$500)))</f>
        <v>0</v>
      </c>
      <c r="FY40" s="133" t="n">
        <f aca="false">IF(OR(FY$4="",$B40=""),0,SUMIF('DADOS BRUTOS'!$A$3:$A$500,$B40,'DADOS BRUTOS'!CY$3:CY$500)+IF($C40="",0,SUMIF('DADOS BRUTOS'!$A$3:$A$500,$C40,'DADOS BRUTOS'!CY$3:CY$500)))</f>
        <v>0</v>
      </c>
      <c r="FZ40" s="133" t="n">
        <f aca="false">IF(OR(FZ$4="",$B40=""),0,SUMIF('DADOS BRUTOS'!$A$3:$A$500,$B40,'DADOS BRUTOS'!CZ$3:CZ$500)+IF($C40="",0,SUMIF('DADOS BRUTOS'!$A$3:$A$500,$C40,'DADOS BRUTOS'!CZ$3:CZ$500)))</f>
        <v>0</v>
      </c>
      <c r="GA40" s="133" t="n">
        <f aca="false">IF(OR(GA$4="",$B40=""),0,SUMIF('DADOS BRUTOS'!$A$3:$A$500,$B40,'DADOS BRUTOS'!DA$3:DA$500)+IF($C40="",0,SUMIF('DADOS BRUTOS'!$A$3:$A$500,$C40,'DADOS BRUTOS'!DA$3:DA$500)))</f>
        <v>0</v>
      </c>
      <c r="GB40" s="133" t="n">
        <f aca="false">IF(OR(GB$4="",$B40=""),0,SUMIF('DADOS BRUTOS'!$A$3:$A$500,$B40,'DADOS BRUTOS'!DB$3:DB$500)+IF($C40="",0,SUMIF('DADOS BRUTOS'!$A$3:$A$500,$C40,'DADOS BRUTOS'!DB$3:DB$500)))</f>
        <v>0</v>
      </c>
      <c r="GC40" s="133" t="n">
        <f aca="false">IF(OR(GC$4="",$B40=""),0,SUMIF('DADOS BRUTOS'!$A$3:$A$500,$B40,'DADOS BRUTOS'!DC$3:DC$500)+IF($C40="",0,SUMIF('DADOS BRUTOS'!$A$3:$A$500,$C40,'DADOS BRUTOS'!DC$3:DC$500)))</f>
        <v>0</v>
      </c>
      <c r="GD40" s="133" t="n">
        <f aca="false">IF(OR(GD$4="",$B40=""),0,SUMIF('DADOS BRUTOS'!$A$3:$A$500,$B40,'DADOS BRUTOS'!DD$3:DD$500)+IF($C40="",0,SUMIF('DADOS BRUTOS'!$A$3:$A$500,$C40,'DADOS BRUTOS'!DD$3:DD$500)))</f>
        <v>0</v>
      </c>
      <c r="GE40" s="133" t="n">
        <f aca="false">IF(OR(GE$4="",$B40=""),0,SUMIF('DADOS BRUTOS'!$A$3:$A$500,$B40,'DADOS BRUTOS'!DE$3:DE$500)+IF($C40="",0,SUMIF('DADOS BRUTOS'!$A$3:$A$500,$C40,'DADOS BRUTOS'!DE$3:DE$500)))</f>
        <v>0</v>
      </c>
      <c r="GF40" s="133" t="n">
        <f aca="false">IF(OR(GF$4="",$B40=""),0,SUMIF('DADOS BRUTOS'!$A$3:$A$500,$B40,'DADOS BRUTOS'!DF$3:DF$500)+IF($C40="",0,SUMIF('DADOS BRUTOS'!$A$3:$A$500,$C40,'DADOS BRUTOS'!DF$3:DF$500)))</f>
        <v>0</v>
      </c>
      <c r="GG40" s="133" t="n">
        <f aca="false">IF(OR(GG$4="",$B40=""),0,SUMIF('DADOS BRUTOS'!$A$3:$A$500,$B40,'DADOS BRUTOS'!DG$3:DG$500)+IF($C40="",0,SUMIF('DADOS BRUTOS'!$A$3:$A$500,$C40,'DADOS BRUTOS'!DG$3:DG$500)))</f>
        <v>0</v>
      </c>
      <c r="GH40" s="133" t="n">
        <f aca="false">IF(OR(GH$4="",$B40=""),0,SUMIF('DADOS BRUTOS'!$A$3:$A$500,$B40,'DADOS BRUTOS'!DH$3:DH$500)+IF($C40="",0,SUMIF('DADOS BRUTOS'!$A$3:$A$500,$C40,'DADOS BRUTOS'!DH$3:DH$500)))</f>
        <v>0</v>
      </c>
      <c r="GI40" s="133" t="n">
        <f aca="false">IF(OR(GI$4="",$B40=""),0,SUMIF('DADOS BRUTOS'!$A$3:$A$500,$B40,'DADOS BRUTOS'!DI$3:DI$500)+IF($C40="",0,SUMIF('DADOS BRUTOS'!$A$3:$A$500,$C40,'DADOS BRUTOS'!DI$3:DI$500)))</f>
        <v>0</v>
      </c>
      <c r="GJ40" s="133" t="n">
        <f aca="false">IF(OR(GJ$4="",$B40=""),0,SUMIF('DADOS BRUTOS'!$A$3:$A$500,$B40,'DADOS BRUTOS'!DJ$3:DJ$500)+IF($C40="",0,SUMIF('DADOS BRUTOS'!$A$3:$A$500,$C40,'DADOS BRUTOS'!DJ$3:DJ$500)))</f>
        <v>0</v>
      </c>
      <c r="GK40" s="133" t="n">
        <f aca="false">IF(OR(GK$4="",$B40=""),0,SUMIF('DADOS BRUTOS'!$A$3:$A$500,$B40,'DADOS BRUTOS'!DK$3:DK$500)+IF($C40="",0,SUMIF('DADOS BRUTOS'!$A$3:$A$500,$C40,'DADOS BRUTOS'!DK$3:DK$500)))</f>
        <v>0</v>
      </c>
      <c r="GL40" s="133" t="n">
        <f aca="false">IF(OR(GL$4="",$B40=""),0,SUMIF('DADOS BRUTOS'!$A$3:$A$500,$B40,'DADOS BRUTOS'!DL$3:DL$500)+IF($C40="",0,SUMIF('DADOS BRUTOS'!$A$3:$A$500,$C40,'DADOS BRUTOS'!DL$3:DL$500)))</f>
        <v>0</v>
      </c>
      <c r="GM40" s="133" t="n">
        <f aca="false">IF(OR(GM$4="",$B40=""),0,SUMIF('DADOS BRUTOS'!$A$3:$A$500,$B40,'DADOS BRUTOS'!DM$3:DM$500)+IF($C40="",0,SUMIF('DADOS BRUTOS'!$A$3:$A$500,$C40,'DADOS BRUTOS'!DM$3:DM$500)))</f>
        <v>0</v>
      </c>
      <c r="GN40" s="133" t="n">
        <f aca="false">IF(OR(GN$4="",$B40=""),0,SUMIF('DADOS BRUTOS'!$A$3:$A$500,$B40,'DADOS BRUTOS'!DN$3:DN$500)+IF($C40="",0,SUMIF('DADOS BRUTOS'!$A$3:$A$500,$C40,'DADOS BRUTOS'!DN$3:DN$500)))</f>
        <v>0</v>
      </c>
      <c r="GO40" s="133" t="n">
        <f aca="false">IF(OR(GO$4="",$B40=""),0,SUMIF('DADOS BRUTOS'!$A$3:$A$500,$B40,'DADOS BRUTOS'!DO$3:DO$500)+IF($C40="",0,SUMIF('DADOS BRUTOS'!$A$3:$A$500,$C40,'DADOS BRUTOS'!DO$3:DO$500)))</f>
        <v>0</v>
      </c>
      <c r="GP40" s="133" t="n">
        <f aca="false">IF(OR(GP$4="",$B40=""),0,SUMIF('DADOS BRUTOS'!$A$3:$A$500,$B40,'DADOS BRUTOS'!DP$3:DP$500)+IF($C40="",0,SUMIF('DADOS BRUTOS'!$A$3:$A$500,$C40,'DADOS BRUTOS'!DP$3:DP$500)))</f>
        <v>0</v>
      </c>
      <c r="GQ40" s="133" t="n">
        <f aca="false">IF(OR(GQ$4="",$B40=""),0,SUMIF('DADOS BRUTOS'!$A$3:$A$500,$B40,'DADOS BRUTOS'!DQ$3:DQ$500)+IF($C40="",0,SUMIF('DADOS BRUTOS'!$A$3:$A$500,$C40,'DADOS BRUTOS'!DQ$3:DQ$500)))</f>
        <v>0</v>
      </c>
      <c r="GR40" s="133" t="n">
        <f aca="false">IF(OR(GR$4="",$B40=""),0,SUMIF('DADOS BRUTOS'!$A$3:$A$500,$B40,'DADOS BRUTOS'!DR$3:DR$500)+IF($C40="",0,SUMIF('DADOS BRUTOS'!$A$3:$A$500,$C40,'DADOS BRUTOS'!DR$3:DR$500)))</f>
        <v>0</v>
      </c>
      <c r="GS40" s="133" t="n">
        <f aca="false">IF(OR(GS$4="",$B40=""),0,SUMIF('DADOS BRUTOS'!$A$3:$A$500,$B40,'DADOS BRUTOS'!DS$3:DS$500)+IF($C40="",0,SUMIF('DADOS BRUTOS'!$A$3:$A$500,$C40,'DADOS BRUTOS'!DS$3:DS$500)))</f>
        <v>0</v>
      </c>
      <c r="GT40" s="133" t="n">
        <f aca="false">IF(OR(GT$4="",$B40=""),0,SUMIF('DADOS BRUTOS'!$A$3:$A$500,$B40,'DADOS BRUTOS'!DT$3:DT$500)+IF($C40="",0,SUMIF('DADOS BRUTOS'!$A$3:$A$500,$C40,'DADOS BRUTOS'!DT$3:DT$500)))</f>
        <v>0</v>
      </c>
      <c r="GU40" s="133" t="n">
        <f aca="false">IF(OR(GU$4="",$B40=""),0,SUMIF('DADOS BRUTOS'!$A$3:$A$500,$B40,'DADOS BRUTOS'!DU$3:DU$500)+IF($C40="",0,SUMIF('DADOS BRUTOS'!$A$3:$A$500,$C40,'DADOS BRUTOS'!DU$3:DU$500)))</f>
        <v>0</v>
      </c>
      <c r="GV40" s="133" t="n">
        <f aca="false">IF(OR(GV$4="",$B40=""),0,SUMIF('DADOS BRUTOS'!$A$3:$A$500,$B40,'DADOS BRUTOS'!DV$3:DV$500)+IF($C40="",0,SUMIF('DADOS BRUTOS'!$A$3:$A$500,$C40,'DADOS BRUTOS'!DV$3:DV$500)))</f>
        <v>0</v>
      </c>
      <c r="GW40" s="133" t="n">
        <f aca="false">IF(OR(GW$4="",$B40=""),0,SUMIF('DADOS BRUTOS'!$A$3:$A$500,$B40,'DADOS BRUTOS'!DW$3:DW$500)+IF($C40="",0,SUMIF('DADOS BRUTOS'!$A$3:$A$500,$C40,'DADOS BRUTOS'!DW$3:DW$500)))</f>
        <v>0</v>
      </c>
      <c r="GX40" s="133" t="n">
        <f aca="false">IF(OR(GX$4="",$B40=""),0,SUMIF('DADOS BRUTOS'!$A$3:$A$500,$B40,'DADOS BRUTOS'!DX$3:DX$500)+IF($C40="",0,SUMIF('DADOS BRUTOS'!$A$3:$A$500,$C40,'DADOS BRUTOS'!DX$3:DX$500)))</f>
        <v>0</v>
      </c>
      <c r="GY40" s="133" t="n">
        <f aca="false">IF(OR(GY$4="",$B40=""),0,SUMIF('DADOS BRUTOS'!$A$3:$A$500,$B40,'DADOS BRUTOS'!DY$3:DY$500)+IF($C40="",0,SUMIF('DADOS BRUTOS'!$A$3:$A$500,$C40,'DADOS BRUTOS'!DY$3:DY$500)))</f>
        <v>0</v>
      </c>
      <c r="GZ40" s="133" t="n">
        <f aca="false">IF(OR(GZ$4="",$B40=""),0,SUMIF('DADOS BRUTOS'!$A$3:$A$500,$B40,'DADOS BRUTOS'!DZ$3:DZ$500)+IF($C40="",0,SUMIF('DADOS BRUTOS'!$A$3:$A$500,$C40,'DADOS BRUTOS'!DZ$3:DZ$500)))</f>
        <v>0</v>
      </c>
      <c r="HA40" s="133" t="n">
        <f aca="false">IF(OR(HA$4="",$B40=""),0,SUMIF('DADOS BRUTOS'!$A$3:$A$500,$B40,'DADOS BRUTOS'!EA$3:EA$500)+IF($C40="",0,SUMIF('DADOS BRUTOS'!$A$3:$A$500,$C40,'DADOS BRUTOS'!EA$3:EA$500)))</f>
        <v>0</v>
      </c>
      <c r="HB40" s="133" t="n">
        <f aca="false">IF(OR(HB$4="",$B40=""),0,SUMIF('DADOS BRUTOS'!$A$3:$A$500,$B40,'DADOS BRUTOS'!EB$3:EB$500)+IF($C40="",0,SUMIF('DADOS BRUTOS'!$A$3:$A$500,$C40,'DADOS BRUTOS'!EB$3:EB$500)))</f>
        <v>0</v>
      </c>
      <c r="HC40" s="133" t="n">
        <f aca="false">IF(OR(HC$4="",$B40=""),0,SUMIF('DADOS BRUTOS'!$A$3:$A$500,$B40,'DADOS BRUTOS'!EC$3:EC$500)+IF($C40="",0,SUMIF('DADOS BRUTOS'!$A$3:$A$500,$C40,'DADOS BRUTOS'!EC$3:EC$500)))</f>
        <v>0</v>
      </c>
      <c r="HD40" s="133" t="n">
        <f aca="false">IF(OR(HD$4="",$B40=""),0,SUMIF('DADOS BRUTOS'!$A$3:$A$500,$B40,'DADOS BRUTOS'!ED$3:ED$500)+IF($C40="",0,SUMIF('DADOS BRUTOS'!$A$3:$A$500,$C40,'DADOS BRUTOS'!ED$3:ED$500)))</f>
        <v>0</v>
      </c>
      <c r="HE40" s="133" t="n">
        <f aca="false">IF(OR(HE$4="",$B40=""),0,SUMIF('DADOS BRUTOS'!$A$3:$A$500,$B40,'DADOS BRUTOS'!EE$3:EE$500)+IF($C40="",0,SUMIF('DADOS BRUTOS'!$A$3:$A$500,$C40,'DADOS BRUTOS'!EE$3:EE$500)))</f>
        <v>0</v>
      </c>
      <c r="HF40" s="133" t="n">
        <f aca="false">IF(OR(HF$4="",$B40=""),0,SUMIF('DADOS BRUTOS'!$A$3:$A$500,$B40,'DADOS BRUTOS'!EF$3:EF$500)+IF($C40="",0,SUMIF('DADOS BRUTOS'!$A$3:$A$500,$C40,'DADOS BRUTOS'!EF$3:EF$500)))</f>
        <v>0</v>
      </c>
      <c r="HG40" s="133" t="n">
        <f aca="false">IF(OR(HG$4="",$B40=""),0,SUMIF('DADOS BRUTOS'!$A$3:$A$500,$B40,'DADOS BRUTOS'!EG$3:EG$500)+IF($C40="",0,SUMIF('DADOS BRUTOS'!$A$3:$A$500,$C40,'DADOS BRUTOS'!EG$3:EG$500)))</f>
        <v>0</v>
      </c>
      <c r="HH40" s="133" t="n">
        <f aca="false">IF(OR(HH$4="",$B40=""),0,SUMIF('DADOS BRUTOS'!$A$3:$A$500,$B40,'DADOS BRUTOS'!EH$3:EH$500)+IF($C40="",0,SUMIF('DADOS BRUTOS'!$A$3:$A$500,$C40,'DADOS BRUTOS'!EH$3:EH$500)))</f>
        <v>0</v>
      </c>
      <c r="HI40" s="133" t="n">
        <f aca="false">IF(OR(HI$4="",$B40=""),0,SUMIF('DADOS BRUTOS'!$A$3:$A$500,$B40,'DADOS BRUTOS'!EI$3:EI$500)+IF($C40="",0,SUMIF('DADOS BRUTOS'!$A$3:$A$500,$C40,'DADOS BRUTOS'!EI$3:EI$500)))</f>
        <v>0</v>
      </c>
      <c r="HJ40" s="133" t="n">
        <f aca="false">IF(OR(HJ$4="",$B40=""),0,SUMIF('DADOS BRUTOS'!$A$3:$A$500,$B40,'DADOS BRUTOS'!EJ$3:EJ$500)+IF($C40="",0,SUMIF('DADOS BRUTOS'!$A$3:$A$500,$C40,'DADOS BRUTOS'!EJ$3:EJ$500)))</f>
        <v>0</v>
      </c>
      <c r="HK40" s="133" t="n">
        <f aca="false">IF(OR(HK$4="",$B40=""),0,SUMIF('DADOS BRUTOS'!$A$3:$A$500,$B40,'DADOS BRUTOS'!EK$3:EK$500)+IF($C40="",0,SUMIF('DADOS BRUTOS'!$A$3:$A$500,$C40,'DADOS BRUTOS'!EK$3:EK$500)))</f>
        <v>0</v>
      </c>
      <c r="HL40" s="133" t="n">
        <f aca="false">IF(OR(HL$4="",$B40=""),0,SUMIF('DADOS BRUTOS'!$A$3:$A$500,$B40,'DADOS BRUTOS'!EL$3:EL$500)+IF($C40="",0,SUMIF('DADOS BRUTOS'!$A$3:$A$500,$C40,'DADOS BRUTOS'!EL$3:EL$500)))</f>
        <v>0</v>
      </c>
      <c r="HM40" s="133" t="n">
        <f aca="false">IF(OR(HM$4="",$B40=""),0,SUMIF('DADOS BRUTOS'!$A$3:$A$500,$B40,'DADOS BRUTOS'!EM$3:EM$500)+IF($C40="",0,SUMIF('DADOS BRUTOS'!$A$3:$A$500,$C40,'DADOS BRUTOS'!EM$3:EM$500)))</f>
        <v>0</v>
      </c>
      <c r="HN40" s="133" t="n">
        <f aca="false">IF(OR(HN$4="",$B40=""),0,SUMIF('DADOS BRUTOS'!$A$3:$A$500,$B40,'DADOS BRUTOS'!EN$3:EN$500)+IF($C40="",0,SUMIF('DADOS BRUTOS'!$A$3:$A$500,$C40,'DADOS BRUTOS'!EN$3:EN$500)))</f>
        <v>0</v>
      </c>
      <c r="HO40" s="133" t="n">
        <f aca="false">IF(OR(HO$4="",$B40=""),0,SUMIF('DADOS BRUTOS'!$A$3:$A$500,$B40,'DADOS BRUTOS'!EO$3:EO$500)+IF($C40="",0,SUMIF('DADOS BRUTOS'!$A$3:$A$500,$C40,'DADOS BRUTOS'!EO$3:EO$500)))</f>
        <v>0</v>
      </c>
      <c r="HP40" s="133" t="n">
        <f aca="false">IF(OR(HP$4="",$B40=""),0,SUMIF('DADOS BRUTOS'!$A$3:$A$500,$B40,'DADOS BRUTOS'!EP$3:EP$500)+IF($C40="",0,SUMIF('DADOS BRUTOS'!$A$3:$A$500,$C40,'DADOS BRUTOS'!EP$3:EP$500)))</f>
        <v>0</v>
      </c>
      <c r="HQ40" s="133" t="n">
        <f aca="false">IF(OR(HQ$4="",$B40=""),0,SUMIF('DADOS BRUTOS'!$A$3:$A$500,$B40,'DADOS BRUTOS'!EQ$3:EQ$500)+IF($C40="",0,SUMIF('DADOS BRUTOS'!$A$3:$A$500,$C40,'DADOS BRUTOS'!EQ$3:EQ$500)))</f>
        <v>0</v>
      </c>
      <c r="HR40" s="133" t="n">
        <f aca="false">IF(OR(HR$4="",$B40=""),0,SUMIF('DADOS BRUTOS'!$A$3:$A$500,$B40,'DADOS BRUTOS'!ER$3:ER$500)+IF($C40="",0,SUMIF('DADOS BRUTOS'!$A$3:$A$500,$C40,'DADOS BRUTOS'!ER$3:ER$500)))</f>
        <v>0</v>
      </c>
      <c r="HS40" s="133" t="n">
        <f aca="false">IF(OR(HS$4="",$B40=""),0,SUMIF('DADOS BRUTOS'!$A$3:$A$500,$B40,'DADOS BRUTOS'!ES$3:ES$500)+IF($C40="",0,SUMIF('DADOS BRUTOS'!$A$3:$A$500,$C40,'DADOS BRUTOS'!ES$3:ES$500)))</f>
        <v>0</v>
      </c>
      <c r="HT40" s="133" t="n">
        <f aca="false">IF(OR(HT$4="",$B40=""),0,SUMIF('DADOS BRUTOS'!$A$3:$A$500,$B40,'DADOS BRUTOS'!ET$3:ET$500)+IF($C40="",0,SUMIF('DADOS BRUTOS'!$A$3:$A$500,$C40,'DADOS BRUTOS'!ET$3:ET$500)))</f>
        <v>0</v>
      </c>
      <c r="HU40" s="133" t="n">
        <f aca="false">IF(OR(HU$4="",$B40=""),0,SUMIF('DADOS BRUTOS'!$A$3:$A$500,$B40,'DADOS BRUTOS'!EU$3:EU$500)+IF($C40="",0,SUMIF('DADOS BRUTOS'!$A$3:$A$500,$C40,'DADOS BRUTOS'!EU$3:EU$500)))</f>
        <v>0</v>
      </c>
      <c r="HV40" s="133" t="n">
        <f aca="false">IF(OR(HV$4="",$B40=""),0,SUMIF('DADOS BRUTOS'!$A$3:$A$500,$B40,'DADOS BRUTOS'!EV$3:EV$500)+IF($C40="",0,SUMIF('DADOS BRUTOS'!$A$3:$A$500,$C40,'DADOS BRUTOS'!EV$3:EV$500)))</f>
        <v>0</v>
      </c>
      <c r="HW40" s="133" t="n">
        <f aca="false">IF(OR(HW$4="",$B40=""),0,SUMIF('DADOS BRUTOS'!$A$3:$A$500,$B40,'DADOS BRUTOS'!EW$3:EW$500)+IF($C40="",0,SUMIF('DADOS BRUTOS'!$A$3:$A$500,$C40,'DADOS BRUTOS'!EW$3:EW$500)))</f>
        <v>0</v>
      </c>
      <c r="HX40" s="133" t="n">
        <f aca="false">IF(OR(HX$4="",$B40=""),0,SUMIF('DADOS BRUTOS'!$A$3:$A$500,$B40,'DADOS BRUTOS'!EX$3:EX$500)+IF($C40="",0,SUMIF('DADOS BRUTOS'!$A$3:$A$500,$C40,'DADOS BRUTOS'!EX$3:EX$500)))</f>
        <v>0</v>
      </c>
      <c r="HY40" s="133" t="n">
        <f aca="false">IF(OR(HY$4="",$B40=""),0,SUMIF('DADOS BRUTOS'!$A$3:$A$500,$B40,'DADOS BRUTOS'!EY$3:EY$500)+IF($C40="",0,SUMIF('DADOS BRUTOS'!$A$3:$A$500,$C40,'DADOS BRUTOS'!EY$3:EY$500)))</f>
        <v>0</v>
      </c>
      <c r="HZ40" s="133" t="n">
        <f aca="false">IF(OR(HZ$4="",$B40=""),0,SUMIF('DADOS BRUTOS'!$A$3:$A$500,$B40,'DADOS BRUTOS'!EZ$3:EZ$500)+IF($C40="",0,SUMIF('DADOS BRUTOS'!$A$3:$A$500,$C40,'DADOS BRUTOS'!EZ$3:EZ$500)))</f>
        <v>0</v>
      </c>
      <c r="IA40" s="133" t="n">
        <f aca="false">IF(OR(IA$4="",$B40=""),0,SUMIF('DADOS BRUTOS'!$A$3:$A$500,$B40,'DADOS BRUTOS'!FA$3:FA$500)+IF($C40="",0,SUMIF('DADOS BRUTOS'!$A$3:$A$500,$C40,'DADOS BRUTOS'!FA$3:FA$500)))</f>
        <v>0</v>
      </c>
      <c r="IB40" s="133" t="n">
        <f aca="false">IF(OR(IB$4="",$B40=""),0,SUMIF('DADOS BRUTOS'!$A$3:$A$500,$B40,'DADOS BRUTOS'!FB$3:FB$500)+IF($C40="",0,SUMIF('DADOS BRUTOS'!$A$3:$A$500,$C40,'DADOS BRUTOS'!FB$3:FB$500)))</f>
        <v>0</v>
      </c>
      <c r="IC40" s="133" t="n">
        <f aca="false">IF(OR(IC$4="",$B40=""),0,SUMIF('DADOS BRUTOS'!$A$3:$A$500,$B40,'DADOS BRUTOS'!FC$3:FC$500)+IF($C40="",0,SUMIF('DADOS BRUTOS'!$A$3:$A$500,$C40,'DADOS BRUTOS'!FC$3:FC$500)))</f>
        <v>0</v>
      </c>
      <c r="ID40" s="133" t="n">
        <f aca="false">IF(OR(ID$4="",$B40=""),0,SUMIF('DADOS BRUTOS'!$A$3:$A$500,$B40,'DADOS BRUTOS'!FD$3:FD$500)+IF($C40="",0,SUMIF('DADOS BRUTOS'!$A$3:$A$500,$C40,'DADOS BRUTOS'!FD$3:FD$500)))</f>
        <v>0</v>
      </c>
      <c r="IE40" s="133" t="n">
        <f aca="false">IF(OR(IE$4="",$B40=""),0,SUMIF('DADOS BRUTOS'!$A$3:$A$500,$B40,'DADOS BRUTOS'!FE$3:FE$500)+IF($C40="",0,SUMIF('DADOS BRUTOS'!$A$3:$A$500,$C40,'DADOS BRUTOS'!FE$3:FE$500)))</f>
        <v>0</v>
      </c>
      <c r="IF40" s="133" t="n">
        <f aca="false">IF(OR(IF$4="",$B40=""),0,SUMIF('DADOS BRUTOS'!$A$3:$A$500,$B40,'DADOS BRUTOS'!FF$3:FF$500)+IF($C40="",0,SUMIF('DADOS BRUTOS'!$A$3:$A$500,$C40,'DADOS BRUTOS'!FF$3:FF$500)))</f>
        <v>0</v>
      </c>
      <c r="IG40" s="133" t="n">
        <f aca="false">IF(OR(IG$4="",$B40=""),0,SUMIF('DADOS BRUTOS'!$A$3:$A$500,$B40,'DADOS BRUTOS'!FG$3:FG$500)+IF($C40="",0,SUMIF('DADOS BRUTOS'!$A$3:$A$500,$C40,'DADOS BRUTOS'!FG$3:FG$500)))</f>
        <v>0</v>
      </c>
      <c r="IH40" s="133" t="n">
        <f aca="false">IF(OR(IH$4="",$B40=""),0,SUMIF('DADOS BRUTOS'!$A$3:$A$500,$B40,'DADOS BRUTOS'!FH$3:FH$500)+IF($C40="",0,SUMIF('DADOS BRUTOS'!$A$3:$A$500,$C40,'DADOS BRUTOS'!FH$3:FH$500)))</f>
        <v>0</v>
      </c>
      <c r="II40" s="133" t="n">
        <f aca="false">IF(OR(II$4="",$B40=""),0,SUMIF('DADOS BRUTOS'!$A$3:$A$500,$B40,'DADOS BRUTOS'!FI$3:FI$500)+IF($C40="",0,SUMIF('DADOS BRUTOS'!$A$3:$A$500,$C40,'DADOS BRUTOS'!FI$3:FI$500)))</f>
        <v>0</v>
      </c>
      <c r="IJ40" s="133" t="n">
        <f aca="false">IF(OR(IJ$4="",$B40=""),0,SUMIF('DADOS BRUTOS'!$A$3:$A$500,$B40,'DADOS BRUTOS'!FJ$3:FJ$500)+IF($C40="",0,SUMIF('DADOS BRUTOS'!$A$3:$A$500,$C40,'DADOS BRUTOS'!FJ$3:FJ$500)))</f>
        <v>0</v>
      </c>
      <c r="IK40" s="133" t="n">
        <f aca="false">IF(OR(IK$4="",$B40=""),0,SUMIF('DADOS BRUTOS'!$A$3:$A$500,$B40,'DADOS BRUTOS'!FK$3:FK$500)+IF($C40="",0,SUMIF('DADOS BRUTOS'!$A$3:$A$500,$C40,'DADOS BRUTOS'!FK$3:FK$500)))</f>
        <v>0</v>
      </c>
      <c r="IL40" s="133" t="n">
        <f aca="false">IF(OR(IL$4="",$B40=""),0,SUMIF('DADOS BRUTOS'!$A$3:$A$500,$B40,'DADOS BRUTOS'!FL$3:FL$500)+IF($C40="",0,SUMIF('DADOS BRUTOS'!$A$3:$A$500,$C40,'DADOS BRUTOS'!FL$3:FL$500)))</f>
        <v>0</v>
      </c>
      <c r="IM40" s="133" t="n">
        <f aca="false">IF(OR(IM$4="",$B40=""),0,SUMIF('DADOS BRUTOS'!$A$3:$A$500,$B40,'DADOS BRUTOS'!FM$3:FM$500)+IF($C40="",0,SUMIF('DADOS BRUTOS'!$A$3:$A$500,$C40,'DADOS BRUTOS'!FM$3:FM$500)))</f>
        <v>0</v>
      </c>
      <c r="IN40" s="133" t="n">
        <f aca="false">IF(OR(IN$4="",$B40=""),0,SUMIF('DADOS BRUTOS'!$A$3:$A$500,$B40,'DADOS BRUTOS'!FN$3:FN$500)+IF($C40="",0,SUMIF('DADOS BRUTOS'!$A$3:$A$500,$C40,'DADOS BRUTOS'!FN$3:FN$500)))</f>
        <v>0</v>
      </c>
      <c r="IO40" s="133" t="n">
        <f aca="false">IF(OR(IO$4="",$B40=""),0,SUMIF('DADOS BRUTOS'!$A$3:$A$500,$B40,'DADOS BRUTOS'!FO$3:FO$500)+IF($C40="",0,SUMIF('DADOS BRUTOS'!$A$3:$A$500,$C40,'DADOS BRUTOS'!FO$3:FO$500)))</f>
        <v>0</v>
      </c>
      <c r="IP40" s="133" t="n">
        <f aca="false">IF(OR(IP$4="",$B40=""),0,SUMIF('DADOS BRUTOS'!$A$3:$A$500,$B40,'DADOS BRUTOS'!FP$3:FP$500)+IF($C40="",0,SUMIF('DADOS BRUTOS'!$A$3:$A$500,$C40,'DADOS BRUTOS'!FP$3:FP$500)))</f>
        <v>0</v>
      </c>
      <c r="IQ40" s="133" t="n">
        <f aca="false">IF(OR(IQ$4="",$B40=""),0,SUMIF('DADOS BRUTOS'!$A$3:$A$500,$B40,'DADOS BRUTOS'!FQ$3:FQ$500)+IF($C40="",0,SUMIF('DADOS BRUTOS'!$A$3:$A$500,$C40,'DADOS BRUTOS'!FQ$3:FQ$500)))</f>
        <v>0</v>
      </c>
      <c r="IR40" s="133" t="n">
        <f aca="false">IF(OR(IR$4="",$B40=""),0,SUMIF('DADOS BRUTOS'!$A$3:$A$500,$B40,'DADOS BRUTOS'!FR$3:FR$500)+IF($C40="",0,SUMIF('DADOS BRUTOS'!$A$3:$A$500,$C40,'DADOS BRUTOS'!FR$3:FR$500)))</f>
        <v>0</v>
      </c>
      <c r="IS40" s="133" t="n">
        <f aca="false">IF(OR(IS$4="",$B40=""),0,SUMIF('DADOS BRUTOS'!$A$3:$A$500,$B40,'DADOS BRUTOS'!FS$3:FS$500)+IF($C40="",0,SUMIF('DADOS BRUTOS'!$A$3:$A$500,$C40,'DADOS BRUTOS'!FS$3:FS$500)))</f>
        <v>0</v>
      </c>
      <c r="IT40" s="133" t="n">
        <f aca="false">IF(OR(IT$4="",$B40=""),0,SUMIF('DADOS BRUTOS'!$A$3:$A$500,$B40,'DADOS BRUTOS'!FT$3:FT$500)+IF($C40="",0,SUMIF('DADOS BRUTOS'!$A$3:$A$500,$C40,'DADOS BRUTOS'!FT$3:FT$500)))</f>
        <v>0</v>
      </c>
      <c r="IU40" s="133" t="n">
        <f aca="false">IF(OR(IU$4="",$B40=""),0,SUMIF('DADOS BRUTOS'!$A$3:$A$500,$B40,'DADOS BRUTOS'!FU$3:FU$500)+IF($C40="",0,SUMIF('DADOS BRUTOS'!$A$3:$A$500,$C40,'DADOS BRUTOS'!FU$3:FU$500)))</f>
        <v>0</v>
      </c>
      <c r="IV40" s="133" t="n">
        <f aca="false">IF(OR(IV$4="",$B40=""),0,SUMIF('DADOS BRUTOS'!$A$3:$A$500,$B40,'DADOS BRUTOS'!FV$3:FV$500)+IF($C40="",0,SUMIF('DADOS BRUTOS'!$A$3:$A$500,$C40,'DADOS BRUTOS'!FV$3:FV$500)))</f>
        <v>0</v>
      </c>
      <c r="IW40" s="133" t="n">
        <f aca="false">IF(OR(IW$4="",$B40=""),0,SUMIF('DADOS BRUTOS'!$A$3:$A$500,$B40,'DADOS BRUTOS'!FW$3:FW$500)+IF($C40="",0,SUMIF('DADOS BRUTOS'!$A$3:$A$500,$C40,'DADOS BRUTOS'!FW$3:FW$500)))</f>
        <v>0</v>
      </c>
      <c r="IX40" s="133" t="n">
        <f aca="false">IF(OR(IX$4="",$B40=""),0,SUMIF('DADOS BRUTOS'!$A$3:$A$500,$B40,'DADOS BRUTOS'!FX$3:FX$500)+IF($C40="",0,SUMIF('DADOS BRUTOS'!$A$3:$A$500,$C40,'DADOS BRUTOS'!FX$3:FX$500)))</f>
        <v>0</v>
      </c>
      <c r="IY40" s="133" t="n">
        <f aca="false">IF(OR(IY$4="",$B40=""),0,SUMIF('DADOS BRUTOS'!$A$3:$A$500,$B40,'DADOS BRUTOS'!FY$3:FY$500)+IF($C40="",0,SUMIF('DADOS BRUTOS'!$A$3:$A$500,$C40,'DADOS BRUTOS'!FY$3:FY$500)))</f>
        <v>0</v>
      </c>
      <c r="IZ40" s="133" t="n">
        <f aca="false">IF(OR(IZ$4="",$B40=""),0,SUMIF('DADOS BRUTOS'!$A$3:$A$500,$B40,'DADOS BRUTOS'!FZ$3:FZ$500)+IF($C40="",0,SUMIF('DADOS BRUTOS'!$A$3:$A$500,$C40,'DADOS BRUTOS'!FZ$3:FZ$500)))</f>
        <v>0</v>
      </c>
      <c r="JA40" s="133" t="n">
        <f aca="false">IF(OR(JA$4="",$B40=""),0,SUMIF('DADOS BRUTOS'!$A$3:$A$500,$B40,'DADOS BRUTOS'!GA$3:GA$500)+IF($C40="",0,SUMIF('DADOS BRUTOS'!$A$3:$A$500,$C40,'DADOS BRUTOS'!GA$3:GA$500)))</f>
        <v>0</v>
      </c>
      <c r="JB40" s="133" t="n">
        <f aca="false">IF(OR(JB$4="",$B40=""),0,SUMIF('DADOS BRUTOS'!$A$3:$A$500,$B40,'DADOS BRUTOS'!GB$3:GB$500)+IF($C40="",0,SUMIF('DADOS BRUTOS'!$A$3:$A$500,$C40,'DADOS BRUTOS'!GB$3:GB$500)))</f>
        <v>0</v>
      </c>
      <c r="JC40" s="133" t="n">
        <f aca="false">IF(OR(JC$4="",$B40=""),0,SUMIF('DADOS BRUTOS'!$A$3:$A$500,$B40,'DADOS BRUTOS'!GC$3:GC$500)+IF($C40="",0,SUMIF('DADOS BRUTOS'!$A$3:$A$500,$C40,'DADOS BRUTOS'!GC$3:GC$500)))</f>
        <v>0</v>
      </c>
      <c r="JD40" s="133" t="n">
        <f aca="false">IF(OR(JD$4="",$B40=""),0,SUMIF('DADOS BRUTOS'!$A$3:$A$500,$B40,'DADOS BRUTOS'!GD$3:GD$500)+IF($C40="",0,SUMIF('DADOS BRUTOS'!$A$3:$A$500,$C40,'DADOS BRUTOS'!GD$3:GD$500)))</f>
        <v>0</v>
      </c>
      <c r="JE40" s="133" t="n">
        <f aca="false">IF(OR(JE$4="",$B40=""),0,SUMIF('DADOS BRUTOS'!$A$3:$A$500,$B40,'DADOS BRUTOS'!GE$3:GE$500)+IF($C40="",0,SUMIF('DADOS BRUTOS'!$A$3:$A$500,$C40,'DADOS BRUTOS'!GE$3:GE$500)))</f>
        <v>0</v>
      </c>
      <c r="JF40" s="133" t="n">
        <f aca="false">IF(OR(JF$4="",$B40=""),0,SUMIF('DADOS BRUTOS'!$A$3:$A$500,$B40,'DADOS BRUTOS'!GF$3:GF$500)+IF($C40="",0,SUMIF('DADOS BRUTOS'!$A$3:$A$500,$C40,'DADOS BRUTOS'!GF$3:GF$500)))</f>
        <v>0</v>
      </c>
      <c r="JG40" s="133" t="n">
        <f aca="false">IF(OR(JG$4="",$B40=""),0,SUMIF('DADOS BRUTOS'!$A$3:$A$500,$B40,'DADOS BRUTOS'!GG$3:GG$500)+IF($C40="",0,SUMIF('DADOS BRUTOS'!$A$3:$A$500,$C40,'DADOS BRUTOS'!GG$3:GG$500)))</f>
        <v>0</v>
      </c>
      <c r="JH40" s="133" t="n">
        <f aca="false">IF(OR(JH$4="",$B40=""),0,SUMIF('DADOS BRUTOS'!$A$3:$A$500,$B40,'DADOS BRUTOS'!GH$3:GH$500)+IF($C40="",0,SUMIF('DADOS BRUTOS'!$A$3:$A$500,$C40,'DADOS BRUTOS'!GH$3:GH$500)))</f>
        <v>0</v>
      </c>
      <c r="JI40" s="133" t="n">
        <f aca="false">IF(OR(JI$4="",$B40=""),0,SUMIF('DADOS BRUTOS'!$A$3:$A$500,$B40,'DADOS BRUTOS'!GI$3:GI$500)+IF($C40="",0,SUMIF('DADOS BRUTOS'!$A$3:$A$500,$C40,'DADOS BRUTOS'!GI$3:GI$500)))</f>
        <v>0</v>
      </c>
      <c r="JJ40" s="133" t="n">
        <f aca="false">IF(OR(JJ$4="",$B40=""),0,SUMIF('DADOS BRUTOS'!$A$3:$A$500,$B40,'DADOS BRUTOS'!GJ$3:GJ$500)+IF($C40="",0,SUMIF('DADOS BRUTOS'!$A$3:$A$500,$C40,'DADOS BRUTOS'!GJ$3:GJ$500)))</f>
        <v>0</v>
      </c>
      <c r="JK40" s="133" t="n">
        <f aca="false">IF(OR(JK$4="",$B40=""),0,SUMIF('DADOS BRUTOS'!$A$3:$A$500,$B40,'DADOS BRUTOS'!GK$3:GK$500)+IF($C40="",0,SUMIF('DADOS BRUTOS'!$A$3:$A$500,$C40,'DADOS BRUTOS'!GK$3:GK$500)))</f>
        <v>0</v>
      </c>
      <c r="JL40" s="133" t="n">
        <f aca="false">IF(OR(JL$4="",$B40=""),0,SUMIF('DADOS BRUTOS'!$A$3:$A$500,$B40,'DADOS BRUTOS'!GL$3:GL$500)+IF($C40="",0,SUMIF('DADOS BRUTOS'!$A$3:$A$500,$C40,'DADOS BRUTOS'!GL$3:GL$500)))</f>
        <v>0</v>
      </c>
      <c r="JM40" s="133" t="n">
        <f aca="false">IF(OR(JM$4="",$B40=""),0,SUMIF('DADOS BRUTOS'!$A$3:$A$500,$B40,'DADOS BRUTOS'!GM$3:GM$500)+IF($C40="",0,SUMIF('DADOS BRUTOS'!$A$3:$A$500,$C40,'DADOS BRUTOS'!GM$3:GM$500)))</f>
        <v>0</v>
      </c>
      <c r="JN40" s="133" t="n">
        <f aca="false">IF(OR(JN$4="",$B40=""),0,SUMIF('DADOS BRUTOS'!$A$3:$A$500,$B40,'DADOS BRUTOS'!GN$3:GN$500)+IF($C40="",0,SUMIF('DADOS BRUTOS'!$A$3:$A$500,$C40,'DADOS BRUTOS'!GN$3:GN$500)))</f>
        <v>0</v>
      </c>
      <c r="JO40" s="133" t="n">
        <f aca="false">IF(OR(JO$4="",$B40=""),0,SUMIF('DADOS BRUTOS'!$A$3:$A$500,$B40,'DADOS BRUTOS'!GO$3:GO$500)+IF($C40="",0,SUMIF('DADOS BRUTOS'!$A$3:$A$500,$C40,'DADOS BRUTOS'!GO$3:GO$500)))</f>
        <v>0</v>
      </c>
      <c r="JP40" s="133" t="n">
        <f aca="false">IF(OR(JP$4="",$B40=""),0,SUMIF('DADOS BRUTOS'!$A$3:$A$500,$B40,'DADOS BRUTOS'!GP$3:GP$500)+IF($C40="",0,SUMIF('DADOS BRUTOS'!$A$3:$A$500,$C40,'DADOS BRUTOS'!GP$3:GP$500)))</f>
        <v>0</v>
      </c>
      <c r="JQ40" s="133" t="n">
        <f aca="false">IF(OR(JQ$4="",$B40=""),0,SUMIF('DADOS BRUTOS'!$A$3:$A$500,$B40,'DADOS BRUTOS'!GQ$3:GQ$500)+IF($C40="",0,SUMIF('DADOS BRUTOS'!$A$3:$A$500,$C40,'DADOS BRUTOS'!GQ$3:GQ$500)))</f>
        <v>0</v>
      </c>
      <c r="JR40" s="133" t="n">
        <f aca="false">IF(OR(JR$4="",$B40=""),0,SUMIF('DADOS BRUTOS'!$A$3:$A$500,$B40,'DADOS BRUTOS'!GR$3:GR$500)+IF($C40="",0,SUMIF('DADOS BRUTOS'!$A$3:$A$500,$C40,'DADOS BRUTOS'!GR$3:GR$500)))</f>
        <v>0</v>
      </c>
      <c r="JS40" s="133" t="n">
        <f aca="false">IF(OR(JS$4="",$B40=""),0,SUMIF('DADOS BRUTOS'!$A$3:$A$500,$B40,'DADOS BRUTOS'!GS$3:GS$500)+IF($C40="",0,SUMIF('DADOS BRUTOS'!$A$3:$A$500,$C40,'DADOS BRUTOS'!GS$3:GS$500)))</f>
        <v>0</v>
      </c>
    </row>
    <row r="41" customFormat="false" ht="15" hidden="false" customHeight="false" outlineLevel="0" collapsed="false">
      <c r="A41" s="57" t="str">
        <f aca="false">'VALOR POR PL'!D47</f>
        <v>LIMPEZA FINAL DE OBRA</v>
      </c>
      <c r="B41" s="55" t="s">
        <v>231</v>
      </c>
      <c r="C41" s="55"/>
      <c r="D41" s="50" t="n">
        <f aca="false">SUMIF($CB$4:$JS$4,"&lt;="&amp;D$4,$CB41:$JS41)</f>
        <v>0</v>
      </c>
      <c r="E41" s="50" t="n">
        <f aca="false">SUMIF($CB$4:$JS$4,E$4,$CB41:$JS41)</f>
        <v>0</v>
      </c>
      <c r="F41" s="50" t="n">
        <f aca="false">SUMIF($CB$4:$JS$4,F$4,$CB41:$JS41)</f>
        <v>0</v>
      </c>
      <c r="G41" s="50" t="n">
        <f aca="false">SUMIF($CB$4:$JS$4,G$4,$CB41:$JS41)</f>
        <v>0</v>
      </c>
      <c r="H41" s="50" t="n">
        <f aca="false">SUMIF($CB$4:$JS$4,H$4,$CB41:$JS41)</f>
        <v>0</v>
      </c>
      <c r="I41" s="50" t="n">
        <f aca="false">SUMIF($CB$4:$JS$4,I$4,$CB41:$JS41)</f>
        <v>0</v>
      </c>
      <c r="J41" s="50" t="n">
        <f aca="false">SUMIF($CB$4:$JS$4,J$4,$CB41:$JS41)</f>
        <v>0</v>
      </c>
      <c r="K41" s="50" t="n">
        <f aca="false">SUMIF($CB$4:$JS$4,K$4,$CB41:$JS41)</f>
        <v>0</v>
      </c>
      <c r="L41" s="50" t="n">
        <f aca="false">SUMIF($CB$4:$JS$4,L$4,$CB41:$JS41)</f>
        <v>0</v>
      </c>
      <c r="M41" s="50" t="n">
        <f aca="false">SUMIF($CB$4:$JS$4,M$4,$CB41:$JS41)</f>
        <v>0</v>
      </c>
      <c r="N41" s="50" t="n">
        <f aca="false">SUMIF($CB$4:$JS$4,N$4,$CB41:$JS41)</f>
        <v>0</v>
      </c>
      <c r="O41" s="50" t="n">
        <f aca="false">SUMIF($CB$4:$JS$4,O$4,$CB41:$JS41)</f>
        <v>0</v>
      </c>
      <c r="P41" s="50" t="n">
        <f aca="false">SUMIF($CB$4:$JS$4,P$4,$CB41:$JS41)</f>
        <v>0</v>
      </c>
      <c r="Q41" s="50" t="n">
        <f aca="false">SUMIF($CB$4:$JS$4,Q$4,$CB41:$JS41)</f>
        <v>0</v>
      </c>
      <c r="R41" s="50" t="n">
        <f aca="false">SUMIF($CB$4:$JS$4,R$4,$CB41:$JS41)</f>
        <v>0</v>
      </c>
      <c r="S41" s="50" t="n">
        <f aca="false">SUMIF($CB$4:$JS$4,S$4,$CB41:$JS41)</f>
        <v>0</v>
      </c>
      <c r="T41" s="50" t="n">
        <f aca="false">SUMIF($CB$4:$JS$4,T$4,$CB41:$JS41)</f>
        <v>0</v>
      </c>
      <c r="U41" s="50" t="n">
        <f aca="false">SUMIF($CB$4:$JS$4,U$4,$CB41:$JS41)</f>
        <v>0</v>
      </c>
      <c r="V41" s="50" t="n">
        <f aca="false">SUMIF($CB$4:$JS$4,V$4,$CB41:$JS41)</f>
        <v>0</v>
      </c>
      <c r="W41" s="50" t="n">
        <f aca="false">SUMIF($CB$4:$JS$4,W$4,$CB41:$JS41)</f>
        <v>0</v>
      </c>
      <c r="X41" s="50" t="n">
        <f aca="false">SUMIF($CB$4:$JS$4,X$4,$CB41:$JS41)</f>
        <v>0</v>
      </c>
      <c r="Y41" s="50" t="n">
        <f aca="false">SUMIF($CB$4:$JS$4,Y$4,$CB41:$JS41)</f>
        <v>0</v>
      </c>
      <c r="Z41" s="50" t="n">
        <f aca="false">SUMIF($CB$4:$JS$4,Z$4,$CB41:$JS41)</f>
        <v>0</v>
      </c>
      <c r="AA41" s="50" t="n">
        <f aca="false">SUMIF($CB$4:$JS$4,AA$4,$CB41:$JS41)</f>
        <v>0</v>
      </c>
      <c r="AB41" s="50" t="n">
        <f aca="false">SUMIF($CB$4:$JS$4,AB$4,$CB41:$JS41)</f>
        <v>0</v>
      </c>
      <c r="AC41" s="50" t="n">
        <f aca="false">SUMIF($CB$4:$JS$4,AC$4,$CB41:$JS41)</f>
        <v>0</v>
      </c>
      <c r="AD41" s="50" t="n">
        <f aca="false">SUMIF($CB$4:$JS$4,AD$4,$CB41:$JS41)</f>
        <v>0</v>
      </c>
      <c r="AE41" s="50" t="n">
        <f aca="false">SUMIF($CB$4:$JS$4,AE$4,$CB41:$JS41)</f>
        <v>0</v>
      </c>
      <c r="AF41" s="50" t="n">
        <f aca="false">SUMIF($CB$4:$JS$4,AF$4,$CB41:$JS41)</f>
        <v>0</v>
      </c>
      <c r="AG41" s="50" t="n">
        <f aca="false">SUMIF($CB$4:$JS$4,AG$4,$CB41:$JS41)</f>
        <v>0</v>
      </c>
      <c r="AH41" s="50" t="n">
        <f aca="false">SUMIF($CB$4:$JS$4,AH$4,$CB41:$JS41)</f>
        <v>0</v>
      </c>
      <c r="AI41" s="50" t="n">
        <f aca="false">SUMIF($CB$4:$JS$4,AI$4,$CB41:$JS41)</f>
        <v>0</v>
      </c>
      <c r="AJ41" s="50" t="n">
        <f aca="false">SUMIF($CB$4:$JS$4,AJ$4,$CB41:$JS41)</f>
        <v>0</v>
      </c>
      <c r="AK41" s="50" t="n">
        <f aca="false">SUMIF($CB$4:$JS$4,AK$4,$CB41:$JS41)</f>
        <v>0</v>
      </c>
      <c r="AL41" s="50" t="n">
        <f aca="false">SUMIF($CB$4:$JS$4,AL$4,$CB41:$JS41)</f>
        <v>0</v>
      </c>
      <c r="AM41" s="50" t="n">
        <f aca="false">SUMIF($CB$4:$JS$4,AM$4,$CB41:$JS41)</f>
        <v>0</v>
      </c>
      <c r="AN41" s="50" t="n">
        <f aca="false">SUMIF($CB$4:$JS$4,AN$4,$CB41:$JS41)</f>
        <v>0</v>
      </c>
      <c r="AO41" s="50" t="n">
        <f aca="false">SUMIF($CB$4:$JS$4,AO$4,$CB41:$JS41)</f>
        <v>0</v>
      </c>
      <c r="AP41" s="50" t="n">
        <f aca="false">SUMIF($CB$4:$JS$4,AP$4,$CB41:$JS41)</f>
        <v>0</v>
      </c>
      <c r="AQ41" s="50" t="n">
        <f aca="false">SUMIF($CB$4:$JS$4,AQ$4,$CB41:$JS41)</f>
        <v>0</v>
      </c>
      <c r="AR41" s="50" t="n">
        <f aca="false">SUMIF($CB$4:$JS$4,AR$4,$CB41:$JS41)</f>
        <v>0</v>
      </c>
      <c r="AS41" s="50" t="n">
        <f aca="false">SUMIF($CB$4:$JS$4,AS$4,$CB41:$JS41)</f>
        <v>0</v>
      </c>
      <c r="AT41" s="50" t="n">
        <f aca="false">SUMIF($CB$4:$JS$4,AT$4,$CB41:$JS41)</f>
        <v>0</v>
      </c>
      <c r="AU41" s="50" t="n">
        <f aca="false">SUMIF($CB$4:$JS$4,AU$4,$CB41:$JS41)</f>
        <v>0</v>
      </c>
      <c r="AV41" s="50" t="n">
        <f aca="false">SUMIF($CB$4:$JS$4,AV$4,$CB41:$JS41)</f>
        <v>0</v>
      </c>
      <c r="AW41" s="50" t="n">
        <f aca="false">SUMIF($CB$4:$JS$4,AW$4,$CB41:$JS41)</f>
        <v>0</v>
      </c>
      <c r="AX41" s="50" t="n">
        <f aca="false">SUMIF($CB$4:$JS$4,AX$4,$CB41:$JS41)</f>
        <v>0</v>
      </c>
      <c r="AY41" s="50" t="n">
        <f aca="false">SUMIF($CB$4:$JS$4,AY$4,$CB41:$JS41)</f>
        <v>0</v>
      </c>
      <c r="AZ41" s="50" t="n">
        <f aca="false">SUMIF($CB$4:$JS$4,AZ$4,$CB41:$JS41)</f>
        <v>0</v>
      </c>
      <c r="BA41" s="50" t="n">
        <f aca="false">SUMIF($CB$4:$JS$4,BA$4,$CB41:$JS41)</f>
        <v>0</v>
      </c>
      <c r="BB41" s="50" t="n">
        <f aca="false">SUMIF($CB$4:$JS$4,BB$4,$CB41:$JS41)</f>
        <v>0</v>
      </c>
      <c r="BC41" s="50" t="n">
        <f aca="false">SUMIF($CB$4:$JS$4,BC$4,$CB41:$JS41)</f>
        <v>0</v>
      </c>
      <c r="BD41" s="50" t="n">
        <f aca="false">SUMIF($CB$4:$JS$4,BD$4,$CB41:$JS41)</f>
        <v>0</v>
      </c>
      <c r="BE41" s="50" t="n">
        <f aca="false">SUMIF($CB$4:$JS$4,BE$4,$CB41:$JS41)</f>
        <v>0</v>
      </c>
      <c r="BF41" s="50" t="n">
        <f aca="false">SUMIF($CB$4:$JS$4,BF$4,$CB41:$JS41)</f>
        <v>0</v>
      </c>
      <c r="BG41" s="50" t="n">
        <f aca="false">SUMIF($CB$4:$JS$4,BG$4,$CB41:$JS41)</f>
        <v>0</v>
      </c>
      <c r="BH41" s="50" t="n">
        <f aca="false">SUMIF($CB$4:$JS$4,BH$4,$CB41:$JS41)</f>
        <v>0</v>
      </c>
      <c r="BI41" s="50" t="n">
        <f aca="false">SUMIF($CB$4:$JS$4,BI$4,$CB41:$JS41)</f>
        <v>0</v>
      </c>
      <c r="BJ41" s="50" t="n">
        <f aca="false">SUMIF($CB$4:$JS$4,BJ$4,$CB41:$JS41)</f>
        <v>0</v>
      </c>
      <c r="BK41" s="50" t="n">
        <f aca="false">SUMIF($CB$4:$JS$4,BK$4,$CB41:$JS41)</f>
        <v>0</v>
      </c>
      <c r="BL41" s="50" t="n">
        <f aca="false">SUMIF($CB$4:$JS$4,BL$4,$CB41:$JS41)</f>
        <v>0</v>
      </c>
      <c r="BM41" s="50" t="n">
        <f aca="false">SUMIF($CB$4:$JS$4,BM$4,$CB41:$JS41)</f>
        <v>0</v>
      </c>
      <c r="BN41" s="50" t="n">
        <f aca="false">SUMIF($CB$4:$JS$4,BN$4,$CB41:$JS41)</f>
        <v>0</v>
      </c>
      <c r="BO41" s="50" t="n">
        <f aca="false">SUMIF($CB$4:$JS$4,BO$4,$CB41:$JS41)</f>
        <v>0</v>
      </c>
      <c r="BP41" s="50" t="n">
        <f aca="false">SUMIF($CB$4:$JS$4,BP$4,$CB41:$JS41)</f>
        <v>0</v>
      </c>
      <c r="BQ41" s="50" t="n">
        <f aca="false">SUMIF($CB$4:$JS$4,BQ$4,$CB41:$JS41)</f>
        <v>0</v>
      </c>
      <c r="BR41" s="50" t="n">
        <f aca="false">SUMIF($CB$4:$JS$4,BR$4,$CB41:$JS41)</f>
        <v>0</v>
      </c>
      <c r="BS41" s="50" t="n">
        <f aca="false">SUMIF($CB$4:$JS$4,BS$4,$CB41:$JS41)</f>
        <v>0</v>
      </c>
      <c r="BT41" s="50" t="n">
        <f aca="false">SUMIF($CB$4:$JS$4,BT$4,$CB41:$JS41)</f>
        <v>0</v>
      </c>
      <c r="BU41" s="50" t="n">
        <f aca="false">SUMIF($CB$4:$JS$4,BU$4,$CB41:$JS41)</f>
        <v>0</v>
      </c>
      <c r="BV41" s="50" t="n">
        <f aca="false">SUMIF($CB$4:$JS$4,BV$4,$CB41:$JS41)</f>
        <v>0</v>
      </c>
      <c r="BW41" s="50" t="n">
        <f aca="false">SUMIF($CB$4:$JS$4,BW$4,$CB41:$JS41)</f>
        <v>0</v>
      </c>
      <c r="BX41" s="50" t="n">
        <f aca="false">SUMIF($CB$4:$JS$4,"&gt;"&amp;'VALOR POR PL'!$P$8,$CB41:$JS41)</f>
        <v>0</v>
      </c>
      <c r="BY41" s="50" t="n">
        <f aca="false">SUM($CB41:$JS41)</f>
        <v>0</v>
      </c>
      <c r="BZ41" s="45" t="n">
        <f aca="false">SUMPRODUCT(($CB$4:$JS$4&lt;&gt;"")*($CB$4:$JS$4&lt;=$D$4),$CB41:$JS41,$CB$1:$JS$1)</f>
        <v>0</v>
      </c>
      <c r="CB41" s="133" t="n">
        <f aca="false">IF(OR(CB$4="",$B41=""),0,SUMIF('DADOS BRUTOS'!$A$3:$A$500,$B41,'DADOS BRUTOS'!B$3:B$500)+IF($C41="",0,SUMIF('DADOS BRUTOS'!$A$3:$A$500,$C41,'DADOS BRUTOS'!B$3:B$500)))</f>
        <v>0</v>
      </c>
      <c r="CC41" s="133" t="n">
        <f aca="false">IF(OR(CC$4="",$B41=""),0,SUMIF('DADOS BRUTOS'!$A$3:$A$500,$B41,'DADOS BRUTOS'!C$3:C$500)+IF($C41="",0,SUMIF('DADOS BRUTOS'!$A$3:$A$500,$C41,'DADOS BRUTOS'!C$3:C$500)))</f>
        <v>0</v>
      </c>
      <c r="CD41" s="133" t="n">
        <f aca="false">IF(OR(CD$4="",$B41=""),0,SUMIF('DADOS BRUTOS'!$A$3:$A$500,$B41,'DADOS BRUTOS'!D$3:D$500)+IF($C41="",0,SUMIF('DADOS BRUTOS'!$A$3:$A$500,$C41,'DADOS BRUTOS'!D$3:D$500)))</f>
        <v>0</v>
      </c>
      <c r="CE41" s="133" t="n">
        <f aca="false">IF(OR(CE$4="",$B41=""),0,SUMIF('DADOS BRUTOS'!$A$3:$A$500,$B41,'DADOS BRUTOS'!E$3:E$500)+IF($C41="",0,SUMIF('DADOS BRUTOS'!$A$3:$A$500,$C41,'DADOS BRUTOS'!E$3:E$500)))</f>
        <v>0</v>
      </c>
      <c r="CF41" s="133" t="n">
        <f aca="false">IF(OR(CF$4="",$B41=""),0,SUMIF('DADOS BRUTOS'!$A$3:$A$500,$B41,'DADOS BRUTOS'!F$3:F$500)+IF($C41="",0,SUMIF('DADOS BRUTOS'!$A$3:$A$500,$C41,'DADOS BRUTOS'!F$3:F$500)))</f>
        <v>0</v>
      </c>
      <c r="CG41" s="133" t="n">
        <f aca="false">IF(OR(CG$4="",$B41=""),0,SUMIF('DADOS BRUTOS'!$A$3:$A$500,$B41,'DADOS BRUTOS'!G$3:G$500)+IF($C41="",0,SUMIF('DADOS BRUTOS'!$A$3:$A$500,$C41,'DADOS BRUTOS'!G$3:G$500)))</f>
        <v>0</v>
      </c>
      <c r="CH41" s="133" t="n">
        <f aca="false">IF(OR(CH$4="",$B41=""),0,SUMIF('DADOS BRUTOS'!$A$3:$A$500,$B41,'DADOS BRUTOS'!H$3:H$500)+IF($C41="",0,SUMIF('DADOS BRUTOS'!$A$3:$A$500,$C41,'DADOS BRUTOS'!H$3:H$500)))</f>
        <v>0</v>
      </c>
      <c r="CI41" s="133" t="n">
        <f aca="false">IF(OR(CI$4="",$B41=""),0,SUMIF('DADOS BRUTOS'!$A$3:$A$500,$B41,'DADOS BRUTOS'!I$3:I$500)+IF($C41="",0,SUMIF('DADOS BRUTOS'!$A$3:$A$500,$C41,'DADOS BRUTOS'!I$3:I$500)))</f>
        <v>0</v>
      </c>
      <c r="CJ41" s="133" t="n">
        <f aca="false">IF(OR(CJ$4="",$B41=""),0,SUMIF('DADOS BRUTOS'!$A$3:$A$500,$B41,'DADOS BRUTOS'!J$3:J$500)+IF($C41="",0,SUMIF('DADOS BRUTOS'!$A$3:$A$500,$C41,'DADOS BRUTOS'!J$3:J$500)))</f>
        <v>0</v>
      </c>
      <c r="CK41" s="133" t="n">
        <f aca="false">IF(OR(CK$4="",$B41=""),0,SUMIF('DADOS BRUTOS'!$A$3:$A$500,$B41,'DADOS BRUTOS'!K$3:K$500)+IF($C41="",0,SUMIF('DADOS BRUTOS'!$A$3:$A$500,$C41,'DADOS BRUTOS'!K$3:K$500)))</f>
        <v>0</v>
      </c>
      <c r="CL41" s="133" t="n">
        <f aca="false">IF(OR(CL$4="",$B41=""),0,SUMIF('DADOS BRUTOS'!$A$3:$A$500,$B41,'DADOS BRUTOS'!L$3:L$500)+IF($C41="",0,SUMIF('DADOS BRUTOS'!$A$3:$A$500,$C41,'DADOS BRUTOS'!L$3:L$500)))</f>
        <v>0</v>
      </c>
      <c r="CM41" s="133" t="n">
        <f aca="false">IF(OR(CM$4="",$B41=""),0,SUMIF('DADOS BRUTOS'!$A$3:$A$500,$B41,'DADOS BRUTOS'!M$3:M$500)+IF($C41="",0,SUMIF('DADOS BRUTOS'!$A$3:$A$500,$C41,'DADOS BRUTOS'!M$3:M$500)))</f>
        <v>0</v>
      </c>
      <c r="CN41" s="133" t="n">
        <f aca="false">IF(OR(CN$4="",$B41=""),0,SUMIF('DADOS BRUTOS'!$A$3:$A$500,$B41,'DADOS BRUTOS'!N$3:N$500)+IF($C41="",0,SUMIF('DADOS BRUTOS'!$A$3:$A$500,$C41,'DADOS BRUTOS'!N$3:N$500)))</f>
        <v>0</v>
      </c>
      <c r="CO41" s="133" t="n">
        <f aca="false">IF(OR(CO$4="",$B41=""),0,SUMIF('DADOS BRUTOS'!$A$3:$A$500,$B41,'DADOS BRUTOS'!O$3:O$500)+IF($C41="",0,SUMIF('DADOS BRUTOS'!$A$3:$A$500,$C41,'DADOS BRUTOS'!O$3:O$500)))</f>
        <v>0</v>
      </c>
      <c r="CP41" s="133" t="n">
        <f aca="false">IF(OR(CP$4="",$B41=""),0,SUMIF('DADOS BRUTOS'!$A$3:$A$500,$B41,'DADOS BRUTOS'!P$3:P$500)+IF($C41="",0,SUMIF('DADOS BRUTOS'!$A$3:$A$500,$C41,'DADOS BRUTOS'!P$3:P$500)))</f>
        <v>0</v>
      </c>
      <c r="CQ41" s="133" t="n">
        <f aca="false">IF(OR(CQ$4="",$B41=""),0,SUMIF('DADOS BRUTOS'!$A$3:$A$500,$B41,'DADOS BRUTOS'!Q$3:Q$500)+IF($C41="",0,SUMIF('DADOS BRUTOS'!$A$3:$A$500,$C41,'DADOS BRUTOS'!Q$3:Q$500)))</f>
        <v>0</v>
      </c>
      <c r="CR41" s="133" t="n">
        <f aca="false">IF(OR(CR$4="",$B41=""),0,SUMIF('DADOS BRUTOS'!$A$3:$A$500,$B41,'DADOS BRUTOS'!R$3:R$500)+IF($C41="",0,SUMIF('DADOS BRUTOS'!$A$3:$A$500,$C41,'DADOS BRUTOS'!R$3:R$500)))</f>
        <v>0</v>
      </c>
      <c r="CS41" s="133" t="n">
        <f aca="false">IF(OR(CS$4="",$B41=""),0,SUMIF('DADOS BRUTOS'!$A$3:$A$500,$B41,'DADOS BRUTOS'!S$3:S$500)+IF($C41="",0,SUMIF('DADOS BRUTOS'!$A$3:$A$500,$C41,'DADOS BRUTOS'!S$3:S$500)))</f>
        <v>0</v>
      </c>
      <c r="CT41" s="133" t="n">
        <f aca="false">IF(OR(CT$4="",$B41=""),0,SUMIF('DADOS BRUTOS'!$A$3:$A$500,$B41,'DADOS BRUTOS'!T$3:T$500)+IF($C41="",0,SUMIF('DADOS BRUTOS'!$A$3:$A$500,$C41,'DADOS BRUTOS'!T$3:T$500)))</f>
        <v>0</v>
      </c>
      <c r="CU41" s="133" t="n">
        <f aca="false">IF(OR(CU$4="",$B41=""),0,SUMIF('DADOS BRUTOS'!$A$3:$A$500,$B41,'DADOS BRUTOS'!U$3:U$500)+IF($C41="",0,SUMIF('DADOS BRUTOS'!$A$3:$A$500,$C41,'DADOS BRUTOS'!U$3:U$500)))</f>
        <v>0</v>
      </c>
      <c r="CV41" s="133" t="n">
        <f aca="false">IF(OR(CV$4="",$B41=""),0,SUMIF('DADOS BRUTOS'!$A$3:$A$500,$B41,'DADOS BRUTOS'!V$3:V$500)+IF($C41="",0,SUMIF('DADOS BRUTOS'!$A$3:$A$500,$C41,'DADOS BRUTOS'!V$3:V$500)))</f>
        <v>0</v>
      </c>
      <c r="CW41" s="133" t="n">
        <f aca="false">IF(OR(CW$4="",$B41=""),0,SUMIF('DADOS BRUTOS'!$A$3:$A$500,$B41,'DADOS BRUTOS'!W$3:W$500)+IF($C41="",0,SUMIF('DADOS BRUTOS'!$A$3:$A$500,$C41,'DADOS BRUTOS'!W$3:W$500)))</f>
        <v>0</v>
      </c>
      <c r="CX41" s="133" t="n">
        <f aca="false">IF(OR(CX$4="",$B41=""),0,SUMIF('DADOS BRUTOS'!$A$3:$A$500,$B41,'DADOS BRUTOS'!X$3:X$500)+IF($C41="",0,SUMIF('DADOS BRUTOS'!$A$3:$A$500,$C41,'DADOS BRUTOS'!X$3:X$500)))</f>
        <v>0</v>
      </c>
      <c r="CY41" s="133" t="n">
        <f aca="false">IF(OR(CY$4="",$B41=""),0,SUMIF('DADOS BRUTOS'!$A$3:$A$500,$B41,'DADOS BRUTOS'!Y$3:Y$500)+IF($C41="",0,SUMIF('DADOS BRUTOS'!$A$3:$A$500,$C41,'DADOS BRUTOS'!Y$3:Y$500)))</f>
        <v>0</v>
      </c>
      <c r="CZ41" s="133" t="n">
        <f aca="false">IF(OR(CZ$4="",$B41=""),0,SUMIF('DADOS BRUTOS'!$A$3:$A$500,$B41,'DADOS BRUTOS'!Z$3:Z$500)+IF($C41="",0,SUMIF('DADOS BRUTOS'!$A$3:$A$500,$C41,'DADOS BRUTOS'!Z$3:Z$500)))</f>
        <v>0</v>
      </c>
      <c r="DA41" s="133" t="n">
        <f aca="false">IF(OR(DA$4="",$B41=""),0,SUMIF('DADOS BRUTOS'!$A$3:$A$500,$B41,'DADOS BRUTOS'!AA$3:AA$500)+IF($C41="",0,SUMIF('DADOS BRUTOS'!$A$3:$A$500,$C41,'DADOS BRUTOS'!AA$3:AA$500)))</f>
        <v>0</v>
      </c>
      <c r="DB41" s="133" t="n">
        <f aca="false">IF(OR(DB$4="",$B41=""),0,SUMIF('DADOS BRUTOS'!$A$3:$A$500,$B41,'DADOS BRUTOS'!AB$3:AB$500)+IF($C41="",0,SUMIF('DADOS BRUTOS'!$A$3:$A$500,$C41,'DADOS BRUTOS'!AB$3:AB$500)))</f>
        <v>0</v>
      </c>
      <c r="DC41" s="133" t="n">
        <f aca="false">IF(OR(DC$4="",$B41=""),0,SUMIF('DADOS BRUTOS'!$A$3:$A$500,$B41,'DADOS BRUTOS'!AC$3:AC$500)+IF($C41="",0,SUMIF('DADOS BRUTOS'!$A$3:$A$500,$C41,'DADOS BRUTOS'!AC$3:AC$500)))</f>
        <v>0</v>
      </c>
      <c r="DD41" s="133" t="n">
        <f aca="false">IF(OR(DD$4="",$B41=""),0,SUMIF('DADOS BRUTOS'!$A$3:$A$500,$B41,'DADOS BRUTOS'!AD$3:AD$500)+IF($C41="",0,SUMIF('DADOS BRUTOS'!$A$3:$A$500,$C41,'DADOS BRUTOS'!AD$3:AD$500)))</f>
        <v>0</v>
      </c>
      <c r="DE41" s="133" t="n">
        <f aca="false">IF(OR(DE$4="",$B41=""),0,SUMIF('DADOS BRUTOS'!$A$3:$A$500,$B41,'DADOS BRUTOS'!AE$3:AE$500)+IF($C41="",0,SUMIF('DADOS BRUTOS'!$A$3:$A$500,$C41,'DADOS BRUTOS'!AE$3:AE$500)))</f>
        <v>0</v>
      </c>
      <c r="DF41" s="133" t="n">
        <f aca="false">IF(OR(DF$4="",$B41=""),0,SUMIF('DADOS BRUTOS'!$A$3:$A$500,$B41,'DADOS BRUTOS'!AF$3:AF$500)+IF($C41="",0,SUMIF('DADOS BRUTOS'!$A$3:$A$500,$C41,'DADOS BRUTOS'!AF$3:AF$500)))</f>
        <v>0</v>
      </c>
      <c r="DG41" s="133" t="n">
        <f aca="false">IF(OR(DG$4="",$B41=""),0,SUMIF('DADOS BRUTOS'!$A$3:$A$500,$B41,'DADOS BRUTOS'!AG$3:AG$500)+IF($C41="",0,SUMIF('DADOS BRUTOS'!$A$3:$A$500,$C41,'DADOS BRUTOS'!AG$3:AG$500)))</f>
        <v>0</v>
      </c>
      <c r="DH41" s="133" t="n">
        <f aca="false">IF(OR(DH$4="",$B41=""),0,SUMIF('DADOS BRUTOS'!$A$3:$A$500,$B41,'DADOS BRUTOS'!AH$3:AH$500)+IF($C41="",0,SUMIF('DADOS BRUTOS'!$A$3:$A$500,$C41,'DADOS BRUTOS'!AH$3:AH$500)))</f>
        <v>0</v>
      </c>
      <c r="DI41" s="133" t="n">
        <f aca="false">IF(OR(DI$4="",$B41=""),0,SUMIF('DADOS BRUTOS'!$A$3:$A$500,$B41,'DADOS BRUTOS'!AI$3:AI$500)+IF($C41="",0,SUMIF('DADOS BRUTOS'!$A$3:$A$500,$C41,'DADOS BRUTOS'!AI$3:AI$500)))</f>
        <v>0</v>
      </c>
      <c r="DJ41" s="133" t="n">
        <f aca="false">IF(OR(DJ$4="",$B41=""),0,SUMIF('DADOS BRUTOS'!$A$3:$A$500,$B41,'DADOS BRUTOS'!AJ$3:AJ$500)+IF($C41="",0,SUMIF('DADOS BRUTOS'!$A$3:$A$500,$C41,'DADOS BRUTOS'!AJ$3:AJ$500)))</f>
        <v>0</v>
      </c>
      <c r="DK41" s="133" t="n">
        <f aca="false">IF(OR(DK$4="",$B41=""),0,SUMIF('DADOS BRUTOS'!$A$3:$A$500,$B41,'DADOS BRUTOS'!AK$3:AK$500)+IF($C41="",0,SUMIF('DADOS BRUTOS'!$A$3:$A$500,$C41,'DADOS BRUTOS'!AK$3:AK$500)))</f>
        <v>0</v>
      </c>
      <c r="DL41" s="133" t="n">
        <f aca="false">IF(OR(DL$4="",$B41=""),0,SUMIF('DADOS BRUTOS'!$A$3:$A$500,$B41,'DADOS BRUTOS'!AL$3:AL$500)+IF($C41="",0,SUMIF('DADOS BRUTOS'!$A$3:$A$500,$C41,'DADOS BRUTOS'!AL$3:AL$500)))</f>
        <v>0</v>
      </c>
      <c r="DM41" s="133" t="n">
        <f aca="false">IF(OR(DM$4="",$B41=""),0,SUMIF('DADOS BRUTOS'!$A$3:$A$500,$B41,'DADOS BRUTOS'!AM$3:AM$500)+IF($C41="",0,SUMIF('DADOS BRUTOS'!$A$3:$A$500,$C41,'DADOS BRUTOS'!AM$3:AM$500)))</f>
        <v>0</v>
      </c>
      <c r="DN41" s="133" t="n">
        <f aca="false">IF(OR(DN$4="",$B41=""),0,SUMIF('DADOS BRUTOS'!$A$3:$A$500,$B41,'DADOS BRUTOS'!AN$3:AN$500)+IF($C41="",0,SUMIF('DADOS BRUTOS'!$A$3:$A$500,$C41,'DADOS BRUTOS'!AN$3:AN$500)))</f>
        <v>0</v>
      </c>
      <c r="DO41" s="133" t="n">
        <f aca="false">IF(OR(DO$4="",$B41=""),0,SUMIF('DADOS BRUTOS'!$A$3:$A$500,$B41,'DADOS BRUTOS'!AO$3:AO$500)+IF($C41="",0,SUMIF('DADOS BRUTOS'!$A$3:$A$500,$C41,'DADOS BRUTOS'!AO$3:AO$500)))</f>
        <v>0</v>
      </c>
      <c r="DP41" s="133" t="n">
        <f aca="false">IF(OR(DP$4="",$B41=""),0,SUMIF('DADOS BRUTOS'!$A$3:$A$500,$B41,'DADOS BRUTOS'!AP$3:AP$500)+IF($C41="",0,SUMIF('DADOS BRUTOS'!$A$3:$A$500,$C41,'DADOS BRUTOS'!AP$3:AP$500)))</f>
        <v>0</v>
      </c>
      <c r="DQ41" s="133" t="n">
        <f aca="false">IF(OR(DQ$4="",$B41=""),0,SUMIF('DADOS BRUTOS'!$A$3:$A$500,$B41,'DADOS BRUTOS'!AQ$3:AQ$500)+IF($C41="",0,SUMIF('DADOS BRUTOS'!$A$3:$A$500,$C41,'DADOS BRUTOS'!AQ$3:AQ$500)))</f>
        <v>0</v>
      </c>
      <c r="DR41" s="133" t="n">
        <f aca="false">IF(OR(DR$4="",$B41=""),0,SUMIF('DADOS BRUTOS'!$A$3:$A$500,$B41,'DADOS BRUTOS'!AR$3:AR$500)+IF($C41="",0,SUMIF('DADOS BRUTOS'!$A$3:$A$500,$C41,'DADOS BRUTOS'!AR$3:AR$500)))</f>
        <v>0</v>
      </c>
      <c r="DS41" s="133" t="n">
        <f aca="false">IF(OR(DS$4="",$B41=""),0,SUMIF('DADOS BRUTOS'!$A$3:$A$500,$B41,'DADOS BRUTOS'!AS$3:AS$500)+IF($C41="",0,SUMIF('DADOS BRUTOS'!$A$3:$A$500,$C41,'DADOS BRUTOS'!AS$3:AS$500)))</f>
        <v>0</v>
      </c>
      <c r="DT41" s="133" t="n">
        <f aca="false">IF(OR(DT$4="",$B41=""),0,SUMIF('DADOS BRUTOS'!$A$3:$A$500,$B41,'DADOS BRUTOS'!AT$3:AT$500)+IF($C41="",0,SUMIF('DADOS BRUTOS'!$A$3:$A$500,$C41,'DADOS BRUTOS'!AT$3:AT$500)))</f>
        <v>0</v>
      </c>
      <c r="DU41" s="133" t="n">
        <f aca="false">IF(OR(DU$4="",$B41=""),0,SUMIF('DADOS BRUTOS'!$A$3:$A$500,$B41,'DADOS BRUTOS'!AU$3:AU$500)+IF($C41="",0,SUMIF('DADOS BRUTOS'!$A$3:$A$500,$C41,'DADOS BRUTOS'!AU$3:AU$500)))</f>
        <v>0</v>
      </c>
      <c r="DV41" s="133" t="n">
        <f aca="false">IF(OR(DV$4="",$B41=""),0,SUMIF('DADOS BRUTOS'!$A$3:$A$500,$B41,'DADOS BRUTOS'!AV$3:AV$500)+IF($C41="",0,SUMIF('DADOS BRUTOS'!$A$3:$A$500,$C41,'DADOS BRUTOS'!AV$3:AV$500)))</f>
        <v>0</v>
      </c>
      <c r="DW41" s="133" t="n">
        <f aca="false">IF(OR(DW$4="",$B41=""),0,SUMIF('DADOS BRUTOS'!$A$3:$A$500,$B41,'DADOS BRUTOS'!AW$3:AW$500)+IF($C41="",0,SUMIF('DADOS BRUTOS'!$A$3:$A$500,$C41,'DADOS BRUTOS'!AW$3:AW$500)))</f>
        <v>0</v>
      </c>
      <c r="DX41" s="133" t="n">
        <f aca="false">IF(OR(DX$4="",$B41=""),0,SUMIF('DADOS BRUTOS'!$A$3:$A$500,$B41,'DADOS BRUTOS'!AX$3:AX$500)+IF($C41="",0,SUMIF('DADOS BRUTOS'!$A$3:$A$500,$C41,'DADOS BRUTOS'!AX$3:AX$500)))</f>
        <v>0</v>
      </c>
      <c r="DY41" s="133" t="n">
        <f aca="false">IF(OR(DY$4="",$B41=""),0,SUMIF('DADOS BRUTOS'!$A$3:$A$500,$B41,'DADOS BRUTOS'!AY$3:AY$500)+IF($C41="",0,SUMIF('DADOS BRUTOS'!$A$3:$A$500,$C41,'DADOS BRUTOS'!AY$3:AY$500)))</f>
        <v>0</v>
      </c>
      <c r="DZ41" s="133" t="n">
        <f aca="false">IF(OR(DZ$4="",$B41=""),0,SUMIF('DADOS BRUTOS'!$A$3:$A$500,$B41,'DADOS BRUTOS'!AZ$3:AZ$500)+IF($C41="",0,SUMIF('DADOS BRUTOS'!$A$3:$A$500,$C41,'DADOS BRUTOS'!AZ$3:AZ$500)))</f>
        <v>0</v>
      </c>
      <c r="EA41" s="133" t="n">
        <f aca="false">IF(OR(EA$4="",$B41=""),0,SUMIF('DADOS BRUTOS'!$A$3:$A$500,$B41,'DADOS BRUTOS'!BA$3:BA$500)+IF($C41="",0,SUMIF('DADOS BRUTOS'!$A$3:$A$500,$C41,'DADOS BRUTOS'!BA$3:BA$500)))</f>
        <v>0</v>
      </c>
      <c r="EB41" s="133" t="n">
        <f aca="false">IF(OR(EB$4="",$B41=""),0,SUMIF('DADOS BRUTOS'!$A$3:$A$500,$B41,'DADOS BRUTOS'!BB$3:BB$500)+IF($C41="",0,SUMIF('DADOS BRUTOS'!$A$3:$A$500,$C41,'DADOS BRUTOS'!BB$3:BB$500)))</f>
        <v>0</v>
      </c>
      <c r="EC41" s="133" t="n">
        <f aca="false">IF(OR(EC$4="",$B41=""),0,SUMIF('DADOS BRUTOS'!$A$3:$A$500,$B41,'DADOS BRUTOS'!BC$3:BC$500)+IF($C41="",0,SUMIF('DADOS BRUTOS'!$A$3:$A$500,$C41,'DADOS BRUTOS'!BC$3:BC$500)))</f>
        <v>0</v>
      </c>
      <c r="ED41" s="133" t="n">
        <f aca="false">IF(OR(ED$4="",$B41=""),0,SUMIF('DADOS BRUTOS'!$A$3:$A$500,$B41,'DADOS BRUTOS'!BD$3:BD$500)+IF($C41="",0,SUMIF('DADOS BRUTOS'!$A$3:$A$500,$C41,'DADOS BRUTOS'!BD$3:BD$500)))</f>
        <v>0</v>
      </c>
      <c r="EE41" s="133" t="n">
        <f aca="false">IF(OR(EE$4="",$B41=""),0,SUMIF('DADOS BRUTOS'!$A$3:$A$500,$B41,'DADOS BRUTOS'!BE$3:BE$500)+IF($C41="",0,SUMIF('DADOS BRUTOS'!$A$3:$A$500,$C41,'DADOS BRUTOS'!BE$3:BE$500)))</f>
        <v>0</v>
      </c>
      <c r="EF41" s="133" t="n">
        <f aca="false">IF(OR(EF$4="",$B41=""),0,SUMIF('DADOS BRUTOS'!$A$3:$A$500,$B41,'DADOS BRUTOS'!BF$3:BF$500)+IF($C41="",0,SUMIF('DADOS BRUTOS'!$A$3:$A$500,$C41,'DADOS BRUTOS'!BF$3:BF$500)))</f>
        <v>0</v>
      </c>
      <c r="EG41" s="133" t="n">
        <f aca="false">IF(OR(EG$4="",$B41=""),0,SUMIF('DADOS BRUTOS'!$A$3:$A$500,$B41,'DADOS BRUTOS'!BG$3:BG$500)+IF($C41="",0,SUMIF('DADOS BRUTOS'!$A$3:$A$500,$C41,'DADOS BRUTOS'!BG$3:BG$500)))</f>
        <v>0</v>
      </c>
      <c r="EH41" s="133" t="n">
        <f aca="false">IF(OR(EH$4="",$B41=""),0,SUMIF('DADOS BRUTOS'!$A$3:$A$500,$B41,'DADOS BRUTOS'!BH$3:BH$500)+IF($C41="",0,SUMIF('DADOS BRUTOS'!$A$3:$A$500,$C41,'DADOS BRUTOS'!BH$3:BH$500)))</f>
        <v>0</v>
      </c>
      <c r="EI41" s="133" t="n">
        <f aca="false">IF(OR(EI$4="",$B41=""),0,SUMIF('DADOS BRUTOS'!$A$3:$A$500,$B41,'DADOS BRUTOS'!BI$3:BI$500)+IF($C41="",0,SUMIF('DADOS BRUTOS'!$A$3:$A$500,$C41,'DADOS BRUTOS'!BI$3:BI$500)))</f>
        <v>0</v>
      </c>
      <c r="EJ41" s="133" t="n">
        <f aca="false">IF(OR(EJ$4="",$B41=""),0,SUMIF('DADOS BRUTOS'!$A$3:$A$500,$B41,'DADOS BRUTOS'!BJ$3:BJ$500)+IF($C41="",0,SUMIF('DADOS BRUTOS'!$A$3:$A$500,$C41,'DADOS BRUTOS'!BJ$3:BJ$500)))</f>
        <v>0</v>
      </c>
      <c r="EK41" s="133" t="n">
        <f aca="false">IF(OR(EK$4="",$B41=""),0,SUMIF('DADOS BRUTOS'!$A$3:$A$500,$B41,'DADOS BRUTOS'!BK$3:BK$500)+IF($C41="",0,SUMIF('DADOS BRUTOS'!$A$3:$A$500,$C41,'DADOS BRUTOS'!BK$3:BK$500)))</f>
        <v>0</v>
      </c>
      <c r="EL41" s="133" t="n">
        <f aca="false">IF(OR(EL$4="",$B41=""),0,SUMIF('DADOS BRUTOS'!$A$3:$A$500,$B41,'DADOS BRUTOS'!BL$3:BL$500)+IF($C41="",0,SUMIF('DADOS BRUTOS'!$A$3:$A$500,$C41,'DADOS BRUTOS'!BL$3:BL$500)))</f>
        <v>0</v>
      </c>
      <c r="EM41" s="133" t="n">
        <f aca="false">IF(OR(EM$4="",$B41=""),0,SUMIF('DADOS BRUTOS'!$A$3:$A$500,$B41,'DADOS BRUTOS'!BM$3:BM$500)+IF($C41="",0,SUMIF('DADOS BRUTOS'!$A$3:$A$500,$C41,'DADOS BRUTOS'!BM$3:BM$500)))</f>
        <v>0</v>
      </c>
      <c r="EN41" s="133" t="n">
        <f aca="false">IF(OR(EN$4="",$B41=""),0,SUMIF('DADOS BRUTOS'!$A$3:$A$500,$B41,'DADOS BRUTOS'!BN$3:BN$500)+IF($C41="",0,SUMIF('DADOS BRUTOS'!$A$3:$A$500,$C41,'DADOS BRUTOS'!BN$3:BN$500)))</f>
        <v>0</v>
      </c>
      <c r="EO41" s="133" t="n">
        <f aca="false">IF(OR(EO$4="",$B41=""),0,SUMIF('DADOS BRUTOS'!$A$3:$A$500,$B41,'DADOS BRUTOS'!BO$3:BO$500)+IF($C41="",0,SUMIF('DADOS BRUTOS'!$A$3:$A$500,$C41,'DADOS BRUTOS'!BO$3:BO$500)))</f>
        <v>0</v>
      </c>
      <c r="EP41" s="133" t="n">
        <f aca="false">IF(OR(EP$4="",$B41=""),0,SUMIF('DADOS BRUTOS'!$A$3:$A$500,$B41,'DADOS BRUTOS'!BP$3:BP$500)+IF($C41="",0,SUMIF('DADOS BRUTOS'!$A$3:$A$500,$C41,'DADOS BRUTOS'!BP$3:BP$500)))</f>
        <v>0</v>
      </c>
      <c r="EQ41" s="133" t="n">
        <f aca="false">IF(OR(EQ$4="",$B41=""),0,SUMIF('DADOS BRUTOS'!$A$3:$A$500,$B41,'DADOS BRUTOS'!BQ$3:BQ$500)+IF($C41="",0,SUMIF('DADOS BRUTOS'!$A$3:$A$500,$C41,'DADOS BRUTOS'!BQ$3:BQ$500)))</f>
        <v>0</v>
      </c>
      <c r="ER41" s="133" t="n">
        <f aca="false">IF(OR(ER$4="",$B41=""),0,SUMIF('DADOS BRUTOS'!$A$3:$A$500,$B41,'DADOS BRUTOS'!BR$3:BR$500)+IF($C41="",0,SUMIF('DADOS BRUTOS'!$A$3:$A$500,$C41,'DADOS BRUTOS'!BR$3:BR$500)))</f>
        <v>0</v>
      </c>
      <c r="ES41" s="133" t="n">
        <f aca="false">IF(OR(ES$4="",$B41=""),0,SUMIF('DADOS BRUTOS'!$A$3:$A$500,$B41,'DADOS BRUTOS'!BS$3:BS$500)+IF($C41="",0,SUMIF('DADOS BRUTOS'!$A$3:$A$500,$C41,'DADOS BRUTOS'!BS$3:BS$500)))</f>
        <v>0</v>
      </c>
      <c r="ET41" s="133" t="n">
        <f aca="false">IF(OR(ET$4="",$B41=""),0,SUMIF('DADOS BRUTOS'!$A$3:$A$500,$B41,'DADOS BRUTOS'!BT$3:BT$500)+IF($C41="",0,SUMIF('DADOS BRUTOS'!$A$3:$A$500,$C41,'DADOS BRUTOS'!BT$3:BT$500)))</f>
        <v>0</v>
      </c>
      <c r="EU41" s="133" t="n">
        <f aca="false">IF(OR(EU$4="",$B41=""),0,SUMIF('DADOS BRUTOS'!$A$3:$A$500,$B41,'DADOS BRUTOS'!BU$3:BU$500)+IF($C41="",0,SUMIF('DADOS BRUTOS'!$A$3:$A$500,$C41,'DADOS BRUTOS'!BU$3:BU$500)))</f>
        <v>0</v>
      </c>
      <c r="EV41" s="133" t="n">
        <f aca="false">IF(OR(EV$4="",$B41=""),0,SUMIF('DADOS BRUTOS'!$A$3:$A$500,$B41,'DADOS BRUTOS'!BV$3:BV$500)+IF($C41="",0,SUMIF('DADOS BRUTOS'!$A$3:$A$500,$C41,'DADOS BRUTOS'!BV$3:BV$500)))</f>
        <v>0</v>
      </c>
      <c r="EW41" s="133" t="n">
        <f aca="false">IF(OR(EW$4="",$B41=""),0,SUMIF('DADOS BRUTOS'!$A$3:$A$500,$B41,'DADOS BRUTOS'!BW$3:BW$500)+IF($C41="",0,SUMIF('DADOS BRUTOS'!$A$3:$A$500,$C41,'DADOS BRUTOS'!BW$3:BW$500)))</f>
        <v>0</v>
      </c>
      <c r="EX41" s="133" t="n">
        <f aca="false">IF(OR(EX$4="",$B41=""),0,SUMIF('DADOS BRUTOS'!$A$3:$A$500,$B41,'DADOS BRUTOS'!BX$3:BX$500)+IF($C41="",0,SUMIF('DADOS BRUTOS'!$A$3:$A$500,$C41,'DADOS BRUTOS'!BX$3:BX$500)))</f>
        <v>0</v>
      </c>
      <c r="EY41" s="133" t="n">
        <f aca="false">IF(OR(EY$4="",$B41=""),0,SUMIF('DADOS BRUTOS'!$A$3:$A$500,$B41,'DADOS BRUTOS'!BY$3:BY$500)+IF($C41="",0,SUMIF('DADOS BRUTOS'!$A$3:$A$500,$C41,'DADOS BRUTOS'!BY$3:BY$500)))</f>
        <v>0</v>
      </c>
      <c r="EZ41" s="133" t="n">
        <f aca="false">IF(OR(EZ$4="",$B41=""),0,SUMIF('DADOS BRUTOS'!$A$3:$A$500,$B41,'DADOS BRUTOS'!BZ$3:BZ$500)+IF($C41="",0,SUMIF('DADOS BRUTOS'!$A$3:$A$500,$C41,'DADOS BRUTOS'!BZ$3:BZ$500)))</f>
        <v>0</v>
      </c>
      <c r="FA41" s="133" t="n">
        <f aca="false">IF(OR(FA$4="",$B41=""),0,SUMIF('DADOS BRUTOS'!$A$3:$A$500,$B41,'DADOS BRUTOS'!CA$3:CA$500)+IF($C41="",0,SUMIF('DADOS BRUTOS'!$A$3:$A$500,$C41,'DADOS BRUTOS'!CA$3:CA$500)))</f>
        <v>0</v>
      </c>
      <c r="FB41" s="133" t="n">
        <f aca="false">IF(OR(FB$4="",$B41=""),0,SUMIF('DADOS BRUTOS'!$A$3:$A$500,$B41,'DADOS BRUTOS'!CB$3:CB$500)+IF($C41="",0,SUMIF('DADOS BRUTOS'!$A$3:$A$500,$C41,'DADOS BRUTOS'!CB$3:CB$500)))</f>
        <v>0</v>
      </c>
      <c r="FC41" s="133" t="n">
        <f aca="false">IF(OR(FC$4="",$B41=""),0,SUMIF('DADOS BRUTOS'!$A$3:$A$500,$B41,'DADOS BRUTOS'!CC$3:CC$500)+IF($C41="",0,SUMIF('DADOS BRUTOS'!$A$3:$A$500,$C41,'DADOS BRUTOS'!CC$3:CC$500)))</f>
        <v>0</v>
      </c>
      <c r="FD41" s="133" t="n">
        <f aca="false">IF(OR(FD$4="",$B41=""),0,SUMIF('DADOS BRUTOS'!$A$3:$A$500,$B41,'DADOS BRUTOS'!CD$3:CD$500)+IF($C41="",0,SUMIF('DADOS BRUTOS'!$A$3:$A$500,$C41,'DADOS BRUTOS'!CD$3:CD$500)))</f>
        <v>0</v>
      </c>
      <c r="FE41" s="133" t="n">
        <f aca="false">IF(OR(FE$4="",$B41=""),0,SUMIF('DADOS BRUTOS'!$A$3:$A$500,$B41,'DADOS BRUTOS'!CE$3:CE$500)+IF($C41="",0,SUMIF('DADOS BRUTOS'!$A$3:$A$500,$C41,'DADOS BRUTOS'!CE$3:CE$500)))</f>
        <v>0</v>
      </c>
      <c r="FF41" s="133" t="n">
        <f aca="false">IF(OR(FF$4="",$B41=""),0,SUMIF('DADOS BRUTOS'!$A$3:$A$500,$B41,'DADOS BRUTOS'!CF$3:CF$500)+IF($C41="",0,SUMIF('DADOS BRUTOS'!$A$3:$A$500,$C41,'DADOS BRUTOS'!CF$3:CF$500)))</f>
        <v>0</v>
      </c>
      <c r="FG41" s="133" t="n">
        <f aca="false">IF(OR(FG$4="",$B41=""),0,SUMIF('DADOS BRUTOS'!$A$3:$A$500,$B41,'DADOS BRUTOS'!CG$3:CG$500)+IF($C41="",0,SUMIF('DADOS BRUTOS'!$A$3:$A$500,$C41,'DADOS BRUTOS'!CG$3:CG$500)))</f>
        <v>0</v>
      </c>
      <c r="FH41" s="133" t="n">
        <f aca="false">IF(OR(FH$4="",$B41=""),0,SUMIF('DADOS BRUTOS'!$A$3:$A$500,$B41,'DADOS BRUTOS'!CH$3:CH$500)+IF($C41="",0,SUMIF('DADOS BRUTOS'!$A$3:$A$500,$C41,'DADOS BRUTOS'!CH$3:CH$500)))</f>
        <v>0</v>
      </c>
      <c r="FI41" s="133" t="n">
        <f aca="false">IF(OR(FI$4="",$B41=""),0,SUMIF('DADOS BRUTOS'!$A$3:$A$500,$B41,'DADOS BRUTOS'!CI$3:CI$500)+IF($C41="",0,SUMIF('DADOS BRUTOS'!$A$3:$A$500,$C41,'DADOS BRUTOS'!CI$3:CI$500)))</f>
        <v>0</v>
      </c>
      <c r="FJ41" s="133" t="n">
        <f aca="false">IF(OR(FJ$4="",$B41=""),0,SUMIF('DADOS BRUTOS'!$A$3:$A$500,$B41,'DADOS BRUTOS'!CJ$3:CJ$500)+IF($C41="",0,SUMIF('DADOS BRUTOS'!$A$3:$A$500,$C41,'DADOS BRUTOS'!CJ$3:CJ$500)))</f>
        <v>0</v>
      </c>
      <c r="FK41" s="133" t="n">
        <f aca="false">IF(OR(FK$4="",$B41=""),0,SUMIF('DADOS BRUTOS'!$A$3:$A$500,$B41,'DADOS BRUTOS'!CK$3:CK$500)+IF($C41="",0,SUMIF('DADOS BRUTOS'!$A$3:$A$500,$C41,'DADOS BRUTOS'!CK$3:CK$500)))</f>
        <v>0</v>
      </c>
      <c r="FL41" s="133" t="n">
        <f aca="false">IF(OR(FL$4="",$B41=""),0,SUMIF('DADOS BRUTOS'!$A$3:$A$500,$B41,'DADOS BRUTOS'!CL$3:CL$500)+IF($C41="",0,SUMIF('DADOS BRUTOS'!$A$3:$A$500,$C41,'DADOS BRUTOS'!CL$3:CL$500)))</f>
        <v>0</v>
      </c>
      <c r="FM41" s="133" t="n">
        <f aca="false">IF(OR(FM$4="",$B41=""),0,SUMIF('DADOS BRUTOS'!$A$3:$A$500,$B41,'DADOS BRUTOS'!CM$3:CM$500)+IF($C41="",0,SUMIF('DADOS BRUTOS'!$A$3:$A$500,$C41,'DADOS BRUTOS'!CM$3:CM$500)))</f>
        <v>0</v>
      </c>
      <c r="FN41" s="133" t="n">
        <f aca="false">IF(OR(FN$4="",$B41=""),0,SUMIF('DADOS BRUTOS'!$A$3:$A$500,$B41,'DADOS BRUTOS'!CN$3:CN$500)+IF($C41="",0,SUMIF('DADOS BRUTOS'!$A$3:$A$500,$C41,'DADOS BRUTOS'!CN$3:CN$500)))</f>
        <v>0</v>
      </c>
      <c r="FO41" s="133" t="n">
        <f aca="false">IF(OR(FO$4="",$B41=""),0,SUMIF('DADOS BRUTOS'!$A$3:$A$500,$B41,'DADOS BRUTOS'!CO$3:CO$500)+IF($C41="",0,SUMIF('DADOS BRUTOS'!$A$3:$A$500,$C41,'DADOS BRUTOS'!CO$3:CO$500)))</f>
        <v>0</v>
      </c>
      <c r="FP41" s="133" t="n">
        <f aca="false">IF(OR(FP$4="",$B41=""),0,SUMIF('DADOS BRUTOS'!$A$3:$A$500,$B41,'DADOS BRUTOS'!CP$3:CP$500)+IF($C41="",0,SUMIF('DADOS BRUTOS'!$A$3:$A$500,$C41,'DADOS BRUTOS'!CP$3:CP$500)))</f>
        <v>0</v>
      </c>
      <c r="FQ41" s="133" t="n">
        <f aca="false">IF(OR(FQ$4="",$B41=""),0,SUMIF('DADOS BRUTOS'!$A$3:$A$500,$B41,'DADOS BRUTOS'!CQ$3:CQ$500)+IF($C41="",0,SUMIF('DADOS BRUTOS'!$A$3:$A$500,$C41,'DADOS BRUTOS'!CQ$3:CQ$500)))</f>
        <v>0</v>
      </c>
      <c r="FR41" s="133" t="n">
        <f aca="false">IF(OR(FR$4="",$B41=""),0,SUMIF('DADOS BRUTOS'!$A$3:$A$500,$B41,'DADOS BRUTOS'!CR$3:CR$500)+IF($C41="",0,SUMIF('DADOS BRUTOS'!$A$3:$A$500,$C41,'DADOS BRUTOS'!CR$3:CR$500)))</f>
        <v>0</v>
      </c>
      <c r="FS41" s="133" t="n">
        <f aca="false">IF(OR(FS$4="",$B41=""),0,SUMIF('DADOS BRUTOS'!$A$3:$A$500,$B41,'DADOS BRUTOS'!CS$3:CS$500)+IF($C41="",0,SUMIF('DADOS BRUTOS'!$A$3:$A$500,$C41,'DADOS BRUTOS'!CS$3:CS$500)))</f>
        <v>0</v>
      </c>
      <c r="FT41" s="133" t="n">
        <f aca="false">IF(OR(FT$4="",$B41=""),0,SUMIF('DADOS BRUTOS'!$A$3:$A$500,$B41,'DADOS BRUTOS'!CT$3:CT$500)+IF($C41="",0,SUMIF('DADOS BRUTOS'!$A$3:$A$500,$C41,'DADOS BRUTOS'!CT$3:CT$500)))</f>
        <v>0</v>
      </c>
      <c r="FU41" s="133" t="n">
        <f aca="false">IF(OR(FU$4="",$B41=""),0,SUMIF('DADOS BRUTOS'!$A$3:$A$500,$B41,'DADOS BRUTOS'!CU$3:CU$500)+IF($C41="",0,SUMIF('DADOS BRUTOS'!$A$3:$A$500,$C41,'DADOS BRUTOS'!CU$3:CU$500)))</f>
        <v>0</v>
      </c>
      <c r="FV41" s="133" t="n">
        <f aca="false">IF(OR(FV$4="",$B41=""),0,SUMIF('DADOS BRUTOS'!$A$3:$A$500,$B41,'DADOS BRUTOS'!CV$3:CV$500)+IF($C41="",0,SUMIF('DADOS BRUTOS'!$A$3:$A$500,$C41,'DADOS BRUTOS'!CV$3:CV$500)))</f>
        <v>0</v>
      </c>
      <c r="FW41" s="133" t="n">
        <f aca="false">IF(OR(FW$4="",$B41=""),0,SUMIF('DADOS BRUTOS'!$A$3:$A$500,$B41,'DADOS BRUTOS'!CW$3:CW$500)+IF($C41="",0,SUMIF('DADOS BRUTOS'!$A$3:$A$500,$C41,'DADOS BRUTOS'!CW$3:CW$500)))</f>
        <v>0</v>
      </c>
      <c r="FX41" s="133" t="n">
        <f aca="false">IF(OR(FX$4="",$B41=""),0,SUMIF('DADOS BRUTOS'!$A$3:$A$500,$B41,'DADOS BRUTOS'!CX$3:CX$500)+IF($C41="",0,SUMIF('DADOS BRUTOS'!$A$3:$A$500,$C41,'DADOS BRUTOS'!CX$3:CX$500)))</f>
        <v>0</v>
      </c>
      <c r="FY41" s="133" t="n">
        <f aca="false">IF(OR(FY$4="",$B41=""),0,SUMIF('DADOS BRUTOS'!$A$3:$A$500,$B41,'DADOS BRUTOS'!CY$3:CY$500)+IF($C41="",0,SUMIF('DADOS BRUTOS'!$A$3:$A$500,$C41,'DADOS BRUTOS'!CY$3:CY$500)))</f>
        <v>0</v>
      </c>
      <c r="FZ41" s="133" t="n">
        <f aca="false">IF(OR(FZ$4="",$B41=""),0,SUMIF('DADOS BRUTOS'!$A$3:$A$500,$B41,'DADOS BRUTOS'!CZ$3:CZ$500)+IF($C41="",0,SUMIF('DADOS BRUTOS'!$A$3:$A$500,$C41,'DADOS BRUTOS'!CZ$3:CZ$500)))</f>
        <v>0</v>
      </c>
      <c r="GA41" s="133" t="n">
        <f aca="false">IF(OR(GA$4="",$B41=""),0,SUMIF('DADOS BRUTOS'!$A$3:$A$500,$B41,'DADOS BRUTOS'!DA$3:DA$500)+IF($C41="",0,SUMIF('DADOS BRUTOS'!$A$3:$A$500,$C41,'DADOS BRUTOS'!DA$3:DA$500)))</f>
        <v>0</v>
      </c>
      <c r="GB41" s="133" t="n">
        <f aca="false">IF(OR(GB$4="",$B41=""),0,SUMIF('DADOS BRUTOS'!$A$3:$A$500,$B41,'DADOS BRUTOS'!DB$3:DB$500)+IF($C41="",0,SUMIF('DADOS BRUTOS'!$A$3:$A$500,$C41,'DADOS BRUTOS'!DB$3:DB$500)))</f>
        <v>0</v>
      </c>
      <c r="GC41" s="133" t="n">
        <f aca="false">IF(OR(GC$4="",$B41=""),0,SUMIF('DADOS BRUTOS'!$A$3:$A$500,$B41,'DADOS BRUTOS'!DC$3:DC$500)+IF($C41="",0,SUMIF('DADOS BRUTOS'!$A$3:$A$500,$C41,'DADOS BRUTOS'!DC$3:DC$500)))</f>
        <v>0</v>
      </c>
      <c r="GD41" s="133" t="n">
        <f aca="false">IF(OR(GD$4="",$B41=""),0,SUMIF('DADOS BRUTOS'!$A$3:$A$500,$B41,'DADOS BRUTOS'!DD$3:DD$500)+IF($C41="",0,SUMIF('DADOS BRUTOS'!$A$3:$A$500,$C41,'DADOS BRUTOS'!DD$3:DD$500)))</f>
        <v>0</v>
      </c>
      <c r="GE41" s="133" t="n">
        <f aca="false">IF(OR(GE$4="",$B41=""),0,SUMIF('DADOS BRUTOS'!$A$3:$A$500,$B41,'DADOS BRUTOS'!DE$3:DE$500)+IF($C41="",0,SUMIF('DADOS BRUTOS'!$A$3:$A$500,$C41,'DADOS BRUTOS'!DE$3:DE$500)))</f>
        <v>0</v>
      </c>
      <c r="GF41" s="133" t="n">
        <f aca="false">IF(OR(GF$4="",$B41=""),0,SUMIF('DADOS BRUTOS'!$A$3:$A$500,$B41,'DADOS BRUTOS'!DF$3:DF$500)+IF($C41="",0,SUMIF('DADOS BRUTOS'!$A$3:$A$500,$C41,'DADOS BRUTOS'!DF$3:DF$500)))</f>
        <v>0</v>
      </c>
      <c r="GG41" s="133" t="n">
        <f aca="false">IF(OR(GG$4="",$B41=""),0,SUMIF('DADOS BRUTOS'!$A$3:$A$500,$B41,'DADOS BRUTOS'!DG$3:DG$500)+IF($C41="",0,SUMIF('DADOS BRUTOS'!$A$3:$A$500,$C41,'DADOS BRUTOS'!DG$3:DG$500)))</f>
        <v>0</v>
      </c>
      <c r="GH41" s="133" t="n">
        <f aca="false">IF(OR(GH$4="",$B41=""),0,SUMIF('DADOS BRUTOS'!$A$3:$A$500,$B41,'DADOS BRUTOS'!DH$3:DH$500)+IF($C41="",0,SUMIF('DADOS BRUTOS'!$A$3:$A$500,$C41,'DADOS BRUTOS'!DH$3:DH$500)))</f>
        <v>0</v>
      </c>
      <c r="GI41" s="133" t="n">
        <f aca="false">IF(OR(GI$4="",$B41=""),0,SUMIF('DADOS BRUTOS'!$A$3:$A$500,$B41,'DADOS BRUTOS'!DI$3:DI$500)+IF($C41="",0,SUMIF('DADOS BRUTOS'!$A$3:$A$500,$C41,'DADOS BRUTOS'!DI$3:DI$500)))</f>
        <v>0</v>
      </c>
      <c r="GJ41" s="133" t="n">
        <f aca="false">IF(OR(GJ$4="",$B41=""),0,SUMIF('DADOS BRUTOS'!$A$3:$A$500,$B41,'DADOS BRUTOS'!DJ$3:DJ$500)+IF($C41="",0,SUMIF('DADOS BRUTOS'!$A$3:$A$500,$C41,'DADOS BRUTOS'!DJ$3:DJ$500)))</f>
        <v>0</v>
      </c>
      <c r="GK41" s="133" t="n">
        <f aca="false">IF(OR(GK$4="",$B41=""),0,SUMIF('DADOS BRUTOS'!$A$3:$A$500,$B41,'DADOS BRUTOS'!DK$3:DK$500)+IF($C41="",0,SUMIF('DADOS BRUTOS'!$A$3:$A$500,$C41,'DADOS BRUTOS'!DK$3:DK$500)))</f>
        <v>0</v>
      </c>
      <c r="GL41" s="133" t="n">
        <f aca="false">IF(OR(GL$4="",$B41=""),0,SUMIF('DADOS BRUTOS'!$A$3:$A$500,$B41,'DADOS BRUTOS'!DL$3:DL$500)+IF($C41="",0,SUMIF('DADOS BRUTOS'!$A$3:$A$500,$C41,'DADOS BRUTOS'!DL$3:DL$500)))</f>
        <v>0</v>
      </c>
      <c r="GM41" s="133" t="n">
        <f aca="false">IF(OR(GM$4="",$B41=""),0,SUMIF('DADOS BRUTOS'!$A$3:$A$500,$B41,'DADOS BRUTOS'!DM$3:DM$500)+IF($C41="",0,SUMIF('DADOS BRUTOS'!$A$3:$A$500,$C41,'DADOS BRUTOS'!DM$3:DM$500)))</f>
        <v>0</v>
      </c>
      <c r="GN41" s="133" t="n">
        <f aca="false">IF(OR(GN$4="",$B41=""),0,SUMIF('DADOS BRUTOS'!$A$3:$A$500,$B41,'DADOS BRUTOS'!DN$3:DN$500)+IF($C41="",0,SUMIF('DADOS BRUTOS'!$A$3:$A$500,$C41,'DADOS BRUTOS'!DN$3:DN$500)))</f>
        <v>0</v>
      </c>
      <c r="GO41" s="133" t="n">
        <f aca="false">IF(OR(GO$4="",$B41=""),0,SUMIF('DADOS BRUTOS'!$A$3:$A$500,$B41,'DADOS BRUTOS'!DO$3:DO$500)+IF($C41="",0,SUMIF('DADOS BRUTOS'!$A$3:$A$500,$C41,'DADOS BRUTOS'!DO$3:DO$500)))</f>
        <v>0</v>
      </c>
      <c r="GP41" s="133" t="n">
        <f aca="false">IF(OR(GP$4="",$B41=""),0,SUMIF('DADOS BRUTOS'!$A$3:$A$500,$B41,'DADOS BRUTOS'!DP$3:DP$500)+IF($C41="",0,SUMIF('DADOS BRUTOS'!$A$3:$A$500,$C41,'DADOS BRUTOS'!DP$3:DP$500)))</f>
        <v>0</v>
      </c>
      <c r="GQ41" s="133" t="n">
        <f aca="false">IF(OR(GQ$4="",$B41=""),0,SUMIF('DADOS BRUTOS'!$A$3:$A$500,$B41,'DADOS BRUTOS'!DQ$3:DQ$500)+IF($C41="",0,SUMIF('DADOS BRUTOS'!$A$3:$A$500,$C41,'DADOS BRUTOS'!DQ$3:DQ$500)))</f>
        <v>0</v>
      </c>
      <c r="GR41" s="133" t="n">
        <f aca="false">IF(OR(GR$4="",$B41=""),0,SUMIF('DADOS BRUTOS'!$A$3:$A$500,$B41,'DADOS BRUTOS'!DR$3:DR$500)+IF($C41="",0,SUMIF('DADOS BRUTOS'!$A$3:$A$500,$C41,'DADOS BRUTOS'!DR$3:DR$500)))</f>
        <v>0</v>
      </c>
      <c r="GS41" s="133" t="n">
        <f aca="false">IF(OR(GS$4="",$B41=""),0,SUMIF('DADOS BRUTOS'!$A$3:$A$500,$B41,'DADOS BRUTOS'!DS$3:DS$500)+IF($C41="",0,SUMIF('DADOS BRUTOS'!$A$3:$A$500,$C41,'DADOS BRUTOS'!DS$3:DS$500)))</f>
        <v>0</v>
      </c>
      <c r="GT41" s="133" t="n">
        <f aca="false">IF(OR(GT$4="",$B41=""),0,SUMIF('DADOS BRUTOS'!$A$3:$A$500,$B41,'DADOS BRUTOS'!DT$3:DT$500)+IF($C41="",0,SUMIF('DADOS BRUTOS'!$A$3:$A$500,$C41,'DADOS BRUTOS'!DT$3:DT$500)))</f>
        <v>0</v>
      </c>
      <c r="GU41" s="133" t="n">
        <f aca="false">IF(OR(GU$4="",$B41=""),0,SUMIF('DADOS BRUTOS'!$A$3:$A$500,$B41,'DADOS BRUTOS'!DU$3:DU$500)+IF($C41="",0,SUMIF('DADOS BRUTOS'!$A$3:$A$500,$C41,'DADOS BRUTOS'!DU$3:DU$500)))</f>
        <v>0</v>
      </c>
      <c r="GV41" s="133" t="n">
        <f aca="false">IF(OR(GV$4="",$B41=""),0,SUMIF('DADOS BRUTOS'!$A$3:$A$500,$B41,'DADOS BRUTOS'!DV$3:DV$500)+IF($C41="",0,SUMIF('DADOS BRUTOS'!$A$3:$A$500,$C41,'DADOS BRUTOS'!DV$3:DV$500)))</f>
        <v>0</v>
      </c>
      <c r="GW41" s="133" t="n">
        <f aca="false">IF(OR(GW$4="",$B41=""),0,SUMIF('DADOS BRUTOS'!$A$3:$A$500,$B41,'DADOS BRUTOS'!DW$3:DW$500)+IF($C41="",0,SUMIF('DADOS BRUTOS'!$A$3:$A$500,$C41,'DADOS BRUTOS'!DW$3:DW$500)))</f>
        <v>0</v>
      </c>
      <c r="GX41" s="133" t="n">
        <f aca="false">IF(OR(GX$4="",$B41=""),0,SUMIF('DADOS BRUTOS'!$A$3:$A$500,$B41,'DADOS BRUTOS'!DX$3:DX$500)+IF($C41="",0,SUMIF('DADOS BRUTOS'!$A$3:$A$500,$C41,'DADOS BRUTOS'!DX$3:DX$500)))</f>
        <v>0</v>
      </c>
      <c r="GY41" s="133" t="n">
        <f aca="false">IF(OR(GY$4="",$B41=""),0,SUMIF('DADOS BRUTOS'!$A$3:$A$500,$B41,'DADOS BRUTOS'!DY$3:DY$500)+IF($C41="",0,SUMIF('DADOS BRUTOS'!$A$3:$A$500,$C41,'DADOS BRUTOS'!DY$3:DY$500)))</f>
        <v>0</v>
      </c>
      <c r="GZ41" s="133" t="n">
        <f aca="false">IF(OR(GZ$4="",$B41=""),0,SUMIF('DADOS BRUTOS'!$A$3:$A$500,$B41,'DADOS BRUTOS'!DZ$3:DZ$500)+IF($C41="",0,SUMIF('DADOS BRUTOS'!$A$3:$A$500,$C41,'DADOS BRUTOS'!DZ$3:DZ$500)))</f>
        <v>0</v>
      </c>
      <c r="HA41" s="133" t="n">
        <f aca="false">IF(OR(HA$4="",$B41=""),0,SUMIF('DADOS BRUTOS'!$A$3:$A$500,$B41,'DADOS BRUTOS'!EA$3:EA$500)+IF($C41="",0,SUMIF('DADOS BRUTOS'!$A$3:$A$500,$C41,'DADOS BRUTOS'!EA$3:EA$500)))</f>
        <v>0</v>
      </c>
      <c r="HB41" s="133" t="n">
        <f aca="false">IF(OR(HB$4="",$B41=""),0,SUMIF('DADOS BRUTOS'!$A$3:$A$500,$B41,'DADOS BRUTOS'!EB$3:EB$500)+IF($C41="",0,SUMIF('DADOS BRUTOS'!$A$3:$A$500,$C41,'DADOS BRUTOS'!EB$3:EB$500)))</f>
        <v>0</v>
      </c>
      <c r="HC41" s="133" t="n">
        <f aca="false">IF(OR(HC$4="",$B41=""),0,SUMIF('DADOS BRUTOS'!$A$3:$A$500,$B41,'DADOS BRUTOS'!EC$3:EC$500)+IF($C41="",0,SUMIF('DADOS BRUTOS'!$A$3:$A$500,$C41,'DADOS BRUTOS'!EC$3:EC$500)))</f>
        <v>0</v>
      </c>
      <c r="HD41" s="133" t="n">
        <f aca="false">IF(OR(HD$4="",$B41=""),0,SUMIF('DADOS BRUTOS'!$A$3:$A$500,$B41,'DADOS BRUTOS'!ED$3:ED$500)+IF($C41="",0,SUMIF('DADOS BRUTOS'!$A$3:$A$500,$C41,'DADOS BRUTOS'!ED$3:ED$500)))</f>
        <v>0</v>
      </c>
      <c r="HE41" s="133" t="n">
        <f aca="false">IF(OR(HE$4="",$B41=""),0,SUMIF('DADOS BRUTOS'!$A$3:$A$500,$B41,'DADOS BRUTOS'!EE$3:EE$500)+IF($C41="",0,SUMIF('DADOS BRUTOS'!$A$3:$A$500,$C41,'DADOS BRUTOS'!EE$3:EE$500)))</f>
        <v>0</v>
      </c>
      <c r="HF41" s="133" t="n">
        <f aca="false">IF(OR(HF$4="",$B41=""),0,SUMIF('DADOS BRUTOS'!$A$3:$A$500,$B41,'DADOS BRUTOS'!EF$3:EF$500)+IF($C41="",0,SUMIF('DADOS BRUTOS'!$A$3:$A$500,$C41,'DADOS BRUTOS'!EF$3:EF$500)))</f>
        <v>0</v>
      </c>
      <c r="HG41" s="133" t="n">
        <f aca="false">IF(OR(HG$4="",$B41=""),0,SUMIF('DADOS BRUTOS'!$A$3:$A$500,$B41,'DADOS BRUTOS'!EG$3:EG$500)+IF($C41="",0,SUMIF('DADOS BRUTOS'!$A$3:$A$500,$C41,'DADOS BRUTOS'!EG$3:EG$500)))</f>
        <v>0</v>
      </c>
      <c r="HH41" s="133" t="n">
        <f aca="false">IF(OR(HH$4="",$B41=""),0,SUMIF('DADOS BRUTOS'!$A$3:$A$500,$B41,'DADOS BRUTOS'!EH$3:EH$500)+IF($C41="",0,SUMIF('DADOS BRUTOS'!$A$3:$A$500,$C41,'DADOS BRUTOS'!EH$3:EH$500)))</f>
        <v>0</v>
      </c>
      <c r="HI41" s="133" t="n">
        <f aca="false">IF(OR(HI$4="",$B41=""),0,SUMIF('DADOS BRUTOS'!$A$3:$A$500,$B41,'DADOS BRUTOS'!EI$3:EI$500)+IF($C41="",0,SUMIF('DADOS BRUTOS'!$A$3:$A$500,$C41,'DADOS BRUTOS'!EI$3:EI$500)))</f>
        <v>0</v>
      </c>
      <c r="HJ41" s="133" t="n">
        <f aca="false">IF(OR(HJ$4="",$B41=""),0,SUMIF('DADOS BRUTOS'!$A$3:$A$500,$B41,'DADOS BRUTOS'!EJ$3:EJ$500)+IF($C41="",0,SUMIF('DADOS BRUTOS'!$A$3:$A$500,$C41,'DADOS BRUTOS'!EJ$3:EJ$500)))</f>
        <v>0</v>
      </c>
      <c r="HK41" s="133" t="n">
        <f aca="false">IF(OR(HK$4="",$B41=""),0,SUMIF('DADOS BRUTOS'!$A$3:$A$500,$B41,'DADOS BRUTOS'!EK$3:EK$500)+IF($C41="",0,SUMIF('DADOS BRUTOS'!$A$3:$A$500,$C41,'DADOS BRUTOS'!EK$3:EK$500)))</f>
        <v>0</v>
      </c>
      <c r="HL41" s="133" t="n">
        <f aca="false">IF(OR(HL$4="",$B41=""),0,SUMIF('DADOS BRUTOS'!$A$3:$A$500,$B41,'DADOS BRUTOS'!EL$3:EL$500)+IF($C41="",0,SUMIF('DADOS BRUTOS'!$A$3:$A$500,$C41,'DADOS BRUTOS'!EL$3:EL$500)))</f>
        <v>0</v>
      </c>
      <c r="HM41" s="133" t="n">
        <f aca="false">IF(OR(HM$4="",$B41=""),0,SUMIF('DADOS BRUTOS'!$A$3:$A$500,$B41,'DADOS BRUTOS'!EM$3:EM$500)+IF($C41="",0,SUMIF('DADOS BRUTOS'!$A$3:$A$500,$C41,'DADOS BRUTOS'!EM$3:EM$500)))</f>
        <v>0</v>
      </c>
      <c r="HN41" s="133" t="n">
        <f aca="false">IF(OR(HN$4="",$B41=""),0,SUMIF('DADOS BRUTOS'!$A$3:$A$500,$B41,'DADOS BRUTOS'!EN$3:EN$500)+IF($C41="",0,SUMIF('DADOS BRUTOS'!$A$3:$A$500,$C41,'DADOS BRUTOS'!EN$3:EN$500)))</f>
        <v>0</v>
      </c>
      <c r="HO41" s="133" t="n">
        <f aca="false">IF(OR(HO$4="",$B41=""),0,SUMIF('DADOS BRUTOS'!$A$3:$A$500,$B41,'DADOS BRUTOS'!EO$3:EO$500)+IF($C41="",0,SUMIF('DADOS BRUTOS'!$A$3:$A$500,$C41,'DADOS BRUTOS'!EO$3:EO$500)))</f>
        <v>0</v>
      </c>
      <c r="HP41" s="133" t="n">
        <f aca="false">IF(OR(HP$4="",$B41=""),0,SUMIF('DADOS BRUTOS'!$A$3:$A$500,$B41,'DADOS BRUTOS'!EP$3:EP$500)+IF($C41="",0,SUMIF('DADOS BRUTOS'!$A$3:$A$500,$C41,'DADOS BRUTOS'!EP$3:EP$500)))</f>
        <v>0</v>
      </c>
      <c r="HQ41" s="133" t="n">
        <f aca="false">IF(OR(HQ$4="",$B41=""),0,SUMIF('DADOS BRUTOS'!$A$3:$A$500,$B41,'DADOS BRUTOS'!EQ$3:EQ$500)+IF($C41="",0,SUMIF('DADOS BRUTOS'!$A$3:$A$500,$C41,'DADOS BRUTOS'!EQ$3:EQ$500)))</f>
        <v>0</v>
      </c>
      <c r="HR41" s="133" t="n">
        <f aca="false">IF(OR(HR$4="",$B41=""),0,SUMIF('DADOS BRUTOS'!$A$3:$A$500,$B41,'DADOS BRUTOS'!ER$3:ER$500)+IF($C41="",0,SUMIF('DADOS BRUTOS'!$A$3:$A$500,$C41,'DADOS BRUTOS'!ER$3:ER$500)))</f>
        <v>0</v>
      </c>
      <c r="HS41" s="133" t="n">
        <f aca="false">IF(OR(HS$4="",$B41=""),0,SUMIF('DADOS BRUTOS'!$A$3:$A$500,$B41,'DADOS BRUTOS'!ES$3:ES$500)+IF($C41="",0,SUMIF('DADOS BRUTOS'!$A$3:$A$500,$C41,'DADOS BRUTOS'!ES$3:ES$500)))</f>
        <v>0</v>
      </c>
      <c r="HT41" s="133" t="n">
        <f aca="false">IF(OR(HT$4="",$B41=""),0,SUMIF('DADOS BRUTOS'!$A$3:$A$500,$B41,'DADOS BRUTOS'!ET$3:ET$500)+IF($C41="",0,SUMIF('DADOS BRUTOS'!$A$3:$A$500,$C41,'DADOS BRUTOS'!ET$3:ET$500)))</f>
        <v>0</v>
      </c>
      <c r="HU41" s="133" t="n">
        <f aca="false">IF(OR(HU$4="",$B41=""),0,SUMIF('DADOS BRUTOS'!$A$3:$A$500,$B41,'DADOS BRUTOS'!EU$3:EU$500)+IF($C41="",0,SUMIF('DADOS BRUTOS'!$A$3:$A$500,$C41,'DADOS BRUTOS'!EU$3:EU$500)))</f>
        <v>0</v>
      </c>
      <c r="HV41" s="133" t="n">
        <f aca="false">IF(OR(HV$4="",$B41=""),0,SUMIF('DADOS BRUTOS'!$A$3:$A$500,$B41,'DADOS BRUTOS'!EV$3:EV$500)+IF($C41="",0,SUMIF('DADOS BRUTOS'!$A$3:$A$500,$C41,'DADOS BRUTOS'!EV$3:EV$500)))</f>
        <v>0</v>
      </c>
      <c r="HW41" s="133" t="n">
        <f aca="false">IF(OR(HW$4="",$B41=""),0,SUMIF('DADOS BRUTOS'!$A$3:$A$500,$B41,'DADOS BRUTOS'!EW$3:EW$500)+IF($C41="",0,SUMIF('DADOS BRUTOS'!$A$3:$A$500,$C41,'DADOS BRUTOS'!EW$3:EW$500)))</f>
        <v>0</v>
      </c>
      <c r="HX41" s="133" t="n">
        <f aca="false">IF(OR(HX$4="",$B41=""),0,SUMIF('DADOS BRUTOS'!$A$3:$A$500,$B41,'DADOS BRUTOS'!EX$3:EX$500)+IF($C41="",0,SUMIF('DADOS BRUTOS'!$A$3:$A$500,$C41,'DADOS BRUTOS'!EX$3:EX$500)))</f>
        <v>0</v>
      </c>
      <c r="HY41" s="133" t="n">
        <f aca="false">IF(OR(HY$4="",$B41=""),0,SUMIF('DADOS BRUTOS'!$A$3:$A$500,$B41,'DADOS BRUTOS'!EY$3:EY$500)+IF($C41="",0,SUMIF('DADOS BRUTOS'!$A$3:$A$500,$C41,'DADOS BRUTOS'!EY$3:EY$500)))</f>
        <v>0</v>
      </c>
      <c r="HZ41" s="133" t="n">
        <f aca="false">IF(OR(HZ$4="",$B41=""),0,SUMIF('DADOS BRUTOS'!$A$3:$A$500,$B41,'DADOS BRUTOS'!EZ$3:EZ$500)+IF($C41="",0,SUMIF('DADOS BRUTOS'!$A$3:$A$500,$C41,'DADOS BRUTOS'!EZ$3:EZ$500)))</f>
        <v>0</v>
      </c>
      <c r="IA41" s="133" t="n">
        <f aca="false">IF(OR(IA$4="",$B41=""),0,SUMIF('DADOS BRUTOS'!$A$3:$A$500,$B41,'DADOS BRUTOS'!FA$3:FA$500)+IF($C41="",0,SUMIF('DADOS BRUTOS'!$A$3:$A$500,$C41,'DADOS BRUTOS'!FA$3:FA$500)))</f>
        <v>0</v>
      </c>
      <c r="IB41" s="133" t="n">
        <f aca="false">IF(OR(IB$4="",$B41=""),0,SUMIF('DADOS BRUTOS'!$A$3:$A$500,$B41,'DADOS BRUTOS'!FB$3:FB$500)+IF($C41="",0,SUMIF('DADOS BRUTOS'!$A$3:$A$500,$C41,'DADOS BRUTOS'!FB$3:FB$500)))</f>
        <v>0</v>
      </c>
      <c r="IC41" s="133" t="n">
        <f aca="false">IF(OR(IC$4="",$B41=""),0,SUMIF('DADOS BRUTOS'!$A$3:$A$500,$B41,'DADOS BRUTOS'!FC$3:FC$500)+IF($C41="",0,SUMIF('DADOS BRUTOS'!$A$3:$A$500,$C41,'DADOS BRUTOS'!FC$3:FC$500)))</f>
        <v>0</v>
      </c>
      <c r="ID41" s="133" t="n">
        <f aca="false">IF(OR(ID$4="",$B41=""),0,SUMIF('DADOS BRUTOS'!$A$3:$A$500,$B41,'DADOS BRUTOS'!FD$3:FD$500)+IF($C41="",0,SUMIF('DADOS BRUTOS'!$A$3:$A$500,$C41,'DADOS BRUTOS'!FD$3:FD$500)))</f>
        <v>0</v>
      </c>
      <c r="IE41" s="133" t="n">
        <f aca="false">IF(OR(IE$4="",$B41=""),0,SUMIF('DADOS BRUTOS'!$A$3:$A$500,$B41,'DADOS BRUTOS'!FE$3:FE$500)+IF($C41="",0,SUMIF('DADOS BRUTOS'!$A$3:$A$500,$C41,'DADOS BRUTOS'!FE$3:FE$500)))</f>
        <v>0</v>
      </c>
      <c r="IF41" s="133" t="n">
        <f aca="false">IF(OR(IF$4="",$B41=""),0,SUMIF('DADOS BRUTOS'!$A$3:$A$500,$B41,'DADOS BRUTOS'!FF$3:FF$500)+IF($C41="",0,SUMIF('DADOS BRUTOS'!$A$3:$A$500,$C41,'DADOS BRUTOS'!FF$3:FF$500)))</f>
        <v>0</v>
      </c>
      <c r="IG41" s="133" t="n">
        <f aca="false">IF(OR(IG$4="",$B41=""),0,SUMIF('DADOS BRUTOS'!$A$3:$A$500,$B41,'DADOS BRUTOS'!FG$3:FG$500)+IF($C41="",0,SUMIF('DADOS BRUTOS'!$A$3:$A$500,$C41,'DADOS BRUTOS'!FG$3:FG$500)))</f>
        <v>0</v>
      </c>
      <c r="IH41" s="133" t="n">
        <f aca="false">IF(OR(IH$4="",$B41=""),0,SUMIF('DADOS BRUTOS'!$A$3:$A$500,$B41,'DADOS BRUTOS'!FH$3:FH$500)+IF($C41="",0,SUMIF('DADOS BRUTOS'!$A$3:$A$500,$C41,'DADOS BRUTOS'!FH$3:FH$500)))</f>
        <v>0</v>
      </c>
      <c r="II41" s="133" t="n">
        <f aca="false">IF(OR(II$4="",$B41=""),0,SUMIF('DADOS BRUTOS'!$A$3:$A$500,$B41,'DADOS BRUTOS'!FI$3:FI$500)+IF($C41="",0,SUMIF('DADOS BRUTOS'!$A$3:$A$500,$C41,'DADOS BRUTOS'!FI$3:FI$500)))</f>
        <v>0</v>
      </c>
      <c r="IJ41" s="133" t="n">
        <f aca="false">IF(OR(IJ$4="",$B41=""),0,SUMIF('DADOS BRUTOS'!$A$3:$A$500,$B41,'DADOS BRUTOS'!FJ$3:FJ$500)+IF($C41="",0,SUMIF('DADOS BRUTOS'!$A$3:$A$500,$C41,'DADOS BRUTOS'!FJ$3:FJ$500)))</f>
        <v>0</v>
      </c>
      <c r="IK41" s="133" t="n">
        <f aca="false">IF(OR(IK$4="",$B41=""),0,SUMIF('DADOS BRUTOS'!$A$3:$A$500,$B41,'DADOS BRUTOS'!FK$3:FK$500)+IF($C41="",0,SUMIF('DADOS BRUTOS'!$A$3:$A$500,$C41,'DADOS BRUTOS'!FK$3:FK$500)))</f>
        <v>0</v>
      </c>
      <c r="IL41" s="133" t="n">
        <f aca="false">IF(OR(IL$4="",$B41=""),0,SUMIF('DADOS BRUTOS'!$A$3:$A$500,$B41,'DADOS BRUTOS'!FL$3:FL$500)+IF($C41="",0,SUMIF('DADOS BRUTOS'!$A$3:$A$500,$C41,'DADOS BRUTOS'!FL$3:FL$500)))</f>
        <v>0</v>
      </c>
      <c r="IM41" s="133" t="n">
        <f aca="false">IF(OR(IM$4="",$B41=""),0,SUMIF('DADOS BRUTOS'!$A$3:$A$500,$B41,'DADOS BRUTOS'!FM$3:FM$500)+IF($C41="",0,SUMIF('DADOS BRUTOS'!$A$3:$A$500,$C41,'DADOS BRUTOS'!FM$3:FM$500)))</f>
        <v>0</v>
      </c>
      <c r="IN41" s="133" t="n">
        <f aca="false">IF(OR(IN$4="",$B41=""),0,SUMIF('DADOS BRUTOS'!$A$3:$A$500,$B41,'DADOS BRUTOS'!FN$3:FN$500)+IF($C41="",0,SUMIF('DADOS BRUTOS'!$A$3:$A$500,$C41,'DADOS BRUTOS'!FN$3:FN$500)))</f>
        <v>0</v>
      </c>
      <c r="IO41" s="133" t="n">
        <f aca="false">IF(OR(IO$4="",$B41=""),0,SUMIF('DADOS BRUTOS'!$A$3:$A$500,$B41,'DADOS BRUTOS'!FO$3:FO$500)+IF($C41="",0,SUMIF('DADOS BRUTOS'!$A$3:$A$500,$C41,'DADOS BRUTOS'!FO$3:FO$500)))</f>
        <v>0</v>
      </c>
      <c r="IP41" s="133" t="n">
        <f aca="false">IF(OR(IP$4="",$B41=""),0,SUMIF('DADOS BRUTOS'!$A$3:$A$500,$B41,'DADOS BRUTOS'!FP$3:FP$500)+IF($C41="",0,SUMIF('DADOS BRUTOS'!$A$3:$A$500,$C41,'DADOS BRUTOS'!FP$3:FP$500)))</f>
        <v>0</v>
      </c>
      <c r="IQ41" s="133" t="n">
        <f aca="false">IF(OR(IQ$4="",$B41=""),0,SUMIF('DADOS BRUTOS'!$A$3:$A$500,$B41,'DADOS BRUTOS'!FQ$3:FQ$500)+IF($C41="",0,SUMIF('DADOS BRUTOS'!$A$3:$A$500,$C41,'DADOS BRUTOS'!FQ$3:FQ$500)))</f>
        <v>0</v>
      </c>
      <c r="IR41" s="133" t="n">
        <f aca="false">IF(OR(IR$4="",$B41=""),0,SUMIF('DADOS BRUTOS'!$A$3:$A$500,$B41,'DADOS BRUTOS'!FR$3:FR$500)+IF($C41="",0,SUMIF('DADOS BRUTOS'!$A$3:$A$500,$C41,'DADOS BRUTOS'!FR$3:FR$500)))</f>
        <v>0</v>
      </c>
      <c r="IS41" s="133" t="n">
        <f aca="false">IF(OR(IS$4="",$B41=""),0,SUMIF('DADOS BRUTOS'!$A$3:$A$500,$B41,'DADOS BRUTOS'!FS$3:FS$500)+IF($C41="",0,SUMIF('DADOS BRUTOS'!$A$3:$A$500,$C41,'DADOS BRUTOS'!FS$3:FS$500)))</f>
        <v>0</v>
      </c>
      <c r="IT41" s="133" t="n">
        <f aca="false">IF(OR(IT$4="",$B41=""),0,SUMIF('DADOS BRUTOS'!$A$3:$A$500,$B41,'DADOS BRUTOS'!FT$3:FT$500)+IF($C41="",0,SUMIF('DADOS BRUTOS'!$A$3:$A$500,$C41,'DADOS BRUTOS'!FT$3:FT$500)))</f>
        <v>0</v>
      </c>
      <c r="IU41" s="133" t="n">
        <f aca="false">IF(OR(IU$4="",$B41=""),0,SUMIF('DADOS BRUTOS'!$A$3:$A$500,$B41,'DADOS BRUTOS'!FU$3:FU$500)+IF($C41="",0,SUMIF('DADOS BRUTOS'!$A$3:$A$500,$C41,'DADOS BRUTOS'!FU$3:FU$500)))</f>
        <v>0</v>
      </c>
      <c r="IV41" s="133" t="n">
        <f aca="false">IF(OR(IV$4="",$B41=""),0,SUMIF('DADOS BRUTOS'!$A$3:$A$500,$B41,'DADOS BRUTOS'!FV$3:FV$500)+IF($C41="",0,SUMIF('DADOS BRUTOS'!$A$3:$A$500,$C41,'DADOS BRUTOS'!FV$3:FV$500)))</f>
        <v>0</v>
      </c>
      <c r="IW41" s="133" t="n">
        <f aca="false">IF(OR(IW$4="",$B41=""),0,SUMIF('DADOS BRUTOS'!$A$3:$A$500,$B41,'DADOS BRUTOS'!FW$3:FW$500)+IF($C41="",0,SUMIF('DADOS BRUTOS'!$A$3:$A$500,$C41,'DADOS BRUTOS'!FW$3:FW$500)))</f>
        <v>0</v>
      </c>
      <c r="IX41" s="133" t="n">
        <f aca="false">IF(OR(IX$4="",$B41=""),0,SUMIF('DADOS BRUTOS'!$A$3:$A$500,$B41,'DADOS BRUTOS'!FX$3:FX$500)+IF($C41="",0,SUMIF('DADOS BRUTOS'!$A$3:$A$500,$C41,'DADOS BRUTOS'!FX$3:FX$500)))</f>
        <v>0</v>
      </c>
      <c r="IY41" s="133" t="n">
        <f aca="false">IF(OR(IY$4="",$B41=""),0,SUMIF('DADOS BRUTOS'!$A$3:$A$500,$B41,'DADOS BRUTOS'!FY$3:FY$500)+IF($C41="",0,SUMIF('DADOS BRUTOS'!$A$3:$A$500,$C41,'DADOS BRUTOS'!FY$3:FY$500)))</f>
        <v>0</v>
      </c>
      <c r="IZ41" s="133" t="n">
        <f aca="false">IF(OR(IZ$4="",$B41=""),0,SUMIF('DADOS BRUTOS'!$A$3:$A$500,$B41,'DADOS BRUTOS'!FZ$3:FZ$500)+IF($C41="",0,SUMIF('DADOS BRUTOS'!$A$3:$A$500,$C41,'DADOS BRUTOS'!FZ$3:FZ$500)))</f>
        <v>0</v>
      </c>
      <c r="JA41" s="133" t="n">
        <f aca="false">IF(OR(JA$4="",$B41=""),0,SUMIF('DADOS BRUTOS'!$A$3:$A$500,$B41,'DADOS BRUTOS'!GA$3:GA$500)+IF($C41="",0,SUMIF('DADOS BRUTOS'!$A$3:$A$500,$C41,'DADOS BRUTOS'!GA$3:GA$500)))</f>
        <v>0</v>
      </c>
      <c r="JB41" s="133" t="n">
        <f aca="false">IF(OR(JB$4="",$B41=""),0,SUMIF('DADOS BRUTOS'!$A$3:$A$500,$B41,'DADOS BRUTOS'!GB$3:GB$500)+IF($C41="",0,SUMIF('DADOS BRUTOS'!$A$3:$A$500,$C41,'DADOS BRUTOS'!GB$3:GB$500)))</f>
        <v>0</v>
      </c>
      <c r="JC41" s="133" t="n">
        <f aca="false">IF(OR(JC$4="",$B41=""),0,SUMIF('DADOS BRUTOS'!$A$3:$A$500,$B41,'DADOS BRUTOS'!GC$3:GC$500)+IF($C41="",0,SUMIF('DADOS BRUTOS'!$A$3:$A$500,$C41,'DADOS BRUTOS'!GC$3:GC$500)))</f>
        <v>0</v>
      </c>
      <c r="JD41" s="133" t="n">
        <f aca="false">IF(OR(JD$4="",$B41=""),0,SUMIF('DADOS BRUTOS'!$A$3:$A$500,$B41,'DADOS BRUTOS'!GD$3:GD$500)+IF($C41="",0,SUMIF('DADOS BRUTOS'!$A$3:$A$500,$C41,'DADOS BRUTOS'!GD$3:GD$500)))</f>
        <v>0</v>
      </c>
      <c r="JE41" s="133" t="n">
        <f aca="false">IF(OR(JE$4="",$B41=""),0,SUMIF('DADOS BRUTOS'!$A$3:$A$500,$B41,'DADOS BRUTOS'!GE$3:GE$500)+IF($C41="",0,SUMIF('DADOS BRUTOS'!$A$3:$A$500,$C41,'DADOS BRUTOS'!GE$3:GE$500)))</f>
        <v>0</v>
      </c>
      <c r="JF41" s="133" t="n">
        <f aca="false">IF(OR(JF$4="",$B41=""),0,SUMIF('DADOS BRUTOS'!$A$3:$A$500,$B41,'DADOS BRUTOS'!GF$3:GF$500)+IF($C41="",0,SUMIF('DADOS BRUTOS'!$A$3:$A$500,$C41,'DADOS BRUTOS'!GF$3:GF$500)))</f>
        <v>0</v>
      </c>
      <c r="JG41" s="133" t="n">
        <f aca="false">IF(OR(JG$4="",$B41=""),0,SUMIF('DADOS BRUTOS'!$A$3:$A$500,$B41,'DADOS BRUTOS'!GG$3:GG$500)+IF($C41="",0,SUMIF('DADOS BRUTOS'!$A$3:$A$500,$C41,'DADOS BRUTOS'!GG$3:GG$500)))</f>
        <v>0</v>
      </c>
      <c r="JH41" s="133" t="n">
        <f aca="false">IF(OR(JH$4="",$B41=""),0,SUMIF('DADOS BRUTOS'!$A$3:$A$500,$B41,'DADOS BRUTOS'!GH$3:GH$500)+IF($C41="",0,SUMIF('DADOS BRUTOS'!$A$3:$A$500,$C41,'DADOS BRUTOS'!GH$3:GH$500)))</f>
        <v>0</v>
      </c>
      <c r="JI41" s="133" t="n">
        <f aca="false">IF(OR(JI$4="",$B41=""),0,SUMIF('DADOS BRUTOS'!$A$3:$A$500,$B41,'DADOS BRUTOS'!GI$3:GI$500)+IF($C41="",0,SUMIF('DADOS BRUTOS'!$A$3:$A$500,$C41,'DADOS BRUTOS'!GI$3:GI$500)))</f>
        <v>0</v>
      </c>
      <c r="JJ41" s="133" t="n">
        <f aca="false">IF(OR(JJ$4="",$B41=""),0,SUMIF('DADOS BRUTOS'!$A$3:$A$500,$B41,'DADOS BRUTOS'!GJ$3:GJ$500)+IF($C41="",0,SUMIF('DADOS BRUTOS'!$A$3:$A$500,$C41,'DADOS BRUTOS'!GJ$3:GJ$500)))</f>
        <v>0</v>
      </c>
      <c r="JK41" s="133" t="n">
        <f aca="false">IF(OR(JK$4="",$B41=""),0,SUMIF('DADOS BRUTOS'!$A$3:$A$500,$B41,'DADOS BRUTOS'!GK$3:GK$500)+IF($C41="",0,SUMIF('DADOS BRUTOS'!$A$3:$A$500,$C41,'DADOS BRUTOS'!GK$3:GK$500)))</f>
        <v>0</v>
      </c>
      <c r="JL41" s="133" t="n">
        <f aca="false">IF(OR(JL$4="",$B41=""),0,SUMIF('DADOS BRUTOS'!$A$3:$A$500,$B41,'DADOS BRUTOS'!GL$3:GL$500)+IF($C41="",0,SUMIF('DADOS BRUTOS'!$A$3:$A$500,$C41,'DADOS BRUTOS'!GL$3:GL$500)))</f>
        <v>0</v>
      </c>
      <c r="JM41" s="133" t="n">
        <f aca="false">IF(OR(JM$4="",$B41=""),0,SUMIF('DADOS BRUTOS'!$A$3:$A$500,$B41,'DADOS BRUTOS'!GM$3:GM$500)+IF($C41="",0,SUMIF('DADOS BRUTOS'!$A$3:$A$500,$C41,'DADOS BRUTOS'!GM$3:GM$500)))</f>
        <v>0</v>
      </c>
      <c r="JN41" s="133" t="n">
        <f aca="false">IF(OR(JN$4="",$B41=""),0,SUMIF('DADOS BRUTOS'!$A$3:$A$500,$B41,'DADOS BRUTOS'!GN$3:GN$500)+IF($C41="",0,SUMIF('DADOS BRUTOS'!$A$3:$A$500,$C41,'DADOS BRUTOS'!GN$3:GN$500)))</f>
        <v>0</v>
      </c>
      <c r="JO41" s="133" t="n">
        <f aca="false">IF(OR(JO$4="",$B41=""),0,SUMIF('DADOS BRUTOS'!$A$3:$A$500,$B41,'DADOS BRUTOS'!GO$3:GO$500)+IF($C41="",0,SUMIF('DADOS BRUTOS'!$A$3:$A$500,$C41,'DADOS BRUTOS'!GO$3:GO$500)))</f>
        <v>0</v>
      </c>
      <c r="JP41" s="133" t="n">
        <f aca="false">IF(OR(JP$4="",$B41=""),0,SUMIF('DADOS BRUTOS'!$A$3:$A$500,$B41,'DADOS BRUTOS'!GP$3:GP$500)+IF($C41="",0,SUMIF('DADOS BRUTOS'!$A$3:$A$500,$C41,'DADOS BRUTOS'!GP$3:GP$500)))</f>
        <v>0</v>
      </c>
      <c r="JQ41" s="133" t="n">
        <f aca="false">IF(OR(JQ$4="",$B41=""),0,SUMIF('DADOS BRUTOS'!$A$3:$A$500,$B41,'DADOS BRUTOS'!GQ$3:GQ$500)+IF($C41="",0,SUMIF('DADOS BRUTOS'!$A$3:$A$500,$C41,'DADOS BRUTOS'!GQ$3:GQ$500)))</f>
        <v>0</v>
      </c>
      <c r="JR41" s="133" t="n">
        <f aca="false">IF(OR(JR$4="",$B41=""),0,SUMIF('DADOS BRUTOS'!$A$3:$A$500,$B41,'DADOS BRUTOS'!GR$3:GR$500)+IF($C41="",0,SUMIF('DADOS BRUTOS'!$A$3:$A$500,$C41,'DADOS BRUTOS'!GR$3:GR$500)))</f>
        <v>0</v>
      </c>
      <c r="JS41" s="133" t="n">
        <f aca="false">IF(OR(JS$4="",$B41=""),0,SUMIF('DADOS BRUTOS'!$A$3:$A$500,$B41,'DADOS BRUTOS'!GS$3:GS$500)+IF($C41="",0,SUMIF('DADOS BRUTOS'!$A$3:$A$500,$C41,'DADOS BRUTOS'!GS$3:GS$500)))</f>
        <v>0</v>
      </c>
    </row>
    <row r="42" customFormat="false" ht="15" hidden="false" customHeight="false" outlineLevel="0" collapsed="false">
      <c r="A42" s="57" t="str">
        <f aca="false">'VALOR POR PL'!D48</f>
        <v>TAXA DE ADMINISTRAÇÃO</v>
      </c>
      <c r="B42" s="55" t="s">
        <v>80</v>
      </c>
      <c r="C42" s="55"/>
      <c r="D42" s="50" t="n">
        <f aca="false">SUMIF($CB$4:$JS$4,"&lt;="&amp;D$4,$CB42:$JS42)</f>
        <v>137450</v>
      </c>
      <c r="E42" s="50" t="n">
        <f aca="false">SUMIF($CB$4:$JS$4,E$4,$CB42:$JS42)</f>
        <v>36922.46</v>
      </c>
      <c r="F42" s="50" t="n">
        <f aca="false">SUMIF($CB$4:$JS$4,F$4,$CB42:$JS42)</f>
        <v>0</v>
      </c>
      <c r="G42" s="50" t="n">
        <f aca="false">SUMIF($CB$4:$JS$4,G$4,$CB42:$JS42)</f>
        <v>34045.51</v>
      </c>
      <c r="H42" s="50" t="n">
        <f aca="false">SUMIF($CB$4:$JS$4,H$4,$CB42:$JS42)</f>
        <v>14154.82</v>
      </c>
      <c r="I42" s="50" t="n">
        <f aca="false">SUMIF($CB$4:$JS$4,I$4,$CB42:$JS42)</f>
        <v>71756.69</v>
      </c>
      <c r="J42" s="50" t="n">
        <f aca="false">SUMIF($CB$4:$JS$4,J$4,$CB42:$JS42)</f>
        <v>6521.51</v>
      </c>
      <c r="K42" s="50" t="n">
        <f aca="false">SUMIF($CB$4:$JS$4,K$4,$CB42:$JS42)</f>
        <v>13570.62</v>
      </c>
      <c r="L42" s="50" t="n">
        <f aca="false">SUMIF($CB$4:$JS$4,L$4,$CB42:$JS42)</f>
        <v>26242.32</v>
      </c>
      <c r="M42" s="50" t="n">
        <f aca="false">SUMIF($CB$4:$JS$4,M$4,$CB42:$JS42)</f>
        <v>34986.5</v>
      </c>
      <c r="N42" s="50" t="n">
        <f aca="false">SUMIF($CB$4:$JS$4,N$4,$CB42:$JS42)</f>
        <v>70987.17</v>
      </c>
      <c r="O42" s="50" t="n">
        <f aca="false">SUMIF($CB$4:$JS$4,O$4,$CB42:$JS42)</f>
        <v>119467.69</v>
      </c>
      <c r="P42" s="50" t="n">
        <f aca="false">SUMIF($CB$4:$JS$4,P$4,$CB42:$JS42)</f>
        <v>0</v>
      </c>
      <c r="Q42" s="50" t="n">
        <f aca="false">SUMIF($CB$4:$JS$4,Q$4,$CB42:$JS42)</f>
        <v>0</v>
      </c>
      <c r="R42" s="50" t="n">
        <f aca="false">SUMIF($CB$4:$JS$4,R$4,$CB42:$JS42)</f>
        <v>0</v>
      </c>
      <c r="S42" s="50" t="n">
        <f aca="false">SUMIF($CB$4:$JS$4,S$4,$CB42:$JS42)</f>
        <v>0</v>
      </c>
      <c r="T42" s="50" t="n">
        <f aca="false">SUMIF($CB$4:$JS$4,T$4,$CB42:$JS42)</f>
        <v>0</v>
      </c>
      <c r="U42" s="50" t="n">
        <f aca="false">SUMIF($CB$4:$JS$4,U$4,$CB42:$JS42)</f>
        <v>0</v>
      </c>
      <c r="V42" s="50" t="n">
        <f aca="false">SUMIF($CB$4:$JS$4,V$4,$CB42:$JS42)</f>
        <v>0</v>
      </c>
      <c r="W42" s="50" t="n">
        <f aca="false">SUMIF($CB$4:$JS$4,W$4,$CB42:$JS42)</f>
        <v>0</v>
      </c>
      <c r="X42" s="50" t="n">
        <f aca="false">SUMIF($CB$4:$JS$4,X$4,$CB42:$JS42)</f>
        <v>0</v>
      </c>
      <c r="Y42" s="50" t="n">
        <f aca="false">SUMIF($CB$4:$JS$4,Y$4,$CB42:$JS42)</f>
        <v>0</v>
      </c>
      <c r="Z42" s="50" t="n">
        <f aca="false">SUMIF($CB$4:$JS$4,Z$4,$CB42:$JS42)</f>
        <v>0</v>
      </c>
      <c r="AA42" s="50" t="n">
        <f aca="false">SUMIF($CB$4:$JS$4,AA$4,$CB42:$JS42)</f>
        <v>0</v>
      </c>
      <c r="AB42" s="50" t="n">
        <f aca="false">SUMIF($CB$4:$JS$4,AB$4,$CB42:$JS42)</f>
        <v>0</v>
      </c>
      <c r="AC42" s="50" t="n">
        <f aca="false">SUMIF($CB$4:$JS$4,AC$4,$CB42:$JS42)</f>
        <v>0</v>
      </c>
      <c r="AD42" s="50" t="n">
        <f aca="false">SUMIF($CB$4:$JS$4,AD$4,$CB42:$JS42)</f>
        <v>0</v>
      </c>
      <c r="AE42" s="50" t="n">
        <f aca="false">SUMIF($CB$4:$JS$4,AE$4,$CB42:$JS42)</f>
        <v>0</v>
      </c>
      <c r="AF42" s="50" t="n">
        <f aca="false">SUMIF($CB$4:$JS$4,AF$4,$CB42:$JS42)</f>
        <v>0</v>
      </c>
      <c r="AG42" s="50" t="n">
        <f aca="false">SUMIF($CB$4:$JS$4,AG$4,$CB42:$JS42)</f>
        <v>0</v>
      </c>
      <c r="AH42" s="50" t="n">
        <f aca="false">SUMIF($CB$4:$JS$4,AH$4,$CB42:$JS42)</f>
        <v>0</v>
      </c>
      <c r="AI42" s="50" t="n">
        <f aca="false">SUMIF($CB$4:$JS$4,AI$4,$CB42:$JS42)</f>
        <v>0</v>
      </c>
      <c r="AJ42" s="50" t="n">
        <f aca="false">SUMIF($CB$4:$JS$4,AJ$4,$CB42:$JS42)</f>
        <v>0</v>
      </c>
      <c r="AK42" s="50" t="n">
        <f aca="false">SUMIF($CB$4:$JS$4,AK$4,$CB42:$JS42)</f>
        <v>0</v>
      </c>
      <c r="AL42" s="50" t="n">
        <f aca="false">SUMIF($CB$4:$JS$4,AL$4,$CB42:$JS42)</f>
        <v>0</v>
      </c>
      <c r="AM42" s="50" t="n">
        <f aca="false">SUMIF($CB$4:$JS$4,AM$4,$CB42:$JS42)</f>
        <v>0</v>
      </c>
      <c r="AN42" s="50" t="n">
        <f aca="false">SUMIF($CB$4:$JS$4,AN$4,$CB42:$JS42)</f>
        <v>0</v>
      </c>
      <c r="AO42" s="50" t="n">
        <f aca="false">SUMIF($CB$4:$JS$4,AO$4,$CB42:$JS42)</f>
        <v>0</v>
      </c>
      <c r="AP42" s="50" t="n">
        <f aca="false">SUMIF($CB$4:$JS$4,AP$4,$CB42:$JS42)</f>
        <v>0</v>
      </c>
      <c r="AQ42" s="50" t="n">
        <f aca="false">SUMIF($CB$4:$JS$4,AQ$4,$CB42:$JS42)</f>
        <v>0</v>
      </c>
      <c r="AR42" s="50" t="n">
        <f aca="false">SUMIF($CB$4:$JS$4,AR$4,$CB42:$JS42)</f>
        <v>0</v>
      </c>
      <c r="AS42" s="50" t="n">
        <f aca="false">SUMIF($CB$4:$JS$4,AS$4,$CB42:$JS42)</f>
        <v>0</v>
      </c>
      <c r="AT42" s="50" t="n">
        <f aca="false">SUMIF($CB$4:$JS$4,AT$4,$CB42:$JS42)</f>
        <v>0</v>
      </c>
      <c r="AU42" s="50" t="n">
        <f aca="false">SUMIF($CB$4:$JS$4,AU$4,$CB42:$JS42)</f>
        <v>0</v>
      </c>
      <c r="AV42" s="50" t="n">
        <f aca="false">SUMIF($CB$4:$JS$4,AV$4,$CB42:$JS42)</f>
        <v>0</v>
      </c>
      <c r="AW42" s="50" t="n">
        <f aca="false">SUMIF($CB$4:$JS$4,AW$4,$CB42:$JS42)</f>
        <v>0</v>
      </c>
      <c r="AX42" s="50" t="n">
        <f aca="false">SUMIF($CB$4:$JS$4,AX$4,$CB42:$JS42)</f>
        <v>0</v>
      </c>
      <c r="AY42" s="50" t="n">
        <f aca="false">SUMIF($CB$4:$JS$4,AY$4,$CB42:$JS42)</f>
        <v>0</v>
      </c>
      <c r="AZ42" s="50" t="n">
        <f aca="false">SUMIF($CB$4:$JS$4,AZ$4,$CB42:$JS42)</f>
        <v>0</v>
      </c>
      <c r="BA42" s="50" t="n">
        <f aca="false">SUMIF($CB$4:$JS$4,BA$4,$CB42:$JS42)</f>
        <v>0</v>
      </c>
      <c r="BB42" s="50" t="n">
        <f aca="false">SUMIF($CB$4:$JS$4,BB$4,$CB42:$JS42)</f>
        <v>0</v>
      </c>
      <c r="BC42" s="50" t="n">
        <f aca="false">SUMIF($CB$4:$JS$4,BC$4,$CB42:$JS42)</f>
        <v>0</v>
      </c>
      <c r="BD42" s="50" t="n">
        <f aca="false">SUMIF($CB$4:$JS$4,BD$4,$CB42:$JS42)</f>
        <v>0</v>
      </c>
      <c r="BE42" s="50" t="n">
        <f aca="false">SUMIF($CB$4:$JS$4,BE$4,$CB42:$JS42)</f>
        <v>0</v>
      </c>
      <c r="BF42" s="50" t="n">
        <f aca="false">SUMIF($CB$4:$JS$4,BF$4,$CB42:$JS42)</f>
        <v>0</v>
      </c>
      <c r="BG42" s="50" t="n">
        <f aca="false">SUMIF($CB$4:$JS$4,BG$4,$CB42:$JS42)</f>
        <v>0</v>
      </c>
      <c r="BH42" s="50" t="n">
        <f aca="false">SUMIF($CB$4:$JS$4,BH$4,$CB42:$JS42)</f>
        <v>0</v>
      </c>
      <c r="BI42" s="50" t="n">
        <f aca="false">SUMIF($CB$4:$JS$4,BI$4,$CB42:$JS42)</f>
        <v>0</v>
      </c>
      <c r="BJ42" s="50" t="n">
        <f aca="false">SUMIF($CB$4:$JS$4,BJ$4,$CB42:$JS42)</f>
        <v>0</v>
      </c>
      <c r="BK42" s="50" t="n">
        <f aca="false">SUMIF($CB$4:$JS$4,BK$4,$CB42:$JS42)</f>
        <v>0</v>
      </c>
      <c r="BL42" s="50" t="n">
        <f aca="false">SUMIF($CB$4:$JS$4,BL$4,$CB42:$JS42)</f>
        <v>0</v>
      </c>
      <c r="BM42" s="50" t="n">
        <f aca="false">SUMIF($CB$4:$JS$4,BM$4,$CB42:$JS42)</f>
        <v>0</v>
      </c>
      <c r="BN42" s="50" t="n">
        <f aca="false">SUMIF($CB$4:$JS$4,BN$4,$CB42:$JS42)</f>
        <v>0</v>
      </c>
      <c r="BO42" s="50" t="n">
        <f aca="false">SUMIF($CB$4:$JS$4,BO$4,$CB42:$JS42)</f>
        <v>0</v>
      </c>
      <c r="BP42" s="50" t="n">
        <f aca="false">SUMIF($CB$4:$JS$4,BP$4,$CB42:$JS42)</f>
        <v>0</v>
      </c>
      <c r="BQ42" s="50" t="n">
        <f aca="false">SUMIF($CB$4:$JS$4,BQ$4,$CB42:$JS42)</f>
        <v>0</v>
      </c>
      <c r="BR42" s="50" t="n">
        <f aca="false">SUMIF($CB$4:$JS$4,BR$4,$CB42:$JS42)</f>
        <v>0</v>
      </c>
      <c r="BS42" s="50" t="n">
        <f aca="false">SUMIF($CB$4:$JS$4,BS$4,$CB42:$JS42)</f>
        <v>0</v>
      </c>
      <c r="BT42" s="50" t="n">
        <f aca="false">SUMIF($CB$4:$JS$4,BT$4,$CB42:$JS42)</f>
        <v>0</v>
      </c>
      <c r="BU42" s="50" t="n">
        <f aca="false">SUMIF($CB$4:$JS$4,BU$4,$CB42:$JS42)</f>
        <v>0</v>
      </c>
      <c r="BV42" s="50" t="n">
        <f aca="false">SUMIF($CB$4:$JS$4,BV$4,$CB42:$JS42)</f>
        <v>0</v>
      </c>
      <c r="BW42" s="50" t="n">
        <f aca="false">SUMIF($CB$4:$JS$4,BW$4,$CB42:$JS42)</f>
        <v>0</v>
      </c>
      <c r="BX42" s="50" t="n">
        <f aca="false">SUMIF($CB$4:$JS$4,"&gt;"&amp;'VALOR POR PL'!$P$8,$CB42:$JS42)</f>
        <v>0</v>
      </c>
      <c r="BY42" s="50" t="n">
        <f aca="false">SUM($CB42:$JS42)</f>
        <v>566105.29</v>
      </c>
      <c r="BZ42" s="45" t="n">
        <f aca="false">SUMPRODUCT(($CB$4:$JS$4&lt;&gt;"")*($CB$4:$JS$4&lt;=$D$4),$CB42:$JS42,$CB$1:$JS$1)</f>
        <v>121.837103655049</v>
      </c>
      <c r="CB42" s="133" t="n">
        <f aca="false">IF(OR(CB$4="",$B42=""),0,SUMIF('DADOS BRUTOS'!$A$3:$A$500,$B42,'DADOS BRUTOS'!B$3:B$500)+IF($C42="",0,SUMIF('DADOS BRUTOS'!$A$3:$A$500,$C42,'DADOS BRUTOS'!B$3:B$500)))</f>
        <v>0</v>
      </c>
      <c r="CC42" s="133" t="n">
        <f aca="false">IF(OR(CC$4="",$B42=""),0,SUMIF('DADOS BRUTOS'!$A$3:$A$500,$B42,'DADOS BRUTOS'!C$3:C$500)+IF($C42="",0,SUMIF('DADOS BRUTOS'!$A$3:$A$500,$C42,'DADOS BRUTOS'!C$3:C$500)))</f>
        <v>0</v>
      </c>
      <c r="CD42" s="133" t="n">
        <f aca="false">IF(OR(CD$4="",$B42=""),0,SUMIF('DADOS BRUTOS'!$A$3:$A$500,$B42,'DADOS BRUTOS'!D$3:D$500)+IF($C42="",0,SUMIF('DADOS BRUTOS'!$A$3:$A$500,$C42,'DADOS BRUTOS'!D$3:D$500)))</f>
        <v>0</v>
      </c>
      <c r="CE42" s="133" t="n">
        <f aca="false">IF(OR(CE$4="",$B42=""),0,SUMIF('DADOS BRUTOS'!$A$3:$A$500,$B42,'DADOS BRUTOS'!E$3:E$500)+IF($C42="",0,SUMIF('DADOS BRUTOS'!$A$3:$A$500,$C42,'DADOS BRUTOS'!E$3:E$500)))</f>
        <v>0</v>
      </c>
      <c r="CF42" s="133" t="n">
        <f aca="false">IF(OR(CF$4="",$B42=""),0,SUMIF('DADOS BRUTOS'!$A$3:$A$500,$B42,'DADOS BRUTOS'!F$3:F$500)+IF($C42="",0,SUMIF('DADOS BRUTOS'!$A$3:$A$500,$C42,'DADOS BRUTOS'!F$3:F$500)))</f>
        <v>0</v>
      </c>
      <c r="CG42" s="133" t="n">
        <f aca="false">IF(OR(CG$4="",$B42=""),0,SUMIF('DADOS BRUTOS'!$A$3:$A$500,$B42,'DADOS BRUTOS'!G$3:G$500)+IF($C42="",0,SUMIF('DADOS BRUTOS'!$A$3:$A$500,$C42,'DADOS BRUTOS'!G$3:G$500)))</f>
        <v>0</v>
      </c>
      <c r="CH42" s="133" t="n">
        <f aca="false">IF(OR(CH$4="",$B42=""),0,SUMIF('DADOS BRUTOS'!$A$3:$A$500,$B42,'DADOS BRUTOS'!H$3:H$500)+IF($C42="",0,SUMIF('DADOS BRUTOS'!$A$3:$A$500,$C42,'DADOS BRUTOS'!H$3:H$500)))</f>
        <v>45000</v>
      </c>
      <c r="CI42" s="133" t="n">
        <f aca="false">IF(OR(CI$4="",$B42=""),0,SUMIF('DADOS BRUTOS'!$A$3:$A$500,$B42,'DADOS BRUTOS'!I$3:I$500)+IF($C42="",0,SUMIF('DADOS BRUTOS'!$A$3:$A$500,$C42,'DADOS BRUTOS'!I$3:I$500)))</f>
        <v>55000</v>
      </c>
      <c r="CJ42" s="133" t="n">
        <f aca="false">IF(OR(CJ$4="",$B42=""),0,SUMIF('DADOS BRUTOS'!$A$3:$A$500,$B42,'DADOS BRUTOS'!J$3:J$500)+IF($C42="",0,SUMIF('DADOS BRUTOS'!$A$3:$A$500,$C42,'DADOS BRUTOS'!J$3:J$500)))</f>
        <v>0</v>
      </c>
      <c r="CK42" s="133" t="n">
        <f aca="false">IF(OR(CK$4="",$B42=""),0,SUMIF('DADOS BRUTOS'!$A$3:$A$500,$B42,'DADOS BRUTOS'!K$3:K$500)+IF($C42="",0,SUMIF('DADOS BRUTOS'!$A$3:$A$500,$C42,'DADOS BRUTOS'!K$3:K$500)))</f>
        <v>37450</v>
      </c>
      <c r="CL42" s="133" t="n">
        <f aca="false">IF(OR(CL$4="",$B42=""),0,SUMIF('DADOS BRUTOS'!$A$3:$A$500,$B42,'DADOS BRUTOS'!L$3:L$500)+IF($C42="",0,SUMIF('DADOS BRUTOS'!$A$3:$A$500,$C42,'DADOS BRUTOS'!L$3:L$500)))</f>
        <v>0</v>
      </c>
      <c r="CM42" s="133" t="n">
        <f aca="false">IF(OR(CM$4="",$B42=""),0,SUMIF('DADOS BRUTOS'!$A$3:$A$500,$B42,'DADOS BRUTOS'!M$3:M$500)+IF($C42="",0,SUMIF('DADOS BRUTOS'!$A$3:$A$500,$C42,'DADOS BRUTOS'!M$3:M$500)))</f>
        <v>0</v>
      </c>
      <c r="CN42" s="133" t="n">
        <f aca="false">IF(OR(CN$4="",$B42=""),0,SUMIF('DADOS BRUTOS'!$A$3:$A$500,$B42,'DADOS BRUTOS'!N$3:N$500)+IF($C42="",0,SUMIF('DADOS BRUTOS'!$A$3:$A$500,$C42,'DADOS BRUTOS'!N$3:N$500)))</f>
        <v>0</v>
      </c>
      <c r="CO42" s="133" t="n">
        <f aca="false">IF(OR(CO$4="",$B42=""),0,SUMIF('DADOS BRUTOS'!$A$3:$A$500,$B42,'DADOS BRUTOS'!O$3:O$500)+IF($C42="",0,SUMIF('DADOS BRUTOS'!$A$3:$A$500,$C42,'DADOS BRUTOS'!O$3:O$500)))</f>
        <v>36922.46</v>
      </c>
      <c r="CP42" s="133" t="n">
        <f aca="false">IF(OR(CP$4="",$B42=""),0,SUMIF('DADOS BRUTOS'!$A$3:$A$500,$B42,'DADOS BRUTOS'!P$3:P$500)+IF($C42="",0,SUMIF('DADOS BRUTOS'!$A$3:$A$500,$C42,'DADOS BRUTOS'!P$3:P$500)))</f>
        <v>0</v>
      </c>
      <c r="CQ42" s="133" t="n">
        <f aca="false">IF(OR(CQ$4="",$B42=""),0,SUMIF('DADOS BRUTOS'!$A$3:$A$500,$B42,'DADOS BRUTOS'!Q$3:Q$500)+IF($C42="",0,SUMIF('DADOS BRUTOS'!$A$3:$A$500,$C42,'DADOS BRUTOS'!Q$3:Q$500)))</f>
        <v>34045.51</v>
      </c>
      <c r="CR42" s="133" t="n">
        <f aca="false">IF(OR(CR$4="",$B42=""),0,SUMIF('DADOS BRUTOS'!$A$3:$A$500,$B42,'DADOS BRUTOS'!R$3:R$500)+IF($C42="",0,SUMIF('DADOS BRUTOS'!$A$3:$A$500,$C42,'DADOS BRUTOS'!R$3:R$500)))</f>
        <v>14154.82</v>
      </c>
      <c r="CS42" s="133" t="n">
        <f aca="false">IF(OR(CS$4="",$B42=""),0,SUMIF('DADOS BRUTOS'!$A$3:$A$500,$B42,'DADOS BRUTOS'!S$3:S$500)+IF($C42="",0,SUMIF('DADOS BRUTOS'!$A$3:$A$500,$C42,'DADOS BRUTOS'!S$3:S$500)))</f>
        <v>71756.69</v>
      </c>
      <c r="CT42" s="133" t="n">
        <f aca="false">IF(OR(CT$4="",$B42=""),0,SUMIF('DADOS BRUTOS'!$A$3:$A$500,$B42,'DADOS BRUTOS'!T$3:T$500)+IF($C42="",0,SUMIF('DADOS BRUTOS'!$A$3:$A$500,$C42,'DADOS BRUTOS'!T$3:T$500)))</f>
        <v>6521.51</v>
      </c>
      <c r="CU42" s="133" t="n">
        <f aca="false">IF(OR(CU$4="",$B42=""),0,SUMIF('DADOS BRUTOS'!$A$3:$A$500,$B42,'DADOS BRUTOS'!U$3:U$500)+IF($C42="",0,SUMIF('DADOS BRUTOS'!$A$3:$A$500,$C42,'DADOS BRUTOS'!U$3:U$500)))</f>
        <v>13570.62</v>
      </c>
      <c r="CV42" s="133" t="n">
        <f aca="false">IF(OR(CV$4="",$B42=""),0,SUMIF('DADOS BRUTOS'!$A$3:$A$500,$B42,'DADOS BRUTOS'!V$3:V$500)+IF($C42="",0,SUMIF('DADOS BRUTOS'!$A$3:$A$500,$C42,'DADOS BRUTOS'!V$3:V$500)))</f>
        <v>26242.32</v>
      </c>
      <c r="CW42" s="133" t="n">
        <f aca="false">IF(OR(CW$4="",$B42=""),0,SUMIF('DADOS BRUTOS'!$A$3:$A$500,$B42,'DADOS BRUTOS'!W$3:W$500)+IF($C42="",0,SUMIF('DADOS BRUTOS'!$A$3:$A$500,$C42,'DADOS BRUTOS'!W$3:W$500)))</f>
        <v>34986.5</v>
      </c>
      <c r="CX42" s="133" t="n">
        <f aca="false">IF(OR(CX$4="",$B42=""),0,SUMIF('DADOS BRUTOS'!$A$3:$A$500,$B42,'DADOS BRUTOS'!X$3:X$500)+IF($C42="",0,SUMIF('DADOS BRUTOS'!$A$3:$A$500,$C42,'DADOS BRUTOS'!X$3:X$500)))</f>
        <v>70987.17</v>
      </c>
      <c r="CY42" s="133" t="n">
        <f aca="false">IF(OR(CY$4="",$B42=""),0,SUMIF('DADOS BRUTOS'!$A$3:$A$500,$B42,'DADOS BRUTOS'!Y$3:Y$500)+IF($C42="",0,SUMIF('DADOS BRUTOS'!$A$3:$A$500,$C42,'DADOS BRUTOS'!Y$3:Y$500)))</f>
        <v>119467.69</v>
      </c>
      <c r="CZ42" s="133" t="n">
        <f aca="false">IF(OR(CZ$4="",$B42=""),0,SUMIF('DADOS BRUTOS'!$A$3:$A$500,$B42,'DADOS BRUTOS'!Z$3:Z$500)+IF($C42="",0,SUMIF('DADOS BRUTOS'!$A$3:$A$500,$C42,'DADOS BRUTOS'!Z$3:Z$500)))</f>
        <v>0</v>
      </c>
      <c r="DA42" s="133" t="n">
        <f aca="false">IF(OR(DA$4="",$B42=""),0,SUMIF('DADOS BRUTOS'!$A$3:$A$500,$B42,'DADOS BRUTOS'!AA$3:AA$500)+IF($C42="",0,SUMIF('DADOS BRUTOS'!$A$3:$A$500,$C42,'DADOS BRUTOS'!AA$3:AA$500)))</f>
        <v>0</v>
      </c>
      <c r="DB42" s="133" t="n">
        <f aca="false">IF(OR(DB$4="",$B42=""),0,SUMIF('DADOS BRUTOS'!$A$3:$A$500,$B42,'DADOS BRUTOS'!AB$3:AB$500)+IF($C42="",0,SUMIF('DADOS BRUTOS'!$A$3:$A$500,$C42,'DADOS BRUTOS'!AB$3:AB$500)))</f>
        <v>0</v>
      </c>
      <c r="DC42" s="133" t="n">
        <f aca="false">IF(OR(DC$4="",$B42=""),0,SUMIF('DADOS BRUTOS'!$A$3:$A$500,$B42,'DADOS BRUTOS'!AC$3:AC$500)+IF($C42="",0,SUMIF('DADOS BRUTOS'!$A$3:$A$500,$C42,'DADOS BRUTOS'!AC$3:AC$500)))</f>
        <v>0</v>
      </c>
      <c r="DD42" s="133" t="n">
        <f aca="false">IF(OR(DD$4="",$B42=""),0,SUMIF('DADOS BRUTOS'!$A$3:$A$500,$B42,'DADOS BRUTOS'!AD$3:AD$500)+IF($C42="",0,SUMIF('DADOS BRUTOS'!$A$3:$A$500,$C42,'DADOS BRUTOS'!AD$3:AD$500)))</f>
        <v>0</v>
      </c>
      <c r="DE42" s="133" t="n">
        <f aca="false">IF(OR(DE$4="",$B42=""),0,SUMIF('DADOS BRUTOS'!$A$3:$A$500,$B42,'DADOS BRUTOS'!AE$3:AE$500)+IF($C42="",0,SUMIF('DADOS BRUTOS'!$A$3:$A$500,$C42,'DADOS BRUTOS'!AE$3:AE$500)))</f>
        <v>0</v>
      </c>
      <c r="DF42" s="133" t="n">
        <f aca="false">IF(OR(DF$4="",$B42=""),0,SUMIF('DADOS BRUTOS'!$A$3:$A$500,$B42,'DADOS BRUTOS'!AF$3:AF$500)+IF($C42="",0,SUMIF('DADOS BRUTOS'!$A$3:$A$500,$C42,'DADOS BRUTOS'!AF$3:AF$500)))</f>
        <v>0</v>
      </c>
      <c r="DG42" s="133" t="n">
        <f aca="false">IF(OR(DG$4="",$B42=""),0,SUMIF('DADOS BRUTOS'!$A$3:$A$500,$B42,'DADOS BRUTOS'!AG$3:AG$500)+IF($C42="",0,SUMIF('DADOS BRUTOS'!$A$3:$A$500,$C42,'DADOS BRUTOS'!AG$3:AG$500)))</f>
        <v>0</v>
      </c>
      <c r="DH42" s="133" t="n">
        <f aca="false">IF(OR(DH$4="",$B42=""),0,SUMIF('DADOS BRUTOS'!$A$3:$A$500,$B42,'DADOS BRUTOS'!AH$3:AH$500)+IF($C42="",0,SUMIF('DADOS BRUTOS'!$A$3:$A$500,$C42,'DADOS BRUTOS'!AH$3:AH$500)))</f>
        <v>0</v>
      </c>
      <c r="DI42" s="133" t="n">
        <f aca="false">IF(OR(DI$4="",$B42=""),0,SUMIF('DADOS BRUTOS'!$A$3:$A$500,$B42,'DADOS BRUTOS'!AI$3:AI$500)+IF($C42="",0,SUMIF('DADOS BRUTOS'!$A$3:$A$500,$C42,'DADOS BRUTOS'!AI$3:AI$500)))</f>
        <v>0</v>
      </c>
      <c r="DJ42" s="133" t="n">
        <f aca="false">IF(OR(DJ$4="",$B42=""),0,SUMIF('DADOS BRUTOS'!$A$3:$A$500,$B42,'DADOS BRUTOS'!AJ$3:AJ$500)+IF($C42="",0,SUMIF('DADOS BRUTOS'!$A$3:$A$500,$C42,'DADOS BRUTOS'!AJ$3:AJ$500)))</f>
        <v>0</v>
      </c>
      <c r="DK42" s="133" t="n">
        <f aca="false">IF(OR(DK$4="",$B42=""),0,SUMIF('DADOS BRUTOS'!$A$3:$A$500,$B42,'DADOS BRUTOS'!AK$3:AK$500)+IF($C42="",0,SUMIF('DADOS BRUTOS'!$A$3:$A$500,$C42,'DADOS BRUTOS'!AK$3:AK$500)))</f>
        <v>0</v>
      </c>
      <c r="DL42" s="133" t="n">
        <f aca="false">IF(OR(DL$4="",$B42=""),0,SUMIF('DADOS BRUTOS'!$A$3:$A$500,$B42,'DADOS BRUTOS'!AL$3:AL$500)+IF($C42="",0,SUMIF('DADOS BRUTOS'!$A$3:$A$500,$C42,'DADOS BRUTOS'!AL$3:AL$500)))</f>
        <v>0</v>
      </c>
      <c r="DM42" s="133" t="n">
        <f aca="false">IF(OR(DM$4="",$B42=""),0,SUMIF('DADOS BRUTOS'!$A$3:$A$500,$B42,'DADOS BRUTOS'!AM$3:AM$500)+IF($C42="",0,SUMIF('DADOS BRUTOS'!$A$3:$A$500,$C42,'DADOS BRUTOS'!AM$3:AM$500)))</f>
        <v>0</v>
      </c>
      <c r="DN42" s="133" t="n">
        <f aca="false">IF(OR(DN$4="",$B42=""),0,SUMIF('DADOS BRUTOS'!$A$3:$A$500,$B42,'DADOS BRUTOS'!AN$3:AN$500)+IF($C42="",0,SUMIF('DADOS BRUTOS'!$A$3:$A$500,$C42,'DADOS BRUTOS'!AN$3:AN$500)))</f>
        <v>0</v>
      </c>
      <c r="DO42" s="133" t="n">
        <f aca="false">IF(OR(DO$4="",$B42=""),0,SUMIF('DADOS BRUTOS'!$A$3:$A$500,$B42,'DADOS BRUTOS'!AO$3:AO$500)+IF($C42="",0,SUMIF('DADOS BRUTOS'!$A$3:$A$500,$C42,'DADOS BRUTOS'!AO$3:AO$500)))</f>
        <v>0</v>
      </c>
      <c r="DP42" s="133" t="n">
        <f aca="false">IF(OR(DP$4="",$B42=""),0,SUMIF('DADOS BRUTOS'!$A$3:$A$500,$B42,'DADOS BRUTOS'!AP$3:AP$500)+IF($C42="",0,SUMIF('DADOS BRUTOS'!$A$3:$A$500,$C42,'DADOS BRUTOS'!AP$3:AP$500)))</f>
        <v>0</v>
      </c>
      <c r="DQ42" s="133" t="n">
        <f aca="false">IF(OR(DQ$4="",$B42=""),0,SUMIF('DADOS BRUTOS'!$A$3:$A$500,$B42,'DADOS BRUTOS'!AQ$3:AQ$500)+IF($C42="",0,SUMIF('DADOS BRUTOS'!$A$3:$A$500,$C42,'DADOS BRUTOS'!AQ$3:AQ$500)))</f>
        <v>0</v>
      </c>
      <c r="DR42" s="133" t="n">
        <f aca="false">IF(OR(DR$4="",$B42=""),0,SUMIF('DADOS BRUTOS'!$A$3:$A$500,$B42,'DADOS BRUTOS'!AR$3:AR$500)+IF($C42="",0,SUMIF('DADOS BRUTOS'!$A$3:$A$500,$C42,'DADOS BRUTOS'!AR$3:AR$500)))</f>
        <v>0</v>
      </c>
      <c r="DS42" s="133" t="n">
        <f aca="false">IF(OR(DS$4="",$B42=""),0,SUMIF('DADOS BRUTOS'!$A$3:$A$500,$B42,'DADOS BRUTOS'!AS$3:AS$500)+IF($C42="",0,SUMIF('DADOS BRUTOS'!$A$3:$A$500,$C42,'DADOS BRUTOS'!AS$3:AS$500)))</f>
        <v>0</v>
      </c>
      <c r="DT42" s="133" t="n">
        <f aca="false">IF(OR(DT$4="",$B42=""),0,SUMIF('DADOS BRUTOS'!$A$3:$A$500,$B42,'DADOS BRUTOS'!AT$3:AT$500)+IF($C42="",0,SUMIF('DADOS BRUTOS'!$A$3:$A$500,$C42,'DADOS BRUTOS'!AT$3:AT$500)))</f>
        <v>0</v>
      </c>
      <c r="DU42" s="133" t="n">
        <f aca="false">IF(OR(DU$4="",$B42=""),0,SUMIF('DADOS BRUTOS'!$A$3:$A$500,$B42,'DADOS BRUTOS'!AU$3:AU$500)+IF($C42="",0,SUMIF('DADOS BRUTOS'!$A$3:$A$500,$C42,'DADOS BRUTOS'!AU$3:AU$500)))</f>
        <v>0</v>
      </c>
      <c r="DV42" s="133" t="n">
        <f aca="false">IF(OR(DV$4="",$B42=""),0,SUMIF('DADOS BRUTOS'!$A$3:$A$500,$B42,'DADOS BRUTOS'!AV$3:AV$500)+IF($C42="",0,SUMIF('DADOS BRUTOS'!$A$3:$A$500,$C42,'DADOS BRUTOS'!AV$3:AV$500)))</f>
        <v>0</v>
      </c>
      <c r="DW42" s="133" t="n">
        <f aca="false">IF(OR(DW$4="",$B42=""),0,SUMIF('DADOS BRUTOS'!$A$3:$A$500,$B42,'DADOS BRUTOS'!AW$3:AW$500)+IF($C42="",0,SUMIF('DADOS BRUTOS'!$A$3:$A$500,$C42,'DADOS BRUTOS'!AW$3:AW$500)))</f>
        <v>0</v>
      </c>
      <c r="DX42" s="133" t="n">
        <f aca="false">IF(OR(DX$4="",$B42=""),0,SUMIF('DADOS BRUTOS'!$A$3:$A$500,$B42,'DADOS BRUTOS'!AX$3:AX$500)+IF($C42="",0,SUMIF('DADOS BRUTOS'!$A$3:$A$500,$C42,'DADOS BRUTOS'!AX$3:AX$500)))</f>
        <v>0</v>
      </c>
      <c r="DY42" s="133" t="n">
        <f aca="false">IF(OR(DY$4="",$B42=""),0,SUMIF('DADOS BRUTOS'!$A$3:$A$500,$B42,'DADOS BRUTOS'!AY$3:AY$500)+IF($C42="",0,SUMIF('DADOS BRUTOS'!$A$3:$A$500,$C42,'DADOS BRUTOS'!AY$3:AY$500)))</f>
        <v>0</v>
      </c>
      <c r="DZ42" s="133" t="n">
        <f aca="false">IF(OR(DZ$4="",$B42=""),0,SUMIF('DADOS BRUTOS'!$A$3:$A$500,$B42,'DADOS BRUTOS'!AZ$3:AZ$500)+IF($C42="",0,SUMIF('DADOS BRUTOS'!$A$3:$A$500,$C42,'DADOS BRUTOS'!AZ$3:AZ$500)))</f>
        <v>0</v>
      </c>
      <c r="EA42" s="133" t="n">
        <f aca="false">IF(OR(EA$4="",$B42=""),0,SUMIF('DADOS BRUTOS'!$A$3:$A$500,$B42,'DADOS BRUTOS'!BA$3:BA$500)+IF($C42="",0,SUMIF('DADOS BRUTOS'!$A$3:$A$500,$C42,'DADOS BRUTOS'!BA$3:BA$500)))</f>
        <v>0</v>
      </c>
      <c r="EB42" s="133" t="n">
        <f aca="false">IF(OR(EB$4="",$B42=""),0,SUMIF('DADOS BRUTOS'!$A$3:$A$500,$B42,'DADOS BRUTOS'!BB$3:BB$500)+IF($C42="",0,SUMIF('DADOS BRUTOS'!$A$3:$A$500,$C42,'DADOS BRUTOS'!BB$3:BB$500)))</f>
        <v>0</v>
      </c>
      <c r="EC42" s="133" t="n">
        <f aca="false">IF(OR(EC$4="",$B42=""),0,SUMIF('DADOS BRUTOS'!$A$3:$A$500,$B42,'DADOS BRUTOS'!BC$3:BC$500)+IF($C42="",0,SUMIF('DADOS BRUTOS'!$A$3:$A$500,$C42,'DADOS BRUTOS'!BC$3:BC$500)))</f>
        <v>0</v>
      </c>
      <c r="ED42" s="133" t="n">
        <f aca="false">IF(OR(ED$4="",$B42=""),0,SUMIF('DADOS BRUTOS'!$A$3:$A$500,$B42,'DADOS BRUTOS'!BD$3:BD$500)+IF($C42="",0,SUMIF('DADOS BRUTOS'!$A$3:$A$500,$C42,'DADOS BRUTOS'!BD$3:BD$500)))</f>
        <v>0</v>
      </c>
      <c r="EE42" s="133" t="n">
        <f aca="false">IF(OR(EE$4="",$B42=""),0,SUMIF('DADOS BRUTOS'!$A$3:$A$500,$B42,'DADOS BRUTOS'!BE$3:BE$500)+IF($C42="",0,SUMIF('DADOS BRUTOS'!$A$3:$A$500,$C42,'DADOS BRUTOS'!BE$3:BE$500)))</f>
        <v>0</v>
      </c>
      <c r="EF42" s="133" t="n">
        <f aca="false">IF(OR(EF$4="",$B42=""),0,SUMIF('DADOS BRUTOS'!$A$3:$A$500,$B42,'DADOS BRUTOS'!BF$3:BF$500)+IF($C42="",0,SUMIF('DADOS BRUTOS'!$A$3:$A$500,$C42,'DADOS BRUTOS'!BF$3:BF$500)))</f>
        <v>0</v>
      </c>
      <c r="EG42" s="133" t="n">
        <f aca="false">IF(OR(EG$4="",$B42=""),0,SUMIF('DADOS BRUTOS'!$A$3:$A$500,$B42,'DADOS BRUTOS'!BG$3:BG$500)+IF($C42="",0,SUMIF('DADOS BRUTOS'!$A$3:$A$500,$C42,'DADOS BRUTOS'!BG$3:BG$500)))</f>
        <v>0</v>
      </c>
      <c r="EH42" s="133" t="n">
        <f aca="false">IF(OR(EH$4="",$B42=""),0,SUMIF('DADOS BRUTOS'!$A$3:$A$500,$B42,'DADOS BRUTOS'!BH$3:BH$500)+IF($C42="",0,SUMIF('DADOS BRUTOS'!$A$3:$A$500,$C42,'DADOS BRUTOS'!BH$3:BH$500)))</f>
        <v>0</v>
      </c>
      <c r="EI42" s="133" t="n">
        <f aca="false">IF(OR(EI$4="",$B42=""),0,SUMIF('DADOS BRUTOS'!$A$3:$A$500,$B42,'DADOS BRUTOS'!BI$3:BI$500)+IF($C42="",0,SUMIF('DADOS BRUTOS'!$A$3:$A$500,$C42,'DADOS BRUTOS'!BI$3:BI$500)))</f>
        <v>0</v>
      </c>
      <c r="EJ42" s="133" t="n">
        <f aca="false">IF(OR(EJ$4="",$B42=""),0,SUMIF('DADOS BRUTOS'!$A$3:$A$500,$B42,'DADOS BRUTOS'!BJ$3:BJ$500)+IF($C42="",0,SUMIF('DADOS BRUTOS'!$A$3:$A$500,$C42,'DADOS BRUTOS'!BJ$3:BJ$500)))</f>
        <v>0</v>
      </c>
      <c r="EK42" s="133" t="n">
        <f aca="false">IF(OR(EK$4="",$B42=""),0,SUMIF('DADOS BRUTOS'!$A$3:$A$500,$B42,'DADOS BRUTOS'!BK$3:BK$500)+IF($C42="",0,SUMIF('DADOS BRUTOS'!$A$3:$A$500,$C42,'DADOS BRUTOS'!BK$3:BK$500)))</f>
        <v>0</v>
      </c>
      <c r="EL42" s="133" t="n">
        <f aca="false">IF(OR(EL$4="",$B42=""),0,SUMIF('DADOS BRUTOS'!$A$3:$A$500,$B42,'DADOS BRUTOS'!BL$3:BL$500)+IF($C42="",0,SUMIF('DADOS BRUTOS'!$A$3:$A$500,$C42,'DADOS BRUTOS'!BL$3:BL$500)))</f>
        <v>0</v>
      </c>
      <c r="EM42" s="133" t="n">
        <f aca="false">IF(OR(EM$4="",$B42=""),0,SUMIF('DADOS BRUTOS'!$A$3:$A$500,$B42,'DADOS BRUTOS'!BM$3:BM$500)+IF($C42="",0,SUMIF('DADOS BRUTOS'!$A$3:$A$500,$C42,'DADOS BRUTOS'!BM$3:BM$500)))</f>
        <v>0</v>
      </c>
      <c r="EN42" s="133" t="n">
        <f aca="false">IF(OR(EN$4="",$B42=""),0,SUMIF('DADOS BRUTOS'!$A$3:$A$500,$B42,'DADOS BRUTOS'!BN$3:BN$500)+IF($C42="",0,SUMIF('DADOS BRUTOS'!$A$3:$A$500,$C42,'DADOS BRUTOS'!BN$3:BN$500)))</f>
        <v>0</v>
      </c>
      <c r="EO42" s="133" t="n">
        <f aca="false">IF(OR(EO$4="",$B42=""),0,SUMIF('DADOS BRUTOS'!$A$3:$A$500,$B42,'DADOS BRUTOS'!BO$3:BO$500)+IF($C42="",0,SUMIF('DADOS BRUTOS'!$A$3:$A$500,$C42,'DADOS BRUTOS'!BO$3:BO$500)))</f>
        <v>0</v>
      </c>
      <c r="EP42" s="133" t="n">
        <f aca="false">IF(OR(EP$4="",$B42=""),0,SUMIF('DADOS BRUTOS'!$A$3:$A$500,$B42,'DADOS BRUTOS'!BP$3:BP$500)+IF($C42="",0,SUMIF('DADOS BRUTOS'!$A$3:$A$500,$C42,'DADOS BRUTOS'!BP$3:BP$500)))</f>
        <v>0</v>
      </c>
      <c r="EQ42" s="133" t="n">
        <f aca="false">IF(OR(EQ$4="",$B42=""),0,SUMIF('DADOS BRUTOS'!$A$3:$A$500,$B42,'DADOS BRUTOS'!BQ$3:BQ$500)+IF($C42="",0,SUMIF('DADOS BRUTOS'!$A$3:$A$500,$C42,'DADOS BRUTOS'!BQ$3:BQ$500)))</f>
        <v>0</v>
      </c>
      <c r="ER42" s="133" t="n">
        <f aca="false">IF(OR(ER$4="",$B42=""),0,SUMIF('DADOS BRUTOS'!$A$3:$A$500,$B42,'DADOS BRUTOS'!BR$3:BR$500)+IF($C42="",0,SUMIF('DADOS BRUTOS'!$A$3:$A$500,$C42,'DADOS BRUTOS'!BR$3:BR$500)))</f>
        <v>0</v>
      </c>
      <c r="ES42" s="133" t="n">
        <f aca="false">IF(OR(ES$4="",$B42=""),0,SUMIF('DADOS BRUTOS'!$A$3:$A$500,$B42,'DADOS BRUTOS'!BS$3:BS$500)+IF($C42="",0,SUMIF('DADOS BRUTOS'!$A$3:$A$500,$C42,'DADOS BRUTOS'!BS$3:BS$500)))</f>
        <v>0</v>
      </c>
      <c r="ET42" s="133" t="n">
        <f aca="false">IF(OR(ET$4="",$B42=""),0,SUMIF('DADOS BRUTOS'!$A$3:$A$500,$B42,'DADOS BRUTOS'!BT$3:BT$500)+IF($C42="",0,SUMIF('DADOS BRUTOS'!$A$3:$A$500,$C42,'DADOS BRUTOS'!BT$3:BT$500)))</f>
        <v>0</v>
      </c>
      <c r="EU42" s="133" t="n">
        <f aca="false">IF(OR(EU$4="",$B42=""),0,SUMIF('DADOS BRUTOS'!$A$3:$A$500,$B42,'DADOS BRUTOS'!BU$3:BU$500)+IF($C42="",0,SUMIF('DADOS BRUTOS'!$A$3:$A$500,$C42,'DADOS BRUTOS'!BU$3:BU$500)))</f>
        <v>0</v>
      </c>
      <c r="EV42" s="133" t="n">
        <f aca="false">IF(OR(EV$4="",$B42=""),0,SUMIF('DADOS BRUTOS'!$A$3:$A$500,$B42,'DADOS BRUTOS'!BV$3:BV$500)+IF($C42="",0,SUMIF('DADOS BRUTOS'!$A$3:$A$500,$C42,'DADOS BRUTOS'!BV$3:BV$500)))</f>
        <v>0</v>
      </c>
      <c r="EW42" s="133" t="n">
        <f aca="false">IF(OR(EW$4="",$B42=""),0,SUMIF('DADOS BRUTOS'!$A$3:$A$500,$B42,'DADOS BRUTOS'!BW$3:BW$500)+IF($C42="",0,SUMIF('DADOS BRUTOS'!$A$3:$A$500,$C42,'DADOS BRUTOS'!BW$3:BW$500)))</f>
        <v>0</v>
      </c>
      <c r="EX42" s="133" t="n">
        <f aca="false">IF(OR(EX$4="",$B42=""),0,SUMIF('DADOS BRUTOS'!$A$3:$A$500,$B42,'DADOS BRUTOS'!BX$3:BX$500)+IF($C42="",0,SUMIF('DADOS BRUTOS'!$A$3:$A$500,$C42,'DADOS BRUTOS'!BX$3:BX$500)))</f>
        <v>0</v>
      </c>
      <c r="EY42" s="133" t="n">
        <f aca="false">IF(OR(EY$4="",$B42=""),0,SUMIF('DADOS BRUTOS'!$A$3:$A$500,$B42,'DADOS BRUTOS'!BY$3:BY$500)+IF($C42="",0,SUMIF('DADOS BRUTOS'!$A$3:$A$500,$C42,'DADOS BRUTOS'!BY$3:BY$500)))</f>
        <v>0</v>
      </c>
      <c r="EZ42" s="133" t="n">
        <f aca="false">IF(OR(EZ$4="",$B42=""),0,SUMIF('DADOS BRUTOS'!$A$3:$A$500,$B42,'DADOS BRUTOS'!BZ$3:BZ$500)+IF($C42="",0,SUMIF('DADOS BRUTOS'!$A$3:$A$500,$C42,'DADOS BRUTOS'!BZ$3:BZ$500)))</f>
        <v>0</v>
      </c>
      <c r="FA42" s="133" t="n">
        <f aca="false">IF(OR(FA$4="",$B42=""),0,SUMIF('DADOS BRUTOS'!$A$3:$A$500,$B42,'DADOS BRUTOS'!CA$3:CA$500)+IF($C42="",0,SUMIF('DADOS BRUTOS'!$A$3:$A$500,$C42,'DADOS BRUTOS'!CA$3:CA$500)))</f>
        <v>0</v>
      </c>
      <c r="FB42" s="133" t="n">
        <f aca="false">IF(OR(FB$4="",$B42=""),0,SUMIF('DADOS BRUTOS'!$A$3:$A$500,$B42,'DADOS BRUTOS'!CB$3:CB$500)+IF($C42="",0,SUMIF('DADOS BRUTOS'!$A$3:$A$500,$C42,'DADOS BRUTOS'!CB$3:CB$500)))</f>
        <v>0</v>
      </c>
      <c r="FC42" s="133" t="n">
        <f aca="false">IF(OR(FC$4="",$B42=""),0,SUMIF('DADOS BRUTOS'!$A$3:$A$500,$B42,'DADOS BRUTOS'!CC$3:CC$500)+IF($C42="",0,SUMIF('DADOS BRUTOS'!$A$3:$A$500,$C42,'DADOS BRUTOS'!CC$3:CC$500)))</f>
        <v>0</v>
      </c>
      <c r="FD42" s="133" t="n">
        <f aca="false">IF(OR(FD$4="",$B42=""),0,SUMIF('DADOS BRUTOS'!$A$3:$A$500,$B42,'DADOS BRUTOS'!CD$3:CD$500)+IF($C42="",0,SUMIF('DADOS BRUTOS'!$A$3:$A$500,$C42,'DADOS BRUTOS'!CD$3:CD$500)))</f>
        <v>0</v>
      </c>
      <c r="FE42" s="133" t="n">
        <f aca="false">IF(OR(FE$4="",$B42=""),0,SUMIF('DADOS BRUTOS'!$A$3:$A$500,$B42,'DADOS BRUTOS'!CE$3:CE$500)+IF($C42="",0,SUMIF('DADOS BRUTOS'!$A$3:$A$500,$C42,'DADOS BRUTOS'!CE$3:CE$500)))</f>
        <v>0</v>
      </c>
      <c r="FF42" s="133" t="n">
        <f aca="false">IF(OR(FF$4="",$B42=""),0,SUMIF('DADOS BRUTOS'!$A$3:$A$500,$B42,'DADOS BRUTOS'!CF$3:CF$500)+IF($C42="",0,SUMIF('DADOS BRUTOS'!$A$3:$A$500,$C42,'DADOS BRUTOS'!CF$3:CF$500)))</f>
        <v>0</v>
      </c>
      <c r="FG42" s="133" t="n">
        <f aca="false">IF(OR(FG$4="",$B42=""),0,SUMIF('DADOS BRUTOS'!$A$3:$A$500,$B42,'DADOS BRUTOS'!CG$3:CG$500)+IF($C42="",0,SUMIF('DADOS BRUTOS'!$A$3:$A$500,$C42,'DADOS BRUTOS'!CG$3:CG$500)))</f>
        <v>0</v>
      </c>
      <c r="FH42" s="133" t="n">
        <f aca="false">IF(OR(FH$4="",$B42=""),0,SUMIF('DADOS BRUTOS'!$A$3:$A$500,$B42,'DADOS BRUTOS'!CH$3:CH$500)+IF($C42="",0,SUMIF('DADOS BRUTOS'!$A$3:$A$500,$C42,'DADOS BRUTOS'!CH$3:CH$500)))</f>
        <v>0</v>
      </c>
      <c r="FI42" s="133" t="n">
        <f aca="false">IF(OR(FI$4="",$B42=""),0,SUMIF('DADOS BRUTOS'!$A$3:$A$500,$B42,'DADOS BRUTOS'!CI$3:CI$500)+IF($C42="",0,SUMIF('DADOS BRUTOS'!$A$3:$A$500,$C42,'DADOS BRUTOS'!CI$3:CI$500)))</f>
        <v>0</v>
      </c>
      <c r="FJ42" s="133" t="n">
        <f aca="false">IF(OR(FJ$4="",$B42=""),0,SUMIF('DADOS BRUTOS'!$A$3:$A$500,$B42,'DADOS BRUTOS'!CJ$3:CJ$500)+IF($C42="",0,SUMIF('DADOS BRUTOS'!$A$3:$A$500,$C42,'DADOS BRUTOS'!CJ$3:CJ$500)))</f>
        <v>0</v>
      </c>
      <c r="FK42" s="133" t="n">
        <f aca="false">IF(OR(FK$4="",$B42=""),0,SUMIF('DADOS BRUTOS'!$A$3:$A$500,$B42,'DADOS BRUTOS'!CK$3:CK$500)+IF($C42="",0,SUMIF('DADOS BRUTOS'!$A$3:$A$500,$C42,'DADOS BRUTOS'!CK$3:CK$500)))</f>
        <v>0</v>
      </c>
      <c r="FL42" s="133" t="n">
        <f aca="false">IF(OR(FL$4="",$B42=""),0,SUMIF('DADOS BRUTOS'!$A$3:$A$500,$B42,'DADOS BRUTOS'!CL$3:CL$500)+IF($C42="",0,SUMIF('DADOS BRUTOS'!$A$3:$A$500,$C42,'DADOS BRUTOS'!CL$3:CL$500)))</f>
        <v>0</v>
      </c>
      <c r="FM42" s="133" t="n">
        <f aca="false">IF(OR(FM$4="",$B42=""),0,SUMIF('DADOS BRUTOS'!$A$3:$A$500,$B42,'DADOS BRUTOS'!CM$3:CM$500)+IF($C42="",0,SUMIF('DADOS BRUTOS'!$A$3:$A$500,$C42,'DADOS BRUTOS'!CM$3:CM$500)))</f>
        <v>0</v>
      </c>
      <c r="FN42" s="133" t="n">
        <f aca="false">IF(OR(FN$4="",$B42=""),0,SUMIF('DADOS BRUTOS'!$A$3:$A$500,$B42,'DADOS BRUTOS'!CN$3:CN$500)+IF($C42="",0,SUMIF('DADOS BRUTOS'!$A$3:$A$500,$C42,'DADOS BRUTOS'!CN$3:CN$500)))</f>
        <v>0</v>
      </c>
      <c r="FO42" s="133" t="n">
        <f aca="false">IF(OR(FO$4="",$B42=""),0,SUMIF('DADOS BRUTOS'!$A$3:$A$500,$B42,'DADOS BRUTOS'!CO$3:CO$500)+IF($C42="",0,SUMIF('DADOS BRUTOS'!$A$3:$A$500,$C42,'DADOS BRUTOS'!CO$3:CO$500)))</f>
        <v>0</v>
      </c>
      <c r="FP42" s="133" t="n">
        <f aca="false">IF(OR(FP$4="",$B42=""),0,SUMIF('DADOS BRUTOS'!$A$3:$A$500,$B42,'DADOS BRUTOS'!CP$3:CP$500)+IF($C42="",0,SUMIF('DADOS BRUTOS'!$A$3:$A$500,$C42,'DADOS BRUTOS'!CP$3:CP$500)))</f>
        <v>0</v>
      </c>
      <c r="FQ42" s="133" t="n">
        <f aca="false">IF(OR(FQ$4="",$B42=""),0,SUMIF('DADOS BRUTOS'!$A$3:$A$500,$B42,'DADOS BRUTOS'!CQ$3:CQ$500)+IF($C42="",0,SUMIF('DADOS BRUTOS'!$A$3:$A$500,$C42,'DADOS BRUTOS'!CQ$3:CQ$500)))</f>
        <v>0</v>
      </c>
      <c r="FR42" s="133" t="n">
        <f aca="false">IF(OR(FR$4="",$B42=""),0,SUMIF('DADOS BRUTOS'!$A$3:$A$500,$B42,'DADOS BRUTOS'!CR$3:CR$500)+IF($C42="",0,SUMIF('DADOS BRUTOS'!$A$3:$A$500,$C42,'DADOS BRUTOS'!CR$3:CR$500)))</f>
        <v>0</v>
      </c>
      <c r="FS42" s="133" t="n">
        <f aca="false">IF(OR(FS$4="",$B42=""),0,SUMIF('DADOS BRUTOS'!$A$3:$A$500,$B42,'DADOS BRUTOS'!CS$3:CS$500)+IF($C42="",0,SUMIF('DADOS BRUTOS'!$A$3:$A$500,$C42,'DADOS BRUTOS'!CS$3:CS$500)))</f>
        <v>0</v>
      </c>
      <c r="FT42" s="133" t="n">
        <f aca="false">IF(OR(FT$4="",$B42=""),0,SUMIF('DADOS BRUTOS'!$A$3:$A$500,$B42,'DADOS BRUTOS'!CT$3:CT$500)+IF($C42="",0,SUMIF('DADOS BRUTOS'!$A$3:$A$500,$C42,'DADOS BRUTOS'!CT$3:CT$500)))</f>
        <v>0</v>
      </c>
      <c r="FU42" s="133" t="n">
        <f aca="false">IF(OR(FU$4="",$B42=""),0,SUMIF('DADOS BRUTOS'!$A$3:$A$500,$B42,'DADOS BRUTOS'!CU$3:CU$500)+IF($C42="",0,SUMIF('DADOS BRUTOS'!$A$3:$A$500,$C42,'DADOS BRUTOS'!CU$3:CU$500)))</f>
        <v>0</v>
      </c>
      <c r="FV42" s="133" t="n">
        <f aca="false">IF(OR(FV$4="",$B42=""),0,SUMIF('DADOS BRUTOS'!$A$3:$A$500,$B42,'DADOS BRUTOS'!CV$3:CV$500)+IF($C42="",0,SUMIF('DADOS BRUTOS'!$A$3:$A$500,$C42,'DADOS BRUTOS'!CV$3:CV$500)))</f>
        <v>0</v>
      </c>
      <c r="FW42" s="133" t="n">
        <f aca="false">IF(OR(FW$4="",$B42=""),0,SUMIF('DADOS BRUTOS'!$A$3:$A$500,$B42,'DADOS BRUTOS'!CW$3:CW$500)+IF($C42="",0,SUMIF('DADOS BRUTOS'!$A$3:$A$500,$C42,'DADOS BRUTOS'!CW$3:CW$500)))</f>
        <v>0</v>
      </c>
      <c r="FX42" s="133" t="n">
        <f aca="false">IF(OR(FX$4="",$B42=""),0,SUMIF('DADOS BRUTOS'!$A$3:$A$500,$B42,'DADOS BRUTOS'!CX$3:CX$500)+IF($C42="",0,SUMIF('DADOS BRUTOS'!$A$3:$A$500,$C42,'DADOS BRUTOS'!CX$3:CX$500)))</f>
        <v>0</v>
      </c>
      <c r="FY42" s="133" t="n">
        <f aca="false">IF(OR(FY$4="",$B42=""),0,SUMIF('DADOS BRUTOS'!$A$3:$A$500,$B42,'DADOS BRUTOS'!CY$3:CY$500)+IF($C42="",0,SUMIF('DADOS BRUTOS'!$A$3:$A$500,$C42,'DADOS BRUTOS'!CY$3:CY$500)))</f>
        <v>0</v>
      </c>
      <c r="FZ42" s="133" t="n">
        <f aca="false">IF(OR(FZ$4="",$B42=""),0,SUMIF('DADOS BRUTOS'!$A$3:$A$500,$B42,'DADOS BRUTOS'!CZ$3:CZ$500)+IF($C42="",0,SUMIF('DADOS BRUTOS'!$A$3:$A$500,$C42,'DADOS BRUTOS'!CZ$3:CZ$500)))</f>
        <v>0</v>
      </c>
      <c r="GA42" s="133" t="n">
        <f aca="false">IF(OR(GA$4="",$B42=""),0,SUMIF('DADOS BRUTOS'!$A$3:$A$500,$B42,'DADOS BRUTOS'!DA$3:DA$500)+IF($C42="",0,SUMIF('DADOS BRUTOS'!$A$3:$A$500,$C42,'DADOS BRUTOS'!DA$3:DA$500)))</f>
        <v>0</v>
      </c>
      <c r="GB42" s="133" t="n">
        <f aca="false">IF(OR(GB$4="",$B42=""),0,SUMIF('DADOS BRUTOS'!$A$3:$A$500,$B42,'DADOS BRUTOS'!DB$3:DB$500)+IF($C42="",0,SUMIF('DADOS BRUTOS'!$A$3:$A$500,$C42,'DADOS BRUTOS'!DB$3:DB$500)))</f>
        <v>0</v>
      </c>
      <c r="GC42" s="133" t="n">
        <f aca="false">IF(OR(GC$4="",$B42=""),0,SUMIF('DADOS BRUTOS'!$A$3:$A$500,$B42,'DADOS BRUTOS'!DC$3:DC$500)+IF($C42="",0,SUMIF('DADOS BRUTOS'!$A$3:$A$500,$C42,'DADOS BRUTOS'!DC$3:DC$500)))</f>
        <v>0</v>
      </c>
      <c r="GD42" s="133" t="n">
        <f aca="false">IF(OR(GD$4="",$B42=""),0,SUMIF('DADOS BRUTOS'!$A$3:$A$500,$B42,'DADOS BRUTOS'!DD$3:DD$500)+IF($C42="",0,SUMIF('DADOS BRUTOS'!$A$3:$A$500,$C42,'DADOS BRUTOS'!DD$3:DD$500)))</f>
        <v>0</v>
      </c>
      <c r="GE42" s="133" t="n">
        <f aca="false">IF(OR(GE$4="",$B42=""),0,SUMIF('DADOS BRUTOS'!$A$3:$A$500,$B42,'DADOS BRUTOS'!DE$3:DE$500)+IF($C42="",0,SUMIF('DADOS BRUTOS'!$A$3:$A$500,$C42,'DADOS BRUTOS'!DE$3:DE$500)))</f>
        <v>0</v>
      </c>
      <c r="GF42" s="133" t="n">
        <f aca="false">IF(OR(GF$4="",$B42=""),0,SUMIF('DADOS BRUTOS'!$A$3:$A$500,$B42,'DADOS BRUTOS'!DF$3:DF$500)+IF($C42="",0,SUMIF('DADOS BRUTOS'!$A$3:$A$500,$C42,'DADOS BRUTOS'!DF$3:DF$500)))</f>
        <v>0</v>
      </c>
      <c r="GG42" s="133" t="n">
        <f aca="false">IF(OR(GG$4="",$B42=""),0,SUMIF('DADOS BRUTOS'!$A$3:$A$500,$B42,'DADOS BRUTOS'!DG$3:DG$500)+IF($C42="",0,SUMIF('DADOS BRUTOS'!$A$3:$A$500,$C42,'DADOS BRUTOS'!DG$3:DG$500)))</f>
        <v>0</v>
      </c>
      <c r="GH42" s="133" t="n">
        <f aca="false">IF(OR(GH$4="",$B42=""),0,SUMIF('DADOS BRUTOS'!$A$3:$A$500,$B42,'DADOS BRUTOS'!DH$3:DH$500)+IF($C42="",0,SUMIF('DADOS BRUTOS'!$A$3:$A$500,$C42,'DADOS BRUTOS'!DH$3:DH$500)))</f>
        <v>0</v>
      </c>
      <c r="GI42" s="133" t="n">
        <f aca="false">IF(OR(GI$4="",$B42=""),0,SUMIF('DADOS BRUTOS'!$A$3:$A$500,$B42,'DADOS BRUTOS'!DI$3:DI$500)+IF($C42="",0,SUMIF('DADOS BRUTOS'!$A$3:$A$500,$C42,'DADOS BRUTOS'!DI$3:DI$500)))</f>
        <v>0</v>
      </c>
      <c r="GJ42" s="133" t="n">
        <f aca="false">IF(OR(GJ$4="",$B42=""),0,SUMIF('DADOS BRUTOS'!$A$3:$A$500,$B42,'DADOS BRUTOS'!DJ$3:DJ$500)+IF($C42="",0,SUMIF('DADOS BRUTOS'!$A$3:$A$500,$C42,'DADOS BRUTOS'!DJ$3:DJ$500)))</f>
        <v>0</v>
      </c>
      <c r="GK42" s="133" t="n">
        <f aca="false">IF(OR(GK$4="",$B42=""),0,SUMIF('DADOS BRUTOS'!$A$3:$A$500,$B42,'DADOS BRUTOS'!DK$3:DK$500)+IF($C42="",0,SUMIF('DADOS BRUTOS'!$A$3:$A$500,$C42,'DADOS BRUTOS'!DK$3:DK$500)))</f>
        <v>0</v>
      </c>
      <c r="GL42" s="133" t="n">
        <f aca="false">IF(OR(GL$4="",$B42=""),0,SUMIF('DADOS BRUTOS'!$A$3:$A$500,$B42,'DADOS BRUTOS'!DL$3:DL$500)+IF($C42="",0,SUMIF('DADOS BRUTOS'!$A$3:$A$500,$C42,'DADOS BRUTOS'!DL$3:DL$500)))</f>
        <v>0</v>
      </c>
      <c r="GM42" s="133" t="n">
        <f aca="false">IF(OR(GM$4="",$B42=""),0,SUMIF('DADOS BRUTOS'!$A$3:$A$500,$B42,'DADOS BRUTOS'!DM$3:DM$500)+IF($C42="",0,SUMIF('DADOS BRUTOS'!$A$3:$A$500,$C42,'DADOS BRUTOS'!DM$3:DM$500)))</f>
        <v>0</v>
      </c>
      <c r="GN42" s="133" t="n">
        <f aca="false">IF(OR(GN$4="",$B42=""),0,SUMIF('DADOS BRUTOS'!$A$3:$A$500,$B42,'DADOS BRUTOS'!DN$3:DN$500)+IF($C42="",0,SUMIF('DADOS BRUTOS'!$A$3:$A$500,$C42,'DADOS BRUTOS'!DN$3:DN$500)))</f>
        <v>0</v>
      </c>
      <c r="GO42" s="133" t="n">
        <f aca="false">IF(OR(GO$4="",$B42=""),0,SUMIF('DADOS BRUTOS'!$A$3:$A$500,$B42,'DADOS BRUTOS'!DO$3:DO$500)+IF($C42="",0,SUMIF('DADOS BRUTOS'!$A$3:$A$500,$C42,'DADOS BRUTOS'!DO$3:DO$500)))</f>
        <v>0</v>
      </c>
      <c r="GP42" s="133" t="n">
        <f aca="false">IF(OR(GP$4="",$B42=""),0,SUMIF('DADOS BRUTOS'!$A$3:$A$500,$B42,'DADOS BRUTOS'!DP$3:DP$500)+IF($C42="",0,SUMIF('DADOS BRUTOS'!$A$3:$A$500,$C42,'DADOS BRUTOS'!DP$3:DP$500)))</f>
        <v>0</v>
      </c>
      <c r="GQ42" s="133" t="n">
        <f aca="false">IF(OR(GQ$4="",$B42=""),0,SUMIF('DADOS BRUTOS'!$A$3:$A$500,$B42,'DADOS BRUTOS'!DQ$3:DQ$500)+IF($C42="",0,SUMIF('DADOS BRUTOS'!$A$3:$A$500,$C42,'DADOS BRUTOS'!DQ$3:DQ$500)))</f>
        <v>0</v>
      </c>
      <c r="GR42" s="133" t="n">
        <f aca="false">IF(OR(GR$4="",$B42=""),0,SUMIF('DADOS BRUTOS'!$A$3:$A$500,$B42,'DADOS BRUTOS'!DR$3:DR$500)+IF($C42="",0,SUMIF('DADOS BRUTOS'!$A$3:$A$500,$C42,'DADOS BRUTOS'!DR$3:DR$500)))</f>
        <v>0</v>
      </c>
      <c r="GS42" s="133" t="n">
        <f aca="false">IF(OR(GS$4="",$B42=""),0,SUMIF('DADOS BRUTOS'!$A$3:$A$500,$B42,'DADOS BRUTOS'!DS$3:DS$500)+IF($C42="",0,SUMIF('DADOS BRUTOS'!$A$3:$A$500,$C42,'DADOS BRUTOS'!DS$3:DS$500)))</f>
        <v>0</v>
      </c>
      <c r="GT42" s="133" t="n">
        <f aca="false">IF(OR(GT$4="",$B42=""),0,SUMIF('DADOS BRUTOS'!$A$3:$A$500,$B42,'DADOS BRUTOS'!DT$3:DT$500)+IF($C42="",0,SUMIF('DADOS BRUTOS'!$A$3:$A$500,$C42,'DADOS BRUTOS'!DT$3:DT$500)))</f>
        <v>0</v>
      </c>
      <c r="GU42" s="133" t="n">
        <f aca="false">IF(OR(GU$4="",$B42=""),0,SUMIF('DADOS BRUTOS'!$A$3:$A$500,$B42,'DADOS BRUTOS'!DU$3:DU$500)+IF($C42="",0,SUMIF('DADOS BRUTOS'!$A$3:$A$500,$C42,'DADOS BRUTOS'!DU$3:DU$500)))</f>
        <v>0</v>
      </c>
      <c r="GV42" s="133" t="n">
        <f aca="false">IF(OR(GV$4="",$B42=""),0,SUMIF('DADOS BRUTOS'!$A$3:$A$500,$B42,'DADOS BRUTOS'!DV$3:DV$500)+IF($C42="",0,SUMIF('DADOS BRUTOS'!$A$3:$A$500,$C42,'DADOS BRUTOS'!DV$3:DV$500)))</f>
        <v>0</v>
      </c>
      <c r="GW42" s="133" t="n">
        <f aca="false">IF(OR(GW$4="",$B42=""),0,SUMIF('DADOS BRUTOS'!$A$3:$A$500,$B42,'DADOS BRUTOS'!DW$3:DW$500)+IF($C42="",0,SUMIF('DADOS BRUTOS'!$A$3:$A$500,$C42,'DADOS BRUTOS'!DW$3:DW$500)))</f>
        <v>0</v>
      </c>
      <c r="GX42" s="133" t="n">
        <f aca="false">IF(OR(GX$4="",$B42=""),0,SUMIF('DADOS BRUTOS'!$A$3:$A$500,$B42,'DADOS BRUTOS'!DX$3:DX$500)+IF($C42="",0,SUMIF('DADOS BRUTOS'!$A$3:$A$500,$C42,'DADOS BRUTOS'!DX$3:DX$500)))</f>
        <v>0</v>
      </c>
      <c r="GY42" s="133" t="n">
        <f aca="false">IF(OR(GY$4="",$B42=""),0,SUMIF('DADOS BRUTOS'!$A$3:$A$500,$B42,'DADOS BRUTOS'!DY$3:DY$500)+IF($C42="",0,SUMIF('DADOS BRUTOS'!$A$3:$A$500,$C42,'DADOS BRUTOS'!DY$3:DY$500)))</f>
        <v>0</v>
      </c>
      <c r="GZ42" s="133" t="n">
        <f aca="false">IF(OR(GZ$4="",$B42=""),0,SUMIF('DADOS BRUTOS'!$A$3:$A$500,$B42,'DADOS BRUTOS'!DZ$3:DZ$500)+IF($C42="",0,SUMIF('DADOS BRUTOS'!$A$3:$A$500,$C42,'DADOS BRUTOS'!DZ$3:DZ$500)))</f>
        <v>0</v>
      </c>
      <c r="HA42" s="133" t="n">
        <f aca="false">IF(OR(HA$4="",$B42=""),0,SUMIF('DADOS BRUTOS'!$A$3:$A$500,$B42,'DADOS BRUTOS'!EA$3:EA$500)+IF($C42="",0,SUMIF('DADOS BRUTOS'!$A$3:$A$500,$C42,'DADOS BRUTOS'!EA$3:EA$500)))</f>
        <v>0</v>
      </c>
      <c r="HB42" s="133" t="n">
        <f aca="false">IF(OR(HB$4="",$B42=""),0,SUMIF('DADOS BRUTOS'!$A$3:$A$500,$B42,'DADOS BRUTOS'!EB$3:EB$500)+IF($C42="",0,SUMIF('DADOS BRUTOS'!$A$3:$A$500,$C42,'DADOS BRUTOS'!EB$3:EB$500)))</f>
        <v>0</v>
      </c>
      <c r="HC42" s="133" t="n">
        <f aca="false">IF(OR(HC$4="",$B42=""),0,SUMIF('DADOS BRUTOS'!$A$3:$A$500,$B42,'DADOS BRUTOS'!EC$3:EC$500)+IF($C42="",0,SUMIF('DADOS BRUTOS'!$A$3:$A$500,$C42,'DADOS BRUTOS'!EC$3:EC$500)))</f>
        <v>0</v>
      </c>
      <c r="HD42" s="133" t="n">
        <f aca="false">IF(OR(HD$4="",$B42=""),0,SUMIF('DADOS BRUTOS'!$A$3:$A$500,$B42,'DADOS BRUTOS'!ED$3:ED$500)+IF($C42="",0,SUMIF('DADOS BRUTOS'!$A$3:$A$500,$C42,'DADOS BRUTOS'!ED$3:ED$500)))</f>
        <v>0</v>
      </c>
      <c r="HE42" s="133" t="n">
        <f aca="false">IF(OR(HE$4="",$B42=""),0,SUMIF('DADOS BRUTOS'!$A$3:$A$500,$B42,'DADOS BRUTOS'!EE$3:EE$500)+IF($C42="",0,SUMIF('DADOS BRUTOS'!$A$3:$A$500,$C42,'DADOS BRUTOS'!EE$3:EE$500)))</f>
        <v>0</v>
      </c>
      <c r="HF42" s="133" t="n">
        <f aca="false">IF(OR(HF$4="",$B42=""),0,SUMIF('DADOS BRUTOS'!$A$3:$A$500,$B42,'DADOS BRUTOS'!EF$3:EF$500)+IF($C42="",0,SUMIF('DADOS BRUTOS'!$A$3:$A$500,$C42,'DADOS BRUTOS'!EF$3:EF$500)))</f>
        <v>0</v>
      </c>
      <c r="HG42" s="133" t="n">
        <f aca="false">IF(OR(HG$4="",$B42=""),0,SUMIF('DADOS BRUTOS'!$A$3:$A$500,$B42,'DADOS BRUTOS'!EG$3:EG$500)+IF($C42="",0,SUMIF('DADOS BRUTOS'!$A$3:$A$500,$C42,'DADOS BRUTOS'!EG$3:EG$500)))</f>
        <v>0</v>
      </c>
      <c r="HH42" s="133" t="n">
        <f aca="false">IF(OR(HH$4="",$B42=""),0,SUMIF('DADOS BRUTOS'!$A$3:$A$500,$B42,'DADOS BRUTOS'!EH$3:EH$500)+IF($C42="",0,SUMIF('DADOS BRUTOS'!$A$3:$A$500,$C42,'DADOS BRUTOS'!EH$3:EH$500)))</f>
        <v>0</v>
      </c>
      <c r="HI42" s="133" t="n">
        <f aca="false">IF(OR(HI$4="",$B42=""),0,SUMIF('DADOS BRUTOS'!$A$3:$A$500,$B42,'DADOS BRUTOS'!EI$3:EI$500)+IF($C42="",0,SUMIF('DADOS BRUTOS'!$A$3:$A$500,$C42,'DADOS BRUTOS'!EI$3:EI$500)))</f>
        <v>0</v>
      </c>
      <c r="HJ42" s="133" t="n">
        <f aca="false">IF(OR(HJ$4="",$B42=""),0,SUMIF('DADOS BRUTOS'!$A$3:$A$500,$B42,'DADOS BRUTOS'!EJ$3:EJ$500)+IF($C42="",0,SUMIF('DADOS BRUTOS'!$A$3:$A$500,$C42,'DADOS BRUTOS'!EJ$3:EJ$500)))</f>
        <v>0</v>
      </c>
      <c r="HK42" s="133" t="n">
        <f aca="false">IF(OR(HK$4="",$B42=""),0,SUMIF('DADOS BRUTOS'!$A$3:$A$500,$B42,'DADOS BRUTOS'!EK$3:EK$500)+IF($C42="",0,SUMIF('DADOS BRUTOS'!$A$3:$A$500,$C42,'DADOS BRUTOS'!EK$3:EK$500)))</f>
        <v>0</v>
      </c>
      <c r="HL42" s="133" t="n">
        <f aca="false">IF(OR(HL$4="",$B42=""),0,SUMIF('DADOS BRUTOS'!$A$3:$A$500,$B42,'DADOS BRUTOS'!EL$3:EL$500)+IF($C42="",0,SUMIF('DADOS BRUTOS'!$A$3:$A$500,$C42,'DADOS BRUTOS'!EL$3:EL$500)))</f>
        <v>0</v>
      </c>
      <c r="HM42" s="133" t="n">
        <f aca="false">IF(OR(HM$4="",$B42=""),0,SUMIF('DADOS BRUTOS'!$A$3:$A$500,$B42,'DADOS BRUTOS'!EM$3:EM$500)+IF($C42="",0,SUMIF('DADOS BRUTOS'!$A$3:$A$500,$C42,'DADOS BRUTOS'!EM$3:EM$500)))</f>
        <v>0</v>
      </c>
      <c r="HN42" s="133" t="n">
        <f aca="false">IF(OR(HN$4="",$B42=""),0,SUMIF('DADOS BRUTOS'!$A$3:$A$500,$B42,'DADOS BRUTOS'!EN$3:EN$500)+IF($C42="",0,SUMIF('DADOS BRUTOS'!$A$3:$A$500,$C42,'DADOS BRUTOS'!EN$3:EN$500)))</f>
        <v>0</v>
      </c>
      <c r="HO42" s="133" t="n">
        <f aca="false">IF(OR(HO$4="",$B42=""),0,SUMIF('DADOS BRUTOS'!$A$3:$A$500,$B42,'DADOS BRUTOS'!EO$3:EO$500)+IF($C42="",0,SUMIF('DADOS BRUTOS'!$A$3:$A$500,$C42,'DADOS BRUTOS'!EO$3:EO$500)))</f>
        <v>0</v>
      </c>
      <c r="HP42" s="133" t="n">
        <f aca="false">IF(OR(HP$4="",$B42=""),0,SUMIF('DADOS BRUTOS'!$A$3:$A$500,$B42,'DADOS BRUTOS'!EP$3:EP$500)+IF($C42="",0,SUMIF('DADOS BRUTOS'!$A$3:$A$500,$C42,'DADOS BRUTOS'!EP$3:EP$500)))</f>
        <v>0</v>
      </c>
      <c r="HQ42" s="133" t="n">
        <f aca="false">IF(OR(HQ$4="",$B42=""),0,SUMIF('DADOS BRUTOS'!$A$3:$A$500,$B42,'DADOS BRUTOS'!EQ$3:EQ$500)+IF($C42="",0,SUMIF('DADOS BRUTOS'!$A$3:$A$500,$C42,'DADOS BRUTOS'!EQ$3:EQ$500)))</f>
        <v>0</v>
      </c>
      <c r="HR42" s="133" t="n">
        <f aca="false">IF(OR(HR$4="",$B42=""),0,SUMIF('DADOS BRUTOS'!$A$3:$A$500,$B42,'DADOS BRUTOS'!ER$3:ER$500)+IF($C42="",0,SUMIF('DADOS BRUTOS'!$A$3:$A$500,$C42,'DADOS BRUTOS'!ER$3:ER$500)))</f>
        <v>0</v>
      </c>
      <c r="HS42" s="133" t="n">
        <f aca="false">IF(OR(HS$4="",$B42=""),0,SUMIF('DADOS BRUTOS'!$A$3:$A$500,$B42,'DADOS BRUTOS'!ES$3:ES$500)+IF($C42="",0,SUMIF('DADOS BRUTOS'!$A$3:$A$500,$C42,'DADOS BRUTOS'!ES$3:ES$500)))</f>
        <v>0</v>
      </c>
      <c r="HT42" s="133" t="n">
        <f aca="false">IF(OR(HT$4="",$B42=""),0,SUMIF('DADOS BRUTOS'!$A$3:$A$500,$B42,'DADOS BRUTOS'!ET$3:ET$500)+IF($C42="",0,SUMIF('DADOS BRUTOS'!$A$3:$A$500,$C42,'DADOS BRUTOS'!ET$3:ET$500)))</f>
        <v>0</v>
      </c>
      <c r="HU42" s="133" t="n">
        <f aca="false">IF(OR(HU$4="",$B42=""),0,SUMIF('DADOS BRUTOS'!$A$3:$A$500,$B42,'DADOS BRUTOS'!EU$3:EU$500)+IF($C42="",0,SUMIF('DADOS BRUTOS'!$A$3:$A$500,$C42,'DADOS BRUTOS'!EU$3:EU$500)))</f>
        <v>0</v>
      </c>
      <c r="HV42" s="133" t="n">
        <f aca="false">IF(OR(HV$4="",$B42=""),0,SUMIF('DADOS BRUTOS'!$A$3:$A$500,$B42,'DADOS BRUTOS'!EV$3:EV$500)+IF($C42="",0,SUMIF('DADOS BRUTOS'!$A$3:$A$500,$C42,'DADOS BRUTOS'!EV$3:EV$500)))</f>
        <v>0</v>
      </c>
      <c r="HW42" s="133" t="n">
        <f aca="false">IF(OR(HW$4="",$B42=""),0,SUMIF('DADOS BRUTOS'!$A$3:$A$500,$B42,'DADOS BRUTOS'!EW$3:EW$500)+IF($C42="",0,SUMIF('DADOS BRUTOS'!$A$3:$A$500,$C42,'DADOS BRUTOS'!EW$3:EW$500)))</f>
        <v>0</v>
      </c>
      <c r="HX42" s="133" t="n">
        <f aca="false">IF(OR(HX$4="",$B42=""),0,SUMIF('DADOS BRUTOS'!$A$3:$A$500,$B42,'DADOS BRUTOS'!EX$3:EX$500)+IF($C42="",0,SUMIF('DADOS BRUTOS'!$A$3:$A$500,$C42,'DADOS BRUTOS'!EX$3:EX$500)))</f>
        <v>0</v>
      </c>
      <c r="HY42" s="133" t="n">
        <f aca="false">IF(OR(HY$4="",$B42=""),0,SUMIF('DADOS BRUTOS'!$A$3:$A$500,$B42,'DADOS BRUTOS'!EY$3:EY$500)+IF($C42="",0,SUMIF('DADOS BRUTOS'!$A$3:$A$500,$C42,'DADOS BRUTOS'!EY$3:EY$500)))</f>
        <v>0</v>
      </c>
      <c r="HZ42" s="133" t="n">
        <f aca="false">IF(OR(HZ$4="",$B42=""),0,SUMIF('DADOS BRUTOS'!$A$3:$A$500,$B42,'DADOS BRUTOS'!EZ$3:EZ$500)+IF($C42="",0,SUMIF('DADOS BRUTOS'!$A$3:$A$500,$C42,'DADOS BRUTOS'!EZ$3:EZ$500)))</f>
        <v>0</v>
      </c>
      <c r="IA42" s="133" t="n">
        <f aca="false">IF(OR(IA$4="",$B42=""),0,SUMIF('DADOS BRUTOS'!$A$3:$A$500,$B42,'DADOS BRUTOS'!FA$3:FA$500)+IF($C42="",0,SUMIF('DADOS BRUTOS'!$A$3:$A$500,$C42,'DADOS BRUTOS'!FA$3:FA$500)))</f>
        <v>0</v>
      </c>
      <c r="IB42" s="133" t="n">
        <f aca="false">IF(OR(IB$4="",$B42=""),0,SUMIF('DADOS BRUTOS'!$A$3:$A$500,$B42,'DADOS BRUTOS'!FB$3:FB$500)+IF($C42="",0,SUMIF('DADOS BRUTOS'!$A$3:$A$500,$C42,'DADOS BRUTOS'!FB$3:FB$500)))</f>
        <v>0</v>
      </c>
      <c r="IC42" s="133" t="n">
        <f aca="false">IF(OR(IC$4="",$B42=""),0,SUMIF('DADOS BRUTOS'!$A$3:$A$500,$B42,'DADOS BRUTOS'!FC$3:FC$500)+IF($C42="",0,SUMIF('DADOS BRUTOS'!$A$3:$A$500,$C42,'DADOS BRUTOS'!FC$3:FC$500)))</f>
        <v>0</v>
      </c>
      <c r="ID42" s="133" t="n">
        <f aca="false">IF(OR(ID$4="",$B42=""),0,SUMIF('DADOS BRUTOS'!$A$3:$A$500,$B42,'DADOS BRUTOS'!FD$3:FD$500)+IF($C42="",0,SUMIF('DADOS BRUTOS'!$A$3:$A$500,$C42,'DADOS BRUTOS'!FD$3:FD$500)))</f>
        <v>0</v>
      </c>
      <c r="IE42" s="133" t="n">
        <f aca="false">IF(OR(IE$4="",$B42=""),0,SUMIF('DADOS BRUTOS'!$A$3:$A$500,$B42,'DADOS BRUTOS'!FE$3:FE$500)+IF($C42="",0,SUMIF('DADOS BRUTOS'!$A$3:$A$500,$C42,'DADOS BRUTOS'!FE$3:FE$500)))</f>
        <v>0</v>
      </c>
      <c r="IF42" s="133" t="n">
        <f aca="false">IF(OR(IF$4="",$B42=""),0,SUMIF('DADOS BRUTOS'!$A$3:$A$500,$B42,'DADOS BRUTOS'!FF$3:FF$500)+IF($C42="",0,SUMIF('DADOS BRUTOS'!$A$3:$A$500,$C42,'DADOS BRUTOS'!FF$3:FF$500)))</f>
        <v>0</v>
      </c>
      <c r="IG42" s="133" t="n">
        <f aca="false">IF(OR(IG$4="",$B42=""),0,SUMIF('DADOS BRUTOS'!$A$3:$A$500,$B42,'DADOS BRUTOS'!FG$3:FG$500)+IF($C42="",0,SUMIF('DADOS BRUTOS'!$A$3:$A$500,$C42,'DADOS BRUTOS'!FG$3:FG$500)))</f>
        <v>0</v>
      </c>
      <c r="IH42" s="133" t="n">
        <f aca="false">IF(OR(IH$4="",$B42=""),0,SUMIF('DADOS BRUTOS'!$A$3:$A$500,$B42,'DADOS BRUTOS'!FH$3:FH$500)+IF($C42="",0,SUMIF('DADOS BRUTOS'!$A$3:$A$500,$C42,'DADOS BRUTOS'!FH$3:FH$500)))</f>
        <v>0</v>
      </c>
      <c r="II42" s="133" t="n">
        <f aca="false">IF(OR(II$4="",$B42=""),0,SUMIF('DADOS BRUTOS'!$A$3:$A$500,$B42,'DADOS BRUTOS'!FI$3:FI$500)+IF($C42="",0,SUMIF('DADOS BRUTOS'!$A$3:$A$500,$C42,'DADOS BRUTOS'!FI$3:FI$500)))</f>
        <v>0</v>
      </c>
      <c r="IJ42" s="133" t="n">
        <f aca="false">IF(OR(IJ$4="",$B42=""),0,SUMIF('DADOS BRUTOS'!$A$3:$A$500,$B42,'DADOS BRUTOS'!FJ$3:FJ$500)+IF($C42="",0,SUMIF('DADOS BRUTOS'!$A$3:$A$500,$C42,'DADOS BRUTOS'!FJ$3:FJ$500)))</f>
        <v>0</v>
      </c>
      <c r="IK42" s="133" t="n">
        <f aca="false">IF(OR(IK$4="",$B42=""),0,SUMIF('DADOS BRUTOS'!$A$3:$A$500,$B42,'DADOS BRUTOS'!FK$3:FK$500)+IF($C42="",0,SUMIF('DADOS BRUTOS'!$A$3:$A$500,$C42,'DADOS BRUTOS'!FK$3:FK$500)))</f>
        <v>0</v>
      </c>
      <c r="IL42" s="133" t="n">
        <f aca="false">IF(OR(IL$4="",$B42=""),0,SUMIF('DADOS BRUTOS'!$A$3:$A$500,$B42,'DADOS BRUTOS'!FL$3:FL$500)+IF($C42="",0,SUMIF('DADOS BRUTOS'!$A$3:$A$500,$C42,'DADOS BRUTOS'!FL$3:FL$500)))</f>
        <v>0</v>
      </c>
      <c r="IM42" s="133" t="n">
        <f aca="false">IF(OR(IM$4="",$B42=""),0,SUMIF('DADOS BRUTOS'!$A$3:$A$500,$B42,'DADOS BRUTOS'!FM$3:FM$500)+IF($C42="",0,SUMIF('DADOS BRUTOS'!$A$3:$A$500,$C42,'DADOS BRUTOS'!FM$3:FM$500)))</f>
        <v>0</v>
      </c>
      <c r="IN42" s="133" t="n">
        <f aca="false">IF(OR(IN$4="",$B42=""),0,SUMIF('DADOS BRUTOS'!$A$3:$A$500,$B42,'DADOS BRUTOS'!FN$3:FN$500)+IF($C42="",0,SUMIF('DADOS BRUTOS'!$A$3:$A$500,$C42,'DADOS BRUTOS'!FN$3:FN$500)))</f>
        <v>0</v>
      </c>
      <c r="IO42" s="133" t="n">
        <f aca="false">IF(OR(IO$4="",$B42=""),0,SUMIF('DADOS BRUTOS'!$A$3:$A$500,$B42,'DADOS BRUTOS'!FO$3:FO$500)+IF($C42="",0,SUMIF('DADOS BRUTOS'!$A$3:$A$500,$C42,'DADOS BRUTOS'!FO$3:FO$500)))</f>
        <v>0</v>
      </c>
      <c r="IP42" s="133" t="n">
        <f aca="false">IF(OR(IP$4="",$B42=""),0,SUMIF('DADOS BRUTOS'!$A$3:$A$500,$B42,'DADOS BRUTOS'!FP$3:FP$500)+IF($C42="",0,SUMIF('DADOS BRUTOS'!$A$3:$A$500,$C42,'DADOS BRUTOS'!FP$3:FP$500)))</f>
        <v>0</v>
      </c>
      <c r="IQ42" s="133" t="n">
        <f aca="false">IF(OR(IQ$4="",$B42=""),0,SUMIF('DADOS BRUTOS'!$A$3:$A$500,$B42,'DADOS BRUTOS'!FQ$3:FQ$500)+IF($C42="",0,SUMIF('DADOS BRUTOS'!$A$3:$A$500,$C42,'DADOS BRUTOS'!FQ$3:FQ$500)))</f>
        <v>0</v>
      </c>
      <c r="IR42" s="133" t="n">
        <f aca="false">IF(OR(IR$4="",$B42=""),0,SUMIF('DADOS BRUTOS'!$A$3:$A$500,$B42,'DADOS BRUTOS'!FR$3:FR$500)+IF($C42="",0,SUMIF('DADOS BRUTOS'!$A$3:$A$500,$C42,'DADOS BRUTOS'!FR$3:FR$500)))</f>
        <v>0</v>
      </c>
      <c r="IS42" s="133" t="n">
        <f aca="false">IF(OR(IS$4="",$B42=""),0,SUMIF('DADOS BRUTOS'!$A$3:$A$500,$B42,'DADOS BRUTOS'!FS$3:FS$500)+IF($C42="",0,SUMIF('DADOS BRUTOS'!$A$3:$A$500,$C42,'DADOS BRUTOS'!FS$3:FS$500)))</f>
        <v>0</v>
      </c>
      <c r="IT42" s="133" t="n">
        <f aca="false">IF(OR(IT$4="",$B42=""),0,SUMIF('DADOS BRUTOS'!$A$3:$A$500,$B42,'DADOS BRUTOS'!FT$3:FT$500)+IF($C42="",0,SUMIF('DADOS BRUTOS'!$A$3:$A$500,$C42,'DADOS BRUTOS'!FT$3:FT$500)))</f>
        <v>0</v>
      </c>
      <c r="IU42" s="133" t="n">
        <f aca="false">IF(OR(IU$4="",$B42=""),0,SUMIF('DADOS BRUTOS'!$A$3:$A$500,$B42,'DADOS BRUTOS'!FU$3:FU$500)+IF($C42="",0,SUMIF('DADOS BRUTOS'!$A$3:$A$500,$C42,'DADOS BRUTOS'!FU$3:FU$500)))</f>
        <v>0</v>
      </c>
      <c r="IV42" s="133" t="n">
        <f aca="false">IF(OR(IV$4="",$B42=""),0,SUMIF('DADOS BRUTOS'!$A$3:$A$500,$B42,'DADOS BRUTOS'!FV$3:FV$500)+IF($C42="",0,SUMIF('DADOS BRUTOS'!$A$3:$A$500,$C42,'DADOS BRUTOS'!FV$3:FV$500)))</f>
        <v>0</v>
      </c>
      <c r="IW42" s="133" t="n">
        <f aca="false">IF(OR(IW$4="",$B42=""),0,SUMIF('DADOS BRUTOS'!$A$3:$A$500,$B42,'DADOS BRUTOS'!FW$3:FW$500)+IF($C42="",0,SUMIF('DADOS BRUTOS'!$A$3:$A$500,$C42,'DADOS BRUTOS'!FW$3:FW$500)))</f>
        <v>0</v>
      </c>
      <c r="IX42" s="133" t="n">
        <f aca="false">IF(OR(IX$4="",$B42=""),0,SUMIF('DADOS BRUTOS'!$A$3:$A$500,$B42,'DADOS BRUTOS'!FX$3:FX$500)+IF($C42="",0,SUMIF('DADOS BRUTOS'!$A$3:$A$500,$C42,'DADOS BRUTOS'!FX$3:FX$500)))</f>
        <v>0</v>
      </c>
      <c r="IY42" s="133" t="n">
        <f aca="false">IF(OR(IY$4="",$B42=""),0,SUMIF('DADOS BRUTOS'!$A$3:$A$500,$B42,'DADOS BRUTOS'!FY$3:FY$500)+IF($C42="",0,SUMIF('DADOS BRUTOS'!$A$3:$A$500,$C42,'DADOS BRUTOS'!FY$3:FY$500)))</f>
        <v>0</v>
      </c>
      <c r="IZ42" s="133" t="n">
        <f aca="false">IF(OR(IZ$4="",$B42=""),0,SUMIF('DADOS BRUTOS'!$A$3:$A$500,$B42,'DADOS BRUTOS'!FZ$3:FZ$500)+IF($C42="",0,SUMIF('DADOS BRUTOS'!$A$3:$A$500,$C42,'DADOS BRUTOS'!FZ$3:FZ$500)))</f>
        <v>0</v>
      </c>
      <c r="JA42" s="133" t="n">
        <f aca="false">IF(OR(JA$4="",$B42=""),0,SUMIF('DADOS BRUTOS'!$A$3:$A$500,$B42,'DADOS BRUTOS'!GA$3:GA$500)+IF($C42="",0,SUMIF('DADOS BRUTOS'!$A$3:$A$500,$C42,'DADOS BRUTOS'!GA$3:GA$500)))</f>
        <v>0</v>
      </c>
      <c r="JB42" s="133" t="n">
        <f aca="false">IF(OR(JB$4="",$B42=""),0,SUMIF('DADOS BRUTOS'!$A$3:$A$500,$B42,'DADOS BRUTOS'!GB$3:GB$500)+IF($C42="",0,SUMIF('DADOS BRUTOS'!$A$3:$A$500,$C42,'DADOS BRUTOS'!GB$3:GB$500)))</f>
        <v>0</v>
      </c>
      <c r="JC42" s="133" t="n">
        <f aca="false">IF(OR(JC$4="",$B42=""),0,SUMIF('DADOS BRUTOS'!$A$3:$A$500,$B42,'DADOS BRUTOS'!GC$3:GC$500)+IF($C42="",0,SUMIF('DADOS BRUTOS'!$A$3:$A$500,$C42,'DADOS BRUTOS'!GC$3:GC$500)))</f>
        <v>0</v>
      </c>
      <c r="JD42" s="133" t="n">
        <f aca="false">IF(OR(JD$4="",$B42=""),0,SUMIF('DADOS BRUTOS'!$A$3:$A$500,$B42,'DADOS BRUTOS'!GD$3:GD$500)+IF($C42="",0,SUMIF('DADOS BRUTOS'!$A$3:$A$500,$C42,'DADOS BRUTOS'!GD$3:GD$500)))</f>
        <v>0</v>
      </c>
      <c r="JE42" s="133" t="n">
        <f aca="false">IF(OR(JE$4="",$B42=""),0,SUMIF('DADOS BRUTOS'!$A$3:$A$500,$B42,'DADOS BRUTOS'!GE$3:GE$500)+IF($C42="",0,SUMIF('DADOS BRUTOS'!$A$3:$A$500,$C42,'DADOS BRUTOS'!GE$3:GE$500)))</f>
        <v>0</v>
      </c>
      <c r="JF42" s="133" t="n">
        <f aca="false">IF(OR(JF$4="",$B42=""),0,SUMIF('DADOS BRUTOS'!$A$3:$A$500,$B42,'DADOS BRUTOS'!GF$3:GF$500)+IF($C42="",0,SUMIF('DADOS BRUTOS'!$A$3:$A$500,$C42,'DADOS BRUTOS'!GF$3:GF$500)))</f>
        <v>0</v>
      </c>
      <c r="JG42" s="133" t="n">
        <f aca="false">IF(OR(JG$4="",$B42=""),0,SUMIF('DADOS BRUTOS'!$A$3:$A$500,$B42,'DADOS BRUTOS'!GG$3:GG$500)+IF($C42="",0,SUMIF('DADOS BRUTOS'!$A$3:$A$500,$C42,'DADOS BRUTOS'!GG$3:GG$500)))</f>
        <v>0</v>
      </c>
      <c r="JH42" s="133" t="n">
        <f aca="false">IF(OR(JH$4="",$B42=""),0,SUMIF('DADOS BRUTOS'!$A$3:$A$500,$B42,'DADOS BRUTOS'!GH$3:GH$500)+IF($C42="",0,SUMIF('DADOS BRUTOS'!$A$3:$A$500,$C42,'DADOS BRUTOS'!GH$3:GH$500)))</f>
        <v>0</v>
      </c>
      <c r="JI42" s="133" t="n">
        <f aca="false">IF(OR(JI$4="",$B42=""),0,SUMIF('DADOS BRUTOS'!$A$3:$A$500,$B42,'DADOS BRUTOS'!GI$3:GI$500)+IF($C42="",0,SUMIF('DADOS BRUTOS'!$A$3:$A$500,$C42,'DADOS BRUTOS'!GI$3:GI$500)))</f>
        <v>0</v>
      </c>
      <c r="JJ42" s="133" t="n">
        <f aca="false">IF(OR(JJ$4="",$B42=""),0,SUMIF('DADOS BRUTOS'!$A$3:$A$500,$B42,'DADOS BRUTOS'!GJ$3:GJ$500)+IF($C42="",0,SUMIF('DADOS BRUTOS'!$A$3:$A$500,$C42,'DADOS BRUTOS'!GJ$3:GJ$500)))</f>
        <v>0</v>
      </c>
      <c r="JK42" s="133" t="n">
        <f aca="false">IF(OR(JK$4="",$B42=""),0,SUMIF('DADOS BRUTOS'!$A$3:$A$500,$B42,'DADOS BRUTOS'!GK$3:GK$500)+IF($C42="",0,SUMIF('DADOS BRUTOS'!$A$3:$A$500,$C42,'DADOS BRUTOS'!GK$3:GK$500)))</f>
        <v>0</v>
      </c>
      <c r="JL42" s="133" t="n">
        <f aca="false">IF(OR(JL$4="",$B42=""),0,SUMIF('DADOS BRUTOS'!$A$3:$A$500,$B42,'DADOS BRUTOS'!GL$3:GL$500)+IF($C42="",0,SUMIF('DADOS BRUTOS'!$A$3:$A$500,$C42,'DADOS BRUTOS'!GL$3:GL$500)))</f>
        <v>0</v>
      </c>
      <c r="JM42" s="133" t="n">
        <f aca="false">IF(OR(JM$4="",$B42=""),0,SUMIF('DADOS BRUTOS'!$A$3:$A$500,$B42,'DADOS BRUTOS'!GM$3:GM$500)+IF($C42="",0,SUMIF('DADOS BRUTOS'!$A$3:$A$500,$C42,'DADOS BRUTOS'!GM$3:GM$500)))</f>
        <v>0</v>
      </c>
      <c r="JN42" s="133" t="n">
        <f aca="false">IF(OR(JN$4="",$B42=""),0,SUMIF('DADOS BRUTOS'!$A$3:$A$500,$B42,'DADOS BRUTOS'!GN$3:GN$500)+IF($C42="",0,SUMIF('DADOS BRUTOS'!$A$3:$A$500,$C42,'DADOS BRUTOS'!GN$3:GN$500)))</f>
        <v>0</v>
      </c>
      <c r="JO42" s="133" t="n">
        <f aca="false">IF(OR(JO$4="",$B42=""),0,SUMIF('DADOS BRUTOS'!$A$3:$A$500,$B42,'DADOS BRUTOS'!GO$3:GO$500)+IF($C42="",0,SUMIF('DADOS BRUTOS'!$A$3:$A$500,$C42,'DADOS BRUTOS'!GO$3:GO$500)))</f>
        <v>0</v>
      </c>
      <c r="JP42" s="133" t="n">
        <f aca="false">IF(OR(JP$4="",$B42=""),0,SUMIF('DADOS BRUTOS'!$A$3:$A$500,$B42,'DADOS BRUTOS'!GP$3:GP$500)+IF($C42="",0,SUMIF('DADOS BRUTOS'!$A$3:$A$500,$C42,'DADOS BRUTOS'!GP$3:GP$500)))</f>
        <v>0</v>
      </c>
      <c r="JQ42" s="133" t="n">
        <f aca="false">IF(OR(JQ$4="",$B42=""),0,SUMIF('DADOS BRUTOS'!$A$3:$A$500,$B42,'DADOS BRUTOS'!GQ$3:GQ$500)+IF($C42="",0,SUMIF('DADOS BRUTOS'!$A$3:$A$500,$C42,'DADOS BRUTOS'!GQ$3:GQ$500)))</f>
        <v>0</v>
      </c>
      <c r="JR42" s="133" t="n">
        <f aca="false">IF(OR(JR$4="",$B42=""),0,SUMIF('DADOS BRUTOS'!$A$3:$A$500,$B42,'DADOS BRUTOS'!GR$3:GR$500)+IF($C42="",0,SUMIF('DADOS BRUTOS'!$A$3:$A$500,$C42,'DADOS BRUTOS'!GR$3:GR$500)))</f>
        <v>0</v>
      </c>
      <c r="JS42" s="133" t="n">
        <f aca="false">IF(OR(JS$4="",$B42=""),0,SUMIF('DADOS BRUTOS'!$A$3:$A$500,$B42,'DADOS BRUTOS'!GS$3:GS$500)+IF($C42="",0,SUMIF('DADOS BRUTOS'!$A$3:$A$500,$C42,'DADOS BRUTOS'!GS$3:GS$500)))</f>
        <v>0</v>
      </c>
    </row>
    <row r="44" customFormat="false" ht="15" hidden="false" customHeight="false" outlineLevel="0" collapsed="false">
      <c r="A44" s="42" t="s">
        <v>47</v>
      </c>
      <c r="D44" s="134" t="n">
        <f aca="false">SUM(D5:D42)</f>
        <v>1055724.07</v>
      </c>
      <c r="E44" s="134" t="n">
        <f aca="false">SUM(E5:E42)</f>
        <v>50287.85</v>
      </c>
      <c r="F44" s="134" t="n">
        <f aca="false">SUM(F5:F42)</f>
        <v>339691.77</v>
      </c>
      <c r="G44" s="134" t="n">
        <f aca="false">SUM(G5:G42)</f>
        <v>249008.27</v>
      </c>
      <c r="H44" s="134" t="n">
        <f aca="false">SUM(H5:H42)</f>
        <v>226944.64</v>
      </c>
      <c r="I44" s="134" t="n">
        <f aca="false">SUM(I5:I42)</f>
        <v>298199.84</v>
      </c>
      <c r="J44" s="134" t="n">
        <f aca="false">SUM(J5:J42)</f>
        <v>190147.17</v>
      </c>
      <c r="K44" s="134" t="n">
        <f aca="false">SUM(K5:K42)</f>
        <v>221993.72</v>
      </c>
      <c r="L44" s="134" t="n">
        <f aca="false">SUM(L5:L42)</f>
        <v>395599.15</v>
      </c>
      <c r="M44" s="134" t="n">
        <f aca="false">SUM(M5:M42)</f>
        <v>708213.46</v>
      </c>
      <c r="N44" s="134" t="n">
        <f aca="false">SUM(N5:N42)</f>
        <v>1252862.63</v>
      </c>
      <c r="O44" s="134" t="n">
        <f aca="false">SUM(O5:O42)</f>
        <v>2178586.91</v>
      </c>
      <c r="P44" s="134" t="n">
        <f aca="false">SUM(P5:P42)</f>
        <v>1568106.2</v>
      </c>
      <c r="Q44" s="134" t="n">
        <f aca="false">SUM(Q5:Q42)</f>
        <v>1972982.14</v>
      </c>
      <c r="R44" s="134" t="n">
        <f aca="false">SUM(R5:R42)</f>
        <v>1105526.59</v>
      </c>
      <c r="S44" s="134" t="n">
        <f aca="false">SUM(S5:S42)</f>
        <v>1636768.81</v>
      </c>
      <c r="T44" s="134" t="n">
        <f aca="false">SUM(T5:T42)</f>
        <v>1444679.81</v>
      </c>
      <c r="U44" s="134" t="n">
        <f aca="false">SUM(U5:U42)</f>
        <v>956706.51</v>
      </c>
      <c r="V44" s="134" t="n">
        <f aca="false">SUM(V5:V42)</f>
        <v>1340691.29</v>
      </c>
      <c r="W44" s="134" t="n">
        <f aca="false">SUM(W5:W42)</f>
        <v>2331705.56</v>
      </c>
      <c r="X44" s="134" t="n">
        <f aca="false">SUM(X5:X42)</f>
        <v>1709644.9</v>
      </c>
      <c r="Y44" s="134" t="n">
        <f aca="false">SUM(Y5:Y42)</f>
        <v>2122347.81</v>
      </c>
      <c r="Z44" s="134" t="n">
        <f aca="false">SUM(Z5:Z42)</f>
        <v>1469066.98</v>
      </c>
      <c r="AA44" s="134" t="n">
        <f aca="false">SUM(AA5:AA42)</f>
        <v>332940.1</v>
      </c>
      <c r="AB44" s="134" t="n">
        <f aca="false">SUM(AB5:AB42)</f>
        <v>172586.36</v>
      </c>
      <c r="AC44" s="134" t="n">
        <f aca="false">SUM(AC5:AC42)</f>
        <v>573539.76</v>
      </c>
      <c r="AD44" s="134" t="n">
        <f aca="false">SUM(AD5:AD42)</f>
        <v>26708.56</v>
      </c>
      <c r="AE44" s="134" t="n">
        <f aca="false">SUM(AE5:AE42)</f>
        <v>57142.79</v>
      </c>
      <c r="AF44" s="134" t="n">
        <f aca="false">SUM(AF5:AF42)</f>
        <v>1183.78</v>
      </c>
      <c r="AG44" s="134" t="n">
        <f aca="false">SUM(AG5:AG42)</f>
        <v>159.9</v>
      </c>
      <c r="AH44" s="134" t="n">
        <f aca="false">SUM(AH5:AH42)</f>
        <v>159.9</v>
      </c>
      <c r="AI44" s="134" t="n">
        <f aca="false">SUM(AI5:AI42)</f>
        <v>159.9</v>
      </c>
      <c r="AJ44" s="134" t="n">
        <f aca="false">SUM(AJ5:AJ42)</f>
        <v>159.9</v>
      </c>
      <c r="AK44" s="134" t="n">
        <f aca="false">SUM(AK5:AK42)</f>
        <v>3859.9</v>
      </c>
      <c r="AL44" s="134" t="n">
        <f aca="false">SUM(AL5:AL42)</f>
        <v>1023.42</v>
      </c>
      <c r="AM44" s="134" t="n">
        <f aca="false">SUM(AM5:AM42)</f>
        <v>159.9</v>
      </c>
      <c r="AN44" s="134" t="n">
        <f aca="false">SUM(AN5:AN42)</f>
        <v>11516.59</v>
      </c>
      <c r="AO44" s="134" t="n">
        <f aca="false">SUM(AO5:AO42)</f>
        <v>159.9</v>
      </c>
      <c r="AP44" s="134" t="n">
        <f aca="false">SUM(AP5:AP42)</f>
        <v>159.9</v>
      </c>
      <c r="AQ44" s="134" t="n">
        <f aca="false">SUM(AQ5:AQ42)</f>
        <v>159.9</v>
      </c>
      <c r="AR44" s="134" t="n">
        <f aca="false">SUM(AR5:AR42)</f>
        <v>159.9</v>
      </c>
      <c r="AS44" s="134" t="n">
        <f aca="false">SUM(AS5:AS42)</f>
        <v>159.9</v>
      </c>
      <c r="AT44" s="134" t="n">
        <f aca="false">SUM(AT5:AT42)</f>
        <v>159.9</v>
      </c>
      <c r="AU44" s="134" t="n">
        <f aca="false">SUM(AU5:AU42)</f>
        <v>32795.48</v>
      </c>
      <c r="AV44" s="134" t="n">
        <f aca="false">SUM(AV5:AV42)</f>
        <v>159.9</v>
      </c>
      <c r="AW44" s="134" t="n">
        <f aca="false">SUM(AW5:AW42)</f>
        <v>159.9</v>
      </c>
      <c r="AX44" s="134" t="n">
        <f aca="false">SUM(AX5:AX42)</f>
        <v>159.9</v>
      </c>
      <c r="AY44" s="134" t="n">
        <f aca="false">SUM(AY5:AY42)</f>
        <v>387.42</v>
      </c>
      <c r="AZ44" s="134" t="n">
        <f aca="false">SUM(AZ5:AZ42)</f>
        <v>159.9</v>
      </c>
      <c r="BA44" s="134" t="n">
        <f aca="false">SUM(BA5:BA42)</f>
        <v>159.9</v>
      </c>
      <c r="BB44" s="134" t="n">
        <f aca="false">SUM(BB5:BB42)</f>
        <v>4554.59</v>
      </c>
      <c r="BC44" s="134" t="n">
        <f aca="false">SUM(BC5:BC42)</f>
        <v>159.9</v>
      </c>
      <c r="BD44" s="134" t="n">
        <f aca="false">SUM(BD5:BD42)</f>
        <v>159.9</v>
      </c>
      <c r="BE44" s="134" t="n">
        <f aca="false">SUM(BE5:BE42)</f>
        <v>159.9</v>
      </c>
      <c r="BF44" s="134" t="n">
        <f aca="false">SUM(BF5:BF42)</f>
        <v>159.9</v>
      </c>
      <c r="BG44" s="134" t="n">
        <f aca="false">SUM(BG5:BG42)</f>
        <v>0</v>
      </c>
      <c r="BH44" s="134" t="n">
        <f aca="false">SUM(BH5:BH42)</f>
        <v>0</v>
      </c>
      <c r="BI44" s="134" t="n">
        <f aca="false">SUM(BI5:BI42)</f>
        <v>0</v>
      </c>
      <c r="BJ44" s="134" t="n">
        <f aca="false">SUM(BJ5:BJ42)</f>
        <v>0</v>
      </c>
      <c r="BK44" s="134" t="n">
        <f aca="false">SUM(BK5:BK42)</f>
        <v>0</v>
      </c>
      <c r="BL44" s="134" t="n">
        <f aca="false">SUM(BL5:BL42)</f>
        <v>0</v>
      </c>
      <c r="BM44" s="134" t="n">
        <f aca="false">SUM(BM5:BM42)</f>
        <v>0</v>
      </c>
      <c r="BN44" s="134" t="n">
        <f aca="false">SUM(BN5:BN42)</f>
        <v>0</v>
      </c>
      <c r="BO44" s="134" t="n">
        <f aca="false">SUM(BO5:BO42)</f>
        <v>0</v>
      </c>
      <c r="BP44" s="134" t="n">
        <f aca="false">SUM(BP5:BP42)</f>
        <v>0</v>
      </c>
      <c r="BQ44" s="134" t="n">
        <f aca="false">SUM(BQ5:BQ42)</f>
        <v>0</v>
      </c>
      <c r="BR44" s="134" t="n">
        <f aca="false">SUM(BR5:BR42)</f>
        <v>0</v>
      </c>
      <c r="BS44" s="134" t="n">
        <f aca="false">SUM(BS5:BS42)</f>
        <v>0</v>
      </c>
      <c r="BT44" s="134" t="n">
        <f aca="false">SUM(BT5:BT42)</f>
        <v>0</v>
      </c>
      <c r="BU44" s="134" t="n">
        <f aca="false">SUM(BU5:BU42)</f>
        <v>0</v>
      </c>
      <c r="BV44" s="134" t="n">
        <f aca="false">SUM(BV5:BV42)</f>
        <v>0</v>
      </c>
      <c r="BW44" s="134" t="n">
        <f aca="false">SUM(BW5:BW42)</f>
        <v>0</v>
      </c>
      <c r="BX44" s="134" t="n">
        <f aca="false">SUM(BX5:BX42)</f>
        <v>0</v>
      </c>
      <c r="BY44" s="134" t="n">
        <f aca="false">SUM(BY5:BY42)</f>
        <v>26046922.83</v>
      </c>
      <c r="BZ44" s="134" t="n">
        <f aca="false">SUM(BZ5:BZ42)</f>
        <v>937.784818819305</v>
      </c>
      <c r="CB44" s="133" t="n">
        <f aca="false">SUM(CB5:CB42)</f>
        <v>2437.9</v>
      </c>
      <c r="CC44" s="133" t="n">
        <f aca="false">SUM(CC5:CC42)</f>
        <v>2253.29</v>
      </c>
      <c r="CD44" s="133" t="n">
        <f aca="false">SUM(CD5:CD42)</f>
        <v>8527.57</v>
      </c>
      <c r="CE44" s="133" t="n">
        <f aca="false">SUM(CE5:CE42)</f>
        <v>164529.3</v>
      </c>
      <c r="CF44" s="133" t="n">
        <f aca="false">SUM(CF5:CF42)</f>
        <v>73951.98</v>
      </c>
      <c r="CG44" s="133" t="n">
        <f aca="false">SUM(CG5:CG42)</f>
        <v>86798.41</v>
      </c>
      <c r="CH44" s="133" t="n">
        <f aca="false">SUM(CH5:CH42)</f>
        <v>91882.83</v>
      </c>
      <c r="CI44" s="133" t="n">
        <f aca="false">SUM(CI5:CI42)</f>
        <v>150391.6</v>
      </c>
      <c r="CJ44" s="133" t="n">
        <f aca="false">SUM(CJ5:CJ42)</f>
        <v>119483.12</v>
      </c>
      <c r="CK44" s="133" t="n">
        <f aca="false">SUM(CK5:CK42)</f>
        <v>143785.1</v>
      </c>
      <c r="CL44" s="133" t="n">
        <f aca="false">SUM(CL5:CL42)</f>
        <v>62913.13</v>
      </c>
      <c r="CM44" s="133" t="n">
        <f aca="false">SUM(CM5:CM42)</f>
        <v>72135.4</v>
      </c>
      <c r="CN44" s="133" t="n">
        <f aca="false">SUM(CN5:CN42)</f>
        <v>76634.44</v>
      </c>
      <c r="CO44" s="133" t="n">
        <f aca="false">SUM(CO5:CO42)</f>
        <v>50287.85</v>
      </c>
      <c r="CP44" s="133" t="n">
        <f aca="false">SUM(CP5:CP42)</f>
        <v>339691.77</v>
      </c>
      <c r="CQ44" s="133" t="n">
        <f aca="false">SUM(CQ5:CQ42)</f>
        <v>249008.27</v>
      </c>
      <c r="CR44" s="133" t="n">
        <f aca="false">SUM(CR5:CR42)</f>
        <v>226944.64</v>
      </c>
      <c r="CS44" s="133" t="n">
        <f aca="false">SUM(CS5:CS42)</f>
        <v>298199.84</v>
      </c>
      <c r="CT44" s="133" t="n">
        <f aca="false">SUM(CT5:CT42)</f>
        <v>190147.17</v>
      </c>
      <c r="CU44" s="133" t="n">
        <f aca="false">SUM(CU5:CU42)</f>
        <v>221993.72</v>
      </c>
      <c r="CV44" s="133" t="n">
        <f aca="false">SUM(CV5:CV42)</f>
        <v>395599.15</v>
      </c>
      <c r="CW44" s="133" t="n">
        <f aca="false">SUM(CW5:CW42)</f>
        <v>708213.46</v>
      </c>
      <c r="CX44" s="133" t="n">
        <f aca="false">SUM(CX5:CX42)</f>
        <v>1252862.63</v>
      </c>
      <c r="CY44" s="133" t="n">
        <f aca="false">SUM(CY5:CY42)</f>
        <v>2178586.91</v>
      </c>
      <c r="CZ44" s="133" t="n">
        <f aca="false">SUM(CZ5:CZ42)</f>
        <v>1568106.2</v>
      </c>
      <c r="DA44" s="133" t="n">
        <f aca="false">SUM(DA5:DA42)</f>
        <v>1972982.14</v>
      </c>
      <c r="DB44" s="133" t="n">
        <f aca="false">SUM(DB5:DB42)</f>
        <v>1105526.59</v>
      </c>
      <c r="DC44" s="133" t="n">
        <f aca="false">SUM(DC5:DC42)</f>
        <v>1636768.81</v>
      </c>
      <c r="DD44" s="133" t="n">
        <f aca="false">SUM(DD5:DD42)</f>
        <v>1444679.81</v>
      </c>
      <c r="DE44" s="133" t="n">
        <f aca="false">SUM(DE5:DE42)</f>
        <v>956706.51</v>
      </c>
      <c r="DF44" s="133" t="n">
        <f aca="false">SUM(DF5:DF42)</f>
        <v>1340691.29</v>
      </c>
      <c r="DG44" s="133" t="n">
        <f aca="false">SUM(DG5:DG42)</f>
        <v>2331705.56</v>
      </c>
      <c r="DH44" s="133" t="n">
        <f aca="false">SUM(DH5:DH42)</f>
        <v>1709644.9</v>
      </c>
      <c r="DI44" s="133" t="n">
        <f aca="false">SUM(DI5:DI42)</f>
        <v>2122347.81</v>
      </c>
      <c r="DJ44" s="133" t="n">
        <f aca="false">SUM(DJ5:DJ42)</f>
        <v>1469066.98</v>
      </c>
      <c r="DK44" s="133" t="n">
        <f aca="false">SUM(DK5:DK42)</f>
        <v>332940.1</v>
      </c>
      <c r="DL44" s="133" t="n">
        <f aca="false">SUM(DL5:DL42)</f>
        <v>172586.36</v>
      </c>
      <c r="DM44" s="133" t="n">
        <f aca="false">SUM(DM5:DM42)</f>
        <v>573539.76</v>
      </c>
      <c r="DN44" s="133" t="n">
        <f aca="false">SUM(DN5:DN42)</f>
        <v>26708.56</v>
      </c>
      <c r="DO44" s="133" t="n">
        <f aca="false">SUM(DO5:DO42)</f>
        <v>57142.79</v>
      </c>
      <c r="DP44" s="133" t="n">
        <f aca="false">SUM(DP5:DP42)</f>
        <v>1183.78</v>
      </c>
      <c r="DQ44" s="133" t="n">
        <f aca="false">SUM(DQ5:DQ42)</f>
        <v>159.9</v>
      </c>
      <c r="DR44" s="133" t="n">
        <f aca="false">SUM(DR5:DR42)</f>
        <v>159.9</v>
      </c>
      <c r="DS44" s="133" t="n">
        <f aca="false">SUM(DS5:DS42)</f>
        <v>159.9</v>
      </c>
      <c r="DT44" s="133" t="n">
        <f aca="false">SUM(DT5:DT42)</f>
        <v>159.9</v>
      </c>
      <c r="DU44" s="133" t="n">
        <f aca="false">SUM(DU5:DU42)</f>
        <v>3859.9</v>
      </c>
      <c r="DV44" s="133" t="n">
        <f aca="false">SUM(DV5:DV42)</f>
        <v>1023.42</v>
      </c>
      <c r="DW44" s="133" t="n">
        <f aca="false">SUM(DW5:DW42)</f>
        <v>159.9</v>
      </c>
      <c r="DX44" s="133" t="n">
        <f aca="false">SUM(DX5:DX42)</f>
        <v>11516.59</v>
      </c>
      <c r="DY44" s="133" t="n">
        <f aca="false">SUM(DY5:DY42)</f>
        <v>159.9</v>
      </c>
      <c r="DZ44" s="133" t="n">
        <f aca="false">SUM(DZ5:DZ42)</f>
        <v>159.9</v>
      </c>
      <c r="EA44" s="133" t="n">
        <f aca="false">SUM(EA5:EA42)</f>
        <v>159.9</v>
      </c>
      <c r="EB44" s="133" t="n">
        <f aca="false">SUM(EB5:EB42)</f>
        <v>159.9</v>
      </c>
      <c r="EC44" s="133" t="n">
        <f aca="false">SUM(EC5:EC42)</f>
        <v>159.9</v>
      </c>
      <c r="ED44" s="133" t="n">
        <f aca="false">SUM(ED5:ED42)</f>
        <v>159.9</v>
      </c>
      <c r="EE44" s="133" t="n">
        <f aca="false">SUM(EE5:EE42)</f>
        <v>32795.48</v>
      </c>
      <c r="EF44" s="133" t="n">
        <f aca="false">SUM(EF5:EF42)</f>
        <v>159.9</v>
      </c>
      <c r="EG44" s="133" t="n">
        <f aca="false">SUM(EG5:EG42)</f>
        <v>159.9</v>
      </c>
      <c r="EH44" s="133" t="n">
        <f aca="false">SUM(EH5:EH42)</f>
        <v>159.9</v>
      </c>
      <c r="EI44" s="133" t="n">
        <f aca="false">SUM(EI5:EI42)</f>
        <v>387.42</v>
      </c>
      <c r="EJ44" s="133" t="n">
        <f aca="false">SUM(EJ5:EJ42)</f>
        <v>159.9</v>
      </c>
      <c r="EK44" s="133" t="n">
        <f aca="false">SUM(EK5:EK42)</f>
        <v>159.9</v>
      </c>
      <c r="EL44" s="133" t="n">
        <f aca="false">SUM(EL5:EL42)</f>
        <v>4554.59</v>
      </c>
      <c r="EM44" s="133" t="n">
        <f aca="false">SUM(EM5:EM42)</f>
        <v>159.9</v>
      </c>
      <c r="EN44" s="133" t="n">
        <f aca="false">SUM(EN5:EN42)</f>
        <v>159.9</v>
      </c>
      <c r="EO44" s="133" t="n">
        <f aca="false">SUM(EO5:EO42)</f>
        <v>159.9</v>
      </c>
      <c r="EP44" s="133" t="n">
        <f aca="false">SUM(EP5:EP42)</f>
        <v>159.9</v>
      </c>
      <c r="EQ44" s="133" t="n">
        <f aca="false">SUM(EQ5:EQ42)</f>
        <v>0</v>
      </c>
      <c r="ER44" s="133" t="n">
        <f aca="false">SUM(ER5:ER42)</f>
        <v>0</v>
      </c>
      <c r="ES44" s="133" t="n">
        <f aca="false">SUM(ES5:ES42)</f>
        <v>0</v>
      </c>
      <c r="ET44" s="133" t="n">
        <f aca="false">SUM(ET5:ET42)</f>
        <v>0</v>
      </c>
      <c r="EU44" s="133" t="n">
        <f aca="false">SUM(EU5:EU42)</f>
        <v>0</v>
      </c>
      <c r="EV44" s="133" t="n">
        <f aca="false">SUM(EV5:EV42)</f>
        <v>0</v>
      </c>
      <c r="EW44" s="133" t="n">
        <f aca="false">SUM(EW5:EW42)</f>
        <v>0</v>
      </c>
      <c r="EX44" s="133" t="n">
        <f aca="false">SUM(EX5:EX42)</f>
        <v>0</v>
      </c>
      <c r="EY44" s="133" t="n">
        <f aca="false">SUM(EY5:EY42)</f>
        <v>0</v>
      </c>
      <c r="EZ44" s="133" t="n">
        <f aca="false">SUM(EZ5:EZ42)</f>
        <v>0</v>
      </c>
      <c r="FA44" s="133" t="n">
        <f aca="false">SUM(FA5:FA42)</f>
        <v>0</v>
      </c>
      <c r="FB44" s="133" t="n">
        <f aca="false">SUM(FB5:FB42)</f>
        <v>0</v>
      </c>
      <c r="FC44" s="133" t="n">
        <f aca="false">SUM(FC5:FC42)</f>
        <v>0</v>
      </c>
      <c r="FD44" s="133" t="n">
        <f aca="false">SUM(FD5:FD42)</f>
        <v>0</v>
      </c>
      <c r="FE44" s="133" t="n">
        <f aca="false">SUM(FE5:FE42)</f>
        <v>0</v>
      </c>
      <c r="FF44" s="133" t="n">
        <f aca="false">SUM(FF5:FF42)</f>
        <v>0</v>
      </c>
      <c r="FG44" s="133" t="n">
        <f aca="false">SUM(FG5:FG42)</f>
        <v>0</v>
      </c>
      <c r="FH44" s="133" t="n">
        <f aca="false">SUM(FH5:FH42)</f>
        <v>0</v>
      </c>
      <c r="FI44" s="133" t="n">
        <f aca="false">SUM(FI5:FI42)</f>
        <v>0</v>
      </c>
      <c r="FJ44" s="133" t="n">
        <f aca="false">SUM(FJ5:FJ42)</f>
        <v>0</v>
      </c>
      <c r="FK44" s="133" t="n">
        <f aca="false">SUM(FK5:FK42)</f>
        <v>0</v>
      </c>
      <c r="FL44" s="133" t="n">
        <f aca="false">SUM(FL5:FL42)</f>
        <v>0</v>
      </c>
      <c r="FM44" s="133" t="n">
        <f aca="false">SUM(FM5:FM42)</f>
        <v>0</v>
      </c>
      <c r="FN44" s="133" t="n">
        <f aca="false">SUM(FN5:FN42)</f>
        <v>0</v>
      </c>
      <c r="FO44" s="133" t="n">
        <f aca="false">SUM(FO5:FO42)</f>
        <v>0</v>
      </c>
      <c r="FP44" s="133" t="n">
        <f aca="false">SUM(FP5:FP42)</f>
        <v>0</v>
      </c>
      <c r="FQ44" s="133" t="n">
        <f aca="false">SUM(FQ5:FQ42)</f>
        <v>0</v>
      </c>
      <c r="FR44" s="133" t="n">
        <f aca="false">SUM(FR5:FR42)</f>
        <v>0</v>
      </c>
      <c r="FS44" s="133" t="n">
        <f aca="false">SUM(FS5:FS42)</f>
        <v>0</v>
      </c>
      <c r="FT44" s="133" t="n">
        <f aca="false">SUM(FT5:FT42)</f>
        <v>0</v>
      </c>
      <c r="FU44" s="133" t="n">
        <f aca="false">SUM(FU5:FU42)</f>
        <v>0</v>
      </c>
      <c r="FV44" s="133" t="n">
        <f aca="false">SUM(FV5:FV42)</f>
        <v>0</v>
      </c>
      <c r="FW44" s="133" t="n">
        <f aca="false">SUM(FW5:FW42)</f>
        <v>0</v>
      </c>
      <c r="FX44" s="133" t="n">
        <f aca="false">SUM(FX5:FX42)</f>
        <v>0</v>
      </c>
      <c r="FY44" s="133" t="n">
        <f aca="false">SUM(FY5:FY42)</f>
        <v>0</v>
      </c>
      <c r="FZ44" s="133" t="n">
        <f aca="false">SUM(FZ5:FZ42)</f>
        <v>0</v>
      </c>
      <c r="GA44" s="133" t="n">
        <f aca="false">SUM(GA5:GA42)</f>
        <v>0</v>
      </c>
      <c r="GB44" s="133" t="n">
        <f aca="false">SUM(GB5:GB42)</f>
        <v>0</v>
      </c>
      <c r="GC44" s="133" t="n">
        <f aca="false">SUM(GC5:GC42)</f>
        <v>0</v>
      </c>
      <c r="GD44" s="133" t="n">
        <f aca="false">SUM(GD5:GD42)</f>
        <v>0</v>
      </c>
      <c r="GE44" s="133" t="n">
        <f aca="false">SUM(GE5:GE42)</f>
        <v>0</v>
      </c>
      <c r="GF44" s="133" t="n">
        <f aca="false">SUM(GF5:GF42)</f>
        <v>0</v>
      </c>
      <c r="GG44" s="133" t="n">
        <f aca="false">SUM(GG5:GG42)</f>
        <v>0</v>
      </c>
      <c r="GH44" s="133" t="n">
        <f aca="false">SUM(GH5:GH42)</f>
        <v>0</v>
      </c>
      <c r="GI44" s="133" t="n">
        <f aca="false">SUM(GI5:GI42)</f>
        <v>0</v>
      </c>
      <c r="GJ44" s="133" t="n">
        <f aca="false">SUM(GJ5:GJ42)</f>
        <v>0</v>
      </c>
      <c r="GK44" s="133" t="n">
        <f aca="false">SUM(GK5:GK42)</f>
        <v>0</v>
      </c>
      <c r="GL44" s="133" t="n">
        <f aca="false">SUM(GL5:GL42)</f>
        <v>0</v>
      </c>
      <c r="GM44" s="133" t="n">
        <f aca="false">SUM(GM5:GM42)</f>
        <v>0</v>
      </c>
      <c r="GN44" s="133" t="n">
        <f aca="false">SUM(GN5:GN42)</f>
        <v>0</v>
      </c>
      <c r="GO44" s="133" t="n">
        <f aca="false">SUM(GO5:GO42)</f>
        <v>0</v>
      </c>
      <c r="GP44" s="133" t="n">
        <f aca="false">SUM(GP5:GP42)</f>
        <v>0</v>
      </c>
      <c r="GQ44" s="133" t="n">
        <f aca="false">SUM(GQ5:GQ42)</f>
        <v>0</v>
      </c>
      <c r="GR44" s="133" t="n">
        <f aca="false">SUM(GR5:GR42)</f>
        <v>0</v>
      </c>
      <c r="GS44" s="133" t="n">
        <f aca="false">SUM(GS5:GS42)</f>
        <v>0</v>
      </c>
      <c r="GT44" s="133" t="n">
        <f aca="false">SUM(GT5:GT42)</f>
        <v>0</v>
      </c>
      <c r="GU44" s="133" t="n">
        <f aca="false">SUM(GU5:GU42)</f>
        <v>0</v>
      </c>
      <c r="GV44" s="133" t="n">
        <f aca="false">SUM(GV5:GV42)</f>
        <v>0</v>
      </c>
      <c r="GW44" s="133" t="n">
        <f aca="false">SUM(GW5:GW42)</f>
        <v>0</v>
      </c>
      <c r="GX44" s="133" t="n">
        <f aca="false">SUM(GX5:GX42)</f>
        <v>0</v>
      </c>
      <c r="GY44" s="133" t="n">
        <f aca="false">SUM(GY5:GY42)</f>
        <v>0</v>
      </c>
      <c r="GZ44" s="133" t="n">
        <f aca="false">SUM(GZ5:GZ42)</f>
        <v>0</v>
      </c>
      <c r="HA44" s="133" t="n">
        <f aca="false">SUM(HA5:HA42)</f>
        <v>0</v>
      </c>
      <c r="HB44" s="133" t="n">
        <f aca="false">SUM(HB5:HB42)</f>
        <v>0</v>
      </c>
      <c r="HC44" s="133" t="n">
        <f aca="false">SUM(HC5:HC42)</f>
        <v>0</v>
      </c>
      <c r="HD44" s="133" t="n">
        <f aca="false">SUM(HD5:HD42)</f>
        <v>0</v>
      </c>
      <c r="HE44" s="133" t="n">
        <f aca="false">SUM(HE5:HE42)</f>
        <v>0</v>
      </c>
      <c r="HF44" s="133" t="n">
        <f aca="false">SUM(HF5:HF42)</f>
        <v>0</v>
      </c>
      <c r="HG44" s="133" t="n">
        <f aca="false">SUM(HG5:HG42)</f>
        <v>0</v>
      </c>
      <c r="HH44" s="133" t="n">
        <f aca="false">SUM(HH5:HH42)</f>
        <v>0</v>
      </c>
      <c r="HI44" s="133" t="n">
        <f aca="false">SUM(HI5:HI42)</f>
        <v>0</v>
      </c>
      <c r="HJ44" s="133" t="n">
        <f aca="false">SUM(HJ5:HJ42)</f>
        <v>0</v>
      </c>
      <c r="HK44" s="133" t="n">
        <f aca="false">SUM(HK5:HK42)</f>
        <v>0</v>
      </c>
      <c r="HL44" s="133" t="n">
        <f aca="false">SUM(HL5:HL42)</f>
        <v>0</v>
      </c>
      <c r="HM44" s="133" t="n">
        <f aca="false">SUM(HM5:HM42)</f>
        <v>0</v>
      </c>
      <c r="HN44" s="133" t="n">
        <f aca="false">SUM(HN5:HN42)</f>
        <v>0</v>
      </c>
      <c r="HO44" s="133" t="n">
        <f aca="false">SUM(HO5:HO42)</f>
        <v>0</v>
      </c>
      <c r="HP44" s="133" t="n">
        <f aca="false">SUM(HP5:HP42)</f>
        <v>0</v>
      </c>
      <c r="HQ44" s="133" t="n">
        <f aca="false">SUM(HQ5:HQ42)</f>
        <v>0</v>
      </c>
      <c r="HR44" s="133" t="n">
        <f aca="false">SUM(HR5:HR42)</f>
        <v>0</v>
      </c>
      <c r="HS44" s="133" t="n">
        <f aca="false">SUM(HS5:HS42)</f>
        <v>0</v>
      </c>
      <c r="HT44" s="133" t="n">
        <f aca="false">SUM(HT5:HT42)</f>
        <v>0</v>
      </c>
      <c r="HU44" s="133" t="n">
        <f aca="false">SUM(HU5:HU42)</f>
        <v>0</v>
      </c>
      <c r="HV44" s="133" t="n">
        <f aca="false">SUM(HV5:HV42)</f>
        <v>0</v>
      </c>
      <c r="HW44" s="133" t="n">
        <f aca="false">SUM(HW5:HW42)</f>
        <v>0</v>
      </c>
      <c r="HX44" s="133" t="n">
        <f aca="false">SUM(HX5:HX42)</f>
        <v>0</v>
      </c>
      <c r="HY44" s="133" t="n">
        <f aca="false">SUM(HY5:HY42)</f>
        <v>0</v>
      </c>
      <c r="HZ44" s="133" t="n">
        <f aca="false">SUM(HZ5:HZ42)</f>
        <v>0</v>
      </c>
      <c r="IA44" s="133" t="n">
        <f aca="false">SUM(IA5:IA42)</f>
        <v>0</v>
      </c>
      <c r="IB44" s="133" t="n">
        <f aca="false">SUM(IB5:IB42)</f>
        <v>0</v>
      </c>
      <c r="IC44" s="133" t="n">
        <f aca="false">SUM(IC5:IC42)</f>
        <v>0</v>
      </c>
      <c r="ID44" s="133" t="n">
        <f aca="false">SUM(ID5:ID42)</f>
        <v>0</v>
      </c>
      <c r="IE44" s="133" t="n">
        <f aca="false">SUM(IE5:IE42)</f>
        <v>0</v>
      </c>
      <c r="IF44" s="133" t="n">
        <f aca="false">SUM(IF5:IF42)</f>
        <v>0</v>
      </c>
      <c r="IG44" s="133" t="n">
        <f aca="false">SUM(IG5:IG42)</f>
        <v>0</v>
      </c>
      <c r="IH44" s="133" t="n">
        <f aca="false">SUM(IH5:IH42)</f>
        <v>0</v>
      </c>
      <c r="II44" s="133" t="n">
        <f aca="false">SUM(II5:II42)</f>
        <v>0</v>
      </c>
      <c r="IJ44" s="133" t="n">
        <f aca="false">SUM(IJ5:IJ42)</f>
        <v>0</v>
      </c>
      <c r="IK44" s="133" t="n">
        <f aca="false">SUM(IK5:IK42)</f>
        <v>0</v>
      </c>
      <c r="IL44" s="133" t="n">
        <f aca="false">SUM(IL5:IL42)</f>
        <v>0</v>
      </c>
      <c r="IM44" s="133" t="n">
        <f aca="false">SUM(IM5:IM42)</f>
        <v>0</v>
      </c>
      <c r="IN44" s="133" t="n">
        <f aca="false">SUM(IN5:IN42)</f>
        <v>0</v>
      </c>
      <c r="IO44" s="133" t="n">
        <f aca="false">SUM(IO5:IO42)</f>
        <v>0</v>
      </c>
      <c r="IP44" s="133" t="n">
        <f aca="false">SUM(IP5:IP42)</f>
        <v>0</v>
      </c>
      <c r="IQ44" s="133" t="n">
        <f aca="false">SUM(IQ5:IQ42)</f>
        <v>0</v>
      </c>
      <c r="IR44" s="133" t="n">
        <f aca="false">SUM(IR5:IR42)</f>
        <v>0</v>
      </c>
      <c r="IS44" s="133" t="n">
        <f aca="false">SUM(IS5:IS42)</f>
        <v>0</v>
      </c>
      <c r="IT44" s="133" t="n">
        <f aca="false">SUM(IT5:IT42)</f>
        <v>0</v>
      </c>
      <c r="IU44" s="133" t="n">
        <f aca="false">SUM(IU5:IU42)</f>
        <v>0</v>
      </c>
      <c r="IV44" s="133" t="n">
        <f aca="false">SUM(IV5:IV42)</f>
        <v>0</v>
      </c>
      <c r="IW44" s="133" t="n">
        <f aca="false">SUM(IW5:IW42)</f>
        <v>0</v>
      </c>
      <c r="IX44" s="133" t="n">
        <f aca="false">SUM(IX5:IX42)</f>
        <v>0</v>
      </c>
      <c r="IY44" s="133" t="n">
        <f aca="false">SUM(IY5:IY42)</f>
        <v>0</v>
      </c>
      <c r="IZ44" s="133" t="n">
        <f aca="false">SUM(IZ5:IZ42)</f>
        <v>0</v>
      </c>
      <c r="JA44" s="133" t="n">
        <f aca="false">SUM(JA5:JA42)</f>
        <v>0</v>
      </c>
      <c r="JB44" s="133" t="n">
        <f aca="false">SUM(JB5:JB42)</f>
        <v>0</v>
      </c>
      <c r="JC44" s="133" t="n">
        <f aca="false">SUM(JC5:JC42)</f>
        <v>0</v>
      </c>
      <c r="JD44" s="133" t="n">
        <f aca="false">SUM(JD5:JD42)</f>
        <v>0</v>
      </c>
      <c r="JE44" s="133" t="n">
        <f aca="false">SUM(JE5:JE42)</f>
        <v>0</v>
      </c>
      <c r="JF44" s="133" t="n">
        <f aca="false">SUM(JF5:JF42)</f>
        <v>0</v>
      </c>
      <c r="JG44" s="133" t="n">
        <f aca="false">SUM(JG5:JG42)</f>
        <v>0</v>
      </c>
      <c r="JH44" s="133" t="n">
        <f aca="false">SUM(JH5:JH42)</f>
        <v>0</v>
      </c>
      <c r="JI44" s="133" t="n">
        <f aca="false">SUM(JI5:JI42)</f>
        <v>0</v>
      </c>
      <c r="JJ44" s="133" t="n">
        <f aca="false">SUM(JJ5:JJ42)</f>
        <v>0</v>
      </c>
      <c r="JK44" s="133" t="n">
        <f aca="false">SUM(JK5:JK42)</f>
        <v>0</v>
      </c>
      <c r="JL44" s="133" t="n">
        <f aca="false">SUM(JL5:JL42)</f>
        <v>0</v>
      </c>
      <c r="JM44" s="133" t="n">
        <f aca="false">SUM(JM5:JM42)</f>
        <v>0</v>
      </c>
      <c r="JN44" s="133" t="n">
        <f aca="false">SUM(JN5:JN42)</f>
        <v>0</v>
      </c>
      <c r="JO44" s="133" t="n">
        <f aca="false">SUM(JO5:JO42)</f>
        <v>0</v>
      </c>
      <c r="JP44" s="133" t="n">
        <f aca="false">SUM(JP5:JP42)</f>
        <v>0</v>
      </c>
      <c r="JQ44" s="133" t="n">
        <f aca="false">SUM(JQ5:JQ42)</f>
        <v>0</v>
      </c>
      <c r="JR44" s="133" t="n">
        <f aca="false">SUM(JR5:JR42)</f>
        <v>0</v>
      </c>
      <c r="JS44" s="133" t="n">
        <f aca="false">SUM(JS5:JS42)</f>
        <v>0</v>
      </c>
    </row>
    <row r="45" customFormat="false" ht="15" hidden="false" customHeight="false" outlineLevel="0" collapsed="false">
      <c r="A45" s="42" t="s">
        <v>2879</v>
      </c>
      <c r="D45" s="116" t="n">
        <f aca="false">D44</f>
        <v>1055724.07</v>
      </c>
      <c r="E45" s="116" t="n">
        <f aca="false">D45+E44</f>
        <v>1106011.92</v>
      </c>
      <c r="F45" s="116" t="n">
        <f aca="false">E45+F44</f>
        <v>1445703.69</v>
      </c>
      <c r="G45" s="116" t="n">
        <f aca="false">F45+G44</f>
        <v>1694711.96</v>
      </c>
      <c r="H45" s="116" t="n">
        <f aca="false">G45+H44</f>
        <v>1921656.6</v>
      </c>
      <c r="I45" s="116" t="n">
        <f aca="false">H45+I44</f>
        <v>2219856.44</v>
      </c>
      <c r="J45" s="116" t="n">
        <f aca="false">I45+J44</f>
        <v>2410003.61</v>
      </c>
      <c r="K45" s="116" t="n">
        <f aca="false">J45+K44</f>
        <v>2631997.33</v>
      </c>
      <c r="L45" s="116" t="n">
        <f aca="false">K45+L44</f>
        <v>3027596.48</v>
      </c>
      <c r="M45" s="116" t="n">
        <f aca="false">L45+M44</f>
        <v>3735809.94</v>
      </c>
      <c r="N45" s="116" t="n">
        <f aca="false">M45+N44</f>
        <v>4988672.57</v>
      </c>
      <c r="O45" s="116" t="n">
        <f aca="false">N45+O44</f>
        <v>7167259.48</v>
      </c>
      <c r="P45" s="116" t="n">
        <f aca="false">O45+P44</f>
        <v>8735365.68</v>
      </c>
      <c r="Q45" s="116" t="n">
        <f aca="false">P45+Q44</f>
        <v>10708347.82</v>
      </c>
      <c r="R45" s="116" t="n">
        <f aca="false">Q45+R44</f>
        <v>11813874.41</v>
      </c>
      <c r="S45" s="116" t="n">
        <f aca="false">R45+S44</f>
        <v>13450643.22</v>
      </c>
      <c r="T45" s="116" t="n">
        <f aca="false">S45+T44</f>
        <v>14895323.03</v>
      </c>
      <c r="U45" s="116" t="n">
        <f aca="false">T45+U44</f>
        <v>15852029.54</v>
      </c>
      <c r="V45" s="116" t="n">
        <f aca="false">U45+V44</f>
        <v>17192720.83</v>
      </c>
      <c r="W45" s="116" t="n">
        <f aca="false">V45+W44</f>
        <v>19524426.39</v>
      </c>
      <c r="X45" s="116" t="n">
        <f aca="false">W45+X44</f>
        <v>21234071.29</v>
      </c>
      <c r="Y45" s="116" t="n">
        <f aca="false">X45+Y44</f>
        <v>23356419.1</v>
      </c>
      <c r="Z45" s="116" t="n">
        <f aca="false">Y45+Z44</f>
        <v>24825486.08</v>
      </c>
      <c r="AA45" s="116" t="n">
        <f aca="false">Z45+AA44</f>
        <v>25158426.18</v>
      </c>
      <c r="AB45" s="116" t="n">
        <f aca="false">AA45+AB44</f>
        <v>25331012.54</v>
      </c>
      <c r="AC45" s="116" t="n">
        <f aca="false">AB45+AC44</f>
        <v>25904552.3</v>
      </c>
      <c r="AD45" s="116" t="n">
        <f aca="false">AC45+AD44</f>
        <v>25931260.86</v>
      </c>
      <c r="AE45" s="116" t="n">
        <f aca="false">AD45+AE44</f>
        <v>25988403.65</v>
      </c>
      <c r="AF45" s="116" t="n">
        <f aca="false">AE45+AF44</f>
        <v>25989587.43</v>
      </c>
      <c r="AG45" s="116" t="n">
        <f aca="false">AF45+AG44</f>
        <v>25989747.33</v>
      </c>
      <c r="AH45" s="116" t="n">
        <f aca="false">AG45+AH44</f>
        <v>25989907.23</v>
      </c>
      <c r="AI45" s="116" t="n">
        <f aca="false">AH45+AI44</f>
        <v>25990067.13</v>
      </c>
      <c r="AJ45" s="116" t="n">
        <f aca="false">AI45+AJ44</f>
        <v>25990227.03</v>
      </c>
      <c r="AK45" s="116" t="n">
        <f aca="false">AJ45+AK44</f>
        <v>25994086.93</v>
      </c>
      <c r="AL45" s="116" t="n">
        <f aca="false">AK45+AL44</f>
        <v>25995110.35</v>
      </c>
      <c r="AM45" s="116" t="n">
        <f aca="false">AL45+AM44</f>
        <v>25995270.25</v>
      </c>
      <c r="AN45" s="116" t="n">
        <f aca="false">AM45+AN44</f>
        <v>26006786.84</v>
      </c>
      <c r="AO45" s="116" t="n">
        <f aca="false">AN45+AO44</f>
        <v>26006946.74</v>
      </c>
      <c r="AP45" s="116" t="n">
        <f aca="false">AO45+AP44</f>
        <v>26007106.64</v>
      </c>
      <c r="AQ45" s="116" t="n">
        <f aca="false">AP45+AQ44</f>
        <v>26007266.54</v>
      </c>
      <c r="AR45" s="116" t="n">
        <f aca="false">AQ45+AR44</f>
        <v>26007426.44</v>
      </c>
      <c r="AS45" s="116" t="n">
        <f aca="false">AR45+AS44</f>
        <v>26007586.34</v>
      </c>
      <c r="AT45" s="116" t="n">
        <f aca="false">AS45+AT44</f>
        <v>26007746.24</v>
      </c>
      <c r="AU45" s="116" t="n">
        <f aca="false">AT45+AU44</f>
        <v>26040541.72</v>
      </c>
      <c r="AV45" s="116" t="n">
        <f aca="false">AU45+AV44</f>
        <v>26040701.62</v>
      </c>
      <c r="AW45" s="116" t="n">
        <f aca="false">AV45+AW44</f>
        <v>26040861.52</v>
      </c>
      <c r="AX45" s="116" t="n">
        <f aca="false">AW45+AX44</f>
        <v>26041021.42</v>
      </c>
      <c r="AY45" s="116" t="n">
        <f aca="false">AX45+AY44</f>
        <v>26041408.84</v>
      </c>
      <c r="AZ45" s="116" t="n">
        <f aca="false">AY45+AZ44</f>
        <v>26041568.74</v>
      </c>
      <c r="BA45" s="116" t="n">
        <f aca="false">AZ45+BA44</f>
        <v>26041728.64</v>
      </c>
      <c r="BB45" s="116" t="n">
        <f aca="false">BA45+BB44</f>
        <v>26046283.23</v>
      </c>
      <c r="BC45" s="116" t="n">
        <f aca="false">BB45+BC44</f>
        <v>26046443.13</v>
      </c>
      <c r="BD45" s="116" t="n">
        <f aca="false">BC45+BD44</f>
        <v>26046603.03</v>
      </c>
      <c r="BE45" s="116" t="n">
        <f aca="false">BD45+BE44</f>
        <v>26046762.93</v>
      </c>
      <c r="BF45" s="116" t="n">
        <f aca="false">BE45+BF44</f>
        <v>26046922.83</v>
      </c>
      <c r="BG45" s="116" t="n">
        <f aca="false">BF45+BG44</f>
        <v>26046922.83</v>
      </c>
      <c r="BH45" s="116" t="n">
        <f aca="false">BG45+BH44</f>
        <v>26046922.83</v>
      </c>
      <c r="BI45" s="116" t="n">
        <f aca="false">BH45+BI44</f>
        <v>26046922.83</v>
      </c>
      <c r="BJ45" s="116" t="n">
        <f aca="false">BI45+BJ44</f>
        <v>26046922.83</v>
      </c>
      <c r="BK45" s="116" t="n">
        <f aca="false">BJ45+BK44</f>
        <v>26046922.83</v>
      </c>
      <c r="BL45" s="116" t="n">
        <f aca="false">BK45+BL44</f>
        <v>26046922.83</v>
      </c>
      <c r="BM45" s="116" t="n">
        <f aca="false">BL45+BM44</f>
        <v>26046922.83</v>
      </c>
      <c r="BN45" s="116" t="n">
        <f aca="false">BM45+BN44</f>
        <v>26046922.83</v>
      </c>
      <c r="BO45" s="116" t="n">
        <f aca="false">BN45+BO44</f>
        <v>26046922.83</v>
      </c>
      <c r="BP45" s="116" t="n">
        <f aca="false">BO45+BP44</f>
        <v>26046922.83</v>
      </c>
      <c r="BQ45" s="116" t="n">
        <f aca="false">BP45+BQ44</f>
        <v>26046922.83</v>
      </c>
      <c r="BR45" s="116" t="n">
        <f aca="false">BQ45+BR44</f>
        <v>26046922.83</v>
      </c>
      <c r="BS45" s="116" t="n">
        <f aca="false">BR45+BS44</f>
        <v>26046922.83</v>
      </c>
      <c r="BT45" s="116" t="n">
        <f aca="false">BS45+BT44</f>
        <v>26046922.83</v>
      </c>
      <c r="BU45" s="116" t="n">
        <f aca="false">BT45+BU44</f>
        <v>26046922.83</v>
      </c>
      <c r="BV45" s="116" t="n">
        <f aca="false">BU45+BV44</f>
        <v>26046922.83</v>
      </c>
      <c r="BW45" s="116" t="n">
        <f aca="false">BV45+BW44</f>
        <v>26046922.83</v>
      </c>
    </row>
    <row r="49" customFormat="false" ht="15" hidden="false" customHeight="false" outlineLevel="0" collapsed="false">
      <c r="A49" s="62" t="s">
        <v>2880</v>
      </c>
      <c r="B49" s="62"/>
      <c r="C49" s="62"/>
    </row>
    <row r="50" customFormat="false" ht="15" hidden="false" customHeight="false" outlineLevel="0" collapsed="false">
      <c r="A50" s="55" t="s">
        <v>2881</v>
      </c>
    </row>
    <row r="51" customFormat="false" ht="15" hidden="false" customHeight="false" outlineLevel="0" collapsed="false">
      <c r="A51" s="55" t="s">
        <v>2882</v>
      </c>
    </row>
    <row r="52" customFormat="false" ht="15" hidden="false" customHeight="false" outlineLevel="0" collapsed="false">
      <c r="A52" s="55" t="s">
        <v>2883</v>
      </c>
    </row>
    <row r="53" customFormat="false" ht="15" hidden="false" customHeight="false" outlineLevel="0" collapsed="false">
      <c r="A53" s="55" t="s">
        <v>2884</v>
      </c>
    </row>
    <row r="54" customFormat="false" ht="15" hidden="false" customHeight="false" outlineLevel="0" collapsed="false">
      <c r="A54" s="55" t="s">
        <v>84</v>
      </c>
    </row>
    <row r="55" customFormat="false" ht="15" hidden="false" customHeight="false" outlineLevel="0" collapsed="false">
      <c r="A55" s="55" t="s">
        <v>2885</v>
      </c>
    </row>
    <row r="56" customFormat="false" ht="15" hidden="false" customHeight="false" outlineLevel="0" collapsed="false">
      <c r="A56" s="55" t="s">
        <v>2886</v>
      </c>
    </row>
    <row r="57" customFormat="false" ht="15" hidden="false" customHeight="false" outlineLevel="0" collapsed="false">
      <c r="A57" s="55" t="s">
        <v>2887</v>
      </c>
    </row>
    <row r="58" customFormat="false" ht="15" hidden="false" customHeight="false" outlineLevel="0" collapsed="false">
      <c r="A58" s="55"/>
    </row>
    <row r="59" customFormat="false" ht="15" hidden="false" customHeight="false" outlineLevel="0" collapsed="false">
      <c r="A59" s="55"/>
    </row>
    <row r="60" customFormat="false" ht="15" hidden="false" customHeight="false" outlineLevel="0" collapsed="false">
      <c r="A60" s="55"/>
    </row>
    <row r="61" customFormat="false" ht="15" hidden="false" customHeight="false" outlineLevel="0" collapsed="false">
      <c r="A61" s="55"/>
    </row>
    <row r="62" customFormat="false" ht="15" hidden="false" customHeight="false" outlineLevel="0" collapsed="false">
      <c r="A62" s="55"/>
    </row>
    <row r="63" customFormat="false" ht="15" hidden="false" customHeight="false" outlineLevel="0" collapsed="false">
      <c r="A63" s="55"/>
    </row>
    <row r="64" customFormat="false" ht="15" hidden="false" customHeight="false" outlineLevel="0" collapsed="false">
      <c r="A64" s="55"/>
    </row>
    <row r="65" customFormat="false" ht="15" hidden="false" customHeight="false" outlineLevel="0" collapsed="false">
      <c r="A65" s="55"/>
    </row>
    <row r="66" customFormat="false" ht="15" hidden="false" customHeight="false" outlineLevel="0" collapsed="false">
      <c r="A66" s="55"/>
    </row>
    <row r="67" customFormat="false" ht="15" hidden="false" customHeight="false" outlineLevel="0" collapsed="false">
      <c r="A67" s="55"/>
    </row>
    <row r="68" customFormat="false" ht="15" hidden="false" customHeight="false" outlineLevel="0" collapsed="false">
      <c r="A68" s="55"/>
    </row>
    <row r="69" customFormat="false" ht="15" hidden="false" customHeight="false" outlineLevel="0" collapsed="false">
      <c r="A69" s="55"/>
    </row>
  </sheetData>
  <mergeCells count="1">
    <mergeCell ref="A49:C49"/>
  </mergeCells>
  <conditionalFormatting sqref="C2">
    <cfRule type="cellIs" priority="2" operator="greaterThan" aboveAverage="0" equalAverage="0" bottom="0" percent="0" rank="0" text="" dxfId="5">
      <formula>0</formula>
    </cfRule>
  </conditionalFormatting>
  <conditionalFormatting sqref="D5:BW42">
    <cfRule type="expression" priority="3" aboveAverage="0" equalAverage="0" bottom="0" percent="0" rank="0" text="" dxfId="8">
      <formula>D$4&lt;='VALOR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BP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</cols>
  <sheetData>
    <row r="1" customFormat="false" ht="15" hidden="false" customHeight="false" outlineLevel="0" collapsed="false">
      <c r="A1" s="4" t="s">
        <v>2888</v>
      </c>
      <c r="B1" s="4" t="s">
        <v>2889</v>
      </c>
    </row>
    <row r="2" customFormat="false" ht="15" hidden="false" customHeight="false" outlineLevel="0" collapsed="false">
      <c r="A2" s="4" t="s">
        <v>2890</v>
      </c>
      <c r="B2" s="135" t="n">
        <v>45078</v>
      </c>
      <c r="C2" s="135" t="n">
        <v>45231</v>
      </c>
      <c r="D2" s="135" t="n">
        <v>45323</v>
      </c>
      <c r="E2" s="135" t="n">
        <v>45352</v>
      </c>
      <c r="F2" s="135" t="n">
        <v>45383</v>
      </c>
      <c r="G2" s="135" t="n">
        <v>45413</v>
      </c>
      <c r="H2" s="135" t="n">
        <v>45444</v>
      </c>
      <c r="I2" s="135" t="n">
        <v>45474</v>
      </c>
      <c r="J2" s="135" t="n">
        <v>45505</v>
      </c>
      <c r="K2" s="135" t="n">
        <v>45536</v>
      </c>
      <c r="L2" s="135" t="n">
        <v>45566</v>
      </c>
      <c r="M2" s="135" t="n">
        <v>45597</v>
      </c>
      <c r="N2" s="135" t="n">
        <v>45627</v>
      </c>
      <c r="O2" s="135" t="n">
        <v>45658</v>
      </c>
      <c r="P2" s="135" t="n">
        <v>45689</v>
      </c>
      <c r="Q2" s="135" t="n">
        <v>45717</v>
      </c>
      <c r="R2" s="135" t="n">
        <v>45748</v>
      </c>
      <c r="S2" s="135" t="n">
        <v>45778</v>
      </c>
      <c r="T2" s="135" t="n">
        <v>45809</v>
      </c>
      <c r="U2" s="135" t="n">
        <v>45839</v>
      </c>
      <c r="V2" s="135" t="n">
        <v>45870</v>
      </c>
      <c r="W2" s="135" t="n">
        <v>45901</v>
      </c>
      <c r="X2" s="135" t="n">
        <v>45931</v>
      </c>
      <c r="Y2" s="135" t="n">
        <v>45962</v>
      </c>
      <c r="Z2" s="135" t="n">
        <v>45992</v>
      </c>
      <c r="AA2" s="135" t="n">
        <v>46023</v>
      </c>
      <c r="AB2" s="135" t="n">
        <v>46054</v>
      </c>
      <c r="AC2" s="135" t="n">
        <v>46082</v>
      </c>
      <c r="AD2" s="135" t="n">
        <v>46113</v>
      </c>
      <c r="AE2" s="135" t="n">
        <v>46143</v>
      </c>
      <c r="AF2" s="135" t="n">
        <v>46174</v>
      </c>
      <c r="AG2" s="135" t="n">
        <v>46204</v>
      </c>
      <c r="AH2" s="135" t="n">
        <v>46235</v>
      </c>
      <c r="AI2" s="135" t="n">
        <v>46266</v>
      </c>
      <c r="AJ2" s="135" t="n">
        <v>46296</v>
      </c>
      <c r="AK2" s="135" t="n">
        <v>46327</v>
      </c>
      <c r="AL2" s="135" t="n">
        <v>46357</v>
      </c>
      <c r="AM2" s="135" t="n">
        <v>46388</v>
      </c>
      <c r="AN2" s="135" t="n">
        <v>46419</v>
      </c>
      <c r="AO2" s="135" t="n">
        <v>46447</v>
      </c>
      <c r="AP2" s="135" t="n">
        <v>46478</v>
      </c>
      <c r="AQ2" s="135" t="n">
        <v>46508</v>
      </c>
      <c r="AR2" s="135" t="n">
        <v>46539</v>
      </c>
      <c r="AS2" s="135" t="n">
        <v>46569</v>
      </c>
      <c r="AT2" s="135" t="n">
        <v>46600</v>
      </c>
      <c r="AU2" s="135" t="n">
        <v>46631</v>
      </c>
      <c r="AV2" s="135" t="n">
        <v>46661</v>
      </c>
      <c r="AW2" s="135" t="n">
        <v>46692</v>
      </c>
      <c r="AX2" s="135" t="n">
        <v>46722</v>
      </c>
      <c r="AY2" s="135" t="n">
        <v>46753</v>
      </c>
      <c r="AZ2" s="135" t="n">
        <v>46784</v>
      </c>
      <c r="BA2" s="135" t="n">
        <v>46813</v>
      </c>
      <c r="BB2" s="135" t="n">
        <v>46844</v>
      </c>
      <c r="BC2" s="135" t="n">
        <v>46874</v>
      </c>
      <c r="BD2" s="135" t="n">
        <v>46905</v>
      </c>
      <c r="BE2" s="135" t="n">
        <v>46935</v>
      </c>
      <c r="BF2" s="135" t="n">
        <v>46966</v>
      </c>
      <c r="BG2" s="135" t="n">
        <v>46997</v>
      </c>
      <c r="BH2" s="135" t="n">
        <v>47027</v>
      </c>
      <c r="BI2" s="135" t="n">
        <v>47058</v>
      </c>
      <c r="BJ2" s="135" t="n">
        <v>47088</v>
      </c>
      <c r="BK2" s="135" t="n">
        <v>47119</v>
      </c>
      <c r="BL2" s="135" t="n">
        <v>47150</v>
      </c>
      <c r="BM2" s="135" t="n">
        <v>47178</v>
      </c>
      <c r="BN2" s="135" t="n">
        <v>47209</v>
      </c>
      <c r="BO2" s="135" t="n">
        <v>47239</v>
      </c>
      <c r="BP2" s="135" t="n">
        <v>47270</v>
      </c>
    </row>
    <row r="3" customFormat="false" ht="15" hidden="false" customHeight="false" outlineLevel="0" collapsed="false">
      <c r="A3" s="4" t="s">
        <v>2882</v>
      </c>
    </row>
    <row r="4" customFormat="false" ht="15" hidden="false" customHeight="false" outlineLevel="0" collapsed="false">
      <c r="A4" s="4" t="s">
        <v>2883</v>
      </c>
    </row>
    <row r="5" customFormat="false" ht="15" hidden="false" customHeight="false" outlineLevel="0" collapsed="false">
      <c r="A5" s="4" t="s">
        <v>67</v>
      </c>
      <c r="I5" s="136" t="n">
        <v>1566.87</v>
      </c>
      <c r="J5" s="136" t="n">
        <v>22290.15</v>
      </c>
      <c r="K5" s="136" t="n">
        <v>36188.25</v>
      </c>
      <c r="L5" s="136" t="n">
        <v>585.7</v>
      </c>
      <c r="M5" s="136" t="n">
        <v>750</v>
      </c>
      <c r="T5" s="136" t="n">
        <v>61557.78</v>
      </c>
      <c r="U5" s="136" t="n">
        <v>70633.03</v>
      </c>
      <c r="V5" s="136" t="n">
        <v>66792.52</v>
      </c>
      <c r="W5" s="136" t="n">
        <v>71201.4</v>
      </c>
      <c r="X5" s="136" t="n">
        <v>59244.3</v>
      </c>
      <c r="Y5" s="136" t="n">
        <v>40715.62</v>
      </c>
      <c r="Z5" s="136" t="n">
        <v>51460.01</v>
      </c>
      <c r="AA5" s="136" t="n">
        <v>22683.91</v>
      </c>
      <c r="AB5" s="136" t="n">
        <v>17563.67</v>
      </c>
      <c r="AC5" s="136" t="n">
        <v>14403.47</v>
      </c>
      <c r="AD5" s="136" t="n">
        <v>13639.33</v>
      </c>
      <c r="AE5" s="136" t="n">
        <v>19885.18</v>
      </c>
      <c r="AF5" s="136" t="n">
        <v>14872.41</v>
      </c>
      <c r="AG5" s="136" t="n">
        <v>28641.88</v>
      </c>
      <c r="AH5" s="136" t="n">
        <v>16434.13</v>
      </c>
      <c r="AI5" s="136" t="n">
        <v>19390.05</v>
      </c>
      <c r="AJ5" s="136" t="n">
        <v>10528.99</v>
      </c>
      <c r="AK5" s="136" t="n">
        <v>3994.37</v>
      </c>
      <c r="AL5" s="136" t="n">
        <v>3526.47</v>
      </c>
      <c r="AO5" s="136" t="n">
        <v>665</v>
      </c>
      <c r="AU5" s="136" t="n">
        <v>3700</v>
      </c>
    </row>
    <row r="6" customFormat="false" ht="15" hidden="false" customHeight="false" outlineLevel="0" collapsed="false">
      <c r="A6" s="4" t="s">
        <v>69</v>
      </c>
      <c r="G6" s="136" t="n">
        <v>6616.43</v>
      </c>
      <c r="H6" s="136" t="n">
        <v>433.57</v>
      </c>
      <c r="K6" s="136" t="n">
        <v>21110.48</v>
      </c>
      <c r="L6" s="136" t="n">
        <v>14927.61</v>
      </c>
      <c r="P6" s="136" t="n">
        <v>14421.7</v>
      </c>
      <c r="Q6" s="136" t="n">
        <v>608.73</v>
      </c>
      <c r="U6" s="136" t="n">
        <v>20181.97</v>
      </c>
      <c r="V6" s="136" t="n">
        <v>6015.91</v>
      </c>
      <c r="W6" s="136" t="n">
        <v>9715.37</v>
      </c>
      <c r="X6" s="136" t="n">
        <v>28769</v>
      </c>
      <c r="Y6" s="136" t="n">
        <v>255492.31</v>
      </c>
      <c r="Z6" s="136" t="n">
        <v>61293.83</v>
      </c>
      <c r="AA6" s="136" t="n">
        <v>26405.03</v>
      </c>
      <c r="AB6" s="136" t="n">
        <v>27423.86</v>
      </c>
      <c r="AC6" s="136" t="n">
        <v>42679.98</v>
      </c>
      <c r="AD6" s="136" t="n">
        <v>22203.86</v>
      </c>
      <c r="AE6" s="136" t="n">
        <v>22652.84</v>
      </c>
      <c r="AF6" s="136" t="n">
        <v>18615.9</v>
      </c>
      <c r="AG6" s="136" t="n">
        <v>42382.64</v>
      </c>
      <c r="AH6" s="136" t="n">
        <v>32608.81</v>
      </c>
      <c r="AI6" s="136" t="n">
        <v>28595.43</v>
      </c>
      <c r="AJ6" s="136" t="n">
        <v>9922.49</v>
      </c>
    </row>
    <row r="7" customFormat="false" ht="15" hidden="false" customHeight="false" outlineLevel="0" collapsed="false">
      <c r="A7" s="4" t="s">
        <v>70</v>
      </c>
      <c r="X7" s="136" t="n">
        <v>451.95</v>
      </c>
      <c r="Y7" s="136" t="n">
        <v>2796.26</v>
      </c>
      <c r="Z7" s="136" t="n">
        <v>159.9</v>
      </c>
      <c r="AA7" s="136" t="n">
        <v>2417.06</v>
      </c>
      <c r="AB7" s="136" t="n">
        <v>1957.61</v>
      </c>
      <c r="AC7" s="136" t="n">
        <v>2936.03</v>
      </c>
      <c r="AD7" s="136" t="n">
        <v>1594.43</v>
      </c>
      <c r="AE7" s="136" t="n">
        <v>6339.97</v>
      </c>
      <c r="AF7" s="136" t="n">
        <v>2360.61</v>
      </c>
      <c r="AG7" s="136" t="n">
        <v>4502.73</v>
      </c>
      <c r="AH7" s="136" t="n">
        <v>10541.48</v>
      </c>
      <c r="AI7" s="136" t="n">
        <v>3836.72</v>
      </c>
      <c r="AJ7" s="136" t="n">
        <v>2339.05</v>
      </c>
      <c r="AK7" s="136" t="n">
        <v>159.9</v>
      </c>
      <c r="AL7" s="136" t="n">
        <v>159.9</v>
      </c>
      <c r="AM7" s="136" t="n">
        <v>159.9</v>
      </c>
      <c r="AN7" s="136" t="n">
        <v>159.9</v>
      </c>
      <c r="AO7" s="136" t="n">
        <v>159.9</v>
      </c>
      <c r="AP7" s="136" t="n">
        <v>159.9</v>
      </c>
      <c r="AQ7" s="136" t="n">
        <v>159.9</v>
      </c>
      <c r="AR7" s="136" t="n">
        <v>159.9</v>
      </c>
      <c r="AS7" s="136" t="n">
        <v>159.9</v>
      </c>
      <c r="AT7" s="136" t="n">
        <v>159.9</v>
      </c>
      <c r="AU7" s="136" t="n">
        <v>159.9</v>
      </c>
      <c r="AV7" s="136" t="n">
        <v>159.9</v>
      </c>
      <c r="AW7" s="136" t="n">
        <v>159.9</v>
      </c>
      <c r="AX7" s="136" t="n">
        <v>159.9</v>
      </c>
      <c r="AY7" s="136" t="n">
        <v>159.9</v>
      </c>
      <c r="AZ7" s="136" t="n">
        <v>159.9</v>
      </c>
      <c r="BA7" s="136" t="n">
        <v>159.9</v>
      </c>
      <c r="BB7" s="136" t="n">
        <v>159.9</v>
      </c>
      <c r="BC7" s="136" t="n">
        <v>159.9</v>
      </c>
      <c r="BD7" s="136" t="n">
        <v>159.9</v>
      </c>
      <c r="BE7" s="136" t="n">
        <v>159.9</v>
      </c>
      <c r="BF7" s="136" t="n">
        <v>159.9</v>
      </c>
      <c r="BG7" s="136" t="n">
        <v>159.9</v>
      </c>
      <c r="BH7" s="136" t="n">
        <v>159.9</v>
      </c>
      <c r="BI7" s="136" t="n">
        <v>159.9</v>
      </c>
      <c r="BJ7" s="136" t="n">
        <v>159.9</v>
      </c>
      <c r="BK7" s="136" t="n">
        <v>159.9</v>
      </c>
      <c r="BL7" s="136" t="n">
        <v>159.9</v>
      </c>
      <c r="BM7" s="136" t="n">
        <v>159.9</v>
      </c>
      <c r="BN7" s="136" t="n">
        <v>159.9</v>
      </c>
      <c r="BO7" s="136" t="n">
        <v>159.9</v>
      </c>
      <c r="BP7" s="136" t="n">
        <v>159.9</v>
      </c>
    </row>
    <row r="8" customFormat="false" ht="15" hidden="false" customHeight="false" outlineLevel="0" collapsed="false">
      <c r="A8" s="4" t="s">
        <v>72</v>
      </c>
      <c r="U8" s="136" t="n">
        <v>12009.9</v>
      </c>
      <c r="V8" s="136" t="n">
        <v>107813.99</v>
      </c>
      <c r="W8" s="136" t="n">
        <v>236848.02</v>
      </c>
      <c r="X8" s="136" t="n">
        <v>285810.89</v>
      </c>
      <c r="Y8" s="136" t="n">
        <v>200940.58</v>
      </c>
      <c r="Z8" s="136" t="n">
        <v>146047.49</v>
      </c>
      <c r="AA8" s="136" t="n">
        <v>4650</v>
      </c>
      <c r="AB8" s="136" t="n">
        <v>860</v>
      </c>
      <c r="AC8" s="136" t="n">
        <v>2632</v>
      </c>
      <c r="AD8" s="136" t="n">
        <v>346.94</v>
      </c>
      <c r="AE8" s="136" t="n">
        <v>4280</v>
      </c>
      <c r="AF8" s="136" t="n">
        <v>6148</v>
      </c>
      <c r="AG8" s="136" t="n">
        <v>52256.6</v>
      </c>
      <c r="AJ8" s="136" t="n">
        <v>24240</v>
      </c>
      <c r="AK8" s="136" t="n">
        <v>1528.38</v>
      </c>
      <c r="AL8" s="136" t="n">
        <v>1803.27</v>
      </c>
      <c r="AO8" s="136" t="n">
        <v>9357.88</v>
      </c>
    </row>
    <row r="9" customFormat="false" ht="15" hidden="false" customHeight="false" outlineLevel="0" collapsed="false">
      <c r="A9" s="4" t="s">
        <v>83</v>
      </c>
      <c r="G9" s="136" t="n">
        <v>10.59</v>
      </c>
      <c r="I9" s="136" t="n">
        <v>823.84</v>
      </c>
      <c r="J9" s="136" t="n">
        <v>649.99</v>
      </c>
      <c r="K9" s="136" t="n">
        <v>284.74</v>
      </c>
      <c r="L9" s="136" t="n">
        <v>1.31</v>
      </c>
      <c r="N9" s="136" t="n">
        <v>5847.44</v>
      </c>
      <c r="O9" s="136" t="n">
        <v>1467.74</v>
      </c>
      <c r="R9" s="136" t="n">
        <v>66.6</v>
      </c>
      <c r="W9" s="136" t="n">
        <v>850.17</v>
      </c>
      <c r="X9" s="136" t="n">
        <v>4204.06</v>
      </c>
      <c r="Y9" s="136" t="n">
        <v>713.41</v>
      </c>
      <c r="Z9" s="136" t="n">
        <v>1784.1</v>
      </c>
      <c r="AA9" s="136" t="n">
        <v>1122.95</v>
      </c>
      <c r="AB9" s="136" t="n">
        <v>1160.97</v>
      </c>
      <c r="AC9" s="136" t="n">
        <v>2280.62</v>
      </c>
      <c r="AD9" s="136" t="n">
        <v>1594.82</v>
      </c>
      <c r="AE9" s="136" t="n">
        <v>1922.39</v>
      </c>
      <c r="AF9" s="136" t="n">
        <v>1559.18</v>
      </c>
      <c r="AG9" s="136" t="n">
        <v>2538.36</v>
      </c>
      <c r="AH9" s="136" t="n">
        <v>5139.73</v>
      </c>
      <c r="AI9" s="136" t="n">
        <v>5732.7</v>
      </c>
      <c r="AJ9" s="136" t="n">
        <v>1203.5</v>
      </c>
      <c r="AK9" s="136" t="n">
        <v>4669.99</v>
      </c>
    </row>
    <row r="10" customFormat="false" ht="15" hidden="false" customHeight="false" outlineLevel="0" collapsed="false">
      <c r="A10" s="4" t="s">
        <v>78</v>
      </c>
      <c r="U10" s="136" t="n">
        <v>672.9</v>
      </c>
      <c r="V10" s="136" t="n">
        <v>5281.41</v>
      </c>
      <c r="W10" s="136" t="n">
        <v>6232.49</v>
      </c>
      <c r="X10" s="136" t="n">
        <v>9500.17</v>
      </c>
      <c r="Y10" s="136" t="n">
        <v>55945.36</v>
      </c>
      <c r="Z10" s="136" t="n">
        <v>58948.93</v>
      </c>
      <c r="AA10" s="136" t="n">
        <v>144547.58</v>
      </c>
      <c r="AB10" s="136" t="n">
        <v>11787.59</v>
      </c>
      <c r="AC10" s="136" t="n">
        <v>6734.81</v>
      </c>
      <c r="AD10" s="136" t="n">
        <v>2323.6</v>
      </c>
      <c r="AE10" s="136" t="n">
        <v>28516.02</v>
      </c>
      <c r="AF10" s="136" t="n">
        <v>24451.29</v>
      </c>
      <c r="AG10" s="136" t="n">
        <v>63176.57</v>
      </c>
      <c r="AH10" s="136" t="n">
        <v>125549</v>
      </c>
      <c r="AI10" s="136" t="n">
        <v>107406.86</v>
      </c>
      <c r="AJ10" s="136" t="n">
        <v>73087.59</v>
      </c>
      <c r="AK10" s="136" t="n">
        <v>12181.83</v>
      </c>
      <c r="AL10" s="136" t="n">
        <v>6653</v>
      </c>
      <c r="AN10" s="136" t="n">
        <v>1456.4</v>
      </c>
      <c r="AO10" s="136" t="n">
        <v>1802.48</v>
      </c>
      <c r="BE10" s="136" t="n">
        <v>2846.91</v>
      </c>
    </row>
    <row r="11" customFormat="false" ht="15" hidden="false" customHeight="false" outlineLevel="0" collapsed="false">
      <c r="A11" s="4" t="s">
        <v>73</v>
      </c>
      <c r="V11" s="136" t="n">
        <v>1930</v>
      </c>
      <c r="W11" s="136" t="n">
        <v>145877.57</v>
      </c>
      <c r="X11" s="136" t="n">
        <v>521095.71</v>
      </c>
      <c r="Y11" s="136" t="n">
        <v>1121245.4</v>
      </c>
      <c r="Z11" s="136" t="n">
        <v>876284.06</v>
      </c>
      <c r="AA11" s="136" t="n">
        <v>1371139.53</v>
      </c>
      <c r="AB11" s="136" t="n">
        <v>644213.9</v>
      </c>
      <c r="AC11" s="136" t="n">
        <v>1233027.32</v>
      </c>
      <c r="AD11" s="136" t="n">
        <v>606377.66</v>
      </c>
      <c r="AE11" s="136" t="n">
        <v>43774.24</v>
      </c>
      <c r="AF11" s="136" t="n">
        <v>15692.87</v>
      </c>
      <c r="AG11" s="136" t="n">
        <v>78401.44</v>
      </c>
      <c r="AH11" s="136" t="n">
        <v>37660.47</v>
      </c>
      <c r="AI11" s="136" t="n">
        <v>102068.64</v>
      </c>
      <c r="AJ11" s="136" t="n">
        <v>34599.67</v>
      </c>
      <c r="AK11" s="136" t="n">
        <v>10360.68</v>
      </c>
      <c r="AL11" s="136" t="n">
        <v>5768</v>
      </c>
      <c r="AN11" s="136" t="n">
        <v>2828</v>
      </c>
      <c r="AO11" s="136" t="n">
        <v>9483.38</v>
      </c>
      <c r="BE11" s="136" t="n">
        <v>2044</v>
      </c>
    </row>
    <row r="12" customFormat="false" ht="15" hidden="false" customHeight="false" outlineLevel="0" collapsed="false">
      <c r="A12" s="4" t="s">
        <v>74</v>
      </c>
      <c r="AD12" s="136" t="n">
        <v>20138.34</v>
      </c>
      <c r="AE12" s="136" t="n">
        <v>304245.22</v>
      </c>
      <c r="AF12" s="136" t="n">
        <v>700460.71</v>
      </c>
      <c r="AG12" s="136" t="n">
        <v>1455797.59</v>
      </c>
      <c r="AH12" s="136" t="n">
        <v>480698.83</v>
      </c>
      <c r="AI12" s="136" t="n">
        <v>50605.81</v>
      </c>
      <c r="AJ12" s="136" t="n">
        <v>8834.66</v>
      </c>
      <c r="AL12" s="136" t="n">
        <v>19943.08</v>
      </c>
      <c r="AM12" s="136" t="n">
        <v>22778.61</v>
      </c>
      <c r="AN12" s="136" t="n">
        <v>2356.48</v>
      </c>
      <c r="AO12" s="136" t="n">
        <v>2007.28</v>
      </c>
      <c r="BE12" s="136" t="n">
        <v>3768.88</v>
      </c>
    </row>
    <row r="13" customFormat="false" ht="15" hidden="false" customHeight="false" outlineLevel="0" collapsed="false">
      <c r="A13" s="4" t="s">
        <v>77</v>
      </c>
      <c r="X13" s="136" t="n">
        <v>2235.2</v>
      </c>
      <c r="AD13" s="136" t="n">
        <v>209001.57</v>
      </c>
      <c r="AE13" s="136" t="n">
        <v>3214.66</v>
      </c>
      <c r="AF13" s="136" t="n">
        <v>94109.06</v>
      </c>
      <c r="AG13" s="136" t="n">
        <v>6139.34</v>
      </c>
      <c r="AH13" s="136" t="n">
        <v>6662.65</v>
      </c>
      <c r="AI13" s="136" t="n">
        <v>4679.03</v>
      </c>
    </row>
    <row r="14" customFormat="false" ht="15" hidden="false" customHeight="false" outlineLevel="0" collapsed="false">
      <c r="A14" s="4" t="s">
        <v>136</v>
      </c>
      <c r="U14" s="136" t="n">
        <v>625.36</v>
      </c>
      <c r="V14" s="136" t="n">
        <v>357.65</v>
      </c>
      <c r="W14" s="136" t="n">
        <v>1634.25</v>
      </c>
      <c r="X14" s="136" t="n">
        <v>14678.51</v>
      </c>
      <c r="Y14" s="136" t="n">
        <v>8642.57</v>
      </c>
      <c r="Z14" s="136" t="n">
        <v>1681.62</v>
      </c>
      <c r="AA14" s="136" t="n">
        <v>525.75</v>
      </c>
      <c r="AB14" s="136" t="n">
        <v>5117.4</v>
      </c>
      <c r="AD14" s="136" t="n">
        <v>6926.87</v>
      </c>
      <c r="AE14" s="136" t="n">
        <v>18523.32</v>
      </c>
      <c r="AF14" s="136" t="n">
        <v>20.75</v>
      </c>
      <c r="AJ14" s="136" t="n">
        <v>620.4</v>
      </c>
      <c r="AK14" s="136" t="n">
        <v>167.05</v>
      </c>
    </row>
    <row r="15" customFormat="false" ht="15" hidden="false" customHeight="false" outlineLevel="0" collapsed="false">
      <c r="A15" s="4" t="s">
        <v>82</v>
      </c>
      <c r="B15" s="136" t="n">
        <v>2437.9</v>
      </c>
      <c r="C15" s="136" t="n">
        <v>2253.29</v>
      </c>
      <c r="D15" s="136" t="n">
        <v>8527.57</v>
      </c>
      <c r="E15" s="136" t="n">
        <v>35000</v>
      </c>
      <c r="F15" s="136" t="n">
        <v>35655</v>
      </c>
      <c r="G15" s="136" t="n">
        <v>35655</v>
      </c>
      <c r="H15" s="136" t="n">
        <v>36678.64</v>
      </c>
      <c r="I15" s="136" t="n">
        <v>39561.28</v>
      </c>
      <c r="J15" s="136" t="n">
        <v>39540.39</v>
      </c>
      <c r="K15" s="136" t="n">
        <v>39540.39</v>
      </c>
      <c r="L15" s="136" t="n">
        <v>39790.39</v>
      </c>
      <c r="M15" s="136" t="n">
        <v>36732</v>
      </c>
      <c r="N15" s="136" t="n">
        <v>35837</v>
      </c>
      <c r="O15" s="136" t="n">
        <v>940</v>
      </c>
      <c r="P15" s="136" t="n">
        <v>61357.36</v>
      </c>
      <c r="Q15" s="136" t="n">
        <v>118973.07</v>
      </c>
      <c r="R15" s="136" t="n">
        <v>60617.36</v>
      </c>
      <c r="S15" s="136" t="n">
        <v>23912.84</v>
      </c>
      <c r="T15" s="136" t="n">
        <v>27131.75</v>
      </c>
      <c r="U15" s="136" t="n">
        <v>51487.59</v>
      </c>
      <c r="V15" s="136" t="n">
        <v>89901.3</v>
      </c>
      <c r="W15" s="136" t="n">
        <v>109406.48</v>
      </c>
      <c r="X15" s="136" t="n">
        <v>164098.29</v>
      </c>
      <c r="Y15" s="136" t="n">
        <v>234224.1</v>
      </c>
      <c r="Z15" s="136" t="n">
        <v>187300.46</v>
      </c>
      <c r="AA15" s="136" t="n">
        <v>207035.09</v>
      </c>
      <c r="AB15" s="136" t="n">
        <v>189783.71</v>
      </c>
      <c r="AC15" s="136" t="n">
        <v>215160.73</v>
      </c>
      <c r="AD15" s="136" t="n">
        <v>203548.11</v>
      </c>
      <c r="AE15" s="136" t="n">
        <v>207785.71</v>
      </c>
      <c r="AF15" s="136" t="n">
        <v>205254.17</v>
      </c>
      <c r="AG15" s="136" t="n">
        <v>256382.45</v>
      </c>
      <c r="AH15" s="136" t="n">
        <v>298850.74</v>
      </c>
      <c r="AI15" s="136" t="n">
        <v>257613.12</v>
      </c>
      <c r="AJ15" s="136" t="n">
        <v>128856.07</v>
      </c>
      <c r="AK15" s="136" t="n">
        <v>92763.43</v>
      </c>
      <c r="AL15" s="136" t="n">
        <v>92720.76</v>
      </c>
      <c r="AM15" s="136" t="n">
        <v>1930.87</v>
      </c>
      <c r="AN15" s="136" t="n">
        <v>1037.4</v>
      </c>
      <c r="AO15" s="136" t="n">
        <v>4340.17</v>
      </c>
      <c r="AV15" s="136" t="n">
        <v>863.52</v>
      </c>
      <c r="AX15" s="136" t="n">
        <v>8451.69</v>
      </c>
    </row>
    <row r="16" customFormat="false" ht="15" hidden="false" customHeight="false" outlineLevel="0" collapsed="false">
      <c r="A16" s="4" t="s">
        <v>63</v>
      </c>
      <c r="E16" s="136" t="n">
        <v>129412.72</v>
      </c>
      <c r="F16" s="136" t="n">
        <v>38210.98</v>
      </c>
      <c r="G16" s="136" t="n">
        <v>44489.71</v>
      </c>
      <c r="H16" s="136" t="n">
        <v>9769.88</v>
      </c>
      <c r="I16" s="136" t="n">
        <v>53439.61</v>
      </c>
      <c r="J16" s="136" t="n">
        <v>56848.49</v>
      </c>
      <c r="K16" s="136" t="n">
        <v>9211.24</v>
      </c>
      <c r="L16" s="136" t="n">
        <v>7608.12</v>
      </c>
      <c r="M16" s="136" t="n">
        <v>34653.4</v>
      </c>
      <c r="N16" s="136" t="n">
        <v>34950</v>
      </c>
      <c r="O16" s="136" t="n">
        <v>10917.03</v>
      </c>
      <c r="P16" s="136" t="n">
        <v>263811.08</v>
      </c>
      <c r="Q16" s="136" t="n">
        <v>95377.59</v>
      </c>
      <c r="R16" s="136" t="n">
        <v>152105.86</v>
      </c>
      <c r="S16" s="136" t="n">
        <v>202477.1</v>
      </c>
      <c r="T16" s="136" t="n">
        <v>65133.61</v>
      </c>
      <c r="U16" s="136" t="n">
        <v>46336.42</v>
      </c>
      <c r="V16" s="136" t="n">
        <v>89390.73</v>
      </c>
      <c r="W16" s="136" t="n">
        <v>31201.11</v>
      </c>
      <c r="X16" s="136" t="n">
        <v>59081.79</v>
      </c>
      <c r="Y16" s="136" t="n">
        <v>118743.26</v>
      </c>
      <c r="Z16" s="136" t="n">
        <v>73812.68</v>
      </c>
      <c r="AA16" s="136" t="n">
        <v>141055.81</v>
      </c>
      <c r="AB16" s="136" t="n">
        <v>93013.12</v>
      </c>
      <c r="AC16" s="136" t="n">
        <v>46600</v>
      </c>
      <c r="AD16" s="136" t="n">
        <v>145577.73</v>
      </c>
      <c r="AE16" s="136" t="n">
        <v>925</v>
      </c>
      <c r="AF16" s="136" t="n">
        <v>925</v>
      </c>
      <c r="AG16" s="136" t="n">
        <v>17537.85</v>
      </c>
      <c r="AH16" s="136" t="n">
        <v>33676.72</v>
      </c>
      <c r="AI16" s="136" t="n">
        <v>54437.23</v>
      </c>
    </row>
    <row r="17" customFormat="false" ht="15" hidden="false" customHeight="false" outlineLevel="0" collapsed="false">
      <c r="A17" s="4" t="s">
        <v>84</v>
      </c>
      <c r="M17" s="136" t="n">
        <v>23840.31</v>
      </c>
      <c r="O17" s="136" t="n">
        <v>4462.26</v>
      </c>
      <c r="Q17" s="136" t="n">
        <v>21548.26</v>
      </c>
      <c r="V17" s="136" t="n">
        <v>26.25</v>
      </c>
      <c r="X17" s="136" t="n">
        <v>196.21</v>
      </c>
      <c r="Y17" s="136" t="n">
        <v>196.21</v>
      </c>
    </row>
    <row r="18" customFormat="false" ht="15" hidden="false" customHeight="false" outlineLevel="0" collapsed="false">
      <c r="A18" s="4" t="s">
        <v>64</v>
      </c>
      <c r="W18" s="136" t="n">
        <v>29594.38</v>
      </c>
      <c r="X18" s="136" t="n">
        <v>15763.13</v>
      </c>
      <c r="Y18" s="136" t="n">
        <v>1931.88</v>
      </c>
      <c r="Z18" s="136" t="n">
        <v>29895.53</v>
      </c>
      <c r="AA18" s="136" t="n">
        <v>16064.28</v>
      </c>
      <c r="AB18" s="136" t="n">
        <v>2233.03</v>
      </c>
      <c r="AC18" s="136" t="n">
        <v>29895.47</v>
      </c>
      <c r="AD18" s="136" t="n">
        <v>2232.98</v>
      </c>
      <c r="AE18" s="136" t="n">
        <v>301.15</v>
      </c>
      <c r="AJ18" s="136" t="n">
        <v>18870.38</v>
      </c>
      <c r="AK18" s="136" t="n">
        <v>18870.38</v>
      </c>
      <c r="AL18" s="136" t="n">
        <v>18870.38</v>
      </c>
      <c r="AM18" s="136" t="n">
        <v>18870.38</v>
      </c>
      <c r="AN18" s="136" t="n">
        <v>18870.38</v>
      </c>
      <c r="AO18" s="136" t="n">
        <v>18871.43</v>
      </c>
    </row>
    <row r="19" customFormat="false" ht="15" hidden="false" customHeight="false" outlineLevel="0" collapsed="false">
      <c r="A19" s="4" t="s">
        <v>81</v>
      </c>
      <c r="T19" s="136" t="n">
        <v>29688.12</v>
      </c>
      <c r="U19" s="136" t="n">
        <v>5465.88</v>
      </c>
      <c r="W19" s="136" t="n">
        <v>15003.12</v>
      </c>
      <c r="X19" s="136" t="n">
        <v>8525.88</v>
      </c>
      <c r="Y19" s="136" t="n">
        <v>9755.94</v>
      </c>
      <c r="Z19" s="136" t="n">
        <v>13712.62</v>
      </c>
      <c r="AA19" s="136" t="n">
        <v>9641.44</v>
      </c>
      <c r="AB19" s="136" t="n">
        <v>1604.07</v>
      </c>
      <c r="AC19" s="136" t="n">
        <v>10302.97</v>
      </c>
      <c r="AD19" s="136" t="n">
        <v>3859.6</v>
      </c>
      <c r="AE19" s="136" t="n">
        <v>140.4</v>
      </c>
      <c r="AF19" s="136" t="n">
        <v>665</v>
      </c>
      <c r="AK19" s="136" t="n">
        <v>3801</v>
      </c>
      <c r="AX19" s="136" t="n">
        <v>2905</v>
      </c>
    </row>
    <row r="20" customFormat="false" ht="15" hidden="false" customHeight="false" outlineLevel="0" collapsed="false">
      <c r="A20" s="4" t="s">
        <v>80</v>
      </c>
      <c r="H20" s="136" t="n">
        <v>45000</v>
      </c>
      <c r="I20" s="136" t="n">
        <v>55000</v>
      </c>
      <c r="K20" s="136" t="n">
        <v>37450</v>
      </c>
      <c r="O20" s="136" t="n">
        <v>36922.46</v>
      </c>
      <c r="Q20" s="136" t="n">
        <v>34045.51</v>
      </c>
      <c r="R20" s="136" t="n">
        <v>14154.82</v>
      </c>
      <c r="S20" s="136" t="n">
        <v>71756.69</v>
      </c>
      <c r="T20" s="136" t="n">
        <v>6521.51</v>
      </c>
      <c r="U20" s="136" t="n">
        <v>13570.62</v>
      </c>
      <c r="V20" s="136" t="n">
        <v>26242.32</v>
      </c>
      <c r="W20" s="136" t="n">
        <v>34986.5</v>
      </c>
      <c r="X20" s="136" t="n">
        <v>70987.17</v>
      </c>
      <c r="Y20" s="136" t="n">
        <v>119467.69</v>
      </c>
    </row>
    <row r="21" customFormat="false" ht="15" hidden="false" customHeight="false" outlineLevel="0" collapsed="false">
      <c r="A21" s="4" t="s">
        <v>66</v>
      </c>
      <c r="J21" s="136" t="n">
        <v>154.1</v>
      </c>
      <c r="O21" s="136" t="n">
        <v>40.62</v>
      </c>
      <c r="T21" s="136" t="n">
        <v>64.24</v>
      </c>
      <c r="Y21" s="136" t="n">
        <v>103.03</v>
      </c>
      <c r="AH21" s="136" t="n">
        <v>5543.2</v>
      </c>
    </row>
    <row r="22" customFormat="false" ht="15" hidden="false" customHeight="false" outlineLevel="0" collapsed="false">
      <c r="A22" s="4" t="s">
        <v>71</v>
      </c>
      <c r="Y22" s="136" t="n">
        <v>3866</v>
      </c>
      <c r="Z22" s="136" t="n">
        <v>58166.5</v>
      </c>
      <c r="AA22" s="136" t="n">
        <v>21398.48</v>
      </c>
      <c r="AB22" s="136" t="n">
        <v>104829.66</v>
      </c>
      <c r="AC22" s="136" t="n">
        <v>21701.49</v>
      </c>
      <c r="AD22" s="136" t="n">
        <v>203306.37</v>
      </c>
      <c r="AE22" s="136" t="n">
        <v>269416.54</v>
      </c>
      <c r="AF22" s="136" t="n">
        <v>202541.18</v>
      </c>
      <c r="AG22" s="136" t="n">
        <v>53252.58</v>
      </c>
      <c r="AI22" s="136" t="n">
        <v>58007.08</v>
      </c>
      <c r="AO22" s="136" t="n">
        <v>2100</v>
      </c>
      <c r="AP22" s="136" t="n">
        <v>1023.88</v>
      </c>
    </row>
    <row r="23" customFormat="false" ht="15" hidden="false" customHeight="false" outlineLevel="0" collapsed="false">
      <c r="A23" s="4" t="s">
        <v>79</v>
      </c>
      <c r="E23" s="136" t="n">
        <v>116.58</v>
      </c>
      <c r="F23" s="136" t="n">
        <v>86</v>
      </c>
      <c r="G23" s="136" t="n">
        <v>26.68</v>
      </c>
      <c r="H23" s="136" t="n">
        <v>0.74</v>
      </c>
      <c r="P23" s="136" t="n">
        <v>101.63</v>
      </c>
      <c r="Q23" s="136" t="n">
        <v>3.37</v>
      </c>
      <c r="S23" s="136" t="n">
        <v>53.21</v>
      </c>
      <c r="T23" s="136" t="n">
        <v>50.16</v>
      </c>
      <c r="U23" s="136" t="n">
        <v>1010.05</v>
      </c>
      <c r="V23" s="136" t="n">
        <v>1873.32</v>
      </c>
      <c r="W23" s="136" t="n">
        <v>15662.6</v>
      </c>
      <c r="X23" s="136" t="n">
        <v>8416.58</v>
      </c>
      <c r="Y23" s="136" t="n">
        <v>4003.5</v>
      </c>
      <c r="Z23" s="136" t="n">
        <v>7558.47</v>
      </c>
      <c r="AA23" s="136" t="n">
        <v>4295.23</v>
      </c>
      <c r="AB23" s="136" t="n">
        <v>3978</v>
      </c>
      <c r="AC23" s="136" t="n">
        <v>8413.92</v>
      </c>
      <c r="AD23" s="136" t="n">
        <v>2007.6</v>
      </c>
      <c r="AE23" s="136" t="n">
        <v>2550.05</v>
      </c>
      <c r="AF23" s="136" t="n">
        <v>3240.62</v>
      </c>
      <c r="AG23" s="136" t="n">
        <v>1114.34</v>
      </c>
      <c r="AH23" s="136" t="n">
        <v>5722.12</v>
      </c>
      <c r="AI23" s="136" t="n">
        <v>14050.89</v>
      </c>
      <c r="AJ23" s="136" t="n">
        <v>2180.92</v>
      </c>
    </row>
    <row r="24" customFormat="false" ht="15" hidden="false" customHeight="false" outlineLevel="0" collapsed="false">
      <c r="A24" s="4" t="s">
        <v>76</v>
      </c>
      <c r="AE24" s="136" t="n">
        <v>22233.82</v>
      </c>
      <c r="AF24" s="136" t="n">
        <v>49774.54</v>
      </c>
      <c r="AG24" s="136" t="n">
        <v>269581.19</v>
      </c>
      <c r="AH24" s="136" t="n">
        <v>650557.02</v>
      </c>
      <c r="AI24" s="136" t="n">
        <v>1415388.68</v>
      </c>
      <c r="AJ24" s="136" t="n">
        <v>1153768.07</v>
      </c>
      <c r="AK24" s="136" t="n">
        <v>184443.09</v>
      </c>
      <c r="AL24" s="136" t="n">
        <v>23141.5</v>
      </c>
      <c r="AM24" s="136" t="n">
        <v>529800</v>
      </c>
      <c r="AO24" s="136" t="n">
        <v>8355.27</v>
      </c>
      <c r="BE24" s="136" t="n">
        <v>23975.79</v>
      </c>
      <c r="BI24" s="136" t="n">
        <v>227.52</v>
      </c>
      <c r="BL24" s="136" t="n">
        <v>4394.69</v>
      </c>
    </row>
    <row r="25" customFormat="false" ht="15" hidden="false" customHeight="false" outlineLevel="0" collapsed="false">
      <c r="A25" s="4" t="s">
        <v>2874</v>
      </c>
      <c r="AI25" s="136" t="n">
        <v>535.57</v>
      </c>
      <c r="AJ25" s="136" t="n">
        <v>15.19</v>
      </c>
    </row>
  </sheetData>
  <conditionalFormatting sqref="A3:A500">
    <cfRule type="expression" priority="2" aboveAverage="0" equalAverage="0" bottom="0" percent="0" rank="0" text="" dxfId="5">
      <formula>AND($A3&lt;&gt;"",COUNTIF('DADOS HISTORICOS'!$B$5:$C$42,$A3)=0,COUNTIF('DADOS HISTORICOS'!$A$50:$A$69,$A3)=0)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90"/>
  </cols>
  <sheetData>
    <row r="2" customFormat="false" ht="15" hidden="false" customHeight="false" outlineLevel="0" collapsed="false">
      <c r="B2" s="2" t="s">
        <v>2891</v>
      </c>
    </row>
    <row r="3" customFormat="false" ht="15" hidden="false" customHeight="false" outlineLevel="0" collapsed="false">
      <c r="B3" s="2" t="s">
        <v>2892</v>
      </c>
    </row>
    <row r="4" customFormat="false" ht="15" hidden="false" customHeight="false" outlineLevel="0" collapsed="false">
      <c r="B4" s="2" t="s">
        <v>2893</v>
      </c>
    </row>
    <row r="5" customFormat="false" ht="15" hidden="false" customHeight="false" outlineLevel="0" collapsed="false">
      <c r="B5" s="2" t="s">
        <v>2894</v>
      </c>
    </row>
    <row r="6" customFormat="false" ht="15" hidden="false" customHeight="false" outlineLevel="0" collapsed="false">
      <c r="B6" s="2" t="s">
        <v>2895</v>
      </c>
    </row>
    <row r="7" customFormat="false" ht="15" hidden="false" customHeight="false" outlineLevel="0" collapsed="false">
      <c r="B7" s="2" t="s">
        <v>2896</v>
      </c>
    </row>
    <row r="8" customFormat="false" ht="15" hidden="false" customHeight="false" outlineLevel="0" collapsed="false">
      <c r="B8" s="2" t="s">
        <v>2897</v>
      </c>
    </row>
    <row r="10" customFormat="false" ht="15" hidden="false" customHeight="false" outlineLevel="0" collapsed="false">
      <c r="B10" s="2" t="s">
        <v>2898</v>
      </c>
    </row>
    <row r="11" customFormat="false" ht="15" hidden="false" customHeight="false" outlineLevel="0" collapsed="false">
      <c r="B11" s="2" t="s">
        <v>2899</v>
      </c>
    </row>
    <row r="12" customFormat="false" ht="15" hidden="false" customHeight="false" outlineLevel="0" collapsed="false">
      <c r="B12" s="2" t="s">
        <v>2900</v>
      </c>
    </row>
    <row r="14" customFormat="false" ht="15" hidden="false" customHeight="false" outlineLevel="0" collapsed="false">
      <c r="B14" s="2" t="s">
        <v>2901</v>
      </c>
    </row>
    <row r="15" customFormat="false" ht="15" hidden="false" customHeight="false" outlineLevel="0" collapsed="false">
      <c r="B15" s="2" t="s">
        <v>2902</v>
      </c>
    </row>
    <row r="16" customFormat="false" ht="15" hidden="false" customHeight="false" outlineLevel="0" collapsed="false">
      <c r="B16" s="2" t="s">
        <v>2903</v>
      </c>
    </row>
    <row r="18" customFormat="false" ht="15" hidden="false" customHeight="false" outlineLevel="0" collapsed="false">
      <c r="B18" s="2" t="s">
        <v>2904</v>
      </c>
    </row>
    <row r="19" customFormat="false" ht="15" hidden="false" customHeight="false" outlineLevel="0" collapsed="false">
      <c r="B19" s="2" t="s">
        <v>2905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PL'!D11</f>
        <v>PROJETOS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HISTORICOS'!D5)</f>
        <v>418594.15</v>
      </c>
      <c r="D5" s="45" t="n">
        <f aca="false">IF(B5&lt;='VALOR POR PL'!$P$5,0,IF($K$17&gt;0,$K$18*P5/$K$17,0))</f>
        <v>0</v>
      </c>
      <c r="E5" s="45" t="n">
        <f aca="false">L5+D5/$K$2</f>
        <v>373.966007423308</v>
      </c>
      <c r="F5" s="117" t="n">
        <f aca="false">IF($K$9=0,0,E5/$K$9)</f>
        <v>0.182678248495598</v>
      </c>
      <c r="G5" s="117" t="n">
        <f aca="false">F5</f>
        <v>0.182678248495598</v>
      </c>
      <c r="H5" s="138"/>
      <c r="I5" s="42" t="s">
        <v>2920</v>
      </c>
      <c r="J5" s="56" t="n">
        <f aca="false">'VALOR POR PL'!F11</f>
        <v>2400000</v>
      </c>
      <c r="K5" s="56" t="n">
        <f aca="false">'VALOR POR PL'!G11</f>
        <v>1972.53897</v>
      </c>
      <c r="L5" s="56" t="n">
        <f aca="false">'DADOS HISTORICOS'!$BZ$5</f>
        <v>373.966007423308</v>
      </c>
      <c r="M5" s="139" t="n">
        <f aca="false">'CP RESUMO'!D5</f>
        <v>0</v>
      </c>
      <c r="N5" s="140" t="n">
        <v>0</v>
      </c>
      <c r="O5" s="139" t="n">
        <f aca="false">IF(B5&lt;='VALOR POR PL'!$P$5,'CP RESUMO'!D47,"")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HISTORICOS'!E5)</f>
        <v>10917.03</v>
      </c>
      <c r="D6" s="45" t="n">
        <f aca="false">IF(B6&lt;='VALOR POR PL'!$P$5,0,IF($K$17&gt;0,$K$18*P6/$K$17,0))</f>
        <v>0</v>
      </c>
      <c r="E6" s="45" t="n">
        <f aca="false">L6+D6/$K$2</f>
        <v>9.33785013634233</v>
      </c>
      <c r="F6" s="117" t="n">
        <f aca="false">IF($K$9=0,0,E6/$K$9)</f>
        <v>0.00456143626361876</v>
      </c>
      <c r="G6" s="117" t="n">
        <f aca="false">G5+F6</f>
        <v>0.187239684759217</v>
      </c>
      <c r="H6" s="138"/>
      <c r="I6" s="42" t="s">
        <v>2921</v>
      </c>
      <c r="K6" s="52" t="n">
        <f aca="false">'VALOR POR PL'!H11</f>
        <v>2047.22345746143</v>
      </c>
      <c r="L6" s="45" t="n">
        <f aca="false">C6/IF(B6&lt;='VALOR POR PL'!$P$5,IFERROR(INDEX('"INCC-FGV"'!$B$2:$B$800,MATCH(B6,'"INCC-FGV"'!$A$2:$A$800,0)),$K$2),$K$2)</f>
        <v>9.33785013634233</v>
      </c>
      <c r="M6" s="139" t="n">
        <f aca="false">'CP RESUMO'!E5</f>
        <v>0</v>
      </c>
      <c r="N6" s="140" t="n">
        <f aca="false">MAX(0,M6-M5)</f>
        <v>0</v>
      </c>
      <c r="O6" s="139" t="n">
        <f aca="false">IF(B6&lt;='VALOR POR PL'!$P$5,'CP RESUMO'!E47,"")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HISTORICOS'!F5)</f>
        <v>263811.08</v>
      </c>
      <c r="D7" s="45" t="n">
        <f aca="false">IF(B7&lt;='VALOR POR PL'!$P$5,0,IF($K$17&gt;0,$K$18*P7/$K$17,0))</f>
        <v>0</v>
      </c>
      <c r="E7" s="45" t="n">
        <f aca="false">L7+D7/$K$2</f>
        <v>224.754386488041</v>
      </c>
      <c r="F7" s="117" t="n">
        <f aca="false">IF($K$9=0,0,E7/$K$9)</f>
        <v>0.109790025965817</v>
      </c>
      <c r="G7" s="117" t="n">
        <f aca="false">G6+F7</f>
        <v>0.297029710725034</v>
      </c>
      <c r="H7" s="138"/>
      <c r="I7" s="42" t="s">
        <v>2922</v>
      </c>
      <c r="J7" s="45" t="n">
        <f aca="false">C78+D78</f>
        <v>2469182.34229771</v>
      </c>
      <c r="L7" s="45" t="n">
        <f aca="false">C7/IF(B7&lt;='VALOR POR PL'!$P$5,IFERROR(INDEX('"INCC-FGV"'!$B$2:$B$800,MATCH(B7,'"INCC-FGV"'!$A$2:$A$800,0)),$K$2),$K$2)</f>
        <v>224.754386488041</v>
      </c>
      <c r="M7" s="139" t="n">
        <f aca="false">'CP RESUMO'!F5</f>
        <v>0</v>
      </c>
      <c r="N7" s="140" t="n">
        <f aca="false">MAX(0,M7-M6)</f>
        <v>0</v>
      </c>
      <c r="O7" s="139" t="n">
        <f aca="false">IF(B7&lt;='VALOR POR PL'!$P$5,'CP RESUMO'!F47,"")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HISTORICOS'!G5)</f>
        <v>95377.59</v>
      </c>
      <c r="D8" s="45" t="n">
        <f aca="false">IF(B8&lt;='VALOR POR PL'!$P$5,0,IF($K$17&gt;0,$K$18*P8/$K$17,0))</f>
        <v>0</v>
      </c>
      <c r="E8" s="45" t="n">
        <f aca="false">L8+D8/$K$2</f>
        <v>80.9391744301103</v>
      </c>
      <c r="F8" s="117" t="n">
        <f aca="false">IF($K$9=0,0,E8/$K$9)</f>
        <v>0.0395378893430695</v>
      </c>
      <c r="G8" s="117" t="n">
        <f aca="false">G7+F8</f>
        <v>0.336567600068104</v>
      </c>
      <c r="H8" s="138"/>
      <c r="I8" s="42" t="s">
        <v>2923</v>
      </c>
      <c r="K8" s="66" t="n">
        <f aca="false">SUM(L5:L76)</f>
        <v>1809.28983658116</v>
      </c>
      <c r="L8" s="45" t="n">
        <f aca="false">C8/IF(B8&lt;='VALOR POR PL'!$P$5,IFERROR(INDEX('"INCC-FGV"'!$B$2:$B$800,MATCH(B8,'"INCC-FGV"'!$A$2:$A$800,0)),$K$2),$K$2)</f>
        <v>80.9391744301103</v>
      </c>
      <c r="M8" s="139" t="n">
        <f aca="false">'CP RESUMO'!G5</f>
        <v>0</v>
      </c>
      <c r="N8" s="140" t="n">
        <f aca="false">MAX(0,M8-M7)</f>
        <v>0</v>
      </c>
      <c r="O8" s="139" t="n">
        <f aca="false">IF(B8&lt;='VALOR POR PL'!$P$5,'CP RESUMO'!G47,"")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HISTORICOS'!H5)</f>
        <v>152105.86</v>
      </c>
      <c r="D9" s="45" t="n">
        <f aca="false">IF(B9&lt;='VALOR POR PL'!$P$5,0,IF($K$17&gt;0,$K$18*P9/$K$17,0))</f>
        <v>0</v>
      </c>
      <c r="E9" s="45" t="n">
        <f aca="false">L9+D9/$K$2</f>
        <v>128.417678237039</v>
      </c>
      <c r="F9" s="117" t="n">
        <f aca="false">IF($K$9=0,0,E9/$K$9)</f>
        <v>0.0627306120624467</v>
      </c>
      <c r="G9" s="117" t="n">
        <f aca="false">G8+F9</f>
        <v>0.39929821213055</v>
      </c>
      <c r="H9" s="138"/>
      <c r="I9" s="42" t="s">
        <v>2924</v>
      </c>
      <c r="J9" s="45" t="n">
        <f aca="false">C78+D78</f>
        <v>2469182.34229771</v>
      </c>
      <c r="K9" s="45" t="n">
        <f aca="false">E78</f>
        <v>2047.12936818156</v>
      </c>
      <c r="L9" s="45" t="n">
        <f aca="false">C9/IF(B9&lt;='VALOR POR PL'!$P$5,IFERROR(INDEX('"INCC-FGV"'!$B$2:$B$800,MATCH(B9,'"INCC-FGV"'!$A$2:$A$800,0)),$K$2),$K$2)</f>
        <v>128.417678237039</v>
      </c>
      <c r="M9" s="139" t="n">
        <f aca="false">'CP RESUMO'!H5</f>
        <v>0</v>
      </c>
      <c r="N9" s="140" t="n">
        <f aca="false">MAX(0,M9-M8)</f>
        <v>0</v>
      </c>
      <c r="O9" s="139" t="n">
        <f aca="false">IF(B9&lt;='VALOR POR PL'!$P$5,'CP RESUMO'!H47,"")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HISTORICOS'!I5)</f>
        <v>202477.1</v>
      </c>
      <c r="D10" s="45" t="n">
        <f aca="false">IF(B10&lt;='VALOR POR PL'!$P$5,0,IF($K$17&gt;0,$K$18*P10/$K$17,0))</f>
        <v>0</v>
      </c>
      <c r="E10" s="45" t="n">
        <f aca="false">L10+D10/$K$2</f>
        <v>169.95929748927</v>
      </c>
      <c r="F10" s="117" t="n">
        <f aca="false">IF($K$9=0,0,E10/$K$9)</f>
        <v>0.08302323249861</v>
      </c>
      <c r="G10" s="117" t="n">
        <f aca="false">G9+F10</f>
        <v>0.48232144462916</v>
      </c>
      <c r="H10" s="138"/>
      <c r="I10" s="42" t="s">
        <v>2925</v>
      </c>
      <c r="K10" s="52" t="n">
        <f aca="false">IF(K6-K8&gt;0,(K6-K8)*'VALOR POR PL'!$G$65,K6-K8)</f>
        <v>237.839531600399</v>
      </c>
      <c r="L10" s="45" t="n">
        <f aca="false">C10/IF(B10&lt;='VALOR POR PL'!$P$5,IFERROR(INDEX('"INCC-FGV"'!$B$2:$B$800,MATCH(B10,'"INCC-FGV"'!$A$2:$A$800,0)),$K$2),$K$2)</f>
        <v>169.95929748927</v>
      </c>
      <c r="M10" s="139" t="n">
        <f aca="false">'CP RESUMO'!I5</f>
        <v>0</v>
      </c>
      <c r="N10" s="140" t="n">
        <f aca="false">MAX(0,M10-M9)</f>
        <v>0</v>
      </c>
      <c r="O10" s="139" t="n">
        <f aca="false">IF(B10&lt;='VALOR POR PL'!$P$5,'CP RESUMO'!I47,"")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HISTORICOS'!J5)</f>
        <v>65133.61</v>
      </c>
      <c r="D11" s="45" t="n">
        <f aca="false">IF(B11&lt;='VALOR POR PL'!$P$5,0,IF($K$17&gt;0,$K$18*P11/$K$17,0))</f>
        <v>0</v>
      </c>
      <c r="E11" s="45" t="n">
        <f aca="false">L11+D11/$K$2</f>
        <v>54.300226175877</v>
      </c>
      <c r="F11" s="117" t="n">
        <f aca="false">IF($K$9=0,0,E11/$K$9)</f>
        <v>0.0265250584647277</v>
      </c>
      <c r="G11" s="117" t="n">
        <f aca="false">G10+F11</f>
        <v>0.508846503093888</v>
      </c>
      <c r="H11" s="138"/>
      <c r="I11" s="42" t="s">
        <v>2926</v>
      </c>
      <c r="K11" s="56" t="n">
        <f aca="false">SUMPRODUCT((B5:B76&gt;'VALOR POR PL'!$P$5)*H5:H76)</f>
        <v>533315.27</v>
      </c>
      <c r="L11" s="45" t="n">
        <f aca="false">C11/IF(B11&lt;='VALOR POR PL'!$P$5,IFERROR(INDEX('"INCC-FGV"'!$B$2:$B$800,MATCH(B11,'"INCC-FGV"'!$A$2:$A$800,0)),$K$2),$K$2)</f>
        <v>54.300226175877</v>
      </c>
      <c r="M11" s="139" t="n">
        <f aca="false">'CP RESUMO'!J5</f>
        <v>0</v>
      </c>
      <c r="N11" s="140" t="n">
        <f aca="false">MAX(0,M11-M10)</f>
        <v>0</v>
      </c>
      <c r="O11" s="139" t="n">
        <f aca="false">IF(B11&lt;='VALOR POR PL'!$P$5,'CP RESUMO'!J47,"")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HISTORICOS'!K5)</f>
        <v>46336.42</v>
      </c>
      <c r="D12" s="45" t="n">
        <f aca="false">IF(B12&lt;='VALOR POR PL'!$P$5,0,IF($K$17&gt;0,$K$18*P12/$K$17,0))</f>
        <v>0</v>
      </c>
      <c r="E12" s="45" t="n">
        <f aca="false">L12+D12/$K$2</f>
        <v>38.2796613880052</v>
      </c>
      <c r="F12" s="117" t="n">
        <f aca="false">IF($K$9=0,0,E12/$K$9)</f>
        <v>0.0186991901845502</v>
      </c>
      <c r="G12" s="117" t="n">
        <f aca="false">G11+F12</f>
        <v>0.527545693278438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38.2796613880052</v>
      </c>
      <c r="M12" s="139" t="n">
        <f aca="false">'CP RESUMO'!K5</f>
        <v>0</v>
      </c>
      <c r="N12" s="140" t="n">
        <f aca="false">MAX(0,M12-M11)</f>
        <v>0</v>
      </c>
      <c r="O12" s="139" t="n">
        <f aca="false">IF(B12&lt;='VALOR POR PL'!$P$5,'CP RESUMO'!K47,"")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HISTORICOS'!L5)</f>
        <v>89390.73</v>
      </c>
      <c r="D13" s="45" t="n">
        <f aca="false">IF(B13&lt;='VALOR POR PL'!$P$5,0,IF($K$17&gt;0,$K$18*P13/$K$17,0))</f>
        <v>0</v>
      </c>
      <c r="E13" s="45" t="n">
        <f aca="false">L13+D13/$K$2</f>
        <v>73.4694576997237</v>
      </c>
      <c r="F13" s="117" t="n">
        <f aca="false">IF($K$9=0,0,E13/$K$9)</f>
        <v>0.035889015536417</v>
      </c>
      <c r="G13" s="117" t="n">
        <f aca="false">G12+F13</f>
        <v>0.563434708814855</v>
      </c>
      <c r="H13" s="138"/>
      <c r="I13" s="42" t="s">
        <v>2928</v>
      </c>
      <c r="K13" s="56" t="str">
        <f aca="false">'VALOR POR PL'!I11</f>
        <v>INDIRETO</v>
      </c>
      <c r="L13" s="45" t="n">
        <f aca="false">C13/IF(B13&lt;='VALOR POR PL'!$P$5,IFERROR(INDEX('"INCC-FGV"'!$B$2:$B$800,MATCH(B13,'"INCC-FGV"'!$A$2:$A$800,0)),$K$2),$K$2)</f>
        <v>73.4694576997237</v>
      </c>
      <c r="M13" s="139" t="n">
        <f aca="false">'CP RESUMO'!L5</f>
        <v>0</v>
      </c>
      <c r="N13" s="140" t="n">
        <f aca="false">MAX(0,M13-M12)</f>
        <v>0</v>
      </c>
      <c r="O13" s="139" t="n">
        <f aca="false">IF(B13&lt;='VALOR POR PL'!$P$5,'CP RESUMO'!L47,"")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HISTORICOS'!M5)</f>
        <v>31201.11</v>
      </c>
      <c r="D14" s="45" t="n">
        <f aca="false">IF(B14&lt;='VALOR POR PL'!$P$5,0,IF($K$17&gt;0,$K$18*P14/$K$17,0))</f>
        <v>0</v>
      </c>
      <c r="E14" s="45" t="n">
        <f aca="false">L14+D14/$K$2</f>
        <v>25.6009737870124</v>
      </c>
      <c r="F14" s="117" t="n">
        <f aca="false">IF($K$9=0,0,E14/$K$9)</f>
        <v>0.0125057918590428</v>
      </c>
      <c r="G14" s="117" t="n">
        <f aca="false">G13+F14</f>
        <v>0.575940500673898</v>
      </c>
      <c r="H14" s="138"/>
      <c r="I14" s="42" t="s">
        <v>2929</v>
      </c>
      <c r="K14" s="58" t="n">
        <f aca="false">IFERROR(INDEX('CP RESUMO'!$D$47:$BW$47,MATCH('VALOR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25.6009737870124</v>
      </c>
      <c r="M14" s="139" t="n">
        <f aca="false">'CP RESUMO'!M5</f>
        <v>0</v>
      </c>
      <c r="N14" s="140" t="n">
        <f aca="false">MAX(0,M14-M13)</f>
        <v>0</v>
      </c>
      <c r="O14" s="139" t="n">
        <f aca="false">IF(B14&lt;='VALOR POR PL'!$P$5,'CP RESUMO'!M47,"")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HISTORICOS'!N5)</f>
        <v>59081.79</v>
      </c>
      <c r="D15" s="45" t="n">
        <f aca="false">IF(B15&lt;='VALOR POR PL'!$P$5,0,IF($K$17&gt;0,$K$18*P15/$K$17,0))</f>
        <v>0</v>
      </c>
      <c r="E15" s="45" t="n">
        <f aca="false">L15+D15/$K$2</f>
        <v>48.3343559486762</v>
      </c>
      <c r="F15" s="117" t="n">
        <f aca="false">IF($K$9=0,0,E15/$K$9)</f>
        <v>0.0236107970018577</v>
      </c>
      <c r="G15" s="117" t="n">
        <f aca="false">G14+F15</f>
        <v>0.599551297675756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48.3343559486762</v>
      </c>
      <c r="M15" s="139" t="n">
        <f aca="false">'CP RESUMO'!N5</f>
        <v>0</v>
      </c>
      <c r="N15" s="140" t="n">
        <f aca="false">MAX(0,M15-M14)</f>
        <v>0</v>
      </c>
      <c r="O15" s="139" t="n">
        <f aca="false">IF(B15&lt;='VALOR POR PL'!$P$5,'CP RESUMO'!N47,"")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HISTORICOS'!O5)</f>
        <v>118743.26</v>
      </c>
      <c r="D16" s="45" t="n">
        <f aca="false">IF(B16&lt;='VALOR POR PL'!$P$5,0,IF($K$17&gt;0,$K$18*P16/$K$17,0))</f>
        <v>0</v>
      </c>
      <c r="E16" s="45" t="n">
        <f aca="false">L16+D16/$K$2</f>
        <v>96.8832105532406</v>
      </c>
      <c r="F16" s="117" t="n">
        <f aca="false">IF($K$9=0,0,E16/$K$9)</f>
        <v>0.0473263742189878</v>
      </c>
      <c r="G16" s="117" t="n">
        <f aca="false">G15+F16</f>
        <v>0.646877671894743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96.8832105532406</v>
      </c>
      <c r="M16" s="139" t="n">
        <f aca="false">'CP RESUMO'!O5</f>
        <v>0</v>
      </c>
      <c r="N16" s="140" t="n">
        <f aca="false">MAX(0,M16-M15)</f>
        <v>0</v>
      </c>
      <c r="O16" s="139" t="n">
        <f aca="false">IF(B16&lt;='VALOR POR PL'!$P$5,'CP RESUMO'!O47,"")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HISTORICOS'!P5)</f>
        <v>73812.68</v>
      </c>
      <c r="D17" s="45" t="n">
        <f aca="false">IF(B17&lt;='VALOR POR PL'!$P$5,0,IF($K$17&gt;0,$K$18*P17/$K$17,0))</f>
        <v>0</v>
      </c>
      <c r="E17" s="45" t="n">
        <f aca="false">L17+D17/$K$2</f>
        <v>60.1001660205787</v>
      </c>
      <c r="F17" s="117" t="n">
        <f aca="false">IF($K$9=0,0,E17/$K$9)</f>
        <v>0.0293582647754035</v>
      </c>
      <c r="G17" s="117" t="n">
        <f aca="false">G16+F17</f>
        <v>0.676235936670147</v>
      </c>
      <c r="H17" s="138"/>
      <c r="I17" s="42" t="s">
        <v>2933</v>
      </c>
      <c r="K17" s="45" t="n">
        <f aca="false">SUM(P5:P76)</f>
        <v>533315.27</v>
      </c>
      <c r="L17" s="45" t="n">
        <f aca="false">C17/IF(B17&lt;='VALOR POR PL'!$P$5,IFERROR(INDEX('"INCC-FGV"'!$B$2:$B$800,MATCH(B17,'"INCC-FGV"'!$A$2:$A$800,0)),$K$2),$K$2)</f>
        <v>60.1001660205787</v>
      </c>
      <c r="M17" s="139" t="n">
        <f aca="false">'CP RESUMO'!P5</f>
        <v>0</v>
      </c>
      <c r="N17" s="140" t="n">
        <f aca="false">MAX(0,M17-M16)</f>
        <v>0</v>
      </c>
      <c r="O17" s="139" t="n">
        <f aca="false">IF(B17&lt;='VALOR POR PL'!$P$5,'CP RESUMO'!P47,"")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HISTORICOS'!Q5)</f>
        <v>141055.81</v>
      </c>
      <c r="D18" s="45" t="n">
        <f aca="false">IF(B18&lt;='VALOR POR PL'!$P$5,0,IF($K$17&gt;0,$K$18*P18/$K$17,0))</f>
        <v>0</v>
      </c>
      <c r="E18" s="45" t="n">
        <f aca="false">L18+D18/$K$2</f>
        <v>114.027247388112</v>
      </c>
      <c r="F18" s="117" t="n">
        <f aca="false">IF($K$9=0,0,E18/$K$9)</f>
        <v>0.0557010461382812</v>
      </c>
      <c r="G18" s="117" t="n">
        <f aca="false">G17+F18</f>
        <v>0.731936982808428</v>
      </c>
      <c r="H18" s="138"/>
      <c r="I18" s="42" t="s">
        <v>2934</v>
      </c>
      <c r="K18" s="45" t="n">
        <f aca="false">MAX(0,K10)*$K$2</f>
        <v>308451.472297709</v>
      </c>
      <c r="L18" s="45" t="n">
        <f aca="false">C18/IF(B18&lt;='VALOR POR PL'!$P$5,IFERROR(INDEX('"INCC-FGV"'!$B$2:$B$800,MATCH(B18,'"INCC-FGV"'!$A$2:$A$800,0)),$K$2),$K$2)</f>
        <v>114.027247388112</v>
      </c>
      <c r="M18" s="139" t="n">
        <f aca="false">'CP RESUMO'!Q5</f>
        <v>0</v>
      </c>
      <c r="N18" s="140" t="n">
        <f aca="false">MAX(0,M18-M17)</f>
        <v>0</v>
      </c>
      <c r="O18" s="139" t="n">
        <f aca="false">IF(B18&lt;='VALOR POR PL'!$P$5,'CP RESUMO'!Q47,"")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HISTORICOS'!R5)</f>
        <v>93013.12</v>
      </c>
      <c r="D19" s="45" t="n">
        <f aca="false">IF(B19&lt;='VALOR POR PL'!$P$5,0,IF($K$17&gt;0,$K$18*P19/$K$17,0))</f>
        <v>0</v>
      </c>
      <c r="E19" s="45" t="n">
        <f aca="false">L19+D19/$K$2</f>
        <v>74.9814950813434</v>
      </c>
      <c r="F19" s="117" t="n">
        <f aca="false">IF($K$9=0,0,E19/$K$9)</f>
        <v>0.0366276290335029</v>
      </c>
      <c r="G19" s="117" t="n">
        <f aca="false">G18+F19</f>
        <v>0.768564611841931</v>
      </c>
      <c r="H19" s="138"/>
      <c r="I19" s="42" t="s">
        <v>2935</v>
      </c>
      <c r="K19" s="142" t="n">
        <f aca="false">IF(AND(K16="PREVISÃO INFORMADA",K11&gt;0),K18/K11-1,"")</f>
        <v>-0.421633900904976</v>
      </c>
      <c r="L19" s="45" t="n">
        <f aca="false">C19/IF(B19&lt;='VALOR POR PL'!$P$5,IFERROR(INDEX('"INCC-FGV"'!$B$2:$B$800,MATCH(B19,'"INCC-FGV"'!$A$2:$A$800,0)),$K$2),$K$2)</f>
        <v>74.9814950813434</v>
      </c>
      <c r="M19" s="139" t="n">
        <f aca="false">'CP RESUMO'!R5</f>
        <v>0</v>
      </c>
      <c r="N19" s="140" t="n">
        <f aca="false">MAX(0,M19-M18)</f>
        <v>0</v>
      </c>
      <c r="O19" s="139" t="n">
        <f aca="false">IF(B19&lt;='VALOR POR PL'!$P$5,'CP RESUMO'!R47,"")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HISTORICOS'!S5)</f>
        <v>46600</v>
      </c>
      <c r="D20" s="45" t="n">
        <f aca="false">IF(B20&lt;='VALOR POR PL'!$P$5,0,IF($K$17&gt;0,$K$18*P20/$K$17,0))</f>
        <v>0</v>
      </c>
      <c r="E20" s="45" t="n">
        <f aca="false">L20+D20/$K$2</f>
        <v>37.36426388792</v>
      </c>
      <c r="F20" s="117" t="n">
        <f aca="false">IF($K$9=0,0,E20/$K$9)</f>
        <v>0.0182520286546962</v>
      </c>
      <c r="G20" s="117" t="n">
        <f aca="false">G19+F20</f>
        <v>0.786816640496627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37.36426388792</v>
      </c>
      <c r="M20" s="139" t="n">
        <f aca="false">'CP RESUMO'!S5</f>
        <v>0</v>
      </c>
      <c r="N20" s="140" t="n">
        <f aca="false">MAX(0,M20-M19)</f>
        <v>0</v>
      </c>
      <c r="O20" s="139" t="n">
        <f aca="false">IF(B20&lt;='VALOR POR PL'!$P$5,'CP RESUMO'!S47,"")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HISTORICOS'!T5)</f>
        <v>145577.73</v>
      </c>
      <c r="D21" s="45" t="n">
        <f aca="false">IF(B21&lt;='VALOR POR PL'!$P$5,0,IF($K$17&gt;0,$K$18*P21/$K$17,0))</f>
        <v>0</v>
      </c>
      <c r="E21" s="45" t="n">
        <f aca="false">L21+D21/$K$2</f>
        <v>115.56980023054</v>
      </c>
      <c r="F21" s="117" t="n">
        <f aca="false">IF($K$9=0,0,E21/$K$9)</f>
        <v>0.0564545660996496</v>
      </c>
      <c r="G21" s="117" t="n">
        <f aca="false">G20+F21</f>
        <v>0.843271206596277</v>
      </c>
      <c r="H21" s="138"/>
      <c r="K21" s="143"/>
      <c r="L21" s="45" t="n">
        <f aca="false">C21/IF(B21&lt;='VALOR POR PL'!$P$5,IFERROR(INDEX('"INCC-FGV"'!$B$2:$B$800,MATCH(B21,'"INCC-FGV"'!$A$2:$A$800,0)),$K$2),$K$2)</f>
        <v>115.56980023054</v>
      </c>
      <c r="M21" s="139" t="n">
        <f aca="false">'CP RESUMO'!T5</f>
        <v>0</v>
      </c>
      <c r="N21" s="140" t="n">
        <f aca="false">MAX(0,M21-M20)</f>
        <v>0</v>
      </c>
      <c r="O21" s="139" t="n">
        <f aca="false">IF(B21&lt;='VALOR POR PL'!$P$5,'CP RESUMO'!T47,"")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HISTORICOS'!U5)</f>
        <v>925</v>
      </c>
      <c r="D22" s="45" t="n">
        <f aca="false">IF(B22&lt;='VALOR POR PL'!$P$5,0,IF($K$17&gt;0,$K$18*P22/$K$17,0))</f>
        <v>0</v>
      </c>
      <c r="E22" s="45" t="n">
        <f aca="false">L22+D22/$K$2</f>
        <v>0.727948091398802</v>
      </c>
      <c r="F22" s="117" t="n">
        <f aca="false">IF($K$9=0,0,E22/$K$9)</f>
        <v>0.000355594571947072</v>
      </c>
      <c r="G22" s="117" t="n">
        <f aca="false">G21+F22</f>
        <v>0.843626801168224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0.727948091398802</v>
      </c>
      <c r="M22" s="139" t="n">
        <f aca="false">'CP RESUMO'!U5</f>
        <v>0</v>
      </c>
      <c r="N22" s="140" t="n">
        <f aca="false">MAX(0,M22-M21)</f>
        <v>0</v>
      </c>
      <c r="O22" s="139" t="n">
        <f aca="false">IF(B22&lt;='VALOR POR PL'!$P$5,'CP RESUMO'!U47,"")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HISTORICOS'!V5)</f>
        <v>925</v>
      </c>
      <c r="D23" s="45" t="n">
        <f aca="false">IF(B23&lt;='VALOR POR PL'!$P$5,0,IF($K$17&gt;0,$K$18*P23/$K$17,0))</f>
        <v>0</v>
      </c>
      <c r="E23" s="45" t="n">
        <f aca="false">L23+D23/$K$2</f>
        <v>0.722294538438173</v>
      </c>
      <c r="F23" s="117" t="n">
        <f aca="false">IF($K$9=0,0,E23/$K$9)</f>
        <v>0.000352832874006286</v>
      </c>
      <c r="G23" s="117" t="n">
        <f aca="false">G22+F23</f>
        <v>0.84397963404223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0.722294538438173</v>
      </c>
      <c r="M23" s="139" t="n">
        <f aca="false">'CP RESUMO'!V5</f>
        <v>0</v>
      </c>
      <c r="N23" s="140" t="n">
        <f aca="false">MAX(0,M23-M22)</f>
        <v>0</v>
      </c>
      <c r="O23" s="139" t="n">
        <f aca="false">IF(B23&lt;='VALOR POR PL'!$P$5,'CP RESUMO'!V47,"")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HISTORICOS'!W5)</f>
        <v>17537.85</v>
      </c>
      <c r="D24" s="45" t="n">
        <f aca="false">IF(B24&lt;='VALOR POR PL'!$P$5,0,IF($K$17&gt;0,$K$18*P24/$K$17,0))</f>
        <v>0</v>
      </c>
      <c r="E24" s="45" t="n">
        <f aca="false">L24+D24/$K$2</f>
        <v>13.6117882913404</v>
      </c>
      <c r="F24" s="117" t="n">
        <f aca="false">IF($K$9=0,0,E24/$K$9)</f>
        <v>0.00664920766753084</v>
      </c>
      <c r="G24" s="117" t="n">
        <f aca="false">G23+F24</f>
        <v>0.850628841709761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13.6117882913404</v>
      </c>
      <c r="M24" s="139" t="n">
        <f aca="false">'CP RESUMO'!W5</f>
        <v>0</v>
      </c>
      <c r="N24" s="140" t="n">
        <f aca="false">MAX(0,M24-M23)</f>
        <v>0</v>
      </c>
      <c r="O24" s="139" t="n">
        <f aca="false">IF(B24&lt;='VALOR POR PL'!$P$5,'CP RESUMO'!W47,"")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HISTORICOS'!X5)</f>
        <v>33676.72</v>
      </c>
      <c r="D25" s="45" t="n">
        <f aca="false">IF(B25&lt;='VALOR POR PL'!$P$5,0,IF($K$17&gt;0,$K$18*P25/$K$17,0))</f>
        <v>0</v>
      </c>
      <c r="E25" s="45" t="n">
        <f aca="false">L25+D25/$K$2</f>
        <v>25.967311003486</v>
      </c>
      <c r="F25" s="117" t="n">
        <f aca="false">IF($K$9=0,0,E25/$K$9)</f>
        <v>0.0126847435277393</v>
      </c>
      <c r="G25" s="117" t="n">
        <f aca="false">G24+F25</f>
        <v>0.863313585237501</v>
      </c>
      <c r="H25" s="138"/>
      <c r="L25" s="45" t="n">
        <f aca="false">C25/IF(B25&lt;='VALOR POR PL'!$P$5,IFERROR(INDEX('"INCC-FGV"'!$B$2:$B$800,MATCH(B25,'"INCC-FGV"'!$A$2:$A$800,0)),$K$2),$K$2)</f>
        <v>25.967311003486</v>
      </c>
      <c r="M25" s="139" t="n">
        <f aca="false">'CP RESUMO'!X5</f>
        <v>0</v>
      </c>
      <c r="N25" s="140" t="n">
        <f aca="false">MAX(0,M25-M24)</f>
        <v>0</v>
      </c>
      <c r="O25" s="139" t="n">
        <f aca="false">IF(B25&lt;='VALOR POR PL'!$P$5,'CP RESUMO'!X47,"")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HISTORICOS'!Y5)</f>
        <v>54437.23</v>
      </c>
      <c r="D26" s="45" t="n">
        <f aca="false">IF(B26&lt;='VALOR POR PL'!$P$5,0,IF($K$17&gt;0,$K$18*P26/$K$17,0))</f>
        <v>8578.90434787649</v>
      </c>
      <c r="E26" s="45" t="n">
        <f aca="false">L26+D26/$K$2</f>
        <v>48.5902296556425</v>
      </c>
      <c r="F26" s="117" t="n">
        <f aca="false">IF($K$9=0,0,E26/$K$9)</f>
        <v>0.0237357884708598</v>
      </c>
      <c r="G26" s="117" t="n">
        <f aca="false">G25+F26</f>
        <v>0.88704937370836</v>
      </c>
      <c r="H26" s="138" t="n">
        <v>14833</v>
      </c>
      <c r="L26" s="45" t="n">
        <f aca="false">C26/IF(B26&lt;='VALOR POR PL'!$P$5,IFERROR(INDEX('"INCC-FGV"'!$B$2:$B$800,MATCH(B26,'"INCC-FGV"'!$A$2:$A$800,0)),$K$2),$K$2)</f>
        <v>41.9752422913603</v>
      </c>
      <c r="M26" s="139" t="n">
        <f aca="false">'CP RESUMO'!Y5</f>
        <v>0</v>
      </c>
      <c r="N26" s="140" t="n">
        <f aca="false">MAX(0,M26-M25)</f>
        <v>0</v>
      </c>
      <c r="O26" s="139" t="str">
        <f aca="false">IF(B26&lt;='VALOR POR PL'!$P$5,'CP RESUMO'!Y47,"")</f>
        <v/>
      </c>
      <c r="P26" s="66" t="n">
        <f aca="false">IF(B26&lt;='VALOR POR PL'!$P$5,0,IF(OR($K$16="CURVA PREVISION",$K$16="MDO PREVISION + MATERIAL PREMISSA"),N26,IF($K$16="PREVISÃO INFORMADA",MAX(0,H26),0)))</f>
        <v>14833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HISTORICOS'!Z5)</f>
        <v>0</v>
      </c>
      <c r="D27" s="45" t="n">
        <f aca="false">IF(B27&lt;='VALOR POR PL'!$P$5,0,IF($K$17&gt;0,$K$18*P27/$K$17,0))</f>
        <v>57836.6099095024</v>
      </c>
      <c r="E27" s="45" t="n">
        <f aca="false">L27+D27/$K$2</f>
        <v>44.5964226001627</v>
      </c>
      <c r="F27" s="117" t="n">
        <f aca="false">IF($K$9=0,0,E27/$K$9)</f>
        <v>0.0217848580032717</v>
      </c>
      <c r="G27" s="117" t="n">
        <f aca="false">G26+F27</f>
        <v>0.908834231711632</v>
      </c>
      <c r="H27" s="138" t="n">
        <v>100000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RESUMO'!Z5</f>
        <v>0</v>
      </c>
      <c r="N27" s="140" t="n">
        <f aca="false">MAX(0,M27-M26)</f>
        <v>0</v>
      </c>
      <c r="O27" s="139" t="str">
        <f aca="false">IF(B27&lt;='VALOR POR PL'!$P$5,'CP RESUMO'!Z47,"")</f>
        <v/>
      </c>
      <c r="P27" s="66" t="n">
        <f aca="false">IF(B27&lt;='VALOR POR PL'!$P$5,0,IF(OR($K$16="CURVA PREVISION",$K$16="MDO PREVISION + MATERIAL PREMISSA"),N27,IF($K$16="PREVISÃO INFORMADA",MAX(0,H27),0)))</f>
        <v>100000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HISTORICOS'!AA5)</f>
        <v>0</v>
      </c>
      <c r="D28" s="45" t="n">
        <f aca="false">IF(B28&lt;='VALOR POR PL'!$P$5,0,IF($K$17&gt;0,$K$18*P28/$K$17,0))</f>
        <v>57836.6099095024</v>
      </c>
      <c r="E28" s="45" t="n">
        <f aca="false">L28+D28/$K$2</f>
        <v>44.5964226001627</v>
      </c>
      <c r="F28" s="117" t="n">
        <f aca="false">IF($K$9=0,0,E28/$K$9)</f>
        <v>0.0217848580032717</v>
      </c>
      <c r="G28" s="117" t="n">
        <f aca="false">G27+F28</f>
        <v>0.930619089714904</v>
      </c>
      <c r="H28" s="138" t="n">
        <v>100000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RESUMO'!AA5</f>
        <v>0</v>
      </c>
      <c r="N28" s="140" t="n">
        <f aca="false">MAX(0,M28-M27)</f>
        <v>0</v>
      </c>
      <c r="O28" s="139" t="str">
        <f aca="false">IF(B28&lt;='VALOR POR PL'!$P$5,'CP RESUMO'!AA47,"")</f>
        <v/>
      </c>
      <c r="P28" s="66" t="n">
        <f aca="false">IF(B28&lt;='VALOR POR PL'!$P$5,0,IF(OR($K$16="CURVA PREVISION",$K$16="MDO PREVISION + MATERIAL PREMISSA"),N28,IF($K$16="PREVISÃO INFORMADA",MAX(0,H28),0)))</f>
        <v>100000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HISTORICOS'!AB5)</f>
        <v>0</v>
      </c>
      <c r="D29" s="45" t="n">
        <f aca="false">IF(B29&lt;='VALOR POR PL'!$P$5,0,IF($K$17&gt;0,$K$18*P29/$K$17,0))</f>
        <v>8578.90434787649</v>
      </c>
      <c r="E29" s="45" t="n">
        <f aca="false">L29+D29/$K$2</f>
        <v>6.61498736428213</v>
      </c>
      <c r="F29" s="117" t="n">
        <f aca="false">IF($K$9=0,0,E29/$K$9)</f>
        <v>0.00323134798762529</v>
      </c>
      <c r="G29" s="117" t="n">
        <f aca="false">G28+F29</f>
        <v>0.933850437702529</v>
      </c>
      <c r="H29" s="138" t="n">
        <v>14833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RESUMO'!AB5</f>
        <v>0</v>
      </c>
      <c r="N29" s="140" t="n">
        <f aca="false">MAX(0,M29-M28)</f>
        <v>0</v>
      </c>
      <c r="O29" s="139" t="str">
        <f aca="false">IF(B29&lt;='VALOR POR PL'!$P$5,'CP RESUMO'!AB47,"")</f>
        <v/>
      </c>
      <c r="P29" s="66" t="n">
        <f aca="false">IF(B29&lt;='VALOR POR PL'!$P$5,0,IF(OR($K$16="CURVA PREVISION",$K$16="MDO PREVISION + MATERIAL PREMISSA"),N29,IF($K$16="PREVISÃO INFORMADA",MAX(0,H29),0)))</f>
        <v>14833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HISTORICOS'!AC5)</f>
        <v>0</v>
      </c>
      <c r="D30" s="45" t="n">
        <f aca="false">IF(B30&lt;='VALOR POR PL'!$P$5,0,IF($K$17&gt;0,$K$18*P30/$K$17,0))</f>
        <v>8578.90434787649</v>
      </c>
      <c r="E30" s="45" t="n">
        <f aca="false">L30+D30/$K$2</f>
        <v>6.61498736428213</v>
      </c>
      <c r="F30" s="117" t="n">
        <f aca="false">IF($K$9=0,0,E30/$K$9)</f>
        <v>0.00323134798762529</v>
      </c>
      <c r="G30" s="117" t="n">
        <f aca="false">G29+F30</f>
        <v>0.937081785690154</v>
      </c>
      <c r="H30" s="138" t="n">
        <v>14833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RESUMO'!AC5</f>
        <v>0</v>
      </c>
      <c r="N30" s="140" t="n">
        <f aca="false">MAX(0,M30-M29)</f>
        <v>0</v>
      </c>
      <c r="O30" s="139" t="str">
        <f aca="false">IF(B30&lt;='VALOR POR PL'!$P$5,'CP RESUMO'!AC47,"")</f>
        <v/>
      </c>
      <c r="P30" s="66" t="n">
        <f aca="false">IF(B30&lt;='VALOR POR PL'!$P$5,0,IF(OR($K$16="CURVA PREVISION",$K$16="MDO PREVISION + MATERIAL PREMISSA"),N30,IF($K$16="PREVISÃO INFORMADA",MAX(0,H30),0)))</f>
        <v>14833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HISTORICOS'!AD5)</f>
        <v>0</v>
      </c>
      <c r="D31" s="45" t="n">
        <f aca="false">IF(B31&lt;='VALOR POR PL'!$P$5,0,IF($K$17&gt;0,$K$18*P31/$K$17,0))</f>
        <v>636.202709004526</v>
      </c>
      <c r="E31" s="45" t="n">
        <f aca="false">L31+D31/$K$2</f>
        <v>0.490560648601789</v>
      </c>
      <c r="F31" s="117" t="n">
        <f aca="false">IF($K$9=0,0,E31/$K$9)</f>
        <v>0.000239633438035989</v>
      </c>
      <c r="G31" s="117" t="n">
        <f aca="false">G30+F31</f>
        <v>0.93732141912819</v>
      </c>
      <c r="H31" s="138" t="n">
        <v>1100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RESUMO'!AD5</f>
        <v>0</v>
      </c>
      <c r="N31" s="140" t="n">
        <f aca="false">MAX(0,M31-M30)</f>
        <v>0</v>
      </c>
      <c r="O31" s="139" t="str">
        <f aca="false">IF(B31&lt;='VALOR POR PL'!$P$5,'CP RESUMO'!AD47,"")</f>
        <v/>
      </c>
      <c r="P31" s="66" t="n">
        <f aca="false">IF(B31&lt;='VALOR POR PL'!$P$5,0,IF(OR($K$16="CURVA PREVISION",$K$16="MDO PREVISION + MATERIAL PREMISSA"),N31,IF($K$16="PREVISÃO INFORMADA",MAX(0,H31),0)))</f>
        <v>1100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HISTORICOS'!AE5)</f>
        <v>0</v>
      </c>
      <c r="D32" s="45" t="n">
        <f aca="false">IF(B32&lt;='VALOR POR PL'!$P$5,0,IF($K$17&gt;0,$K$18*P32/$K$17,0))</f>
        <v>636.202709004526</v>
      </c>
      <c r="E32" s="45" t="n">
        <f aca="false">L32+D32/$K$2</f>
        <v>0.490560648601789</v>
      </c>
      <c r="F32" s="117" t="n">
        <f aca="false">IF($K$9=0,0,E32/$K$9)</f>
        <v>0.000239633438035989</v>
      </c>
      <c r="G32" s="117" t="n">
        <f aca="false">G31+F32</f>
        <v>0.937561052566226</v>
      </c>
      <c r="H32" s="138" t="n">
        <v>1100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RESUMO'!AE5</f>
        <v>0</v>
      </c>
      <c r="N32" s="140" t="n">
        <f aca="false">MAX(0,M32-M31)</f>
        <v>0</v>
      </c>
      <c r="O32" s="139" t="str">
        <f aca="false">IF(B32&lt;='VALOR POR PL'!$P$5,'CP RESUMO'!AE47,"")</f>
        <v/>
      </c>
      <c r="P32" s="66" t="n">
        <f aca="false">IF(B32&lt;='VALOR POR PL'!$P$5,0,IF(OR($K$16="CURVA PREVISION",$K$16="MDO PREVISION + MATERIAL PREMISSA"),N32,IF($K$16="PREVISÃO INFORMADA",MAX(0,H32),0)))</f>
        <v>1100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HISTORICOS'!AF5)</f>
        <v>0</v>
      </c>
      <c r="D33" s="45" t="n">
        <f aca="false">IF(B33&lt;='VALOR POR PL'!$P$5,0,IF($K$17&gt;0,$K$18*P33/$K$17,0))</f>
        <v>636.202709004526</v>
      </c>
      <c r="E33" s="45" t="n">
        <f aca="false">L33+D33/$K$2</f>
        <v>0.490560648601789</v>
      </c>
      <c r="F33" s="117" t="n">
        <f aca="false">IF($K$9=0,0,E33/$K$9)</f>
        <v>0.000239633438035989</v>
      </c>
      <c r="G33" s="117" t="n">
        <f aca="false">G32+F33</f>
        <v>0.937800686004262</v>
      </c>
      <c r="H33" s="138" t="n">
        <v>1100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RESUMO'!AF5</f>
        <v>0</v>
      </c>
      <c r="N33" s="140" t="n">
        <f aca="false">MAX(0,M33-M32)</f>
        <v>0</v>
      </c>
      <c r="O33" s="139" t="str">
        <f aca="false">IF(B33&lt;='VALOR POR PL'!$P$5,'CP RESUMO'!AF47,"")</f>
        <v/>
      </c>
      <c r="P33" s="66" t="n">
        <f aca="false">IF(B33&lt;='VALOR POR PL'!$P$5,0,IF(OR($K$16="CURVA PREVISION",$K$16="MDO PREVISION + MATERIAL PREMISSA"),N33,IF($K$16="PREVISÃO INFORMADA",MAX(0,H33),0)))</f>
        <v>1100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HISTORICOS'!AG5)</f>
        <v>0</v>
      </c>
      <c r="D34" s="45" t="n">
        <f aca="false">IF(B34&lt;='VALOR POR PL'!$P$5,0,IF($K$17&gt;0,$K$18*P34/$K$17,0))</f>
        <v>636.202709004526</v>
      </c>
      <c r="E34" s="45" t="n">
        <f aca="false">L34+D34/$K$2</f>
        <v>0.490560648601789</v>
      </c>
      <c r="F34" s="117" t="n">
        <f aca="false">IF($K$9=0,0,E34/$K$9)</f>
        <v>0.000239633438035989</v>
      </c>
      <c r="G34" s="117" t="n">
        <f aca="false">G33+F34</f>
        <v>0.938040319442298</v>
      </c>
      <c r="H34" s="138" t="n">
        <v>1100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RESUMO'!AG5</f>
        <v>0</v>
      </c>
      <c r="N34" s="140" t="n">
        <f aca="false">MAX(0,M34-M33)</f>
        <v>0</v>
      </c>
      <c r="O34" s="139" t="str">
        <f aca="false">IF(B34&lt;='VALOR POR PL'!$P$5,'CP RESUMO'!AG47,"")</f>
        <v/>
      </c>
      <c r="P34" s="66" t="n">
        <f aca="false">IF(B34&lt;='VALOR POR PL'!$P$5,0,IF(OR($K$16="CURVA PREVISION",$K$16="MDO PREVISION + MATERIAL PREMISSA"),N34,IF($K$16="PREVISÃO INFORMADA",MAX(0,H34),0)))</f>
        <v>1100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HISTORICOS'!AH5)</f>
        <v>0</v>
      </c>
      <c r="D35" s="45" t="n">
        <f aca="false">IF(B35&lt;='VALOR POR PL'!$P$5,0,IF($K$17&gt;0,$K$18*P35/$K$17,0))</f>
        <v>636.202709004526</v>
      </c>
      <c r="E35" s="45" t="n">
        <f aca="false">L35+D35/$K$2</f>
        <v>0.490560648601789</v>
      </c>
      <c r="F35" s="117" t="n">
        <f aca="false">IF($K$9=0,0,E35/$K$9)</f>
        <v>0.000239633438035989</v>
      </c>
      <c r="G35" s="117" t="n">
        <f aca="false">G34+F35</f>
        <v>0.938279952880334</v>
      </c>
      <c r="H35" s="138" t="n">
        <v>1100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RESUMO'!AH5</f>
        <v>0</v>
      </c>
      <c r="N35" s="140" t="n">
        <f aca="false">MAX(0,M35-M34)</f>
        <v>0</v>
      </c>
      <c r="O35" s="139" t="str">
        <f aca="false">IF(B35&lt;='VALOR POR PL'!$P$5,'CP RESUMO'!AH47,"")</f>
        <v/>
      </c>
      <c r="P35" s="66" t="n">
        <f aca="false">IF(B35&lt;='VALOR POR PL'!$P$5,0,IF(OR($K$16="CURVA PREVISION",$K$16="MDO PREVISION + MATERIAL PREMISSA"),N35,IF($K$16="PREVISÃO INFORMADA",MAX(0,H35),0)))</f>
        <v>1100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HISTORICOS'!AI5)</f>
        <v>0</v>
      </c>
      <c r="D36" s="45" t="n">
        <f aca="false">IF(B36&lt;='VALOR POR PL'!$P$5,0,IF($K$17&gt;0,$K$18*P36/$K$17,0))</f>
        <v>636.202709004526</v>
      </c>
      <c r="E36" s="45" t="n">
        <f aca="false">L36+D36/$K$2</f>
        <v>0.490560648601789</v>
      </c>
      <c r="F36" s="117" t="n">
        <f aca="false">IF($K$9=0,0,E36/$K$9)</f>
        <v>0.000239633438035989</v>
      </c>
      <c r="G36" s="117" t="n">
        <f aca="false">G35+F36</f>
        <v>0.93851958631837</v>
      </c>
      <c r="H36" s="138" t="n">
        <v>1100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RESUMO'!AI5</f>
        <v>0</v>
      </c>
      <c r="N36" s="140" t="n">
        <f aca="false">MAX(0,M36-M35)</f>
        <v>0</v>
      </c>
      <c r="O36" s="139" t="str">
        <f aca="false">IF(B36&lt;='VALOR POR PL'!$P$5,'CP RESUMO'!AI47,"")</f>
        <v/>
      </c>
      <c r="P36" s="66" t="n">
        <f aca="false">IF(B36&lt;='VALOR POR PL'!$P$5,0,IF(OR($K$16="CURVA PREVISION",$K$16="MDO PREVISION + MATERIAL PREMISSA"),N36,IF($K$16="PREVISÃO INFORMADA",MAX(0,H36),0)))</f>
        <v>1100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HISTORICOS'!AJ5)</f>
        <v>0</v>
      </c>
      <c r="D37" s="45" t="n">
        <f aca="false">IF(B37&lt;='VALOR POR PL'!$P$5,0,IF($K$17&gt;0,$K$18*P37/$K$17,0))</f>
        <v>636.202709004526</v>
      </c>
      <c r="E37" s="45" t="n">
        <f aca="false">L37+D37/$K$2</f>
        <v>0.490560648601789</v>
      </c>
      <c r="F37" s="117" t="n">
        <f aca="false">IF($K$9=0,0,E37/$K$9)</f>
        <v>0.000239633438035989</v>
      </c>
      <c r="G37" s="117" t="n">
        <f aca="false">G36+F37</f>
        <v>0.938759219756406</v>
      </c>
      <c r="H37" s="138" t="n">
        <v>1100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RESUMO'!AJ5</f>
        <v>0</v>
      </c>
      <c r="N37" s="140" t="n">
        <f aca="false">MAX(0,M37-M36)</f>
        <v>0</v>
      </c>
      <c r="O37" s="139" t="str">
        <f aca="false">IF(B37&lt;='VALOR POR PL'!$P$5,'CP RESUMO'!AJ47,"")</f>
        <v/>
      </c>
      <c r="P37" s="66" t="n">
        <f aca="false">IF(B37&lt;='VALOR POR PL'!$P$5,0,IF(OR($K$16="CURVA PREVISION",$K$16="MDO PREVISION + MATERIAL PREMISSA"),N37,IF($K$16="PREVISÃO INFORMADA",MAX(0,H37),0)))</f>
        <v>1100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HISTORICOS'!AK5)</f>
        <v>0</v>
      </c>
      <c r="D38" s="45" t="n">
        <f aca="false">IF(B38&lt;='VALOR POR PL'!$P$5,0,IF($K$17&gt;0,$K$18*P38/$K$17,0))</f>
        <v>636.202709004526</v>
      </c>
      <c r="E38" s="45" t="n">
        <f aca="false">L38+D38/$K$2</f>
        <v>0.490560648601789</v>
      </c>
      <c r="F38" s="117" t="n">
        <f aca="false">IF($K$9=0,0,E38/$K$9)</f>
        <v>0.000239633438035989</v>
      </c>
      <c r="G38" s="117" t="n">
        <f aca="false">G37+F38</f>
        <v>0.938998853194442</v>
      </c>
      <c r="H38" s="138" t="n">
        <v>1100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RESUMO'!AK5</f>
        <v>0</v>
      </c>
      <c r="N38" s="140" t="n">
        <f aca="false">MAX(0,M38-M37)</f>
        <v>0</v>
      </c>
      <c r="O38" s="139" t="str">
        <f aca="false">IF(B38&lt;='VALOR POR PL'!$P$5,'CP RESUMO'!AK47,"")</f>
        <v/>
      </c>
      <c r="P38" s="66" t="n">
        <f aca="false">IF(B38&lt;='VALOR POR PL'!$P$5,0,IF(OR($K$16="CURVA PREVISION",$K$16="MDO PREVISION + MATERIAL PREMISSA"),N38,IF($K$16="PREVISÃO INFORMADA",MAX(0,H38),0)))</f>
        <v>1100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HISTORICOS'!AL5)</f>
        <v>0</v>
      </c>
      <c r="D39" s="45" t="n">
        <f aca="false">IF(B39&lt;='VALOR POR PL'!$P$5,0,IF($K$17&gt;0,$K$18*P39/$K$17,0))</f>
        <v>636.202709004526</v>
      </c>
      <c r="E39" s="45" t="n">
        <f aca="false">L39+D39/$K$2</f>
        <v>0.490560648601789</v>
      </c>
      <c r="F39" s="117" t="n">
        <f aca="false">IF($K$9=0,0,E39/$K$9)</f>
        <v>0.000239633438035989</v>
      </c>
      <c r="G39" s="117" t="n">
        <f aca="false">G38+F39</f>
        <v>0.939238486632478</v>
      </c>
      <c r="H39" s="138" t="n">
        <v>1100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RESUMO'!AL5</f>
        <v>0</v>
      </c>
      <c r="N39" s="140" t="n">
        <f aca="false">MAX(0,M39-M38)</f>
        <v>0</v>
      </c>
      <c r="O39" s="139" t="str">
        <f aca="false">IF(B39&lt;='VALOR POR PL'!$P$5,'CP RESUMO'!AL47,"")</f>
        <v/>
      </c>
      <c r="P39" s="66" t="n">
        <f aca="false">IF(B39&lt;='VALOR POR PL'!$P$5,0,IF(OR($K$16="CURVA PREVISION",$K$16="MDO PREVISION + MATERIAL PREMISSA"),N39,IF($K$16="PREVISÃO INFORMADA",MAX(0,H39),0)))</f>
        <v>1100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HISTORICOS'!AM5)</f>
        <v>0</v>
      </c>
      <c r="D40" s="45" t="n">
        <f aca="false">IF(B40&lt;='VALOR POR PL'!$P$5,0,IF($K$17&gt;0,$K$18*P40/$K$17,0))</f>
        <v>636.202709004526</v>
      </c>
      <c r="E40" s="45" t="n">
        <f aca="false">L40+D40/$K$2</f>
        <v>0.490560648601789</v>
      </c>
      <c r="F40" s="117" t="n">
        <f aca="false">IF($K$9=0,0,E40/$K$9)</f>
        <v>0.000239633438035989</v>
      </c>
      <c r="G40" s="117" t="n">
        <f aca="false">G39+F40</f>
        <v>0.939478120070514</v>
      </c>
      <c r="H40" s="138" t="n">
        <v>1100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RESUMO'!AM5</f>
        <v>0</v>
      </c>
      <c r="N40" s="140" t="n">
        <f aca="false">MAX(0,M40-M39)</f>
        <v>0</v>
      </c>
      <c r="O40" s="139" t="str">
        <f aca="false">IF(B40&lt;='VALOR POR PL'!$P$5,'CP RESUMO'!AM47,"")</f>
        <v/>
      </c>
      <c r="P40" s="66" t="n">
        <f aca="false">IF(B40&lt;='VALOR POR PL'!$P$5,0,IF(OR($K$16="CURVA PREVISION",$K$16="MDO PREVISION + MATERIAL PREMISSA"),N40,IF($K$16="PREVISÃO INFORMADA",MAX(0,H40),0)))</f>
        <v>1100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HISTORICOS'!AN5)</f>
        <v>0</v>
      </c>
      <c r="D41" s="45" t="n">
        <f aca="false">IF(B41&lt;='VALOR POR PL'!$P$5,0,IF($K$17&gt;0,$K$18*P41/$K$17,0))</f>
        <v>636.202709004526</v>
      </c>
      <c r="E41" s="45" t="n">
        <f aca="false">L41+D41/$K$2</f>
        <v>0.490560648601789</v>
      </c>
      <c r="F41" s="117" t="n">
        <f aca="false">IF($K$9=0,0,E41/$K$9)</f>
        <v>0.000239633438035989</v>
      </c>
      <c r="G41" s="117" t="n">
        <f aca="false">G40+F41</f>
        <v>0.93971775350855</v>
      </c>
      <c r="H41" s="138" t="n">
        <v>1100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RESUMO'!AN5</f>
        <v>0</v>
      </c>
      <c r="N41" s="140" t="n">
        <f aca="false">MAX(0,M41-M40)</f>
        <v>0</v>
      </c>
      <c r="O41" s="139" t="str">
        <f aca="false">IF(B41&lt;='VALOR POR PL'!$P$5,'CP RESUMO'!AN47,"")</f>
        <v/>
      </c>
      <c r="P41" s="66" t="n">
        <f aca="false">IF(B41&lt;='VALOR POR PL'!$P$5,0,IF(OR($K$16="CURVA PREVISION",$K$16="MDO PREVISION + MATERIAL PREMISSA"),N41,IF($K$16="PREVISÃO INFORMADA",MAX(0,H41),0)))</f>
        <v>1100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HISTORICOS'!AO5)</f>
        <v>0</v>
      </c>
      <c r="D42" s="45" t="n">
        <f aca="false">IF(B42&lt;='VALOR POR PL'!$P$5,0,IF($K$17&gt;0,$K$18*P42/$K$17,0))</f>
        <v>636.202709004526</v>
      </c>
      <c r="E42" s="45" t="n">
        <f aca="false">L42+D42/$K$2</f>
        <v>0.490560648601789</v>
      </c>
      <c r="F42" s="117" t="n">
        <f aca="false">IF($K$9=0,0,E42/$K$9)</f>
        <v>0.000239633438035989</v>
      </c>
      <c r="G42" s="117" t="n">
        <f aca="false">G41+F42</f>
        <v>0.939957386946586</v>
      </c>
      <c r="H42" s="138" t="n">
        <v>1100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RESUMO'!AO5</f>
        <v>0</v>
      </c>
      <c r="N42" s="140" t="n">
        <f aca="false">MAX(0,M42-M41)</f>
        <v>0</v>
      </c>
      <c r="O42" s="139" t="str">
        <f aca="false">IF(B42&lt;='VALOR POR PL'!$P$5,'CP RESUMO'!AO47,"")</f>
        <v/>
      </c>
      <c r="P42" s="66" t="n">
        <f aca="false">IF(B42&lt;='VALOR POR PL'!$P$5,0,IF(OR($K$16="CURVA PREVISION",$K$16="MDO PREVISION + MATERIAL PREMISSA"),N42,IF($K$16="PREVISÃO INFORMADA",MAX(0,H42),0)))</f>
        <v>1100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HISTORICOS'!AP5)</f>
        <v>0</v>
      </c>
      <c r="D43" s="45" t="n">
        <f aca="false">IF(B43&lt;='VALOR POR PL'!$P$5,0,IF($K$17&gt;0,$K$18*P43/$K$17,0))</f>
        <v>636.202709004526</v>
      </c>
      <c r="E43" s="45" t="n">
        <f aca="false">L43+D43/$K$2</f>
        <v>0.490560648601789</v>
      </c>
      <c r="F43" s="117" t="n">
        <f aca="false">IF($K$9=0,0,E43/$K$9)</f>
        <v>0.000239633438035989</v>
      </c>
      <c r="G43" s="117" t="n">
        <f aca="false">G42+F43</f>
        <v>0.940197020384622</v>
      </c>
      <c r="H43" s="138" t="n">
        <v>1100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RESUMO'!AP5</f>
        <v>0</v>
      </c>
      <c r="N43" s="140" t="n">
        <f aca="false">MAX(0,M43-M42)</f>
        <v>0</v>
      </c>
      <c r="O43" s="139" t="str">
        <f aca="false">IF(B43&lt;='VALOR POR PL'!$P$5,'CP RESUMO'!AP47,"")</f>
        <v/>
      </c>
      <c r="P43" s="66" t="n">
        <f aca="false">IF(B43&lt;='VALOR POR PL'!$P$5,0,IF(OR($K$16="CURVA PREVISION",$K$16="MDO PREVISION + MATERIAL PREMISSA"),N43,IF($K$16="PREVISÃO INFORMADA",MAX(0,H43),0)))</f>
        <v>1100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HISTORICOS'!AQ5)</f>
        <v>0</v>
      </c>
      <c r="D44" s="45" t="n">
        <f aca="false">IF(B44&lt;='VALOR POR PL'!$P$5,0,IF($K$17&gt;0,$K$18*P44/$K$17,0))</f>
        <v>636.202709004526</v>
      </c>
      <c r="E44" s="45" t="n">
        <f aca="false">L44+D44/$K$2</f>
        <v>0.490560648601789</v>
      </c>
      <c r="F44" s="117" t="n">
        <f aca="false">IF($K$9=0,0,E44/$K$9)</f>
        <v>0.000239633438035989</v>
      </c>
      <c r="G44" s="117" t="n">
        <f aca="false">G43+F44</f>
        <v>0.940436653822658</v>
      </c>
      <c r="H44" s="138" t="n">
        <v>1100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RESUMO'!AQ5</f>
        <v>0</v>
      </c>
      <c r="N44" s="140" t="n">
        <f aca="false">MAX(0,M44-M43)</f>
        <v>0</v>
      </c>
      <c r="O44" s="139" t="str">
        <f aca="false">IF(B44&lt;='VALOR POR PL'!$P$5,'CP RESUMO'!AQ47,"")</f>
        <v/>
      </c>
      <c r="P44" s="66" t="n">
        <f aca="false">IF(B44&lt;='VALOR POR PL'!$P$5,0,IF(OR($K$16="CURVA PREVISION",$K$16="MDO PREVISION + MATERIAL PREMISSA"),N44,IF($K$16="PREVISÃO INFORMADA",MAX(0,H44),0)))</f>
        <v>1100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HISTORICOS'!AR5)</f>
        <v>0</v>
      </c>
      <c r="D45" s="45" t="n">
        <f aca="false">IF(B45&lt;='VALOR POR PL'!$P$5,0,IF($K$17&gt;0,$K$18*P45/$K$17,0))</f>
        <v>636.202709004526</v>
      </c>
      <c r="E45" s="45" t="n">
        <f aca="false">L45+D45/$K$2</f>
        <v>0.490560648601789</v>
      </c>
      <c r="F45" s="117" t="n">
        <f aca="false">IF($K$9=0,0,E45/$K$9)</f>
        <v>0.000239633438035989</v>
      </c>
      <c r="G45" s="117" t="n">
        <f aca="false">G44+F45</f>
        <v>0.940676287260694</v>
      </c>
      <c r="H45" s="138" t="n">
        <v>1100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RESUMO'!AR5</f>
        <v>0</v>
      </c>
      <c r="N45" s="140" t="n">
        <f aca="false">MAX(0,M45-M44)</f>
        <v>0</v>
      </c>
      <c r="O45" s="139" t="str">
        <f aca="false">IF(B45&lt;='VALOR POR PL'!$P$5,'CP RESUMO'!AR47,"")</f>
        <v/>
      </c>
      <c r="P45" s="66" t="n">
        <f aca="false">IF(B45&lt;='VALOR POR PL'!$P$5,0,IF(OR($K$16="CURVA PREVISION",$K$16="MDO PREVISION + MATERIAL PREMISSA"),N45,IF($K$16="PREVISÃO INFORMADA",MAX(0,H45),0)))</f>
        <v>1100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HISTORICOS'!AS5)</f>
        <v>0</v>
      </c>
      <c r="D46" s="45" t="n">
        <f aca="false">IF(B46&lt;='VALOR POR PL'!$P$5,0,IF($K$17&gt;0,$K$18*P46/$K$17,0))</f>
        <v>636.202709004526</v>
      </c>
      <c r="E46" s="45" t="n">
        <f aca="false">L46+D46/$K$2</f>
        <v>0.490560648601789</v>
      </c>
      <c r="F46" s="117" t="n">
        <f aca="false">IF($K$9=0,0,E46/$K$9)</f>
        <v>0.000239633438035989</v>
      </c>
      <c r="G46" s="117" t="n">
        <f aca="false">G45+F46</f>
        <v>0.94091592069873</v>
      </c>
      <c r="H46" s="138" t="n">
        <v>1100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RESUMO'!AS5</f>
        <v>0</v>
      </c>
      <c r="N46" s="140" t="n">
        <f aca="false">MAX(0,M46-M45)</f>
        <v>0</v>
      </c>
      <c r="O46" s="139" t="str">
        <f aca="false">IF(B46&lt;='VALOR POR PL'!$P$5,'CP RESUMO'!AS47,"")</f>
        <v/>
      </c>
      <c r="P46" s="66" t="n">
        <f aca="false">IF(B46&lt;='VALOR POR PL'!$P$5,0,IF(OR($K$16="CURVA PREVISION",$K$16="MDO PREVISION + MATERIAL PREMISSA"),N46,IF($K$16="PREVISÃO INFORMADA",MAX(0,H46),0)))</f>
        <v>1100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HISTORICOS'!AT5)</f>
        <v>0</v>
      </c>
      <c r="D47" s="45" t="n">
        <f aca="false">IF(B47&lt;='VALOR POR PL'!$P$5,0,IF($K$17&gt;0,$K$18*P47/$K$17,0))</f>
        <v>636.202709004526</v>
      </c>
      <c r="E47" s="45" t="n">
        <f aca="false">L47+D47/$K$2</f>
        <v>0.490560648601789</v>
      </c>
      <c r="F47" s="117" t="n">
        <f aca="false">IF($K$9=0,0,E47/$K$9)</f>
        <v>0.000239633438035989</v>
      </c>
      <c r="G47" s="117" t="n">
        <f aca="false">G46+F47</f>
        <v>0.941155554136766</v>
      </c>
      <c r="H47" s="138" t="n">
        <v>1100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RESUMO'!AT5</f>
        <v>0</v>
      </c>
      <c r="N47" s="140" t="n">
        <f aca="false">MAX(0,M47-M46)</f>
        <v>0</v>
      </c>
      <c r="O47" s="139" t="str">
        <f aca="false">IF(B47&lt;='VALOR POR PL'!$P$5,'CP RESUMO'!AT47,"")</f>
        <v/>
      </c>
      <c r="P47" s="66" t="n">
        <f aca="false">IF(B47&lt;='VALOR POR PL'!$P$5,0,IF(OR($K$16="CURVA PREVISION",$K$16="MDO PREVISION + MATERIAL PREMISSA"),N47,IF($K$16="PREVISÃO INFORMADA",MAX(0,H47),0)))</f>
        <v>1100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HISTORICOS'!AU5)</f>
        <v>0</v>
      </c>
      <c r="D48" s="45" t="n">
        <f aca="false">IF(B48&lt;='VALOR POR PL'!$P$5,0,IF($K$17&gt;0,$K$18*P48/$K$17,0))</f>
        <v>636.202709004526</v>
      </c>
      <c r="E48" s="45" t="n">
        <f aca="false">L48+D48/$K$2</f>
        <v>0.490560648601789</v>
      </c>
      <c r="F48" s="117" t="n">
        <f aca="false">IF($K$9=0,0,E48/$K$9)</f>
        <v>0.000239633438035989</v>
      </c>
      <c r="G48" s="117" t="n">
        <f aca="false">G47+F48</f>
        <v>0.941395187574802</v>
      </c>
      <c r="H48" s="138" t="n">
        <v>1100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RESUMO'!AU5</f>
        <v>0</v>
      </c>
      <c r="N48" s="140" t="n">
        <f aca="false">MAX(0,M48-M47)</f>
        <v>0</v>
      </c>
      <c r="O48" s="139" t="str">
        <f aca="false">IF(B48&lt;='VALOR POR PL'!$P$5,'CP RESUMO'!AU47,"")</f>
        <v/>
      </c>
      <c r="P48" s="66" t="n">
        <f aca="false">IF(B48&lt;='VALOR POR PL'!$P$5,0,IF(OR($K$16="CURVA PREVISION",$K$16="MDO PREVISION + MATERIAL PREMISSA"),N48,IF($K$16="PREVISÃO INFORMADA",MAX(0,H48),0)))</f>
        <v>1100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HISTORICOS'!AV5)</f>
        <v>0</v>
      </c>
      <c r="D49" s="45" t="n">
        <f aca="false">IF(B49&lt;='VALOR POR PL'!$P$5,0,IF($K$17&gt;0,$K$18*P49/$K$17,0))</f>
        <v>636.202709004526</v>
      </c>
      <c r="E49" s="45" t="n">
        <f aca="false">L49+D49/$K$2</f>
        <v>0.490560648601789</v>
      </c>
      <c r="F49" s="117" t="n">
        <f aca="false">IF($K$9=0,0,E49/$K$9)</f>
        <v>0.000239633438035989</v>
      </c>
      <c r="G49" s="117" t="n">
        <f aca="false">G48+F49</f>
        <v>0.941634821012838</v>
      </c>
      <c r="H49" s="138" t="n">
        <v>1100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RESUMO'!AV5</f>
        <v>0</v>
      </c>
      <c r="N49" s="140" t="n">
        <f aca="false">MAX(0,M49-M48)</f>
        <v>0</v>
      </c>
      <c r="O49" s="139" t="str">
        <f aca="false">IF(B49&lt;='VALOR POR PL'!$P$5,'CP RESUMO'!AV47,"")</f>
        <v/>
      </c>
      <c r="P49" s="66" t="n">
        <f aca="false">IF(B49&lt;='VALOR POR PL'!$P$5,0,IF(OR($K$16="CURVA PREVISION",$K$16="MDO PREVISION + MATERIAL PREMISSA"),N49,IF($K$16="PREVISÃO INFORMADA",MAX(0,H49),0)))</f>
        <v>1100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HISTORICOS'!AW5)</f>
        <v>0</v>
      </c>
      <c r="D50" s="45" t="n">
        <f aca="false">IF(B50&lt;='VALOR POR PL'!$P$5,0,IF($K$17&gt;0,$K$18*P50/$K$17,0))</f>
        <v>636.202709004526</v>
      </c>
      <c r="E50" s="45" t="n">
        <f aca="false">L50+D50/$K$2</f>
        <v>0.490560648601789</v>
      </c>
      <c r="F50" s="117" t="n">
        <f aca="false">IF($K$9=0,0,E50/$K$9)</f>
        <v>0.000239633438035989</v>
      </c>
      <c r="G50" s="117" t="n">
        <f aca="false">G49+F50</f>
        <v>0.941874454450874</v>
      </c>
      <c r="H50" s="138" t="n">
        <v>1100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RESUMO'!AW5</f>
        <v>0</v>
      </c>
      <c r="N50" s="140" t="n">
        <f aca="false">MAX(0,M50-M49)</f>
        <v>0</v>
      </c>
      <c r="O50" s="139" t="str">
        <f aca="false">IF(B50&lt;='VALOR POR PL'!$P$5,'CP RESUMO'!AW47,"")</f>
        <v/>
      </c>
      <c r="P50" s="66" t="n">
        <f aca="false">IF(B50&lt;='VALOR POR PL'!$P$5,0,IF(OR($K$16="CURVA PREVISION",$K$16="MDO PREVISION + MATERIAL PREMISSA"),N50,IF($K$16="PREVISÃO INFORMADA",MAX(0,H50),0)))</f>
        <v>1100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HISTORICOS'!AX5)</f>
        <v>0</v>
      </c>
      <c r="D51" s="45" t="n">
        <f aca="false">IF(B51&lt;='VALOR POR PL'!$P$5,0,IF($K$17&gt;0,$K$18*P51/$K$17,0))</f>
        <v>636.202709004526</v>
      </c>
      <c r="E51" s="45" t="n">
        <f aca="false">L51+D51/$K$2</f>
        <v>0.490560648601789</v>
      </c>
      <c r="F51" s="117" t="n">
        <f aca="false">IF($K$9=0,0,E51/$K$9)</f>
        <v>0.000239633438035989</v>
      </c>
      <c r="G51" s="117" t="n">
        <f aca="false">G50+F51</f>
        <v>0.94211408788891</v>
      </c>
      <c r="H51" s="138" t="n">
        <v>1100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RESUMO'!AX5</f>
        <v>0</v>
      </c>
      <c r="N51" s="140" t="n">
        <f aca="false">MAX(0,M51-M50)</f>
        <v>0</v>
      </c>
      <c r="O51" s="139" t="str">
        <f aca="false">IF(B51&lt;='VALOR POR PL'!$P$5,'CP RESUMO'!AX47,"")</f>
        <v/>
      </c>
      <c r="P51" s="66" t="n">
        <f aca="false">IF(B51&lt;='VALOR POR PL'!$P$5,0,IF(OR($K$16="CURVA PREVISION",$K$16="MDO PREVISION + MATERIAL PREMISSA"),N51,IF($K$16="PREVISÃO INFORMADA",MAX(0,H51),0)))</f>
        <v>1100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HISTORICOS'!AY5)</f>
        <v>0</v>
      </c>
      <c r="D52" s="45" t="n">
        <f aca="false">IF(B52&lt;='VALOR POR PL'!$P$5,0,IF($K$17&gt;0,$K$18*P52/$K$17,0))</f>
        <v>153045.079836976</v>
      </c>
      <c r="E52" s="45" t="n">
        <f aca="false">L52+D52/$K$2</f>
        <v>118.009390037987</v>
      </c>
      <c r="F52" s="117" t="n">
        <f aca="false">IF($K$9=0,0,E52/$K$9)</f>
        <v>0.0576462786730541</v>
      </c>
      <c r="G52" s="117" t="n">
        <f aca="false">G51+F52</f>
        <v>0.999760366561964</v>
      </c>
      <c r="H52" s="138" t="n">
        <v>264616.27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RESUMO'!AY5</f>
        <v>0</v>
      </c>
      <c r="N52" s="140" t="n">
        <f aca="false">MAX(0,M52-M51)</f>
        <v>0</v>
      </c>
      <c r="O52" s="139" t="str">
        <f aca="false">IF(B52&lt;='VALOR POR PL'!$P$5,'CP RESUMO'!AY47,"")</f>
        <v/>
      </c>
      <c r="P52" s="66" t="n">
        <f aca="false">IF(B52&lt;='VALOR POR PL'!$P$5,0,IF(OR($K$16="CURVA PREVISION",$K$16="MDO PREVISION + MATERIAL PREMISSA"),N52,IF($K$16="PREVISÃO INFORMADA",MAX(0,H52),0)))</f>
        <v>264616.27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HISTORICOS'!AZ5)</f>
        <v>0</v>
      </c>
      <c r="D53" s="45" t="n">
        <f aca="false">IF(B53&lt;='VALOR POR PL'!$P$5,0,IF($K$17&gt;0,$K$18*P53/$K$17,0))</f>
        <v>636.202709004526</v>
      </c>
      <c r="E53" s="45" t="n">
        <f aca="false">L53+D53/$K$2</f>
        <v>0.490560648601789</v>
      </c>
      <c r="F53" s="117" t="n">
        <f aca="false">IF($K$9=0,0,E53/$K$9)</f>
        <v>0.000239633438035989</v>
      </c>
      <c r="G53" s="117" t="n">
        <f aca="false">G52+F53</f>
        <v>1</v>
      </c>
      <c r="H53" s="138" t="n">
        <v>1100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RESUMO'!AZ5</f>
        <v>0</v>
      </c>
      <c r="N53" s="140" t="n">
        <f aca="false">MAX(0,M53-M52)</f>
        <v>0</v>
      </c>
      <c r="O53" s="139" t="str">
        <f aca="false">IF(B53&lt;='VALOR POR PL'!$P$5,'CP RESUMO'!AZ47,"")</f>
        <v/>
      </c>
      <c r="P53" s="66" t="n">
        <f aca="false">IF(B53&lt;='VALOR POR PL'!$P$5,0,IF(OR($K$16="CURVA PREVISION",$K$16="MDO PREVISION + MATERIAL PREMISSA"),N53,IF($K$16="PREVISÃO INFORMADA",MAX(0,H53),0)))</f>
        <v>1100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RESUMO'!BA5</f>
        <v>0</v>
      </c>
      <c r="N54" s="140" t="n">
        <f aca="false">MAX(0,M54-M53)</f>
        <v>0</v>
      </c>
      <c r="O54" s="139" t="str">
        <f aca="false">IF(B54&lt;='VALOR POR PL'!$P$5,'CP RESUMO'!BA47,"")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RESUMO'!BB5</f>
        <v>0</v>
      </c>
      <c r="N55" s="140" t="n">
        <f aca="false">MAX(0,M55-M54)</f>
        <v>0</v>
      </c>
      <c r="O55" s="139" t="str">
        <f aca="false">IF(B55&lt;='VALOR POR PL'!$P$5,'CP RESUMO'!BB47,"")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RESUMO'!BC5</f>
        <v>0</v>
      </c>
      <c r="N56" s="140" t="n">
        <f aca="false">MAX(0,M56-M55)</f>
        <v>0</v>
      </c>
      <c r="O56" s="139" t="str">
        <f aca="false">IF(B56&lt;='VALOR POR PL'!$P$5,'CP RESUMO'!BC47,"")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RESUMO'!BD5</f>
        <v>0</v>
      </c>
      <c r="N57" s="140" t="n">
        <f aca="false">MAX(0,M57-M56)</f>
        <v>0</v>
      </c>
      <c r="O57" s="139" t="str">
        <f aca="false">IF(B57&lt;='VALOR POR PL'!$P$5,'CP RESUMO'!BD47,"")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RESUMO'!BE5</f>
        <v>0</v>
      </c>
      <c r="N58" s="140" t="n">
        <f aca="false">MAX(0,M58-M57)</f>
        <v>0</v>
      </c>
      <c r="O58" s="139" t="str">
        <f aca="false">IF(B58&lt;='VALOR POR PL'!$P$5,'CP RESUMO'!BE47,"")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RESUMO'!BF5</f>
        <v>0</v>
      </c>
      <c r="N59" s="140" t="n">
        <f aca="false">MAX(0,M59-M58)</f>
        <v>0</v>
      </c>
      <c r="O59" s="139" t="str">
        <f aca="false">IF(B59&lt;='VALOR POR PL'!$P$5,'CP RESUMO'!BF47,"")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RESUMO'!BG5</f>
        <v>0</v>
      </c>
      <c r="N60" s="140" t="n">
        <f aca="false">MAX(0,M60-M59)</f>
        <v>0</v>
      </c>
      <c r="O60" s="139" t="str">
        <f aca="false">IF(B60&lt;='VALOR POR PL'!$P$5,'CP RESUMO'!BG47,"")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RESUMO'!BH5</f>
        <v>0</v>
      </c>
      <c r="N61" s="140" t="n">
        <f aca="false">MAX(0,M61-M60)</f>
        <v>0</v>
      </c>
      <c r="O61" s="139" t="str">
        <f aca="false">IF(B61&lt;='VALOR POR PL'!$P$5,'CP RESUMO'!BH47,"")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RESUMO'!BI5</f>
        <v>0</v>
      </c>
      <c r="N62" s="140" t="n">
        <f aca="false">MAX(0,M62-M61)</f>
        <v>0</v>
      </c>
      <c r="O62" s="139" t="str">
        <f aca="false">IF(B62&lt;='VALOR POR PL'!$P$5,'CP RESUMO'!BI47,"")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RESUMO'!BJ5</f>
        <v>0</v>
      </c>
      <c r="N63" s="140" t="n">
        <f aca="false">MAX(0,M63-M62)</f>
        <v>0</v>
      </c>
      <c r="O63" s="139" t="str">
        <f aca="false">IF(B63&lt;='VALOR POR PL'!$P$5,'CP RESUMO'!BJ47,"")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RESUMO'!BK5</f>
        <v>0</v>
      </c>
      <c r="N64" s="140" t="n">
        <f aca="false">MAX(0,M64-M63)</f>
        <v>0</v>
      </c>
      <c r="O64" s="139" t="str">
        <f aca="false">IF(B64&lt;='VALOR POR PL'!$P$5,'CP RESUMO'!BK47,"")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RESUMO'!BL5</f>
        <v>0</v>
      </c>
      <c r="N65" s="140" t="n">
        <f aca="false">MAX(0,M65-M64)</f>
        <v>0</v>
      </c>
      <c r="O65" s="139" t="str">
        <f aca="false">IF(B65&lt;='VALOR POR PL'!$P$5,'CP RESUMO'!BL47,"")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RESUMO'!BM5</f>
        <v>0</v>
      </c>
      <c r="N66" s="140" t="n">
        <f aca="false">MAX(0,M66-M65)</f>
        <v>0</v>
      </c>
      <c r="O66" s="139" t="str">
        <f aca="false">IF(B66&lt;='VALOR POR PL'!$P$5,'CP RESUMO'!BM47,"")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RESUMO'!BN5</f>
        <v>0</v>
      </c>
      <c r="N67" s="140" t="n">
        <f aca="false">MAX(0,M67-M66)</f>
        <v>0</v>
      </c>
      <c r="O67" s="139" t="str">
        <f aca="false">IF(B67&lt;='VALOR POR PL'!$P$5,'CP RESUMO'!BN47,"")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RESUMO'!BO5</f>
        <v>0</v>
      </c>
      <c r="N68" s="140" t="n">
        <f aca="false">MAX(0,M68-M67)</f>
        <v>0</v>
      </c>
      <c r="O68" s="139" t="str">
        <f aca="false">IF(B68&lt;='VALOR POR PL'!$P$5,'CP RESUMO'!BO47,"")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RESUMO'!BP5</f>
        <v>0</v>
      </c>
      <c r="N69" s="140" t="n">
        <f aca="false">MAX(0,M69-M68)</f>
        <v>0</v>
      </c>
      <c r="O69" s="139" t="str">
        <f aca="false">IF(B69&lt;='VALOR POR PL'!$P$5,'CP RESUMO'!BP47,"")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RESUMO'!BQ5</f>
        <v>0</v>
      </c>
      <c r="N70" s="140" t="n">
        <f aca="false">MAX(0,M70-M69)</f>
        <v>0</v>
      </c>
      <c r="O70" s="139" t="str">
        <f aca="false">IF(B70&lt;='VALOR POR PL'!$P$5,'CP RESUMO'!BQ47,"")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RESUMO'!BR5</f>
        <v>0</v>
      </c>
      <c r="N71" s="140" t="n">
        <f aca="false">MAX(0,M71-M70)</f>
        <v>0</v>
      </c>
      <c r="O71" s="139" t="str">
        <f aca="false">IF(B71&lt;='VALOR POR PL'!$P$5,'CP RESUMO'!BR47,"")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RESUMO'!BS5</f>
        <v>0</v>
      </c>
      <c r="N72" s="140" t="n">
        <f aca="false">MAX(0,M72-M71)</f>
        <v>0</v>
      </c>
      <c r="O72" s="139" t="str">
        <f aca="false">IF(B72&lt;='VALOR POR PL'!$P$5,'CP RESUMO'!BS47,"")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RESUMO'!BT5</f>
        <v>0</v>
      </c>
      <c r="N73" s="140" t="n">
        <f aca="false">MAX(0,M73-M72)</f>
        <v>0</v>
      </c>
      <c r="O73" s="139" t="str">
        <f aca="false">IF(B73&lt;='VALOR POR PL'!$P$5,'CP RESUMO'!BT47,"")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RESUMO'!BU5</f>
        <v>0</v>
      </c>
      <c r="N74" s="140" t="n">
        <f aca="false">MAX(0,M74-M73)</f>
        <v>0</v>
      </c>
      <c r="O74" s="139" t="str">
        <f aca="false">IF(B74&lt;='VALOR POR PL'!$P$5,'CP RESUMO'!BU47,"")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RESUMO'!BV5</f>
        <v>0</v>
      </c>
      <c r="N75" s="140" t="n">
        <f aca="false">MAX(0,M75-M74)</f>
        <v>0</v>
      </c>
      <c r="O75" s="139" t="str">
        <f aca="false">IF(B75&lt;='VALOR POR PL'!$P$5,'CP RESUMO'!BV47,"")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RESUMO'!BW5</f>
        <v>0</v>
      </c>
      <c r="N76" s="140" t="n">
        <f aca="false">MAX(0,M76-M75)</f>
        <v>0</v>
      </c>
      <c r="O76" s="139" t="str">
        <f aca="false">IF(B76&lt;='VALOR POR PL'!$P$5,'CP RESUMO'!BW47,"")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2160730.87</v>
      </c>
      <c r="D78" s="61" t="n">
        <f aca="false">SUM(D5:D76)</f>
        <v>308451.472297709</v>
      </c>
      <c r="E78" s="61" t="n">
        <f aca="false">SUM(E5:E76)</f>
        <v>2047.12936818156</v>
      </c>
      <c r="F78" s="145" t="n">
        <f aca="false">SUM(F5:F76)</f>
        <v>1</v>
      </c>
      <c r="H78" s="61" t="n">
        <f aca="false">SUM(H5:H76)</f>
        <v>533315.27</v>
      </c>
      <c r="L78" s="61" t="n">
        <f aca="false">SUM(L5:L76)</f>
        <v>1809.28983658116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1.4210854715202E-013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PL'!D48</f>
        <v>TAXA DE ADMINISTRAÇÃO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HISTORICOS'!D42)</f>
        <v>137450</v>
      </c>
      <c r="D5" s="45" t="n">
        <f aca="false">IF(B5&lt;='VALOR POR PL'!$P$5,0,IF($K$17&gt;0,$K$18*P5/$K$17,0))</f>
        <v>0</v>
      </c>
      <c r="E5" s="45" t="n">
        <f aca="false">L5+D5/$K$2</f>
        <v>121.837103655049</v>
      </c>
      <c r="F5" s="117" t="n">
        <f aca="false">IF($K$9=0,0,E5/$K$9)</f>
        <v>0.255442595718001</v>
      </c>
      <c r="G5" s="117" t="n">
        <f aca="false">F5</f>
        <v>0.255442595718001</v>
      </c>
      <c r="H5" s="138"/>
      <c r="I5" s="42" t="s">
        <v>2920</v>
      </c>
      <c r="J5" s="56" t="n">
        <f aca="false">'VALOR POR PL'!F48</f>
        <v>566105.29</v>
      </c>
      <c r="K5" s="56" t="n">
        <f aca="false">'VALOR POR PL'!G48</f>
        <v>477</v>
      </c>
      <c r="L5" s="56" t="n">
        <f aca="false">'DADOS HISTORICOS'!$BZ$42</f>
        <v>121.837103655049</v>
      </c>
      <c r="M5" s="139" t="n">
        <f aca="false">'CP RESUMO'!D42</f>
        <v>0</v>
      </c>
      <c r="N5" s="140" t="n">
        <v>0</v>
      </c>
      <c r="O5" s="139" t="n">
        <f aca="false">IF(B5&lt;='VALOR POR PL'!$P$5,'CP RESUMO'!D84,"")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HISTORICOS'!E42)</f>
        <v>36922.46</v>
      </c>
      <c r="D6" s="45" t="n">
        <f aca="false">IF(B6&lt;='VALOR POR PL'!$P$5,0,IF($K$17&gt;0,$K$18*P6/$K$17,0))</f>
        <v>0</v>
      </c>
      <c r="E6" s="45" t="n">
        <f aca="false">L6+D6/$K$2</f>
        <v>31.5815197123297</v>
      </c>
      <c r="F6" s="117" t="n">
        <f aca="false">IF($K$9=0,0,E6/$K$9)</f>
        <v>0.0662135353683154</v>
      </c>
      <c r="G6" s="117" t="n">
        <f aca="false">G5+F6</f>
        <v>0.321656131086317</v>
      </c>
      <c r="H6" s="138"/>
      <c r="I6" s="42" t="s">
        <v>2921</v>
      </c>
      <c r="K6" s="52" t="n">
        <f aca="false">'VALOR POR PL'!H48</f>
        <v>476.964710261372</v>
      </c>
      <c r="L6" s="45" t="n">
        <f aca="false">C6/IF(B6&lt;='VALOR POR PL'!$P$5,IFERROR(INDEX('"INCC-FGV"'!$B$2:$B$800,MATCH(B6,'"INCC-FGV"'!$A$2:$A$800,0)),$K$2),$K$2)</f>
        <v>31.5815197123297</v>
      </c>
      <c r="M6" s="139" t="n">
        <f aca="false">'CP RESUMO'!E42</f>
        <v>0</v>
      </c>
      <c r="N6" s="140" t="n">
        <f aca="false">MAX(0,M6-M5)</f>
        <v>0</v>
      </c>
      <c r="O6" s="139" t="n">
        <f aca="false">IF(B6&lt;='VALOR POR PL'!$P$5,'CP RESUMO'!E84,"")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HISTORICOS'!F42)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0.321656131086317</v>
      </c>
      <c r="H7" s="138"/>
      <c r="I7" s="42" t="s">
        <v>2922</v>
      </c>
      <c r="J7" s="45" t="n">
        <f aca="false">C78+D78</f>
        <v>566105.29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RESUMO'!F42</f>
        <v>0</v>
      </c>
      <c r="N7" s="140" t="n">
        <f aca="false">MAX(0,M7-M6)</f>
        <v>0</v>
      </c>
      <c r="O7" s="139" t="n">
        <f aca="false">IF(B7&lt;='VALOR POR PL'!$P$5,'CP RESUMO'!F84,"")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HISTORICOS'!G42)</f>
        <v>34045.51</v>
      </c>
      <c r="D8" s="45" t="n">
        <f aca="false">IF(B8&lt;='VALOR POR PL'!$P$5,0,IF($K$17&gt;0,$K$18*P8/$K$17,0))</f>
        <v>0</v>
      </c>
      <c r="E8" s="45" t="n">
        <f aca="false">L8+D8/$K$2</f>
        <v>28.8916450127547</v>
      </c>
      <c r="F8" s="117" t="n">
        <f aca="false">IF($K$9=0,0,E8/$K$9)</f>
        <v>0.0605739678244171</v>
      </c>
      <c r="G8" s="117" t="n">
        <f aca="false">G7+F8</f>
        <v>0.382230098910734</v>
      </c>
      <c r="H8" s="138"/>
      <c r="I8" s="42" t="s">
        <v>2923</v>
      </c>
      <c r="K8" s="66" t="n">
        <f aca="false">SUM(L5:L76)</f>
        <v>476.964710261372</v>
      </c>
      <c r="L8" s="45" t="n">
        <f aca="false">C8/IF(B8&lt;='VALOR POR PL'!$P$5,IFERROR(INDEX('"INCC-FGV"'!$B$2:$B$800,MATCH(B8,'"INCC-FGV"'!$A$2:$A$800,0)),$K$2),$K$2)</f>
        <v>28.8916450127547</v>
      </c>
      <c r="M8" s="139" t="n">
        <f aca="false">'CP RESUMO'!G42</f>
        <v>0</v>
      </c>
      <c r="N8" s="140" t="n">
        <f aca="false">MAX(0,M8-M7)</f>
        <v>0</v>
      </c>
      <c r="O8" s="139" t="n">
        <f aca="false">IF(B8&lt;='VALOR POR PL'!$P$5,'CP RESUMO'!G84,"")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HISTORICOS'!H42)</f>
        <v>14154.82</v>
      </c>
      <c r="D9" s="45" t="n">
        <f aca="false">IF(B9&lt;='VALOR POR PL'!$P$5,0,IF($K$17&gt;0,$K$18*P9/$K$17,0))</f>
        <v>0</v>
      </c>
      <c r="E9" s="45" t="n">
        <f aca="false">L9+D9/$K$2</f>
        <v>11.9504213727414</v>
      </c>
      <c r="F9" s="117" t="n">
        <f aca="false">IF($K$9=0,0,E9/$K$9)</f>
        <v>0.0250551479294824</v>
      </c>
      <c r="G9" s="117" t="n">
        <f aca="false">G8+F9</f>
        <v>0.407285246840216</v>
      </c>
      <c r="H9" s="138"/>
      <c r="I9" s="42" t="s">
        <v>2924</v>
      </c>
      <c r="J9" s="45" t="n">
        <f aca="false">C78+D78</f>
        <v>566105.29</v>
      </c>
      <c r="K9" s="45" t="n">
        <f aca="false">E78</f>
        <v>476.964710261372</v>
      </c>
      <c r="L9" s="45" t="n">
        <f aca="false">C9/IF(B9&lt;='VALOR POR PL'!$P$5,IFERROR(INDEX('"INCC-FGV"'!$B$2:$B$800,MATCH(B9,'"INCC-FGV"'!$A$2:$A$800,0)),$K$2),$K$2)</f>
        <v>11.9504213727414</v>
      </c>
      <c r="M9" s="139" t="n">
        <f aca="false">'CP RESUMO'!H42</f>
        <v>0</v>
      </c>
      <c r="N9" s="140" t="n">
        <f aca="false">MAX(0,M9-M8)</f>
        <v>0</v>
      </c>
      <c r="O9" s="139" t="n">
        <f aca="false">IF(B9&lt;='VALOR POR PL'!$P$5,'CP RESUMO'!H84,"")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HISTORICOS'!I42)</f>
        <v>71756.69</v>
      </c>
      <c r="D10" s="45" t="n">
        <f aca="false">IF(B10&lt;='VALOR POR PL'!$P$5,0,IF($K$17&gt;0,$K$18*P10/$K$17,0))</f>
        <v>0</v>
      </c>
      <c r="E10" s="45" t="n">
        <f aca="false">L10+D10/$K$2</f>
        <v>60.2325725850249</v>
      </c>
      <c r="F10" s="117" t="n">
        <f aca="false">IF($K$9=0,0,E10/$K$9)</f>
        <v>0.12628307983628</v>
      </c>
      <c r="G10" s="117" t="n">
        <f aca="false">G9+F10</f>
        <v>0.533568326676496</v>
      </c>
      <c r="H10" s="138"/>
      <c r="I10" s="42" t="s">
        <v>2925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60.2325725850249</v>
      </c>
      <c r="M10" s="139" t="n">
        <f aca="false">'CP RESUMO'!I42</f>
        <v>0</v>
      </c>
      <c r="N10" s="140" t="n">
        <f aca="false">MAX(0,M10-M9)</f>
        <v>0</v>
      </c>
      <c r="O10" s="139" t="n">
        <f aca="false">IF(B10&lt;='VALOR POR PL'!$P$5,'CP RESUMO'!I84,"")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HISTORICOS'!J42)</f>
        <v>6521.51</v>
      </c>
      <c r="D11" s="45" t="n">
        <f aca="false">IF(B11&lt;='VALOR POR PL'!$P$5,0,IF($K$17&gt;0,$K$18*P11/$K$17,0))</f>
        <v>0</v>
      </c>
      <c r="E11" s="45" t="n">
        <f aca="false">L11+D11/$K$2</f>
        <v>5.43681623064104</v>
      </c>
      <c r="F11" s="117" t="n">
        <f aca="false">IF($K$9=0,0,E11/$K$9)</f>
        <v>0.0113987809028088</v>
      </c>
      <c r="G11" s="117" t="n">
        <f aca="false">G10+F11</f>
        <v>0.544967107579305</v>
      </c>
      <c r="H11" s="138"/>
      <c r="I11" s="42" t="s">
        <v>2926</v>
      </c>
      <c r="K11" s="56" t="n">
        <f aca="false">SUMPRODUCT((B5:B76&gt;'VALOR POR PL'!$P$5)*H5:H76)</f>
        <v>0</v>
      </c>
      <c r="L11" s="45" t="n">
        <f aca="false">C11/IF(B11&lt;='VALOR POR PL'!$P$5,IFERROR(INDEX('"INCC-FGV"'!$B$2:$B$800,MATCH(B11,'"INCC-FGV"'!$A$2:$A$800,0)),$K$2),$K$2)</f>
        <v>5.43681623064104</v>
      </c>
      <c r="M11" s="139" t="n">
        <f aca="false">'CP RESUMO'!J42</f>
        <v>0</v>
      </c>
      <c r="N11" s="140" t="n">
        <f aca="false">MAX(0,M11-M10)</f>
        <v>0</v>
      </c>
      <c r="O11" s="139" t="n">
        <f aca="false">IF(B11&lt;='VALOR POR PL'!$P$5,'CP RESUMO'!J84,"")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HISTORICOS'!K42)</f>
        <v>13570.62</v>
      </c>
      <c r="D12" s="45" t="n">
        <f aca="false">IF(B12&lt;='VALOR POR PL'!$P$5,0,IF($K$17&gt;0,$K$18*P12/$K$17,0))</f>
        <v>0</v>
      </c>
      <c r="E12" s="45" t="n">
        <f aca="false">L12+D12/$K$2</f>
        <v>11.2110244689877</v>
      </c>
      <c r="F12" s="117" t="n">
        <f aca="false">IF($K$9=0,0,E12/$K$9)</f>
        <v>0.0235049349098472</v>
      </c>
      <c r="G12" s="117" t="n">
        <f aca="false">G11+F12</f>
        <v>0.568472042489152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11.2110244689877</v>
      </c>
      <c r="M12" s="139" t="n">
        <f aca="false">'CP RESUMO'!K42</f>
        <v>0</v>
      </c>
      <c r="N12" s="140" t="n">
        <f aca="false">MAX(0,M12-M11)</f>
        <v>0</v>
      </c>
      <c r="O12" s="139" t="n">
        <f aca="false">IF(B12&lt;='VALOR POR PL'!$P$5,'CP RESUMO'!K84,"")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HISTORICOS'!L42)</f>
        <v>26242.32</v>
      </c>
      <c r="D13" s="45" t="n">
        <f aca="false">IF(B13&lt;='VALOR POR PL'!$P$5,0,IF($K$17&gt;0,$K$18*P13/$K$17,0))</f>
        <v>0</v>
      </c>
      <c r="E13" s="45" t="n">
        <f aca="false">L13+D13/$K$2</f>
        <v>21.5683328593761</v>
      </c>
      <c r="F13" s="117" t="n">
        <f aca="false">IF($K$9=0,0,E13/$K$9)</f>
        <v>0.0452199762275009</v>
      </c>
      <c r="G13" s="117" t="n">
        <f aca="false">G12+F13</f>
        <v>0.613692018716653</v>
      </c>
      <c r="H13" s="138"/>
      <c r="I13" s="42" t="s">
        <v>2928</v>
      </c>
      <c r="K13" s="56" t="str">
        <f aca="false">'VALOR POR PL'!I48</f>
        <v>INDIRETO</v>
      </c>
      <c r="L13" s="45" t="n">
        <f aca="false">C13/IF(B13&lt;='VALOR POR PL'!$P$5,IFERROR(INDEX('"INCC-FGV"'!$B$2:$B$800,MATCH(B13,'"INCC-FGV"'!$A$2:$A$800,0)),$K$2),$K$2)</f>
        <v>21.5683328593761</v>
      </c>
      <c r="M13" s="139" t="n">
        <f aca="false">'CP RESUMO'!L42</f>
        <v>0</v>
      </c>
      <c r="N13" s="140" t="n">
        <f aca="false">MAX(0,M13-M12)</f>
        <v>0</v>
      </c>
      <c r="O13" s="139" t="n">
        <f aca="false">IF(B13&lt;='VALOR POR PL'!$P$5,'CP RESUMO'!L84,"")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HISTORICOS'!M42)</f>
        <v>34986.5</v>
      </c>
      <c r="D14" s="45" t="n">
        <f aca="false">IF(B14&lt;='VALOR POR PL'!$P$5,0,IF($K$17&gt;0,$K$18*P14/$K$17,0))</f>
        <v>0</v>
      </c>
      <c r="E14" s="45" t="n">
        <f aca="false">L14+D14/$K$2</f>
        <v>28.7069424581148</v>
      </c>
      <c r="F14" s="117" t="n">
        <f aca="false">IF($K$9=0,0,E14/$K$9)</f>
        <v>0.0601867220792575</v>
      </c>
      <c r="G14" s="117" t="n">
        <f aca="false">G13+F14</f>
        <v>0.673878740795911</v>
      </c>
      <c r="H14" s="138"/>
      <c r="I14" s="42" t="s">
        <v>2929</v>
      </c>
      <c r="K14" s="58" t="n">
        <f aca="false">IFERROR(INDEX('CP RESUMO'!$D$84:$BW$84,MATCH('VALOR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28.7069424581148</v>
      </c>
      <c r="M14" s="139" t="n">
        <f aca="false">'CP RESUMO'!M42</f>
        <v>0</v>
      </c>
      <c r="N14" s="140" t="n">
        <f aca="false">MAX(0,M14-M13)</f>
        <v>0</v>
      </c>
      <c r="O14" s="139" t="n">
        <f aca="false">IF(B14&lt;='VALOR POR PL'!$P$5,'CP RESUMO'!M84,"")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HISTORICOS'!N42)</f>
        <v>70987.17</v>
      </c>
      <c r="D15" s="45" t="n">
        <f aca="false">IF(B15&lt;='VALOR POR PL'!$P$5,0,IF($K$17&gt;0,$K$18*P15/$K$17,0))</f>
        <v>0</v>
      </c>
      <c r="E15" s="45" t="n">
        <f aca="false">L15+D15/$K$2</f>
        <v>58.0740553488509</v>
      </c>
      <c r="F15" s="117" t="n">
        <f aca="false">IF($K$9=0,0,E15/$K$9)</f>
        <v>0.121757551658333</v>
      </c>
      <c r="G15" s="117" t="n">
        <f aca="false">G14+F15</f>
        <v>0.795636292454244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58.0740553488509</v>
      </c>
      <c r="M15" s="139" t="n">
        <f aca="false">'CP RESUMO'!N42</f>
        <v>0</v>
      </c>
      <c r="N15" s="140" t="n">
        <f aca="false">MAX(0,M15-M14)</f>
        <v>0</v>
      </c>
      <c r="O15" s="139" t="n">
        <f aca="false">IF(B15&lt;='VALOR POR PL'!$P$5,'CP RESUMO'!N84,"")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HISTORICOS'!O42)</f>
        <v>119467.69</v>
      </c>
      <c r="D16" s="45" t="n">
        <f aca="false">IF(B16&lt;='VALOR POR PL'!$P$5,0,IF($K$17&gt;0,$K$18*P16/$K$17,0))</f>
        <v>0</v>
      </c>
      <c r="E16" s="45" t="n">
        <f aca="false">L16+D16/$K$2</f>
        <v>97.4742765575013</v>
      </c>
      <c r="F16" s="117" t="n">
        <f aca="false">IF($K$9=0,0,E16/$K$9)</f>
        <v>0.204363707545756</v>
      </c>
      <c r="G16" s="117" t="n">
        <f aca="false">G15+F16</f>
        <v>1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SEM CURVA</v>
      </c>
      <c r="L16" s="45" t="n">
        <f aca="false">C16/IF(B16&lt;='VALOR POR PL'!$P$5,IFERROR(INDEX('"INCC-FGV"'!$B$2:$B$800,MATCH(B16,'"INCC-FGV"'!$A$2:$A$800,0)),$K$2),$K$2)</f>
        <v>97.4742765575013</v>
      </c>
      <c r="M16" s="139" t="n">
        <f aca="false">'CP RESUMO'!O42</f>
        <v>0</v>
      </c>
      <c r="N16" s="140" t="n">
        <f aca="false">MAX(0,M16-M15)</f>
        <v>0</v>
      </c>
      <c r="O16" s="139" t="n">
        <f aca="false">IF(B16&lt;='VALOR POR PL'!$P$5,'CP RESUMO'!O84,"")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HISTORICOS'!P42)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1</v>
      </c>
      <c r="H17" s="138"/>
      <c r="I17" s="42" t="s">
        <v>2933</v>
      </c>
      <c r="K17" s="45" t="n">
        <f aca="false">SUM(P5:P76)</f>
        <v>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RESUMO'!P42</f>
        <v>0</v>
      </c>
      <c r="N17" s="140" t="n">
        <f aca="false">MAX(0,M17-M16)</f>
        <v>0</v>
      </c>
      <c r="O17" s="139" t="n">
        <f aca="false">IF(B17&lt;='VALOR POR PL'!$P$5,'CP RESUMO'!P84,"")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HISTORICOS'!Q42)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1</v>
      </c>
      <c r="H18" s="138"/>
      <c r="I18" s="42" t="s">
        <v>2934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RESUMO'!Q42</f>
        <v>0</v>
      </c>
      <c r="N18" s="140" t="n">
        <f aca="false">MAX(0,M18-M17)</f>
        <v>0</v>
      </c>
      <c r="O18" s="139" t="n">
        <f aca="false">IF(B18&lt;='VALOR POR PL'!$P$5,'CP RESUMO'!Q84,"")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HISTORICOS'!R42)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1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RESUMO'!R42</f>
        <v>0</v>
      </c>
      <c r="N19" s="140" t="n">
        <f aca="false">MAX(0,M19-M18)</f>
        <v>0</v>
      </c>
      <c r="O19" s="139" t="n">
        <f aca="false">IF(B19&lt;='VALOR POR PL'!$P$5,'CP RESUMO'!R84,"")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HISTORICOS'!S42)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1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Não há curva: preencha a coluna H ou revise o Prevision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RESUMO'!S42</f>
        <v>0</v>
      </c>
      <c r="N20" s="140" t="n">
        <f aca="false">MAX(0,M20-M19)</f>
        <v>0</v>
      </c>
      <c r="O20" s="139" t="n">
        <f aca="false">IF(B20&lt;='VALOR POR PL'!$P$5,'CP RESUMO'!S84,"")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HISTORICOS'!T42)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1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RESUMO'!T42</f>
        <v>0</v>
      </c>
      <c r="N21" s="140" t="n">
        <f aca="false">MAX(0,M21-M20)</f>
        <v>0</v>
      </c>
      <c r="O21" s="139" t="n">
        <f aca="false">IF(B21&lt;='VALOR POR PL'!$P$5,'CP RESUMO'!T84,"")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HISTORICOS'!U42)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1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RESUMO'!U42</f>
        <v>0</v>
      </c>
      <c r="N22" s="140" t="n">
        <f aca="false">MAX(0,M22-M21)</f>
        <v>0</v>
      </c>
      <c r="O22" s="139" t="n">
        <f aca="false">IF(B22&lt;='VALOR POR PL'!$P$5,'CP RESUMO'!U84,"")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HISTORICOS'!V42)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1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RESUMO'!V42</f>
        <v>0</v>
      </c>
      <c r="N23" s="140" t="n">
        <f aca="false">MAX(0,M23-M22)</f>
        <v>0</v>
      </c>
      <c r="O23" s="139" t="n">
        <f aca="false">IF(B23&lt;='VALOR POR PL'!$P$5,'CP RESUMO'!V84,"")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HISTORICOS'!W42)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1</v>
      </c>
      <c r="H24" s="138"/>
      <c r="I24" s="144" t="s">
        <v>2940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RESUMO'!W42</f>
        <v>0</v>
      </c>
      <c r="N24" s="140" t="n">
        <f aca="false">MAX(0,M24-M23)</f>
        <v>0</v>
      </c>
      <c r="O24" s="139" t="n">
        <f aca="false">IF(B24&lt;='VALOR POR PL'!$P$5,'CP RESUMO'!W84,"")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HISTORICOS'!X42)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1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RESUMO'!X42</f>
        <v>0</v>
      </c>
      <c r="N25" s="140" t="n">
        <f aca="false">MAX(0,M25-M24)</f>
        <v>0</v>
      </c>
      <c r="O25" s="139" t="n">
        <f aca="false">IF(B25&lt;='VALOR POR PL'!$P$5,'CP RESUMO'!X84,"")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HISTORICOS'!Y42)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1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RESUMO'!Y42</f>
        <v>0</v>
      </c>
      <c r="N26" s="140" t="n">
        <f aca="false">MAX(0,M26-M25)</f>
        <v>0</v>
      </c>
      <c r="O26" s="139" t="str">
        <f aca="false">IF(B26&lt;='VALOR POR PL'!$P$5,'CP RESUMO'!Y84,"")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HISTORICOS'!Z42)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1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RESUMO'!Z42</f>
        <v>0</v>
      </c>
      <c r="N27" s="140" t="n">
        <f aca="false">MAX(0,M27-M26)</f>
        <v>0</v>
      </c>
      <c r="O27" s="139" t="str">
        <f aca="false">IF(B27&lt;='VALOR POR PL'!$P$5,'CP RESUMO'!Z84,"")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HISTORICOS'!AA42)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1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RESUMO'!AA42</f>
        <v>0</v>
      </c>
      <c r="N28" s="140" t="n">
        <f aca="false">MAX(0,M28-M27)</f>
        <v>0</v>
      </c>
      <c r="O28" s="139" t="str">
        <f aca="false">IF(B28&lt;='VALOR POR PL'!$P$5,'CP RESUMO'!AA84,"")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HISTORICOS'!AB42)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RESUMO'!AB42</f>
        <v>0</v>
      </c>
      <c r="N29" s="140" t="n">
        <f aca="false">MAX(0,M29-M28)</f>
        <v>0</v>
      </c>
      <c r="O29" s="139" t="str">
        <f aca="false">IF(B29&lt;='VALOR POR PL'!$P$5,'CP RESUMO'!AB84,"")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HISTORICOS'!AC42)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RESUMO'!AC42</f>
        <v>0</v>
      </c>
      <c r="N30" s="140" t="n">
        <f aca="false">MAX(0,M30-M29)</f>
        <v>0</v>
      </c>
      <c r="O30" s="139" t="str">
        <f aca="false">IF(B30&lt;='VALOR POR PL'!$P$5,'CP RESUMO'!AC84,"")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HISTORICOS'!AD42)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RESUMO'!AD42</f>
        <v>0</v>
      </c>
      <c r="N31" s="140" t="n">
        <f aca="false">MAX(0,M31-M30)</f>
        <v>0</v>
      </c>
      <c r="O31" s="139" t="str">
        <f aca="false">IF(B31&lt;='VALOR POR PL'!$P$5,'CP RESUMO'!AD84,"")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HISTORICOS'!AE42)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RESUMO'!AE42</f>
        <v>0</v>
      </c>
      <c r="N32" s="140" t="n">
        <f aca="false">MAX(0,M32-M31)</f>
        <v>0</v>
      </c>
      <c r="O32" s="139" t="str">
        <f aca="false">IF(B32&lt;='VALOR POR PL'!$P$5,'CP RESUMO'!AE84,"")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HISTORICOS'!AF42)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RESUMO'!AF42</f>
        <v>0</v>
      </c>
      <c r="N33" s="140" t="n">
        <f aca="false">MAX(0,M33-M32)</f>
        <v>0</v>
      </c>
      <c r="O33" s="139" t="str">
        <f aca="false">IF(B33&lt;='VALOR POR PL'!$P$5,'CP RESUMO'!AF84,"")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HISTORICOS'!AG42)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RESUMO'!AG42</f>
        <v>0</v>
      </c>
      <c r="N34" s="140" t="n">
        <f aca="false">MAX(0,M34-M33)</f>
        <v>0</v>
      </c>
      <c r="O34" s="139" t="str">
        <f aca="false">IF(B34&lt;='VALOR POR PL'!$P$5,'CP RESUMO'!AG84,"")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HISTORICOS'!AH42)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RESUMO'!AH42</f>
        <v>0</v>
      </c>
      <c r="N35" s="140" t="n">
        <f aca="false">MAX(0,M35-M34)</f>
        <v>0</v>
      </c>
      <c r="O35" s="139" t="str">
        <f aca="false">IF(B35&lt;='VALOR POR PL'!$P$5,'CP RESUMO'!AH84,"")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HISTORICOS'!AI42)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RESUMO'!AI42</f>
        <v>0</v>
      </c>
      <c r="N36" s="140" t="n">
        <f aca="false">MAX(0,M36-M35)</f>
        <v>0</v>
      </c>
      <c r="O36" s="139" t="str">
        <f aca="false">IF(B36&lt;='VALOR POR PL'!$P$5,'CP RESUMO'!AI84,"")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HISTORICOS'!AJ42)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RESUMO'!AJ42</f>
        <v>0</v>
      </c>
      <c r="N37" s="140" t="n">
        <f aca="false">MAX(0,M37-M36)</f>
        <v>0</v>
      </c>
      <c r="O37" s="139" t="str">
        <f aca="false">IF(B37&lt;='VALOR POR PL'!$P$5,'CP RESUMO'!AJ84,"")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HISTORICOS'!AK42)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RESUMO'!AK42</f>
        <v>0</v>
      </c>
      <c r="N38" s="140" t="n">
        <f aca="false">MAX(0,M38-M37)</f>
        <v>0</v>
      </c>
      <c r="O38" s="139" t="str">
        <f aca="false">IF(B38&lt;='VALOR POR PL'!$P$5,'CP RESUMO'!AK84,"")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HISTORICOS'!AL42)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RESUMO'!AL42</f>
        <v>0</v>
      </c>
      <c r="N39" s="140" t="n">
        <f aca="false">MAX(0,M39-M38)</f>
        <v>0</v>
      </c>
      <c r="O39" s="139" t="str">
        <f aca="false">IF(B39&lt;='VALOR POR PL'!$P$5,'CP RESUMO'!AL84,"")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HISTORICOS'!AM42)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RESUMO'!AM42</f>
        <v>0</v>
      </c>
      <c r="N40" s="140" t="n">
        <f aca="false">MAX(0,M40-M39)</f>
        <v>0</v>
      </c>
      <c r="O40" s="139" t="str">
        <f aca="false">IF(B40&lt;='VALOR POR PL'!$P$5,'CP RESUMO'!AM84,"")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HISTORICOS'!AN42)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RESUMO'!AN42</f>
        <v>0</v>
      </c>
      <c r="N41" s="140" t="n">
        <f aca="false">MAX(0,M41-M40)</f>
        <v>0</v>
      </c>
      <c r="O41" s="139" t="str">
        <f aca="false">IF(B41&lt;='VALOR POR PL'!$P$5,'CP RESUMO'!AN84,"")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HISTORICOS'!AO42)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RESUMO'!AO42</f>
        <v>0</v>
      </c>
      <c r="N42" s="140" t="n">
        <f aca="false">MAX(0,M42-M41)</f>
        <v>0</v>
      </c>
      <c r="O42" s="139" t="str">
        <f aca="false">IF(B42&lt;='VALOR POR PL'!$P$5,'CP RESUMO'!AO84,"")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HISTORICOS'!AP42)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RESUMO'!AP42</f>
        <v>0</v>
      </c>
      <c r="N43" s="140" t="n">
        <f aca="false">MAX(0,M43-M42)</f>
        <v>0</v>
      </c>
      <c r="O43" s="139" t="str">
        <f aca="false">IF(B43&lt;='VALOR POR PL'!$P$5,'CP RESUMO'!AP84,"")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HISTORICOS'!AQ42)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RESUMO'!AQ42</f>
        <v>0</v>
      </c>
      <c r="N44" s="140" t="n">
        <f aca="false">MAX(0,M44-M43)</f>
        <v>0</v>
      </c>
      <c r="O44" s="139" t="str">
        <f aca="false">IF(B44&lt;='VALOR POR PL'!$P$5,'CP RESUMO'!AQ84,"")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HISTORICOS'!AR42)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RESUMO'!AR42</f>
        <v>0</v>
      </c>
      <c r="N45" s="140" t="n">
        <f aca="false">MAX(0,M45-M44)</f>
        <v>0</v>
      </c>
      <c r="O45" s="139" t="str">
        <f aca="false">IF(B45&lt;='VALOR POR PL'!$P$5,'CP RESUMO'!AR84,"")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HISTORICOS'!AS42)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RESUMO'!AS42</f>
        <v>0</v>
      </c>
      <c r="N46" s="140" t="n">
        <f aca="false">MAX(0,M46-M45)</f>
        <v>0</v>
      </c>
      <c r="O46" s="139" t="str">
        <f aca="false">IF(B46&lt;='VALOR POR PL'!$P$5,'CP RESUMO'!AS84,"")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HISTORICOS'!AT42)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RESUMO'!AT42</f>
        <v>0</v>
      </c>
      <c r="N47" s="140" t="n">
        <f aca="false">MAX(0,M47-M46)</f>
        <v>0</v>
      </c>
      <c r="O47" s="139" t="str">
        <f aca="false">IF(B47&lt;='VALOR POR PL'!$P$5,'CP RESUMO'!AT84,"")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HISTORICOS'!AU42)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RESUMO'!AU42</f>
        <v>0</v>
      </c>
      <c r="N48" s="140" t="n">
        <f aca="false">MAX(0,M48-M47)</f>
        <v>0</v>
      </c>
      <c r="O48" s="139" t="str">
        <f aca="false">IF(B48&lt;='VALOR POR PL'!$P$5,'CP RESUMO'!AU84,"")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HISTORICOS'!AV42)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RESUMO'!AV42</f>
        <v>0</v>
      </c>
      <c r="N49" s="140" t="n">
        <f aca="false">MAX(0,M49-M48)</f>
        <v>0</v>
      </c>
      <c r="O49" s="139" t="str">
        <f aca="false">IF(B49&lt;='VALOR POR PL'!$P$5,'CP RESUMO'!AV84,"")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HISTORICOS'!AW42)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RESUMO'!AW42</f>
        <v>0</v>
      </c>
      <c r="N50" s="140" t="n">
        <f aca="false">MAX(0,M50-M49)</f>
        <v>0</v>
      </c>
      <c r="O50" s="139" t="str">
        <f aca="false">IF(B50&lt;='VALOR POR PL'!$P$5,'CP RESUMO'!AW84,"")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HISTORICOS'!AX42)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RESUMO'!AX42</f>
        <v>0</v>
      </c>
      <c r="N51" s="140" t="n">
        <f aca="false">MAX(0,M51-M50)</f>
        <v>0</v>
      </c>
      <c r="O51" s="139" t="str">
        <f aca="false">IF(B51&lt;='VALOR POR PL'!$P$5,'CP RESUMO'!AX84,"")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HISTORICOS'!AY42)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RESUMO'!AY42</f>
        <v>0</v>
      </c>
      <c r="N52" s="140" t="n">
        <f aca="false">MAX(0,M52-M51)</f>
        <v>0</v>
      </c>
      <c r="O52" s="139" t="str">
        <f aca="false">IF(B52&lt;='VALOR POR PL'!$P$5,'CP RESUMO'!AY84,"")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HISTORICOS'!AZ42)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RESUMO'!AZ42</f>
        <v>0</v>
      </c>
      <c r="N53" s="140" t="n">
        <f aca="false">MAX(0,M53-M52)</f>
        <v>0</v>
      </c>
      <c r="O53" s="139" t="str">
        <f aca="false">IF(B53&lt;='VALOR POR PL'!$P$5,'CP RESUMO'!AZ84,"")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HISTORICOS'!BA42)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RESUMO'!BA42</f>
        <v>0</v>
      </c>
      <c r="N54" s="140" t="n">
        <f aca="false">MAX(0,M54-M53)</f>
        <v>0</v>
      </c>
      <c r="O54" s="139" t="str">
        <f aca="false">IF(B54&lt;='VALOR POR PL'!$P$5,'CP RESUMO'!BA84,"")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HISTORICOS'!BB42)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RESUMO'!BB42</f>
        <v>0</v>
      </c>
      <c r="N55" s="140" t="n">
        <f aca="false">MAX(0,M55-M54)</f>
        <v>0</v>
      </c>
      <c r="O55" s="139" t="str">
        <f aca="false">IF(B55&lt;='VALOR POR PL'!$P$5,'CP RESUMO'!BB84,"")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HISTORICOS'!BC42)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RESUMO'!BC42</f>
        <v>0</v>
      </c>
      <c r="N56" s="140" t="n">
        <f aca="false">MAX(0,M56-M55)</f>
        <v>0</v>
      </c>
      <c r="O56" s="139" t="str">
        <f aca="false">IF(B56&lt;='VALOR POR PL'!$P$5,'CP RESUMO'!BC84,"")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HISTORICOS'!BD42)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RESUMO'!BD42</f>
        <v>0</v>
      </c>
      <c r="N57" s="140" t="n">
        <f aca="false">MAX(0,M57-M56)</f>
        <v>0</v>
      </c>
      <c r="O57" s="139" t="str">
        <f aca="false">IF(B57&lt;='VALOR POR PL'!$P$5,'CP RESUMO'!BD84,"")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HISTORICOS'!BE42)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RESUMO'!BE42</f>
        <v>0</v>
      </c>
      <c r="N58" s="140" t="n">
        <f aca="false">MAX(0,M58-M57)</f>
        <v>0</v>
      </c>
      <c r="O58" s="139" t="str">
        <f aca="false">IF(B58&lt;='VALOR POR PL'!$P$5,'CP RESUMO'!BE84,"")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HISTORICOS'!BF42)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RESUMO'!BF42</f>
        <v>0</v>
      </c>
      <c r="N59" s="140" t="n">
        <f aca="false">MAX(0,M59-M58)</f>
        <v>0</v>
      </c>
      <c r="O59" s="139" t="str">
        <f aca="false">IF(B59&lt;='VALOR POR PL'!$P$5,'CP RESUMO'!BF84,"")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HISTORICOS'!BG42)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RESUMO'!BG42</f>
        <v>0</v>
      </c>
      <c r="N60" s="140" t="n">
        <f aca="false">MAX(0,M60-M59)</f>
        <v>0</v>
      </c>
      <c r="O60" s="139" t="str">
        <f aca="false">IF(B60&lt;='VALOR POR PL'!$P$5,'CP RESUMO'!BG84,"")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HISTORICOS'!BH42)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RESUMO'!BH42</f>
        <v>0</v>
      </c>
      <c r="N61" s="140" t="n">
        <f aca="false">MAX(0,M61-M60)</f>
        <v>0</v>
      </c>
      <c r="O61" s="139" t="str">
        <f aca="false">IF(B61&lt;='VALOR POR PL'!$P$5,'CP RESUMO'!BH84,"")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HISTORICOS'!BI42)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RESUMO'!BI42</f>
        <v>0</v>
      </c>
      <c r="N62" s="140" t="n">
        <f aca="false">MAX(0,M62-M61)</f>
        <v>0</v>
      </c>
      <c r="O62" s="139" t="str">
        <f aca="false">IF(B62&lt;='VALOR POR PL'!$P$5,'CP RESUMO'!BI84,"")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HISTORICOS'!BJ42)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RESUMO'!BJ42</f>
        <v>0</v>
      </c>
      <c r="N63" s="140" t="n">
        <f aca="false">MAX(0,M63-M62)</f>
        <v>0</v>
      </c>
      <c r="O63" s="139" t="str">
        <f aca="false">IF(B63&lt;='VALOR POR PL'!$P$5,'CP RESUMO'!BJ84,"")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HISTORICOS'!BK42)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RESUMO'!BK42</f>
        <v>0</v>
      </c>
      <c r="N64" s="140" t="n">
        <f aca="false">MAX(0,M64-M63)</f>
        <v>0</v>
      </c>
      <c r="O64" s="139" t="str">
        <f aca="false">IF(B64&lt;='VALOR POR PL'!$P$5,'CP RESUMO'!BK84,"")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HISTORICOS'!BL42)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RESUMO'!BL42</f>
        <v>0</v>
      </c>
      <c r="N65" s="140" t="n">
        <f aca="false">MAX(0,M65-M64)</f>
        <v>0</v>
      </c>
      <c r="O65" s="139" t="str">
        <f aca="false">IF(B65&lt;='VALOR POR PL'!$P$5,'CP RESUMO'!BL84,"")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HISTORICOS'!BM42)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RESUMO'!BM42</f>
        <v>0</v>
      </c>
      <c r="N66" s="140" t="n">
        <f aca="false">MAX(0,M66-M65)</f>
        <v>0</v>
      </c>
      <c r="O66" s="139" t="str">
        <f aca="false">IF(B66&lt;='VALOR POR PL'!$P$5,'CP RESUMO'!BM84,"")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HISTORICOS'!BN42)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RESUMO'!BN42</f>
        <v>0</v>
      </c>
      <c r="N67" s="140" t="n">
        <f aca="false">MAX(0,M67-M66)</f>
        <v>0</v>
      </c>
      <c r="O67" s="139" t="str">
        <f aca="false">IF(B67&lt;='VALOR POR PL'!$P$5,'CP RESUMO'!BN84,"")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HISTORICOS'!BO42)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RESUMO'!BO42</f>
        <v>0</v>
      </c>
      <c r="N68" s="140" t="n">
        <f aca="false">MAX(0,M68-M67)</f>
        <v>0</v>
      </c>
      <c r="O68" s="139" t="str">
        <f aca="false">IF(B68&lt;='VALOR POR PL'!$P$5,'CP RESUMO'!BO84,"")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HISTORICOS'!BP42)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RESUMO'!BP42</f>
        <v>0</v>
      </c>
      <c r="N69" s="140" t="n">
        <f aca="false">MAX(0,M69-M68)</f>
        <v>0</v>
      </c>
      <c r="O69" s="139" t="str">
        <f aca="false">IF(B69&lt;='VALOR POR PL'!$P$5,'CP RESUMO'!BP84,"")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HISTORICOS'!BQ42)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RESUMO'!BQ42</f>
        <v>0</v>
      </c>
      <c r="N70" s="140" t="n">
        <f aca="false">MAX(0,M70-M69)</f>
        <v>0</v>
      </c>
      <c r="O70" s="139" t="str">
        <f aca="false">IF(B70&lt;='VALOR POR PL'!$P$5,'CP RESUMO'!BQ84,"")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HISTORICOS'!BR42)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RESUMO'!BR42</f>
        <v>0</v>
      </c>
      <c r="N71" s="140" t="n">
        <f aca="false">MAX(0,M71-M70)</f>
        <v>0</v>
      </c>
      <c r="O71" s="139" t="str">
        <f aca="false">IF(B71&lt;='VALOR POR PL'!$P$5,'CP RESUMO'!BR84,"")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HISTORICOS'!BS42)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RESUMO'!BS42</f>
        <v>0</v>
      </c>
      <c r="N72" s="140" t="n">
        <f aca="false">MAX(0,M72-M71)</f>
        <v>0</v>
      </c>
      <c r="O72" s="139" t="str">
        <f aca="false">IF(B72&lt;='VALOR POR PL'!$P$5,'CP RESUMO'!BS84,"")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HISTORICOS'!BT42)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RESUMO'!BT42</f>
        <v>0</v>
      </c>
      <c r="N73" s="140" t="n">
        <f aca="false">MAX(0,M73-M72)</f>
        <v>0</v>
      </c>
      <c r="O73" s="139" t="str">
        <f aca="false">IF(B73&lt;='VALOR POR PL'!$P$5,'CP RESUMO'!BT84,"")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HISTORICOS'!BU42)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RESUMO'!BU42</f>
        <v>0</v>
      </c>
      <c r="N74" s="140" t="n">
        <f aca="false">MAX(0,M74-M73)</f>
        <v>0</v>
      </c>
      <c r="O74" s="139" t="str">
        <f aca="false">IF(B74&lt;='VALOR POR PL'!$P$5,'CP RESUMO'!BU84,"")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HISTORICOS'!BV42)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RESUMO'!BV42</f>
        <v>0</v>
      </c>
      <c r="N75" s="140" t="n">
        <f aca="false">MAX(0,M75-M74)</f>
        <v>0</v>
      </c>
      <c r="O75" s="139" t="str">
        <f aca="false">IF(B75&lt;='VALOR POR PL'!$P$5,'CP RESUMO'!BV84,"")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HISTORICOS'!BW42)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RESUMO'!BW42</f>
        <v>0</v>
      </c>
      <c r="N76" s="140" t="n">
        <f aca="false">MAX(0,M76-M75)</f>
        <v>0</v>
      </c>
      <c r="O76" s="139" t="str">
        <f aca="false">IF(B76&lt;='VALOR POR PL'!$P$5,'CP RESUMO'!BW84,"")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566105.29</v>
      </c>
      <c r="D78" s="61" t="n">
        <f aca="false">SUM(D5:D76)</f>
        <v>0</v>
      </c>
      <c r="E78" s="61" t="n">
        <f aca="false">SUM(E5:E76)</f>
        <v>476.964710261372</v>
      </c>
      <c r="F78" s="145" t="n">
        <f aca="false">SUM(F5:F76)</f>
        <v>1</v>
      </c>
      <c r="H78" s="61" t="n">
        <f aca="false">SUM(H5:H76)</f>
        <v>0</v>
      </c>
      <c r="L78" s="61" t="n">
        <f aca="false">SUM(L5:L76)</f>
        <v>476.964710261372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PL'!D12</f>
        <v>SEGUROS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PL'!F12</f>
        <v>126154.98</v>
      </c>
      <c r="K5" s="56" t="n">
        <f aca="false">'VALOR POR PL'!G12</f>
        <v>103.685673</v>
      </c>
      <c r="L5" s="56" t="n">
        <f aca="false">'DADOS HISTORICOS'!$BZ$6</f>
        <v>0</v>
      </c>
      <c r="M5" s="139" t="n">
        <f aca="false">'CP RESUMO'!D6</f>
        <v>0</v>
      </c>
      <c r="N5" s="140" t="n">
        <v>0</v>
      </c>
      <c r="O5" s="139" t="n">
        <f aca="false">IF(B5&lt;='VALOR POR PL'!$P$5,'CP RESUMO'!D48,"")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PL'!H12</f>
        <v>191.166414165265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RESUMO'!E6</f>
        <v>0</v>
      </c>
      <c r="N6" s="140" t="n">
        <f aca="false">MAX(0,M6-M5)</f>
        <v>0</v>
      </c>
      <c r="O6" s="139" t="n">
        <f aca="false">IF(B6&lt;='VALOR POR PL'!$P$5,'CP RESUMO'!E48,"")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241135.16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RESUMO'!F6</f>
        <v>0</v>
      </c>
      <c r="N7" s="140" t="n">
        <f aca="false">MAX(0,M7-M6)</f>
        <v>0</v>
      </c>
      <c r="O7" s="139" t="n">
        <f aca="false">IF(B7&lt;='VALOR POR PL'!$P$5,'CP RESUMO'!F48,"")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191.166414165265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RESUMO'!G6</f>
        <v>0</v>
      </c>
      <c r="N8" s="140" t="n">
        <f aca="false">MAX(0,M8-M7)</f>
        <v>0</v>
      </c>
      <c r="O8" s="139" t="n">
        <f aca="false">IF(B8&lt;='VALOR POR PL'!$P$5,'CP RESUMO'!G48,"")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241135.16</v>
      </c>
      <c r="K9" s="45" t="n">
        <f aca="false">E78</f>
        <v>191.166414165265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RESUMO'!H6</f>
        <v>0</v>
      </c>
      <c r="N9" s="140" t="n">
        <f aca="false">MAX(0,M9-M8)</f>
        <v>0</v>
      </c>
      <c r="O9" s="139" t="n">
        <f aca="false">IF(B9&lt;='VALOR POR PL'!$P$5,'CP RESUMO'!H48,"")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RESUMO'!I6</f>
        <v>0</v>
      </c>
      <c r="N10" s="140" t="n">
        <f aca="false">MAX(0,M10-M9)</f>
        <v>0</v>
      </c>
      <c r="O10" s="139" t="n">
        <f aca="false">IF(B10&lt;='VALOR POR PL'!$P$5,'CP RESUMO'!I48,"")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0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RESUMO'!J6</f>
        <v>0</v>
      </c>
      <c r="N11" s="140" t="n">
        <f aca="false">MAX(0,M11-M10)</f>
        <v>0</v>
      </c>
      <c r="O11" s="139" t="n">
        <f aca="false">IF(B11&lt;='VALOR POR PL'!$P$5,'CP RESUMO'!J48,"")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RESUMO'!K6</f>
        <v>0</v>
      </c>
      <c r="N12" s="140" t="n">
        <f aca="false">MAX(0,M12-M11)</f>
        <v>0</v>
      </c>
      <c r="O12" s="139" t="n">
        <f aca="false">IF(B12&lt;='VALOR POR PL'!$P$5,'CP RESUMO'!K48,"")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PL'!I12</f>
        <v>INDIRETO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RESUMO'!L6</f>
        <v>0</v>
      </c>
      <c r="N13" s="140" t="n">
        <f aca="false">MAX(0,M13-M12)</f>
        <v>0</v>
      </c>
      <c r="O13" s="139" t="n">
        <f aca="false">IF(B13&lt;='VALOR POR PL'!$P$5,'CP RESUMO'!L48,"")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HISTORICOS'!M6)</f>
        <v>29594.38</v>
      </c>
      <c r="D14" s="45" t="n">
        <f aca="false">IF(B14&lt;='VALOR POR PL'!$P$5,0,IF($K$17&gt;0,$K$18*P14/$K$17,0))</f>
        <v>0</v>
      </c>
      <c r="E14" s="45" t="n">
        <f aca="false">L14+D14/$K$2</f>
        <v>24.2826279777509</v>
      </c>
      <c r="F14" s="117" t="n">
        <f aca="false">IF($K$9=0,0,E14/$K$9)</f>
        <v>0.127023505063804</v>
      </c>
      <c r="G14" s="117" t="n">
        <f aca="false">G13+F14</f>
        <v>0.127023505063804</v>
      </c>
      <c r="H14" s="138"/>
      <c r="I14" s="42" t="s">
        <v>2929</v>
      </c>
      <c r="K14" s="58" t="n">
        <f aca="false">IFERROR(INDEX('CP RESUMO'!$D$48:$BW$48,MATCH('VALOR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24.2826279777509</v>
      </c>
      <c r="M14" s="139" t="n">
        <f aca="false">'CP RESUMO'!M6</f>
        <v>0</v>
      </c>
      <c r="N14" s="140" t="n">
        <f aca="false">MAX(0,M14-M13)</f>
        <v>0</v>
      </c>
      <c r="O14" s="139" t="n">
        <f aca="false">IF(B14&lt;='VALOR POR PL'!$P$5,'CP RESUMO'!M48,"")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HISTORICOS'!N6)</f>
        <v>15763.13</v>
      </c>
      <c r="D15" s="45" t="n">
        <f aca="false">IF(B15&lt;='VALOR POR PL'!$P$5,0,IF($K$17&gt;0,$K$18*P15/$K$17,0))</f>
        <v>0</v>
      </c>
      <c r="E15" s="45" t="n">
        <f aca="false">L15+D15/$K$2</f>
        <v>12.8956948712159</v>
      </c>
      <c r="F15" s="117" t="n">
        <f aca="false">IF($K$9=0,0,E15/$K$9)</f>
        <v>0.0674579524208026</v>
      </c>
      <c r="G15" s="117" t="n">
        <f aca="false">G14+F15</f>
        <v>0.194481457484607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12.8956948712159</v>
      </c>
      <c r="M15" s="139" t="n">
        <f aca="false">'CP RESUMO'!N6</f>
        <v>0</v>
      </c>
      <c r="N15" s="140" t="n">
        <f aca="false">MAX(0,M15-M14)</f>
        <v>0</v>
      </c>
      <c r="O15" s="139" t="n">
        <f aca="false">IF(B15&lt;='VALOR POR PL'!$P$5,'CP RESUMO'!N48,"")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HISTORICOS'!O6)</f>
        <v>1931.88</v>
      </c>
      <c r="D16" s="45" t="n">
        <f aca="false">IF(B16&lt;='VALOR POR PL'!$P$5,0,IF($K$17&gt;0,$K$18*P16/$K$17,0))</f>
        <v>0</v>
      </c>
      <c r="E16" s="45" t="n">
        <f aca="false">L16+D16/$K$2</f>
        <v>1.57623040502336</v>
      </c>
      <c r="F16" s="117" t="n">
        <f aca="false">IF($K$9=0,0,E16/$K$9)</f>
        <v>0.00824533123093838</v>
      </c>
      <c r="G16" s="117" t="n">
        <f aca="false">G15+F16</f>
        <v>0.202726788715545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SEM CURVA</v>
      </c>
      <c r="L16" s="45" t="n">
        <f aca="false">C16/IF(B16&lt;='VALOR POR PL'!$P$5,IFERROR(INDEX('"INCC-FGV"'!$B$2:$B$800,MATCH(B16,'"INCC-FGV"'!$A$2:$A$800,0)),$K$2),$K$2)</f>
        <v>1.57623040502336</v>
      </c>
      <c r="M16" s="139" t="n">
        <f aca="false">'CP RESUMO'!O6</f>
        <v>0</v>
      </c>
      <c r="N16" s="140" t="n">
        <f aca="false">MAX(0,M16-M15)</f>
        <v>0</v>
      </c>
      <c r="O16" s="139" t="n">
        <f aca="false">IF(B16&lt;='VALOR POR PL'!$P$5,'CP RESUMO'!O48,"")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HISTORICOS'!P6)</f>
        <v>29895.53</v>
      </c>
      <c r="D17" s="45" t="n">
        <f aca="false">IF(B17&lt;='VALOR POR PL'!$P$5,0,IF($K$17&gt;0,$K$18*P17/$K$17,0))</f>
        <v>0</v>
      </c>
      <c r="E17" s="45" t="n">
        <f aca="false">L17+D17/$K$2</f>
        <v>24.3417027572118</v>
      </c>
      <c r="F17" s="117" t="n">
        <f aca="false">IF($K$9=0,0,E17/$K$9)</f>
        <v>0.127332527857996</v>
      </c>
      <c r="G17" s="117" t="n">
        <f aca="false">G16+F17</f>
        <v>0.330059316573541</v>
      </c>
      <c r="H17" s="138"/>
      <c r="I17" s="42" t="s">
        <v>2933</v>
      </c>
      <c r="K17" s="45" t="n">
        <f aca="false">SUM(P5:P76)</f>
        <v>0</v>
      </c>
      <c r="L17" s="45" t="n">
        <f aca="false">C17/IF(B17&lt;='VALOR POR PL'!$P$5,IFERROR(INDEX('"INCC-FGV"'!$B$2:$B$800,MATCH(B17,'"INCC-FGV"'!$A$2:$A$800,0)),$K$2),$K$2)</f>
        <v>24.3417027572118</v>
      </c>
      <c r="M17" s="139" t="n">
        <f aca="false">'CP RESUMO'!P6</f>
        <v>0</v>
      </c>
      <c r="N17" s="140" t="n">
        <f aca="false">MAX(0,M17-M16)</f>
        <v>0</v>
      </c>
      <c r="O17" s="139" t="n">
        <f aca="false">IF(B17&lt;='VALOR POR PL'!$P$5,'CP RESUMO'!P48,"")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HISTORICOS'!Q6)</f>
        <v>16064.28</v>
      </c>
      <c r="D18" s="45" t="n">
        <f aca="false">IF(B18&lt;='VALOR POR PL'!$P$5,0,IF($K$17&gt;0,$K$18*P18/$K$17,0))</f>
        <v>0</v>
      </c>
      <c r="E18" s="45" t="n">
        <f aca="false">L18+D18/$K$2</f>
        <v>12.986105497334</v>
      </c>
      <c r="F18" s="117" t="n">
        <f aca="false">IF($K$9=0,0,E18/$K$9)</f>
        <v>0.067930894420122</v>
      </c>
      <c r="G18" s="117" t="n">
        <f aca="false">G17+F18</f>
        <v>0.397990210993663</v>
      </c>
      <c r="H18" s="138"/>
      <c r="I18" s="42" t="s">
        <v>2934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12.986105497334</v>
      </c>
      <c r="M18" s="139" t="n">
        <f aca="false">'CP RESUMO'!Q6</f>
        <v>0</v>
      </c>
      <c r="N18" s="140" t="n">
        <f aca="false">MAX(0,M18-M17)</f>
        <v>0</v>
      </c>
      <c r="O18" s="139" t="n">
        <f aca="false">IF(B18&lt;='VALOR POR PL'!$P$5,'CP RESUMO'!Q48,"")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HISTORICOS'!R6)</f>
        <v>2233.03</v>
      </c>
      <c r="D19" s="45" t="n">
        <f aca="false">IF(B19&lt;='VALOR POR PL'!$P$5,0,IF($K$17&gt;0,$K$18*P19/$K$17,0))</f>
        <v>0</v>
      </c>
      <c r="E19" s="45" t="n">
        <f aca="false">L19+D19/$K$2</f>
        <v>1.80013236800886</v>
      </c>
      <c r="F19" s="117" t="n">
        <f aca="false">IF($K$9=0,0,E19/$K$9)</f>
        <v>0.00941657234022619</v>
      </c>
      <c r="G19" s="117" t="n">
        <f aca="false">G18+F19</f>
        <v>0.407406783333889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1.80013236800886</v>
      </c>
      <c r="M19" s="139" t="n">
        <f aca="false">'CP RESUMO'!R6</f>
        <v>0</v>
      </c>
      <c r="N19" s="140" t="n">
        <f aca="false">MAX(0,M19-M18)</f>
        <v>0</v>
      </c>
      <c r="O19" s="139" t="n">
        <f aca="false">IF(B19&lt;='VALOR POR PL'!$P$5,'CP RESUMO'!R48,"")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HISTORICOS'!S6)</f>
        <v>29895.47</v>
      </c>
      <c r="D20" s="45" t="n">
        <f aca="false">IF(B20&lt;='VALOR POR PL'!$P$5,0,IF($K$17&gt;0,$K$18*P20/$K$17,0))</f>
        <v>0</v>
      </c>
      <c r="E20" s="45" t="n">
        <f aca="false">L20+D20/$K$2</f>
        <v>23.9704341230343</v>
      </c>
      <c r="F20" s="117" t="n">
        <f aca="false">IF($K$9=0,0,E20/$K$9)</f>
        <v>0.125390405148844</v>
      </c>
      <c r="G20" s="117" t="n">
        <f aca="false">G19+F20</f>
        <v>0.532797188482733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Não há curva: preencha a coluna H ou revise o Prevision</v>
      </c>
      <c r="L20" s="45" t="n">
        <f aca="false">C20/IF(B20&lt;='VALOR POR PL'!$P$5,IFERROR(INDEX('"INCC-FGV"'!$B$2:$B$800,MATCH(B20,'"INCC-FGV"'!$A$2:$A$800,0)),$K$2),$K$2)</f>
        <v>23.9704341230343</v>
      </c>
      <c r="M20" s="139" t="n">
        <f aca="false">'CP RESUMO'!S6</f>
        <v>0</v>
      </c>
      <c r="N20" s="140" t="n">
        <f aca="false">MAX(0,M20-M19)</f>
        <v>0</v>
      </c>
      <c r="O20" s="139" t="n">
        <f aca="false">IF(B20&lt;='VALOR POR PL'!$P$5,'CP RESUMO'!S48,"")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HISTORICOS'!T6)</f>
        <v>2232.98</v>
      </c>
      <c r="D21" s="45" t="n">
        <f aca="false">IF(B21&lt;='VALOR POR PL'!$P$5,0,IF($K$17&gt;0,$K$18*P21/$K$17,0))</f>
        <v>0</v>
      </c>
      <c r="E21" s="45" t="n">
        <f aca="false">L21+D21/$K$2</f>
        <v>1.77269595094518</v>
      </c>
      <c r="F21" s="117" t="n">
        <f aca="false">IF($K$9=0,0,E21/$K$9)</f>
        <v>0.00927305122443039</v>
      </c>
      <c r="G21" s="117" t="n">
        <f aca="false">G20+F21</f>
        <v>0.542070239707163</v>
      </c>
      <c r="H21" s="138"/>
      <c r="K21" s="143"/>
      <c r="L21" s="45" t="n">
        <f aca="false">C21/IF(B21&lt;='VALOR POR PL'!$P$5,IFERROR(INDEX('"INCC-FGV"'!$B$2:$B$800,MATCH(B21,'"INCC-FGV"'!$A$2:$A$800,0)),$K$2),$K$2)</f>
        <v>1.77269595094518</v>
      </c>
      <c r="M21" s="139" t="n">
        <f aca="false">'CP RESUMO'!T6</f>
        <v>0</v>
      </c>
      <c r="N21" s="140" t="n">
        <f aca="false">MAX(0,M21-M20)</f>
        <v>0</v>
      </c>
      <c r="O21" s="139" t="n">
        <f aca="false">IF(B21&lt;='VALOR POR PL'!$P$5,'CP RESUMO'!T48,"")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HISTORICOS'!U6)</f>
        <v>301.15</v>
      </c>
      <c r="D22" s="45" t="n">
        <f aca="false">IF(B22&lt;='VALOR POR PL'!$P$5,0,IF($K$17&gt;0,$K$18*P22/$K$17,0))</f>
        <v>0</v>
      </c>
      <c r="E22" s="45" t="n">
        <f aca="false">L22+D22/$K$2</f>
        <v>0.236996289432161</v>
      </c>
      <c r="F22" s="117" t="n">
        <f aca="false">IF($K$9=0,0,E22/$K$9)</f>
        <v>0.00123973811229872</v>
      </c>
      <c r="G22" s="117" t="n">
        <f aca="false">G21+F22</f>
        <v>0.543309977819462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0.236996289432161</v>
      </c>
      <c r="M22" s="139" t="n">
        <f aca="false">'CP RESUMO'!U6</f>
        <v>0</v>
      </c>
      <c r="N22" s="140" t="n">
        <f aca="false">MAX(0,M22-M21)</f>
        <v>0</v>
      </c>
      <c r="O22" s="139" t="n">
        <f aca="false">IF(B22&lt;='VALOR POR PL'!$P$5,'CP RESUMO'!U48,"")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0.543309977819462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RESUMO'!V6</f>
        <v>0</v>
      </c>
      <c r="N23" s="140" t="n">
        <f aca="false">MAX(0,M23-M22)</f>
        <v>0</v>
      </c>
      <c r="O23" s="139" t="n">
        <f aca="false">IF(B23&lt;='VALOR POR PL'!$P$5,'CP RESUMO'!V48,"")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0.543309977819462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RESUMO'!W6</f>
        <v>0</v>
      </c>
      <c r="N24" s="140" t="n">
        <f aca="false">MAX(0,M24-M23)</f>
        <v>0</v>
      </c>
      <c r="O24" s="139" t="n">
        <f aca="false">IF(B24&lt;='VALOR POR PL'!$P$5,'CP RESUMO'!W48,"")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0.543309977819462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RESUMO'!X6</f>
        <v>0</v>
      </c>
      <c r="N25" s="140" t="n">
        <f aca="false">MAX(0,M25-M24)</f>
        <v>0</v>
      </c>
      <c r="O25" s="139" t="n">
        <f aca="false">IF(B25&lt;='VALOR POR PL'!$P$5,'CP RESUMO'!X48,"")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HISTORICOS'!Y6)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0.543309977819462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RESUMO'!Y6</f>
        <v>0</v>
      </c>
      <c r="N26" s="140" t="n">
        <f aca="false">MAX(0,M26-M25)</f>
        <v>0</v>
      </c>
      <c r="O26" s="139" t="str">
        <f aca="false">IF(B26&lt;='VALOR POR PL'!$P$5,'CP RESUMO'!Y48,"")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HISTORICOS'!Z6)</f>
        <v>18870.38</v>
      </c>
      <c r="D27" s="45" t="n">
        <f aca="false">IF(B27&lt;='VALOR POR PL'!$P$5,0,IF($K$17&gt;0,$K$18*P27/$K$17,0))</f>
        <v>0</v>
      </c>
      <c r="E27" s="45" t="n">
        <f aca="false">L27+D27/$K$2</f>
        <v>14.5504973825825</v>
      </c>
      <c r="F27" s="117" t="n">
        <f aca="false">IF($K$9=0,0,E27/$K$9)</f>
        <v>0.0761142978285057</v>
      </c>
      <c r="G27" s="117" t="n">
        <f aca="false">G26+F27</f>
        <v>0.619424275647968</v>
      </c>
      <c r="H27" s="138"/>
      <c r="L27" s="45" t="n">
        <f aca="false">C27/IF(B27&lt;='VALOR POR PL'!$P$5,IFERROR(INDEX('"INCC-FGV"'!$B$2:$B$800,MATCH(B27,'"INCC-FGV"'!$A$2:$A$800,0)),$K$2),$K$2)</f>
        <v>14.5504973825825</v>
      </c>
      <c r="M27" s="139" t="n">
        <f aca="false">'CP RESUMO'!Z6</f>
        <v>0</v>
      </c>
      <c r="N27" s="140" t="n">
        <f aca="false">MAX(0,M27-M26)</f>
        <v>0</v>
      </c>
      <c r="O27" s="139" t="str">
        <f aca="false">IF(B27&lt;='VALOR POR PL'!$P$5,'CP RESUMO'!Z48,"")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HISTORICOS'!AA6)</f>
        <v>18870.38</v>
      </c>
      <c r="D28" s="45" t="n">
        <f aca="false">IF(B28&lt;='VALOR POR PL'!$P$5,0,IF($K$17&gt;0,$K$18*P28/$K$17,0))</f>
        <v>0</v>
      </c>
      <c r="E28" s="45" t="n">
        <f aca="false">L28+D28/$K$2</f>
        <v>14.5504973825825</v>
      </c>
      <c r="F28" s="117" t="n">
        <f aca="false">IF($K$9=0,0,E28/$K$9)</f>
        <v>0.0761142978285057</v>
      </c>
      <c r="G28" s="117" t="n">
        <f aca="false">G27+F28</f>
        <v>0.695538573476473</v>
      </c>
      <c r="H28" s="138"/>
      <c r="L28" s="45" t="n">
        <f aca="false">C28/IF(B28&lt;='VALOR POR PL'!$P$5,IFERROR(INDEX('"INCC-FGV"'!$B$2:$B$800,MATCH(B28,'"INCC-FGV"'!$A$2:$A$800,0)),$K$2),$K$2)</f>
        <v>14.5504973825825</v>
      </c>
      <c r="M28" s="139" t="n">
        <f aca="false">'CP RESUMO'!AA6</f>
        <v>0</v>
      </c>
      <c r="N28" s="140" t="n">
        <f aca="false">MAX(0,M28-M27)</f>
        <v>0</v>
      </c>
      <c r="O28" s="139" t="str">
        <f aca="false">IF(B28&lt;='VALOR POR PL'!$P$5,'CP RESUMO'!AA48,"")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HISTORICOS'!AB6)</f>
        <v>18870.38</v>
      </c>
      <c r="D29" s="45" t="n">
        <f aca="false">IF(B29&lt;='VALOR POR PL'!$P$5,0,IF($K$17&gt;0,$K$18*P29/$K$17,0))</f>
        <v>0</v>
      </c>
      <c r="E29" s="45" t="n">
        <f aca="false">L29+D29/$K$2</f>
        <v>14.5504973825825</v>
      </c>
      <c r="F29" s="117" t="n">
        <f aca="false">IF($K$9=0,0,E29/$K$9)</f>
        <v>0.0761142978285057</v>
      </c>
      <c r="G29" s="117" t="n">
        <f aca="false">G28+F29</f>
        <v>0.771652871304979</v>
      </c>
      <c r="H29" s="138"/>
      <c r="L29" s="45" t="n">
        <f aca="false">C29/IF(B29&lt;='VALOR POR PL'!$P$5,IFERROR(INDEX('"INCC-FGV"'!$B$2:$B$800,MATCH(B29,'"INCC-FGV"'!$A$2:$A$800,0)),$K$2),$K$2)</f>
        <v>14.5504973825825</v>
      </c>
      <c r="M29" s="139" t="n">
        <f aca="false">'CP RESUMO'!AB6</f>
        <v>0</v>
      </c>
      <c r="N29" s="140" t="n">
        <f aca="false">MAX(0,M29-M28)</f>
        <v>0</v>
      </c>
      <c r="O29" s="139" t="str">
        <f aca="false">IF(B29&lt;='VALOR POR PL'!$P$5,'CP RESUMO'!AB48,"")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HISTORICOS'!AC6)</f>
        <v>18870.38</v>
      </c>
      <c r="D30" s="45" t="n">
        <f aca="false">IF(B30&lt;='VALOR POR PL'!$P$5,0,IF($K$17&gt;0,$K$18*P30/$K$17,0))</f>
        <v>0</v>
      </c>
      <c r="E30" s="45" t="n">
        <f aca="false">L30+D30/$K$2</f>
        <v>14.5504973825825</v>
      </c>
      <c r="F30" s="117" t="n">
        <f aca="false">IF($K$9=0,0,E30/$K$9)</f>
        <v>0.0761142978285057</v>
      </c>
      <c r="G30" s="117" t="n">
        <f aca="false">G29+F30</f>
        <v>0.847767169133485</v>
      </c>
      <c r="H30" s="138"/>
      <c r="L30" s="45" t="n">
        <f aca="false">C30/IF(B30&lt;='VALOR POR PL'!$P$5,IFERROR(INDEX('"INCC-FGV"'!$B$2:$B$800,MATCH(B30,'"INCC-FGV"'!$A$2:$A$800,0)),$K$2),$K$2)</f>
        <v>14.5504973825825</v>
      </c>
      <c r="M30" s="139" t="n">
        <f aca="false">'CP RESUMO'!AC6</f>
        <v>0</v>
      </c>
      <c r="N30" s="140" t="n">
        <f aca="false">MAX(0,M30-M29)</f>
        <v>0</v>
      </c>
      <c r="O30" s="139" t="str">
        <f aca="false">IF(B30&lt;='VALOR POR PL'!$P$5,'CP RESUMO'!AC48,"")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HISTORICOS'!AD6)</f>
        <v>18870.38</v>
      </c>
      <c r="D31" s="45" t="n">
        <f aca="false">IF(B31&lt;='VALOR POR PL'!$P$5,0,IF($K$17&gt;0,$K$18*P31/$K$17,0))</f>
        <v>0</v>
      </c>
      <c r="E31" s="45" t="n">
        <f aca="false">L31+D31/$K$2</f>
        <v>14.5504973825825</v>
      </c>
      <c r="F31" s="117" t="n">
        <f aca="false">IF($K$9=0,0,E31/$K$9)</f>
        <v>0.0761142978285057</v>
      </c>
      <c r="G31" s="117" t="n">
        <f aca="false">G30+F31</f>
        <v>0.92388146696199</v>
      </c>
      <c r="H31" s="138"/>
      <c r="L31" s="45" t="n">
        <f aca="false">C31/IF(B31&lt;='VALOR POR PL'!$P$5,IFERROR(INDEX('"INCC-FGV"'!$B$2:$B$800,MATCH(B31,'"INCC-FGV"'!$A$2:$A$800,0)),$K$2),$K$2)</f>
        <v>14.5504973825825</v>
      </c>
      <c r="M31" s="139" t="n">
        <f aca="false">'CP RESUMO'!AD6</f>
        <v>0</v>
      </c>
      <c r="N31" s="140" t="n">
        <f aca="false">MAX(0,M31-M30)</f>
        <v>0</v>
      </c>
      <c r="O31" s="139" t="str">
        <f aca="false">IF(B31&lt;='VALOR POR PL'!$P$5,'CP RESUMO'!AD48,"")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HISTORICOS'!AE6)</f>
        <v>18871.43</v>
      </c>
      <c r="D32" s="45" t="n">
        <f aca="false">IF(B32&lt;='VALOR POR PL'!$P$5,0,IF($K$17&gt;0,$K$18*P32/$K$17,0))</f>
        <v>0</v>
      </c>
      <c r="E32" s="45" t="n">
        <f aca="false">L32+D32/$K$2</f>
        <v>14.5513070123966</v>
      </c>
      <c r="F32" s="117" t="n">
        <f aca="false">IF($K$9=0,0,E32/$K$9)</f>
        <v>0.0761185330380097</v>
      </c>
      <c r="G32" s="117" t="n">
        <f aca="false">G31+F32</f>
        <v>1</v>
      </c>
      <c r="H32" s="138"/>
      <c r="L32" s="45" t="n">
        <f aca="false">C32/IF(B32&lt;='VALOR POR PL'!$P$5,IFERROR(INDEX('"INCC-FGV"'!$B$2:$B$800,MATCH(B32,'"INCC-FGV"'!$A$2:$A$800,0)),$K$2),$K$2)</f>
        <v>14.5513070123966</v>
      </c>
      <c r="M32" s="139" t="n">
        <f aca="false">'CP RESUMO'!AE6</f>
        <v>0</v>
      </c>
      <c r="N32" s="140" t="n">
        <f aca="false">MAX(0,M32-M31)</f>
        <v>0</v>
      </c>
      <c r="O32" s="139" t="str">
        <f aca="false">IF(B32&lt;='VALOR POR PL'!$P$5,'CP RESUMO'!AE48,"")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HISTORICOS'!AF6)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RESUMO'!AF6</f>
        <v>0</v>
      </c>
      <c r="N33" s="140" t="n">
        <f aca="false">MAX(0,M33-M32)</f>
        <v>0</v>
      </c>
      <c r="O33" s="139" t="str">
        <f aca="false">IF(B33&lt;='VALOR POR PL'!$P$5,'CP RESUMO'!AF48,"")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HISTORICOS'!AG6)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RESUMO'!AG6</f>
        <v>0</v>
      </c>
      <c r="N34" s="140" t="n">
        <f aca="false">MAX(0,M34-M33)</f>
        <v>0</v>
      </c>
      <c r="O34" s="139" t="str">
        <f aca="false">IF(B34&lt;='VALOR POR PL'!$P$5,'CP RESUMO'!AG48,"")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HISTORICOS'!AH6)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RESUMO'!AH6</f>
        <v>0</v>
      </c>
      <c r="N35" s="140" t="n">
        <f aca="false">MAX(0,M35-M34)</f>
        <v>0</v>
      </c>
      <c r="O35" s="139" t="str">
        <f aca="false">IF(B35&lt;='VALOR POR PL'!$P$5,'CP RESUMO'!AH48,"")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HISTORICOS'!AI6)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RESUMO'!AI6</f>
        <v>0</v>
      </c>
      <c r="N36" s="140" t="n">
        <f aca="false">MAX(0,M36-M35)</f>
        <v>0</v>
      </c>
      <c r="O36" s="139" t="str">
        <f aca="false">IF(B36&lt;='VALOR POR PL'!$P$5,'CP RESUMO'!AI48,"")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HISTORICOS'!AJ6)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RESUMO'!AJ6</f>
        <v>0</v>
      </c>
      <c r="N37" s="140" t="n">
        <f aca="false">MAX(0,M37-M36)</f>
        <v>0</v>
      </c>
      <c r="O37" s="139" t="str">
        <f aca="false">IF(B37&lt;='VALOR POR PL'!$P$5,'CP RESUMO'!AJ48,"")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HISTORICOS'!AK6)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RESUMO'!AK6</f>
        <v>0</v>
      </c>
      <c r="N38" s="140" t="n">
        <f aca="false">MAX(0,M38-M37)</f>
        <v>0</v>
      </c>
      <c r="O38" s="139" t="str">
        <f aca="false">IF(B38&lt;='VALOR POR PL'!$P$5,'CP RESUMO'!AK48,"")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HISTORICOS'!AL6)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RESUMO'!AL6</f>
        <v>0</v>
      </c>
      <c r="N39" s="140" t="n">
        <f aca="false">MAX(0,M39-M38)</f>
        <v>0</v>
      </c>
      <c r="O39" s="139" t="str">
        <f aca="false">IF(B39&lt;='VALOR POR PL'!$P$5,'CP RESUMO'!AL48,"")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HISTORICOS'!AM6)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RESUMO'!AM6</f>
        <v>0</v>
      </c>
      <c r="N40" s="140" t="n">
        <f aca="false">MAX(0,M40-M39)</f>
        <v>0</v>
      </c>
      <c r="O40" s="139" t="str">
        <f aca="false">IF(B40&lt;='VALOR POR PL'!$P$5,'CP RESUMO'!AM48,"")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HISTORICOS'!AN6)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RESUMO'!AN6</f>
        <v>0</v>
      </c>
      <c r="N41" s="140" t="n">
        <f aca="false">MAX(0,M41-M40)</f>
        <v>0</v>
      </c>
      <c r="O41" s="139" t="str">
        <f aca="false">IF(B41&lt;='VALOR POR PL'!$P$5,'CP RESUMO'!AN48,"")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HISTORICOS'!AO6)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RESUMO'!AO6</f>
        <v>0</v>
      </c>
      <c r="N42" s="140" t="n">
        <f aca="false">MAX(0,M42-M41)</f>
        <v>0</v>
      </c>
      <c r="O42" s="139" t="str">
        <f aca="false">IF(B42&lt;='VALOR POR PL'!$P$5,'CP RESUMO'!AO48,"")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HISTORICOS'!AP6)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RESUMO'!AP6</f>
        <v>0</v>
      </c>
      <c r="N43" s="140" t="n">
        <f aca="false">MAX(0,M43-M42)</f>
        <v>0</v>
      </c>
      <c r="O43" s="139" t="str">
        <f aca="false">IF(B43&lt;='VALOR POR PL'!$P$5,'CP RESUMO'!AP48,"")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HISTORICOS'!AQ6)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RESUMO'!AQ6</f>
        <v>0</v>
      </c>
      <c r="N44" s="140" t="n">
        <f aca="false">MAX(0,M44-M43)</f>
        <v>0</v>
      </c>
      <c r="O44" s="139" t="str">
        <f aca="false">IF(B44&lt;='VALOR POR PL'!$P$5,'CP RESUMO'!AQ48,"")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HISTORICOS'!AR6)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RESUMO'!AR6</f>
        <v>0</v>
      </c>
      <c r="N45" s="140" t="n">
        <f aca="false">MAX(0,M45-M44)</f>
        <v>0</v>
      </c>
      <c r="O45" s="139" t="str">
        <f aca="false">IF(B45&lt;='VALOR POR PL'!$P$5,'CP RESUMO'!AR48,"")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HISTORICOS'!AS6)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RESUMO'!AS6</f>
        <v>0</v>
      </c>
      <c r="N46" s="140" t="n">
        <f aca="false">MAX(0,M46-M45)</f>
        <v>0</v>
      </c>
      <c r="O46" s="139" t="str">
        <f aca="false">IF(B46&lt;='VALOR POR PL'!$P$5,'CP RESUMO'!AS48,"")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HISTORICOS'!AT6)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RESUMO'!AT6</f>
        <v>0</v>
      </c>
      <c r="N47" s="140" t="n">
        <f aca="false">MAX(0,M47-M46)</f>
        <v>0</v>
      </c>
      <c r="O47" s="139" t="str">
        <f aca="false">IF(B47&lt;='VALOR POR PL'!$P$5,'CP RESUMO'!AT48,"")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HISTORICOS'!AU6)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RESUMO'!AU6</f>
        <v>0</v>
      </c>
      <c r="N48" s="140" t="n">
        <f aca="false">MAX(0,M48-M47)</f>
        <v>0</v>
      </c>
      <c r="O48" s="139" t="str">
        <f aca="false">IF(B48&lt;='VALOR POR PL'!$P$5,'CP RESUMO'!AU48,"")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HISTORICOS'!AV6)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RESUMO'!AV6</f>
        <v>0</v>
      </c>
      <c r="N49" s="140" t="n">
        <f aca="false">MAX(0,M49-M48)</f>
        <v>0</v>
      </c>
      <c r="O49" s="139" t="str">
        <f aca="false">IF(B49&lt;='VALOR POR PL'!$P$5,'CP RESUMO'!AV48,"")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HISTORICOS'!AW6)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RESUMO'!AW6</f>
        <v>0</v>
      </c>
      <c r="N50" s="140" t="n">
        <f aca="false">MAX(0,M50-M49)</f>
        <v>0</v>
      </c>
      <c r="O50" s="139" t="str">
        <f aca="false">IF(B50&lt;='VALOR POR PL'!$P$5,'CP RESUMO'!AW48,"")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HISTORICOS'!AX6)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RESUMO'!AX6</f>
        <v>0</v>
      </c>
      <c r="N51" s="140" t="n">
        <f aca="false">MAX(0,M51-M50)</f>
        <v>0</v>
      </c>
      <c r="O51" s="139" t="str">
        <f aca="false">IF(B51&lt;='VALOR POR PL'!$P$5,'CP RESUMO'!AX48,"")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HISTORICOS'!AY6)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RESUMO'!AY6</f>
        <v>0</v>
      </c>
      <c r="N52" s="140" t="n">
        <f aca="false">MAX(0,M52-M51)</f>
        <v>0</v>
      </c>
      <c r="O52" s="139" t="str">
        <f aca="false">IF(B52&lt;='VALOR POR PL'!$P$5,'CP RESUMO'!AY48,"")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HISTORICOS'!AZ6)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RESUMO'!AZ6</f>
        <v>0</v>
      </c>
      <c r="N53" s="140" t="n">
        <f aca="false">MAX(0,M53-M52)</f>
        <v>0</v>
      </c>
      <c r="O53" s="139" t="str">
        <f aca="false">IF(B53&lt;='VALOR POR PL'!$P$5,'CP RESUMO'!AZ48,"")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RESUMO'!BA6</f>
        <v>0</v>
      </c>
      <c r="N54" s="140" t="n">
        <f aca="false">MAX(0,M54-M53)</f>
        <v>0</v>
      </c>
      <c r="O54" s="139" t="str">
        <f aca="false">IF(B54&lt;='VALOR POR PL'!$P$5,'CP RESUMO'!BA48,"")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RESUMO'!BB6</f>
        <v>0</v>
      </c>
      <c r="N55" s="140" t="n">
        <f aca="false">MAX(0,M55-M54)</f>
        <v>0</v>
      </c>
      <c r="O55" s="139" t="str">
        <f aca="false">IF(B55&lt;='VALOR POR PL'!$P$5,'CP RESUMO'!BB48,"")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RESUMO'!BC6</f>
        <v>0</v>
      </c>
      <c r="N56" s="140" t="n">
        <f aca="false">MAX(0,M56-M55)</f>
        <v>0</v>
      </c>
      <c r="O56" s="139" t="str">
        <f aca="false">IF(B56&lt;='VALOR POR PL'!$P$5,'CP RESUMO'!BC48,"")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RESUMO'!BD6</f>
        <v>0</v>
      </c>
      <c r="N57" s="140" t="n">
        <f aca="false">MAX(0,M57-M56)</f>
        <v>0</v>
      </c>
      <c r="O57" s="139" t="str">
        <f aca="false">IF(B57&lt;='VALOR POR PL'!$P$5,'CP RESUMO'!BD48,"")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RESUMO'!BE6</f>
        <v>0</v>
      </c>
      <c r="N58" s="140" t="n">
        <f aca="false">MAX(0,M58-M57)</f>
        <v>0</v>
      </c>
      <c r="O58" s="139" t="str">
        <f aca="false">IF(B58&lt;='VALOR POR PL'!$P$5,'CP RESUMO'!BE48,"")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RESUMO'!BF6</f>
        <v>0</v>
      </c>
      <c r="N59" s="140" t="n">
        <f aca="false">MAX(0,M59-M58)</f>
        <v>0</v>
      </c>
      <c r="O59" s="139" t="str">
        <f aca="false">IF(B59&lt;='VALOR POR PL'!$P$5,'CP RESUMO'!BF48,"")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RESUMO'!BG6</f>
        <v>0</v>
      </c>
      <c r="N60" s="140" t="n">
        <f aca="false">MAX(0,M60-M59)</f>
        <v>0</v>
      </c>
      <c r="O60" s="139" t="str">
        <f aca="false">IF(B60&lt;='VALOR POR PL'!$P$5,'CP RESUMO'!BG48,"")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RESUMO'!BH6</f>
        <v>0</v>
      </c>
      <c r="N61" s="140" t="n">
        <f aca="false">MAX(0,M61-M60)</f>
        <v>0</v>
      </c>
      <c r="O61" s="139" t="str">
        <f aca="false">IF(B61&lt;='VALOR POR PL'!$P$5,'CP RESUMO'!BH48,"")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RESUMO'!BI6</f>
        <v>0</v>
      </c>
      <c r="N62" s="140" t="n">
        <f aca="false">MAX(0,M62-M61)</f>
        <v>0</v>
      </c>
      <c r="O62" s="139" t="str">
        <f aca="false">IF(B62&lt;='VALOR POR PL'!$P$5,'CP RESUMO'!BI48,"")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RESUMO'!BJ6</f>
        <v>0</v>
      </c>
      <c r="N63" s="140" t="n">
        <f aca="false">MAX(0,M63-M62)</f>
        <v>0</v>
      </c>
      <c r="O63" s="139" t="str">
        <f aca="false">IF(B63&lt;='VALOR POR PL'!$P$5,'CP RESUMO'!BJ48,"")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RESUMO'!BK6</f>
        <v>0</v>
      </c>
      <c r="N64" s="140" t="n">
        <f aca="false">MAX(0,M64-M63)</f>
        <v>0</v>
      </c>
      <c r="O64" s="139" t="str">
        <f aca="false">IF(B64&lt;='VALOR POR PL'!$P$5,'CP RESUMO'!BK48,"")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RESUMO'!BL6</f>
        <v>0</v>
      </c>
      <c r="N65" s="140" t="n">
        <f aca="false">MAX(0,M65-M64)</f>
        <v>0</v>
      </c>
      <c r="O65" s="139" t="str">
        <f aca="false">IF(B65&lt;='VALOR POR PL'!$P$5,'CP RESUMO'!BL48,"")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RESUMO'!BM6</f>
        <v>0</v>
      </c>
      <c r="N66" s="140" t="n">
        <f aca="false">MAX(0,M66-M65)</f>
        <v>0</v>
      </c>
      <c r="O66" s="139" t="str">
        <f aca="false">IF(B66&lt;='VALOR POR PL'!$P$5,'CP RESUMO'!BM48,"")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RESUMO'!BN6</f>
        <v>0</v>
      </c>
      <c r="N67" s="140" t="n">
        <f aca="false">MAX(0,M67-M66)</f>
        <v>0</v>
      </c>
      <c r="O67" s="139" t="str">
        <f aca="false">IF(B67&lt;='VALOR POR PL'!$P$5,'CP RESUMO'!BN48,"")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RESUMO'!BO6</f>
        <v>0</v>
      </c>
      <c r="N68" s="140" t="n">
        <f aca="false">MAX(0,M68-M67)</f>
        <v>0</v>
      </c>
      <c r="O68" s="139" t="str">
        <f aca="false">IF(B68&lt;='VALOR POR PL'!$P$5,'CP RESUMO'!BO48,"")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RESUMO'!BP6</f>
        <v>0</v>
      </c>
      <c r="N69" s="140" t="n">
        <f aca="false">MAX(0,M69-M68)</f>
        <v>0</v>
      </c>
      <c r="O69" s="139" t="str">
        <f aca="false">IF(B69&lt;='VALOR POR PL'!$P$5,'CP RESUMO'!BP48,"")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RESUMO'!BQ6</f>
        <v>0</v>
      </c>
      <c r="N70" s="140" t="n">
        <f aca="false">MAX(0,M70-M69)</f>
        <v>0</v>
      </c>
      <c r="O70" s="139" t="str">
        <f aca="false">IF(B70&lt;='VALOR POR PL'!$P$5,'CP RESUMO'!BQ48,"")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RESUMO'!BR6</f>
        <v>0</v>
      </c>
      <c r="N71" s="140" t="n">
        <f aca="false">MAX(0,M71-M70)</f>
        <v>0</v>
      </c>
      <c r="O71" s="139" t="str">
        <f aca="false">IF(B71&lt;='VALOR POR PL'!$P$5,'CP RESUMO'!BR48,"")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RESUMO'!BS6</f>
        <v>0</v>
      </c>
      <c r="N72" s="140" t="n">
        <f aca="false">MAX(0,M72-M71)</f>
        <v>0</v>
      </c>
      <c r="O72" s="139" t="str">
        <f aca="false">IF(B72&lt;='VALOR POR PL'!$P$5,'CP RESUMO'!BS48,"")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RESUMO'!BT6</f>
        <v>0</v>
      </c>
      <c r="N73" s="140" t="n">
        <f aca="false">MAX(0,M73-M72)</f>
        <v>0</v>
      </c>
      <c r="O73" s="139" t="str">
        <f aca="false">IF(B73&lt;='VALOR POR PL'!$P$5,'CP RESUMO'!BT48,"")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RESUMO'!BU6</f>
        <v>0</v>
      </c>
      <c r="N74" s="140" t="n">
        <f aca="false">MAX(0,M74-M73)</f>
        <v>0</v>
      </c>
      <c r="O74" s="139" t="str">
        <f aca="false">IF(B74&lt;='VALOR POR PL'!$P$5,'CP RESUMO'!BU48,"")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RESUMO'!BV6</f>
        <v>0</v>
      </c>
      <c r="N75" s="140" t="n">
        <f aca="false">MAX(0,M75-M74)</f>
        <v>0</v>
      </c>
      <c r="O75" s="139" t="str">
        <f aca="false">IF(B75&lt;='VALOR POR PL'!$P$5,'CP RESUMO'!BV48,"")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RESUMO'!BW6</f>
        <v>0</v>
      </c>
      <c r="N76" s="140" t="n">
        <f aca="false">MAX(0,M76-M75)</f>
        <v>0</v>
      </c>
      <c r="O76" s="139" t="str">
        <f aca="false">IF(B76&lt;='VALOR POR PL'!$P$5,'CP RESUMO'!BW48,"")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241135.16</v>
      </c>
      <c r="D78" s="61" t="n">
        <f aca="false">SUM(D5:D76)</f>
        <v>0</v>
      </c>
      <c r="E78" s="61" t="n">
        <f aca="false">SUM(E5:E76)</f>
        <v>191.166414165265</v>
      </c>
      <c r="F78" s="145" t="n">
        <f aca="false">SUM(F5:F76)</f>
        <v>1</v>
      </c>
      <c r="H78" s="61" t="n">
        <f aca="false">SUM(H5:H76)</f>
        <v>0</v>
      </c>
      <c r="L78" s="61" t="n">
        <f aca="false">SUM(L5:L76)</f>
        <v>191.166414165265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PL'!D13</f>
        <v>TAXAS DIVERSAS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HISTORICOS'!D7)</f>
        <v>154.1</v>
      </c>
      <c r="D5" s="45" t="n">
        <f aca="false">IF(B5&lt;='VALOR POR PL'!$P$5,0,IF($K$17&gt;0,$K$18*P5/$K$17,0))</f>
        <v>0</v>
      </c>
      <c r="E5" s="45" t="n">
        <f aca="false">L5+D5/$K$2</f>
        <v>0.135797845387852</v>
      </c>
      <c r="F5" s="117" t="n">
        <f aca="false">IF($K$9=0,0,E5/$K$9)</f>
        <v>0.00110192657144814</v>
      </c>
      <c r="G5" s="117" t="n">
        <f aca="false">F5</f>
        <v>0.00110192657144814</v>
      </c>
      <c r="H5" s="138"/>
      <c r="I5" s="42" t="s">
        <v>2920</v>
      </c>
      <c r="J5" s="56" t="n">
        <f aca="false">'VALOR POR PL'!F13</f>
        <v>150000</v>
      </c>
      <c r="K5" s="56" t="n">
        <f aca="false">'VALOR POR PL'!G13</f>
        <v>123.283686</v>
      </c>
      <c r="L5" s="56" t="n">
        <f aca="false">'DADOS HISTORICOS'!$BZ$7</f>
        <v>0.135797845387852</v>
      </c>
      <c r="M5" s="139" t="n">
        <f aca="false">'CP RESUMO'!D7</f>
        <v>0</v>
      </c>
      <c r="N5" s="140" t="n">
        <v>0</v>
      </c>
      <c r="O5" s="139" t="n">
        <f aca="false">IF(B5&lt;='VALOR POR PL'!$P$5,'CP RESUMO'!D49,"")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HISTORICOS'!E7)</f>
        <v>40.62</v>
      </c>
      <c r="D6" s="45" t="n">
        <f aca="false">IF(B6&lt;='VALOR POR PL'!$P$5,0,IF($K$17&gt;0,$K$18*P6/$K$17,0))</f>
        <v>0</v>
      </c>
      <c r="E6" s="45" t="n">
        <f aca="false">L6+D6/$K$2</f>
        <v>0.0347441998911998</v>
      </c>
      <c r="F6" s="117" t="n">
        <f aca="false">IF($K$9=0,0,E6/$K$9)</f>
        <v>0.000281930519254347</v>
      </c>
      <c r="G6" s="117" t="n">
        <f aca="false">G5+F6</f>
        <v>0.00138385709070248</v>
      </c>
      <c r="H6" s="138"/>
      <c r="I6" s="42" t="s">
        <v>2921</v>
      </c>
      <c r="K6" s="52" t="n">
        <f aca="false">'VALOR POR PL'!H13</f>
        <v>123.283686</v>
      </c>
      <c r="L6" s="45" t="n">
        <f aca="false">C6/IF(B6&lt;='VALOR POR PL'!$P$5,IFERROR(INDEX('"INCC-FGV"'!$B$2:$B$800,MATCH(B6,'"INCC-FGV"'!$A$2:$A$800,0)),$K$2),$K$2)</f>
        <v>0.0347441998911998</v>
      </c>
      <c r="M6" s="139" t="n">
        <f aca="false">'CP RESUMO'!E7</f>
        <v>0</v>
      </c>
      <c r="N6" s="140" t="n">
        <f aca="false">MAX(0,M6-M5)</f>
        <v>0</v>
      </c>
      <c r="O6" s="139" t="n">
        <f aca="false">IF(B6&lt;='VALOR POR PL'!$P$5,'CP RESUMO'!E49,"")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0.00138385709070248</v>
      </c>
      <c r="H7" s="138"/>
      <c r="I7" s="42" t="s">
        <v>2922</v>
      </c>
      <c r="J7" s="45" t="n">
        <f aca="false">C78+D78</f>
        <v>159786.721461049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RESUMO'!F7</f>
        <v>0</v>
      </c>
      <c r="N7" s="140" t="n">
        <f aca="false">MAX(0,M7-M6)</f>
        <v>0</v>
      </c>
      <c r="O7" s="139" t="n">
        <f aca="false">IF(B7&lt;='VALOR POR PL'!$P$5,'CP RESUMO'!F49,"")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0.00138385709070248</v>
      </c>
      <c r="H8" s="138"/>
      <c r="I8" s="42" t="s">
        <v>2923</v>
      </c>
      <c r="K8" s="66" t="n">
        <f aca="false">SUM(L5:L76)</f>
        <v>4.58238853370299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RESUMO'!G7</f>
        <v>0</v>
      </c>
      <c r="N8" s="140" t="n">
        <f aca="false">MAX(0,M8-M7)</f>
        <v>0</v>
      </c>
      <c r="O8" s="139" t="n">
        <f aca="false">IF(B8&lt;='VALOR POR PL'!$P$5,'CP RESUMO'!G49,"")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0.00138385709070248</v>
      </c>
      <c r="H9" s="138"/>
      <c r="I9" s="42" t="s">
        <v>2924</v>
      </c>
      <c r="J9" s="45" t="n">
        <f aca="false">C78+D78</f>
        <v>159786.721461049</v>
      </c>
      <c r="K9" s="45" t="n">
        <f aca="false">E78</f>
        <v>123.23674635542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RESUMO'!H7</f>
        <v>0</v>
      </c>
      <c r="N9" s="140" t="n">
        <f aca="false">MAX(0,M9-M8)</f>
        <v>0</v>
      </c>
      <c r="O9" s="139" t="n">
        <f aca="false">IF(B9&lt;='VALOR POR PL'!$P$5,'CP RESUMO'!H49,"")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0.00138385709070248</v>
      </c>
      <c r="H10" s="138"/>
      <c r="I10" s="42" t="s">
        <v>2925</v>
      </c>
      <c r="K10" s="52" t="n">
        <f aca="false">IF(K6-K8&gt;0,(K6-K8)*'VALOR POR PL'!$G$65,K6-K8)</f>
        <v>118.654357821717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RESUMO'!I7</f>
        <v>0</v>
      </c>
      <c r="N10" s="140" t="n">
        <f aca="false">MAX(0,M10-M9)</f>
        <v>0</v>
      </c>
      <c r="O10" s="139" t="n">
        <f aca="false">IF(B10&lt;='VALOR POR PL'!$P$5,'CP RESUMO'!I49,"")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HISTORICOS'!J7)</f>
        <v>64.24</v>
      </c>
      <c r="D11" s="45" t="n">
        <f aca="false">IF(B11&lt;='VALOR POR PL'!$P$5,0,IF($K$17&gt;0,$K$18*P11/$K$17,0))</f>
        <v>0</v>
      </c>
      <c r="E11" s="45" t="n">
        <f aca="false">L11+D11/$K$2</f>
        <v>0.0535552463549669</v>
      </c>
      <c r="F11" s="117" t="n">
        <f aca="false">IF($K$9=0,0,E11/$K$9)</f>
        <v>0.000434572056945671</v>
      </c>
      <c r="G11" s="117" t="n">
        <f aca="false">G10+F11</f>
        <v>0.00181842914764816</v>
      </c>
      <c r="H11" s="138"/>
      <c r="I11" s="42" t="s">
        <v>2926</v>
      </c>
      <c r="K11" s="56" t="n">
        <f aca="false">SUMPRODUCT((B5:B76&gt;'VALOR POR PL'!$P$5)*H5:H76)</f>
        <v>151217.5</v>
      </c>
      <c r="L11" s="45" t="n">
        <f aca="false">C11/IF(B11&lt;='VALOR POR PL'!$P$5,IFERROR(INDEX('"INCC-FGV"'!$B$2:$B$800,MATCH(B11,'"INCC-FGV"'!$A$2:$A$800,0)),$K$2),$K$2)</f>
        <v>0.0535552463549669</v>
      </c>
      <c r="M11" s="139" t="n">
        <f aca="false">'CP RESUMO'!J7</f>
        <v>0</v>
      </c>
      <c r="N11" s="140" t="n">
        <f aca="false">MAX(0,M11-M10)</f>
        <v>0</v>
      </c>
      <c r="O11" s="139" t="n">
        <f aca="false">IF(B11&lt;='VALOR POR PL'!$P$5,'CP RESUMO'!J49,"")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0.00181842914764816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RESUMO'!K7</f>
        <v>0</v>
      </c>
      <c r="N12" s="140" t="n">
        <f aca="false">MAX(0,M12-M11)</f>
        <v>0</v>
      </c>
      <c r="O12" s="139" t="n">
        <f aca="false">IF(B12&lt;='VALOR POR PL'!$P$5,'CP RESUMO'!K49,"")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0.00181842914764816</v>
      </c>
      <c r="H13" s="138"/>
      <c r="I13" s="42" t="s">
        <v>2928</v>
      </c>
      <c r="K13" s="56" t="str">
        <f aca="false">'VALOR POR PL'!I13</f>
        <v>INDIRETO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RESUMO'!L7</f>
        <v>0</v>
      </c>
      <c r="N13" s="140" t="n">
        <f aca="false">MAX(0,M13-M12)</f>
        <v>0</v>
      </c>
      <c r="O13" s="139" t="n">
        <f aca="false">IF(B13&lt;='VALOR POR PL'!$P$5,'CP RESUMO'!L49,"")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0.00181842914764816</v>
      </c>
      <c r="H14" s="138"/>
      <c r="I14" s="42" t="s">
        <v>2929</v>
      </c>
      <c r="K14" s="58" t="n">
        <f aca="false">IFERROR(INDEX('CP RESUMO'!$D$49:$BW$49,MATCH('VALOR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RESUMO'!M7</f>
        <v>0</v>
      </c>
      <c r="N14" s="140" t="n">
        <f aca="false">MAX(0,M14-M13)</f>
        <v>0</v>
      </c>
      <c r="O14" s="139" t="n">
        <f aca="false">IF(B14&lt;='VALOR POR PL'!$P$5,'CP RESUMO'!M49,"")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0.00181842914764816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RESUMO'!N7</f>
        <v>0</v>
      </c>
      <c r="N15" s="140" t="n">
        <f aca="false">MAX(0,M15-M14)</f>
        <v>0</v>
      </c>
      <c r="O15" s="139" t="n">
        <f aca="false">IF(B15&lt;='VALOR POR PL'!$P$5,'CP RESUMO'!N49,"")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HISTORICOS'!O7)</f>
        <v>103.03</v>
      </c>
      <c r="D16" s="45" t="n">
        <f aca="false">IF(B16&lt;='VALOR POR PL'!$P$5,0,IF($K$17&gt;0,$K$18*P16/$K$17,0))</f>
        <v>0</v>
      </c>
      <c r="E16" s="45" t="n">
        <f aca="false">L16+D16/$K$2</f>
        <v>0.0840626843435188</v>
      </c>
      <c r="F16" s="117" t="n">
        <f aca="false">IF($K$9=0,0,E16/$K$9)</f>
        <v>0.000682123529138608</v>
      </c>
      <c r="G16" s="117" t="n">
        <f aca="false">G15+F16</f>
        <v>0.00250055267678676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0.0840626843435188</v>
      </c>
      <c r="M16" s="139" t="n">
        <f aca="false">'CP RESUMO'!O7</f>
        <v>0</v>
      </c>
      <c r="N16" s="140" t="n">
        <f aca="false">MAX(0,M16-M15)</f>
        <v>0</v>
      </c>
      <c r="O16" s="139" t="n">
        <f aca="false">IF(B16&lt;='VALOR POR PL'!$P$5,'CP RESUMO'!O49,"")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0.00250055267678676</v>
      </c>
      <c r="H17" s="138"/>
      <c r="I17" s="42" t="s">
        <v>2933</v>
      </c>
      <c r="K17" s="45" t="n">
        <f aca="false">SUM(P5:P76)</f>
        <v>151217.5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RESUMO'!P7</f>
        <v>0</v>
      </c>
      <c r="N17" s="140" t="n">
        <f aca="false">MAX(0,M17-M16)</f>
        <v>0</v>
      </c>
      <c r="O17" s="139" t="n">
        <f aca="false">IF(B17&lt;='VALOR POR PL'!$P$5,'CP RESUMO'!P49,"")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0.00250055267678676</v>
      </c>
      <c r="H18" s="138"/>
      <c r="I18" s="42" t="s">
        <v>2934</v>
      </c>
      <c r="K18" s="45" t="n">
        <f aca="false">MAX(0,K10)*$K$2</f>
        <v>153881.531461049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RESUMO'!Q7</f>
        <v>0</v>
      </c>
      <c r="N18" s="140" t="n">
        <f aca="false">MAX(0,M18-M17)</f>
        <v>0</v>
      </c>
      <c r="O18" s="139" t="n">
        <f aca="false">IF(B18&lt;='VALOR POR PL'!$P$5,'CP RESUMO'!Q49,"")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0.00250055267678676</v>
      </c>
      <c r="H19" s="138"/>
      <c r="I19" s="42" t="s">
        <v>2935</v>
      </c>
      <c r="K19" s="142" t="n">
        <f aca="false">IF(AND(K16="PREVISÃO INFORMADA",K11&gt;0),K18/K11-1,"")</f>
        <v>0.0176172166650632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RESUMO'!R7</f>
        <v>0</v>
      </c>
      <c r="N19" s="140" t="n">
        <f aca="false">MAX(0,M19-M18)</f>
        <v>0</v>
      </c>
      <c r="O19" s="139" t="n">
        <f aca="false">IF(B19&lt;='VALOR POR PL'!$P$5,'CP RESUMO'!R49,"")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0.00250055267678676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RESUMO'!S7</f>
        <v>0</v>
      </c>
      <c r="N20" s="140" t="n">
        <f aca="false">MAX(0,M20-M19)</f>
        <v>0</v>
      </c>
      <c r="O20" s="139" t="n">
        <f aca="false">IF(B20&lt;='VALOR POR PL'!$P$5,'CP RESUMO'!S49,"")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0.00250055267678676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RESUMO'!T7</f>
        <v>0</v>
      </c>
      <c r="N21" s="140" t="n">
        <f aca="false">MAX(0,M21-M20)</f>
        <v>0</v>
      </c>
      <c r="O21" s="139" t="n">
        <f aca="false">IF(B21&lt;='VALOR POR PL'!$P$5,'CP RESUMO'!T49,"")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0.00250055267678676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RESUMO'!U7</f>
        <v>0</v>
      </c>
      <c r="N22" s="140" t="n">
        <f aca="false">MAX(0,M22-M21)</f>
        <v>0</v>
      </c>
      <c r="O22" s="139" t="n">
        <f aca="false">IF(B22&lt;='VALOR POR PL'!$P$5,'CP RESUMO'!U49,"")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0.00250055267678676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RESUMO'!V7</f>
        <v>0</v>
      </c>
      <c r="N23" s="140" t="n">
        <f aca="false">MAX(0,M23-M22)</f>
        <v>0</v>
      </c>
      <c r="O23" s="139" t="n">
        <f aca="false">IF(B23&lt;='VALOR POR PL'!$P$5,'CP RESUMO'!V49,"")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0.00250055267678676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RESUMO'!W7</f>
        <v>0</v>
      </c>
      <c r="N24" s="140" t="n">
        <f aca="false">MAX(0,M24-M23)</f>
        <v>0</v>
      </c>
      <c r="O24" s="139" t="n">
        <f aca="false">IF(B24&lt;='VALOR POR PL'!$P$5,'CP RESUMO'!W49,"")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HISTORICOS'!X7)</f>
        <v>5543.2</v>
      </c>
      <c r="D25" s="45" t="n">
        <f aca="false">IF(B25&lt;='VALOR POR PL'!$P$5,0,IF($K$17&gt;0,$K$18*P25/$K$17,0))</f>
        <v>0</v>
      </c>
      <c r="E25" s="45" t="n">
        <f aca="false">L25+D25/$K$2</f>
        <v>4.27422855772545</v>
      </c>
      <c r="F25" s="117" t="n">
        <f aca="false">IF($K$9=0,0,E25/$K$9)</f>
        <v>0.0346830688421324</v>
      </c>
      <c r="G25" s="117" t="n">
        <f aca="false">G24+F25</f>
        <v>0.0371836215189191</v>
      </c>
      <c r="H25" s="138"/>
      <c r="L25" s="45" t="n">
        <f aca="false">C25/IF(B25&lt;='VALOR POR PL'!$P$5,IFERROR(INDEX('"INCC-FGV"'!$B$2:$B$800,MATCH(B25,'"INCC-FGV"'!$A$2:$A$800,0)),$K$2),$K$2)</f>
        <v>4.27422855772545</v>
      </c>
      <c r="M25" s="139" t="n">
        <f aca="false">'CP RESUMO'!X7</f>
        <v>0</v>
      </c>
      <c r="N25" s="140" t="n">
        <f aca="false">MAX(0,M25-M24)</f>
        <v>0</v>
      </c>
      <c r="O25" s="139" t="n">
        <f aca="false">IF(B25&lt;='VALOR POR PL'!$P$5,'CP RESUMO'!X49,"")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HISTORICOS'!Y7)</f>
        <v>0</v>
      </c>
      <c r="D26" s="45" t="n">
        <f aca="false">IF(B26&lt;='VALOR POR PL'!$P$5,0,IF($K$17&gt;0,$K$18*P26/$K$17,0))</f>
        <v>941.051697283184</v>
      </c>
      <c r="E26" s="45" t="n">
        <f aca="false">L26+D26/$K$2</f>
        <v>0.72562239118628</v>
      </c>
      <c r="F26" s="117" t="n">
        <f aca="false">IF($K$9=0,0,E26/$K$9)</f>
        <v>0.00588803593607991</v>
      </c>
      <c r="G26" s="117" t="n">
        <f aca="false">G25+F26</f>
        <v>0.0430716574549991</v>
      </c>
      <c r="H26" s="138" t="n">
        <v>924.76</v>
      </c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RESUMO'!Y7</f>
        <v>0</v>
      </c>
      <c r="N26" s="140" t="n">
        <f aca="false">MAX(0,M26-M25)</f>
        <v>0</v>
      </c>
      <c r="O26" s="139" t="str">
        <f aca="false">IF(B26&lt;='VALOR POR PL'!$P$5,'CP RESUMO'!Y49,"")</f>
        <v/>
      </c>
      <c r="P26" s="66" t="n">
        <f aca="false">IF(B26&lt;='VALOR POR PL'!$P$5,0,IF(OR($K$16="CURVA PREVISION",$K$16="MDO PREVISION + MATERIAL PREMISSA"),N26,IF($K$16="PREVISÃO INFORMADA",MAX(0,H26),0)))</f>
        <v>924.76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0.0430716574549991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RESUMO'!Z7</f>
        <v>0</v>
      </c>
      <c r="N27" s="140" t="n">
        <f aca="false">MAX(0,M27-M26)</f>
        <v>0</v>
      </c>
      <c r="O27" s="139" t="str">
        <f aca="false">IF(B27&lt;='VALOR POR PL'!$P$5,'CP RESUMO'!Z49,"")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0.0430716574549991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RESUMO'!AA7</f>
        <v>0</v>
      </c>
      <c r="N28" s="140" t="n">
        <f aca="false">MAX(0,M28-M27)</f>
        <v>0</v>
      </c>
      <c r="O28" s="139" t="str">
        <f aca="false">IF(B28&lt;='VALOR POR PL'!$P$5,'CP RESUMO'!AA49,"")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HISTORICOS'!AB7)</f>
        <v>0</v>
      </c>
      <c r="D29" s="45" t="n">
        <f aca="false">IF(B29&lt;='VALOR POR PL'!$P$5,0,IF($K$17&gt;0,$K$18*P29/$K$17,0))</f>
        <v>941.051697283184</v>
      </c>
      <c r="E29" s="45" t="n">
        <f aca="false">L29+D29/$K$2</f>
        <v>0.72562239118628</v>
      </c>
      <c r="F29" s="117" t="n">
        <f aca="false">IF($K$9=0,0,E29/$K$9)</f>
        <v>0.00588803593607991</v>
      </c>
      <c r="G29" s="117" t="n">
        <f aca="false">G28+F29</f>
        <v>0.048959693391079</v>
      </c>
      <c r="H29" s="138" t="n">
        <v>924.76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RESUMO'!AB7</f>
        <v>0</v>
      </c>
      <c r="N29" s="140" t="n">
        <f aca="false">MAX(0,M29-M28)</f>
        <v>0</v>
      </c>
      <c r="O29" s="139" t="str">
        <f aca="false">IF(B29&lt;='VALOR POR PL'!$P$5,'CP RESUMO'!AB49,"")</f>
        <v/>
      </c>
      <c r="P29" s="66" t="n">
        <f aca="false">IF(B29&lt;='VALOR POR PL'!$P$5,0,IF(OR($K$16="CURVA PREVISION",$K$16="MDO PREVISION + MATERIAL PREMISSA"),N29,IF($K$16="PREVISÃO INFORMADA",MAX(0,H29),0)))</f>
        <v>924.76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0.048959693391079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RESUMO'!AC7</f>
        <v>0</v>
      </c>
      <c r="N30" s="140" t="n">
        <f aca="false">MAX(0,M30-M29)</f>
        <v>0</v>
      </c>
      <c r="O30" s="139" t="str">
        <f aca="false">IF(B30&lt;='VALOR POR PL'!$P$5,'CP RESUMO'!AC49,"")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0.048959693391079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RESUMO'!AD7</f>
        <v>0</v>
      </c>
      <c r="N31" s="140" t="n">
        <f aca="false">MAX(0,M31-M30)</f>
        <v>0</v>
      </c>
      <c r="O31" s="139" t="str">
        <f aca="false">IF(B31&lt;='VALOR POR PL'!$P$5,'CP RESUMO'!AD49,"")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HISTORICOS'!AE7)</f>
        <v>0</v>
      </c>
      <c r="D32" s="45" t="n">
        <f aca="false">IF(B32&lt;='VALOR POR PL'!$P$5,0,IF($K$17&gt;0,$K$18*P32/$K$17,0))</f>
        <v>941.051697283184</v>
      </c>
      <c r="E32" s="45" t="n">
        <f aca="false">L32+D32/$K$2</f>
        <v>0.72562239118628</v>
      </c>
      <c r="F32" s="117" t="n">
        <f aca="false">IF($K$9=0,0,E32/$K$9)</f>
        <v>0.00588803593607991</v>
      </c>
      <c r="G32" s="117" t="n">
        <f aca="false">G31+F32</f>
        <v>0.0548477293271589</v>
      </c>
      <c r="H32" s="138" t="n">
        <v>924.76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RESUMO'!AE7</f>
        <v>0</v>
      </c>
      <c r="N32" s="140" t="n">
        <f aca="false">MAX(0,M32-M31)</f>
        <v>0</v>
      </c>
      <c r="O32" s="139" t="str">
        <f aca="false">IF(B32&lt;='VALOR POR PL'!$P$5,'CP RESUMO'!AE49,"")</f>
        <v/>
      </c>
      <c r="P32" s="66" t="n">
        <f aca="false">IF(B32&lt;='VALOR POR PL'!$P$5,0,IF(OR($K$16="CURVA PREVISION",$K$16="MDO PREVISION + MATERIAL PREMISSA"),N32,IF($K$16="PREVISÃO INFORMADA",MAX(0,H32),0)))</f>
        <v>924.76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0.0548477293271589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RESUMO'!AF7</f>
        <v>0</v>
      </c>
      <c r="N33" s="140" t="n">
        <f aca="false">MAX(0,M33-M32)</f>
        <v>0</v>
      </c>
      <c r="O33" s="139" t="str">
        <f aca="false">IF(B33&lt;='VALOR POR PL'!$P$5,'CP RESUMO'!AF49,"")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0.0548477293271589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RESUMO'!AG7</f>
        <v>0</v>
      </c>
      <c r="N34" s="140" t="n">
        <f aca="false">MAX(0,M34-M33)</f>
        <v>0</v>
      </c>
      <c r="O34" s="139" t="str">
        <f aca="false">IF(B34&lt;='VALOR POR PL'!$P$5,'CP RESUMO'!AG49,"")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HISTORICOS'!AH7)</f>
        <v>0</v>
      </c>
      <c r="D35" s="45" t="n">
        <f aca="false">IF(B35&lt;='VALOR POR PL'!$P$5,0,IF($K$17&gt;0,$K$18*P35/$K$17,0))</f>
        <v>941.051697283184</v>
      </c>
      <c r="E35" s="45" t="n">
        <f aca="false">L35+D35/$K$2</f>
        <v>0.72562239118628</v>
      </c>
      <c r="F35" s="117" t="n">
        <f aca="false">IF($K$9=0,0,E35/$K$9)</f>
        <v>0.00588803593607991</v>
      </c>
      <c r="G35" s="117" t="n">
        <f aca="false">G34+F35</f>
        <v>0.0607357652632388</v>
      </c>
      <c r="H35" s="138" t="n">
        <v>924.76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RESUMO'!AH7</f>
        <v>0</v>
      </c>
      <c r="N35" s="140" t="n">
        <f aca="false">MAX(0,M35-M34)</f>
        <v>0</v>
      </c>
      <c r="O35" s="139" t="str">
        <f aca="false">IF(B35&lt;='VALOR POR PL'!$P$5,'CP RESUMO'!AH49,"")</f>
        <v/>
      </c>
      <c r="P35" s="66" t="n">
        <f aca="false">IF(B35&lt;='VALOR POR PL'!$P$5,0,IF(OR($K$16="CURVA PREVISION",$K$16="MDO PREVISION + MATERIAL PREMISSA"),N35,IF($K$16="PREVISÃO INFORMADA",MAX(0,H35),0)))</f>
        <v>924.76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0.0607357652632388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RESUMO'!AI7</f>
        <v>0</v>
      </c>
      <c r="N36" s="140" t="n">
        <f aca="false">MAX(0,M36-M35)</f>
        <v>0</v>
      </c>
      <c r="O36" s="139" t="str">
        <f aca="false">IF(B36&lt;='VALOR POR PL'!$P$5,'CP RESUMO'!AI49,"")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0.0607357652632388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RESUMO'!AJ7</f>
        <v>0</v>
      </c>
      <c r="N37" s="140" t="n">
        <f aca="false">MAX(0,M37-M36)</f>
        <v>0</v>
      </c>
      <c r="O37" s="139" t="str">
        <f aca="false">IF(B37&lt;='VALOR POR PL'!$P$5,'CP RESUMO'!AJ49,"")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HISTORICOS'!AK7)</f>
        <v>0</v>
      </c>
      <c r="D38" s="45" t="n">
        <f aca="false">IF(B38&lt;='VALOR POR PL'!$P$5,0,IF($K$17&gt;0,$K$18*P38/$K$17,0))</f>
        <v>941.051697283184</v>
      </c>
      <c r="E38" s="45" t="n">
        <f aca="false">L38+D38/$K$2</f>
        <v>0.72562239118628</v>
      </c>
      <c r="F38" s="117" t="n">
        <f aca="false">IF($K$9=0,0,E38/$K$9)</f>
        <v>0.00588803593607991</v>
      </c>
      <c r="G38" s="117" t="n">
        <f aca="false">G37+F38</f>
        <v>0.0666238011993187</v>
      </c>
      <c r="H38" s="138" t="n">
        <v>924.76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RESUMO'!AK7</f>
        <v>0</v>
      </c>
      <c r="N38" s="140" t="n">
        <f aca="false">MAX(0,M38-M37)</f>
        <v>0</v>
      </c>
      <c r="O38" s="139" t="str">
        <f aca="false">IF(B38&lt;='VALOR POR PL'!$P$5,'CP RESUMO'!AK49,"")</f>
        <v/>
      </c>
      <c r="P38" s="66" t="n">
        <f aca="false">IF(B38&lt;='VALOR POR PL'!$P$5,0,IF(OR($K$16="CURVA PREVISION",$K$16="MDO PREVISION + MATERIAL PREMISSA"),N38,IF($K$16="PREVISÃO INFORMADA",MAX(0,H38),0)))</f>
        <v>924.76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HISTORICOS'!AL7)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0.0666238011993187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RESUMO'!AL7</f>
        <v>0</v>
      </c>
      <c r="N39" s="140" t="n">
        <f aca="false">MAX(0,M39-M38)</f>
        <v>0</v>
      </c>
      <c r="O39" s="139" t="str">
        <f aca="false">IF(B39&lt;='VALOR POR PL'!$P$5,'CP RESUMO'!AL49,"")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HISTORICOS'!AM7)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0.0666238011993187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RESUMO'!AM7</f>
        <v>0</v>
      </c>
      <c r="N40" s="140" t="n">
        <f aca="false">MAX(0,M40-M39)</f>
        <v>0</v>
      </c>
      <c r="O40" s="139" t="str">
        <f aca="false">IF(B40&lt;='VALOR POR PL'!$P$5,'CP RESUMO'!AM49,"")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HISTORICOS'!AN7)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0.0666238011993187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RESUMO'!AN7</f>
        <v>0</v>
      </c>
      <c r="N41" s="140" t="n">
        <f aca="false">MAX(0,M41-M40)</f>
        <v>0</v>
      </c>
      <c r="O41" s="139" t="str">
        <f aca="false">IF(B41&lt;='VALOR POR PL'!$P$5,'CP RESUMO'!AN49,"")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HISTORICOS'!AO7)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0.0666238011993187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RESUMO'!AO7</f>
        <v>0</v>
      </c>
      <c r="N42" s="140" t="n">
        <f aca="false">MAX(0,M42-M41)</f>
        <v>0</v>
      </c>
      <c r="O42" s="139" t="str">
        <f aca="false">IF(B42&lt;='VALOR POR PL'!$P$5,'CP RESUMO'!AO49,"")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HISTORICOS'!AP7)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0.0666238011993187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RESUMO'!AP7</f>
        <v>0</v>
      </c>
      <c r="N43" s="140" t="n">
        <f aca="false">MAX(0,M43-M42)</f>
        <v>0</v>
      </c>
      <c r="O43" s="139" t="str">
        <f aca="false">IF(B43&lt;='VALOR POR PL'!$P$5,'CP RESUMO'!AP49,"")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HISTORICOS'!AQ7)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0.0666238011993187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RESUMO'!AQ7</f>
        <v>0</v>
      </c>
      <c r="N44" s="140" t="n">
        <f aca="false">MAX(0,M44-M43)</f>
        <v>0</v>
      </c>
      <c r="O44" s="139" t="str">
        <f aca="false">IF(B44&lt;='VALOR POR PL'!$P$5,'CP RESUMO'!AQ49,"")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HISTORICOS'!AR7)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0.0666238011993187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RESUMO'!AR7</f>
        <v>0</v>
      </c>
      <c r="N45" s="140" t="n">
        <f aca="false">MAX(0,M45-M44)</f>
        <v>0</v>
      </c>
      <c r="O45" s="139" t="str">
        <f aca="false">IF(B45&lt;='VALOR POR PL'!$P$5,'CP RESUMO'!AR49,"")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HISTORICOS'!AS7)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0.0666238011993187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RESUMO'!AS7</f>
        <v>0</v>
      </c>
      <c r="N46" s="140" t="n">
        <f aca="false">MAX(0,M46-M45)</f>
        <v>0</v>
      </c>
      <c r="O46" s="139" t="str">
        <f aca="false">IF(B46&lt;='VALOR POR PL'!$P$5,'CP RESUMO'!AS49,"")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HISTORICOS'!AT7)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0.0666238011993187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RESUMO'!AT7</f>
        <v>0</v>
      </c>
      <c r="N47" s="140" t="n">
        <f aca="false">MAX(0,M47-M46)</f>
        <v>0</v>
      </c>
      <c r="O47" s="139" t="str">
        <f aca="false">IF(B47&lt;='VALOR POR PL'!$P$5,'CP RESUMO'!AT49,"")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HISTORICOS'!AU7)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0.0666238011993187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RESUMO'!AU7</f>
        <v>0</v>
      </c>
      <c r="N48" s="140" t="n">
        <f aca="false">MAX(0,M48-M47)</f>
        <v>0</v>
      </c>
      <c r="O48" s="139" t="str">
        <f aca="false">IF(B48&lt;='VALOR POR PL'!$P$5,'CP RESUMO'!AU49,"")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HISTORICOS'!AV7)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0.0666238011993187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RESUMO'!AV7</f>
        <v>0</v>
      </c>
      <c r="N49" s="140" t="n">
        <f aca="false">MAX(0,M49-M48)</f>
        <v>0</v>
      </c>
      <c r="O49" s="139" t="str">
        <f aca="false">IF(B49&lt;='VALOR POR PL'!$P$5,'CP RESUMO'!AV49,"")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HISTORICOS'!AW7)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0.0666238011993187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RESUMO'!AW7</f>
        <v>0</v>
      </c>
      <c r="N50" s="140" t="n">
        <f aca="false">MAX(0,M50-M49)</f>
        <v>0</v>
      </c>
      <c r="O50" s="139" t="str">
        <f aca="false">IF(B50&lt;='VALOR POR PL'!$P$5,'CP RESUMO'!AW49,"")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HISTORICOS'!AX7)</f>
        <v>0</v>
      </c>
      <c r="D51" s="45" t="n">
        <f aca="false">IF(B51&lt;='VALOR POR PL'!$P$5,0,IF($K$17&gt;0,$K$18*P51/$K$17,0))</f>
        <v>16242.5954420777</v>
      </c>
      <c r="E51" s="45" t="n">
        <f aca="false">L51+D51/$K$2</f>
        <v>12.5242757414688</v>
      </c>
      <c r="F51" s="117" t="n">
        <f aca="false">IF($K$9=0,0,E51/$K$9)</f>
        <v>0.101627770221621</v>
      </c>
      <c r="G51" s="117" t="n">
        <f aca="false">G50+F51</f>
        <v>0.168251571420939</v>
      </c>
      <c r="H51" s="138" t="n">
        <v>15961.4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RESUMO'!AX7</f>
        <v>0</v>
      </c>
      <c r="N51" s="140" t="n">
        <f aca="false">MAX(0,M51-M50)</f>
        <v>0</v>
      </c>
      <c r="O51" s="139" t="str">
        <f aca="false">IF(B51&lt;='VALOR POR PL'!$P$5,'CP RESUMO'!AX49,"")</f>
        <v/>
      </c>
      <c r="P51" s="66" t="n">
        <f aca="false">IF(B51&lt;='VALOR POR PL'!$P$5,0,IF(OR($K$16="CURVA PREVISION",$K$16="MDO PREVISION + MATERIAL PREMISSA"),N51,IF($K$16="PREVISÃO INFORMADA",MAX(0,H51),0)))</f>
        <v>15961.4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HISTORICOS'!AY7)</f>
        <v>0</v>
      </c>
      <c r="D52" s="45" t="n">
        <f aca="false">IF(B52&lt;='VALOR POR PL'!$P$5,0,IF($K$17&gt;0,$K$18*P52/$K$17,0))</f>
        <v>25379.0579222895</v>
      </c>
      <c r="E52" s="45" t="n">
        <f aca="false">L52+D52/$K$2</f>
        <v>19.5691828076956</v>
      </c>
      <c r="F52" s="117" t="n">
        <f aca="false">IF($K$9=0,0,E52/$K$9)</f>
        <v>0.158793406889023</v>
      </c>
      <c r="G52" s="117" t="n">
        <f aca="false">G51+F52</f>
        <v>0.327044978309962</v>
      </c>
      <c r="H52" s="138" t="n">
        <v>24939.69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RESUMO'!AY7</f>
        <v>0</v>
      </c>
      <c r="N52" s="140" t="n">
        <f aca="false">MAX(0,M52-M51)</f>
        <v>0</v>
      </c>
      <c r="O52" s="139" t="str">
        <f aca="false">IF(B52&lt;='VALOR POR PL'!$P$5,'CP RESUMO'!AY49,"")</f>
        <v/>
      </c>
      <c r="P52" s="66" t="n">
        <f aca="false">IF(B52&lt;='VALOR POR PL'!$P$5,0,IF(OR($K$16="CURVA PREVISION",$K$16="MDO PREVISION + MATERIAL PREMISSA"),N52,IF($K$16="PREVISÃO INFORMADA",MAX(0,H52),0)))</f>
        <v>24939.69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HISTORICOS'!AZ7)</f>
        <v>0</v>
      </c>
      <c r="D53" s="45" t="n">
        <f aca="false">IF(B53&lt;='VALOR POR PL'!$P$5,0,IF($K$17&gt;0,$K$18*P53/$K$17,0))</f>
        <v>304.55248060352</v>
      </c>
      <c r="E53" s="45" t="n">
        <f aca="false">L53+D53/$K$2</f>
        <v>0.23483311262839</v>
      </c>
      <c r="F53" s="117" t="n">
        <f aca="false">IF($K$9=0,0,E53/$K$9)</f>
        <v>0.00190554456826636</v>
      </c>
      <c r="G53" s="117" t="n">
        <f aca="false">G52+F53</f>
        <v>0.328950522878229</v>
      </c>
      <c r="H53" s="138" t="n">
        <v>299.28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RESUMO'!AZ7</f>
        <v>0</v>
      </c>
      <c r="N53" s="140" t="n">
        <f aca="false">MAX(0,M53-M52)</f>
        <v>0</v>
      </c>
      <c r="O53" s="139" t="str">
        <f aca="false">IF(B53&lt;='VALOR POR PL'!$P$5,'CP RESUMO'!AZ49,"")</f>
        <v/>
      </c>
      <c r="P53" s="66" t="n">
        <f aca="false">IF(B53&lt;='VALOR POR PL'!$P$5,0,IF(OR($K$16="CURVA PREVISION",$K$16="MDO PREVISION + MATERIAL PREMISSA"),N53,IF($K$16="PREVISÃO INFORMADA",MAX(0,H53),0)))</f>
        <v>299.28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HISTORICOS'!BA7)</f>
        <v>0</v>
      </c>
      <c r="D54" s="45" t="n">
        <f aca="false">IF(B54&lt;='VALOR POR PL'!$P$5,0,IF($K$17&gt;0,$K$18*P54/$K$17,0))</f>
        <v>45682.3022248867</v>
      </c>
      <c r="E54" s="45" t="n">
        <f aca="false">L54+D54/$K$2</f>
        <v>35.2245274845316</v>
      </c>
      <c r="F54" s="117" t="n">
        <f aca="false">IF($K$9=0,0,E54/$K$9)</f>
        <v>0.285828119666049</v>
      </c>
      <c r="G54" s="117" t="n">
        <f aca="false">G53+F54</f>
        <v>0.614778642544278</v>
      </c>
      <c r="H54" s="138" t="n">
        <v>44891.44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RESUMO'!BA7</f>
        <v>0</v>
      </c>
      <c r="N54" s="140" t="n">
        <f aca="false">MAX(0,M54-M53)</f>
        <v>0</v>
      </c>
      <c r="O54" s="139" t="str">
        <f aca="false">IF(B54&lt;='VALOR POR PL'!$P$5,'CP RESUMO'!BA49,"")</f>
        <v/>
      </c>
      <c r="P54" s="66" t="n">
        <f aca="false">IF(B54&lt;='VALOR POR PL'!$P$5,0,IF(OR($K$16="CURVA PREVISION",$K$16="MDO PREVISION + MATERIAL PREMISSA"),N54,IF($K$16="PREVISÃO INFORMADA",MAX(0,H54),0)))</f>
        <v>44891.44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HISTORICOS'!BB7)</f>
        <v>0</v>
      </c>
      <c r="D55" s="45" t="n">
        <f aca="false">IF(B55&lt;='VALOR POR PL'!$P$5,0,IF($K$17&gt;0,$K$18*P55/$K$17,0))</f>
        <v>61567.7649047758</v>
      </c>
      <c r="E55" s="45" t="n">
        <f aca="false">L55+D55/$K$2</f>
        <v>47.4734267194616</v>
      </c>
      <c r="F55" s="117" t="n">
        <f aca="false">IF($K$9=0,0,E55/$K$9)</f>
        <v>0.385221357455723</v>
      </c>
      <c r="G55" s="117" t="n">
        <f aca="false">G54+F55</f>
        <v>1</v>
      </c>
      <c r="H55" s="138" t="n">
        <v>60501.89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RESUMO'!BB7</f>
        <v>0</v>
      </c>
      <c r="N55" s="140" t="n">
        <f aca="false">MAX(0,M55-M54)</f>
        <v>0</v>
      </c>
      <c r="O55" s="139" t="str">
        <f aca="false">IF(B55&lt;='VALOR POR PL'!$P$5,'CP RESUMO'!BB49,"")</f>
        <v/>
      </c>
      <c r="P55" s="66" t="n">
        <f aca="false">IF(B55&lt;='VALOR POR PL'!$P$5,0,IF(OR($K$16="CURVA PREVISION",$K$16="MDO PREVISION + MATERIAL PREMISSA"),N55,IF($K$16="PREVISÃO INFORMADA",MAX(0,H55),0)))</f>
        <v>60501.89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RESUMO'!BC7</f>
        <v>0</v>
      </c>
      <c r="N56" s="140" t="n">
        <f aca="false">MAX(0,M56-M55)</f>
        <v>0</v>
      </c>
      <c r="O56" s="139" t="str">
        <f aca="false">IF(B56&lt;='VALOR POR PL'!$P$5,'CP RESUMO'!BC49,"")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RESUMO'!BD7</f>
        <v>0</v>
      </c>
      <c r="N57" s="140" t="n">
        <f aca="false">MAX(0,M57-M56)</f>
        <v>0</v>
      </c>
      <c r="O57" s="139" t="str">
        <f aca="false">IF(B57&lt;='VALOR POR PL'!$P$5,'CP RESUMO'!BD49,"")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RESUMO'!BE7</f>
        <v>0</v>
      </c>
      <c r="N58" s="140" t="n">
        <f aca="false">MAX(0,M58-M57)</f>
        <v>0</v>
      </c>
      <c r="O58" s="139" t="str">
        <f aca="false">IF(B58&lt;='VALOR POR PL'!$P$5,'CP RESUMO'!BE49,"")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RESUMO'!BF7</f>
        <v>0</v>
      </c>
      <c r="N59" s="140" t="n">
        <f aca="false">MAX(0,M59-M58)</f>
        <v>0</v>
      </c>
      <c r="O59" s="139" t="str">
        <f aca="false">IF(B59&lt;='VALOR POR PL'!$P$5,'CP RESUMO'!BF49,"")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RESUMO'!BG7</f>
        <v>0</v>
      </c>
      <c r="N60" s="140" t="n">
        <f aca="false">MAX(0,M60-M59)</f>
        <v>0</v>
      </c>
      <c r="O60" s="139" t="str">
        <f aca="false">IF(B60&lt;='VALOR POR PL'!$P$5,'CP RESUMO'!BG49,"")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RESUMO'!BH7</f>
        <v>0</v>
      </c>
      <c r="N61" s="140" t="n">
        <f aca="false">MAX(0,M61-M60)</f>
        <v>0</v>
      </c>
      <c r="O61" s="139" t="str">
        <f aca="false">IF(B61&lt;='VALOR POR PL'!$P$5,'CP RESUMO'!BH49,"")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RESUMO'!BI7</f>
        <v>0</v>
      </c>
      <c r="N62" s="140" t="n">
        <f aca="false">MAX(0,M62-M61)</f>
        <v>0</v>
      </c>
      <c r="O62" s="139" t="str">
        <f aca="false">IF(B62&lt;='VALOR POR PL'!$P$5,'CP RESUMO'!BI49,"")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RESUMO'!BJ7</f>
        <v>0</v>
      </c>
      <c r="N63" s="140" t="n">
        <f aca="false">MAX(0,M63-M62)</f>
        <v>0</v>
      </c>
      <c r="O63" s="139" t="str">
        <f aca="false">IF(B63&lt;='VALOR POR PL'!$P$5,'CP RESUMO'!BJ49,"")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RESUMO'!BK7</f>
        <v>0</v>
      </c>
      <c r="N64" s="140" t="n">
        <f aca="false">MAX(0,M64-M63)</f>
        <v>0</v>
      </c>
      <c r="O64" s="139" t="str">
        <f aca="false">IF(B64&lt;='VALOR POR PL'!$P$5,'CP RESUMO'!BK49,"")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RESUMO'!BL7</f>
        <v>0</v>
      </c>
      <c r="N65" s="140" t="n">
        <f aca="false">MAX(0,M65-M64)</f>
        <v>0</v>
      </c>
      <c r="O65" s="139" t="str">
        <f aca="false">IF(B65&lt;='VALOR POR PL'!$P$5,'CP RESUMO'!BL49,"")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RESUMO'!BM7</f>
        <v>0</v>
      </c>
      <c r="N66" s="140" t="n">
        <f aca="false">MAX(0,M66-M65)</f>
        <v>0</v>
      </c>
      <c r="O66" s="139" t="str">
        <f aca="false">IF(B66&lt;='VALOR POR PL'!$P$5,'CP RESUMO'!BM49,"")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RESUMO'!BN7</f>
        <v>0</v>
      </c>
      <c r="N67" s="140" t="n">
        <f aca="false">MAX(0,M67-M66)</f>
        <v>0</v>
      </c>
      <c r="O67" s="139" t="str">
        <f aca="false">IF(B67&lt;='VALOR POR PL'!$P$5,'CP RESUMO'!BN49,"")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RESUMO'!BO7</f>
        <v>0</v>
      </c>
      <c r="N68" s="140" t="n">
        <f aca="false">MAX(0,M68-M67)</f>
        <v>0</v>
      </c>
      <c r="O68" s="139" t="str">
        <f aca="false">IF(B68&lt;='VALOR POR PL'!$P$5,'CP RESUMO'!BO49,"")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RESUMO'!BP7</f>
        <v>0</v>
      </c>
      <c r="N69" s="140" t="n">
        <f aca="false">MAX(0,M69-M68)</f>
        <v>0</v>
      </c>
      <c r="O69" s="139" t="str">
        <f aca="false">IF(B69&lt;='VALOR POR PL'!$P$5,'CP RESUMO'!BP49,"")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RESUMO'!BQ7</f>
        <v>0</v>
      </c>
      <c r="N70" s="140" t="n">
        <f aca="false">MAX(0,M70-M69)</f>
        <v>0</v>
      </c>
      <c r="O70" s="139" t="str">
        <f aca="false">IF(B70&lt;='VALOR POR PL'!$P$5,'CP RESUMO'!BQ49,"")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RESUMO'!BR7</f>
        <v>0</v>
      </c>
      <c r="N71" s="140" t="n">
        <f aca="false">MAX(0,M71-M70)</f>
        <v>0</v>
      </c>
      <c r="O71" s="139" t="str">
        <f aca="false">IF(B71&lt;='VALOR POR PL'!$P$5,'CP RESUMO'!BR49,"")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RESUMO'!BS7</f>
        <v>0</v>
      </c>
      <c r="N72" s="140" t="n">
        <f aca="false">MAX(0,M72-M71)</f>
        <v>0</v>
      </c>
      <c r="O72" s="139" t="str">
        <f aca="false">IF(B72&lt;='VALOR POR PL'!$P$5,'CP RESUMO'!BS49,"")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RESUMO'!BT7</f>
        <v>0</v>
      </c>
      <c r="N73" s="140" t="n">
        <f aca="false">MAX(0,M73-M72)</f>
        <v>0</v>
      </c>
      <c r="O73" s="139" t="str">
        <f aca="false">IF(B73&lt;='VALOR POR PL'!$P$5,'CP RESUMO'!BT49,"")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RESUMO'!BU7</f>
        <v>0</v>
      </c>
      <c r="N74" s="140" t="n">
        <f aca="false">MAX(0,M74-M73)</f>
        <v>0</v>
      </c>
      <c r="O74" s="139" t="str">
        <f aca="false">IF(B74&lt;='VALOR POR PL'!$P$5,'CP RESUMO'!BU49,"")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RESUMO'!BV7</f>
        <v>0</v>
      </c>
      <c r="N75" s="140" t="n">
        <f aca="false">MAX(0,M75-M74)</f>
        <v>0</v>
      </c>
      <c r="O75" s="139" t="str">
        <f aca="false">IF(B75&lt;='VALOR POR PL'!$P$5,'CP RESUMO'!BV49,"")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RESUMO'!BW7</f>
        <v>0</v>
      </c>
      <c r="N76" s="140" t="n">
        <f aca="false">MAX(0,M76-M75)</f>
        <v>0</v>
      </c>
      <c r="O76" s="139" t="str">
        <f aca="false">IF(B76&lt;='VALOR POR PL'!$P$5,'CP RESUMO'!BW49,"")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5905.19</v>
      </c>
      <c r="D78" s="61" t="n">
        <f aca="false">SUM(D5:D76)</f>
        <v>153881.531461049</v>
      </c>
      <c r="E78" s="61" t="n">
        <f aca="false">SUM(E5:E76)</f>
        <v>123.23674635542</v>
      </c>
      <c r="F78" s="145" t="n">
        <f aca="false">SUM(F5:F76)</f>
        <v>1</v>
      </c>
      <c r="H78" s="61" t="n">
        <f aca="false">SUM(H5:H76)</f>
        <v>151217.5</v>
      </c>
      <c r="L78" s="61" t="n">
        <f aca="false">SUM(L5:L76)</f>
        <v>4.58238853370299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PL'!D14</f>
        <v>BARRACAO DE OBRA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HISTORICOS'!D8)</f>
        <v>61380.97</v>
      </c>
      <c r="D5" s="45" t="n">
        <f aca="false">IF(B5&lt;='VALOR POR PL'!$P$5,0,IF($K$17&gt;0,$K$18*P5/$K$17,0))</f>
        <v>0</v>
      </c>
      <c r="E5" s="45" t="n">
        <f aca="false">L5+D5/$K$2</f>
        <v>53.8981367600457</v>
      </c>
      <c r="F5" s="117" t="n">
        <f aca="false">IF($K$9=0,0,E5/$K$9)</f>
        <v>0.0554195470645073</v>
      </c>
      <c r="G5" s="117" t="n">
        <f aca="false">F5</f>
        <v>0.0554195470645073</v>
      </c>
      <c r="H5" s="138"/>
      <c r="I5" s="42" t="s">
        <v>2920</v>
      </c>
      <c r="J5" s="56" t="n">
        <f aca="false">'VALOR POR PL'!F14</f>
        <v>934513.13</v>
      </c>
      <c r="K5" s="56" t="n">
        <f aca="false">'VALOR POR PL'!G14</f>
        <v>768.068153</v>
      </c>
      <c r="L5" s="56" t="n">
        <f aca="false">'DADOS HISTORICOS'!$BZ$8</f>
        <v>53.8981367600457</v>
      </c>
      <c r="M5" s="139" t="n">
        <f aca="false">'CP RESUMO'!D8</f>
        <v>0</v>
      </c>
      <c r="N5" s="140" t="n">
        <v>0</v>
      </c>
      <c r="O5" s="139" t="n">
        <f aca="false">IF(B5&lt;='VALOR POR PL'!$P$5,'CP RESUMO'!D50,"")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HISTORICOS'!E8)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0.0554195470645073</v>
      </c>
      <c r="H6" s="138"/>
      <c r="I6" s="42" t="s">
        <v>2921</v>
      </c>
      <c r="K6" s="52" t="n">
        <f aca="false">'VALOR POR PL'!H14</f>
        <v>972.714666461365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RESUMO'!E8</f>
        <v>0</v>
      </c>
      <c r="N6" s="140" t="n">
        <f aca="false">MAX(0,M6-M5)</f>
        <v>0</v>
      </c>
      <c r="O6" s="139" t="n">
        <f aca="false">IF(B6&lt;='VALOR POR PL'!$P$5,'CP RESUMO'!E50,"")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HISTORICOS'!F8)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0.0554195470645073</v>
      </c>
      <c r="H7" s="138"/>
      <c r="I7" s="42" t="s">
        <v>2922</v>
      </c>
      <c r="J7" s="45" t="n">
        <f aca="false">C78+D78</f>
        <v>1221240.71877809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RESUMO'!F8</f>
        <v>0</v>
      </c>
      <c r="N7" s="140" t="n">
        <f aca="false">MAX(0,M7-M6)</f>
        <v>0</v>
      </c>
      <c r="O7" s="139" t="n">
        <f aca="false">IF(B7&lt;='VALOR POR PL'!$P$5,'CP RESUMO'!F50,"")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HISTORICOS'!G8)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0.0554195470645073</v>
      </c>
      <c r="H8" s="138"/>
      <c r="I8" s="42" t="s">
        <v>2923</v>
      </c>
      <c r="K8" s="66" t="n">
        <f aca="false">SUM(L5:L76)</f>
        <v>549.746203821413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RESUMO'!G8</f>
        <v>0</v>
      </c>
      <c r="N8" s="140" t="n">
        <f aca="false">MAX(0,M8-M7)</f>
        <v>0</v>
      </c>
      <c r="O8" s="139" t="n">
        <f aca="false">IF(B8&lt;='VALOR POR PL'!$P$5,'CP RESUMO'!G50,"")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HISTORICOS'!H8)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0.0554195470645073</v>
      </c>
      <c r="H9" s="138"/>
      <c r="I9" s="42" t="s">
        <v>2924</v>
      </c>
      <c r="J9" s="45" t="n">
        <f aca="false">C78+D78</f>
        <v>1221240.71877809</v>
      </c>
      <c r="K9" s="45" t="n">
        <f aca="false">E78</f>
        <v>972.547406374673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RESUMO'!H8</f>
        <v>0</v>
      </c>
      <c r="N9" s="140" t="n">
        <f aca="false">MAX(0,M9-M8)</f>
        <v>0</v>
      </c>
      <c r="O9" s="139" t="n">
        <f aca="false">IF(B9&lt;='VALOR POR PL'!$P$5,'CP RESUMO'!H50,"")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HISTORICOS'!I8)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0.0554195470645073</v>
      </c>
      <c r="H10" s="138"/>
      <c r="I10" s="42" t="s">
        <v>2925</v>
      </c>
      <c r="K10" s="52" t="n">
        <f aca="false">IF(K6-K8&gt;0,(K6-K8)*'VALOR POR PL'!$G$65,K6-K8)</f>
        <v>422.80120255326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RESUMO'!I8</f>
        <v>0</v>
      </c>
      <c r="N10" s="140" t="n">
        <f aca="false">MAX(0,M10-M9)</f>
        <v>0</v>
      </c>
      <c r="O10" s="139" t="n">
        <f aca="false">IF(B10&lt;='VALOR POR PL'!$P$5,'CP RESUMO'!I50,"")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HISTORICOS'!J8)</f>
        <v>61557.78</v>
      </c>
      <c r="D11" s="45" t="n">
        <f aca="false">IF(B11&lt;='VALOR POR PL'!$P$5,0,IF($K$17&gt;0,$K$18*P11/$K$17,0))</f>
        <v>0</v>
      </c>
      <c r="E11" s="45" t="n">
        <f aca="false">L11+D11/$K$2</f>
        <v>51.319148084758</v>
      </c>
      <c r="F11" s="117" t="n">
        <f aca="false">IF($K$9=0,0,E11/$K$9)</f>
        <v>0.0527677599553305</v>
      </c>
      <c r="G11" s="117" t="n">
        <f aca="false">G10+F11</f>
        <v>0.108187307019838</v>
      </c>
      <c r="H11" s="138"/>
      <c r="I11" s="42" t="s">
        <v>2926</v>
      </c>
      <c r="K11" s="56" t="n">
        <f aca="false">SUMPRODUCT((B5:B76&gt;'VALOR POR PL'!$P$5)*H5:H76)</f>
        <v>597111.3</v>
      </c>
      <c r="L11" s="45" t="n">
        <f aca="false">C11/IF(B11&lt;='VALOR POR PL'!$P$5,IFERROR(INDEX('"INCC-FGV"'!$B$2:$B$800,MATCH(B11,'"INCC-FGV"'!$A$2:$A$800,0)),$K$2),$K$2)</f>
        <v>51.319148084758</v>
      </c>
      <c r="M11" s="139" t="n">
        <f aca="false">'CP RESUMO'!J8</f>
        <v>0</v>
      </c>
      <c r="N11" s="140" t="n">
        <f aca="false">MAX(0,M11-M10)</f>
        <v>0</v>
      </c>
      <c r="O11" s="139" t="n">
        <f aca="false">IF(B11&lt;='VALOR POR PL'!$P$5,'CP RESUMO'!J50,"")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HISTORICOS'!K8)</f>
        <v>70633.03</v>
      </c>
      <c r="D12" s="45" t="n">
        <f aca="false">IF(B12&lt;='VALOR POR PL'!$P$5,0,IF($K$17&gt;0,$K$18*P12/$K$17,0))</f>
        <v>0</v>
      </c>
      <c r="E12" s="45" t="n">
        <f aca="false">L12+D12/$K$2</f>
        <v>58.3516912011936</v>
      </c>
      <c r="F12" s="117" t="n">
        <f aca="false">IF($K$9=0,0,E12/$K$9)</f>
        <v>0.0599988142672746</v>
      </c>
      <c r="G12" s="117" t="n">
        <f aca="false">G11+F12</f>
        <v>0.168186121287112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58.3516912011936</v>
      </c>
      <c r="M12" s="139" t="n">
        <f aca="false">'CP RESUMO'!K8</f>
        <v>0</v>
      </c>
      <c r="N12" s="140" t="n">
        <f aca="false">MAX(0,M12-M11)</f>
        <v>0</v>
      </c>
      <c r="O12" s="139" t="n">
        <f aca="false">IF(B12&lt;='VALOR POR PL'!$P$5,'CP RESUMO'!K50,"")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HISTORICOS'!L8)</f>
        <v>66792.52</v>
      </c>
      <c r="D13" s="45" t="n">
        <f aca="false">IF(B13&lt;='VALOR POR PL'!$P$5,0,IF($K$17&gt;0,$K$18*P13/$K$17,0))</f>
        <v>0</v>
      </c>
      <c r="E13" s="45" t="n">
        <f aca="false">L13+D13/$K$2</f>
        <v>54.8961869177928</v>
      </c>
      <c r="F13" s="117" t="n">
        <f aca="false">IF($K$9=0,0,E13/$K$9)</f>
        <v>0.0564457696951012</v>
      </c>
      <c r="G13" s="117" t="n">
        <f aca="false">G12+F13</f>
        <v>0.224631890982214</v>
      </c>
      <c r="H13" s="138"/>
      <c r="I13" s="42" t="s">
        <v>2928</v>
      </c>
      <c r="K13" s="56" t="str">
        <f aca="false">'VALOR POR PL'!I14</f>
        <v>INDIRETO</v>
      </c>
      <c r="L13" s="45" t="n">
        <f aca="false">C13/IF(B13&lt;='VALOR POR PL'!$P$5,IFERROR(INDEX('"INCC-FGV"'!$B$2:$B$800,MATCH(B13,'"INCC-FGV"'!$A$2:$A$800,0)),$K$2),$K$2)</f>
        <v>54.8961869177928</v>
      </c>
      <c r="M13" s="139" t="n">
        <f aca="false">'CP RESUMO'!L8</f>
        <v>0</v>
      </c>
      <c r="N13" s="140" t="n">
        <f aca="false">MAX(0,M13-M12)</f>
        <v>0</v>
      </c>
      <c r="O13" s="139" t="n">
        <f aca="false">IF(B13&lt;='VALOR POR PL'!$P$5,'CP RESUMO'!L50,"")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HISTORICOS'!M8)</f>
        <v>71201.4</v>
      </c>
      <c r="D14" s="45" t="n">
        <f aca="false">IF(B14&lt;='VALOR POR PL'!$P$5,0,IF($K$17&gt;0,$K$18*P14/$K$17,0))</f>
        <v>0</v>
      </c>
      <c r="E14" s="45" t="n">
        <f aca="false">L14+D14/$K$2</f>
        <v>58.4218053459824</v>
      </c>
      <c r="F14" s="117" t="n">
        <f aca="false">IF($K$9=0,0,E14/$K$9)</f>
        <v>0.0600709075599297</v>
      </c>
      <c r="G14" s="117" t="n">
        <f aca="false">G13+F14</f>
        <v>0.284702798542143</v>
      </c>
      <c r="H14" s="138"/>
      <c r="I14" s="42" t="s">
        <v>2929</v>
      </c>
      <c r="K14" s="58" t="n">
        <f aca="false">IFERROR(INDEX('CP RESUMO'!$D$50:$BW$50,MATCH('VALOR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58.4218053459824</v>
      </c>
      <c r="M14" s="139" t="n">
        <f aca="false">'CP RESUMO'!M8</f>
        <v>0</v>
      </c>
      <c r="N14" s="140" t="n">
        <f aca="false">MAX(0,M14-M13)</f>
        <v>0</v>
      </c>
      <c r="O14" s="139" t="n">
        <f aca="false">IF(B14&lt;='VALOR POR PL'!$P$5,'CP RESUMO'!M50,"")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HISTORICOS'!N8)</f>
        <v>59244.3</v>
      </c>
      <c r="D15" s="45" t="n">
        <f aca="false">IF(B15&lt;='VALOR POR PL'!$P$5,0,IF($K$17&gt;0,$K$18*P15/$K$17,0))</f>
        <v>0</v>
      </c>
      <c r="E15" s="45" t="n">
        <f aca="false">L15+D15/$K$2</f>
        <v>48.4673041241668</v>
      </c>
      <c r="F15" s="117" t="n">
        <f aca="false">IF($K$9=0,0,E15/$K$9)</f>
        <v>0.0498354155349984</v>
      </c>
      <c r="G15" s="117" t="n">
        <f aca="false">G14+F15</f>
        <v>0.334538214077142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48.4673041241668</v>
      </c>
      <c r="M15" s="139" t="n">
        <f aca="false">'CP RESUMO'!N8</f>
        <v>0</v>
      </c>
      <c r="N15" s="140" t="n">
        <f aca="false">MAX(0,M15-M14)</f>
        <v>0</v>
      </c>
      <c r="O15" s="139" t="n">
        <f aca="false">IF(B15&lt;='VALOR POR PL'!$P$5,'CP RESUMO'!N50,"")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HISTORICOS'!O8)</f>
        <v>40715.62</v>
      </c>
      <c r="D16" s="45" t="n">
        <f aca="false">IF(B16&lt;='VALOR POR PL'!$P$5,0,IF($K$17&gt;0,$K$18*P16/$K$17,0))</f>
        <v>0</v>
      </c>
      <c r="E16" s="45" t="n">
        <f aca="false">L16+D16/$K$2</f>
        <v>33.2200748511178</v>
      </c>
      <c r="F16" s="117" t="n">
        <f aca="false">IF($K$9=0,0,E16/$K$9)</f>
        <v>0.0341577949140299</v>
      </c>
      <c r="G16" s="117" t="n">
        <f aca="false">G15+F16</f>
        <v>0.368696008991172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33.2200748511178</v>
      </c>
      <c r="M16" s="139" t="n">
        <f aca="false">'CP RESUMO'!O8</f>
        <v>0</v>
      </c>
      <c r="N16" s="140" t="n">
        <f aca="false">MAX(0,M16-M15)</f>
        <v>0</v>
      </c>
      <c r="O16" s="139" t="n">
        <f aca="false">IF(B16&lt;='VALOR POR PL'!$P$5,'CP RESUMO'!O50,"")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HISTORICOS'!P8)</f>
        <v>51460.01</v>
      </c>
      <c r="D17" s="45" t="n">
        <f aca="false">IF(B17&lt;='VALOR POR PL'!$P$5,0,IF($K$17&gt;0,$K$18*P17/$K$17,0))</f>
        <v>0</v>
      </c>
      <c r="E17" s="45" t="n">
        <f aca="false">L17+D17/$K$2</f>
        <v>41.9000521918543</v>
      </c>
      <c r="F17" s="117" t="n">
        <f aca="false">IF($K$9=0,0,E17/$K$9)</f>
        <v>0.0430827864196806</v>
      </c>
      <c r="G17" s="117" t="n">
        <f aca="false">G16+F17</f>
        <v>0.411778795410852</v>
      </c>
      <c r="H17" s="138"/>
      <c r="I17" s="42" t="s">
        <v>2933</v>
      </c>
      <c r="K17" s="45" t="n">
        <f aca="false">SUM(P5:P76)</f>
        <v>597111.3</v>
      </c>
      <c r="L17" s="45" t="n">
        <f aca="false">C17/IF(B17&lt;='VALOR POR PL'!$P$5,IFERROR(INDEX('"INCC-FGV"'!$B$2:$B$800,MATCH(B17,'"INCC-FGV"'!$A$2:$A$800,0)),$K$2),$K$2)</f>
        <v>41.9000521918543</v>
      </c>
      <c r="M17" s="139" t="n">
        <f aca="false">'CP RESUMO'!P8</f>
        <v>0</v>
      </c>
      <c r="N17" s="140" t="n">
        <f aca="false">MAX(0,M17-M16)</f>
        <v>0</v>
      </c>
      <c r="O17" s="139" t="n">
        <f aca="false">IF(B17&lt;='VALOR POR PL'!$P$5,'CP RESUMO'!P50,"")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HISTORICOS'!Q8)</f>
        <v>22683.91</v>
      </c>
      <c r="D18" s="45" t="n">
        <f aca="false">IF(B18&lt;='VALOR POR PL'!$P$5,0,IF($K$17&gt;0,$K$18*P18/$K$17,0))</f>
        <v>0</v>
      </c>
      <c r="E18" s="45" t="n">
        <f aca="false">L18+D18/$K$2</f>
        <v>18.3373078875635</v>
      </c>
      <c r="F18" s="117" t="n">
        <f aca="false">IF($K$9=0,0,E18/$K$9)</f>
        <v>0.0188549244667864</v>
      </c>
      <c r="G18" s="117" t="n">
        <f aca="false">G17+F18</f>
        <v>0.430633719877639</v>
      </c>
      <c r="H18" s="138"/>
      <c r="I18" s="42" t="s">
        <v>2934</v>
      </c>
      <c r="K18" s="45" t="n">
        <f aca="false">MAX(0,K10)*$K$2</f>
        <v>548326.228778094</v>
      </c>
      <c r="L18" s="45" t="n">
        <f aca="false">C18/IF(B18&lt;='VALOR POR PL'!$P$5,IFERROR(INDEX('"INCC-FGV"'!$B$2:$B$800,MATCH(B18,'"INCC-FGV"'!$A$2:$A$800,0)),$K$2),$K$2)</f>
        <v>18.3373078875635</v>
      </c>
      <c r="M18" s="139" t="n">
        <f aca="false">'CP RESUMO'!Q8</f>
        <v>0</v>
      </c>
      <c r="N18" s="140" t="n">
        <f aca="false">MAX(0,M18-M17)</f>
        <v>0</v>
      </c>
      <c r="O18" s="139" t="n">
        <f aca="false">IF(B18&lt;='VALOR POR PL'!$P$5,'CP RESUMO'!Q50,"")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HISTORICOS'!R8)</f>
        <v>17563.67</v>
      </c>
      <c r="D19" s="45" t="n">
        <f aca="false">IF(B19&lt;='VALOR POR PL'!$P$5,0,IF($K$17&gt;0,$K$18*P19/$K$17,0))</f>
        <v>0</v>
      </c>
      <c r="E19" s="45" t="n">
        <f aca="false">L19+D19/$K$2</f>
        <v>14.1587577721868</v>
      </c>
      <c r="F19" s="117" t="n">
        <f aca="false">IF($K$9=0,0,E19/$K$9)</f>
        <v>0.0145584242777078</v>
      </c>
      <c r="G19" s="117" t="n">
        <f aca="false">G18+F19</f>
        <v>0.445192144155346</v>
      </c>
      <c r="H19" s="138"/>
      <c r="I19" s="42" t="s">
        <v>2935</v>
      </c>
      <c r="K19" s="142" t="n">
        <f aca="false">IF(AND(K16="PREVISÃO INFORMADA",K11&gt;0),K18/K11-1,"")</f>
        <v>-0.0817018053785044</v>
      </c>
      <c r="L19" s="45" t="n">
        <f aca="false">C19/IF(B19&lt;='VALOR POR PL'!$P$5,IFERROR(INDEX('"INCC-FGV"'!$B$2:$B$800,MATCH(B19,'"INCC-FGV"'!$A$2:$A$800,0)),$K$2),$K$2)</f>
        <v>14.1587577721868</v>
      </c>
      <c r="M19" s="139" t="n">
        <f aca="false">'CP RESUMO'!R8</f>
        <v>0</v>
      </c>
      <c r="N19" s="140" t="n">
        <f aca="false">MAX(0,M19-M18)</f>
        <v>0</v>
      </c>
      <c r="O19" s="139" t="n">
        <f aca="false">IF(B19&lt;='VALOR POR PL'!$P$5,'CP RESUMO'!R50,"")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HISTORICOS'!S8)</f>
        <v>14403.47</v>
      </c>
      <c r="D20" s="45" t="n">
        <f aca="false">IF(B20&lt;='VALOR POR PL'!$P$5,0,IF($K$17&gt;0,$K$18*P20/$K$17,0))</f>
        <v>0</v>
      </c>
      <c r="E20" s="45" t="n">
        <f aca="false">L20+D20/$K$2</f>
        <v>11.5488209008957</v>
      </c>
      <c r="F20" s="117" t="n">
        <f aca="false">IF($K$9=0,0,E20/$K$9)</f>
        <v>0.0118748153819522</v>
      </c>
      <c r="G20" s="117" t="n">
        <f aca="false">G19+F20</f>
        <v>0.457066959537299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11.5488209008957</v>
      </c>
      <c r="M20" s="139" t="n">
        <f aca="false">'CP RESUMO'!S8</f>
        <v>0</v>
      </c>
      <c r="N20" s="140" t="n">
        <f aca="false">MAX(0,M20-M19)</f>
        <v>0</v>
      </c>
      <c r="O20" s="139" t="n">
        <f aca="false">IF(B20&lt;='VALOR POR PL'!$P$5,'CP RESUMO'!S50,"")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HISTORICOS'!T8)</f>
        <v>13639.33</v>
      </c>
      <c r="D21" s="45" t="n">
        <f aca="false">IF(B21&lt;='VALOR POR PL'!$P$5,0,IF($K$17&gt;0,$K$18*P21/$K$17,0))</f>
        <v>0</v>
      </c>
      <c r="E21" s="45" t="n">
        <f aca="false">L21+D21/$K$2</f>
        <v>10.8278556299676</v>
      </c>
      <c r="F21" s="117" t="n">
        <f aca="false">IF($K$9=0,0,E21/$K$9)</f>
        <v>0.0111334990551568</v>
      </c>
      <c r="G21" s="117" t="n">
        <f aca="false">G20+F21</f>
        <v>0.468200458592456</v>
      </c>
      <c r="H21" s="138"/>
      <c r="K21" s="143"/>
      <c r="L21" s="45" t="n">
        <f aca="false">C21/IF(B21&lt;='VALOR POR PL'!$P$5,IFERROR(INDEX('"INCC-FGV"'!$B$2:$B$800,MATCH(B21,'"INCC-FGV"'!$A$2:$A$800,0)),$K$2),$K$2)</f>
        <v>10.8278556299676</v>
      </c>
      <c r="M21" s="139" t="n">
        <f aca="false">'CP RESUMO'!T8</f>
        <v>0</v>
      </c>
      <c r="N21" s="140" t="n">
        <f aca="false">MAX(0,M21-M20)</f>
        <v>0</v>
      </c>
      <c r="O21" s="139" t="n">
        <f aca="false">IF(B21&lt;='VALOR POR PL'!$P$5,'CP RESUMO'!T50,"")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HISTORICOS'!U8)</f>
        <v>19885.18</v>
      </c>
      <c r="D22" s="45" t="n">
        <f aca="false">IF(B22&lt;='VALOR POR PL'!$P$5,0,IF($K$17&gt;0,$K$18*P22/$K$17,0))</f>
        <v>0</v>
      </c>
      <c r="E22" s="45" t="n">
        <f aca="false">L22+D22/$K$2</f>
        <v>15.6490581925639</v>
      </c>
      <c r="F22" s="117" t="n">
        <f aca="false">IF($K$9=0,0,E22/$K$9)</f>
        <v>0.016090792171148</v>
      </c>
      <c r="G22" s="117" t="n">
        <f aca="false">G21+F22</f>
        <v>0.484291250763604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15.6490581925639</v>
      </c>
      <c r="M22" s="139" t="n">
        <f aca="false">'CP RESUMO'!U8</f>
        <v>0</v>
      </c>
      <c r="N22" s="140" t="n">
        <f aca="false">MAX(0,M22-M21)</f>
        <v>0</v>
      </c>
      <c r="O22" s="139" t="n">
        <f aca="false">IF(B22&lt;='VALOR POR PL'!$P$5,'CP RESUMO'!U50,"")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HISTORICOS'!V8)</f>
        <v>14872.41</v>
      </c>
      <c r="D23" s="45" t="n">
        <f aca="false">IF(B23&lt;='VALOR POR PL'!$P$5,0,IF($K$17&gt;0,$K$18*P23/$K$17,0))</f>
        <v>0</v>
      </c>
      <c r="E23" s="45" t="n">
        <f aca="false">L23+D23/$K$2</f>
        <v>11.6132546123387</v>
      </c>
      <c r="F23" s="117" t="n">
        <f aca="false">IF($K$9=0,0,E23/$K$9)</f>
        <v>0.0119410678967609</v>
      </c>
      <c r="G23" s="117" t="n">
        <f aca="false">G22+F23</f>
        <v>0.496232318660364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11.6132546123387</v>
      </c>
      <c r="M23" s="139" t="n">
        <f aca="false">'CP RESUMO'!V8</f>
        <v>0</v>
      </c>
      <c r="N23" s="140" t="n">
        <f aca="false">MAX(0,M23-M22)</f>
        <v>0</v>
      </c>
      <c r="O23" s="139" t="n">
        <f aca="false">IF(B23&lt;='VALOR POR PL'!$P$5,'CP RESUMO'!V50,"")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HISTORICOS'!W8)</f>
        <v>28641.88</v>
      </c>
      <c r="D24" s="45" t="n">
        <f aca="false">IF(B24&lt;='VALOR POR PL'!$P$5,0,IF($K$17&gt;0,$K$18*P24/$K$17,0))</f>
        <v>0</v>
      </c>
      <c r="E24" s="45" t="n">
        <f aca="false">L24+D24/$K$2</f>
        <v>22.2300456912322</v>
      </c>
      <c r="F24" s="117" t="n">
        <f aca="false">IF($K$9=0,0,E24/$K$9)</f>
        <v>0.0228575445736864</v>
      </c>
      <c r="G24" s="117" t="n">
        <f aca="false">G23+F24</f>
        <v>0.519089863234051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22.2300456912322</v>
      </c>
      <c r="M24" s="139" t="n">
        <f aca="false">'CP RESUMO'!W8</f>
        <v>0</v>
      </c>
      <c r="N24" s="140" t="n">
        <f aca="false">MAX(0,M24-M23)</f>
        <v>0</v>
      </c>
      <c r="O24" s="139" t="n">
        <f aca="false">IF(B24&lt;='VALOR POR PL'!$P$5,'CP RESUMO'!W50,"")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HISTORICOS'!X8)</f>
        <v>16434.13</v>
      </c>
      <c r="D25" s="45" t="n">
        <f aca="false">IF(B25&lt;='VALOR POR PL'!$P$5,0,IF($K$17&gt;0,$K$18*P25/$K$17,0))</f>
        <v>0</v>
      </c>
      <c r="E25" s="45" t="n">
        <f aca="false">L25+D25/$K$2</f>
        <v>12.6719634448284</v>
      </c>
      <c r="F25" s="117" t="n">
        <f aca="false">IF($K$9=0,0,E25/$K$9)</f>
        <v>0.0130296614455692</v>
      </c>
      <c r="G25" s="117" t="n">
        <f aca="false">G24+F25</f>
        <v>0.53211952467962</v>
      </c>
      <c r="H25" s="138"/>
      <c r="L25" s="45" t="n">
        <f aca="false">C25/IF(B25&lt;='VALOR POR PL'!$P$5,IFERROR(INDEX('"INCC-FGV"'!$B$2:$B$800,MATCH(B25,'"INCC-FGV"'!$A$2:$A$800,0)),$K$2),$K$2)</f>
        <v>12.6719634448284</v>
      </c>
      <c r="M25" s="139" t="n">
        <f aca="false">'CP RESUMO'!X8</f>
        <v>0</v>
      </c>
      <c r="N25" s="140" t="n">
        <f aca="false">MAX(0,M25-M24)</f>
        <v>0</v>
      </c>
      <c r="O25" s="139" t="n">
        <f aca="false">IF(B25&lt;='VALOR POR PL'!$P$5,'CP RESUMO'!X50,"")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HISTORICOS'!Y8)</f>
        <v>19390.05</v>
      </c>
      <c r="D26" s="45" t="n">
        <f aca="false">IF(B26&lt;='VALOR POR PL'!$P$5,0,IF($K$17&gt;0,$K$18*P26/$K$17,0))</f>
        <v>11376.5575756351</v>
      </c>
      <c r="E26" s="45" t="n">
        <f aca="false">L26+D26/$K$2</f>
        <v>23.7233931166315</v>
      </c>
      <c r="F26" s="117" t="n">
        <f aca="false">IF($K$9=0,0,E26/$K$9)</f>
        <v>0.0243930454815198</v>
      </c>
      <c r="G26" s="117" t="n">
        <f aca="false">G25+F26</f>
        <v>0.55651257016114</v>
      </c>
      <c r="H26" s="138" t="n">
        <v>12388.74</v>
      </c>
      <c r="L26" s="45" t="n">
        <f aca="false">C26/IF(B26&lt;='VALOR POR PL'!$P$5,IFERROR(INDEX('"INCC-FGV"'!$B$2:$B$800,MATCH(B26,'"INCC-FGV"'!$A$2:$A$800,0)),$K$2),$K$2)</f>
        <v>14.9512024544892</v>
      </c>
      <c r="M26" s="139" t="n">
        <f aca="false">'CP RESUMO'!Y8</f>
        <v>0</v>
      </c>
      <c r="N26" s="140" t="n">
        <f aca="false">MAX(0,M26-M25)</f>
        <v>0</v>
      </c>
      <c r="O26" s="139" t="str">
        <f aca="false">IF(B26&lt;='VALOR POR PL'!$P$5,'CP RESUMO'!Y50,"")</f>
        <v/>
      </c>
      <c r="P26" s="66" t="n">
        <f aca="false">IF(B26&lt;='VALOR POR PL'!$P$5,0,IF(OR($K$16="CURVA PREVISION",$K$16="MDO PREVISION + MATERIAL PREMISSA"),N26,IF($K$16="PREVISÃO INFORMADA",MAX(0,H26),0)))</f>
        <v>12388.74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HISTORICOS'!Z8)</f>
        <v>10528.99</v>
      </c>
      <c r="D27" s="45" t="n">
        <f aca="false">IF(B27&lt;='VALOR POR PL'!$P$5,0,IF($K$17&gt;0,$K$18*P27/$K$17,0))</f>
        <v>11376.5575756351</v>
      </c>
      <c r="E27" s="45" t="n">
        <f aca="false">L27+D27/$K$2</f>
        <v>16.8908422969391</v>
      </c>
      <c r="F27" s="117" t="n">
        <f aca="false">IF($K$9=0,0,E27/$K$9)</f>
        <v>0.0173676287512837</v>
      </c>
      <c r="G27" s="117" t="n">
        <f aca="false">G26+F27</f>
        <v>0.573880198912424</v>
      </c>
      <c r="H27" s="138" t="n">
        <v>12388.74</v>
      </c>
      <c r="L27" s="45" t="n">
        <f aca="false">C27/IF(B27&lt;='VALOR POR PL'!$P$5,IFERROR(INDEX('"INCC-FGV"'!$B$2:$B$800,MATCH(B27,'"INCC-FGV"'!$A$2:$A$800,0)),$K$2),$K$2)</f>
        <v>8.11865163479681</v>
      </c>
      <c r="M27" s="139" t="n">
        <f aca="false">'CP RESUMO'!Z8</f>
        <v>0</v>
      </c>
      <c r="N27" s="140" t="n">
        <f aca="false">MAX(0,M27-M26)</f>
        <v>0</v>
      </c>
      <c r="O27" s="139" t="str">
        <f aca="false">IF(B27&lt;='VALOR POR PL'!$P$5,'CP RESUMO'!Z50,"")</f>
        <v/>
      </c>
      <c r="P27" s="66" t="n">
        <f aca="false">IF(B27&lt;='VALOR POR PL'!$P$5,0,IF(OR($K$16="CURVA PREVISION",$K$16="MDO PREVISION + MATERIAL PREMISSA"),N27,IF($K$16="PREVISÃO INFORMADA",MAX(0,H27),0)))</f>
        <v>12388.74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HISTORICOS'!AA8)</f>
        <v>3994.37</v>
      </c>
      <c r="D28" s="45" t="n">
        <f aca="false">IF(B28&lt;='VALOR POR PL'!$P$5,0,IF($K$17&gt;0,$K$18*P28/$K$17,0))</f>
        <v>11376.5575756351</v>
      </c>
      <c r="E28" s="45" t="n">
        <f aca="false">L28+D28/$K$2</f>
        <v>11.8521535579646</v>
      </c>
      <c r="F28" s="117" t="n">
        <f aca="false">IF($K$9=0,0,E28/$K$9)</f>
        <v>0.0121867103652514</v>
      </c>
      <c r="G28" s="117" t="n">
        <f aca="false">G27+F28</f>
        <v>0.586066909277675</v>
      </c>
      <c r="H28" s="138" t="n">
        <v>12388.74</v>
      </c>
      <c r="L28" s="45" t="n">
        <f aca="false">C28/IF(B28&lt;='VALOR POR PL'!$P$5,IFERROR(INDEX('"INCC-FGV"'!$B$2:$B$800,MATCH(B28,'"INCC-FGV"'!$A$2:$A$800,0)),$K$2),$K$2)</f>
        <v>3.07996289582223</v>
      </c>
      <c r="M28" s="139" t="n">
        <f aca="false">'CP RESUMO'!AA8</f>
        <v>0</v>
      </c>
      <c r="N28" s="140" t="n">
        <f aca="false">MAX(0,M28-M27)</f>
        <v>0</v>
      </c>
      <c r="O28" s="139" t="str">
        <f aca="false">IF(B28&lt;='VALOR POR PL'!$P$5,'CP RESUMO'!AA50,"")</f>
        <v/>
      </c>
      <c r="P28" s="66" t="n">
        <f aca="false">IF(B28&lt;='VALOR POR PL'!$P$5,0,IF(OR($K$16="CURVA PREVISION",$K$16="MDO PREVISION + MATERIAL PREMISSA"),N28,IF($K$16="PREVISÃO INFORMADA",MAX(0,H28),0)))</f>
        <v>12388.74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HISTORICOS'!AB8)</f>
        <v>3526.47</v>
      </c>
      <c r="D29" s="45" t="n">
        <f aca="false">IF(B29&lt;='VALOR POR PL'!$P$5,0,IF($K$17&gt;0,$K$18*P29/$K$17,0))</f>
        <v>11376.5575756351</v>
      </c>
      <c r="E29" s="45" t="n">
        <f aca="false">L29+D29/$K$2</f>
        <v>11.4913670912739</v>
      </c>
      <c r="F29" s="117" t="n">
        <f aca="false">IF($K$9=0,0,E29/$K$9)</f>
        <v>0.0118157397942274</v>
      </c>
      <c r="G29" s="117" t="n">
        <f aca="false">G28+F29</f>
        <v>0.597882649071902</v>
      </c>
      <c r="H29" s="138" t="n">
        <v>12388.74</v>
      </c>
      <c r="L29" s="45" t="n">
        <f aca="false">C29/IF(B29&lt;='VALOR POR PL'!$P$5,IFERROR(INDEX('"INCC-FGV"'!$B$2:$B$800,MATCH(B29,'"INCC-FGV"'!$A$2:$A$800,0)),$K$2),$K$2)</f>
        <v>2.71917642913156</v>
      </c>
      <c r="M29" s="139" t="n">
        <f aca="false">'CP RESUMO'!AB8</f>
        <v>0</v>
      </c>
      <c r="N29" s="140" t="n">
        <f aca="false">MAX(0,M29-M28)</f>
        <v>0</v>
      </c>
      <c r="O29" s="139" t="str">
        <f aca="false">IF(B29&lt;='VALOR POR PL'!$P$5,'CP RESUMO'!AB50,"")</f>
        <v/>
      </c>
      <c r="P29" s="66" t="n">
        <f aca="false">IF(B29&lt;='VALOR POR PL'!$P$5,0,IF(OR($K$16="CURVA PREVISION",$K$16="MDO PREVISION + MATERIAL PREMISSA"),N29,IF($K$16="PREVISÃO INFORMADA",MAX(0,H29),0)))</f>
        <v>12388.74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HISTORICOS'!AC8)</f>
        <v>0</v>
      </c>
      <c r="D30" s="45" t="n">
        <f aca="false">IF(B30&lt;='VALOR POR PL'!$P$5,0,IF($K$17&gt;0,$K$18*P30/$K$17,0))</f>
        <v>11376.5575756351</v>
      </c>
      <c r="E30" s="45" t="n">
        <f aca="false">L30+D30/$K$2</f>
        <v>8.77219066214234</v>
      </c>
      <c r="F30" s="117" t="n">
        <f aca="false">IF($K$9=0,0,E30/$K$9)</f>
        <v>0.00901980777969692</v>
      </c>
      <c r="G30" s="117" t="n">
        <f aca="false">G29+F30</f>
        <v>0.606902456851599</v>
      </c>
      <c r="H30" s="138" t="n">
        <v>12388.74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RESUMO'!AC8</f>
        <v>0</v>
      </c>
      <c r="N30" s="140" t="n">
        <f aca="false">MAX(0,M30-M29)</f>
        <v>0</v>
      </c>
      <c r="O30" s="139" t="str">
        <f aca="false">IF(B30&lt;='VALOR POR PL'!$P$5,'CP RESUMO'!AC50,"")</f>
        <v/>
      </c>
      <c r="P30" s="66" t="n">
        <f aca="false">IF(B30&lt;='VALOR POR PL'!$P$5,0,IF(OR($K$16="CURVA PREVISION",$K$16="MDO PREVISION + MATERIAL PREMISSA"),N30,IF($K$16="PREVISÃO INFORMADA",MAX(0,H30),0)))</f>
        <v>12388.74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HISTORICOS'!AD8)</f>
        <v>0</v>
      </c>
      <c r="D31" s="45" t="n">
        <f aca="false">IF(B31&lt;='VALOR POR PL'!$P$5,0,IF($K$17&gt;0,$K$18*P31/$K$17,0))</f>
        <v>94023.3950915697</v>
      </c>
      <c r="E31" s="45" t="n">
        <f aca="false">L31+D31/$K$2</f>
        <v>72.499184657723</v>
      </c>
      <c r="F31" s="117" t="n">
        <f aca="false">IF($K$9=0,0,E31/$K$9)</f>
        <v>0.0745456562657191</v>
      </c>
      <c r="G31" s="117" t="n">
        <f aca="false">G30+F31</f>
        <v>0.681448113117319</v>
      </c>
      <c r="H31" s="138" t="n">
        <v>102388.74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RESUMO'!AD8</f>
        <v>0</v>
      </c>
      <c r="N31" s="140" t="n">
        <f aca="false">MAX(0,M31-M30)</f>
        <v>0</v>
      </c>
      <c r="O31" s="139" t="str">
        <f aca="false">IF(B31&lt;='VALOR POR PL'!$P$5,'CP RESUMO'!AD50,"")</f>
        <v/>
      </c>
      <c r="P31" s="66" t="n">
        <f aca="false">IF(B31&lt;='VALOR POR PL'!$P$5,0,IF(OR($K$16="CURVA PREVISION",$K$16="MDO PREVISION + MATERIAL PREMISSA"),N31,IF($K$16="PREVISÃO INFORMADA",MAX(0,H31),0)))</f>
        <v>102388.74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HISTORICOS'!AE8)</f>
        <v>665</v>
      </c>
      <c r="D32" s="45" t="n">
        <f aca="false">IF(B32&lt;='VALOR POR PL'!$P$5,0,IF($K$17&gt;0,$K$18*P32/$K$17,0))</f>
        <v>94023.3950915697</v>
      </c>
      <c r="E32" s="45" t="n">
        <f aca="false">L32+D32/$K$2</f>
        <v>73.0119502066636</v>
      </c>
      <c r="F32" s="117" t="n">
        <f aca="false">IF($K$9=0,0,E32/$K$9)</f>
        <v>0.0750728959103674</v>
      </c>
      <c r="G32" s="117" t="n">
        <f aca="false">G31+F32</f>
        <v>0.756521009027686</v>
      </c>
      <c r="H32" s="138" t="n">
        <v>102388.74</v>
      </c>
      <c r="L32" s="45" t="n">
        <f aca="false">C32/IF(B32&lt;='VALOR POR PL'!$P$5,IFERROR(INDEX('"INCC-FGV"'!$B$2:$B$800,MATCH(B32,'"INCC-FGV"'!$A$2:$A$800,0)),$K$2),$K$2)</f>
        <v>0.51276554894058</v>
      </c>
      <c r="M32" s="139" t="n">
        <f aca="false">'CP RESUMO'!AE8</f>
        <v>0</v>
      </c>
      <c r="N32" s="140" t="n">
        <f aca="false">MAX(0,M32-M31)</f>
        <v>0</v>
      </c>
      <c r="O32" s="139" t="str">
        <f aca="false">IF(B32&lt;='VALOR POR PL'!$P$5,'CP RESUMO'!AE50,"")</f>
        <v/>
      </c>
      <c r="P32" s="66" t="n">
        <f aca="false">IF(B32&lt;='VALOR POR PL'!$P$5,0,IF(OR($K$16="CURVA PREVISION",$K$16="MDO PREVISION + MATERIAL PREMISSA"),N32,IF($K$16="PREVISÃO INFORMADA",MAX(0,H32),0)))</f>
        <v>102388.74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HISTORICOS'!AF8)</f>
        <v>0</v>
      </c>
      <c r="D33" s="45" t="n">
        <f aca="false">IF(B33&lt;='VALOR POR PL'!$P$5,0,IF($K$17&gt;0,$K$18*P33/$K$17,0))</f>
        <v>48108.4853604949</v>
      </c>
      <c r="E33" s="45" t="n">
        <f aca="false">L33+D33/$K$2</f>
        <v>37.0952991046226</v>
      </c>
      <c r="F33" s="117" t="n">
        <f aca="false">IF($K$9=0,0,E33/$K$9)</f>
        <v>0.0381424071068179</v>
      </c>
      <c r="G33" s="117" t="n">
        <f aca="false">G32+F33</f>
        <v>0.794663416134504</v>
      </c>
      <c r="H33" s="138" t="n">
        <v>52388.74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RESUMO'!AF8</f>
        <v>0</v>
      </c>
      <c r="N33" s="140" t="n">
        <f aca="false">MAX(0,M33-M32)</f>
        <v>0</v>
      </c>
      <c r="O33" s="139" t="str">
        <f aca="false">IF(B33&lt;='VALOR POR PL'!$P$5,'CP RESUMO'!AF50,"")</f>
        <v/>
      </c>
      <c r="P33" s="66" t="n">
        <f aca="false">IF(B33&lt;='VALOR POR PL'!$P$5,0,IF(OR($K$16="CURVA PREVISION",$K$16="MDO PREVISION + MATERIAL PREMISSA"),N33,IF($K$16="PREVISÃO INFORMADA",MAX(0,H33),0)))</f>
        <v>52388.74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HISTORICOS'!AG8)</f>
        <v>0</v>
      </c>
      <c r="D34" s="45" t="n">
        <f aca="false">IF(B34&lt;='VALOR POR PL'!$P$5,0,IF($K$17&gt;0,$K$18*P34/$K$17,0))</f>
        <v>11376.5575756351</v>
      </c>
      <c r="E34" s="45" t="n">
        <f aca="false">L34+D34/$K$2</f>
        <v>8.77219066214234</v>
      </c>
      <c r="F34" s="117" t="n">
        <f aca="false">IF($K$9=0,0,E34/$K$9)</f>
        <v>0.00901980777969692</v>
      </c>
      <c r="G34" s="117" t="n">
        <f aca="false">G33+F34</f>
        <v>0.803683223914201</v>
      </c>
      <c r="H34" s="138" t="n">
        <v>12388.74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RESUMO'!AG8</f>
        <v>0</v>
      </c>
      <c r="N34" s="140" t="n">
        <f aca="false">MAX(0,M34-M33)</f>
        <v>0</v>
      </c>
      <c r="O34" s="139" t="str">
        <f aca="false">IF(B34&lt;='VALOR POR PL'!$P$5,'CP RESUMO'!AG50,"")</f>
        <v/>
      </c>
      <c r="P34" s="66" t="n">
        <f aca="false">IF(B34&lt;='VALOR POR PL'!$P$5,0,IF(OR($K$16="CURVA PREVISION",$K$16="MDO PREVISION + MATERIAL PREMISSA"),N34,IF($K$16="PREVISÃO INFORMADA",MAX(0,H34),0)))</f>
        <v>12388.74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HISTORICOS'!AH8)</f>
        <v>0</v>
      </c>
      <c r="D35" s="45" t="n">
        <f aca="false">IF(B35&lt;='VALOR POR PL'!$P$5,0,IF($K$17&gt;0,$K$18*P35/$K$17,0))</f>
        <v>11376.5575756351</v>
      </c>
      <c r="E35" s="45" t="n">
        <f aca="false">L35+D35/$K$2</f>
        <v>8.77219066214234</v>
      </c>
      <c r="F35" s="117" t="n">
        <f aca="false">IF($K$9=0,0,E35/$K$9)</f>
        <v>0.00901980777969692</v>
      </c>
      <c r="G35" s="117" t="n">
        <f aca="false">G34+F35</f>
        <v>0.812703031693898</v>
      </c>
      <c r="H35" s="138" t="n">
        <v>12388.74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RESUMO'!AH8</f>
        <v>0</v>
      </c>
      <c r="N35" s="140" t="n">
        <f aca="false">MAX(0,M35-M34)</f>
        <v>0</v>
      </c>
      <c r="O35" s="139" t="str">
        <f aca="false">IF(B35&lt;='VALOR POR PL'!$P$5,'CP RESUMO'!AH50,"")</f>
        <v/>
      </c>
      <c r="P35" s="66" t="n">
        <f aca="false">IF(B35&lt;='VALOR POR PL'!$P$5,0,IF(OR($K$16="CURVA PREVISION",$K$16="MDO PREVISION + MATERIAL PREMISSA"),N35,IF($K$16="PREVISÃO INFORMADA",MAX(0,H35),0)))</f>
        <v>12388.74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HISTORICOS'!AI8)</f>
        <v>0</v>
      </c>
      <c r="D36" s="45" t="n">
        <f aca="false">IF(B36&lt;='VALOR POR PL'!$P$5,0,IF($K$17&gt;0,$K$18*P36/$K$17,0))</f>
        <v>11376.5575756351</v>
      </c>
      <c r="E36" s="45" t="n">
        <f aca="false">L36+D36/$K$2</f>
        <v>8.77219066214234</v>
      </c>
      <c r="F36" s="117" t="n">
        <f aca="false">IF($K$9=0,0,E36/$K$9)</f>
        <v>0.00901980777969692</v>
      </c>
      <c r="G36" s="117" t="n">
        <f aca="false">G35+F36</f>
        <v>0.821722839473595</v>
      </c>
      <c r="H36" s="138" t="n">
        <v>12388.74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RESUMO'!AI8</f>
        <v>0</v>
      </c>
      <c r="N36" s="140" t="n">
        <f aca="false">MAX(0,M36-M35)</f>
        <v>0</v>
      </c>
      <c r="O36" s="139" t="str">
        <f aca="false">IF(B36&lt;='VALOR POR PL'!$P$5,'CP RESUMO'!AI50,"")</f>
        <v/>
      </c>
      <c r="P36" s="66" t="n">
        <f aca="false">IF(B36&lt;='VALOR POR PL'!$P$5,0,IF(OR($K$16="CURVA PREVISION",$K$16="MDO PREVISION + MATERIAL PREMISSA"),N36,IF($K$16="PREVISÃO INFORMADA",MAX(0,H36),0)))</f>
        <v>12388.74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HISTORICOS'!AJ8)</f>
        <v>0</v>
      </c>
      <c r="D37" s="45" t="n">
        <f aca="false">IF(B37&lt;='VALOR POR PL'!$P$5,0,IF($K$17&gt;0,$K$18*P37/$K$17,0))</f>
        <v>11376.5575756351</v>
      </c>
      <c r="E37" s="45" t="n">
        <f aca="false">L37+D37/$K$2</f>
        <v>8.77219066214234</v>
      </c>
      <c r="F37" s="117" t="n">
        <f aca="false">IF($K$9=0,0,E37/$K$9)</f>
        <v>0.00901980777969692</v>
      </c>
      <c r="G37" s="117" t="n">
        <f aca="false">G36+F37</f>
        <v>0.830742647253291</v>
      </c>
      <c r="H37" s="138" t="n">
        <v>12388.74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RESUMO'!AJ8</f>
        <v>0</v>
      </c>
      <c r="N37" s="140" t="n">
        <f aca="false">MAX(0,M37-M36)</f>
        <v>0</v>
      </c>
      <c r="O37" s="139" t="str">
        <f aca="false">IF(B37&lt;='VALOR POR PL'!$P$5,'CP RESUMO'!AJ50,"")</f>
        <v/>
      </c>
      <c r="P37" s="66" t="n">
        <f aca="false">IF(B37&lt;='VALOR POR PL'!$P$5,0,IF(OR($K$16="CURVA PREVISION",$K$16="MDO PREVISION + MATERIAL PREMISSA"),N37,IF($K$16="PREVISÃO INFORMADA",MAX(0,H37),0)))</f>
        <v>12388.74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HISTORICOS'!AK8)</f>
        <v>3700</v>
      </c>
      <c r="D38" s="45" t="n">
        <f aca="false">IF(B38&lt;='VALOR POR PL'!$P$5,0,IF($K$17&gt;0,$K$18*P38/$K$17,0))</f>
        <v>11376.5575756351</v>
      </c>
      <c r="E38" s="45" t="n">
        <f aca="false">L38+D38/$K$2</f>
        <v>11.6251719118869</v>
      </c>
      <c r="F38" s="117" t="n">
        <f aca="false">IF($K$9=0,0,E38/$K$9)</f>
        <v>0.0119533215920256</v>
      </c>
      <c r="G38" s="117" t="n">
        <f aca="false">G37+F38</f>
        <v>0.842695968845317</v>
      </c>
      <c r="H38" s="138" t="n">
        <v>12388.74</v>
      </c>
      <c r="L38" s="45" t="n">
        <f aca="false">C38/IF(B38&lt;='VALOR POR PL'!$P$5,IFERROR(INDEX('"INCC-FGV"'!$B$2:$B$800,MATCH(B38,'"INCC-FGV"'!$A$2:$A$800,0)),$K$2),$K$2)</f>
        <v>2.85298124974458</v>
      </c>
      <c r="M38" s="139" t="n">
        <f aca="false">'CP RESUMO'!AK8</f>
        <v>0</v>
      </c>
      <c r="N38" s="140" t="n">
        <f aca="false">MAX(0,M38-M37)</f>
        <v>0</v>
      </c>
      <c r="O38" s="139" t="str">
        <f aca="false">IF(B38&lt;='VALOR POR PL'!$P$5,'CP RESUMO'!AK50,"")</f>
        <v/>
      </c>
      <c r="P38" s="66" t="n">
        <f aca="false">IF(B38&lt;='VALOR POR PL'!$P$5,0,IF(OR($K$16="CURVA PREVISION",$K$16="MDO PREVISION + MATERIAL PREMISSA"),N38,IF($K$16="PREVISÃO INFORMADA",MAX(0,H38),0)))</f>
        <v>12388.74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HISTORICOS'!AL8)</f>
        <v>0</v>
      </c>
      <c r="D39" s="45" t="n">
        <f aca="false">IF(B39&lt;='VALOR POR PL'!$P$5,0,IF($K$17&gt;0,$K$18*P39/$K$17,0))</f>
        <v>11376.5575756351</v>
      </c>
      <c r="E39" s="45" t="n">
        <f aca="false">L39+D39/$K$2</f>
        <v>8.77219066214234</v>
      </c>
      <c r="F39" s="117" t="n">
        <f aca="false">IF($K$9=0,0,E39/$K$9)</f>
        <v>0.00901980777969692</v>
      </c>
      <c r="G39" s="117" t="n">
        <f aca="false">G38+F39</f>
        <v>0.851715776625014</v>
      </c>
      <c r="H39" s="138" t="n">
        <v>12388.74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RESUMO'!AL8</f>
        <v>0</v>
      </c>
      <c r="N39" s="140" t="n">
        <f aca="false">MAX(0,M39-M38)</f>
        <v>0</v>
      </c>
      <c r="O39" s="139" t="str">
        <f aca="false">IF(B39&lt;='VALOR POR PL'!$P$5,'CP RESUMO'!AL50,"")</f>
        <v/>
      </c>
      <c r="P39" s="66" t="n">
        <f aca="false">IF(B39&lt;='VALOR POR PL'!$P$5,0,IF(OR($K$16="CURVA PREVISION",$K$16="MDO PREVISION + MATERIAL PREMISSA"),N39,IF($K$16="PREVISÃO INFORMADA",MAX(0,H39),0)))</f>
        <v>12388.74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HISTORICOS'!AM8)</f>
        <v>0</v>
      </c>
      <c r="D40" s="45" t="n">
        <f aca="false">IF(B40&lt;='VALOR POR PL'!$P$5,0,IF($K$17&gt;0,$K$18*P40/$K$17,0))</f>
        <v>11376.5575756351</v>
      </c>
      <c r="E40" s="45" t="n">
        <f aca="false">L40+D40/$K$2</f>
        <v>8.77219066214234</v>
      </c>
      <c r="F40" s="117" t="n">
        <f aca="false">IF($K$9=0,0,E40/$K$9)</f>
        <v>0.00901980777969692</v>
      </c>
      <c r="G40" s="117" t="n">
        <f aca="false">G39+F40</f>
        <v>0.860735584404711</v>
      </c>
      <c r="H40" s="138" t="n">
        <v>12388.74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RESUMO'!AM8</f>
        <v>0</v>
      </c>
      <c r="N40" s="140" t="n">
        <f aca="false">MAX(0,M40-M39)</f>
        <v>0</v>
      </c>
      <c r="O40" s="139" t="str">
        <f aca="false">IF(B40&lt;='VALOR POR PL'!$P$5,'CP RESUMO'!AM50,"")</f>
        <v/>
      </c>
      <c r="P40" s="66" t="n">
        <f aca="false">IF(B40&lt;='VALOR POR PL'!$P$5,0,IF(OR($K$16="CURVA PREVISION",$K$16="MDO PREVISION + MATERIAL PREMISSA"),N40,IF($K$16="PREVISÃO INFORMADA",MAX(0,H40),0)))</f>
        <v>12388.74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HISTORICOS'!AN8)</f>
        <v>0</v>
      </c>
      <c r="D41" s="45" t="n">
        <f aca="false">IF(B41&lt;='VALOR POR PL'!$P$5,0,IF($K$17&gt;0,$K$18*P41/$K$17,0))</f>
        <v>11376.5575756351</v>
      </c>
      <c r="E41" s="45" t="n">
        <f aca="false">L41+D41/$K$2</f>
        <v>8.77219066214234</v>
      </c>
      <c r="F41" s="117" t="n">
        <f aca="false">IF($K$9=0,0,E41/$K$9)</f>
        <v>0.00901980777969692</v>
      </c>
      <c r="G41" s="117" t="n">
        <f aca="false">G40+F41</f>
        <v>0.869755392184408</v>
      </c>
      <c r="H41" s="138" t="n">
        <v>12388.74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RESUMO'!AN8</f>
        <v>0</v>
      </c>
      <c r="N41" s="140" t="n">
        <f aca="false">MAX(0,M41-M40)</f>
        <v>0</v>
      </c>
      <c r="O41" s="139" t="str">
        <f aca="false">IF(B41&lt;='VALOR POR PL'!$P$5,'CP RESUMO'!AN50,"")</f>
        <v/>
      </c>
      <c r="P41" s="66" t="n">
        <f aca="false">IF(B41&lt;='VALOR POR PL'!$P$5,0,IF(OR($K$16="CURVA PREVISION",$K$16="MDO PREVISION + MATERIAL PREMISSA"),N41,IF($K$16="PREVISÃO INFORMADA",MAX(0,H41),0)))</f>
        <v>12388.74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HISTORICOS'!AO8)</f>
        <v>0</v>
      </c>
      <c r="D42" s="45" t="n">
        <f aca="false">IF(B42&lt;='VALOR POR PL'!$P$5,0,IF($K$17&gt;0,$K$18*P42/$K$17,0))</f>
        <v>11376.5575756351</v>
      </c>
      <c r="E42" s="45" t="n">
        <f aca="false">L42+D42/$K$2</f>
        <v>8.77219066214234</v>
      </c>
      <c r="F42" s="117" t="n">
        <f aca="false">IF($K$9=0,0,E42/$K$9)</f>
        <v>0.00901980777969692</v>
      </c>
      <c r="G42" s="117" t="n">
        <f aca="false">G41+F42</f>
        <v>0.878775199964105</v>
      </c>
      <c r="H42" s="138" t="n">
        <v>12388.74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RESUMO'!AO8</f>
        <v>0</v>
      </c>
      <c r="N42" s="140" t="n">
        <f aca="false">MAX(0,M42-M41)</f>
        <v>0</v>
      </c>
      <c r="O42" s="139" t="str">
        <f aca="false">IF(B42&lt;='VALOR POR PL'!$P$5,'CP RESUMO'!AO50,"")</f>
        <v/>
      </c>
      <c r="P42" s="66" t="n">
        <f aca="false">IF(B42&lt;='VALOR POR PL'!$P$5,0,IF(OR($K$16="CURVA PREVISION",$K$16="MDO PREVISION + MATERIAL PREMISSA"),N42,IF($K$16="PREVISÃO INFORMADA",MAX(0,H42),0)))</f>
        <v>12388.74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HISTORICOS'!AP8)</f>
        <v>0</v>
      </c>
      <c r="D43" s="45" t="n">
        <f aca="false">IF(B43&lt;='VALOR POR PL'!$P$5,0,IF($K$17&gt;0,$K$18*P43/$K$17,0))</f>
        <v>11376.5575756351</v>
      </c>
      <c r="E43" s="45" t="n">
        <f aca="false">L43+D43/$K$2</f>
        <v>8.77219066214234</v>
      </c>
      <c r="F43" s="117" t="n">
        <f aca="false">IF($K$9=0,0,E43/$K$9)</f>
        <v>0.00901980777969692</v>
      </c>
      <c r="G43" s="117" t="n">
        <f aca="false">G42+F43</f>
        <v>0.887795007743802</v>
      </c>
      <c r="H43" s="138" t="n">
        <v>12388.74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RESUMO'!AP8</f>
        <v>0</v>
      </c>
      <c r="N43" s="140" t="n">
        <f aca="false">MAX(0,M43-M42)</f>
        <v>0</v>
      </c>
      <c r="O43" s="139" t="str">
        <f aca="false">IF(B43&lt;='VALOR POR PL'!$P$5,'CP RESUMO'!AP50,"")</f>
        <v/>
      </c>
      <c r="P43" s="66" t="n">
        <f aca="false">IF(B43&lt;='VALOR POR PL'!$P$5,0,IF(OR($K$16="CURVA PREVISION",$K$16="MDO PREVISION + MATERIAL PREMISSA"),N43,IF($K$16="PREVISÃO INFORMADA",MAX(0,H43),0)))</f>
        <v>12388.74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HISTORICOS'!AQ8)</f>
        <v>0</v>
      </c>
      <c r="D44" s="45" t="n">
        <f aca="false">IF(B44&lt;='VALOR POR PL'!$P$5,0,IF($K$17&gt;0,$K$18*P44/$K$17,0))</f>
        <v>11376.5575756351</v>
      </c>
      <c r="E44" s="45" t="n">
        <f aca="false">L44+D44/$K$2</f>
        <v>8.77219066214234</v>
      </c>
      <c r="F44" s="117" t="n">
        <f aca="false">IF($K$9=0,0,E44/$K$9)</f>
        <v>0.00901980777969692</v>
      </c>
      <c r="G44" s="117" t="n">
        <f aca="false">G43+F44</f>
        <v>0.896814815523499</v>
      </c>
      <c r="H44" s="138" t="n">
        <v>12388.74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RESUMO'!AQ8</f>
        <v>0</v>
      </c>
      <c r="N44" s="140" t="n">
        <f aca="false">MAX(0,M44-M43)</f>
        <v>0</v>
      </c>
      <c r="O44" s="139" t="str">
        <f aca="false">IF(B44&lt;='VALOR POR PL'!$P$5,'CP RESUMO'!AQ50,"")</f>
        <v/>
      </c>
      <c r="P44" s="66" t="n">
        <f aca="false">IF(B44&lt;='VALOR POR PL'!$P$5,0,IF(OR($K$16="CURVA PREVISION",$K$16="MDO PREVISION + MATERIAL PREMISSA"),N44,IF($K$16="PREVISÃO INFORMADA",MAX(0,H44),0)))</f>
        <v>12388.74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HISTORICOS'!AR8)</f>
        <v>0</v>
      </c>
      <c r="D45" s="45" t="n">
        <f aca="false">IF(B45&lt;='VALOR POR PL'!$P$5,0,IF($K$17&gt;0,$K$18*P45/$K$17,0))</f>
        <v>11376.5575756351</v>
      </c>
      <c r="E45" s="45" t="n">
        <f aca="false">L45+D45/$K$2</f>
        <v>8.77219066214234</v>
      </c>
      <c r="F45" s="117" t="n">
        <f aca="false">IF($K$9=0,0,E45/$K$9)</f>
        <v>0.00901980777969692</v>
      </c>
      <c r="G45" s="117" t="n">
        <f aca="false">G44+F45</f>
        <v>0.905834623303195</v>
      </c>
      <c r="H45" s="138" t="n">
        <v>12388.74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RESUMO'!AR8</f>
        <v>0</v>
      </c>
      <c r="N45" s="140" t="n">
        <f aca="false">MAX(0,M45-M44)</f>
        <v>0</v>
      </c>
      <c r="O45" s="139" t="str">
        <f aca="false">IF(B45&lt;='VALOR POR PL'!$P$5,'CP RESUMO'!AR50,"")</f>
        <v/>
      </c>
      <c r="P45" s="66" t="n">
        <f aca="false">IF(B45&lt;='VALOR POR PL'!$P$5,0,IF(OR($K$16="CURVA PREVISION",$K$16="MDO PREVISION + MATERIAL PREMISSA"),N45,IF($K$16="PREVISÃO INFORMADA",MAX(0,H45),0)))</f>
        <v>12388.74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HISTORICOS'!AS8)</f>
        <v>0</v>
      </c>
      <c r="D46" s="45" t="n">
        <f aca="false">IF(B46&lt;='VALOR POR PL'!$P$5,0,IF($K$17&gt;0,$K$18*P46/$K$17,0))</f>
        <v>11376.5575756351</v>
      </c>
      <c r="E46" s="45" t="n">
        <f aca="false">L46+D46/$K$2</f>
        <v>8.77219066214234</v>
      </c>
      <c r="F46" s="117" t="n">
        <f aca="false">IF($K$9=0,0,E46/$K$9)</f>
        <v>0.00901980777969692</v>
      </c>
      <c r="G46" s="117" t="n">
        <f aca="false">G45+F46</f>
        <v>0.914854431082892</v>
      </c>
      <c r="H46" s="138" t="n">
        <v>12388.74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RESUMO'!AS8</f>
        <v>0</v>
      </c>
      <c r="N46" s="140" t="n">
        <f aca="false">MAX(0,M46-M45)</f>
        <v>0</v>
      </c>
      <c r="O46" s="139" t="str">
        <f aca="false">IF(B46&lt;='VALOR POR PL'!$P$5,'CP RESUMO'!AS50,"")</f>
        <v/>
      </c>
      <c r="P46" s="66" t="n">
        <f aca="false">IF(B46&lt;='VALOR POR PL'!$P$5,0,IF(OR($K$16="CURVA PREVISION",$K$16="MDO PREVISION + MATERIAL PREMISSA"),N46,IF($K$16="PREVISÃO INFORMADA",MAX(0,H46),0)))</f>
        <v>12388.74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HISTORICOS'!AT8)</f>
        <v>0</v>
      </c>
      <c r="D47" s="45" t="n">
        <f aca="false">IF(B47&lt;='VALOR POR PL'!$P$5,0,IF($K$17&gt;0,$K$18*P47/$K$17,0))</f>
        <v>11376.5575756351</v>
      </c>
      <c r="E47" s="45" t="n">
        <f aca="false">L47+D47/$K$2</f>
        <v>8.77219066214234</v>
      </c>
      <c r="F47" s="117" t="n">
        <f aca="false">IF($K$9=0,0,E47/$K$9)</f>
        <v>0.00901980777969692</v>
      </c>
      <c r="G47" s="117" t="n">
        <f aca="false">G46+F47</f>
        <v>0.923874238862589</v>
      </c>
      <c r="H47" s="138" t="n">
        <v>12388.74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RESUMO'!AT8</f>
        <v>0</v>
      </c>
      <c r="N47" s="140" t="n">
        <f aca="false">MAX(0,M47-M46)</f>
        <v>0</v>
      </c>
      <c r="O47" s="139" t="str">
        <f aca="false">IF(B47&lt;='VALOR POR PL'!$P$5,'CP RESUMO'!AT50,"")</f>
        <v/>
      </c>
      <c r="P47" s="66" t="n">
        <f aca="false">IF(B47&lt;='VALOR POR PL'!$P$5,0,IF(OR($K$16="CURVA PREVISION",$K$16="MDO PREVISION + MATERIAL PREMISSA"),N47,IF($K$16="PREVISÃO INFORMADA",MAX(0,H47),0)))</f>
        <v>12388.74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HISTORICOS'!AU8)</f>
        <v>0</v>
      </c>
      <c r="D48" s="45" t="n">
        <f aca="false">IF(B48&lt;='VALOR POR PL'!$P$5,0,IF($K$17&gt;0,$K$18*P48/$K$17,0))</f>
        <v>11376.5575756351</v>
      </c>
      <c r="E48" s="45" t="n">
        <f aca="false">L48+D48/$K$2</f>
        <v>8.77219066214234</v>
      </c>
      <c r="F48" s="117" t="n">
        <f aca="false">IF($K$9=0,0,E48/$K$9)</f>
        <v>0.00901980777969692</v>
      </c>
      <c r="G48" s="117" t="n">
        <f aca="false">G47+F48</f>
        <v>0.932894046642286</v>
      </c>
      <c r="H48" s="138" t="n">
        <v>12388.74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RESUMO'!AU8</f>
        <v>0</v>
      </c>
      <c r="N48" s="140" t="n">
        <f aca="false">MAX(0,M48-M47)</f>
        <v>0</v>
      </c>
      <c r="O48" s="139" t="str">
        <f aca="false">IF(B48&lt;='VALOR POR PL'!$P$5,'CP RESUMO'!AU50,"")</f>
        <v/>
      </c>
      <c r="P48" s="66" t="n">
        <f aca="false">IF(B48&lt;='VALOR POR PL'!$P$5,0,IF(OR($K$16="CURVA PREVISION",$K$16="MDO PREVISION + MATERIAL PREMISSA"),N48,IF($K$16="PREVISÃO INFORMADA",MAX(0,H48),0)))</f>
        <v>12388.74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HISTORICOS'!AV8)</f>
        <v>0</v>
      </c>
      <c r="D49" s="45" t="n">
        <f aca="false">IF(B49&lt;='VALOR POR PL'!$P$5,0,IF($K$17&gt;0,$K$18*P49/$K$17,0))</f>
        <v>11376.5575756351</v>
      </c>
      <c r="E49" s="45" t="n">
        <f aca="false">L49+D49/$K$2</f>
        <v>8.77219066214234</v>
      </c>
      <c r="F49" s="117" t="n">
        <f aca="false">IF($K$9=0,0,E49/$K$9)</f>
        <v>0.00901980777969692</v>
      </c>
      <c r="G49" s="117" t="n">
        <f aca="false">G48+F49</f>
        <v>0.941913854421983</v>
      </c>
      <c r="H49" s="138" t="n">
        <v>12388.74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RESUMO'!AV8</f>
        <v>0</v>
      </c>
      <c r="N49" s="140" t="n">
        <f aca="false">MAX(0,M49-M48)</f>
        <v>0</v>
      </c>
      <c r="O49" s="139" t="str">
        <f aca="false">IF(B49&lt;='VALOR POR PL'!$P$5,'CP RESUMO'!AV50,"")</f>
        <v/>
      </c>
      <c r="P49" s="66" t="n">
        <f aca="false">IF(B49&lt;='VALOR POR PL'!$P$5,0,IF(OR($K$16="CURVA PREVISION",$K$16="MDO PREVISION + MATERIAL PREMISSA"),N49,IF($K$16="PREVISÃO INFORMADA",MAX(0,H49),0)))</f>
        <v>12388.74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HISTORICOS'!AW8)</f>
        <v>0</v>
      </c>
      <c r="D50" s="45" t="n">
        <f aca="false">IF(B50&lt;='VALOR POR PL'!$P$5,0,IF($K$17&gt;0,$K$18*P50/$K$17,0))</f>
        <v>1193.78765300794</v>
      </c>
      <c r="E50" s="45" t="n">
        <f aca="false">L50+D50/$K$2</f>
        <v>0.92050102438061</v>
      </c>
      <c r="F50" s="117" t="n">
        <f aca="false">IF($K$9=0,0,E50/$K$9)</f>
        <v>0.000946484478131432</v>
      </c>
      <c r="G50" s="117" t="n">
        <f aca="false">G49+F50</f>
        <v>0.942860338900114</v>
      </c>
      <c r="H50" s="138" t="n">
        <v>1300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RESUMO'!AW8</f>
        <v>0</v>
      </c>
      <c r="N50" s="140" t="n">
        <f aca="false">MAX(0,M50-M49)</f>
        <v>0</v>
      </c>
      <c r="O50" s="139" t="str">
        <f aca="false">IF(B50&lt;='VALOR POR PL'!$P$5,'CP RESUMO'!AW50,"")</f>
        <v/>
      </c>
      <c r="P50" s="66" t="n">
        <f aca="false">IF(B50&lt;='VALOR POR PL'!$P$5,0,IF(OR($K$16="CURVA PREVISION",$K$16="MDO PREVISION + MATERIAL PREMISSA"),N50,IF($K$16="PREVISÃO INFORMADA",MAX(0,H50),0)))</f>
        <v>1300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HISTORICOS'!AX8)</f>
        <v>0</v>
      </c>
      <c r="D51" s="45" t="n">
        <f aca="false">IF(B51&lt;='VALOR POR PL'!$P$5,0,IF($K$17&gt;0,$K$18*P51/$K$17,0))</f>
        <v>1193.78765300794</v>
      </c>
      <c r="E51" s="45" t="n">
        <f aca="false">L51+D51/$K$2</f>
        <v>0.92050102438061</v>
      </c>
      <c r="F51" s="117" t="n">
        <f aca="false">IF($K$9=0,0,E51/$K$9)</f>
        <v>0.000946484478131432</v>
      </c>
      <c r="G51" s="117" t="n">
        <f aca="false">G50+F51</f>
        <v>0.943806823378246</v>
      </c>
      <c r="H51" s="138" t="n">
        <v>1300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RESUMO'!AX8</f>
        <v>0</v>
      </c>
      <c r="N51" s="140" t="n">
        <f aca="false">MAX(0,M51-M50)</f>
        <v>0</v>
      </c>
      <c r="O51" s="139" t="str">
        <f aca="false">IF(B51&lt;='VALOR POR PL'!$P$5,'CP RESUMO'!AX50,"")</f>
        <v/>
      </c>
      <c r="P51" s="66" t="n">
        <f aca="false">IF(B51&lt;='VALOR POR PL'!$P$5,0,IF(OR($K$16="CURVA PREVISION",$K$16="MDO PREVISION + MATERIAL PREMISSA"),N51,IF($K$16="PREVISÃO INFORMADA",MAX(0,H51),0)))</f>
        <v>1300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HISTORICOS'!AY8)</f>
        <v>0</v>
      </c>
      <c r="D52" s="45" t="n">
        <f aca="false">IF(B52&lt;='VALOR POR PL'!$P$5,0,IF($K$17&gt;0,$K$18*P52/$K$17,0))</f>
        <v>1193.78765300794</v>
      </c>
      <c r="E52" s="45" t="n">
        <f aca="false">L52+D52/$K$2</f>
        <v>0.92050102438061</v>
      </c>
      <c r="F52" s="117" t="n">
        <f aca="false">IF($K$9=0,0,E52/$K$9)</f>
        <v>0.000946484478131432</v>
      </c>
      <c r="G52" s="117" t="n">
        <f aca="false">G51+F52</f>
        <v>0.944753307856377</v>
      </c>
      <c r="H52" s="138" t="n">
        <v>1300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RESUMO'!AY8</f>
        <v>0</v>
      </c>
      <c r="N52" s="140" t="n">
        <f aca="false">MAX(0,M52-M51)</f>
        <v>0</v>
      </c>
      <c r="O52" s="139" t="str">
        <f aca="false">IF(B52&lt;='VALOR POR PL'!$P$5,'CP RESUMO'!AY50,"")</f>
        <v/>
      </c>
      <c r="P52" s="66" t="n">
        <f aca="false">IF(B52&lt;='VALOR POR PL'!$P$5,0,IF(OR($K$16="CURVA PREVISION",$K$16="MDO PREVISION + MATERIAL PREMISSA"),N52,IF($K$16="PREVISÃO INFORMADA",MAX(0,H52),0)))</f>
        <v>1300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HISTORICOS'!AZ8)</f>
        <v>0</v>
      </c>
      <c r="D53" s="45" t="n">
        <f aca="false">IF(B53&lt;='VALOR POR PL'!$P$5,0,IF($K$17&gt;0,$K$18*P53/$K$17,0))</f>
        <v>1627.02237526647</v>
      </c>
      <c r="E53" s="45" t="n">
        <f aca="false">L53+D53/$K$2</f>
        <v>1.25455792690544</v>
      </c>
      <c r="F53" s="117" t="n">
        <f aca="false">IF($K$9=0,0,E53/$K$9)</f>
        <v>0.00128997097589516</v>
      </c>
      <c r="G53" s="117" t="n">
        <f aca="false">G52+F53</f>
        <v>0.946043278832272</v>
      </c>
      <c r="H53" s="138" t="n">
        <v>1771.78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RESUMO'!AZ8</f>
        <v>0</v>
      </c>
      <c r="N53" s="140" t="n">
        <f aca="false">MAX(0,M53-M52)</f>
        <v>0</v>
      </c>
      <c r="O53" s="139" t="str">
        <f aca="false">IF(B53&lt;='VALOR POR PL'!$P$5,'CP RESUMO'!AZ50,"")</f>
        <v/>
      </c>
      <c r="P53" s="66" t="n">
        <f aca="false">IF(B53&lt;='VALOR POR PL'!$P$5,0,IF(OR($K$16="CURVA PREVISION",$K$16="MDO PREVISION + MATERIAL PREMISSA"),N53,IF($K$16="PREVISÃO INFORMADA",MAX(0,H53),0)))</f>
        <v>1771.78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HISTORICOS'!BA8)</f>
        <v>0</v>
      </c>
      <c r="D54" s="45" t="n">
        <f aca="false">IF(B54&lt;='VALOR POR PL'!$P$5,0,IF($K$17&gt;0,$K$18*P54/$K$17,0))</f>
        <v>1588.38957021875</v>
      </c>
      <c r="E54" s="45" t="n">
        <f aca="false">L54+D54/$K$2</f>
        <v>1.22476909760107</v>
      </c>
      <c r="F54" s="117" t="n">
        <f aca="false">IF($K$9=0,0,E54/$K$9)</f>
        <v>0.00125934128205286</v>
      </c>
      <c r="G54" s="117" t="n">
        <f aca="false">G53+F54</f>
        <v>0.947302620114325</v>
      </c>
      <c r="H54" s="138" t="n">
        <v>1729.71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RESUMO'!BA8</f>
        <v>0</v>
      </c>
      <c r="N54" s="140" t="n">
        <f aca="false">MAX(0,M54-M53)</f>
        <v>0</v>
      </c>
      <c r="O54" s="139" t="str">
        <f aca="false">IF(B54&lt;='VALOR POR PL'!$P$5,'CP RESUMO'!BA50,"")</f>
        <v/>
      </c>
      <c r="P54" s="66" t="n">
        <f aca="false">IF(B54&lt;='VALOR POR PL'!$P$5,0,IF(OR($K$16="CURVA PREVISION",$K$16="MDO PREVISION + MATERIAL PREMISSA"),N54,IF($K$16="PREVISÃO INFORMADA",MAX(0,H54),0)))</f>
        <v>1729.71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HISTORICOS'!BB8)</f>
        <v>0</v>
      </c>
      <c r="D55" s="45" t="n">
        <f aca="false">IF(B55&lt;='VALOR POR PL'!$P$5,0,IF($K$17&gt;0,$K$18*P55/$K$17,0))</f>
        <v>1588.38957021875</v>
      </c>
      <c r="E55" s="45" t="n">
        <f aca="false">L55+D55/$K$2</f>
        <v>1.22476909760107</v>
      </c>
      <c r="F55" s="117" t="n">
        <f aca="false">IF($K$9=0,0,E55/$K$9)</f>
        <v>0.00125934128205286</v>
      </c>
      <c r="G55" s="117" t="n">
        <f aca="false">G54+F55</f>
        <v>0.948561961396378</v>
      </c>
      <c r="H55" s="138" t="n">
        <v>1729.71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RESUMO'!BB8</f>
        <v>0</v>
      </c>
      <c r="N55" s="140" t="n">
        <f aca="false">MAX(0,M55-M54)</f>
        <v>0</v>
      </c>
      <c r="O55" s="139" t="str">
        <f aca="false">IF(B55&lt;='VALOR POR PL'!$P$5,'CP RESUMO'!BB50,"")</f>
        <v/>
      </c>
      <c r="P55" s="66" t="n">
        <f aca="false">IF(B55&lt;='VALOR POR PL'!$P$5,0,IF(OR($K$16="CURVA PREVISION",$K$16="MDO PREVISION + MATERIAL PREMISSA"),N55,IF($K$16="PREVISÃO INFORMADA",MAX(0,H55),0)))</f>
        <v>1729.71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HISTORICOS'!BC8)</f>
        <v>0</v>
      </c>
      <c r="D56" s="45" t="n">
        <f aca="false">IF(B56&lt;='VALOR POR PL'!$P$5,0,IF($K$17&gt;0,$K$18*P56/$K$17,0))</f>
        <v>64878.0796713948</v>
      </c>
      <c r="E56" s="45" t="n">
        <f aca="false">L56+D56/$K$2</f>
        <v>50.0259310329526</v>
      </c>
      <c r="F56" s="117" t="n">
        <f aca="false">IF($K$9=0,0,E56/$K$9)</f>
        <v>0.0514380386036217</v>
      </c>
      <c r="G56" s="117" t="n">
        <f aca="false">G55+F56</f>
        <v>1</v>
      </c>
      <c r="H56" s="138" t="n">
        <v>70650.34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RESUMO'!BC8</f>
        <v>0</v>
      </c>
      <c r="N56" s="140" t="n">
        <f aca="false">MAX(0,M56-M55)</f>
        <v>0</v>
      </c>
      <c r="O56" s="139" t="str">
        <f aca="false">IF(B56&lt;='VALOR POR PL'!$P$5,'CP RESUMO'!BC50,"")</f>
        <v/>
      </c>
      <c r="P56" s="66" t="n">
        <f aca="false">IF(B56&lt;='VALOR POR PL'!$P$5,0,IF(OR($K$16="CURVA PREVISION",$K$16="MDO PREVISION + MATERIAL PREMISSA"),N56,IF($K$16="PREVISÃO INFORMADA",MAX(0,H56),0)))</f>
        <v>70650.34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RESUMO'!BD8</f>
        <v>0</v>
      </c>
      <c r="N57" s="140" t="n">
        <f aca="false">MAX(0,M57-M56)</f>
        <v>0</v>
      </c>
      <c r="O57" s="139" t="str">
        <f aca="false">IF(B57&lt;='VALOR POR PL'!$P$5,'CP RESUMO'!BD50,"")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RESUMO'!BE8</f>
        <v>0</v>
      </c>
      <c r="N58" s="140" t="n">
        <f aca="false">MAX(0,M58-M57)</f>
        <v>0</v>
      </c>
      <c r="O58" s="139" t="str">
        <f aca="false">IF(B58&lt;='VALOR POR PL'!$P$5,'CP RESUMO'!BE50,"")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RESUMO'!BF8</f>
        <v>0</v>
      </c>
      <c r="N59" s="140" t="n">
        <f aca="false">MAX(0,M59-M58)</f>
        <v>0</v>
      </c>
      <c r="O59" s="139" t="str">
        <f aca="false">IF(B59&lt;='VALOR POR PL'!$P$5,'CP RESUMO'!BF50,"")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RESUMO'!BG8</f>
        <v>0</v>
      </c>
      <c r="N60" s="140" t="n">
        <f aca="false">MAX(0,M60-M59)</f>
        <v>0</v>
      </c>
      <c r="O60" s="139" t="str">
        <f aca="false">IF(B60&lt;='VALOR POR PL'!$P$5,'CP RESUMO'!BG50,"")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RESUMO'!BH8</f>
        <v>0</v>
      </c>
      <c r="N61" s="140" t="n">
        <f aca="false">MAX(0,M61-M60)</f>
        <v>0</v>
      </c>
      <c r="O61" s="139" t="str">
        <f aca="false">IF(B61&lt;='VALOR POR PL'!$P$5,'CP RESUMO'!BH50,"")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RESUMO'!BI8</f>
        <v>0</v>
      </c>
      <c r="N62" s="140" t="n">
        <f aca="false">MAX(0,M62-M61)</f>
        <v>0</v>
      </c>
      <c r="O62" s="139" t="str">
        <f aca="false">IF(B62&lt;='VALOR POR PL'!$P$5,'CP RESUMO'!BI50,"")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RESUMO'!BJ8</f>
        <v>0</v>
      </c>
      <c r="N63" s="140" t="n">
        <f aca="false">MAX(0,M63-M62)</f>
        <v>0</v>
      </c>
      <c r="O63" s="139" t="str">
        <f aca="false">IF(B63&lt;='VALOR POR PL'!$P$5,'CP RESUMO'!BJ50,"")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RESUMO'!BK8</f>
        <v>0</v>
      </c>
      <c r="N64" s="140" t="n">
        <f aca="false">MAX(0,M64-M63)</f>
        <v>0</v>
      </c>
      <c r="O64" s="139" t="str">
        <f aca="false">IF(B64&lt;='VALOR POR PL'!$P$5,'CP RESUMO'!BK50,"")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RESUMO'!BL8</f>
        <v>0</v>
      </c>
      <c r="N65" s="140" t="n">
        <f aca="false">MAX(0,M65-M64)</f>
        <v>0</v>
      </c>
      <c r="O65" s="139" t="str">
        <f aca="false">IF(B65&lt;='VALOR POR PL'!$P$5,'CP RESUMO'!BL50,"")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RESUMO'!BM8</f>
        <v>0</v>
      </c>
      <c r="N66" s="140" t="n">
        <f aca="false">MAX(0,M66-M65)</f>
        <v>0</v>
      </c>
      <c r="O66" s="139" t="str">
        <f aca="false">IF(B66&lt;='VALOR POR PL'!$P$5,'CP RESUMO'!BM50,"")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RESUMO'!BN8</f>
        <v>0</v>
      </c>
      <c r="N67" s="140" t="n">
        <f aca="false">MAX(0,M67-M66)</f>
        <v>0</v>
      </c>
      <c r="O67" s="139" t="str">
        <f aca="false">IF(B67&lt;='VALOR POR PL'!$P$5,'CP RESUMO'!BN50,"")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RESUMO'!BO8</f>
        <v>0</v>
      </c>
      <c r="N68" s="140" t="n">
        <f aca="false">MAX(0,M68-M67)</f>
        <v>0</v>
      </c>
      <c r="O68" s="139" t="str">
        <f aca="false">IF(B68&lt;='VALOR POR PL'!$P$5,'CP RESUMO'!BO50,"")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RESUMO'!BP8</f>
        <v>0</v>
      </c>
      <c r="N69" s="140" t="n">
        <f aca="false">MAX(0,M69-M68)</f>
        <v>0</v>
      </c>
      <c r="O69" s="139" t="str">
        <f aca="false">IF(B69&lt;='VALOR POR PL'!$P$5,'CP RESUMO'!BP50,"")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RESUMO'!BQ8</f>
        <v>0</v>
      </c>
      <c r="N70" s="140" t="n">
        <f aca="false">MAX(0,M70-M69)</f>
        <v>0</v>
      </c>
      <c r="O70" s="139" t="str">
        <f aca="false">IF(B70&lt;='VALOR POR PL'!$P$5,'CP RESUMO'!BQ50,"")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RESUMO'!BR8</f>
        <v>0</v>
      </c>
      <c r="N71" s="140" t="n">
        <f aca="false">MAX(0,M71-M70)</f>
        <v>0</v>
      </c>
      <c r="O71" s="139" t="str">
        <f aca="false">IF(B71&lt;='VALOR POR PL'!$P$5,'CP RESUMO'!BR50,"")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RESUMO'!BS8</f>
        <v>0</v>
      </c>
      <c r="N72" s="140" t="n">
        <f aca="false">MAX(0,M72-M71)</f>
        <v>0</v>
      </c>
      <c r="O72" s="139" t="str">
        <f aca="false">IF(B72&lt;='VALOR POR PL'!$P$5,'CP RESUMO'!BS50,"")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RESUMO'!BT8</f>
        <v>0</v>
      </c>
      <c r="N73" s="140" t="n">
        <f aca="false">MAX(0,M73-M72)</f>
        <v>0</v>
      </c>
      <c r="O73" s="139" t="str">
        <f aca="false">IF(B73&lt;='VALOR POR PL'!$P$5,'CP RESUMO'!BT50,"")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RESUMO'!BU8</f>
        <v>0</v>
      </c>
      <c r="N74" s="140" t="n">
        <f aca="false">MAX(0,M74-M73)</f>
        <v>0</v>
      </c>
      <c r="O74" s="139" t="str">
        <f aca="false">IF(B74&lt;='VALOR POR PL'!$P$5,'CP RESUMO'!BU50,"")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RESUMO'!BV8</f>
        <v>0</v>
      </c>
      <c r="N75" s="140" t="n">
        <f aca="false">MAX(0,M75-M74)</f>
        <v>0</v>
      </c>
      <c r="O75" s="139" t="str">
        <f aca="false">IF(B75&lt;='VALOR POR PL'!$P$5,'CP RESUMO'!BV50,"")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RESUMO'!BW8</f>
        <v>0</v>
      </c>
      <c r="N76" s="140" t="n">
        <f aca="false">MAX(0,M76-M75)</f>
        <v>0</v>
      </c>
      <c r="O76" s="139" t="str">
        <f aca="false">IF(B76&lt;='VALOR POR PL'!$P$5,'CP RESUMO'!BW50,"")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672914.49</v>
      </c>
      <c r="D78" s="61" t="n">
        <f aca="false">SUM(D5:D76)</f>
        <v>548326.228778094</v>
      </c>
      <c r="E78" s="61" t="n">
        <f aca="false">SUM(E5:E76)</f>
        <v>972.547406374673</v>
      </c>
      <c r="F78" s="145" t="n">
        <f aca="false">SUM(F5:F76)</f>
        <v>1</v>
      </c>
      <c r="H78" s="61" t="n">
        <f aca="false">SUM(H5:H76)</f>
        <v>597111.3</v>
      </c>
      <c r="L78" s="61" t="n">
        <f aca="false">SUM(L5:L76)</f>
        <v>549.746203821413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1.13686837721616E-013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PL'!D15</f>
        <v>LIGAÇÕES PROVISÓRIAS AGUA, ENERGIA,TELEFONIA, ESGOTO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PL'!F15</f>
        <v>50000</v>
      </c>
      <c r="K5" s="56" t="n">
        <f aca="false">'VALOR POR PL'!G15</f>
        <v>41.094562</v>
      </c>
      <c r="L5" s="56" t="n">
        <f aca="false">'DADOS HISTORICOS'!$BZ$9</f>
        <v>0</v>
      </c>
      <c r="M5" s="139" t="n">
        <f aca="false">'CP RESUMO'!D9</f>
        <v>0</v>
      </c>
      <c r="N5" s="140" t="n">
        <v>0</v>
      </c>
      <c r="O5" s="139" t="n">
        <f aca="false">IF(B5&lt;='VALOR POR PL'!$P$5,'CP RESUMO'!D51,"")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PL'!H15</f>
        <v>69.3874220706997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RESUMO'!E9</f>
        <v>0</v>
      </c>
      <c r="N6" s="140" t="n">
        <f aca="false">MAX(0,M6-M5)</f>
        <v>0</v>
      </c>
      <c r="O6" s="139" t="n">
        <f aca="false">IF(B6&lt;='VALOR POR PL'!$P$5,'CP RESUMO'!E51,"")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87467.1354551868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RESUMO'!F9</f>
        <v>0</v>
      </c>
      <c r="N7" s="140" t="n">
        <f aca="false">MAX(0,M7-M6)</f>
        <v>0</v>
      </c>
      <c r="O7" s="139" t="n">
        <f aca="false">IF(B7&lt;='VALOR POR PL'!$P$5,'CP RESUMO'!F51,"")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47.8306884227085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RESUMO'!G9</f>
        <v>0</v>
      </c>
      <c r="N8" s="140" t="n">
        <f aca="false">MAX(0,M8-M7)</f>
        <v>0</v>
      </c>
      <c r="O8" s="139" t="n">
        <f aca="false">IF(B8&lt;='VALOR POR PL'!$P$5,'CP RESUMO'!G51,"")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87467.1354551868</v>
      </c>
      <c r="K9" s="45" t="n">
        <f aca="false">E78</f>
        <v>69.3788976026666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RESUMO'!H9</f>
        <v>0</v>
      </c>
      <c r="N9" s="140" t="n">
        <f aca="false">MAX(0,M9-M8)</f>
        <v>0</v>
      </c>
      <c r="O9" s="139" t="n">
        <f aca="false">IF(B9&lt;='VALOR POR PL'!$P$5,'CP RESUMO'!H51,"")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21.5482091799582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RESUMO'!I9</f>
        <v>0</v>
      </c>
      <c r="N10" s="140" t="n">
        <f aca="false">MAX(0,M10-M9)</f>
        <v>0</v>
      </c>
      <c r="O10" s="139" t="n">
        <f aca="false">IF(B10&lt;='VALOR POR PL'!$P$5,'CP RESUMO'!I51,"")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3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RESUMO'!J9</f>
        <v>0</v>
      </c>
      <c r="N11" s="140" t="n">
        <f aca="false">MAX(0,M11-M10)</f>
        <v>0</v>
      </c>
      <c r="O11" s="139" t="n">
        <f aca="false">IF(B11&lt;='VALOR POR PL'!$P$5,'CP RESUMO'!J51,"")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HISTORICOS'!K9)</f>
        <v>625.36</v>
      </c>
      <c r="D12" s="45" t="n">
        <f aca="false">IF(B12&lt;='VALOR POR PL'!$P$5,0,IF($K$17&gt;0,$K$18*P12/$K$17,0))</f>
        <v>0</v>
      </c>
      <c r="E12" s="45" t="n">
        <f aca="false">L12+D12/$K$2</f>
        <v>0.51662534666258</v>
      </c>
      <c r="F12" s="117" t="n">
        <f aca="false">IF($K$9=0,0,E12/$K$9)</f>
        <v>0.0074464334907899</v>
      </c>
      <c r="G12" s="117" t="n">
        <f aca="false">G11+F12</f>
        <v>0.0074464334907899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0.51662534666258</v>
      </c>
      <c r="M12" s="139" t="n">
        <f aca="false">'CP RESUMO'!K9</f>
        <v>0</v>
      </c>
      <c r="N12" s="140" t="n">
        <f aca="false">MAX(0,M12-M11)</f>
        <v>0</v>
      </c>
      <c r="O12" s="139" t="n">
        <f aca="false">IF(B12&lt;='VALOR POR PL'!$P$5,'CP RESUMO'!K51,"")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HISTORICOS'!L9)</f>
        <v>357.65</v>
      </c>
      <c r="D13" s="45" t="n">
        <f aca="false">IF(B13&lt;='VALOR POR PL'!$P$5,0,IF($K$17&gt;0,$K$18*P13/$K$17,0))</f>
        <v>0</v>
      </c>
      <c r="E13" s="45" t="n">
        <f aca="false">L13+D13/$K$2</f>
        <v>0.293949401087855</v>
      </c>
      <c r="F13" s="117" t="n">
        <f aca="false">IF($K$9=0,0,E13/$K$9)</f>
        <v>0.00423687044973394</v>
      </c>
      <c r="G13" s="117" t="n">
        <f aca="false">G12+F13</f>
        <v>0.0116833039405238</v>
      </c>
      <c r="H13" s="138"/>
      <c r="I13" s="42" t="s">
        <v>2928</v>
      </c>
      <c r="K13" s="56" t="str">
        <f aca="false">'VALOR POR PL'!I15</f>
        <v>INDIRETO</v>
      </c>
      <c r="L13" s="45" t="n">
        <f aca="false">C13/IF(B13&lt;='VALOR POR PL'!$P$5,IFERROR(INDEX('"INCC-FGV"'!$B$2:$B$800,MATCH(B13,'"INCC-FGV"'!$A$2:$A$800,0)),$K$2),$K$2)</f>
        <v>0.293949401087855</v>
      </c>
      <c r="M13" s="139" t="n">
        <f aca="false">'CP RESUMO'!L9</f>
        <v>0</v>
      </c>
      <c r="N13" s="140" t="n">
        <f aca="false">MAX(0,M13-M12)</f>
        <v>0</v>
      </c>
      <c r="O13" s="139" t="n">
        <f aca="false">IF(B13&lt;='VALOR POR PL'!$P$5,'CP RESUMO'!L51,"")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HISTORICOS'!M9)</f>
        <v>1634.25</v>
      </c>
      <c r="D14" s="45" t="n">
        <f aca="false">IF(B14&lt;='VALOR POR PL'!$P$5,0,IF($K$17&gt;0,$K$18*P14/$K$17,0))</f>
        <v>0</v>
      </c>
      <c r="E14" s="45" t="n">
        <f aca="false">L14+D14/$K$2</f>
        <v>1.34092637766493</v>
      </c>
      <c r="F14" s="117" t="n">
        <f aca="false">IF($K$9=0,0,E14/$K$9)</f>
        <v>0.0193275826512036</v>
      </c>
      <c r="G14" s="117" t="n">
        <f aca="false">G13+F14</f>
        <v>0.0310108865917274</v>
      </c>
      <c r="H14" s="138"/>
      <c r="I14" s="42" t="s">
        <v>2929</v>
      </c>
      <c r="K14" s="58" t="n">
        <f aca="false">IFERROR(INDEX('CP RESUMO'!$D$51:$BW$51,MATCH('VALOR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1.34092637766493</v>
      </c>
      <c r="M14" s="139" t="n">
        <f aca="false">'CP RESUMO'!M9</f>
        <v>0</v>
      </c>
      <c r="N14" s="140" t="n">
        <f aca="false">MAX(0,M14-M13)</f>
        <v>0</v>
      </c>
      <c r="O14" s="139" t="n">
        <f aca="false">IF(B14&lt;='VALOR POR PL'!$P$5,'CP RESUMO'!M51,"")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HISTORICOS'!N9)</f>
        <v>14678.51</v>
      </c>
      <c r="D15" s="45" t="n">
        <f aca="false">IF(B15&lt;='VALOR POR PL'!$P$5,0,IF($K$17&gt;0,$K$18*P15/$K$17,0))</f>
        <v>0</v>
      </c>
      <c r="E15" s="45" t="n">
        <f aca="false">L15+D15/$K$2</f>
        <v>12.0083756287039</v>
      </c>
      <c r="F15" s="117" t="n">
        <f aca="false">IF($K$9=0,0,E15/$K$9)</f>
        <v>0.173083978610844</v>
      </c>
      <c r="G15" s="117" t="n">
        <f aca="false">G14+F15</f>
        <v>0.204094865202572</v>
      </c>
      <c r="H15" s="138"/>
      <c r="I15" s="42" t="s">
        <v>2930</v>
      </c>
      <c r="K15" s="67" t="s">
        <v>2941</v>
      </c>
      <c r="L15" s="45" t="n">
        <f aca="false">C15/IF(B15&lt;='VALOR POR PL'!$P$5,IFERROR(INDEX('"INCC-FGV"'!$B$2:$B$800,MATCH(B15,'"INCC-FGV"'!$A$2:$A$800,0)),$K$2),$K$2)</f>
        <v>12.0083756287039</v>
      </c>
      <c r="M15" s="139" t="n">
        <f aca="false">'CP RESUMO'!N9</f>
        <v>0</v>
      </c>
      <c r="N15" s="140" t="n">
        <f aca="false">MAX(0,M15-M14)</f>
        <v>0</v>
      </c>
      <c r="O15" s="139" t="n">
        <f aca="false">IF(B15&lt;='VALOR POR PL'!$P$5,'CP RESUMO'!N51,"")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HISTORICOS'!O9)</f>
        <v>8642.57</v>
      </c>
      <c r="D16" s="45" t="n">
        <f aca="false">IF(B16&lt;='VALOR POR PL'!$P$5,0,IF($K$17&gt;0,$K$18*P16/$K$17,0))</f>
        <v>0</v>
      </c>
      <c r="E16" s="45" t="n">
        <f aca="false">L16+D16/$K$2</f>
        <v>7.05151542101102</v>
      </c>
      <c r="F16" s="117" t="n">
        <f aca="false">IF($K$9=0,0,E16/$K$9)</f>
        <v>0.101637755350266</v>
      </c>
      <c r="G16" s="117" t="n">
        <f aca="false">G15+F16</f>
        <v>0.305732620552838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7.05151542101102</v>
      </c>
      <c r="M16" s="139" t="n">
        <f aca="false">'CP RESUMO'!O9</f>
        <v>0</v>
      </c>
      <c r="N16" s="140" t="n">
        <f aca="false">MAX(0,M16-M15)</f>
        <v>0</v>
      </c>
      <c r="O16" s="139" t="n">
        <f aca="false">IF(B16&lt;='VALOR POR PL'!$P$5,'CP RESUMO'!O51,"")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HISTORICOS'!P9)</f>
        <v>1681.62</v>
      </c>
      <c r="D17" s="45" t="n">
        <f aca="false">IF(B17&lt;='VALOR POR PL'!$P$5,0,IF($K$17&gt;0,$K$18*P17/$K$17,0))</f>
        <v>0</v>
      </c>
      <c r="E17" s="45" t="n">
        <f aca="false">L17+D17/$K$2</f>
        <v>1.36921787941483</v>
      </c>
      <c r="F17" s="117" t="n">
        <f aca="false">IF($K$9=0,0,E17/$K$9)</f>
        <v>0.0197353651719339</v>
      </c>
      <c r="G17" s="117" t="n">
        <f aca="false">G16+F17</f>
        <v>0.325467985724772</v>
      </c>
      <c r="H17" s="138"/>
      <c r="I17" s="42" t="s">
        <v>2933</v>
      </c>
      <c r="K17" s="45" t="n">
        <f aca="false">SUM(P5:P76)</f>
        <v>3</v>
      </c>
      <c r="L17" s="45" t="n">
        <f aca="false">C17/IF(B17&lt;='VALOR POR PL'!$P$5,IFERROR(INDEX('"INCC-FGV"'!$B$2:$B$800,MATCH(B17,'"INCC-FGV"'!$A$2:$A$800,0)),$K$2),$K$2)</f>
        <v>1.36921787941483</v>
      </c>
      <c r="M17" s="139" t="n">
        <f aca="false">'CP RESUMO'!P9</f>
        <v>0</v>
      </c>
      <c r="N17" s="140" t="n">
        <f aca="false">MAX(0,M17-M16)</f>
        <v>0</v>
      </c>
      <c r="O17" s="139" t="n">
        <f aca="false">IF(B17&lt;='VALOR POR PL'!$P$5,'CP RESUMO'!P51,"")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HISTORICOS'!Q9)</f>
        <v>525.75</v>
      </c>
      <c r="D18" s="45" t="n">
        <f aca="false">IF(B18&lt;='VALOR POR PL'!$P$5,0,IF($K$17&gt;0,$K$18*P18/$K$17,0))</f>
        <v>0</v>
      </c>
      <c r="E18" s="45" t="n">
        <f aca="false">L18+D18/$K$2</f>
        <v>0.425007841323939</v>
      </c>
      <c r="F18" s="117" t="n">
        <f aca="false">IF($K$9=0,0,E18/$K$9)</f>
        <v>0.00612589499126898</v>
      </c>
      <c r="G18" s="117" t="n">
        <f aca="false">G17+F18</f>
        <v>0.331593880716041</v>
      </c>
      <c r="H18" s="138"/>
      <c r="I18" s="42" t="s">
        <v>2934</v>
      </c>
      <c r="K18" s="45" t="n">
        <f aca="false">MAX(0,K10)*$K$2</f>
        <v>27945.6354551868</v>
      </c>
      <c r="L18" s="45" t="n">
        <f aca="false">C18/IF(B18&lt;='VALOR POR PL'!$P$5,IFERROR(INDEX('"INCC-FGV"'!$B$2:$B$800,MATCH(B18,'"INCC-FGV"'!$A$2:$A$800,0)),$K$2),$K$2)</f>
        <v>0.425007841323939</v>
      </c>
      <c r="M18" s="139" t="n">
        <f aca="false">'CP RESUMO'!Q9</f>
        <v>0</v>
      </c>
      <c r="N18" s="140" t="n">
        <f aca="false">MAX(0,M18-M17)</f>
        <v>0</v>
      </c>
      <c r="O18" s="139" t="n">
        <f aca="false">IF(B18&lt;='VALOR POR PL'!$P$5,'CP RESUMO'!Q51,"")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HISTORICOS'!R9)</f>
        <v>5117.4</v>
      </c>
      <c r="D19" s="45" t="n">
        <f aca="false">IF(B19&lt;='VALOR POR PL'!$P$5,0,IF($K$17&gt;0,$K$18*P19/$K$17,0))</f>
        <v>0</v>
      </c>
      <c r="E19" s="45" t="n">
        <f aca="false">L19+D19/$K$2</f>
        <v>4.12533525301879</v>
      </c>
      <c r="F19" s="117" t="n">
        <f aca="false">IF($K$9=0,0,E19/$K$9)</f>
        <v>0.0594609513204521</v>
      </c>
      <c r="G19" s="117" t="n">
        <f aca="false">G18+F19</f>
        <v>0.391054832036493</v>
      </c>
      <c r="H19" s="138"/>
      <c r="I19" s="42" t="s">
        <v>2935</v>
      </c>
      <c r="K19" s="142" t="n">
        <f aca="false">IF(AND(K16="PREVISÃO INFORMADA",K11&gt;0),K18/K11-1,"")</f>
        <v>9314.21181839559</v>
      </c>
      <c r="L19" s="45" t="n">
        <f aca="false">C19/IF(B19&lt;='VALOR POR PL'!$P$5,IFERROR(INDEX('"INCC-FGV"'!$B$2:$B$800,MATCH(B19,'"INCC-FGV"'!$A$2:$A$800,0)),$K$2),$K$2)</f>
        <v>4.12533525301879</v>
      </c>
      <c r="M19" s="139" t="n">
        <f aca="false">'CP RESUMO'!R9</f>
        <v>0</v>
      </c>
      <c r="N19" s="140" t="n">
        <f aca="false">MAX(0,M19-M18)</f>
        <v>0</v>
      </c>
      <c r="O19" s="139" t="n">
        <f aca="false">IF(B19&lt;='VALOR POR PL'!$P$5,'CP RESUMO'!R51,"")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HISTORICOS'!S9)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0.391054832036493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RESUMO'!S9</f>
        <v>0</v>
      </c>
      <c r="N20" s="140" t="n">
        <f aca="false">MAX(0,M20-M19)</f>
        <v>0</v>
      </c>
      <c r="O20" s="139" t="n">
        <f aca="false">IF(B20&lt;='VALOR POR PL'!$P$5,'CP RESUMO'!S51,"")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HISTORICOS'!T9)</f>
        <v>6926.87</v>
      </c>
      <c r="D21" s="45" t="n">
        <f aca="false">IF(B21&lt;='VALOR POR PL'!$P$5,0,IF($K$17&gt;0,$K$18*P21/$K$17,0))</f>
        <v>0</v>
      </c>
      <c r="E21" s="45" t="n">
        <f aca="false">L21+D21/$K$2</f>
        <v>5.49903465401555</v>
      </c>
      <c r="F21" s="117" t="n">
        <f aca="false">IF($K$9=0,0,E21/$K$9)</f>
        <v>0.0792609113726274</v>
      </c>
      <c r="G21" s="117" t="n">
        <f aca="false">G20+F21</f>
        <v>0.470315743409121</v>
      </c>
      <c r="H21" s="138"/>
      <c r="K21" s="143"/>
      <c r="L21" s="45" t="n">
        <f aca="false">C21/IF(B21&lt;='VALOR POR PL'!$P$5,IFERROR(INDEX('"INCC-FGV"'!$B$2:$B$800,MATCH(B21,'"INCC-FGV"'!$A$2:$A$800,0)),$K$2),$K$2)</f>
        <v>5.49903465401555</v>
      </c>
      <c r="M21" s="139" t="n">
        <f aca="false">'CP RESUMO'!T9</f>
        <v>0</v>
      </c>
      <c r="N21" s="140" t="n">
        <f aca="false">MAX(0,M21-M20)</f>
        <v>0</v>
      </c>
      <c r="O21" s="139" t="n">
        <f aca="false">IF(B21&lt;='VALOR POR PL'!$P$5,'CP RESUMO'!T51,"")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HISTORICOS'!U9)</f>
        <v>18523.32</v>
      </c>
      <c r="D22" s="45" t="n">
        <f aca="false">IF(B22&lt;='VALOR POR PL'!$P$5,0,IF($K$17&gt;0,$K$18*P22/$K$17,0))</f>
        <v>0</v>
      </c>
      <c r="E22" s="45" t="n">
        <f aca="false">L22+D22/$K$2</f>
        <v>14.5773139895884</v>
      </c>
      <c r="F22" s="117" t="n">
        <f aca="false">IF($K$9=0,0,E22/$K$9)</f>
        <v>0.210111640474208</v>
      </c>
      <c r="G22" s="117" t="n">
        <f aca="false">G21+F22</f>
        <v>0.680427383883328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14.5773139895884</v>
      </c>
      <c r="M22" s="139" t="n">
        <f aca="false">'CP RESUMO'!U9</f>
        <v>0</v>
      </c>
      <c r="N22" s="140" t="n">
        <f aca="false">MAX(0,M22-M21)</f>
        <v>0</v>
      </c>
      <c r="O22" s="139" t="n">
        <f aca="false">IF(B22&lt;='VALOR POR PL'!$P$5,'CP RESUMO'!U51,"")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HISTORICOS'!V9)</f>
        <v>20.75</v>
      </c>
      <c r="D23" s="45" t="n">
        <f aca="false">IF(B23&lt;='VALOR POR PL'!$P$5,0,IF($K$17&gt;0,$K$18*P23/$K$17,0))</f>
        <v>0</v>
      </c>
      <c r="E23" s="45" t="n">
        <f aca="false">L23+D23/$K$2</f>
        <v>0.0162028234298293</v>
      </c>
      <c r="F23" s="117" t="n">
        <f aca="false">IF($K$9=0,0,E23/$K$9)</f>
        <v>0.000233541090874965</v>
      </c>
      <c r="G23" s="117" t="n">
        <f aca="false">G22+F23</f>
        <v>0.680660924974203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0.0162028234298293</v>
      </c>
      <c r="M23" s="139" t="n">
        <f aca="false">'CP RESUMO'!V9</f>
        <v>0</v>
      </c>
      <c r="N23" s="140" t="n">
        <f aca="false">MAX(0,M23-M22)</f>
        <v>0</v>
      </c>
      <c r="O23" s="139" t="n">
        <f aca="false">IF(B23&lt;='VALOR POR PL'!$P$5,'CP RESUMO'!V51,"")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HISTORICOS'!W9)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0.680660924974203</v>
      </c>
      <c r="H24" s="138"/>
      <c r="I24" s="144" t="s">
        <v>2942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RESUMO'!W9</f>
        <v>0</v>
      </c>
      <c r="N24" s="140" t="n">
        <f aca="false">MAX(0,M24-M23)</f>
        <v>0</v>
      </c>
      <c r="O24" s="139" t="n">
        <f aca="false">IF(B24&lt;='VALOR POR PL'!$P$5,'CP RESUMO'!W51,"")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0.680660924974203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RESUMO'!X9</f>
        <v>0</v>
      </c>
      <c r="N25" s="140" t="n">
        <f aca="false">MAX(0,M25-M24)</f>
        <v>0</v>
      </c>
      <c r="O25" s="139" t="n">
        <f aca="false">IF(B25&lt;='VALOR POR PL'!$P$5,'CP RESUMO'!X51,"")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HISTORICOS'!Y9)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0.680660924974203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RESUMO'!Y9</f>
        <v>0</v>
      </c>
      <c r="N26" s="140" t="n">
        <f aca="false">MAX(0,M26-M25)</f>
        <v>0</v>
      </c>
      <c r="O26" s="139" t="str">
        <f aca="false">IF(B26&lt;='VALOR POR PL'!$P$5,'CP RESUMO'!Y51,"")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HISTORICOS'!Z9)</f>
        <v>620.4</v>
      </c>
      <c r="D27" s="45" t="n">
        <f aca="false">IF(B27&lt;='VALOR POR PL'!$P$5,0,IF($K$17&gt;0,$K$18*P27/$K$17,0))</f>
        <v>0</v>
      </c>
      <c r="E27" s="45" t="n">
        <f aca="false">L27+D27/$K$2</f>
        <v>0.478375558740956</v>
      </c>
      <c r="F27" s="117" t="n">
        <f aca="false">IF($K$9=0,0,E27/$K$9)</f>
        <v>0.00689511617034644</v>
      </c>
      <c r="G27" s="117" t="n">
        <f aca="false">G26+F27</f>
        <v>0.68755604114455</v>
      </c>
      <c r="H27" s="138"/>
      <c r="L27" s="45" t="n">
        <f aca="false">C27/IF(B27&lt;='VALOR POR PL'!$P$5,IFERROR(INDEX('"INCC-FGV"'!$B$2:$B$800,MATCH(B27,'"INCC-FGV"'!$A$2:$A$800,0)),$K$2),$K$2)</f>
        <v>0.478375558740956</v>
      </c>
      <c r="M27" s="139" t="n">
        <f aca="false">'CP RESUMO'!Z9</f>
        <v>0</v>
      </c>
      <c r="N27" s="140" t="n">
        <f aca="false">MAX(0,M27-M26)</f>
        <v>0</v>
      </c>
      <c r="O27" s="139" t="str">
        <f aca="false">IF(B27&lt;='VALOR POR PL'!$P$5,'CP RESUMO'!Z51,"")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HISTORICOS'!AA9)</f>
        <v>167.05</v>
      </c>
      <c r="D28" s="45" t="n">
        <f aca="false">IF(B28&lt;='VALOR POR PL'!$P$5,0,IF($K$17&gt;0,$K$18*P28/$K$17,0))</f>
        <v>0</v>
      </c>
      <c r="E28" s="45" t="n">
        <f aca="false">L28+D28/$K$2</f>
        <v>0.128808248045901</v>
      </c>
      <c r="F28" s="117" t="n">
        <f aca="false">IF($K$9=0,0,E28/$K$9)</f>
        <v>0.00185659116095482</v>
      </c>
      <c r="G28" s="117" t="n">
        <f aca="false">G27+F28</f>
        <v>0.689412632305505</v>
      </c>
      <c r="H28" s="138"/>
      <c r="L28" s="45" t="n">
        <f aca="false">C28/IF(B28&lt;='VALOR POR PL'!$P$5,IFERROR(INDEX('"INCC-FGV"'!$B$2:$B$800,MATCH(B28,'"INCC-FGV"'!$A$2:$A$800,0)),$K$2),$K$2)</f>
        <v>0.128808248045901</v>
      </c>
      <c r="M28" s="139" t="n">
        <f aca="false">'CP RESUMO'!AA9</f>
        <v>0</v>
      </c>
      <c r="N28" s="140" t="n">
        <f aca="false">MAX(0,M28-M27)</f>
        <v>0</v>
      </c>
      <c r="O28" s="139" t="str">
        <f aca="false">IF(B28&lt;='VALOR POR PL'!$P$5,'CP RESUMO'!AA51,"")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HISTORICOS'!AB9)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0.689412632305505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RESUMO'!AB9</f>
        <v>0</v>
      </c>
      <c r="N29" s="140" t="n">
        <f aca="false">MAX(0,M29-M28)</f>
        <v>0</v>
      </c>
      <c r="O29" s="139" t="str">
        <f aca="false">IF(B29&lt;='VALOR POR PL'!$P$5,'CP RESUMO'!AB51,"")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HISTORICOS'!AC9)</f>
        <v>0</v>
      </c>
      <c r="D30" s="45" t="n">
        <f aca="false">IF(B30&lt;='VALOR POR PL'!$P$5,0,IF($K$17&gt;0,$K$18*P30/$K$17,0))</f>
        <v>9315.21181839559</v>
      </c>
      <c r="E30" s="45" t="n">
        <f aca="false">L30+D30/$K$2</f>
        <v>7.18273639331939</v>
      </c>
      <c r="F30" s="117" t="n">
        <f aca="false">IF($K$9=0,0,E30/$K$9)</f>
        <v>0.103529122564832</v>
      </c>
      <c r="G30" s="117" t="n">
        <f aca="false">G29+F30</f>
        <v>0.792941754870336</v>
      </c>
      <c r="H30" s="138" t="n">
        <v>1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RESUMO'!AC9</f>
        <v>0</v>
      </c>
      <c r="N30" s="140" t="n">
        <f aca="false">MAX(0,M30-M29)</f>
        <v>0</v>
      </c>
      <c r="O30" s="139" t="str">
        <f aca="false">IF(B30&lt;='VALOR POR PL'!$P$5,'CP RESUMO'!AC51,"")</f>
        <v/>
      </c>
      <c r="P30" s="66" t="n">
        <f aca="false">IF(B30&lt;='VALOR POR PL'!$P$5,0,IF(OR($K$16="CURVA PREVISION",$K$16="MDO PREVISION + MATERIAL PREMISSA"),N30,IF($K$16="PREVISÃO INFORMADA",MAX(0,H30),0)))</f>
        <v>1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HISTORICOS'!AD9)</f>
        <v>0</v>
      </c>
      <c r="D31" s="45" t="n">
        <f aca="false">IF(B31&lt;='VALOR POR PL'!$P$5,0,IF($K$17&gt;0,$K$18*P31/$K$17,0))</f>
        <v>9315.21181839559</v>
      </c>
      <c r="E31" s="45" t="n">
        <f aca="false">L31+D31/$K$2</f>
        <v>7.18273639331939</v>
      </c>
      <c r="F31" s="117" t="n">
        <f aca="false">IF($K$9=0,0,E31/$K$9)</f>
        <v>0.103529122564832</v>
      </c>
      <c r="G31" s="117" t="n">
        <f aca="false">G30+F31</f>
        <v>0.896470877435168</v>
      </c>
      <c r="H31" s="138" t="n">
        <v>1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RESUMO'!AD9</f>
        <v>0</v>
      </c>
      <c r="N31" s="140" t="n">
        <f aca="false">MAX(0,M31-M30)</f>
        <v>0</v>
      </c>
      <c r="O31" s="139" t="str">
        <f aca="false">IF(B31&lt;='VALOR POR PL'!$P$5,'CP RESUMO'!AD51,"")</f>
        <v/>
      </c>
      <c r="P31" s="66" t="n">
        <f aca="false">IF(B31&lt;='VALOR POR PL'!$P$5,0,IF(OR($K$16="CURVA PREVISION",$K$16="MDO PREVISION + MATERIAL PREMISSA"),N31,IF($K$16="PREVISÃO INFORMADA",MAX(0,H31),0)))</f>
        <v>1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HISTORICOS'!AE9)</f>
        <v>0</v>
      </c>
      <c r="D32" s="45" t="n">
        <f aca="false">IF(B32&lt;='VALOR POR PL'!$P$5,0,IF($K$17&gt;0,$K$18*P32/$K$17,0))</f>
        <v>9315.21181839559</v>
      </c>
      <c r="E32" s="45" t="n">
        <f aca="false">L32+D32/$K$2</f>
        <v>7.18273639331939</v>
      </c>
      <c r="F32" s="117" t="n">
        <f aca="false">IF($K$9=0,0,E32/$K$9)</f>
        <v>0.103529122564832</v>
      </c>
      <c r="G32" s="117" t="n">
        <f aca="false">G31+F32</f>
        <v>1</v>
      </c>
      <c r="H32" s="138" t="n">
        <v>1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RESUMO'!AE9</f>
        <v>0</v>
      </c>
      <c r="N32" s="140" t="n">
        <f aca="false">MAX(0,M32-M31)</f>
        <v>0</v>
      </c>
      <c r="O32" s="139" t="str">
        <f aca="false">IF(B32&lt;='VALOR POR PL'!$P$5,'CP RESUMO'!AE51,"")</f>
        <v/>
      </c>
      <c r="P32" s="66" t="n">
        <f aca="false">IF(B32&lt;='VALOR POR PL'!$P$5,0,IF(OR($K$16="CURVA PREVISION",$K$16="MDO PREVISION + MATERIAL PREMISSA"),N32,IF($K$16="PREVISÃO INFORMADA",MAX(0,H32),0)))</f>
        <v>1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HISTORICOS'!AF9)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RESUMO'!AF9</f>
        <v>0</v>
      </c>
      <c r="N33" s="140" t="n">
        <f aca="false">MAX(0,M33-M32)</f>
        <v>0</v>
      </c>
      <c r="O33" s="139" t="str">
        <f aca="false">IF(B33&lt;='VALOR POR PL'!$P$5,'CP RESUMO'!AF51,"")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HISTORICOS'!AG9)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RESUMO'!AG9</f>
        <v>0</v>
      </c>
      <c r="N34" s="140" t="n">
        <f aca="false">MAX(0,M34-M33)</f>
        <v>0</v>
      </c>
      <c r="O34" s="139" t="str">
        <f aca="false">IF(B34&lt;='VALOR POR PL'!$P$5,'CP RESUMO'!AG51,"")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HISTORICOS'!AH9)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RESUMO'!AH9</f>
        <v>0</v>
      </c>
      <c r="N35" s="140" t="n">
        <f aca="false">MAX(0,M35-M34)</f>
        <v>0</v>
      </c>
      <c r="O35" s="139" t="str">
        <f aca="false">IF(B35&lt;='VALOR POR PL'!$P$5,'CP RESUMO'!AH51,"")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HISTORICOS'!AI9)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RESUMO'!AI9</f>
        <v>0</v>
      </c>
      <c r="N36" s="140" t="n">
        <f aca="false">MAX(0,M36-M35)</f>
        <v>0</v>
      </c>
      <c r="O36" s="139" t="str">
        <f aca="false">IF(B36&lt;='VALOR POR PL'!$P$5,'CP RESUMO'!AI51,"")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HISTORICOS'!AJ9)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RESUMO'!AJ9</f>
        <v>0</v>
      </c>
      <c r="N37" s="140" t="n">
        <f aca="false">MAX(0,M37-M36)</f>
        <v>0</v>
      </c>
      <c r="O37" s="139" t="str">
        <f aca="false">IF(B37&lt;='VALOR POR PL'!$P$5,'CP RESUMO'!AJ51,"")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HISTORICOS'!AK9)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RESUMO'!AK9</f>
        <v>0</v>
      </c>
      <c r="N38" s="140" t="n">
        <f aca="false">MAX(0,M38-M37)</f>
        <v>0</v>
      </c>
      <c r="O38" s="139" t="str">
        <f aca="false">IF(B38&lt;='VALOR POR PL'!$P$5,'CP RESUMO'!AK51,"")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HISTORICOS'!AL9)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RESUMO'!AL9</f>
        <v>0</v>
      </c>
      <c r="N39" s="140" t="n">
        <f aca="false">MAX(0,M39-M38)</f>
        <v>0</v>
      </c>
      <c r="O39" s="139" t="str">
        <f aca="false">IF(B39&lt;='VALOR POR PL'!$P$5,'CP RESUMO'!AL51,"")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HISTORICOS'!AM9)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RESUMO'!AM9</f>
        <v>0</v>
      </c>
      <c r="N40" s="140" t="n">
        <f aca="false">MAX(0,M40-M39)</f>
        <v>0</v>
      </c>
      <c r="O40" s="139" t="str">
        <f aca="false">IF(B40&lt;='VALOR POR PL'!$P$5,'CP RESUMO'!AM51,"")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HISTORICOS'!AN9)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RESUMO'!AN9</f>
        <v>0</v>
      </c>
      <c r="N41" s="140" t="n">
        <f aca="false">MAX(0,M41-M40)</f>
        <v>0</v>
      </c>
      <c r="O41" s="139" t="str">
        <f aca="false">IF(B41&lt;='VALOR POR PL'!$P$5,'CP RESUMO'!AN51,"")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HISTORICOS'!AO9)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RESUMO'!AO9</f>
        <v>0</v>
      </c>
      <c r="N42" s="140" t="n">
        <f aca="false">MAX(0,M42-M41)</f>
        <v>0</v>
      </c>
      <c r="O42" s="139" t="str">
        <f aca="false">IF(B42&lt;='VALOR POR PL'!$P$5,'CP RESUMO'!AO51,"")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HISTORICOS'!AP9)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RESUMO'!AP9</f>
        <v>0</v>
      </c>
      <c r="N43" s="140" t="n">
        <f aca="false">MAX(0,M43-M42)</f>
        <v>0</v>
      </c>
      <c r="O43" s="139" t="str">
        <f aca="false">IF(B43&lt;='VALOR POR PL'!$P$5,'CP RESUMO'!AP51,"")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HISTORICOS'!AQ9)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RESUMO'!AQ9</f>
        <v>0</v>
      </c>
      <c r="N44" s="140" t="n">
        <f aca="false">MAX(0,M44-M43)</f>
        <v>0</v>
      </c>
      <c r="O44" s="139" t="str">
        <f aca="false">IF(B44&lt;='VALOR POR PL'!$P$5,'CP RESUMO'!AQ51,"")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HISTORICOS'!AR9)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RESUMO'!AR9</f>
        <v>0</v>
      </c>
      <c r="N45" s="140" t="n">
        <f aca="false">MAX(0,M45-M44)</f>
        <v>0</v>
      </c>
      <c r="O45" s="139" t="str">
        <f aca="false">IF(B45&lt;='VALOR POR PL'!$P$5,'CP RESUMO'!AR51,"")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HISTORICOS'!AS9)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RESUMO'!AS9</f>
        <v>0</v>
      </c>
      <c r="N46" s="140" t="n">
        <f aca="false">MAX(0,M46-M45)</f>
        <v>0</v>
      </c>
      <c r="O46" s="139" t="str">
        <f aca="false">IF(B46&lt;='VALOR POR PL'!$P$5,'CP RESUMO'!AS51,"")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HISTORICOS'!AT9)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RESUMO'!AT9</f>
        <v>0</v>
      </c>
      <c r="N47" s="140" t="n">
        <f aca="false">MAX(0,M47-M46)</f>
        <v>0</v>
      </c>
      <c r="O47" s="139" t="str">
        <f aca="false">IF(B47&lt;='VALOR POR PL'!$P$5,'CP RESUMO'!AT51,"")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HISTORICOS'!AU9)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RESUMO'!AU9</f>
        <v>0</v>
      </c>
      <c r="N48" s="140" t="n">
        <f aca="false">MAX(0,M48-M47)</f>
        <v>0</v>
      </c>
      <c r="O48" s="139" t="str">
        <f aca="false">IF(B48&lt;='VALOR POR PL'!$P$5,'CP RESUMO'!AU51,"")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HISTORICOS'!AV9)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RESUMO'!AV9</f>
        <v>0</v>
      </c>
      <c r="N49" s="140" t="n">
        <f aca="false">MAX(0,M49-M48)</f>
        <v>0</v>
      </c>
      <c r="O49" s="139" t="str">
        <f aca="false">IF(B49&lt;='VALOR POR PL'!$P$5,'CP RESUMO'!AV51,"")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HISTORICOS'!AW9)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RESUMO'!AW9</f>
        <v>0</v>
      </c>
      <c r="N50" s="140" t="n">
        <f aca="false">MAX(0,M50-M49)</f>
        <v>0</v>
      </c>
      <c r="O50" s="139" t="str">
        <f aca="false">IF(B50&lt;='VALOR POR PL'!$P$5,'CP RESUMO'!AW51,"")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HISTORICOS'!AX9)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RESUMO'!AX9</f>
        <v>0</v>
      </c>
      <c r="N51" s="140" t="n">
        <f aca="false">MAX(0,M51-M50)</f>
        <v>0</v>
      </c>
      <c r="O51" s="139" t="str">
        <f aca="false">IF(B51&lt;='VALOR POR PL'!$P$5,'CP RESUMO'!AX51,"")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HISTORICOS'!AY9)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RESUMO'!AY9</f>
        <v>0</v>
      </c>
      <c r="N52" s="140" t="n">
        <f aca="false">MAX(0,M52-M51)</f>
        <v>0</v>
      </c>
      <c r="O52" s="139" t="str">
        <f aca="false">IF(B52&lt;='VALOR POR PL'!$P$5,'CP RESUMO'!AY51,"")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HISTORICOS'!AZ9)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RESUMO'!AZ9</f>
        <v>0</v>
      </c>
      <c r="N53" s="140" t="n">
        <f aca="false">MAX(0,M53-M52)</f>
        <v>0</v>
      </c>
      <c r="O53" s="139" t="str">
        <f aca="false">IF(B53&lt;='VALOR POR PL'!$P$5,'CP RESUMO'!AZ51,"")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RESUMO'!BA9</f>
        <v>0</v>
      </c>
      <c r="N54" s="140" t="n">
        <f aca="false">MAX(0,M54-M53)</f>
        <v>0</v>
      </c>
      <c r="O54" s="139" t="str">
        <f aca="false">IF(B54&lt;='VALOR POR PL'!$P$5,'CP RESUMO'!BA51,"")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RESUMO'!BB9</f>
        <v>0</v>
      </c>
      <c r="N55" s="140" t="n">
        <f aca="false">MAX(0,M55-M54)</f>
        <v>0</v>
      </c>
      <c r="O55" s="139" t="str">
        <f aca="false">IF(B55&lt;='VALOR POR PL'!$P$5,'CP RESUMO'!BB51,"")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RESUMO'!BC9</f>
        <v>0</v>
      </c>
      <c r="N56" s="140" t="n">
        <f aca="false">MAX(0,M56-M55)</f>
        <v>0</v>
      </c>
      <c r="O56" s="139" t="str">
        <f aca="false">IF(B56&lt;='VALOR POR PL'!$P$5,'CP RESUMO'!BC51,"")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RESUMO'!BD9</f>
        <v>0</v>
      </c>
      <c r="N57" s="140" t="n">
        <f aca="false">MAX(0,M57-M56)</f>
        <v>0</v>
      </c>
      <c r="O57" s="139" t="str">
        <f aca="false">IF(B57&lt;='VALOR POR PL'!$P$5,'CP RESUMO'!BD51,"")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RESUMO'!BE9</f>
        <v>0</v>
      </c>
      <c r="N58" s="140" t="n">
        <f aca="false">MAX(0,M58-M57)</f>
        <v>0</v>
      </c>
      <c r="O58" s="139" t="str">
        <f aca="false">IF(B58&lt;='VALOR POR PL'!$P$5,'CP RESUMO'!BE51,"")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RESUMO'!BF9</f>
        <v>0</v>
      </c>
      <c r="N59" s="140" t="n">
        <f aca="false">MAX(0,M59-M58)</f>
        <v>0</v>
      </c>
      <c r="O59" s="139" t="str">
        <f aca="false">IF(B59&lt;='VALOR POR PL'!$P$5,'CP RESUMO'!BF51,"")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RESUMO'!BG9</f>
        <v>0</v>
      </c>
      <c r="N60" s="140" t="n">
        <f aca="false">MAX(0,M60-M59)</f>
        <v>0</v>
      </c>
      <c r="O60" s="139" t="str">
        <f aca="false">IF(B60&lt;='VALOR POR PL'!$P$5,'CP RESUMO'!BG51,"")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RESUMO'!BH9</f>
        <v>0</v>
      </c>
      <c r="N61" s="140" t="n">
        <f aca="false">MAX(0,M61-M60)</f>
        <v>0</v>
      </c>
      <c r="O61" s="139" t="str">
        <f aca="false">IF(B61&lt;='VALOR POR PL'!$P$5,'CP RESUMO'!BH51,"")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RESUMO'!BI9</f>
        <v>0</v>
      </c>
      <c r="N62" s="140" t="n">
        <f aca="false">MAX(0,M62-M61)</f>
        <v>0</v>
      </c>
      <c r="O62" s="139" t="str">
        <f aca="false">IF(B62&lt;='VALOR POR PL'!$P$5,'CP RESUMO'!BI51,"")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RESUMO'!BJ9</f>
        <v>0</v>
      </c>
      <c r="N63" s="140" t="n">
        <f aca="false">MAX(0,M63-M62)</f>
        <v>0</v>
      </c>
      <c r="O63" s="139" t="str">
        <f aca="false">IF(B63&lt;='VALOR POR PL'!$P$5,'CP RESUMO'!BJ51,"")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RESUMO'!BK9</f>
        <v>0</v>
      </c>
      <c r="N64" s="140" t="n">
        <f aca="false">MAX(0,M64-M63)</f>
        <v>0</v>
      </c>
      <c r="O64" s="139" t="str">
        <f aca="false">IF(B64&lt;='VALOR POR PL'!$P$5,'CP RESUMO'!BK51,"")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RESUMO'!BL9</f>
        <v>0</v>
      </c>
      <c r="N65" s="140" t="n">
        <f aca="false">MAX(0,M65-M64)</f>
        <v>0</v>
      </c>
      <c r="O65" s="139" t="str">
        <f aca="false">IF(B65&lt;='VALOR POR PL'!$P$5,'CP RESUMO'!BL51,"")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RESUMO'!BM9</f>
        <v>0</v>
      </c>
      <c r="N66" s="140" t="n">
        <f aca="false">MAX(0,M66-M65)</f>
        <v>0</v>
      </c>
      <c r="O66" s="139" t="str">
        <f aca="false">IF(B66&lt;='VALOR POR PL'!$P$5,'CP RESUMO'!BM51,"")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RESUMO'!BN9</f>
        <v>0</v>
      </c>
      <c r="N67" s="140" t="n">
        <f aca="false">MAX(0,M67-M66)</f>
        <v>0</v>
      </c>
      <c r="O67" s="139" t="str">
        <f aca="false">IF(B67&lt;='VALOR POR PL'!$P$5,'CP RESUMO'!BN51,"")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RESUMO'!BO9</f>
        <v>0</v>
      </c>
      <c r="N68" s="140" t="n">
        <f aca="false">MAX(0,M68-M67)</f>
        <v>0</v>
      </c>
      <c r="O68" s="139" t="str">
        <f aca="false">IF(B68&lt;='VALOR POR PL'!$P$5,'CP RESUMO'!BO51,"")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RESUMO'!BP9</f>
        <v>0</v>
      </c>
      <c r="N69" s="140" t="n">
        <f aca="false">MAX(0,M69-M68)</f>
        <v>0</v>
      </c>
      <c r="O69" s="139" t="str">
        <f aca="false">IF(B69&lt;='VALOR POR PL'!$P$5,'CP RESUMO'!BP51,"")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RESUMO'!BQ9</f>
        <v>0</v>
      </c>
      <c r="N70" s="140" t="n">
        <f aca="false">MAX(0,M70-M69)</f>
        <v>0</v>
      </c>
      <c r="O70" s="139" t="str">
        <f aca="false">IF(B70&lt;='VALOR POR PL'!$P$5,'CP RESUMO'!BQ51,"")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RESUMO'!BR9</f>
        <v>0</v>
      </c>
      <c r="N71" s="140" t="n">
        <f aca="false">MAX(0,M71-M70)</f>
        <v>0</v>
      </c>
      <c r="O71" s="139" t="str">
        <f aca="false">IF(B71&lt;='VALOR POR PL'!$P$5,'CP RESUMO'!BR51,"")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RESUMO'!BS9</f>
        <v>0</v>
      </c>
      <c r="N72" s="140" t="n">
        <f aca="false">MAX(0,M72-M71)</f>
        <v>0</v>
      </c>
      <c r="O72" s="139" t="str">
        <f aca="false">IF(B72&lt;='VALOR POR PL'!$P$5,'CP RESUMO'!BS51,"")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RESUMO'!BT9</f>
        <v>0</v>
      </c>
      <c r="N73" s="140" t="n">
        <f aca="false">MAX(0,M73-M72)</f>
        <v>0</v>
      </c>
      <c r="O73" s="139" t="str">
        <f aca="false">IF(B73&lt;='VALOR POR PL'!$P$5,'CP RESUMO'!BT51,"")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RESUMO'!BU9</f>
        <v>0</v>
      </c>
      <c r="N74" s="140" t="n">
        <f aca="false">MAX(0,M74-M73)</f>
        <v>0</v>
      </c>
      <c r="O74" s="139" t="str">
        <f aca="false">IF(B74&lt;='VALOR POR PL'!$P$5,'CP RESUMO'!BU51,"")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RESUMO'!BV9</f>
        <v>0</v>
      </c>
      <c r="N75" s="140" t="n">
        <f aca="false">MAX(0,M75-M74)</f>
        <v>0</v>
      </c>
      <c r="O75" s="139" t="str">
        <f aca="false">IF(B75&lt;='VALOR POR PL'!$P$5,'CP RESUMO'!BV51,"")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RESUMO'!BW9</f>
        <v>0</v>
      </c>
      <c r="N76" s="140" t="n">
        <f aca="false">MAX(0,M76-M75)</f>
        <v>0</v>
      </c>
      <c r="O76" s="139" t="str">
        <f aca="false">IF(B76&lt;='VALOR POR PL'!$P$5,'CP RESUMO'!BW51,"")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59521.5</v>
      </c>
      <c r="D78" s="61" t="n">
        <f aca="false">SUM(D5:D76)</f>
        <v>27945.6354551868</v>
      </c>
      <c r="E78" s="61" t="n">
        <f aca="false">SUM(E5:E76)</f>
        <v>69.3788976026666</v>
      </c>
      <c r="F78" s="145" t="n">
        <f aca="false">SUM(F5:F76)</f>
        <v>1</v>
      </c>
      <c r="H78" s="61" t="n">
        <f aca="false">SUM(H5:H76)</f>
        <v>3</v>
      </c>
      <c r="L78" s="61" t="n">
        <f aca="false">SUM(L5:L76)</f>
        <v>47.8306884227085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-3.5527136788005E-015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PL'!D16</f>
        <v>CONSUMO DE ÁGUA, ENERGIA, ETC.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PL'!F16</f>
        <v>521400</v>
      </c>
      <c r="K5" s="56" t="n">
        <f aca="false">'VALOR POR PL'!G16</f>
        <v>428.534091</v>
      </c>
      <c r="L5" s="56" t="n">
        <f aca="false">'DADOS HISTORICOS'!$BZ$10</f>
        <v>0</v>
      </c>
      <c r="M5" s="139" t="n">
        <f aca="false">'CP RESUMO'!D10</f>
        <v>0</v>
      </c>
      <c r="N5" s="140" t="n">
        <v>0</v>
      </c>
      <c r="O5" s="139" t="n">
        <f aca="false">IF(B5&lt;='VALOR POR PL'!$P$5,'CP RESUMO'!D52,"")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PL'!H16</f>
        <v>447.683548249062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RESUMO'!E10</f>
        <v>0</v>
      </c>
      <c r="N6" s="140" t="n">
        <f aca="false">MAX(0,M6-M5)</f>
        <v>0</v>
      </c>
      <c r="O6" s="139" t="n">
        <f aca="false">IF(B6&lt;='VALOR POR PL'!$P$5,'CP RESUMO'!E52,"")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579625.908128584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RESUMO'!F10</f>
        <v>0</v>
      </c>
      <c r="N7" s="140" t="n">
        <f aca="false">MAX(0,M7-M6)</f>
        <v>0</v>
      </c>
      <c r="O7" s="139" t="n">
        <f aca="false">IF(B7&lt;='VALOR POR PL'!$P$5,'CP RESUMO'!F52,"")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37.0964616490787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RESUMO'!G10</f>
        <v>0</v>
      </c>
      <c r="N8" s="140" t="n">
        <f aca="false">MAX(0,M8-M7)</f>
        <v>0</v>
      </c>
      <c r="O8" s="139" t="n">
        <f aca="false">IF(B8&lt;='VALOR POR PL'!$P$5,'CP RESUMO'!G52,"")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579625.908128584</v>
      </c>
      <c r="K9" s="45" t="n">
        <f aca="false">E78</f>
        <v>447.5211842958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RESUMO'!H10</f>
        <v>0</v>
      </c>
      <c r="N9" s="140" t="n">
        <f aca="false">MAX(0,M9-M8)</f>
        <v>0</v>
      </c>
      <c r="O9" s="139" t="n">
        <f aca="false">IF(B9&lt;='VALOR POR PL'!$P$5,'CP RESUMO'!H52,"")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410.424722646721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RESUMO'!I10</f>
        <v>0</v>
      </c>
      <c r="N10" s="140" t="n">
        <f aca="false">MAX(0,M10-M9)</f>
        <v>0</v>
      </c>
      <c r="O10" s="139" t="n">
        <f aca="false">IF(B10&lt;='VALOR POR PL'!$P$5,'CP RESUMO'!I52,"")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HISTORICOS'!J10)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494508.3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RESUMO'!J10</f>
        <v>0</v>
      </c>
      <c r="N11" s="140" t="n">
        <f aca="false">MAX(0,M11-M10)</f>
        <v>0</v>
      </c>
      <c r="O11" s="139" t="n">
        <f aca="false">IF(B11&lt;='VALOR POR PL'!$P$5,'CP RESUMO'!J52,"")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RESUMO'!K10</f>
        <v>0</v>
      </c>
      <c r="N12" s="140" t="n">
        <f aca="false">MAX(0,M12-M11)</f>
        <v>0</v>
      </c>
      <c r="O12" s="139" t="n">
        <f aca="false">IF(B12&lt;='VALOR POR PL'!$P$5,'CP RESUMO'!K52,"")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PL'!I16</f>
        <v>INDIRETO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RESUMO'!L10</f>
        <v>0</v>
      </c>
      <c r="N13" s="140" t="n">
        <f aca="false">MAX(0,M13-M12)</f>
        <v>0</v>
      </c>
      <c r="O13" s="139" t="n">
        <f aca="false">IF(B13&lt;='VALOR POR PL'!$P$5,'CP RESUMO'!L52,"")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RESUMO'!$D$52:$BW$52,MATCH('VALOR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RESUMO'!M10</f>
        <v>0</v>
      </c>
      <c r="N14" s="140" t="n">
        <f aca="false">MAX(0,M14-M13)</f>
        <v>0</v>
      </c>
      <c r="O14" s="139" t="n">
        <f aca="false">IF(B14&lt;='VALOR POR PL'!$P$5,'CP RESUMO'!M52,"")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HISTORICOS'!N10)</f>
        <v>451.95</v>
      </c>
      <c r="D15" s="45" t="n">
        <f aca="false">IF(B15&lt;='VALOR POR PL'!$P$5,0,IF($K$17&gt;0,$K$18*P15/$K$17,0))</f>
        <v>0</v>
      </c>
      <c r="E15" s="45" t="n">
        <f aca="false">L15+D15/$K$2</f>
        <v>0.369736803353524</v>
      </c>
      <c r="F15" s="117" t="n">
        <f aca="false">IF($K$9=0,0,E15/$K$9)</f>
        <v>0.000826188382423339</v>
      </c>
      <c r="G15" s="117" t="n">
        <f aca="false">G14+F15</f>
        <v>0.000826188382423339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0.369736803353524</v>
      </c>
      <c r="M15" s="139" t="n">
        <f aca="false">'CP RESUMO'!N10</f>
        <v>0</v>
      </c>
      <c r="N15" s="140" t="n">
        <f aca="false">MAX(0,M15-M14)</f>
        <v>0</v>
      </c>
      <c r="O15" s="139" t="n">
        <f aca="false">IF(B15&lt;='VALOR POR PL'!$P$5,'CP RESUMO'!N52,"")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HISTORICOS'!O10)</f>
        <v>2796.26</v>
      </c>
      <c r="D16" s="45" t="n">
        <f aca="false">IF(B16&lt;='VALOR POR PL'!$P$5,0,IF($K$17&gt;0,$K$18*P16/$K$17,0))</f>
        <v>0</v>
      </c>
      <c r="E16" s="45" t="n">
        <f aca="false">L16+D16/$K$2</f>
        <v>2.28148230343015</v>
      </c>
      <c r="F16" s="117" t="n">
        <f aca="false">IF($K$9=0,0,E16/$K$9)</f>
        <v>0.00509804313961179</v>
      </c>
      <c r="G16" s="117" t="n">
        <f aca="false">G15+F16</f>
        <v>0.00592423152203513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2.28148230343015</v>
      </c>
      <c r="M16" s="139" t="n">
        <f aca="false">'CP RESUMO'!O10</f>
        <v>0</v>
      </c>
      <c r="N16" s="140" t="n">
        <f aca="false">MAX(0,M16-M15)</f>
        <v>0</v>
      </c>
      <c r="O16" s="139" t="n">
        <f aca="false">IF(B16&lt;='VALOR POR PL'!$P$5,'CP RESUMO'!O52,"")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HISTORICOS'!P10)</f>
        <v>159.9</v>
      </c>
      <c r="D17" s="45" t="n">
        <f aca="false">IF(B17&lt;='VALOR POR PL'!$P$5,0,IF($K$17&gt;0,$K$18*P17/$K$17,0))</f>
        <v>0</v>
      </c>
      <c r="E17" s="45" t="n">
        <f aca="false">L17+D17/$K$2</f>
        <v>0.130194656889447</v>
      </c>
      <c r="F17" s="117" t="n">
        <f aca="false">IF($K$9=0,0,E17/$K$9)</f>
        <v>0.00029092400864624</v>
      </c>
      <c r="G17" s="117" t="n">
        <f aca="false">G16+F17</f>
        <v>0.00621515553068137</v>
      </c>
      <c r="H17" s="138"/>
      <c r="I17" s="42" t="s">
        <v>2933</v>
      </c>
      <c r="K17" s="45" t="n">
        <f aca="false">SUM(P5:P76)</f>
        <v>494508.3</v>
      </c>
      <c r="L17" s="45" t="n">
        <f aca="false">C17/IF(B17&lt;='VALOR POR PL'!$P$5,IFERROR(INDEX('"INCC-FGV"'!$B$2:$B$800,MATCH(B17,'"INCC-FGV"'!$A$2:$A$800,0)),$K$2),$K$2)</f>
        <v>0.130194656889447</v>
      </c>
      <c r="M17" s="139" t="n">
        <f aca="false">'CP RESUMO'!P10</f>
        <v>0</v>
      </c>
      <c r="N17" s="140" t="n">
        <f aca="false">MAX(0,M17-M16)</f>
        <v>0</v>
      </c>
      <c r="O17" s="139" t="n">
        <f aca="false">IF(B17&lt;='VALOR POR PL'!$P$5,'CP RESUMO'!P52,"")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HISTORICOS'!Q10)</f>
        <v>2417.06</v>
      </c>
      <c r="D18" s="45" t="n">
        <f aca="false">IF(B18&lt;='VALOR POR PL'!$P$5,0,IF($K$17&gt;0,$K$18*P18/$K$17,0))</f>
        <v>0</v>
      </c>
      <c r="E18" s="45" t="n">
        <f aca="false">L18+D18/$K$2</f>
        <v>1.95391241645352</v>
      </c>
      <c r="F18" s="117" t="n">
        <f aca="false">IF($K$9=0,0,E18/$K$9)</f>
        <v>0.00436607804282632</v>
      </c>
      <c r="G18" s="117" t="n">
        <f aca="false">G17+F18</f>
        <v>0.0105812335735077</v>
      </c>
      <c r="H18" s="138"/>
      <c r="I18" s="42" t="s">
        <v>2934</v>
      </c>
      <c r="K18" s="45" t="n">
        <f aca="false">MAX(0,K10)*$K$2</f>
        <v>532275.308128584</v>
      </c>
      <c r="L18" s="45" t="n">
        <f aca="false">C18/IF(B18&lt;='VALOR POR PL'!$P$5,IFERROR(INDEX('"INCC-FGV"'!$B$2:$B$800,MATCH(B18,'"INCC-FGV"'!$A$2:$A$800,0)),$K$2),$K$2)</f>
        <v>1.95391241645352</v>
      </c>
      <c r="M18" s="139" t="n">
        <f aca="false">'CP RESUMO'!Q10</f>
        <v>0</v>
      </c>
      <c r="N18" s="140" t="n">
        <f aca="false">MAX(0,M18-M17)</f>
        <v>0</v>
      </c>
      <c r="O18" s="139" t="n">
        <f aca="false">IF(B18&lt;='VALOR POR PL'!$P$5,'CP RESUMO'!Q52,"")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HISTORICOS'!R10)</f>
        <v>1957.61</v>
      </c>
      <c r="D19" s="45" t="n">
        <f aca="false">IF(B19&lt;='VALOR POR PL'!$P$5,0,IF($K$17&gt;0,$K$18*P19/$K$17,0))</f>
        <v>0</v>
      </c>
      <c r="E19" s="45" t="n">
        <f aca="false">L19+D19/$K$2</f>
        <v>1.57810558968658</v>
      </c>
      <c r="F19" s="117" t="n">
        <f aca="false">IF($K$9=0,0,E19/$K$9)</f>
        <v>0.00352632600436518</v>
      </c>
      <c r="G19" s="117" t="n">
        <f aca="false">G18+F19</f>
        <v>0.0141075595778729</v>
      </c>
      <c r="H19" s="138"/>
      <c r="I19" s="42" t="s">
        <v>2935</v>
      </c>
      <c r="K19" s="142" t="n">
        <f aca="false">IF(AND(K16="PREVISÃO INFORMADA",K11&gt;0),K18/K11-1,"")</f>
        <v>0.0763728498158345</v>
      </c>
      <c r="L19" s="45" t="n">
        <f aca="false">C19/IF(B19&lt;='VALOR POR PL'!$P$5,IFERROR(INDEX('"INCC-FGV"'!$B$2:$B$800,MATCH(B19,'"INCC-FGV"'!$A$2:$A$800,0)),$K$2),$K$2)</f>
        <v>1.57810558968658</v>
      </c>
      <c r="M19" s="139" t="n">
        <f aca="false">'CP RESUMO'!R10</f>
        <v>0</v>
      </c>
      <c r="N19" s="140" t="n">
        <f aca="false">MAX(0,M19-M18)</f>
        <v>0</v>
      </c>
      <c r="O19" s="139" t="n">
        <f aca="false">IF(B19&lt;='VALOR POR PL'!$P$5,'CP RESUMO'!R52,"")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HISTORICOS'!S10)</f>
        <v>2936.03</v>
      </c>
      <c r="D20" s="45" t="n">
        <f aca="false">IF(B20&lt;='VALOR POR PL'!$P$5,0,IF($K$17&gt;0,$K$18*P20/$K$17,0))</f>
        <v>0</v>
      </c>
      <c r="E20" s="45" t="n">
        <f aca="false">L20+D20/$K$2</f>
        <v>2.35413304083369</v>
      </c>
      <c r="F20" s="117" t="n">
        <f aca="false">IF($K$9=0,0,E20/$K$9)</f>
        <v>0.00526038347109322</v>
      </c>
      <c r="G20" s="117" t="n">
        <f aca="false">G19+F20</f>
        <v>0.0193679430489661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2.35413304083369</v>
      </c>
      <c r="M20" s="139" t="n">
        <f aca="false">'CP RESUMO'!S10</f>
        <v>0</v>
      </c>
      <c r="N20" s="140" t="n">
        <f aca="false">MAX(0,M20-M19)</f>
        <v>0</v>
      </c>
      <c r="O20" s="139" t="n">
        <f aca="false">IF(B20&lt;='VALOR POR PL'!$P$5,'CP RESUMO'!S52,"")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HISTORICOS'!T10)</f>
        <v>1594.43</v>
      </c>
      <c r="D21" s="45" t="n">
        <f aca="false">IF(B21&lt;='VALOR POR PL'!$P$5,0,IF($K$17&gt;0,$K$18*P21/$K$17,0))</f>
        <v>0</v>
      </c>
      <c r="E21" s="45" t="n">
        <f aca="false">L21+D21/$K$2</f>
        <v>1.26577022860282</v>
      </c>
      <c r="F21" s="117" t="n">
        <f aca="false">IF($K$9=0,0,E21/$K$9)</f>
        <v>0.00282840292933748</v>
      </c>
      <c r="G21" s="117" t="n">
        <f aca="false">G20+F21</f>
        <v>0.0221963459783036</v>
      </c>
      <c r="H21" s="138"/>
      <c r="K21" s="143"/>
      <c r="L21" s="45" t="n">
        <f aca="false">C21/IF(B21&lt;='VALOR POR PL'!$P$5,IFERROR(INDEX('"INCC-FGV"'!$B$2:$B$800,MATCH(B21,'"INCC-FGV"'!$A$2:$A$800,0)),$K$2),$K$2)</f>
        <v>1.26577022860282</v>
      </c>
      <c r="M21" s="139" t="n">
        <f aca="false">'CP RESUMO'!T10</f>
        <v>0</v>
      </c>
      <c r="N21" s="140" t="n">
        <f aca="false">MAX(0,M21-M20)</f>
        <v>0</v>
      </c>
      <c r="O21" s="139" t="n">
        <f aca="false">IF(B21&lt;='VALOR POR PL'!$P$5,'CP RESUMO'!T52,"")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HISTORICOS'!U10)</f>
        <v>6339.97</v>
      </c>
      <c r="D22" s="45" t="n">
        <f aca="false">IF(B22&lt;='VALOR POR PL'!$P$5,0,IF($K$17&gt;0,$K$18*P22/$K$17,0))</f>
        <v>0</v>
      </c>
      <c r="E22" s="45" t="n">
        <f aca="false">L22+D22/$K$2</f>
        <v>4.98937195786558</v>
      </c>
      <c r="F22" s="117" t="n">
        <f aca="false">IF($K$9=0,0,E22/$K$9)</f>
        <v>0.0111489067622947</v>
      </c>
      <c r="G22" s="117" t="n">
        <f aca="false">G21+F22</f>
        <v>0.0333452527405983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4.98937195786558</v>
      </c>
      <c r="M22" s="139" t="n">
        <f aca="false">'CP RESUMO'!U10</f>
        <v>0</v>
      </c>
      <c r="N22" s="140" t="n">
        <f aca="false">MAX(0,M22-M21)</f>
        <v>0</v>
      </c>
      <c r="O22" s="139" t="n">
        <f aca="false">IF(B22&lt;='VALOR POR PL'!$P$5,'CP RESUMO'!U52,"")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HISTORICOS'!V10)</f>
        <v>2360.61</v>
      </c>
      <c r="D23" s="45" t="n">
        <f aca="false">IF(B23&lt;='VALOR POR PL'!$P$5,0,IF($K$17&gt;0,$K$18*P23/$K$17,0))</f>
        <v>0</v>
      </c>
      <c r="E23" s="45" t="n">
        <f aca="false">L23+D23/$K$2</f>
        <v>1.84330347068382</v>
      </c>
      <c r="F23" s="117" t="n">
        <f aca="false">IF($K$9=0,0,E23/$K$9)</f>
        <v>0.00411891891460818</v>
      </c>
      <c r="G23" s="117" t="n">
        <f aca="false">G22+F23</f>
        <v>0.0374641716552064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1.84330347068382</v>
      </c>
      <c r="M23" s="139" t="n">
        <f aca="false">'CP RESUMO'!V10</f>
        <v>0</v>
      </c>
      <c r="N23" s="140" t="n">
        <f aca="false">MAX(0,M23-M22)</f>
        <v>0</v>
      </c>
      <c r="O23" s="139" t="n">
        <f aca="false">IF(B23&lt;='VALOR POR PL'!$P$5,'CP RESUMO'!V52,"")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HISTORICOS'!W10)</f>
        <v>4502.73</v>
      </c>
      <c r="D24" s="45" t="n">
        <f aca="false">IF(B24&lt;='VALOR POR PL'!$P$5,0,IF($K$17&gt;0,$K$18*P24/$K$17,0))</f>
        <v>0</v>
      </c>
      <c r="E24" s="45" t="n">
        <f aca="false">L24+D24/$K$2</f>
        <v>3.49473894993213</v>
      </c>
      <c r="F24" s="117" t="n">
        <f aca="false">IF($K$9=0,0,E24/$K$9)</f>
        <v>0.00780910283706747</v>
      </c>
      <c r="G24" s="117" t="n">
        <f aca="false">G23+F24</f>
        <v>0.0452732744922739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3.49473894993213</v>
      </c>
      <c r="M24" s="139" t="n">
        <f aca="false">'CP RESUMO'!W10</f>
        <v>0</v>
      </c>
      <c r="N24" s="140" t="n">
        <f aca="false">MAX(0,M24-M23)</f>
        <v>0</v>
      </c>
      <c r="O24" s="139" t="n">
        <f aca="false">IF(B24&lt;='VALOR POR PL'!$P$5,'CP RESUMO'!W52,"")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HISTORICOS'!X10)</f>
        <v>10541.48</v>
      </c>
      <c r="D25" s="45" t="n">
        <f aca="false">IF(B25&lt;='VALOR POR PL'!$P$5,0,IF($K$17&gt;0,$K$18*P25/$K$17,0))</f>
        <v>0</v>
      </c>
      <c r="E25" s="45" t="n">
        <f aca="false">L25+D25/$K$2</f>
        <v>8.12828237420473</v>
      </c>
      <c r="F25" s="117" t="n">
        <f aca="false">IF($K$9=0,0,E25/$K$9)</f>
        <v>0.0181628996781349</v>
      </c>
      <c r="G25" s="117" t="n">
        <f aca="false">G24+F25</f>
        <v>0.0634361741704088</v>
      </c>
      <c r="H25" s="138"/>
      <c r="L25" s="45" t="n">
        <f aca="false">C25/IF(B25&lt;='VALOR POR PL'!$P$5,IFERROR(INDEX('"INCC-FGV"'!$B$2:$B$800,MATCH(B25,'"INCC-FGV"'!$A$2:$A$800,0)),$K$2),$K$2)</f>
        <v>8.12828237420473</v>
      </c>
      <c r="M25" s="139" t="n">
        <f aca="false">'CP RESUMO'!X10</f>
        <v>0</v>
      </c>
      <c r="N25" s="140" t="n">
        <f aca="false">MAX(0,M25-M24)</f>
        <v>0</v>
      </c>
      <c r="O25" s="139" t="n">
        <f aca="false">IF(B25&lt;='VALOR POR PL'!$P$5,'CP RESUMO'!X52,"")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HISTORICOS'!Y10)</f>
        <v>3836.72</v>
      </c>
      <c r="D26" s="45" t="n">
        <f aca="false">IF(B26&lt;='VALOR POR PL'!$P$5,0,IF($K$17&gt;0,$K$18*P26/$K$17,0))</f>
        <v>11346.5628688766</v>
      </c>
      <c r="E26" s="45" t="n">
        <f aca="false">L26+D26/$K$2</f>
        <v>11.7074652255333</v>
      </c>
      <c r="F26" s="117" t="n">
        <f aca="false">IF($K$9=0,0,E26/$K$9)</f>
        <v>0.0261606950382821</v>
      </c>
      <c r="G26" s="117" t="n">
        <f aca="false">G25+F26</f>
        <v>0.0895968692086909</v>
      </c>
      <c r="H26" s="138" t="n">
        <v>10541.48</v>
      </c>
      <c r="L26" s="45" t="n">
        <f aca="false">C26/IF(B26&lt;='VALOR POR PL'!$P$5,IFERROR(INDEX('"INCC-FGV"'!$B$2:$B$800,MATCH(B26,'"INCC-FGV"'!$A$2:$A$800,0)),$K$2),$K$2)</f>
        <v>2.95840276230271</v>
      </c>
      <c r="M26" s="139" t="n">
        <f aca="false">'CP RESUMO'!Y10</f>
        <v>0</v>
      </c>
      <c r="N26" s="140" t="n">
        <f aca="false">MAX(0,M26-M25)</f>
        <v>0</v>
      </c>
      <c r="O26" s="139" t="str">
        <f aca="false">IF(B26&lt;='VALOR POR PL'!$P$5,'CP RESUMO'!Y52,"")</f>
        <v/>
      </c>
      <c r="P26" s="66" t="n">
        <f aca="false">IF(B26&lt;='VALOR POR PL'!$P$5,0,IF(OR($K$16="CURVA PREVISION",$K$16="MDO PREVISION + MATERIAL PREMISSA"),N26,IF($K$16="PREVISÃO INFORMADA",MAX(0,H26),0)))</f>
        <v>10541.48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HISTORICOS'!Z10)</f>
        <v>2339.05</v>
      </c>
      <c r="D27" s="45" t="n">
        <f aca="false">IF(B27&lt;='VALOR POR PL'!$P$5,0,IF($K$17&gt;0,$K$18*P27/$K$17,0))</f>
        <v>12248.4772071943</v>
      </c>
      <c r="E27" s="45" t="n">
        <f aca="false">L27+D27/$K$2</f>
        <v>11.2480923249363</v>
      </c>
      <c r="F27" s="117" t="n">
        <f aca="false">IF($K$9=0,0,E27/$K$9)</f>
        <v>0.0251342120097305</v>
      </c>
      <c r="G27" s="117" t="n">
        <f aca="false">G26+F27</f>
        <v>0.114731081218421</v>
      </c>
      <c r="H27" s="138" t="n">
        <v>11379.4</v>
      </c>
      <c r="L27" s="45" t="n">
        <f aca="false">C27/IF(B27&lt;='VALOR POR PL'!$P$5,IFERROR(INDEX('"INCC-FGV"'!$B$2:$B$800,MATCH(B27,'"INCC-FGV"'!$A$2:$A$800,0)),$K$2),$K$2)</f>
        <v>1.80358534924731</v>
      </c>
      <c r="M27" s="139" t="n">
        <f aca="false">'CP RESUMO'!Z10</f>
        <v>0</v>
      </c>
      <c r="N27" s="140" t="n">
        <f aca="false">MAX(0,M27-M26)</f>
        <v>0</v>
      </c>
      <c r="O27" s="139" t="str">
        <f aca="false">IF(B27&lt;='VALOR POR PL'!$P$5,'CP RESUMO'!Z52,"")</f>
        <v/>
      </c>
      <c r="P27" s="66" t="n">
        <f aca="false">IF(B27&lt;='VALOR POR PL'!$P$5,0,IF(OR($K$16="CURVA PREVISION",$K$16="MDO PREVISION + MATERIAL PREMISSA"),N27,IF($K$16="PREVISÃO INFORMADA",MAX(0,H27),0)))</f>
        <v>11379.4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HISTORICOS'!AA10)</f>
        <v>159.9</v>
      </c>
      <c r="D28" s="45" t="n">
        <f aca="false">IF(B28&lt;='VALOR POR PL'!$P$5,0,IF($K$17&gt;0,$K$18*P28/$K$17,0))</f>
        <v>11978.253803248</v>
      </c>
      <c r="E28" s="45" t="n">
        <f aca="false">L28+D28/$K$2</f>
        <v>9.35943924518447</v>
      </c>
      <c r="F28" s="117" t="n">
        <f aca="false">IF($K$9=0,0,E28/$K$9)</f>
        <v>0.0209139579837144</v>
      </c>
      <c r="G28" s="117" t="n">
        <f aca="false">G27+F28</f>
        <v>0.135645039202136</v>
      </c>
      <c r="H28" s="138" t="n">
        <v>11128.35</v>
      </c>
      <c r="L28" s="45" t="n">
        <f aca="false">C28/IF(B28&lt;='VALOR POR PL'!$P$5,IFERROR(INDEX('"INCC-FGV"'!$B$2:$B$800,MATCH(B28,'"INCC-FGV"'!$A$2:$A$800,0)),$K$2),$K$2)</f>
        <v>0.123295054549773</v>
      </c>
      <c r="M28" s="139" t="n">
        <f aca="false">'CP RESUMO'!AA10</f>
        <v>0</v>
      </c>
      <c r="N28" s="140" t="n">
        <f aca="false">MAX(0,M28-M27)</f>
        <v>0</v>
      </c>
      <c r="O28" s="139" t="str">
        <f aca="false">IF(B28&lt;='VALOR POR PL'!$P$5,'CP RESUMO'!AA52,"")</f>
        <v/>
      </c>
      <c r="P28" s="66" t="n">
        <f aca="false">IF(B28&lt;='VALOR POR PL'!$P$5,0,IF(OR($K$16="CURVA PREVISION",$K$16="MDO PREVISION + MATERIAL PREMISSA"),N28,IF($K$16="PREVISÃO INFORMADA",MAX(0,H28),0)))</f>
        <v>11128.35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HISTORICOS'!AB10)</f>
        <v>159.9</v>
      </c>
      <c r="D29" s="45" t="n">
        <f aca="false">IF(B29&lt;='VALOR POR PL'!$P$5,0,IF($K$17&gt;0,$K$18*P29/$K$17,0))</f>
        <v>11454.9428511246</v>
      </c>
      <c r="E29" s="45" t="n">
        <f aca="false">L29+D29/$K$2</f>
        <v>8.95592672242928</v>
      </c>
      <c r="F29" s="117" t="n">
        <f aca="false">IF($K$9=0,0,E29/$K$9)</f>
        <v>0.0200122967061815</v>
      </c>
      <c r="G29" s="117" t="n">
        <f aca="false">G28+F29</f>
        <v>0.155657335908317</v>
      </c>
      <c r="H29" s="138" t="n">
        <v>10642.17</v>
      </c>
      <c r="L29" s="45" t="n">
        <f aca="false">C29/IF(B29&lt;='VALOR POR PL'!$P$5,IFERROR(INDEX('"INCC-FGV"'!$B$2:$B$800,MATCH(B29,'"INCC-FGV"'!$A$2:$A$800,0)),$K$2),$K$2)</f>
        <v>0.123295054549773</v>
      </c>
      <c r="M29" s="139" t="n">
        <f aca="false">'CP RESUMO'!AB10</f>
        <v>0</v>
      </c>
      <c r="N29" s="140" t="n">
        <f aca="false">MAX(0,M29-M28)</f>
        <v>0</v>
      </c>
      <c r="O29" s="139" t="str">
        <f aca="false">IF(B29&lt;='VALOR POR PL'!$P$5,'CP RESUMO'!AB52,"")</f>
        <v/>
      </c>
      <c r="P29" s="66" t="n">
        <f aca="false">IF(B29&lt;='VALOR POR PL'!$P$5,0,IF(OR($K$16="CURVA PREVISION",$K$16="MDO PREVISION + MATERIAL PREMISSA"),N29,IF($K$16="PREVISÃO INFORMADA",MAX(0,H29),0)))</f>
        <v>10642.17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HISTORICOS'!AC10)</f>
        <v>159.9</v>
      </c>
      <c r="D30" s="45" t="n">
        <f aca="false">IF(B30&lt;='VALOR POR PL'!$P$5,0,IF($K$17&gt;0,$K$18*P30/$K$17,0))</f>
        <v>11053.5311242428</v>
      </c>
      <c r="E30" s="45" t="n">
        <f aca="false">L30+D30/$K$2</f>
        <v>8.64640776831538</v>
      </c>
      <c r="F30" s="117" t="n">
        <f aca="false">IF($K$9=0,0,E30/$K$9)</f>
        <v>0.0193206669800917</v>
      </c>
      <c r="G30" s="117" t="n">
        <f aca="false">G29+F30</f>
        <v>0.174978002888409</v>
      </c>
      <c r="H30" s="138" t="n">
        <v>10269.24</v>
      </c>
      <c r="L30" s="45" t="n">
        <f aca="false">C30/IF(B30&lt;='VALOR POR PL'!$P$5,IFERROR(INDEX('"INCC-FGV"'!$B$2:$B$800,MATCH(B30,'"INCC-FGV"'!$A$2:$A$800,0)),$K$2),$K$2)</f>
        <v>0.123295054549773</v>
      </c>
      <c r="M30" s="139" t="n">
        <f aca="false">'CP RESUMO'!AC10</f>
        <v>0</v>
      </c>
      <c r="N30" s="140" t="n">
        <f aca="false">MAX(0,M30-M29)</f>
        <v>0</v>
      </c>
      <c r="O30" s="139" t="str">
        <f aca="false">IF(B30&lt;='VALOR POR PL'!$P$5,'CP RESUMO'!AC52,"")</f>
        <v/>
      </c>
      <c r="P30" s="66" t="n">
        <f aca="false">IF(B30&lt;='VALOR POR PL'!$P$5,0,IF(OR($K$16="CURVA PREVISION",$K$16="MDO PREVISION + MATERIAL PREMISSA"),N30,IF($K$16="PREVISÃO INFORMADA",MAX(0,H30),0)))</f>
        <v>10269.24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HISTORICOS'!AD10)</f>
        <v>159.9</v>
      </c>
      <c r="D31" s="45" t="n">
        <f aca="false">IF(B31&lt;='VALOR POR PL'!$P$5,0,IF($K$17&gt;0,$K$18*P31/$K$17,0))</f>
        <v>11953.7663209147</v>
      </c>
      <c r="E31" s="45" t="n">
        <f aca="false">L31+D31/$K$2</f>
        <v>9.34055753492761</v>
      </c>
      <c r="F31" s="117" t="n">
        <f aca="false">IF($K$9=0,0,E31/$K$9)</f>
        <v>0.0208717662151022</v>
      </c>
      <c r="G31" s="117" t="n">
        <f aca="false">G30+F31</f>
        <v>0.195849769103511</v>
      </c>
      <c r="H31" s="138" t="n">
        <v>11105.6</v>
      </c>
      <c r="L31" s="45" t="n">
        <f aca="false">C31/IF(B31&lt;='VALOR POR PL'!$P$5,IFERROR(INDEX('"INCC-FGV"'!$B$2:$B$800,MATCH(B31,'"INCC-FGV"'!$A$2:$A$800,0)),$K$2),$K$2)</f>
        <v>0.123295054549773</v>
      </c>
      <c r="M31" s="139" t="n">
        <f aca="false">'CP RESUMO'!AD10</f>
        <v>0</v>
      </c>
      <c r="N31" s="140" t="n">
        <f aca="false">MAX(0,M31-M30)</f>
        <v>0</v>
      </c>
      <c r="O31" s="139" t="str">
        <f aca="false">IF(B31&lt;='VALOR POR PL'!$P$5,'CP RESUMO'!AD52,"")</f>
        <v/>
      </c>
      <c r="P31" s="66" t="n">
        <f aca="false">IF(B31&lt;='VALOR POR PL'!$P$5,0,IF(OR($K$16="CURVA PREVISION",$K$16="MDO PREVISION + MATERIAL PREMISSA"),N31,IF($K$16="PREVISÃO INFORMADA",MAX(0,H31),0)))</f>
        <v>11105.6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HISTORICOS'!AE10)</f>
        <v>159.9</v>
      </c>
      <c r="D32" s="45" t="n">
        <f aca="false">IF(B32&lt;='VALOR POR PL'!$P$5,0,IF($K$17&gt;0,$K$18*P32/$K$17,0))</f>
        <v>12164.1326306827</v>
      </c>
      <c r="E32" s="45" t="n">
        <f aca="false">L32+D32/$K$2</f>
        <v>9.50276595042655</v>
      </c>
      <c r="F32" s="117" t="n">
        <f aca="false">IF($K$9=0,0,E32/$K$9)</f>
        <v>0.0212342259626875</v>
      </c>
      <c r="G32" s="117" t="n">
        <f aca="false">G31+F32</f>
        <v>0.217083995066199</v>
      </c>
      <c r="H32" s="138" t="n">
        <v>11301.04</v>
      </c>
      <c r="L32" s="45" t="n">
        <f aca="false">C32/IF(B32&lt;='VALOR POR PL'!$P$5,IFERROR(INDEX('"INCC-FGV"'!$B$2:$B$800,MATCH(B32,'"INCC-FGV"'!$A$2:$A$800,0)),$K$2),$K$2)</f>
        <v>0.123295054549773</v>
      </c>
      <c r="M32" s="139" t="n">
        <f aca="false">'CP RESUMO'!AE10</f>
        <v>0</v>
      </c>
      <c r="N32" s="140" t="n">
        <f aca="false">MAX(0,M32-M31)</f>
        <v>0</v>
      </c>
      <c r="O32" s="139" t="str">
        <f aca="false">IF(B32&lt;='VALOR POR PL'!$P$5,'CP RESUMO'!AE52,"")</f>
        <v/>
      </c>
      <c r="P32" s="66" t="n">
        <f aca="false">IF(B32&lt;='VALOR POR PL'!$P$5,0,IF(OR($K$16="CURVA PREVISION",$K$16="MDO PREVISION + MATERIAL PREMISSA"),N32,IF($K$16="PREVISÃO INFORMADA",MAX(0,H32),0)))</f>
        <v>11301.04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HISTORICOS'!AF10)</f>
        <v>159.9</v>
      </c>
      <c r="D33" s="45" t="n">
        <f aca="false">IF(B33&lt;='VALOR POR PL'!$P$5,0,IF($K$17&gt;0,$K$18*P33/$K$17,0))</f>
        <v>11720.5809067306</v>
      </c>
      <c r="E33" s="45" t="n">
        <f aca="false">L33+D33/$K$2</f>
        <v>9.16075385536513</v>
      </c>
      <c r="F33" s="117" t="n">
        <f aca="false">IF($K$9=0,0,E33/$K$9)</f>
        <v>0.02046998930292</v>
      </c>
      <c r="G33" s="117" t="n">
        <f aca="false">G32+F33</f>
        <v>0.237553984369119</v>
      </c>
      <c r="H33" s="138" t="n">
        <v>10888.96</v>
      </c>
      <c r="L33" s="45" t="n">
        <f aca="false">C33/IF(B33&lt;='VALOR POR PL'!$P$5,IFERROR(INDEX('"INCC-FGV"'!$B$2:$B$800,MATCH(B33,'"INCC-FGV"'!$A$2:$A$800,0)),$K$2),$K$2)</f>
        <v>0.123295054549773</v>
      </c>
      <c r="M33" s="139" t="n">
        <f aca="false">'CP RESUMO'!AF10</f>
        <v>0</v>
      </c>
      <c r="N33" s="140" t="n">
        <f aca="false">MAX(0,M33-M32)</f>
        <v>0</v>
      </c>
      <c r="O33" s="139" t="str">
        <f aca="false">IF(B33&lt;='VALOR POR PL'!$P$5,'CP RESUMO'!AF52,"")</f>
        <v/>
      </c>
      <c r="P33" s="66" t="n">
        <f aca="false">IF(B33&lt;='VALOR POR PL'!$P$5,0,IF(OR($K$16="CURVA PREVISION",$K$16="MDO PREVISION + MATERIAL PREMISSA"),N33,IF($K$16="PREVISÃO INFORMADA",MAX(0,H33),0)))</f>
        <v>10888.96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HISTORICOS'!AG10)</f>
        <v>159.9</v>
      </c>
      <c r="D34" s="45" t="n">
        <f aca="false">IF(B34&lt;='VALOR POR PL'!$P$5,0,IF($K$17&gt;0,$K$18*P34/$K$17,0))</f>
        <v>12044.6014257107</v>
      </c>
      <c r="E34" s="45" t="n">
        <f aca="false">L34+D34/$K$2</f>
        <v>9.41059830541449</v>
      </c>
      <c r="F34" s="117" t="n">
        <f aca="false">IF($K$9=0,0,E34/$K$9)</f>
        <v>0.021028274494363</v>
      </c>
      <c r="G34" s="117" t="n">
        <f aca="false">G33+F34</f>
        <v>0.258582258863482</v>
      </c>
      <c r="H34" s="138" t="n">
        <v>11189.99</v>
      </c>
      <c r="L34" s="45" t="n">
        <f aca="false">C34/IF(B34&lt;='VALOR POR PL'!$P$5,IFERROR(INDEX('"INCC-FGV"'!$B$2:$B$800,MATCH(B34,'"INCC-FGV"'!$A$2:$A$800,0)),$K$2),$K$2)</f>
        <v>0.123295054549773</v>
      </c>
      <c r="M34" s="139" t="n">
        <f aca="false">'CP RESUMO'!AG10</f>
        <v>0</v>
      </c>
      <c r="N34" s="140" t="n">
        <f aca="false">MAX(0,M34-M33)</f>
        <v>0</v>
      </c>
      <c r="O34" s="139" t="str">
        <f aca="false">IF(B34&lt;='VALOR POR PL'!$P$5,'CP RESUMO'!AG52,"")</f>
        <v/>
      </c>
      <c r="P34" s="66" t="n">
        <f aca="false">IF(B34&lt;='VALOR POR PL'!$P$5,0,IF(OR($K$16="CURVA PREVISION",$K$16="MDO PREVISION + MATERIAL PREMISSA"),N34,IF($K$16="PREVISÃO INFORMADA",MAX(0,H34),0)))</f>
        <v>11189.99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HISTORICOS'!AH10)</f>
        <v>159.9</v>
      </c>
      <c r="D35" s="45" t="n">
        <f aca="false">IF(B35&lt;='VALOR POR PL'!$P$5,0,IF($K$17&gt;0,$K$18*P35/$K$17,0))</f>
        <v>12198.0706666374</v>
      </c>
      <c r="E35" s="45" t="n">
        <f aca="false">L35+D35/$K$2</f>
        <v>9.52893475589463</v>
      </c>
      <c r="F35" s="117" t="n">
        <f aca="false">IF($K$9=0,0,E35/$K$9)</f>
        <v>0.0212927009721092</v>
      </c>
      <c r="G35" s="117" t="n">
        <f aca="false">G34+F35</f>
        <v>0.279874959835591</v>
      </c>
      <c r="H35" s="138" t="n">
        <v>11332.57</v>
      </c>
      <c r="L35" s="45" t="n">
        <f aca="false">C35/IF(B35&lt;='VALOR POR PL'!$P$5,IFERROR(INDEX('"INCC-FGV"'!$B$2:$B$800,MATCH(B35,'"INCC-FGV"'!$A$2:$A$800,0)),$K$2),$K$2)</f>
        <v>0.123295054549773</v>
      </c>
      <c r="M35" s="139" t="n">
        <f aca="false">'CP RESUMO'!AH10</f>
        <v>0</v>
      </c>
      <c r="N35" s="140" t="n">
        <f aca="false">MAX(0,M35-M34)</f>
        <v>0</v>
      </c>
      <c r="O35" s="139" t="str">
        <f aca="false">IF(B35&lt;='VALOR POR PL'!$P$5,'CP RESUMO'!AH52,"")</f>
        <v/>
      </c>
      <c r="P35" s="66" t="n">
        <f aca="false">IF(B35&lt;='VALOR POR PL'!$P$5,0,IF(OR($K$16="CURVA PREVISION",$K$16="MDO PREVISION + MATERIAL PREMISSA"),N35,IF($K$16="PREVISÃO INFORMADA",MAX(0,H35),0)))</f>
        <v>11332.57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HISTORICOS'!AI10)</f>
        <v>159.9</v>
      </c>
      <c r="D36" s="45" t="n">
        <f aca="false">IF(B36&lt;='VALOR POR PL'!$P$5,0,IF($K$17&gt;0,$K$18*P36/$K$17,0))</f>
        <v>12467.7774116158</v>
      </c>
      <c r="E36" s="45" t="n">
        <f aca="false">L36+D36/$K$2</f>
        <v>9.73689915761163</v>
      </c>
      <c r="F36" s="117" t="n">
        <f aca="false">IF($K$9=0,0,E36/$K$9)</f>
        <v>0.0217574038934787</v>
      </c>
      <c r="G36" s="117" t="n">
        <f aca="false">G35+F36</f>
        <v>0.30163236372907</v>
      </c>
      <c r="H36" s="138" t="n">
        <v>11583.14</v>
      </c>
      <c r="L36" s="45" t="n">
        <f aca="false">C36/IF(B36&lt;='VALOR POR PL'!$P$5,IFERROR(INDEX('"INCC-FGV"'!$B$2:$B$800,MATCH(B36,'"INCC-FGV"'!$A$2:$A$800,0)),$K$2),$K$2)</f>
        <v>0.123295054549773</v>
      </c>
      <c r="M36" s="139" t="n">
        <f aca="false">'CP RESUMO'!AI10</f>
        <v>0</v>
      </c>
      <c r="N36" s="140" t="n">
        <f aca="false">MAX(0,M36-M35)</f>
        <v>0</v>
      </c>
      <c r="O36" s="139" t="str">
        <f aca="false">IF(B36&lt;='VALOR POR PL'!$P$5,'CP RESUMO'!AI52,"")</f>
        <v/>
      </c>
      <c r="P36" s="66" t="n">
        <f aca="false">IF(B36&lt;='VALOR POR PL'!$P$5,0,IF(OR($K$16="CURVA PREVISION",$K$16="MDO PREVISION + MATERIAL PREMISSA"),N36,IF($K$16="PREVISÃO INFORMADA",MAX(0,H36),0)))</f>
        <v>11583.14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HISTORICOS'!AJ10)</f>
        <v>159.9</v>
      </c>
      <c r="D37" s="45" t="n">
        <f aca="false">IF(B37&lt;='VALOR POR PL'!$P$5,0,IF($K$17&gt;0,$K$18*P37/$K$17,0))</f>
        <v>12846.6929459365</v>
      </c>
      <c r="E37" s="45" t="n">
        <f aca="false">L37+D37/$K$2</f>
        <v>10.0290718372478</v>
      </c>
      <c r="F37" s="117" t="n">
        <f aca="false">IF($K$9=0,0,E37/$K$9)</f>
        <v>0.0224102728299424</v>
      </c>
      <c r="G37" s="117" t="n">
        <f aca="false">G36+F37</f>
        <v>0.324042636559012</v>
      </c>
      <c r="H37" s="138" t="n">
        <v>11935.17</v>
      </c>
      <c r="L37" s="45" t="n">
        <f aca="false">C37/IF(B37&lt;='VALOR POR PL'!$P$5,IFERROR(INDEX('"INCC-FGV"'!$B$2:$B$800,MATCH(B37,'"INCC-FGV"'!$A$2:$A$800,0)),$K$2),$K$2)</f>
        <v>0.123295054549773</v>
      </c>
      <c r="M37" s="139" t="n">
        <f aca="false">'CP RESUMO'!AJ10</f>
        <v>0</v>
      </c>
      <c r="N37" s="140" t="n">
        <f aca="false">MAX(0,M37-M36)</f>
        <v>0</v>
      </c>
      <c r="O37" s="139" t="str">
        <f aca="false">IF(B37&lt;='VALOR POR PL'!$P$5,'CP RESUMO'!AJ52,"")</f>
        <v/>
      </c>
      <c r="P37" s="66" t="n">
        <f aca="false">IF(B37&lt;='VALOR POR PL'!$P$5,0,IF(OR($K$16="CURVA PREVISION",$K$16="MDO PREVISION + MATERIAL PREMISSA"),N37,IF($K$16="PREVISÃO INFORMADA",MAX(0,H37),0)))</f>
        <v>11935.17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HISTORICOS'!AK10)</f>
        <v>159.9</v>
      </c>
      <c r="D38" s="45" t="n">
        <f aca="false">IF(B38&lt;='VALOR POR PL'!$P$5,0,IF($K$17&gt;0,$K$18*P38/$K$17,0))</f>
        <v>13433.3699677286</v>
      </c>
      <c r="E38" s="45" t="n">
        <f aca="false">L38+D38/$K$2</f>
        <v>10.4814444163907</v>
      </c>
      <c r="F38" s="117" t="n">
        <f aca="false">IF($K$9=0,0,E38/$K$9)</f>
        <v>0.023421113422561</v>
      </c>
      <c r="G38" s="117" t="n">
        <f aca="false">G37+F38</f>
        <v>0.347463749981573</v>
      </c>
      <c r="H38" s="138" t="n">
        <v>12480.22</v>
      </c>
      <c r="L38" s="45" t="n">
        <f aca="false">C38/IF(B38&lt;='VALOR POR PL'!$P$5,IFERROR(INDEX('"INCC-FGV"'!$B$2:$B$800,MATCH(B38,'"INCC-FGV"'!$A$2:$A$800,0)),$K$2),$K$2)</f>
        <v>0.123295054549773</v>
      </c>
      <c r="M38" s="139" t="n">
        <f aca="false">'CP RESUMO'!AK10</f>
        <v>0</v>
      </c>
      <c r="N38" s="140" t="n">
        <f aca="false">MAX(0,M38-M37)</f>
        <v>0</v>
      </c>
      <c r="O38" s="139" t="str">
        <f aca="false">IF(B38&lt;='VALOR POR PL'!$P$5,'CP RESUMO'!AK52,"")</f>
        <v/>
      </c>
      <c r="P38" s="66" t="n">
        <f aca="false">IF(B38&lt;='VALOR POR PL'!$P$5,0,IF(OR($K$16="CURVA PREVISION",$K$16="MDO PREVISION + MATERIAL PREMISSA"),N38,IF($K$16="PREVISÃO INFORMADA",MAX(0,H38),0)))</f>
        <v>12480.22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HISTORICOS'!AL10)</f>
        <v>159.9</v>
      </c>
      <c r="D39" s="45" t="n">
        <f aca="false">IF(B39&lt;='VALOR POR PL'!$P$5,0,IF($K$17&gt;0,$K$18*P39/$K$17,0))</f>
        <v>13850.5828480457</v>
      </c>
      <c r="E39" s="45" t="n">
        <f aca="false">L39+D39/$K$2</f>
        <v>10.8031472609034</v>
      </c>
      <c r="F39" s="117" t="n">
        <f aca="false">IF($K$9=0,0,E39/$K$9)</f>
        <v>0.0241399684305509</v>
      </c>
      <c r="G39" s="117" t="n">
        <f aca="false">G38+F39</f>
        <v>0.371603718412124</v>
      </c>
      <c r="H39" s="138" t="n">
        <v>12867.83</v>
      </c>
      <c r="L39" s="45" t="n">
        <f aca="false">C39/IF(B39&lt;='VALOR POR PL'!$P$5,IFERROR(INDEX('"INCC-FGV"'!$B$2:$B$800,MATCH(B39,'"INCC-FGV"'!$A$2:$A$800,0)),$K$2),$K$2)</f>
        <v>0.123295054549773</v>
      </c>
      <c r="M39" s="139" t="n">
        <f aca="false">'CP RESUMO'!AL10</f>
        <v>0</v>
      </c>
      <c r="N39" s="140" t="n">
        <f aca="false">MAX(0,M39-M38)</f>
        <v>0</v>
      </c>
      <c r="O39" s="139" t="str">
        <f aca="false">IF(B39&lt;='VALOR POR PL'!$P$5,'CP RESUMO'!AL52,"")</f>
        <v/>
      </c>
      <c r="P39" s="66" t="n">
        <f aca="false">IF(B39&lt;='VALOR POR PL'!$P$5,0,IF(OR($K$16="CURVA PREVISION",$K$16="MDO PREVISION + MATERIAL PREMISSA"),N39,IF($K$16="PREVISÃO INFORMADA",MAX(0,H39),0)))</f>
        <v>12867.83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HISTORICOS'!AM10)</f>
        <v>159.9</v>
      </c>
      <c r="D40" s="45" t="n">
        <f aca="false">IF(B40&lt;='VALOR POR PL'!$P$5,0,IF($K$17&gt;0,$K$18*P40/$K$17,0))</f>
        <v>13834.9646779949</v>
      </c>
      <c r="E40" s="45" t="n">
        <f aca="false">L40+D40/$K$2</f>
        <v>10.7911044646033</v>
      </c>
      <c r="F40" s="117" t="n">
        <f aca="false">IF($K$9=0,0,E40/$K$9)</f>
        <v>0.0241130584278009</v>
      </c>
      <c r="G40" s="117" t="n">
        <f aca="false">G39+F40</f>
        <v>0.395716776839925</v>
      </c>
      <c r="H40" s="138" t="n">
        <v>12853.32</v>
      </c>
      <c r="L40" s="45" t="n">
        <f aca="false">C40/IF(B40&lt;='VALOR POR PL'!$P$5,IFERROR(INDEX('"INCC-FGV"'!$B$2:$B$800,MATCH(B40,'"INCC-FGV"'!$A$2:$A$800,0)),$K$2),$K$2)</f>
        <v>0.123295054549773</v>
      </c>
      <c r="M40" s="139" t="n">
        <f aca="false">'CP RESUMO'!AM10</f>
        <v>0</v>
      </c>
      <c r="N40" s="140" t="n">
        <f aca="false">MAX(0,M40-M39)</f>
        <v>0</v>
      </c>
      <c r="O40" s="139" t="str">
        <f aca="false">IF(B40&lt;='VALOR POR PL'!$P$5,'CP RESUMO'!AM52,"")</f>
        <v/>
      </c>
      <c r="P40" s="66" t="n">
        <f aca="false">IF(B40&lt;='VALOR POR PL'!$P$5,0,IF(OR($K$16="CURVA PREVISION",$K$16="MDO PREVISION + MATERIAL PREMISSA"),N40,IF($K$16="PREVISÃO INFORMADA",MAX(0,H40),0)))</f>
        <v>12853.32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HISTORICOS'!AN10)</f>
        <v>159.9</v>
      </c>
      <c r="D41" s="45" t="n">
        <f aca="false">IF(B41&lt;='VALOR POR PL'!$P$5,0,IF($K$17&gt;0,$K$18*P41/$K$17,0))</f>
        <v>14203.4716868578</v>
      </c>
      <c r="E41" s="45" t="n">
        <f aca="false">L41+D41/$K$2</f>
        <v>11.0752513799237</v>
      </c>
      <c r="F41" s="117" t="n">
        <f aca="false">IF($K$9=0,0,E41/$K$9)</f>
        <v>0.0247479935443753</v>
      </c>
      <c r="G41" s="117" t="n">
        <f aca="false">G40+F41</f>
        <v>0.4204647703843</v>
      </c>
      <c r="H41" s="138" t="n">
        <v>13195.68</v>
      </c>
      <c r="L41" s="45" t="n">
        <f aca="false">C41/IF(B41&lt;='VALOR POR PL'!$P$5,IFERROR(INDEX('"INCC-FGV"'!$B$2:$B$800,MATCH(B41,'"INCC-FGV"'!$A$2:$A$800,0)),$K$2),$K$2)</f>
        <v>0.123295054549773</v>
      </c>
      <c r="M41" s="139" t="n">
        <f aca="false">'CP RESUMO'!AN10</f>
        <v>0</v>
      </c>
      <c r="N41" s="140" t="n">
        <f aca="false">MAX(0,M41-M40)</f>
        <v>0</v>
      </c>
      <c r="O41" s="139" t="str">
        <f aca="false">IF(B41&lt;='VALOR POR PL'!$P$5,'CP RESUMO'!AN52,"")</f>
        <v/>
      </c>
      <c r="P41" s="66" t="n">
        <f aca="false">IF(B41&lt;='VALOR POR PL'!$P$5,0,IF(OR($K$16="CURVA PREVISION",$K$16="MDO PREVISION + MATERIAL PREMISSA"),N41,IF($K$16="PREVISÃO INFORMADA",MAX(0,H41),0)))</f>
        <v>13195.68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HISTORICOS'!AO10)</f>
        <v>159.9</v>
      </c>
      <c r="D42" s="45" t="n">
        <f aca="false">IF(B42&lt;='VALOR POR PL'!$P$5,0,IF($K$17&gt;0,$K$18*P42/$K$17,0))</f>
        <v>12923.7504782548</v>
      </c>
      <c r="E42" s="45" t="n">
        <f aca="false">L42+D42/$K$2</f>
        <v>10.0884890520737</v>
      </c>
      <c r="F42" s="117" t="n">
        <f aca="false">IF($K$9=0,0,E42/$K$9)</f>
        <v>0.0225430424437862</v>
      </c>
      <c r="G42" s="117" t="n">
        <f aca="false">G41+F42</f>
        <v>0.443007812828086</v>
      </c>
      <c r="H42" s="138" t="n">
        <v>12006.76</v>
      </c>
      <c r="L42" s="45" t="n">
        <f aca="false">C42/IF(B42&lt;='VALOR POR PL'!$P$5,IFERROR(INDEX('"INCC-FGV"'!$B$2:$B$800,MATCH(B42,'"INCC-FGV"'!$A$2:$A$800,0)),$K$2),$K$2)</f>
        <v>0.123295054549773</v>
      </c>
      <c r="M42" s="139" t="n">
        <f aca="false">'CP RESUMO'!AO10</f>
        <v>0</v>
      </c>
      <c r="N42" s="140" t="n">
        <f aca="false">MAX(0,M42-M41)</f>
        <v>0</v>
      </c>
      <c r="O42" s="139" t="str">
        <f aca="false">IF(B42&lt;='VALOR POR PL'!$P$5,'CP RESUMO'!AO52,"")</f>
        <v/>
      </c>
      <c r="P42" s="66" t="n">
        <f aca="false">IF(B42&lt;='VALOR POR PL'!$P$5,0,IF(OR($K$16="CURVA PREVISION",$K$16="MDO PREVISION + MATERIAL PREMISSA"),N42,IF($K$16="PREVISÃO INFORMADA",MAX(0,H42),0)))</f>
        <v>12006.76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HISTORICOS'!AP10)</f>
        <v>159.9</v>
      </c>
      <c r="D43" s="45" t="n">
        <f aca="false">IF(B43&lt;='VALOR POR PL'!$P$5,0,IF($K$17&gt;0,$K$18*P43/$K$17,0))</f>
        <v>13941.3103155567</v>
      </c>
      <c r="E43" s="45" t="n">
        <f aca="false">L43+D43/$K$2</f>
        <v>10.8731050348616</v>
      </c>
      <c r="F43" s="117" t="n">
        <f aca="false">IF($K$9=0,0,E43/$K$9)</f>
        <v>0.0242962912514881</v>
      </c>
      <c r="G43" s="117" t="n">
        <f aca="false">G42+F43</f>
        <v>0.467304104079574</v>
      </c>
      <c r="H43" s="138" t="n">
        <v>12952.12</v>
      </c>
      <c r="L43" s="45" t="n">
        <f aca="false">C43/IF(B43&lt;='VALOR POR PL'!$P$5,IFERROR(INDEX('"INCC-FGV"'!$B$2:$B$800,MATCH(B43,'"INCC-FGV"'!$A$2:$A$800,0)),$K$2),$K$2)</f>
        <v>0.123295054549773</v>
      </c>
      <c r="M43" s="139" t="n">
        <f aca="false">'CP RESUMO'!AP10</f>
        <v>0</v>
      </c>
      <c r="N43" s="140" t="n">
        <f aca="false">MAX(0,M43-M42)</f>
        <v>0</v>
      </c>
      <c r="O43" s="139" t="str">
        <f aca="false">IF(B43&lt;='VALOR POR PL'!$P$5,'CP RESUMO'!AP52,"")</f>
        <v/>
      </c>
      <c r="P43" s="66" t="n">
        <f aca="false">IF(B43&lt;='VALOR POR PL'!$P$5,0,IF(OR($K$16="CURVA PREVISION",$K$16="MDO PREVISION + MATERIAL PREMISSA"),N43,IF($K$16="PREVISÃO INFORMADA",MAX(0,H43),0)))</f>
        <v>12952.12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HISTORICOS'!AQ10)</f>
        <v>159.9</v>
      </c>
      <c r="D44" s="45" t="n">
        <f aca="false">IF(B44&lt;='VALOR POR PL'!$P$5,0,IF($K$17&gt;0,$K$18*P44/$K$17,0))</f>
        <v>13714.9813964259</v>
      </c>
      <c r="E44" s="45" t="n">
        <f aca="false">L44+D44/$K$2</f>
        <v>10.6985882341711</v>
      </c>
      <c r="F44" s="117" t="n">
        <f aca="false">IF($K$9=0,0,E44/$K$9)</f>
        <v>0.0239063280345173</v>
      </c>
      <c r="G44" s="117" t="n">
        <f aca="false">G43+F44</f>
        <v>0.491210432114092</v>
      </c>
      <c r="H44" s="138" t="n">
        <v>12741.85</v>
      </c>
      <c r="L44" s="45" t="n">
        <f aca="false">C44/IF(B44&lt;='VALOR POR PL'!$P$5,IFERROR(INDEX('"INCC-FGV"'!$B$2:$B$800,MATCH(B44,'"INCC-FGV"'!$A$2:$A$800,0)),$K$2),$K$2)</f>
        <v>0.123295054549773</v>
      </c>
      <c r="M44" s="139" t="n">
        <f aca="false">'CP RESUMO'!AQ10</f>
        <v>0</v>
      </c>
      <c r="N44" s="140" t="n">
        <f aca="false">MAX(0,M44-M43)</f>
        <v>0</v>
      </c>
      <c r="O44" s="139" t="str">
        <f aca="false">IF(B44&lt;='VALOR POR PL'!$P$5,'CP RESUMO'!AQ52,"")</f>
        <v/>
      </c>
      <c r="P44" s="66" t="n">
        <f aca="false">IF(B44&lt;='VALOR POR PL'!$P$5,0,IF(OR($K$16="CURVA PREVISION",$K$16="MDO PREVISION + MATERIAL PREMISSA"),N44,IF($K$16="PREVISÃO INFORMADA",MAX(0,H44),0)))</f>
        <v>12741.85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HISTORICOS'!AR10)</f>
        <v>159.9</v>
      </c>
      <c r="D45" s="45" t="n">
        <f aca="false">IF(B45&lt;='VALOR POR PL'!$P$5,0,IF($K$17&gt;0,$K$18*P45/$K$17,0))</f>
        <v>13576.936578437</v>
      </c>
      <c r="E45" s="45" t="n">
        <f aca="false">L45+D45/$K$2</f>
        <v>10.5921451862395</v>
      </c>
      <c r="F45" s="117" t="n">
        <f aca="false">IF($K$9=0,0,E45/$K$9)</f>
        <v>0.0236684777345387</v>
      </c>
      <c r="G45" s="117" t="n">
        <f aca="false">G44+F45</f>
        <v>0.51487890984863</v>
      </c>
      <c r="H45" s="138" t="n">
        <v>12613.6</v>
      </c>
      <c r="L45" s="45" t="n">
        <f aca="false">C45/IF(B45&lt;='VALOR POR PL'!$P$5,IFERROR(INDEX('"INCC-FGV"'!$B$2:$B$800,MATCH(B45,'"INCC-FGV"'!$A$2:$A$800,0)),$K$2),$K$2)</f>
        <v>0.123295054549773</v>
      </c>
      <c r="M45" s="139" t="n">
        <f aca="false">'CP RESUMO'!AR10</f>
        <v>0</v>
      </c>
      <c r="N45" s="140" t="n">
        <f aca="false">MAX(0,M45-M44)</f>
        <v>0</v>
      </c>
      <c r="O45" s="139" t="str">
        <f aca="false">IF(B45&lt;='VALOR POR PL'!$P$5,'CP RESUMO'!AR52,"")</f>
        <v/>
      </c>
      <c r="P45" s="66" t="n">
        <f aca="false">IF(B45&lt;='VALOR POR PL'!$P$5,0,IF(OR($K$16="CURVA PREVISION",$K$16="MDO PREVISION + MATERIAL PREMISSA"),N45,IF($K$16="PREVISÃO INFORMADA",MAX(0,H45),0)))</f>
        <v>12613.6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HISTORICOS'!AS10)</f>
        <v>159.9</v>
      </c>
      <c r="D46" s="45" t="n">
        <f aca="false">IF(B46&lt;='VALOR POR PL'!$P$5,0,IF($K$17&gt;0,$K$18*P46/$K$17,0))</f>
        <v>13147.1193720486</v>
      </c>
      <c r="E46" s="45" t="n">
        <f aca="false">L46+D46/$K$2</f>
        <v>10.2607234482277</v>
      </c>
      <c r="F46" s="117" t="n">
        <f aca="false">IF($K$9=0,0,E46/$K$9)</f>
        <v>0.0229279055568588</v>
      </c>
      <c r="G46" s="117" t="n">
        <f aca="false">G45+F46</f>
        <v>0.537806815405489</v>
      </c>
      <c r="H46" s="138" t="n">
        <v>12214.28</v>
      </c>
      <c r="L46" s="45" t="n">
        <f aca="false">C46/IF(B46&lt;='VALOR POR PL'!$P$5,IFERROR(INDEX('"INCC-FGV"'!$B$2:$B$800,MATCH(B46,'"INCC-FGV"'!$A$2:$A$800,0)),$K$2),$K$2)</f>
        <v>0.123295054549773</v>
      </c>
      <c r="M46" s="139" t="n">
        <f aca="false">'CP RESUMO'!AS10</f>
        <v>0</v>
      </c>
      <c r="N46" s="140" t="n">
        <f aca="false">MAX(0,M46-M45)</f>
        <v>0</v>
      </c>
      <c r="O46" s="139" t="str">
        <f aca="false">IF(B46&lt;='VALOR POR PL'!$P$5,'CP RESUMO'!AS52,"")</f>
        <v/>
      </c>
      <c r="P46" s="66" t="n">
        <f aca="false">IF(B46&lt;='VALOR POR PL'!$P$5,0,IF(OR($K$16="CURVA PREVISION",$K$16="MDO PREVISION + MATERIAL PREMISSA"),N46,IF($K$16="PREVISÃO INFORMADA",MAX(0,H46),0)))</f>
        <v>12214.28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HISTORICOS'!AT10)</f>
        <v>159.9</v>
      </c>
      <c r="D47" s="45" t="n">
        <f aca="false">IF(B47&lt;='VALOR POR PL'!$P$5,0,IF($K$17&gt;0,$K$18*P47/$K$17,0))</f>
        <v>13951.6327311864</v>
      </c>
      <c r="E47" s="45" t="n">
        <f aca="false">L47+D47/$K$2</f>
        <v>10.8810644019545</v>
      </c>
      <c r="F47" s="117" t="n">
        <f aca="false">IF($K$9=0,0,E47/$K$9)</f>
        <v>0.0243140767047185</v>
      </c>
      <c r="G47" s="117" t="n">
        <f aca="false">G46+F47</f>
        <v>0.562120892110207</v>
      </c>
      <c r="H47" s="138" t="n">
        <v>12961.71</v>
      </c>
      <c r="L47" s="45" t="n">
        <f aca="false">C47/IF(B47&lt;='VALOR POR PL'!$P$5,IFERROR(INDEX('"INCC-FGV"'!$B$2:$B$800,MATCH(B47,'"INCC-FGV"'!$A$2:$A$800,0)),$K$2),$K$2)</f>
        <v>0.123295054549773</v>
      </c>
      <c r="M47" s="139" t="n">
        <f aca="false">'CP RESUMO'!AT10</f>
        <v>0</v>
      </c>
      <c r="N47" s="140" t="n">
        <f aca="false">MAX(0,M47-M46)</f>
        <v>0</v>
      </c>
      <c r="O47" s="139" t="str">
        <f aca="false">IF(B47&lt;='VALOR POR PL'!$P$5,'CP RESUMO'!AT52,"")</f>
        <v/>
      </c>
      <c r="P47" s="66" t="n">
        <f aca="false">IF(B47&lt;='VALOR POR PL'!$P$5,0,IF(OR($K$16="CURVA PREVISION",$K$16="MDO PREVISION + MATERIAL PREMISSA"),N47,IF($K$16="PREVISÃO INFORMADA",MAX(0,H47),0)))</f>
        <v>12961.71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HISTORICOS'!AU10)</f>
        <v>159.9</v>
      </c>
      <c r="D48" s="45" t="n">
        <f aca="false">IF(B48&lt;='VALOR POR PL'!$P$5,0,IF($K$17&gt;0,$K$18*P48/$K$17,0))</f>
        <v>13409.0977599652</v>
      </c>
      <c r="E48" s="45" t="n">
        <f aca="false">L48+D48/$K$2</f>
        <v>10.4627286991911</v>
      </c>
      <c r="F48" s="117" t="n">
        <f aca="false">IF($K$9=0,0,E48/$K$9)</f>
        <v>0.0233792925705959</v>
      </c>
      <c r="G48" s="117" t="n">
        <f aca="false">G47+F48</f>
        <v>0.585500184680803</v>
      </c>
      <c r="H48" s="138" t="n">
        <v>12457.67</v>
      </c>
      <c r="L48" s="45" t="n">
        <f aca="false">C48/IF(B48&lt;='VALOR POR PL'!$P$5,IFERROR(INDEX('"INCC-FGV"'!$B$2:$B$800,MATCH(B48,'"INCC-FGV"'!$A$2:$A$800,0)),$K$2),$K$2)</f>
        <v>0.123295054549773</v>
      </c>
      <c r="M48" s="139" t="n">
        <f aca="false">'CP RESUMO'!AU10</f>
        <v>0</v>
      </c>
      <c r="N48" s="140" t="n">
        <f aca="false">MAX(0,M48-M47)</f>
        <v>0</v>
      </c>
      <c r="O48" s="139" t="str">
        <f aca="false">IF(B48&lt;='VALOR POR PL'!$P$5,'CP RESUMO'!AU52,"")</f>
        <v/>
      </c>
      <c r="P48" s="66" t="n">
        <f aca="false">IF(B48&lt;='VALOR POR PL'!$P$5,0,IF(OR($K$16="CURVA PREVISION",$K$16="MDO PREVISION + MATERIAL PREMISSA"),N48,IF($K$16="PREVISÃO INFORMADA",MAX(0,H48),0)))</f>
        <v>12457.67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HISTORICOS'!AV10)</f>
        <v>159.9</v>
      </c>
      <c r="D49" s="45" t="n">
        <f aca="false">IF(B49&lt;='VALOR POR PL'!$P$5,0,IF($K$17&gt;0,$K$18*P49/$K$17,0))</f>
        <v>13257.0385674717</v>
      </c>
      <c r="E49" s="45" t="n">
        <f aca="false">L49+D49/$K$2</f>
        <v>10.3454795032356</v>
      </c>
      <c r="F49" s="117" t="n">
        <f aca="false">IF($K$9=0,0,E49/$K$9)</f>
        <v>0.0231172955968885</v>
      </c>
      <c r="G49" s="117" t="n">
        <f aca="false">G48+F49</f>
        <v>0.608617480277692</v>
      </c>
      <c r="H49" s="138" t="n">
        <v>12316.4</v>
      </c>
      <c r="L49" s="45" t="n">
        <f aca="false">C49/IF(B49&lt;='VALOR POR PL'!$P$5,IFERROR(INDEX('"INCC-FGV"'!$B$2:$B$800,MATCH(B49,'"INCC-FGV"'!$A$2:$A$800,0)),$K$2),$K$2)</f>
        <v>0.123295054549773</v>
      </c>
      <c r="M49" s="139" t="n">
        <f aca="false">'CP RESUMO'!AV10</f>
        <v>0</v>
      </c>
      <c r="N49" s="140" t="n">
        <f aca="false">MAX(0,M49-M48)</f>
        <v>0</v>
      </c>
      <c r="O49" s="139" t="str">
        <f aca="false">IF(B49&lt;='VALOR POR PL'!$P$5,'CP RESUMO'!AV52,"")</f>
        <v/>
      </c>
      <c r="P49" s="66" t="n">
        <f aca="false">IF(B49&lt;='VALOR POR PL'!$P$5,0,IF(OR($K$16="CURVA PREVISION",$K$16="MDO PREVISION + MATERIAL PREMISSA"),N49,IF($K$16="PREVISÃO INFORMADA",MAX(0,H49),0)))</f>
        <v>12316.4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HISTORICOS'!AW10)</f>
        <v>159.9</v>
      </c>
      <c r="D50" s="45" t="n">
        <f aca="false">IF(B50&lt;='VALOR POR PL'!$P$5,0,IF($K$17&gt;0,$K$18*P50/$K$17,0))</f>
        <v>13140.2090583527</v>
      </c>
      <c r="E50" s="45" t="n">
        <f aca="false">L50+D50/$K$2</f>
        <v>10.2553950710915</v>
      </c>
      <c r="F50" s="117" t="n">
        <f aca="false">IF($K$9=0,0,E50/$K$9)</f>
        <v>0.0229159991324856</v>
      </c>
      <c r="G50" s="117" t="n">
        <f aca="false">G49+F50</f>
        <v>0.631533479410177</v>
      </c>
      <c r="H50" s="138" t="n">
        <v>12207.86</v>
      </c>
      <c r="L50" s="45" t="n">
        <f aca="false">C50/IF(B50&lt;='VALOR POR PL'!$P$5,IFERROR(INDEX('"INCC-FGV"'!$B$2:$B$800,MATCH(B50,'"INCC-FGV"'!$A$2:$A$800,0)),$K$2),$K$2)</f>
        <v>0.123295054549773</v>
      </c>
      <c r="M50" s="139" t="n">
        <f aca="false">'CP RESUMO'!AW10</f>
        <v>0</v>
      </c>
      <c r="N50" s="140" t="n">
        <f aca="false">MAX(0,M50-M49)</f>
        <v>0</v>
      </c>
      <c r="O50" s="139" t="str">
        <f aca="false">IF(B50&lt;='VALOR POR PL'!$P$5,'CP RESUMO'!AW52,"")</f>
        <v/>
      </c>
      <c r="P50" s="66" t="n">
        <f aca="false">IF(B50&lt;='VALOR POR PL'!$P$5,0,IF(OR($K$16="CURVA PREVISION",$K$16="MDO PREVISION + MATERIAL PREMISSA"),N50,IF($K$16="PREVISÃO INFORMADA",MAX(0,H50),0)))</f>
        <v>12207.86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HISTORICOS'!AX10)</f>
        <v>159.9</v>
      </c>
      <c r="D51" s="45" t="n">
        <f aca="false">IF(B51&lt;='VALOR POR PL'!$P$5,0,IF($K$17&gt;0,$K$18*P51/$K$17,0))</f>
        <v>12497.4745385422</v>
      </c>
      <c r="E51" s="45" t="n">
        <f aca="false">L51+D51/$K$2</f>
        <v>9.75979789985281</v>
      </c>
      <c r="F51" s="117" t="n">
        <f aca="false">IF($K$9=0,0,E51/$K$9)</f>
        <v>0.0218085718449517</v>
      </c>
      <c r="G51" s="117" t="n">
        <f aca="false">G50+F51</f>
        <v>0.653342051255129</v>
      </c>
      <c r="H51" s="138" t="n">
        <v>11610.73</v>
      </c>
      <c r="L51" s="45" t="n">
        <f aca="false">C51/IF(B51&lt;='VALOR POR PL'!$P$5,IFERROR(INDEX('"INCC-FGV"'!$B$2:$B$800,MATCH(B51,'"INCC-FGV"'!$A$2:$A$800,0)),$K$2),$K$2)</f>
        <v>0.123295054549773</v>
      </c>
      <c r="M51" s="139" t="n">
        <f aca="false">'CP RESUMO'!AX10</f>
        <v>0</v>
      </c>
      <c r="N51" s="140" t="n">
        <f aca="false">MAX(0,M51-M50)</f>
        <v>0</v>
      </c>
      <c r="O51" s="139" t="str">
        <f aca="false">IF(B51&lt;='VALOR POR PL'!$P$5,'CP RESUMO'!AX52,"")</f>
        <v/>
      </c>
      <c r="P51" s="66" t="n">
        <f aca="false">IF(B51&lt;='VALOR POR PL'!$P$5,0,IF(OR($K$16="CURVA PREVISION",$K$16="MDO PREVISION + MATERIAL PREMISSA"),N51,IF($K$16="PREVISÃO INFORMADA",MAX(0,H51),0)))</f>
        <v>11610.73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HISTORICOS'!AY10)</f>
        <v>159.9</v>
      </c>
      <c r="D52" s="45" t="n">
        <f aca="false">IF(B52&lt;='VALOR POR PL'!$P$5,0,IF($K$17&gt;0,$K$18*P52/$K$17,0))</f>
        <v>11867.667256658</v>
      </c>
      <c r="E52" s="45" t="n">
        <f aca="false">L52+D52/$K$2</f>
        <v>9.2741686116992</v>
      </c>
      <c r="F52" s="117" t="n">
        <f aca="false">IF($K$9=0,0,E52/$K$9)</f>
        <v>0.0207234181020785</v>
      </c>
      <c r="G52" s="117" t="n">
        <f aca="false">G51+F52</f>
        <v>0.674065469357208</v>
      </c>
      <c r="H52" s="138" t="n">
        <v>11025.61</v>
      </c>
      <c r="L52" s="45" t="n">
        <f aca="false">C52/IF(B52&lt;='VALOR POR PL'!$P$5,IFERROR(INDEX('"INCC-FGV"'!$B$2:$B$800,MATCH(B52,'"INCC-FGV"'!$A$2:$A$800,0)),$K$2),$K$2)</f>
        <v>0.123295054549773</v>
      </c>
      <c r="M52" s="139" t="n">
        <f aca="false">'CP RESUMO'!AY10</f>
        <v>0</v>
      </c>
      <c r="N52" s="140" t="n">
        <f aca="false">MAX(0,M52-M51)</f>
        <v>0</v>
      </c>
      <c r="O52" s="139" t="str">
        <f aca="false">IF(B52&lt;='VALOR POR PL'!$P$5,'CP RESUMO'!AY52,"")</f>
        <v/>
      </c>
      <c r="P52" s="66" t="n">
        <f aca="false">IF(B52&lt;='VALOR POR PL'!$P$5,0,IF(OR($K$16="CURVA PREVISION",$K$16="MDO PREVISION + MATERIAL PREMISSA"),N52,IF($K$16="PREVISÃO INFORMADA",MAX(0,H52),0)))</f>
        <v>11025.61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HISTORICOS'!AZ10)</f>
        <v>159.9</v>
      </c>
      <c r="D53" s="45" t="n">
        <f aca="false">IF(B53&lt;='VALOR POR PL'!$P$5,0,IF($K$17&gt;0,$K$18*P53/$K$17,0))</f>
        <v>11099.6644645859</v>
      </c>
      <c r="E53" s="45" t="n">
        <f aca="false">L53+D53/$K$2</f>
        <v>8.68198008047402</v>
      </c>
      <c r="F53" s="117" t="n">
        <f aca="false">IF($K$9=0,0,E53/$K$9)</f>
        <v>0.0194001544175738</v>
      </c>
      <c r="G53" s="117" t="n">
        <f aca="false">G52+F53</f>
        <v>0.693465623774781</v>
      </c>
      <c r="H53" s="138" t="n">
        <v>10312.1</v>
      </c>
      <c r="L53" s="45" t="n">
        <f aca="false">C53/IF(B53&lt;='VALOR POR PL'!$P$5,IFERROR(INDEX('"INCC-FGV"'!$B$2:$B$800,MATCH(B53,'"INCC-FGV"'!$A$2:$A$800,0)),$K$2),$K$2)</f>
        <v>0.123295054549773</v>
      </c>
      <c r="M53" s="139" t="n">
        <f aca="false">'CP RESUMO'!AZ10</f>
        <v>0</v>
      </c>
      <c r="N53" s="140" t="n">
        <f aca="false">MAX(0,M53-M52)</f>
        <v>0</v>
      </c>
      <c r="O53" s="139" t="str">
        <f aca="false">IF(B53&lt;='VALOR POR PL'!$P$5,'CP RESUMO'!AZ52,"")</f>
        <v/>
      </c>
      <c r="P53" s="66" t="n">
        <f aca="false">IF(B53&lt;='VALOR POR PL'!$P$5,0,IF(OR($K$16="CURVA PREVISION",$K$16="MDO PREVISION + MATERIAL PREMISSA"),N53,IF($K$16="PREVISÃO INFORMADA",MAX(0,H53),0)))</f>
        <v>10312.1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HISTORICOS'!BA10)</f>
        <v>159.9</v>
      </c>
      <c r="D54" s="45" t="n">
        <f aca="false">IF(B54&lt;='VALOR POR PL'!$P$5,0,IF($K$17&gt;0,$K$18*P54/$K$17,0))</f>
        <v>10734.1497722454</v>
      </c>
      <c r="E54" s="45" t="n">
        <f aca="false">L54+D54/$K$2</f>
        <v>8.40014046864875</v>
      </c>
      <c r="F54" s="117" t="n">
        <f aca="false">IF($K$9=0,0,E54/$K$9)</f>
        <v>0.0187703750423946</v>
      </c>
      <c r="G54" s="117" t="n">
        <f aca="false">G53+F54</f>
        <v>0.712235998817176</v>
      </c>
      <c r="H54" s="138" t="n">
        <v>9972.52</v>
      </c>
      <c r="L54" s="45" t="n">
        <f aca="false">C54/IF(B54&lt;='VALOR POR PL'!$P$5,IFERROR(INDEX('"INCC-FGV"'!$B$2:$B$800,MATCH(B54,'"INCC-FGV"'!$A$2:$A$800,0)),$K$2),$K$2)</f>
        <v>0.123295054549773</v>
      </c>
      <c r="M54" s="139" t="n">
        <f aca="false">'CP RESUMO'!BA10</f>
        <v>0</v>
      </c>
      <c r="N54" s="140" t="n">
        <f aca="false">MAX(0,M54-M53)</f>
        <v>0</v>
      </c>
      <c r="O54" s="139" t="str">
        <f aca="false">IF(B54&lt;='VALOR POR PL'!$P$5,'CP RESUMO'!BA52,"")</f>
        <v/>
      </c>
      <c r="P54" s="66" t="n">
        <f aca="false">IF(B54&lt;='VALOR POR PL'!$P$5,0,IF(OR($K$16="CURVA PREVISION",$K$16="MDO PREVISION + MATERIAL PREMISSA"),N54,IF($K$16="PREVISÃO INFORMADA",MAX(0,H54),0)))</f>
        <v>9972.52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HISTORICOS'!BB10)</f>
        <v>159.9</v>
      </c>
      <c r="D55" s="45" t="n">
        <f aca="false">IF(B55&lt;='VALOR POR PL'!$P$5,0,IF($K$17&gt;0,$K$18*P55/$K$17,0))</f>
        <v>10696.2506842034</v>
      </c>
      <c r="E55" s="45" t="n">
        <f aca="false">L55+D55/$K$2</f>
        <v>8.37091739092813</v>
      </c>
      <c r="F55" s="117" t="n">
        <f aca="false">IF($K$9=0,0,E55/$K$9)</f>
        <v>0.0187050751666656</v>
      </c>
      <c r="G55" s="117" t="n">
        <f aca="false">G54+F55</f>
        <v>0.730941073983841</v>
      </c>
      <c r="H55" s="138" t="n">
        <v>9937.31</v>
      </c>
      <c r="L55" s="45" t="n">
        <f aca="false">C55/IF(B55&lt;='VALOR POR PL'!$P$5,IFERROR(INDEX('"INCC-FGV"'!$B$2:$B$800,MATCH(B55,'"INCC-FGV"'!$A$2:$A$800,0)),$K$2),$K$2)</f>
        <v>0.123295054549773</v>
      </c>
      <c r="M55" s="139" t="n">
        <f aca="false">'CP RESUMO'!BB10</f>
        <v>0</v>
      </c>
      <c r="N55" s="140" t="n">
        <f aca="false">MAX(0,M55-M54)</f>
        <v>0</v>
      </c>
      <c r="O55" s="139" t="str">
        <f aca="false">IF(B55&lt;='VALOR POR PL'!$P$5,'CP RESUMO'!BB52,"")</f>
        <v/>
      </c>
      <c r="P55" s="66" t="n">
        <f aca="false">IF(B55&lt;='VALOR POR PL'!$P$5,0,IF(OR($K$16="CURVA PREVISION",$K$16="MDO PREVISION + MATERIAL PREMISSA"),N55,IF($K$16="PREVISÃO INFORMADA",MAX(0,H55),0)))</f>
        <v>9937.31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HISTORICOS'!BC10)</f>
        <v>159.9</v>
      </c>
      <c r="D56" s="45" t="n">
        <f aca="false">IF(B56&lt;='VALOR POR PL'!$P$5,0,IF($K$17&gt;0,$K$18*P56/$K$17,0))</f>
        <v>10252.3437572108</v>
      </c>
      <c r="E56" s="45" t="n">
        <f aca="false">L56+D56/$K$2</f>
        <v>8.02863140732232</v>
      </c>
      <c r="F56" s="117" t="n">
        <f aca="false">IF($K$9=0,0,E56/$K$9)</f>
        <v>0.0179402264944303</v>
      </c>
      <c r="G56" s="117" t="n">
        <f aca="false">G55+F56</f>
        <v>0.748881300478272</v>
      </c>
      <c r="H56" s="138" t="n">
        <v>9524.9</v>
      </c>
      <c r="L56" s="45" t="n">
        <f aca="false">C56/IF(B56&lt;='VALOR POR PL'!$P$5,IFERROR(INDEX('"INCC-FGV"'!$B$2:$B$800,MATCH(B56,'"INCC-FGV"'!$A$2:$A$800,0)),$K$2),$K$2)</f>
        <v>0.123295054549773</v>
      </c>
      <c r="M56" s="139" t="n">
        <f aca="false">'CP RESUMO'!BC10</f>
        <v>0</v>
      </c>
      <c r="N56" s="140" t="n">
        <f aca="false">MAX(0,M56-M55)</f>
        <v>0</v>
      </c>
      <c r="O56" s="139" t="str">
        <f aca="false">IF(B56&lt;='VALOR POR PL'!$P$5,'CP RESUMO'!BC52,"")</f>
        <v/>
      </c>
      <c r="P56" s="66" t="n">
        <f aca="false">IF(B56&lt;='VALOR POR PL'!$P$5,0,IF(OR($K$16="CURVA PREVISION",$K$16="MDO PREVISION + MATERIAL PREMISSA"),N56,IF($K$16="PREVISÃO INFORMADA",MAX(0,H56),0)))</f>
        <v>9524.9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HISTORICOS'!BD10)</f>
        <v>159.9</v>
      </c>
      <c r="D57" s="45" t="n">
        <f aca="false">IF(B57&lt;='VALOR POR PL'!$P$5,0,IF($K$17&gt;0,$K$18*P57/$K$17,0))</f>
        <v>9820.94428273315</v>
      </c>
      <c r="E57" s="45" t="n">
        <f aca="false">L57+D57/$K$2</f>
        <v>7.69598962034003</v>
      </c>
      <c r="F57" s="117" t="n">
        <f aca="false">IF($K$9=0,0,E57/$K$9)</f>
        <v>0.0171969280793938</v>
      </c>
      <c r="G57" s="117" t="n">
        <f aca="false">G56+F57</f>
        <v>0.766078228557666</v>
      </c>
      <c r="H57" s="138" t="n">
        <v>9124.11</v>
      </c>
      <c r="L57" s="45" t="n">
        <f aca="false">C57/IF(B57&lt;='VALOR POR PL'!$P$5,IFERROR(INDEX('"INCC-FGV"'!$B$2:$B$800,MATCH(B57,'"INCC-FGV"'!$A$2:$A$800,0)),$K$2),$K$2)</f>
        <v>0.123295054549773</v>
      </c>
      <c r="M57" s="139" t="n">
        <f aca="false">'CP RESUMO'!BD10</f>
        <v>0</v>
      </c>
      <c r="N57" s="140" t="n">
        <f aca="false">MAX(0,M57-M56)</f>
        <v>0</v>
      </c>
      <c r="O57" s="139" t="str">
        <f aca="false">IF(B57&lt;='VALOR POR PL'!$P$5,'CP RESUMO'!BD52,"")</f>
        <v/>
      </c>
      <c r="P57" s="66" t="n">
        <f aca="false">IF(B57&lt;='VALOR POR PL'!$P$5,0,IF(OR($K$16="CURVA PREVISION",$K$16="MDO PREVISION + MATERIAL PREMISSA"),N57,IF($K$16="PREVISÃO INFORMADA",MAX(0,H57),0)))</f>
        <v>9124.11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HISTORICOS'!BE10)</f>
        <v>159.9</v>
      </c>
      <c r="D58" s="45" t="n">
        <f aca="false">IF(B58&lt;='VALOR POR PL'!$P$5,0,IF($K$17&gt;0,$K$18*P58/$K$17,0))</f>
        <v>9820.94428273315</v>
      </c>
      <c r="E58" s="45" t="n">
        <f aca="false">L58+D58/$K$2</f>
        <v>7.69598962034003</v>
      </c>
      <c r="F58" s="117" t="n">
        <f aca="false">IF($K$9=0,0,E58/$K$9)</f>
        <v>0.0171969280793938</v>
      </c>
      <c r="G58" s="117" t="n">
        <f aca="false">G57+F58</f>
        <v>0.78327515663706</v>
      </c>
      <c r="H58" s="138" t="n">
        <v>9124.11</v>
      </c>
      <c r="L58" s="45" t="n">
        <f aca="false">C58/IF(B58&lt;='VALOR POR PL'!$P$5,IFERROR(INDEX('"INCC-FGV"'!$B$2:$B$800,MATCH(B58,'"INCC-FGV"'!$A$2:$A$800,0)),$K$2),$K$2)</f>
        <v>0.123295054549773</v>
      </c>
      <c r="M58" s="139" t="n">
        <f aca="false">'CP RESUMO'!BE10</f>
        <v>0</v>
      </c>
      <c r="N58" s="140" t="n">
        <f aca="false">MAX(0,M58-M57)</f>
        <v>0</v>
      </c>
      <c r="O58" s="139" t="str">
        <f aca="false">IF(B58&lt;='VALOR POR PL'!$P$5,'CP RESUMO'!BE52,"")</f>
        <v/>
      </c>
      <c r="P58" s="66" t="n">
        <f aca="false">IF(B58&lt;='VALOR POR PL'!$P$5,0,IF(OR($K$16="CURVA PREVISION",$K$16="MDO PREVISION + MATERIAL PREMISSA"),N58,IF($K$16="PREVISÃO INFORMADA",MAX(0,H58),0)))</f>
        <v>9124.11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HISTORICOS'!BF10)</f>
        <v>159.9</v>
      </c>
      <c r="D59" s="45" t="n">
        <f aca="false">IF(B59&lt;='VALOR POR PL'!$P$5,0,IF($K$17&gt;0,$K$18*P59/$K$17,0))</f>
        <v>9820.94428273315</v>
      </c>
      <c r="E59" s="45" t="n">
        <f aca="false">L59+D59/$K$2</f>
        <v>7.69598962034003</v>
      </c>
      <c r="F59" s="117" t="n">
        <f aca="false">IF($K$9=0,0,E59/$K$9)</f>
        <v>0.0171969280793938</v>
      </c>
      <c r="G59" s="117" t="n">
        <f aca="false">G58+F59</f>
        <v>0.800472084716453</v>
      </c>
      <c r="H59" s="138" t="n">
        <v>9124.11</v>
      </c>
      <c r="L59" s="45" t="n">
        <f aca="false">C59/IF(B59&lt;='VALOR POR PL'!$P$5,IFERROR(INDEX('"INCC-FGV"'!$B$2:$B$800,MATCH(B59,'"INCC-FGV"'!$A$2:$A$800,0)),$K$2),$K$2)</f>
        <v>0.123295054549773</v>
      </c>
      <c r="M59" s="139" t="n">
        <f aca="false">'CP RESUMO'!BF10</f>
        <v>0</v>
      </c>
      <c r="N59" s="140" t="n">
        <f aca="false">MAX(0,M59-M58)</f>
        <v>0</v>
      </c>
      <c r="O59" s="139" t="str">
        <f aca="false">IF(B59&lt;='VALOR POR PL'!$P$5,'CP RESUMO'!BF52,"")</f>
        <v/>
      </c>
      <c r="P59" s="66" t="n">
        <f aca="false">IF(B59&lt;='VALOR POR PL'!$P$5,0,IF(OR($K$16="CURVA PREVISION",$K$16="MDO PREVISION + MATERIAL PREMISSA"),N59,IF($K$16="PREVISÃO INFORMADA",MAX(0,H59),0)))</f>
        <v>9124.11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0.800472084716453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RESUMO'!BG10</f>
        <v>0</v>
      </c>
      <c r="N60" s="140" t="n">
        <f aca="false">MAX(0,M60-M59)</f>
        <v>0</v>
      </c>
      <c r="O60" s="139" t="str">
        <f aca="false">IF(B60&lt;='VALOR POR PL'!$P$5,'CP RESUMO'!BG52,"")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HISTORICOS'!BH10)</f>
        <v>0</v>
      </c>
      <c r="D61" s="45" t="n">
        <f aca="false">IF(B61&lt;='VALOR POR PL'!$P$5,0,IF($K$17&gt;0,$K$18*P61/$K$17,0))</f>
        <v>115803.069205698</v>
      </c>
      <c r="E61" s="45" t="n">
        <f aca="false">L61+D61/$K$2</f>
        <v>89.2929689477648</v>
      </c>
      <c r="F61" s="117" t="n">
        <f aca="false">IF($K$9=0,0,E61/$K$9)</f>
        <v>0.199527915283547</v>
      </c>
      <c r="G61" s="117" t="n">
        <f aca="false">G60+F61</f>
        <v>1</v>
      </c>
      <c r="H61" s="138" t="n">
        <v>107586.39</v>
      </c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RESUMO'!BH10</f>
        <v>0</v>
      </c>
      <c r="N61" s="140" t="n">
        <f aca="false">MAX(0,M61-M60)</f>
        <v>0</v>
      </c>
      <c r="O61" s="139" t="str">
        <f aca="false">IF(B61&lt;='VALOR POR PL'!$P$5,'CP RESUMO'!BH52,"")</f>
        <v/>
      </c>
      <c r="P61" s="66" t="n">
        <f aca="false">IF(B61&lt;='VALOR POR PL'!$P$5,0,IF(OR($K$16="CURVA PREVISION",$K$16="MDO PREVISION + MATERIAL PREMISSA"),N61,IF($K$16="PREVISÃO INFORMADA",MAX(0,H61),0)))</f>
        <v>107586.39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RESUMO'!BI10</f>
        <v>0</v>
      </c>
      <c r="N62" s="140" t="n">
        <f aca="false">MAX(0,M62-M61)</f>
        <v>0</v>
      </c>
      <c r="O62" s="139" t="str">
        <f aca="false">IF(B62&lt;='VALOR POR PL'!$P$5,'CP RESUMO'!BI52,"")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RESUMO'!BJ10</f>
        <v>0</v>
      </c>
      <c r="N63" s="140" t="n">
        <f aca="false">MAX(0,M63-M62)</f>
        <v>0</v>
      </c>
      <c r="O63" s="139" t="str">
        <f aca="false">IF(B63&lt;='VALOR POR PL'!$P$5,'CP RESUMO'!BJ52,"")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RESUMO'!BK10</f>
        <v>0</v>
      </c>
      <c r="N64" s="140" t="n">
        <f aca="false">MAX(0,M64-M63)</f>
        <v>0</v>
      </c>
      <c r="O64" s="139" t="str">
        <f aca="false">IF(B64&lt;='VALOR POR PL'!$P$5,'CP RESUMO'!BK52,"")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RESUMO'!BL10</f>
        <v>0</v>
      </c>
      <c r="N65" s="140" t="n">
        <f aca="false">MAX(0,M65-M64)</f>
        <v>0</v>
      </c>
      <c r="O65" s="139" t="str">
        <f aca="false">IF(B65&lt;='VALOR POR PL'!$P$5,'CP RESUMO'!BL52,"")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RESUMO'!BM10</f>
        <v>0</v>
      </c>
      <c r="N66" s="140" t="n">
        <f aca="false">MAX(0,M66-M65)</f>
        <v>0</v>
      </c>
      <c r="O66" s="139" t="str">
        <f aca="false">IF(B66&lt;='VALOR POR PL'!$P$5,'CP RESUMO'!BM52,"")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RESUMO'!BN10</f>
        <v>0</v>
      </c>
      <c r="N67" s="140" t="n">
        <f aca="false">MAX(0,M67-M66)</f>
        <v>0</v>
      </c>
      <c r="O67" s="139" t="str">
        <f aca="false">IF(B67&lt;='VALOR POR PL'!$P$5,'CP RESUMO'!BN52,"")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RESUMO'!BO10</f>
        <v>0</v>
      </c>
      <c r="N68" s="140" t="n">
        <f aca="false">MAX(0,M68-M67)</f>
        <v>0</v>
      </c>
      <c r="O68" s="139" t="str">
        <f aca="false">IF(B68&lt;='VALOR POR PL'!$P$5,'CP RESUMO'!BO52,"")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RESUMO'!BP10</f>
        <v>0</v>
      </c>
      <c r="N69" s="140" t="n">
        <f aca="false">MAX(0,M69-M68)</f>
        <v>0</v>
      </c>
      <c r="O69" s="139" t="str">
        <f aca="false">IF(B69&lt;='VALOR POR PL'!$P$5,'CP RESUMO'!BP52,"")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RESUMO'!BQ10</f>
        <v>0</v>
      </c>
      <c r="N70" s="140" t="n">
        <f aca="false">MAX(0,M70-M69)</f>
        <v>0</v>
      </c>
      <c r="O70" s="139" t="str">
        <f aca="false">IF(B70&lt;='VALOR POR PL'!$P$5,'CP RESUMO'!BQ52,"")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RESUMO'!BR10</f>
        <v>0</v>
      </c>
      <c r="N71" s="140" t="n">
        <f aca="false">MAX(0,M71-M70)</f>
        <v>0</v>
      </c>
      <c r="O71" s="139" t="str">
        <f aca="false">IF(B71&lt;='VALOR POR PL'!$P$5,'CP RESUMO'!BR52,"")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RESUMO'!BS10</f>
        <v>0</v>
      </c>
      <c r="N72" s="140" t="n">
        <f aca="false">MAX(0,M72-M71)</f>
        <v>0</v>
      </c>
      <c r="O72" s="139" t="str">
        <f aca="false">IF(B72&lt;='VALOR POR PL'!$P$5,'CP RESUMO'!BS52,"")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RESUMO'!BT10</f>
        <v>0</v>
      </c>
      <c r="N73" s="140" t="n">
        <f aca="false">MAX(0,M73-M72)</f>
        <v>0</v>
      </c>
      <c r="O73" s="139" t="str">
        <f aca="false">IF(B73&lt;='VALOR POR PL'!$P$5,'CP RESUMO'!BT52,"")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RESUMO'!BU10</f>
        <v>0</v>
      </c>
      <c r="N74" s="140" t="n">
        <f aca="false">MAX(0,M74-M73)</f>
        <v>0</v>
      </c>
      <c r="O74" s="139" t="str">
        <f aca="false">IF(B74&lt;='VALOR POR PL'!$P$5,'CP RESUMO'!BU52,"")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RESUMO'!BV10</f>
        <v>0</v>
      </c>
      <c r="N75" s="140" t="n">
        <f aca="false">MAX(0,M75-M74)</f>
        <v>0</v>
      </c>
      <c r="O75" s="139" t="str">
        <f aca="false">IF(B75&lt;='VALOR POR PL'!$P$5,'CP RESUMO'!BV52,"")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RESUMO'!BW10</f>
        <v>0</v>
      </c>
      <c r="N76" s="140" t="n">
        <f aca="false">MAX(0,M76-M75)</f>
        <v>0</v>
      </c>
      <c r="O76" s="139" t="str">
        <f aca="false">IF(B76&lt;='VALOR POR PL'!$P$5,'CP RESUMO'!BW52,"")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47350.6</v>
      </c>
      <c r="D78" s="61" t="n">
        <f aca="false">SUM(D5:D76)</f>
        <v>532275.308128584</v>
      </c>
      <c r="E78" s="61" t="n">
        <f aca="false">SUM(E5:E76)</f>
        <v>447.5211842958</v>
      </c>
      <c r="F78" s="145" t="n">
        <f aca="false">SUM(F5:F76)</f>
        <v>1</v>
      </c>
      <c r="H78" s="61" t="n">
        <f aca="false">SUM(H5:H76)</f>
        <v>494508.3</v>
      </c>
      <c r="L78" s="61" t="n">
        <f aca="false">SUM(L5:L76)</f>
        <v>37.0964616490787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PL'!D17</f>
        <v>DIVERSOS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HISTORICOS'!D11)</f>
        <v>7617.91</v>
      </c>
      <c r="D5" s="45" t="n">
        <f aca="false">IF(B5&lt;='VALOR POR PL'!$P$5,0,IF($K$17&gt;0,$K$18*P5/$K$17,0))</f>
        <v>0</v>
      </c>
      <c r="E5" s="45" t="n">
        <f aca="false">L5+D5/$K$2</f>
        <v>6.60690171273853</v>
      </c>
      <c r="F5" s="117" t="n">
        <f aca="false">IF($K$9=0,0,E5/$K$9)</f>
        <v>0.0433501937142585</v>
      </c>
      <c r="G5" s="117" t="n">
        <f aca="false">F5</f>
        <v>0.0433501937142585</v>
      </c>
      <c r="H5" s="138"/>
      <c r="I5" s="42" t="s">
        <v>2920</v>
      </c>
      <c r="J5" s="56" t="n">
        <f aca="false">'VALOR POR PL'!F17</f>
        <v>158400</v>
      </c>
      <c r="K5" s="56" t="n">
        <f aca="false">'VALOR POR PL'!G17</f>
        <v>130.187572</v>
      </c>
      <c r="L5" s="56" t="n">
        <f aca="false">'DADOS HISTORICOS'!$BZ$11</f>
        <v>6.60690171273853</v>
      </c>
      <c r="M5" s="139" t="n">
        <f aca="false">'CP RESUMO'!D11</f>
        <v>0</v>
      </c>
      <c r="N5" s="140" t="n">
        <v>0</v>
      </c>
      <c r="O5" s="139" t="n">
        <f aca="false">IF(B5&lt;='VALOR POR PL'!$P$5,'CP RESUMO'!D53,"")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HISTORICOS'!E11)</f>
        <v>1467.74</v>
      </c>
      <c r="D6" s="45" t="n">
        <f aca="false">IF(B6&lt;='VALOR POR PL'!$P$5,0,IF($K$17&gt;0,$K$18*P6/$K$17,0))</f>
        <v>0</v>
      </c>
      <c r="E6" s="45" t="n">
        <f aca="false">L6+D6/$K$2</f>
        <v>1.25542717745716</v>
      </c>
      <c r="F6" s="117" t="n">
        <f aca="false">IF($K$9=0,0,E6/$K$9)</f>
        <v>0.0082372969514563</v>
      </c>
      <c r="G6" s="117" t="n">
        <f aca="false">G5+F6</f>
        <v>0.0515874906657148</v>
      </c>
      <c r="H6" s="138"/>
      <c r="I6" s="42" t="s">
        <v>2921</v>
      </c>
      <c r="K6" s="52" t="n">
        <f aca="false">'VALOR POR PL'!H17</f>
        <v>152.453292064016</v>
      </c>
      <c r="L6" s="45" t="n">
        <f aca="false">C6/IF(B6&lt;='VALOR POR PL'!$P$5,IFERROR(INDEX('"INCC-FGV"'!$B$2:$B$800,MATCH(B6,'"INCC-FGV"'!$A$2:$A$800,0)),$K$2),$K$2)</f>
        <v>1.25542717745716</v>
      </c>
      <c r="M6" s="139" t="n">
        <f aca="false">'CP RESUMO'!E11</f>
        <v>0</v>
      </c>
      <c r="N6" s="140" t="n">
        <f aca="false">MAX(0,M6-M5)</f>
        <v>0</v>
      </c>
      <c r="O6" s="139" t="n">
        <f aca="false">IF(B6&lt;='VALOR POR PL'!$P$5,'CP RESUMO'!E53,"")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0.0515874906657148</v>
      </c>
      <c r="H7" s="138"/>
      <c r="I7" s="42" t="s">
        <v>2922</v>
      </c>
      <c r="J7" s="45" t="n">
        <f aca="false">C78+D78</f>
        <v>195765.174713413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RESUMO'!F11</f>
        <v>0</v>
      </c>
      <c r="N7" s="140" t="n">
        <f aca="false">MAX(0,M7-M6)</f>
        <v>0</v>
      </c>
      <c r="O7" s="139" t="n">
        <f aca="false">IF(B7&lt;='VALOR POR PL'!$P$5,'CP RESUMO'!F53,"")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0.0515874906657148</v>
      </c>
      <c r="H8" s="138"/>
      <c r="I8" s="42" t="s">
        <v>2923</v>
      </c>
      <c r="K8" s="66" t="n">
        <f aca="false">SUM(L5:L76)</f>
        <v>37.0660919258946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RESUMO'!G11</f>
        <v>0</v>
      </c>
      <c r="N8" s="140" t="n">
        <f aca="false">MAX(0,M8-M7)</f>
        <v>0</v>
      </c>
      <c r="O8" s="139" t="n">
        <f aca="false">IF(B8&lt;='VALOR POR PL'!$P$5,'CP RESUMO'!G53,"")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HISTORICOS'!H11)</f>
        <v>66.6</v>
      </c>
      <c r="D9" s="45" t="n">
        <f aca="false">IF(B9&lt;='VALOR POR PL'!$P$5,0,IF($K$17&gt;0,$K$18*P9/$K$17,0))</f>
        <v>0</v>
      </c>
      <c r="E9" s="45" t="n">
        <f aca="false">L9+D9/$K$2</f>
        <v>0.0562280596591533</v>
      </c>
      <c r="F9" s="117" t="n">
        <f aca="false">IF($K$9=0,0,E9/$K$9)</f>
        <v>0.00036893197210752</v>
      </c>
      <c r="G9" s="117" t="n">
        <f aca="false">G8+F9</f>
        <v>0.0519564226378223</v>
      </c>
      <c r="H9" s="138"/>
      <c r="I9" s="42" t="s">
        <v>2924</v>
      </c>
      <c r="J9" s="45" t="n">
        <f aca="false">C78+D78</f>
        <v>195765.174713413</v>
      </c>
      <c r="K9" s="45" t="n">
        <f aca="false">E78</f>
        <v>152.40766295735</v>
      </c>
      <c r="L9" s="45" t="n">
        <f aca="false">C9/IF(B9&lt;='VALOR POR PL'!$P$5,IFERROR(INDEX('"INCC-FGV"'!$B$2:$B$800,MATCH(B9,'"INCC-FGV"'!$A$2:$A$800,0)),$K$2),$K$2)</f>
        <v>0.0562280596591533</v>
      </c>
      <c r="M9" s="139" t="n">
        <f aca="false">'CP RESUMO'!H11</f>
        <v>0</v>
      </c>
      <c r="N9" s="140" t="n">
        <f aca="false">MAX(0,M9-M8)</f>
        <v>0</v>
      </c>
      <c r="O9" s="139" t="n">
        <f aca="false">IF(B9&lt;='VALOR POR PL'!$P$5,'CP RESUMO'!H53,"")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0.0519564226378223</v>
      </c>
      <c r="H10" s="138"/>
      <c r="I10" s="42" t="s">
        <v>2925</v>
      </c>
      <c r="K10" s="52" t="n">
        <f aca="false">IF(K6-K8&gt;0,(K6-K8)*'VALOR POR PL'!$G$65,K6-K8)</f>
        <v>115.341571031455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RESUMO'!I11</f>
        <v>0</v>
      </c>
      <c r="N10" s="140" t="n">
        <f aca="false">MAX(0,M10-M9)</f>
        <v>0</v>
      </c>
      <c r="O10" s="139" t="n">
        <f aca="false">IF(B10&lt;='VALOR POR PL'!$P$5,'CP RESUMO'!I53,"")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0.0519564226378223</v>
      </c>
      <c r="H11" s="138"/>
      <c r="I11" s="42" t="s">
        <v>2926</v>
      </c>
      <c r="K11" s="56" t="n">
        <f aca="false">SUMPRODUCT((B5:B76&gt;'VALOR POR PL'!$P$5)*H5:H76)</f>
        <v>155081.47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RESUMO'!J11</f>
        <v>0</v>
      </c>
      <c r="N11" s="140" t="n">
        <f aca="false">MAX(0,M11-M10)</f>
        <v>0</v>
      </c>
      <c r="O11" s="139" t="n">
        <f aca="false">IF(B11&lt;='VALOR POR PL'!$P$5,'CP RESUMO'!J53,"")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0.0519564226378223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RESUMO'!K11</f>
        <v>0</v>
      </c>
      <c r="N12" s="140" t="n">
        <f aca="false">MAX(0,M12-M11)</f>
        <v>0</v>
      </c>
      <c r="O12" s="139" t="n">
        <f aca="false">IF(B12&lt;='VALOR POR PL'!$P$5,'CP RESUMO'!K53,"")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0.0519564226378223</v>
      </c>
      <c r="H13" s="138"/>
      <c r="I13" s="42" t="s">
        <v>2928</v>
      </c>
      <c r="K13" s="56" t="str">
        <f aca="false">'VALOR POR PL'!I17</f>
        <v>INDIRETO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RESUMO'!L11</f>
        <v>0</v>
      </c>
      <c r="N13" s="140" t="n">
        <f aca="false">MAX(0,M13-M12)</f>
        <v>0</v>
      </c>
      <c r="O13" s="139" t="n">
        <f aca="false">IF(B13&lt;='VALOR POR PL'!$P$5,'CP RESUMO'!L53,"")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HISTORICOS'!M11)</f>
        <v>850.17</v>
      </c>
      <c r="D14" s="45" t="n">
        <f aca="false">IF(B14&lt;='VALOR POR PL'!$P$5,0,IF($K$17&gt;0,$K$18*P14/$K$17,0))</f>
        <v>0</v>
      </c>
      <c r="E14" s="45" t="n">
        <f aca="false">L14+D14/$K$2</f>
        <v>0.69757710172825</v>
      </c>
      <c r="F14" s="117" t="n">
        <f aca="false">IF($K$9=0,0,E14/$K$9)</f>
        <v>0.00457704742788073</v>
      </c>
      <c r="G14" s="117" t="n">
        <f aca="false">G13+F14</f>
        <v>0.0565334700657031</v>
      </c>
      <c r="H14" s="138"/>
      <c r="I14" s="42" t="s">
        <v>2929</v>
      </c>
      <c r="K14" s="58" t="n">
        <f aca="false">IFERROR(INDEX('CP RESUMO'!$D$53:$BW$53,MATCH('VALOR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0.69757710172825</v>
      </c>
      <c r="M14" s="139" t="n">
        <f aca="false">'CP RESUMO'!M11</f>
        <v>0</v>
      </c>
      <c r="N14" s="140" t="n">
        <f aca="false">MAX(0,M14-M13)</f>
        <v>0</v>
      </c>
      <c r="O14" s="139" t="n">
        <f aca="false">IF(B14&lt;='VALOR POR PL'!$P$5,'CP RESUMO'!M53,"")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HISTORICOS'!N11)</f>
        <v>4204.06</v>
      </c>
      <c r="D15" s="45" t="n">
        <f aca="false">IF(B15&lt;='VALOR POR PL'!$P$5,0,IF($K$17&gt;0,$K$18*P15/$K$17,0))</f>
        <v>0</v>
      </c>
      <c r="E15" s="45" t="n">
        <f aca="false">L15+D15/$K$2</f>
        <v>3.43930900654147</v>
      </c>
      <c r="F15" s="117" t="n">
        <f aca="false">IF($K$9=0,0,E15/$K$9)</f>
        <v>0.0225665097135171</v>
      </c>
      <c r="G15" s="117" t="n">
        <f aca="false">G14+F15</f>
        <v>0.0790999797792201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3.43930900654147</v>
      </c>
      <c r="M15" s="139" t="n">
        <f aca="false">'CP RESUMO'!N11</f>
        <v>0</v>
      </c>
      <c r="N15" s="140" t="n">
        <f aca="false">MAX(0,M15-M14)</f>
        <v>0</v>
      </c>
      <c r="O15" s="139" t="n">
        <f aca="false">IF(B15&lt;='VALOR POR PL'!$P$5,'CP RESUMO'!N53,"")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HISTORICOS'!O11)</f>
        <v>713.41</v>
      </c>
      <c r="D16" s="45" t="n">
        <f aca="false">IF(B16&lt;='VALOR POR PL'!$P$5,0,IF($K$17&gt;0,$K$18*P16/$K$17,0))</f>
        <v>0</v>
      </c>
      <c r="E16" s="45" t="n">
        <f aca="false">L16+D16/$K$2</f>
        <v>0.58207473199563</v>
      </c>
      <c r="F16" s="117" t="n">
        <f aca="false">IF($K$9=0,0,E16/$K$9)</f>
        <v>0.00381919596889639</v>
      </c>
      <c r="G16" s="117" t="n">
        <f aca="false">G15+F16</f>
        <v>0.0829191757481165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0.58207473199563</v>
      </c>
      <c r="M16" s="139" t="n">
        <f aca="false">'CP RESUMO'!O11</f>
        <v>0</v>
      </c>
      <c r="N16" s="140" t="n">
        <f aca="false">MAX(0,M16-M15)</f>
        <v>0</v>
      </c>
      <c r="O16" s="139" t="n">
        <f aca="false">IF(B16&lt;='VALOR POR PL'!$P$5,'CP RESUMO'!O53,"")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HISTORICOS'!P11)</f>
        <v>1784.1</v>
      </c>
      <c r="D17" s="45" t="n">
        <f aca="false">IF(B17&lt;='VALOR POR PL'!$P$5,0,IF($K$17&gt;0,$K$18*P17/$K$17,0))</f>
        <v>0</v>
      </c>
      <c r="E17" s="45" t="n">
        <f aca="false">L17+D17/$K$2</f>
        <v>1.45265970829557</v>
      </c>
      <c r="F17" s="117" t="n">
        <f aca="false">IF($K$9=0,0,E17/$K$9)</f>
        <v>0.0095314085926381</v>
      </c>
      <c r="G17" s="117" t="n">
        <f aca="false">G16+F17</f>
        <v>0.0924505843407546</v>
      </c>
      <c r="H17" s="138"/>
      <c r="I17" s="42" t="s">
        <v>2933</v>
      </c>
      <c r="K17" s="45" t="n">
        <f aca="false">SUM(P5:P76)</f>
        <v>155081.47</v>
      </c>
      <c r="L17" s="45" t="n">
        <f aca="false">C17/IF(B17&lt;='VALOR POR PL'!$P$5,IFERROR(INDEX('"INCC-FGV"'!$B$2:$B$800,MATCH(B17,'"INCC-FGV"'!$A$2:$A$800,0)),$K$2),$K$2)</f>
        <v>1.45265970829557</v>
      </c>
      <c r="M17" s="139" t="n">
        <f aca="false">'CP RESUMO'!P11</f>
        <v>0</v>
      </c>
      <c r="N17" s="140" t="n">
        <f aca="false">MAX(0,M17-M16)</f>
        <v>0</v>
      </c>
      <c r="O17" s="139" t="n">
        <f aca="false">IF(B17&lt;='VALOR POR PL'!$P$5,'CP RESUMO'!P53,"")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HISTORICOS'!Q11)</f>
        <v>1122.95</v>
      </c>
      <c r="D18" s="45" t="n">
        <f aca="false">IF(B18&lt;='VALOR POR PL'!$P$5,0,IF($K$17&gt;0,$K$18*P18/$K$17,0))</f>
        <v>0</v>
      </c>
      <c r="E18" s="45" t="n">
        <f aca="false">L18+D18/$K$2</f>
        <v>0.90777471310455</v>
      </c>
      <c r="F18" s="117" t="n">
        <f aca="false">IF($K$9=0,0,E18/$K$9)</f>
        <v>0.00595622749860409</v>
      </c>
      <c r="G18" s="117" t="n">
        <f aca="false">G17+F18</f>
        <v>0.0984068118393587</v>
      </c>
      <c r="H18" s="138"/>
      <c r="I18" s="42" t="s">
        <v>2934</v>
      </c>
      <c r="K18" s="45" t="n">
        <f aca="false">MAX(0,K10)*$K$2</f>
        <v>149585.214713413</v>
      </c>
      <c r="L18" s="45" t="n">
        <f aca="false">C18/IF(B18&lt;='VALOR POR PL'!$P$5,IFERROR(INDEX('"INCC-FGV"'!$B$2:$B$800,MATCH(B18,'"INCC-FGV"'!$A$2:$A$800,0)),$K$2),$K$2)</f>
        <v>0.90777471310455</v>
      </c>
      <c r="M18" s="139" t="n">
        <f aca="false">'CP RESUMO'!Q11</f>
        <v>0</v>
      </c>
      <c r="N18" s="140" t="n">
        <f aca="false">MAX(0,M18-M17)</f>
        <v>0</v>
      </c>
      <c r="O18" s="139" t="n">
        <f aca="false">IF(B18&lt;='VALOR POR PL'!$P$5,'CP RESUMO'!Q53,"")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HISTORICOS'!R11)</f>
        <v>1160.97</v>
      </c>
      <c r="D19" s="45" t="n">
        <f aca="false">IF(B19&lt;='VALOR POR PL'!$P$5,0,IF($K$17&gt;0,$K$18*P19/$K$17,0))</f>
        <v>0</v>
      </c>
      <c r="E19" s="45" t="n">
        <f aca="false">L19+D19/$K$2</f>
        <v>0.935903089204913</v>
      </c>
      <c r="F19" s="117" t="n">
        <f aca="false">IF($K$9=0,0,E19/$K$9)</f>
        <v>0.00614078761555986</v>
      </c>
      <c r="G19" s="117" t="n">
        <f aca="false">G18+F19</f>
        <v>0.104547599454919</v>
      </c>
      <c r="H19" s="138"/>
      <c r="I19" s="42" t="s">
        <v>2935</v>
      </c>
      <c r="K19" s="142" t="n">
        <f aca="false">IF(AND(K16="PREVISÃO INFORMADA",K11&gt;0),K18/K11-1,"")</f>
        <v>-0.0354410832357166</v>
      </c>
      <c r="L19" s="45" t="n">
        <f aca="false">C19/IF(B19&lt;='VALOR POR PL'!$P$5,IFERROR(INDEX('"INCC-FGV"'!$B$2:$B$800,MATCH(B19,'"INCC-FGV"'!$A$2:$A$800,0)),$K$2),$K$2)</f>
        <v>0.935903089204913</v>
      </c>
      <c r="M19" s="139" t="n">
        <f aca="false">'CP RESUMO'!R11</f>
        <v>0</v>
      </c>
      <c r="N19" s="140" t="n">
        <f aca="false">MAX(0,M19-M18)</f>
        <v>0</v>
      </c>
      <c r="O19" s="139" t="n">
        <f aca="false">IF(B19&lt;='VALOR POR PL'!$P$5,'CP RESUMO'!R53,"")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HISTORICOS'!S11)</f>
        <v>2280.62</v>
      </c>
      <c r="D20" s="45" t="n">
        <f aca="false">IF(B20&lt;='VALOR POR PL'!$P$5,0,IF($K$17&gt;0,$K$18*P20/$K$17,0))</f>
        <v>0</v>
      </c>
      <c r="E20" s="45" t="n">
        <f aca="false">L20+D20/$K$2</f>
        <v>1.82861990360661</v>
      </c>
      <c r="F20" s="117" t="n">
        <f aca="false">IF($K$9=0,0,E20/$K$9)</f>
        <v>0.0119982149724213</v>
      </c>
      <c r="G20" s="117" t="n">
        <f aca="false">G19+F20</f>
        <v>0.11654581442734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1.82861990360661</v>
      </c>
      <c r="M20" s="139" t="n">
        <f aca="false">'CP RESUMO'!S11</f>
        <v>0</v>
      </c>
      <c r="N20" s="140" t="n">
        <f aca="false">MAX(0,M20-M19)</f>
        <v>0</v>
      </c>
      <c r="O20" s="139" t="n">
        <f aca="false">IF(B20&lt;='VALOR POR PL'!$P$5,'CP RESUMO'!S53,"")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HISTORICOS'!T11)</f>
        <v>1594.82</v>
      </c>
      <c r="D21" s="45" t="n">
        <f aca="false">IF(B21&lt;='VALOR POR PL'!$P$5,0,IF($K$17&gt;0,$K$18*P21/$K$17,0))</f>
        <v>0</v>
      </c>
      <c r="E21" s="45" t="n">
        <f aca="false">L21+D21/$K$2</f>
        <v>1.26607983792349</v>
      </c>
      <c r="F21" s="117" t="n">
        <f aca="false">IF($K$9=0,0,E21/$K$9)</f>
        <v>0.00830719278385494</v>
      </c>
      <c r="G21" s="117" t="n">
        <f aca="false">G20+F21</f>
        <v>0.124853007211195</v>
      </c>
      <c r="H21" s="138"/>
      <c r="K21" s="143"/>
      <c r="L21" s="45" t="n">
        <f aca="false">C21/IF(B21&lt;='VALOR POR PL'!$P$5,IFERROR(INDEX('"INCC-FGV"'!$B$2:$B$800,MATCH(B21,'"INCC-FGV"'!$A$2:$A$800,0)),$K$2),$K$2)</f>
        <v>1.26607983792349</v>
      </c>
      <c r="M21" s="139" t="n">
        <f aca="false">'CP RESUMO'!T11</f>
        <v>0</v>
      </c>
      <c r="N21" s="140" t="n">
        <f aca="false">MAX(0,M21-M20)</f>
        <v>0</v>
      </c>
      <c r="O21" s="139" t="n">
        <f aca="false">IF(B21&lt;='VALOR POR PL'!$P$5,'CP RESUMO'!T53,"")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HISTORICOS'!U11)</f>
        <v>1922.39</v>
      </c>
      <c r="D22" s="45" t="n">
        <f aca="false">IF(B22&lt;='VALOR POR PL'!$P$5,0,IF($K$17&gt;0,$K$18*P22/$K$17,0))</f>
        <v>0</v>
      </c>
      <c r="E22" s="45" t="n">
        <f aca="false">L22+D22/$K$2</f>
        <v>1.51286500694502</v>
      </c>
      <c r="F22" s="117" t="n">
        <f aca="false">IF($K$9=0,0,E22/$K$9)</f>
        <v>0.00992643662128974</v>
      </c>
      <c r="G22" s="117" t="n">
        <f aca="false">G21+F22</f>
        <v>0.134779443832485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1.51286500694502</v>
      </c>
      <c r="M22" s="139" t="n">
        <f aca="false">'CP RESUMO'!U11</f>
        <v>0</v>
      </c>
      <c r="N22" s="140" t="n">
        <f aca="false">MAX(0,M22-M21)</f>
        <v>0</v>
      </c>
      <c r="O22" s="139" t="n">
        <f aca="false">IF(B22&lt;='VALOR POR PL'!$P$5,'CP RESUMO'!U53,"")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HISTORICOS'!V11)</f>
        <v>1559.18</v>
      </c>
      <c r="D23" s="45" t="n">
        <f aca="false">IF(B23&lt;='VALOR POR PL'!$P$5,0,IF($K$17&gt;0,$K$18*P23/$K$17,0))</f>
        <v>0</v>
      </c>
      <c r="E23" s="45" t="n">
        <f aca="false">L23+D23/$K$2</f>
        <v>1.21749967399138</v>
      </c>
      <c r="F23" s="117" t="n">
        <f aca="false">IF($K$9=0,0,E23/$K$9)</f>
        <v>0.00798844133140532</v>
      </c>
      <c r="G23" s="117" t="n">
        <f aca="false">G22+F23</f>
        <v>0.14276788516389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1.21749967399138</v>
      </c>
      <c r="M23" s="139" t="n">
        <f aca="false">'CP RESUMO'!V11</f>
        <v>0</v>
      </c>
      <c r="N23" s="140" t="n">
        <f aca="false">MAX(0,M23-M22)</f>
        <v>0</v>
      </c>
      <c r="O23" s="139" t="n">
        <f aca="false">IF(B23&lt;='VALOR POR PL'!$P$5,'CP RESUMO'!V53,"")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HISTORICOS'!W11)</f>
        <v>2538.36</v>
      </c>
      <c r="D24" s="45" t="n">
        <f aca="false">IF(B24&lt;='VALOR POR PL'!$P$5,0,IF($K$17&gt;0,$K$18*P24/$K$17,0))</f>
        <v>0</v>
      </c>
      <c r="E24" s="45" t="n">
        <f aca="false">L24+D24/$K$2</f>
        <v>1.97011714247794</v>
      </c>
      <c r="F24" s="117" t="n">
        <f aca="false">IF($K$9=0,0,E24/$K$9)</f>
        <v>0.0129266278627294</v>
      </c>
      <c r="G24" s="117" t="n">
        <f aca="false">G23+F24</f>
        <v>0.155694513026619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1.97011714247794</v>
      </c>
      <c r="M24" s="139" t="n">
        <f aca="false">'CP RESUMO'!W11</f>
        <v>0</v>
      </c>
      <c r="N24" s="140" t="n">
        <f aca="false">MAX(0,M24-M23)</f>
        <v>0</v>
      </c>
      <c r="O24" s="139" t="n">
        <f aca="false">IF(B24&lt;='VALOR POR PL'!$P$5,'CP RESUMO'!W53,"")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HISTORICOS'!X11)</f>
        <v>5139.73</v>
      </c>
      <c r="D25" s="45" t="n">
        <f aca="false">IF(B25&lt;='VALOR POR PL'!$P$5,0,IF($K$17&gt;0,$K$18*P25/$K$17,0))</f>
        <v>0</v>
      </c>
      <c r="E25" s="45" t="n">
        <f aca="false">L25+D25/$K$2</f>
        <v>3.963122518581</v>
      </c>
      <c r="F25" s="117" t="n">
        <f aca="false">IF($K$9=0,0,E25/$K$9)</f>
        <v>0.0260034334342497</v>
      </c>
      <c r="G25" s="117" t="n">
        <f aca="false">G24+F25</f>
        <v>0.181697946460869</v>
      </c>
      <c r="H25" s="138"/>
      <c r="L25" s="45" t="n">
        <f aca="false">C25/IF(B25&lt;='VALOR POR PL'!$P$5,IFERROR(INDEX('"INCC-FGV"'!$B$2:$B$800,MATCH(B25,'"INCC-FGV"'!$A$2:$A$800,0)),$K$2),$K$2)</f>
        <v>3.963122518581</v>
      </c>
      <c r="M25" s="139" t="n">
        <f aca="false">'CP RESUMO'!X11</f>
        <v>0</v>
      </c>
      <c r="N25" s="140" t="n">
        <f aca="false">MAX(0,M25-M24)</f>
        <v>0</v>
      </c>
      <c r="O25" s="139" t="n">
        <f aca="false">IF(B25&lt;='VALOR POR PL'!$P$5,'CP RESUMO'!X53,"")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HISTORICOS'!Y11)</f>
        <v>6268.27</v>
      </c>
      <c r="D26" s="45" t="n">
        <f aca="false">IF(B26&lt;='VALOR POR PL'!$P$5,0,IF($K$17&gt;0,$K$18*P26/$K$17,0))</f>
        <v>830.137986124013</v>
      </c>
      <c r="E26" s="45" t="n">
        <f aca="false">L26+D26/$K$2</f>
        <v>5.47341213174297</v>
      </c>
      <c r="F26" s="117" t="n">
        <f aca="false">IF($K$9=0,0,E26/$K$9)</f>
        <v>0.0359129719958679</v>
      </c>
      <c r="G26" s="117" t="n">
        <f aca="false">G25+F26</f>
        <v>0.217610918456737</v>
      </c>
      <c r="H26" s="138" t="n">
        <v>860.64</v>
      </c>
      <c r="L26" s="45" t="n">
        <f aca="false">C26/IF(B26&lt;='VALOR POR PL'!$P$5,IFERROR(INDEX('"INCC-FGV"'!$B$2:$B$800,MATCH(B26,'"INCC-FGV"'!$A$2:$A$800,0)),$K$2),$K$2)</f>
        <v>4.83331264279364</v>
      </c>
      <c r="M26" s="139" t="n">
        <f aca="false">'CP RESUMO'!Y11</f>
        <v>0</v>
      </c>
      <c r="N26" s="140" t="n">
        <f aca="false">MAX(0,M26-M25)</f>
        <v>0</v>
      </c>
      <c r="O26" s="139" t="str">
        <f aca="false">IF(B26&lt;='VALOR POR PL'!$P$5,'CP RESUMO'!Y53,"")</f>
        <v/>
      </c>
      <c r="P26" s="66" t="n">
        <f aca="false">IF(B26&lt;='VALOR POR PL'!$P$5,0,IF(OR($K$16="CURVA PREVISION",$K$16="MDO PREVISION + MATERIAL PREMISSA"),N26,IF($K$16="PREVISÃO INFORMADA",MAX(0,H26),0)))</f>
        <v>860.64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HISTORICOS'!Z11)</f>
        <v>1218.69</v>
      </c>
      <c r="D27" s="45" t="n">
        <f aca="false">IF(B27&lt;='VALOR POR PL'!$P$5,0,IF($K$17&gt;0,$K$18*P27/$K$17,0))</f>
        <v>3143.70971269649</v>
      </c>
      <c r="E27" s="45" t="n">
        <f aca="false">L27+D27/$K$2</f>
        <v>3.36374177951736</v>
      </c>
      <c r="F27" s="117" t="n">
        <f aca="false">IF($K$9=0,0,E27/$K$9)</f>
        <v>0.0220706866980742</v>
      </c>
      <c r="G27" s="117" t="n">
        <f aca="false">G26+F27</f>
        <v>0.239681605154811</v>
      </c>
      <c r="H27" s="138" t="n">
        <v>3259.22</v>
      </c>
      <c r="L27" s="45" t="n">
        <f aca="false">C27/IF(B27&lt;='VALOR POR PL'!$P$5,IFERROR(INDEX('"INCC-FGV"'!$B$2:$B$800,MATCH(B27,'"INCC-FGV"'!$A$2:$A$800,0)),$K$2),$K$2)</f>
        <v>0.939702626824655</v>
      </c>
      <c r="M27" s="139" t="n">
        <f aca="false">'CP RESUMO'!Z11</f>
        <v>0</v>
      </c>
      <c r="N27" s="140" t="n">
        <f aca="false">MAX(0,M27-M26)</f>
        <v>0</v>
      </c>
      <c r="O27" s="139" t="str">
        <f aca="false">IF(B27&lt;='VALOR POR PL'!$P$5,'CP RESUMO'!Z53,"")</f>
        <v/>
      </c>
      <c r="P27" s="66" t="n">
        <f aca="false">IF(B27&lt;='VALOR POR PL'!$P$5,0,IF(OR($K$16="CURVA PREVISION",$K$16="MDO PREVISION + MATERIAL PREMISSA"),N27,IF($K$16="PREVISÃO INFORMADA",MAX(0,H27),0)))</f>
        <v>3259.22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HISTORICOS'!AA11)</f>
        <v>4669.99</v>
      </c>
      <c r="D28" s="45" t="n">
        <f aca="false">IF(B28&lt;='VALOR POR PL'!$P$5,0,IF($K$17&gt;0,$K$18*P28/$K$17,0))</f>
        <v>4381.18092937006</v>
      </c>
      <c r="E28" s="45" t="n">
        <f aca="false">L28+D28/$K$2</f>
        <v>6.97914079722325</v>
      </c>
      <c r="F28" s="117" t="n">
        <f aca="false">IF($K$9=0,0,E28/$K$9)</f>
        <v>0.0457925845839938</v>
      </c>
      <c r="G28" s="117" t="n">
        <f aca="false">G27+F28</f>
        <v>0.285474189738805</v>
      </c>
      <c r="H28" s="138" t="n">
        <v>4542.16</v>
      </c>
      <c r="L28" s="45" t="n">
        <f aca="false">C28/IF(B28&lt;='VALOR POR PL'!$P$5,IFERROR(INDEX('"INCC-FGV"'!$B$2:$B$800,MATCH(B28,'"INCC-FGV"'!$A$2:$A$800,0)),$K$2),$K$2)</f>
        <v>3.60091727202559</v>
      </c>
      <c r="M28" s="139" t="n">
        <f aca="false">'CP RESUMO'!AA11</f>
        <v>0</v>
      </c>
      <c r="N28" s="140" t="n">
        <f aca="false">MAX(0,M28-M27)</f>
        <v>0</v>
      </c>
      <c r="O28" s="139" t="str">
        <f aca="false">IF(B28&lt;='VALOR POR PL'!$P$5,'CP RESUMO'!AA53,"")</f>
        <v/>
      </c>
      <c r="P28" s="66" t="n">
        <f aca="false">IF(B28&lt;='VALOR POR PL'!$P$5,0,IF(OR($K$16="CURVA PREVISION",$K$16="MDO PREVISION + MATERIAL PREMISSA"),N28,IF($K$16="PREVISÃO INFORMADA",MAX(0,H28),0)))</f>
        <v>4542.16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HISTORICOS'!AB11)</f>
        <v>0</v>
      </c>
      <c r="D29" s="45" t="n">
        <f aca="false">IF(B29&lt;='VALOR POR PL'!$P$5,0,IF($K$17&gt;0,$K$18*P29/$K$17,0))</f>
        <v>4102.9249730619</v>
      </c>
      <c r="E29" s="45" t="n">
        <f aca="false">L29+D29/$K$2</f>
        <v>3.16366703169037</v>
      </c>
      <c r="F29" s="117" t="n">
        <f aca="false">IF($K$9=0,0,E29/$K$9)</f>
        <v>0.0207579262768153</v>
      </c>
      <c r="G29" s="117" t="n">
        <f aca="false">G28+F29</f>
        <v>0.30623211601562</v>
      </c>
      <c r="H29" s="138" t="n">
        <v>4253.68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RESUMO'!AB11</f>
        <v>0</v>
      </c>
      <c r="N29" s="140" t="n">
        <f aca="false">MAX(0,M29-M28)</f>
        <v>0</v>
      </c>
      <c r="O29" s="139" t="str">
        <f aca="false">IF(B29&lt;='VALOR POR PL'!$P$5,'CP RESUMO'!AB53,"")</f>
        <v/>
      </c>
      <c r="P29" s="66" t="n">
        <f aca="false">IF(B29&lt;='VALOR POR PL'!$P$5,0,IF(OR($K$16="CURVA PREVISION",$K$16="MDO PREVISION + MATERIAL PREMISSA"),N29,IF($K$16="PREVISÃO INFORMADA",MAX(0,H29),0)))</f>
        <v>4253.68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HISTORICOS'!AC11)</f>
        <v>0</v>
      </c>
      <c r="D30" s="45" t="n">
        <f aca="false">IF(B30&lt;='VALOR POR PL'!$P$5,0,IF($K$17&gt;0,$K$18*P30/$K$17,0))</f>
        <v>3889.4873759603</v>
      </c>
      <c r="E30" s="45" t="n">
        <f aca="false">L30+D30/$K$2</f>
        <v>2.9990904201981</v>
      </c>
      <c r="F30" s="117" t="n">
        <f aca="false">IF($K$9=0,0,E30/$K$9)</f>
        <v>0.0196780815478903</v>
      </c>
      <c r="G30" s="117" t="n">
        <f aca="false">G29+F30</f>
        <v>0.325910197563511</v>
      </c>
      <c r="H30" s="138" t="n">
        <v>4032.4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RESUMO'!AC11</f>
        <v>0</v>
      </c>
      <c r="N30" s="140" t="n">
        <f aca="false">MAX(0,M30-M29)</f>
        <v>0</v>
      </c>
      <c r="O30" s="139" t="str">
        <f aca="false">IF(B30&lt;='VALOR POR PL'!$P$5,'CP RESUMO'!AC53,"")</f>
        <v/>
      </c>
      <c r="P30" s="66" t="n">
        <f aca="false">IF(B30&lt;='VALOR POR PL'!$P$5,0,IF(OR($K$16="CURVA PREVISION",$K$16="MDO PREVISION + MATERIAL PREMISSA"),N30,IF($K$16="PREVISÃO INFORMADA",MAX(0,H30),0)))</f>
        <v>4032.4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HISTORICOS'!AD11)</f>
        <v>0</v>
      </c>
      <c r="D31" s="45" t="n">
        <f aca="false">IF(B31&lt;='VALOR POR PL'!$P$5,0,IF($K$17&gt;0,$K$18*P31/$K$17,0))</f>
        <v>4717.38758539742</v>
      </c>
      <c r="E31" s="45" t="n">
        <f aca="false">L31+D31/$K$2</f>
        <v>3.63746441322073</v>
      </c>
      <c r="F31" s="117" t="n">
        <f aca="false">IF($K$9=0,0,E31/$K$9)</f>
        <v>0.0238666766659801</v>
      </c>
      <c r="G31" s="117" t="n">
        <f aca="false">G30+F31</f>
        <v>0.349776874229491</v>
      </c>
      <c r="H31" s="138" t="n">
        <v>4890.72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RESUMO'!AD11</f>
        <v>0</v>
      </c>
      <c r="N31" s="140" t="n">
        <f aca="false">MAX(0,M31-M30)</f>
        <v>0</v>
      </c>
      <c r="O31" s="139" t="str">
        <f aca="false">IF(B31&lt;='VALOR POR PL'!$P$5,'CP RESUMO'!AD53,"")</f>
        <v/>
      </c>
      <c r="P31" s="66" t="n">
        <f aca="false">IF(B31&lt;='VALOR POR PL'!$P$5,0,IF(OR($K$16="CURVA PREVISION",$K$16="MDO PREVISION + MATERIAL PREMISSA"),N31,IF($K$16="PREVISÃO INFORMADA",MAX(0,H31),0)))</f>
        <v>4890.72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HISTORICOS'!AE11)</f>
        <v>0</v>
      </c>
      <c r="D32" s="45" t="n">
        <f aca="false">IF(B32&lt;='VALOR POR PL'!$P$5,0,IF($K$17&gt;0,$K$18*P32/$K$17,0))</f>
        <v>4916.54971053091</v>
      </c>
      <c r="E32" s="45" t="n">
        <f aca="false">L32+D32/$K$2</f>
        <v>3.79103355069779</v>
      </c>
      <c r="F32" s="117" t="n">
        <f aca="false">IF($K$9=0,0,E32/$K$9)</f>
        <v>0.0248742975066725</v>
      </c>
      <c r="G32" s="117" t="n">
        <f aca="false">G31+F32</f>
        <v>0.374651171736163</v>
      </c>
      <c r="H32" s="138" t="n">
        <v>5097.2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RESUMO'!AE11</f>
        <v>0</v>
      </c>
      <c r="N32" s="140" t="n">
        <f aca="false">MAX(0,M32-M31)</f>
        <v>0</v>
      </c>
      <c r="O32" s="139" t="str">
        <f aca="false">IF(B32&lt;='VALOR POR PL'!$P$5,'CP RESUMO'!AE53,"")</f>
        <v/>
      </c>
      <c r="P32" s="66" t="n">
        <f aca="false">IF(B32&lt;='VALOR POR PL'!$P$5,0,IF(OR($K$16="CURVA PREVISION",$K$16="MDO PREVISION + MATERIAL PREMISSA"),N32,IF($K$16="PREVISÃO INFORMADA",MAX(0,H32),0)))</f>
        <v>5097.2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HISTORICOS'!AF11)</f>
        <v>0</v>
      </c>
      <c r="D33" s="45" t="n">
        <f aca="false">IF(B33&lt;='VALOR POR PL'!$P$5,0,IF($K$17&gt;0,$K$18*P33/$K$17,0))</f>
        <v>4680.70540979287</v>
      </c>
      <c r="E33" s="45" t="n">
        <f aca="false">L33+D33/$K$2</f>
        <v>3.6091796674911</v>
      </c>
      <c r="F33" s="117" t="n">
        <f aca="false">IF($K$9=0,0,E33/$K$9)</f>
        <v>0.0236810905531772</v>
      </c>
      <c r="G33" s="117" t="n">
        <f aca="false">G32+F33</f>
        <v>0.39833226228934</v>
      </c>
      <c r="H33" s="138" t="n">
        <v>4852.69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RESUMO'!AF11</f>
        <v>0</v>
      </c>
      <c r="N33" s="140" t="n">
        <f aca="false">MAX(0,M33-M32)</f>
        <v>0</v>
      </c>
      <c r="O33" s="139" t="str">
        <f aca="false">IF(B33&lt;='VALOR POR PL'!$P$5,'CP RESUMO'!AF53,"")</f>
        <v/>
      </c>
      <c r="P33" s="66" t="n">
        <f aca="false">IF(B33&lt;='VALOR POR PL'!$P$5,0,IF(OR($K$16="CURVA PREVISION",$K$16="MDO PREVISION + MATERIAL PREMISSA"),N33,IF($K$16="PREVISÃO INFORMADA",MAX(0,H33),0)))</f>
        <v>4852.69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HISTORICOS'!AG11)</f>
        <v>0</v>
      </c>
      <c r="D34" s="45" t="n">
        <f aca="false">IF(B34&lt;='VALOR POR PL'!$P$5,0,IF($K$17&gt;0,$K$18*P34/$K$17,0))</f>
        <v>4940.29715106164</v>
      </c>
      <c r="E34" s="45" t="n">
        <f aca="false">L34+D34/$K$2</f>
        <v>3.80934463247174</v>
      </c>
      <c r="F34" s="117" t="n">
        <f aca="false">IF($K$9=0,0,E34/$K$9)</f>
        <v>0.0249944429207458</v>
      </c>
      <c r="G34" s="117" t="n">
        <f aca="false">G33+F34</f>
        <v>0.423326705210086</v>
      </c>
      <c r="H34" s="138" t="n">
        <v>5121.82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RESUMO'!AG11</f>
        <v>0</v>
      </c>
      <c r="N34" s="140" t="n">
        <f aca="false">MAX(0,M34-M33)</f>
        <v>0</v>
      </c>
      <c r="O34" s="139" t="str">
        <f aca="false">IF(B34&lt;='VALOR POR PL'!$P$5,'CP RESUMO'!AG53,"")</f>
        <v/>
      </c>
      <c r="P34" s="66" t="n">
        <f aca="false">IF(B34&lt;='VALOR POR PL'!$P$5,0,IF(OR($K$16="CURVA PREVISION",$K$16="MDO PREVISION + MATERIAL PREMISSA"),N34,IF($K$16="PREVISÃO INFORMADA",MAX(0,H34),0)))</f>
        <v>5121.82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HISTORICOS'!AH11)</f>
        <v>0</v>
      </c>
      <c r="D35" s="45" t="n">
        <f aca="false">IF(B35&lt;='VALOR POR PL'!$P$5,0,IF($K$17&gt;0,$K$18*P35/$K$17,0))</f>
        <v>5109.2107085654</v>
      </c>
      <c r="E35" s="45" t="n">
        <f aca="false">L35+D35/$K$2</f>
        <v>3.93958982500847</v>
      </c>
      <c r="F35" s="117" t="n">
        <f aca="false">IF($K$9=0,0,E35/$K$9)</f>
        <v>0.0258490271982645</v>
      </c>
      <c r="G35" s="117" t="n">
        <f aca="false">G34+F35</f>
        <v>0.449175732408351</v>
      </c>
      <c r="H35" s="138" t="n">
        <v>5296.94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RESUMO'!AH11</f>
        <v>0</v>
      </c>
      <c r="N35" s="140" t="n">
        <f aca="false">MAX(0,M35-M34)</f>
        <v>0</v>
      </c>
      <c r="O35" s="139" t="str">
        <f aca="false">IF(B35&lt;='VALOR POR PL'!$P$5,'CP RESUMO'!AH53,"")</f>
        <v/>
      </c>
      <c r="P35" s="66" t="n">
        <f aca="false">IF(B35&lt;='VALOR POR PL'!$P$5,0,IF(OR($K$16="CURVA PREVISION",$K$16="MDO PREVISION + MATERIAL PREMISSA"),N35,IF($K$16="PREVISÃO INFORMADA",MAX(0,H35),0)))</f>
        <v>5296.94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HISTORICOS'!AI11)</f>
        <v>0</v>
      </c>
      <c r="D36" s="45" t="n">
        <f aca="false">IF(B36&lt;='VALOR POR PL'!$P$5,0,IF($K$17&gt;0,$K$18*P36/$K$17,0))</f>
        <v>5165.30945516441</v>
      </c>
      <c r="E36" s="45" t="n">
        <f aca="false">L36+D36/$K$2</f>
        <v>3.98284622289526</v>
      </c>
      <c r="F36" s="117" t="n">
        <f aca="false">IF($K$9=0,0,E36/$K$9)</f>
        <v>0.0261328475590485</v>
      </c>
      <c r="G36" s="117" t="n">
        <f aca="false">G35+F36</f>
        <v>0.475308579967399</v>
      </c>
      <c r="H36" s="138" t="n">
        <v>5355.1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RESUMO'!AI11</f>
        <v>0</v>
      </c>
      <c r="N36" s="140" t="n">
        <f aca="false">MAX(0,M36-M35)</f>
        <v>0</v>
      </c>
      <c r="O36" s="139" t="str">
        <f aca="false">IF(B36&lt;='VALOR POR PL'!$P$5,'CP RESUMO'!AI53,"")</f>
        <v/>
      </c>
      <c r="P36" s="66" t="n">
        <f aca="false">IF(B36&lt;='VALOR POR PL'!$P$5,0,IF(OR($K$16="CURVA PREVISION",$K$16="MDO PREVISION + MATERIAL PREMISSA"),N36,IF($K$16="PREVISÃO INFORMADA",MAX(0,H36),0)))</f>
        <v>5355.1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HISTORICOS'!AJ11)</f>
        <v>0</v>
      </c>
      <c r="D37" s="45" t="n">
        <f aca="false">IF(B37&lt;='VALOR POR PL'!$P$5,0,IF($K$17&gt;0,$K$18*P37/$K$17,0))</f>
        <v>5366.78652169814</v>
      </c>
      <c r="E37" s="45" t="n">
        <f aca="false">L37+D37/$K$2</f>
        <v>4.13820035615858</v>
      </c>
      <c r="F37" s="117" t="n">
        <f aca="false">IF($K$9=0,0,E37/$K$9)</f>
        <v>0.0271521803816165</v>
      </c>
      <c r="G37" s="117" t="n">
        <f aca="false">G36+F37</f>
        <v>0.502460760349016</v>
      </c>
      <c r="H37" s="138" t="n">
        <v>5563.98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RESUMO'!AJ11</f>
        <v>0</v>
      </c>
      <c r="N37" s="140" t="n">
        <f aca="false">MAX(0,M37-M36)</f>
        <v>0</v>
      </c>
      <c r="O37" s="139" t="str">
        <f aca="false">IF(B37&lt;='VALOR POR PL'!$P$5,'CP RESUMO'!AJ53,"")</f>
        <v/>
      </c>
      <c r="P37" s="66" t="n">
        <f aca="false">IF(B37&lt;='VALOR POR PL'!$P$5,0,IF(OR($K$16="CURVA PREVISION",$K$16="MDO PREVISION + MATERIAL PREMISSA"),N37,IF($K$16="PREVISÃO INFORMADA",MAX(0,H37),0)))</f>
        <v>5563.98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HISTORICOS'!AK11)</f>
        <v>0</v>
      </c>
      <c r="D38" s="45" t="n">
        <f aca="false">IF(B38&lt;='VALOR POR PL'!$P$5,0,IF($K$17&gt;0,$K$18*P38/$K$17,0))</f>
        <v>5766.04639411438</v>
      </c>
      <c r="E38" s="45" t="n">
        <f aca="false">L38+D38/$K$2</f>
        <v>4.44606006690964</v>
      </c>
      <c r="F38" s="117" t="n">
        <f aca="false">IF($K$9=0,0,E38/$K$9)</f>
        <v>0.0291721556556762</v>
      </c>
      <c r="G38" s="117" t="n">
        <f aca="false">G37+F38</f>
        <v>0.531632916004692</v>
      </c>
      <c r="H38" s="138" t="n">
        <v>5977.91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RESUMO'!AK11</f>
        <v>0</v>
      </c>
      <c r="N38" s="140" t="n">
        <f aca="false">MAX(0,M38-M37)</f>
        <v>0</v>
      </c>
      <c r="O38" s="139" t="str">
        <f aca="false">IF(B38&lt;='VALOR POR PL'!$P$5,'CP RESUMO'!AK53,"")</f>
        <v/>
      </c>
      <c r="P38" s="66" t="n">
        <f aca="false">IF(B38&lt;='VALOR POR PL'!$P$5,0,IF(OR($K$16="CURVA PREVISION",$K$16="MDO PREVISION + MATERIAL PREMISSA"),N38,IF($K$16="PREVISÃO INFORMADA",MAX(0,H38),0)))</f>
        <v>5977.91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HISTORICOS'!AL11)</f>
        <v>0</v>
      </c>
      <c r="D39" s="45" t="n">
        <f aca="false">IF(B39&lt;='VALOR POR PL'!$P$5,0,IF($K$17&gt;0,$K$18*P39/$K$17,0))</f>
        <v>5987.89494497016</v>
      </c>
      <c r="E39" s="45" t="n">
        <f aca="false">L39+D39/$K$2</f>
        <v>4.61712216309196</v>
      </c>
      <c r="F39" s="117" t="n">
        <f aca="false">IF($K$9=0,0,E39/$K$9)</f>
        <v>0.030294553918749</v>
      </c>
      <c r="G39" s="117" t="n">
        <f aca="false">G38+F39</f>
        <v>0.561927469923441</v>
      </c>
      <c r="H39" s="138" t="n">
        <v>6207.91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RESUMO'!AL11</f>
        <v>0</v>
      </c>
      <c r="N39" s="140" t="n">
        <f aca="false">MAX(0,M39-M38)</f>
        <v>0</v>
      </c>
      <c r="O39" s="139" t="str">
        <f aca="false">IF(B39&lt;='VALOR POR PL'!$P$5,'CP RESUMO'!AL53,"")</f>
        <v/>
      </c>
      <c r="P39" s="66" t="n">
        <f aca="false">IF(B39&lt;='VALOR POR PL'!$P$5,0,IF(OR($K$16="CURVA PREVISION",$K$16="MDO PREVISION + MATERIAL PREMISSA"),N39,IF($K$16="PREVISÃO INFORMADA",MAX(0,H39),0)))</f>
        <v>6207.91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HISTORICOS'!AM11)</f>
        <v>0</v>
      </c>
      <c r="D40" s="45" t="n">
        <f aca="false">IF(B40&lt;='VALOR POR PL'!$P$5,0,IF($K$17&gt;0,$K$18*P40/$K$17,0))</f>
        <v>5804.97599199498</v>
      </c>
      <c r="E40" s="45" t="n">
        <f aca="false">L40+D40/$K$2</f>
        <v>4.47607774604842</v>
      </c>
      <c r="F40" s="117" t="n">
        <f aca="false">IF($K$9=0,0,E40/$K$9)</f>
        <v>0.0293691121508833</v>
      </c>
      <c r="G40" s="117" t="n">
        <f aca="false">G39+F40</f>
        <v>0.591296582074324</v>
      </c>
      <c r="H40" s="138" t="n">
        <v>6018.27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RESUMO'!AM11</f>
        <v>0</v>
      </c>
      <c r="N40" s="140" t="n">
        <f aca="false">MAX(0,M40-M39)</f>
        <v>0</v>
      </c>
      <c r="O40" s="139" t="str">
        <f aca="false">IF(B40&lt;='VALOR POR PL'!$P$5,'CP RESUMO'!AM53,"")</f>
        <v/>
      </c>
      <c r="P40" s="66" t="n">
        <f aca="false">IF(B40&lt;='VALOR POR PL'!$P$5,0,IF(OR($K$16="CURVA PREVISION",$K$16="MDO PREVISION + MATERIAL PREMISSA"),N40,IF($K$16="PREVISÃO INFORMADA",MAX(0,H40),0)))</f>
        <v>6018.27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HISTORICOS'!AN11)</f>
        <v>0</v>
      </c>
      <c r="D41" s="45" t="n">
        <f aca="false">IF(B41&lt;='VALOR POR PL'!$P$5,0,IF($K$17&gt;0,$K$18*P41/$K$17,0))</f>
        <v>6000.91649034648</v>
      </c>
      <c r="E41" s="45" t="n">
        <f aca="false">L41+D41/$K$2</f>
        <v>4.62716276438961</v>
      </c>
      <c r="F41" s="117" t="n">
        <f aca="false">IF($K$9=0,0,E41/$K$9)</f>
        <v>0.0303604338167989</v>
      </c>
      <c r="G41" s="117" t="n">
        <f aca="false">G40+F41</f>
        <v>0.621657015891123</v>
      </c>
      <c r="H41" s="138" t="n">
        <v>6221.41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RESUMO'!AN11</f>
        <v>0</v>
      </c>
      <c r="N41" s="140" t="n">
        <f aca="false">MAX(0,M41-M40)</f>
        <v>0</v>
      </c>
      <c r="O41" s="139" t="str">
        <f aca="false">IF(B41&lt;='VALOR POR PL'!$P$5,'CP RESUMO'!AN53,"")</f>
        <v/>
      </c>
      <c r="P41" s="66" t="n">
        <f aca="false">IF(B41&lt;='VALOR POR PL'!$P$5,0,IF(OR($K$16="CURVA PREVISION",$K$16="MDO PREVISION + MATERIAL PREMISSA"),N41,IF($K$16="PREVISÃO INFORMADA",MAX(0,H41),0)))</f>
        <v>6221.41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HISTORICOS'!AO11)</f>
        <v>0</v>
      </c>
      <c r="D42" s="45" t="n">
        <f aca="false">IF(B42&lt;='VALOR POR PL'!$P$5,0,IF($K$17&gt;0,$K$18*P42/$K$17,0))</f>
        <v>5320.45875692595</v>
      </c>
      <c r="E42" s="45" t="n">
        <f aca="false">L42+D42/$K$2</f>
        <v>4.10247812798624</v>
      </c>
      <c r="F42" s="117" t="n">
        <f aca="false">IF($K$9=0,0,E42/$K$9)</f>
        <v>0.0269177943443323</v>
      </c>
      <c r="G42" s="117" t="n">
        <f aca="false">G41+F42</f>
        <v>0.648574810235455</v>
      </c>
      <c r="H42" s="138" t="n">
        <v>5515.95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RESUMO'!AO11</f>
        <v>0</v>
      </c>
      <c r="N42" s="140" t="n">
        <f aca="false">MAX(0,M42-M41)</f>
        <v>0</v>
      </c>
      <c r="O42" s="139" t="str">
        <f aca="false">IF(B42&lt;='VALOR POR PL'!$P$5,'CP RESUMO'!AO53,"")</f>
        <v/>
      </c>
      <c r="P42" s="66" t="n">
        <f aca="false">IF(B42&lt;='VALOR POR PL'!$P$5,0,IF(OR($K$16="CURVA PREVISION",$K$16="MDO PREVISION + MATERIAL PREMISSA"),N42,IF($K$16="PREVISÃO INFORMADA",MAX(0,H42),0)))</f>
        <v>5515.95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HISTORICOS'!AP11)</f>
        <v>0</v>
      </c>
      <c r="D43" s="45" t="n">
        <f aca="false">IF(B43&lt;='VALOR POR PL'!$P$5,0,IF($K$17&gt;0,$K$18*P43/$K$17,0))</f>
        <v>5861.51843569571</v>
      </c>
      <c r="E43" s="45" t="n">
        <f aca="false">L43+D43/$K$2</f>
        <v>4.51967626812758</v>
      </c>
      <c r="F43" s="117" t="n">
        <f aca="false">IF($K$9=0,0,E43/$K$9)</f>
        <v>0.0296551773081934</v>
      </c>
      <c r="G43" s="117" t="n">
        <f aca="false">G42+F43</f>
        <v>0.678229987543649</v>
      </c>
      <c r="H43" s="138" t="n">
        <v>6076.89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RESUMO'!AP11</f>
        <v>0</v>
      </c>
      <c r="N43" s="140" t="n">
        <f aca="false">MAX(0,M43-M42)</f>
        <v>0</v>
      </c>
      <c r="O43" s="139" t="str">
        <f aca="false">IF(B43&lt;='VALOR POR PL'!$P$5,'CP RESUMO'!AP53,"")</f>
        <v/>
      </c>
      <c r="P43" s="66" t="n">
        <f aca="false">IF(B43&lt;='VALOR POR PL'!$P$5,0,IF(OR($K$16="CURVA PREVISION",$K$16="MDO PREVISION + MATERIAL PREMISSA"),N43,IF($K$16="PREVISÃO INFORMADA",MAX(0,H43),0)))</f>
        <v>6076.89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HISTORICOS'!AQ11)</f>
        <v>0</v>
      </c>
      <c r="D44" s="45" t="n">
        <f aca="false">IF(B44&lt;='VALOR POR PL'!$P$5,0,IF($K$17&gt;0,$K$18*P44/$K$17,0))</f>
        <v>5653.86819209469</v>
      </c>
      <c r="E44" s="45" t="n">
        <f aca="false">L44+D44/$K$2</f>
        <v>4.35956214610093</v>
      </c>
      <c r="F44" s="117" t="n">
        <f aca="false">IF($K$9=0,0,E44/$K$9)</f>
        <v>0.0286046125339572</v>
      </c>
      <c r="G44" s="117" t="n">
        <f aca="false">G43+F44</f>
        <v>0.706834600077606</v>
      </c>
      <c r="H44" s="138" t="n">
        <v>5861.61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RESUMO'!AQ11</f>
        <v>0</v>
      </c>
      <c r="N44" s="140" t="n">
        <f aca="false">MAX(0,M44-M43)</f>
        <v>0</v>
      </c>
      <c r="O44" s="139" t="str">
        <f aca="false">IF(B44&lt;='VALOR POR PL'!$P$5,'CP RESUMO'!AQ53,"")</f>
        <v/>
      </c>
      <c r="P44" s="66" t="n">
        <f aca="false">IF(B44&lt;='VALOR POR PL'!$P$5,0,IF(OR($K$16="CURVA PREVISION",$K$16="MDO PREVISION + MATERIAL PREMISSA"),N44,IF($K$16="PREVISÃO INFORMADA",MAX(0,H44),0)))</f>
        <v>5861.61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HISTORICOS'!AR11)</f>
        <v>0</v>
      </c>
      <c r="D45" s="45" t="n">
        <f aca="false">IF(B45&lt;='VALOR POR PL'!$P$5,0,IF($K$17&gt;0,$K$18*P45/$K$17,0))</f>
        <v>5580.46525852893</v>
      </c>
      <c r="E45" s="45" t="n">
        <f aca="false">L45+D45/$K$2</f>
        <v>4.30296290471191</v>
      </c>
      <c r="F45" s="117" t="n">
        <f aca="false">IF($K$9=0,0,E45/$K$9)</f>
        <v>0.0282332451086536</v>
      </c>
      <c r="G45" s="117" t="n">
        <f aca="false">G44+F45</f>
        <v>0.735067845186259</v>
      </c>
      <c r="H45" s="138" t="n">
        <v>5785.51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RESUMO'!AR11</f>
        <v>0</v>
      </c>
      <c r="N45" s="140" t="n">
        <f aca="false">MAX(0,M45-M44)</f>
        <v>0</v>
      </c>
      <c r="O45" s="139" t="str">
        <f aca="false">IF(B45&lt;='VALOR POR PL'!$P$5,'CP RESUMO'!AR53,"")</f>
        <v/>
      </c>
      <c r="P45" s="66" t="n">
        <f aca="false">IF(B45&lt;='VALOR POR PL'!$P$5,0,IF(OR($K$16="CURVA PREVISION",$K$16="MDO PREVISION + MATERIAL PREMISSA"),N45,IF($K$16="PREVISÃO INFORMADA",MAX(0,H45),0)))</f>
        <v>5785.51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HISTORICOS'!AS11)</f>
        <v>0</v>
      </c>
      <c r="D46" s="45" t="n">
        <f aca="false">IF(B46&lt;='VALOR POR PL'!$P$5,0,IF($K$17&gt;0,$K$18*P46/$K$17,0))</f>
        <v>5264.62044123447</v>
      </c>
      <c r="E46" s="45" t="n">
        <f aca="false">L46+D46/$K$2</f>
        <v>4.0594225421254</v>
      </c>
      <c r="F46" s="117" t="n">
        <f aca="false">IF($K$9=0,0,E46/$K$9)</f>
        <v>0.0266352915815093</v>
      </c>
      <c r="G46" s="117" t="n">
        <f aca="false">G45+F46</f>
        <v>0.761703136767769</v>
      </c>
      <c r="H46" s="138" t="n">
        <v>5458.06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RESUMO'!AS11</f>
        <v>0</v>
      </c>
      <c r="N46" s="140" t="n">
        <f aca="false">MAX(0,M46-M45)</f>
        <v>0</v>
      </c>
      <c r="O46" s="139" t="str">
        <f aca="false">IF(B46&lt;='VALOR POR PL'!$P$5,'CP RESUMO'!AS53,"")</f>
        <v/>
      </c>
      <c r="P46" s="66" t="n">
        <f aca="false">IF(B46&lt;='VALOR POR PL'!$P$5,0,IF(OR($K$16="CURVA PREVISION",$K$16="MDO PREVISION + MATERIAL PREMISSA"),N46,IF($K$16="PREVISÃO INFORMADA",MAX(0,H46),0)))</f>
        <v>5458.06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HISTORICOS'!AT11)</f>
        <v>0</v>
      </c>
      <c r="D47" s="45" t="n">
        <f aca="false">IF(B47&lt;='VALOR POR PL'!$P$5,0,IF($K$17&gt;0,$K$18*P47/$K$17,0))</f>
        <v>5692.39267523026</v>
      </c>
      <c r="E47" s="45" t="n">
        <f aca="false">L47+D47/$K$2</f>
        <v>4.38926745097711</v>
      </c>
      <c r="F47" s="117" t="n">
        <f aca="false">IF($K$9=0,0,E47/$K$9)</f>
        <v>0.028799519432336</v>
      </c>
      <c r="G47" s="117" t="n">
        <f aca="false">G46+F47</f>
        <v>0.790502656200105</v>
      </c>
      <c r="H47" s="138" t="n">
        <v>5901.55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RESUMO'!AT11</f>
        <v>0</v>
      </c>
      <c r="N47" s="140" t="n">
        <f aca="false">MAX(0,M47-M46)</f>
        <v>0</v>
      </c>
      <c r="O47" s="139" t="str">
        <f aca="false">IF(B47&lt;='VALOR POR PL'!$P$5,'CP RESUMO'!AT53,"")</f>
        <v/>
      </c>
      <c r="P47" s="66" t="n">
        <f aca="false">IF(B47&lt;='VALOR POR PL'!$P$5,0,IF(OR($K$16="CURVA PREVISION",$K$16="MDO PREVISION + MATERIAL PREMISSA"),N47,IF($K$16="PREVISÃO INFORMADA",MAX(0,H47),0)))</f>
        <v>5901.55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HISTORICOS'!AU11)</f>
        <v>0</v>
      </c>
      <c r="D48" s="45" t="n">
        <f aca="false">IF(B48&lt;='VALOR POR PL'!$P$5,0,IF($K$17&gt;0,$K$18*P48/$K$17,0))</f>
        <v>5403.92203999356</v>
      </c>
      <c r="E48" s="45" t="n">
        <f aca="false">L48+D48/$K$2</f>
        <v>4.16683466356301</v>
      </c>
      <c r="F48" s="117" t="n">
        <f aca="false">IF($K$9=0,0,E48/$K$9)</f>
        <v>0.02734006009087</v>
      </c>
      <c r="G48" s="117" t="n">
        <f aca="false">G47+F48</f>
        <v>0.817842716290975</v>
      </c>
      <c r="H48" s="138" t="n">
        <v>5602.48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RESUMO'!AU11</f>
        <v>0</v>
      </c>
      <c r="N48" s="140" t="n">
        <f aca="false">MAX(0,M48-M47)</f>
        <v>0</v>
      </c>
      <c r="O48" s="139" t="str">
        <f aca="false">IF(B48&lt;='VALOR POR PL'!$P$5,'CP RESUMO'!AU53,"")</f>
        <v/>
      </c>
      <c r="P48" s="66" t="n">
        <f aca="false">IF(B48&lt;='VALOR POR PL'!$P$5,0,IF(OR($K$16="CURVA PREVISION",$K$16="MDO PREVISION + MATERIAL PREMISSA"),N48,IF($K$16="PREVISÃO INFORMADA",MAX(0,H48),0)))</f>
        <v>5602.48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HISTORICOS'!AV11)</f>
        <v>0</v>
      </c>
      <c r="D49" s="45" t="n">
        <f aca="false">IF(B49&lt;='VALOR POR PL'!$P$5,0,IF($K$17&gt;0,$K$18*P49/$K$17,0))</f>
        <v>5323.06306600121</v>
      </c>
      <c r="E49" s="45" t="n">
        <f aca="false">L49+D49/$K$2</f>
        <v>4.10448624824577</v>
      </c>
      <c r="F49" s="117" t="n">
        <f aca="false">IF($K$9=0,0,E49/$K$9)</f>
        <v>0.0269309703239422</v>
      </c>
      <c r="G49" s="117" t="n">
        <f aca="false">G48+F49</f>
        <v>0.844773686614917</v>
      </c>
      <c r="H49" s="138" t="n">
        <v>5518.65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RESUMO'!AV11</f>
        <v>0</v>
      </c>
      <c r="N49" s="140" t="n">
        <f aca="false">MAX(0,M49-M48)</f>
        <v>0</v>
      </c>
      <c r="O49" s="139" t="str">
        <f aca="false">IF(B49&lt;='VALOR POR PL'!$P$5,'CP RESUMO'!AV53,"")</f>
        <v/>
      </c>
      <c r="P49" s="66" t="n">
        <f aca="false">IF(B49&lt;='VALOR POR PL'!$P$5,0,IF(OR($K$16="CURVA PREVISION",$K$16="MDO PREVISION + MATERIAL PREMISSA"),N49,IF($K$16="PREVISÃO INFORMADA",MAX(0,H49),0)))</f>
        <v>5518.65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HISTORICOS'!AW11)</f>
        <v>0</v>
      </c>
      <c r="D50" s="45" t="n">
        <f aca="false">IF(B50&lt;='VALOR POR PL'!$P$5,0,IF($K$17&gt;0,$K$18*P50/$K$17,0))</f>
        <v>5086.33137105976</v>
      </c>
      <c r="E50" s="45" t="n">
        <f aca="false">L50+D50/$K$2</f>
        <v>3.92194811665436</v>
      </c>
      <c r="F50" s="117" t="n">
        <f aca="false">IF($K$9=0,0,E50/$K$9)</f>
        <v>0.0257332737773946</v>
      </c>
      <c r="G50" s="117" t="n">
        <f aca="false">G49+F50</f>
        <v>0.870506960392312</v>
      </c>
      <c r="H50" s="138" t="n">
        <v>5273.22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RESUMO'!AW11</f>
        <v>0</v>
      </c>
      <c r="N50" s="140" t="n">
        <f aca="false">MAX(0,M50-M49)</f>
        <v>0</v>
      </c>
      <c r="O50" s="139" t="str">
        <f aca="false">IF(B50&lt;='VALOR POR PL'!$P$5,'CP RESUMO'!AW53,"")</f>
        <v/>
      </c>
      <c r="P50" s="66" t="n">
        <f aca="false">IF(B50&lt;='VALOR POR PL'!$P$5,0,IF(OR($K$16="CURVA PREVISION",$K$16="MDO PREVISION + MATERIAL PREMISSA"),N50,IF($K$16="PREVISÃO INFORMADA",MAX(0,H50),0)))</f>
        <v>5273.22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HISTORICOS'!AX11)</f>
        <v>0</v>
      </c>
      <c r="D51" s="45" t="n">
        <f aca="false">IF(B51&lt;='VALOR POR PL'!$P$5,0,IF($K$17&gt;0,$K$18*P51/$K$17,0))</f>
        <v>4744.56885567183</v>
      </c>
      <c r="E51" s="45" t="n">
        <f aca="false">L51+D51/$K$2</f>
        <v>3.65842323874428</v>
      </c>
      <c r="F51" s="117" t="n">
        <f aca="false">IF($K$9=0,0,E51/$K$9)</f>
        <v>0.0240041948531687</v>
      </c>
      <c r="G51" s="117" t="n">
        <f aca="false">G50+F51</f>
        <v>0.89451115524548</v>
      </c>
      <c r="H51" s="138" t="n">
        <v>4918.9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RESUMO'!AX11</f>
        <v>0</v>
      </c>
      <c r="N51" s="140" t="n">
        <f aca="false">MAX(0,M51-M50)</f>
        <v>0</v>
      </c>
      <c r="O51" s="139" t="str">
        <f aca="false">IF(B51&lt;='VALOR POR PL'!$P$5,'CP RESUMO'!AX53,"")</f>
        <v/>
      </c>
      <c r="P51" s="66" t="n">
        <f aca="false">IF(B51&lt;='VALOR POR PL'!$P$5,0,IF(OR($K$16="CURVA PREVISION",$K$16="MDO PREVISION + MATERIAL PREMISSA"),N51,IF($K$16="PREVISÃO INFORMADA",MAX(0,H51),0)))</f>
        <v>4918.9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HISTORICOS'!AY11)</f>
        <v>0</v>
      </c>
      <c r="D52" s="45" t="n">
        <f aca="false">IF(B52&lt;='VALOR POR PL'!$P$5,0,IF($K$17&gt;0,$K$18*P52/$K$17,0))</f>
        <v>4409.69329094961</v>
      </c>
      <c r="E52" s="45" t="n">
        <f aca="false">L52+D52/$K$2</f>
        <v>3.4002087232983</v>
      </c>
      <c r="F52" s="117" t="n">
        <f aca="false">IF($K$9=0,0,E52/$K$9)</f>
        <v>0.0223099590750226</v>
      </c>
      <c r="G52" s="117" t="n">
        <f aca="false">G51+F52</f>
        <v>0.916821114320503</v>
      </c>
      <c r="H52" s="138" t="n">
        <v>4571.72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RESUMO'!AY11</f>
        <v>0</v>
      </c>
      <c r="N52" s="140" t="n">
        <f aca="false">MAX(0,M52-M51)</f>
        <v>0</v>
      </c>
      <c r="O52" s="139" t="str">
        <f aca="false">IF(B52&lt;='VALOR POR PL'!$P$5,'CP RESUMO'!AY53,"")</f>
        <v/>
      </c>
      <c r="P52" s="66" t="n">
        <f aca="false">IF(B52&lt;='VALOR POR PL'!$P$5,0,IF(OR($K$16="CURVA PREVISION",$K$16="MDO PREVISION + MATERIAL PREMISSA"),N52,IF($K$16="PREVISÃO INFORMADA",MAX(0,H52),0)))</f>
        <v>4571.72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HISTORICOS'!AZ11)</f>
        <v>0</v>
      </c>
      <c r="D53" s="45" t="n">
        <f aca="false">IF(B53&lt;='VALOR POR PL'!$P$5,0,IF($K$17&gt;0,$K$18*P53/$K$17,0))</f>
        <v>3564.78790780994</v>
      </c>
      <c r="E53" s="45" t="n">
        <f aca="false">L53+D53/$K$2</f>
        <v>2.74872244872918</v>
      </c>
      <c r="F53" s="117" t="n">
        <f aca="false">IF($K$9=0,0,E53/$K$9)</f>
        <v>0.018035329690072</v>
      </c>
      <c r="G53" s="117" t="n">
        <f aca="false">G52+F53</f>
        <v>0.934856444010575</v>
      </c>
      <c r="H53" s="138" t="n">
        <v>3695.77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RESUMO'!AZ11</f>
        <v>0</v>
      </c>
      <c r="N53" s="140" t="n">
        <f aca="false">MAX(0,M53-M52)</f>
        <v>0</v>
      </c>
      <c r="O53" s="139" t="str">
        <f aca="false">IF(B53&lt;='VALOR POR PL'!$P$5,'CP RESUMO'!AZ53,"")</f>
        <v/>
      </c>
      <c r="P53" s="66" t="n">
        <f aca="false">IF(B53&lt;='VALOR POR PL'!$P$5,0,IF(OR($K$16="CURVA PREVISION",$K$16="MDO PREVISION + MATERIAL PREMISSA"),N53,IF($K$16="PREVISÃO INFORMADA",MAX(0,H53),0)))</f>
        <v>3695.77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HISTORICOS'!BA11)</f>
        <v>0</v>
      </c>
      <c r="D54" s="45" t="n">
        <f aca="false">IF(B54&lt;='VALOR POR PL'!$P$5,0,IF($K$17&gt;0,$K$18*P54/$K$17,0))</f>
        <v>3108.52260341293</v>
      </c>
      <c r="E54" s="45" t="n">
        <f aca="false">L54+D54/$K$2</f>
        <v>2.3969072167417</v>
      </c>
      <c r="F54" s="117" t="n">
        <f aca="false">IF($K$9=0,0,E54/$K$9)</f>
        <v>0.0157269468623271</v>
      </c>
      <c r="G54" s="117" t="n">
        <f aca="false">G53+F54</f>
        <v>0.950583390872902</v>
      </c>
      <c r="H54" s="138" t="n">
        <v>3222.74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RESUMO'!BA11</f>
        <v>0</v>
      </c>
      <c r="N54" s="140" t="n">
        <f aca="false">MAX(0,M54-M53)</f>
        <v>0</v>
      </c>
      <c r="O54" s="139" t="str">
        <f aca="false">IF(B54&lt;='VALOR POR PL'!$P$5,'CP RESUMO'!BA53,"")</f>
        <v/>
      </c>
      <c r="P54" s="66" t="n">
        <f aca="false">IF(B54&lt;='VALOR POR PL'!$P$5,0,IF(OR($K$16="CURVA PREVISION",$K$16="MDO PREVISION + MATERIAL PREMISSA"),N54,IF($K$16="PREVISÃO INFORMADA",MAX(0,H54),0)))</f>
        <v>3222.74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HISTORICOS'!BB11)</f>
        <v>0</v>
      </c>
      <c r="D55" s="45" t="n">
        <f aca="false">IF(B55&lt;='VALOR POR PL'!$P$5,0,IF($K$17&gt;0,$K$18*P55/$K$17,0))</f>
        <v>3088.36332205255</v>
      </c>
      <c r="E55" s="45" t="n">
        <f aca="false">L55+D55/$K$2</f>
        <v>2.38136287843644</v>
      </c>
      <c r="F55" s="117" t="n">
        <f aca="false">IF($K$9=0,0,E55/$K$9)</f>
        <v>0.0156249550201609</v>
      </c>
      <c r="G55" s="117" t="n">
        <f aca="false">G54+F55</f>
        <v>0.966208345893063</v>
      </c>
      <c r="H55" s="138" t="n">
        <v>3201.84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RESUMO'!BB11</f>
        <v>0</v>
      </c>
      <c r="N55" s="140" t="n">
        <f aca="false">MAX(0,M55-M54)</f>
        <v>0</v>
      </c>
      <c r="O55" s="139" t="str">
        <f aca="false">IF(B55&lt;='VALOR POR PL'!$P$5,'CP RESUMO'!BB53,"")</f>
        <v/>
      </c>
      <c r="P55" s="66" t="n">
        <f aca="false">IF(B55&lt;='VALOR POR PL'!$P$5,0,IF(OR($K$16="CURVA PREVISION",$K$16="MDO PREVISION + MATERIAL PREMISSA"),N55,IF($K$16="PREVISÃO INFORMADA",MAX(0,H55),0)))</f>
        <v>3201.84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HISTORICOS'!BC11)</f>
        <v>0</v>
      </c>
      <c r="D56" s="45" t="n">
        <f aca="false">IF(B56&lt;='VALOR POR PL'!$P$5,0,IF($K$17&gt;0,$K$18*P56/$K$17,0))</f>
        <v>2415.80532616032</v>
      </c>
      <c r="E56" s="45" t="n">
        <f aca="false">L56+D56/$K$2</f>
        <v>1.86276954015365</v>
      </c>
      <c r="F56" s="117" t="n">
        <f aca="false">IF($K$9=0,0,E56/$K$9)</f>
        <v>0.0122222826858445</v>
      </c>
      <c r="G56" s="117" t="n">
        <f aca="false">G55+F56</f>
        <v>0.978430628578908</v>
      </c>
      <c r="H56" s="138" t="n">
        <v>2504.57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RESUMO'!BC11</f>
        <v>0</v>
      </c>
      <c r="N56" s="140" t="n">
        <f aca="false">MAX(0,M56-M55)</f>
        <v>0</v>
      </c>
      <c r="O56" s="139" t="str">
        <f aca="false">IF(B56&lt;='VALOR POR PL'!$P$5,'CP RESUMO'!BC53,"")</f>
        <v/>
      </c>
      <c r="P56" s="66" t="n">
        <f aca="false">IF(B56&lt;='VALOR POR PL'!$P$5,0,IF(OR($K$16="CURVA PREVISION",$K$16="MDO PREVISION + MATERIAL PREMISSA"),N56,IF($K$16="PREVISÃO INFORMADA",MAX(0,H56),0)))</f>
        <v>2504.57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HISTORICOS'!BD11)</f>
        <v>0</v>
      </c>
      <c r="D57" s="45" t="n">
        <f aca="false">IF(B57&lt;='VALOR POR PL'!$P$5,0,IF($K$17&gt;0,$K$18*P57/$K$17,0))</f>
        <v>4263.31182974146</v>
      </c>
      <c r="E57" s="45" t="n">
        <f aca="false">L57+D57/$K$2</f>
        <v>3.28733748974774</v>
      </c>
      <c r="F57" s="117" t="n">
        <f aca="false">IF($K$9=0,0,E57/$K$9)</f>
        <v>0.0215693714210924</v>
      </c>
      <c r="G57" s="117" t="n">
        <f aca="false">G56+F57</f>
        <v>1</v>
      </c>
      <c r="H57" s="138" t="n">
        <v>4419.96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RESUMO'!BD11</f>
        <v>0</v>
      </c>
      <c r="N57" s="140" t="n">
        <f aca="false">MAX(0,M57-M56)</f>
        <v>0</v>
      </c>
      <c r="O57" s="139" t="str">
        <f aca="false">IF(B57&lt;='VALOR POR PL'!$P$5,'CP RESUMO'!BD53,"")</f>
        <v/>
      </c>
      <c r="P57" s="66" t="n">
        <f aca="false">IF(B57&lt;='VALOR POR PL'!$P$5,0,IF(OR($K$16="CURVA PREVISION",$K$16="MDO PREVISION + MATERIAL PREMISSA"),N57,IF($K$16="PREVISÃO INFORMADA",MAX(0,H57),0)))</f>
        <v>4419.96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RESUMO'!BE11</f>
        <v>0</v>
      </c>
      <c r="N58" s="140" t="n">
        <f aca="false">MAX(0,M58-M57)</f>
        <v>0</v>
      </c>
      <c r="O58" s="139" t="str">
        <f aca="false">IF(B58&lt;='VALOR POR PL'!$P$5,'CP RESUMO'!BE53,"")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RESUMO'!BF11</f>
        <v>0</v>
      </c>
      <c r="N59" s="140" t="n">
        <f aca="false">MAX(0,M59-M58)</f>
        <v>0</v>
      </c>
      <c r="O59" s="139" t="str">
        <f aca="false">IF(B59&lt;='VALOR POR PL'!$P$5,'CP RESUMO'!BF53,"")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RESUMO'!BG11</f>
        <v>0</v>
      </c>
      <c r="N60" s="140" t="n">
        <f aca="false">MAX(0,M60-M59)</f>
        <v>0</v>
      </c>
      <c r="O60" s="139" t="str">
        <f aca="false">IF(B60&lt;='VALOR POR PL'!$P$5,'CP RESUMO'!BG53,"")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RESUMO'!BH11</f>
        <v>0</v>
      </c>
      <c r="N61" s="140" t="n">
        <f aca="false">MAX(0,M61-M60)</f>
        <v>0</v>
      </c>
      <c r="O61" s="139" t="str">
        <f aca="false">IF(B61&lt;='VALOR POR PL'!$P$5,'CP RESUMO'!BH53,"")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RESUMO'!BI11</f>
        <v>0</v>
      </c>
      <c r="N62" s="140" t="n">
        <f aca="false">MAX(0,M62-M61)</f>
        <v>0</v>
      </c>
      <c r="O62" s="139" t="str">
        <f aca="false">IF(B62&lt;='VALOR POR PL'!$P$5,'CP RESUMO'!BI53,"")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RESUMO'!BJ11</f>
        <v>0</v>
      </c>
      <c r="N63" s="140" t="n">
        <f aca="false">MAX(0,M63-M62)</f>
        <v>0</v>
      </c>
      <c r="O63" s="139" t="str">
        <f aca="false">IF(B63&lt;='VALOR POR PL'!$P$5,'CP RESUMO'!BJ53,"")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RESUMO'!BK11</f>
        <v>0</v>
      </c>
      <c r="N64" s="140" t="n">
        <f aca="false">MAX(0,M64-M63)</f>
        <v>0</v>
      </c>
      <c r="O64" s="139" t="str">
        <f aca="false">IF(B64&lt;='VALOR POR PL'!$P$5,'CP RESUMO'!BK53,"")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RESUMO'!BL11</f>
        <v>0</v>
      </c>
      <c r="N65" s="140" t="n">
        <f aca="false">MAX(0,M65-M64)</f>
        <v>0</v>
      </c>
      <c r="O65" s="139" t="str">
        <f aca="false">IF(B65&lt;='VALOR POR PL'!$P$5,'CP RESUMO'!BL53,"")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RESUMO'!BM11</f>
        <v>0</v>
      </c>
      <c r="N66" s="140" t="n">
        <f aca="false">MAX(0,M66-M65)</f>
        <v>0</v>
      </c>
      <c r="O66" s="139" t="str">
        <f aca="false">IF(B66&lt;='VALOR POR PL'!$P$5,'CP RESUMO'!BM53,"")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RESUMO'!BN11</f>
        <v>0</v>
      </c>
      <c r="N67" s="140" t="n">
        <f aca="false">MAX(0,M67-M66)</f>
        <v>0</v>
      </c>
      <c r="O67" s="139" t="str">
        <f aca="false">IF(B67&lt;='VALOR POR PL'!$P$5,'CP RESUMO'!BN53,"")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RESUMO'!BO11</f>
        <v>0</v>
      </c>
      <c r="N68" s="140" t="n">
        <f aca="false">MAX(0,M68-M67)</f>
        <v>0</v>
      </c>
      <c r="O68" s="139" t="str">
        <f aca="false">IF(B68&lt;='VALOR POR PL'!$P$5,'CP RESUMO'!BO53,"")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RESUMO'!BP11</f>
        <v>0</v>
      </c>
      <c r="N69" s="140" t="n">
        <f aca="false">MAX(0,M69-M68)</f>
        <v>0</v>
      </c>
      <c r="O69" s="139" t="str">
        <f aca="false">IF(B69&lt;='VALOR POR PL'!$P$5,'CP RESUMO'!BP53,"")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RESUMO'!BQ11</f>
        <v>0</v>
      </c>
      <c r="N70" s="140" t="n">
        <f aca="false">MAX(0,M70-M69)</f>
        <v>0</v>
      </c>
      <c r="O70" s="139" t="str">
        <f aca="false">IF(B70&lt;='VALOR POR PL'!$P$5,'CP RESUMO'!BQ53,"")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RESUMO'!BR11</f>
        <v>0</v>
      </c>
      <c r="N71" s="140" t="n">
        <f aca="false">MAX(0,M71-M70)</f>
        <v>0</v>
      </c>
      <c r="O71" s="139" t="str">
        <f aca="false">IF(B71&lt;='VALOR POR PL'!$P$5,'CP RESUMO'!BR53,"")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RESUMO'!BS11</f>
        <v>0</v>
      </c>
      <c r="N72" s="140" t="n">
        <f aca="false">MAX(0,M72-M71)</f>
        <v>0</v>
      </c>
      <c r="O72" s="139" t="str">
        <f aca="false">IF(B72&lt;='VALOR POR PL'!$P$5,'CP RESUMO'!BS53,"")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RESUMO'!BT11</f>
        <v>0</v>
      </c>
      <c r="N73" s="140" t="n">
        <f aca="false">MAX(0,M73-M72)</f>
        <v>0</v>
      </c>
      <c r="O73" s="139" t="str">
        <f aca="false">IF(B73&lt;='VALOR POR PL'!$P$5,'CP RESUMO'!BT53,"")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RESUMO'!BU11</f>
        <v>0</v>
      </c>
      <c r="N74" s="140" t="n">
        <f aca="false">MAX(0,M74-M73)</f>
        <v>0</v>
      </c>
      <c r="O74" s="139" t="str">
        <f aca="false">IF(B74&lt;='VALOR POR PL'!$P$5,'CP RESUMO'!BU53,"")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RESUMO'!BV11</f>
        <v>0</v>
      </c>
      <c r="N75" s="140" t="n">
        <f aca="false">MAX(0,M75-M74)</f>
        <v>0</v>
      </c>
      <c r="O75" s="139" t="str">
        <f aca="false">IF(B75&lt;='VALOR POR PL'!$P$5,'CP RESUMO'!BV53,"")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RESUMO'!BW11</f>
        <v>0</v>
      </c>
      <c r="N76" s="140" t="n">
        <f aca="false">MAX(0,M76-M75)</f>
        <v>0</v>
      </c>
      <c r="O76" s="139" t="str">
        <f aca="false">IF(B76&lt;='VALOR POR PL'!$P$5,'CP RESUMO'!BW53,"")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46179.96</v>
      </c>
      <c r="D78" s="61" t="n">
        <f aca="false">SUM(D5:D76)</f>
        <v>149585.214713413</v>
      </c>
      <c r="E78" s="61" t="n">
        <f aca="false">SUM(E5:E76)</f>
        <v>152.40766295735</v>
      </c>
      <c r="F78" s="145" t="n">
        <f aca="false">SUM(F5:F76)</f>
        <v>1</v>
      </c>
      <c r="H78" s="61" t="n">
        <f aca="false">SUM(H5:H76)</f>
        <v>155081.47</v>
      </c>
      <c r="L78" s="61" t="n">
        <f aca="false">SUM(L5:L76)</f>
        <v>37.0660919258946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1.4210854715202E-014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PL'!D18</f>
        <v>TRANSPORTES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HISTORICOS'!D12)</f>
        <v>230</v>
      </c>
      <c r="D5" s="45" t="n">
        <f aca="false">IF(B5&lt;='VALOR POR PL'!$P$5,0,IF($K$17&gt;0,$K$18*P5/$K$17,0))</f>
        <v>0</v>
      </c>
      <c r="E5" s="45" t="n">
        <f aca="false">L5+D5/$K$2</f>
        <v>0.209155518310871</v>
      </c>
      <c r="F5" s="117" t="n">
        <f aca="false">IF($K$9=0,0,E5/$K$9)</f>
        <v>0.000323563229014581</v>
      </c>
      <c r="G5" s="117" t="n">
        <f aca="false">F5</f>
        <v>0.000323563229014581</v>
      </c>
      <c r="H5" s="138"/>
      <c r="I5" s="42" t="s">
        <v>2920</v>
      </c>
      <c r="J5" s="56" t="n">
        <f aca="false">'VALOR POR PL'!F18</f>
        <v>779592</v>
      </c>
      <c r="K5" s="56" t="n">
        <f aca="false">'VALOR POR PL'!G18</f>
        <v>640.739834</v>
      </c>
      <c r="L5" s="56" t="n">
        <f aca="false">'DADOS HISTORICOS'!$BZ$12</f>
        <v>0.209155518310871</v>
      </c>
      <c r="M5" s="139" t="n">
        <f aca="false">'CP RESUMO'!D12</f>
        <v>0</v>
      </c>
      <c r="N5" s="140" t="n">
        <v>0</v>
      </c>
      <c r="O5" s="139" t="n">
        <f aca="false">IF(B5&lt;='VALOR POR PL'!$P$5,'CP RESUMO'!D54,"")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0.000323563229014581</v>
      </c>
      <c r="H6" s="138"/>
      <c r="I6" s="42" t="s">
        <v>2921</v>
      </c>
      <c r="K6" s="52" t="n">
        <f aca="false">'VALOR POR PL'!H18</f>
        <v>646.641445129837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RESUMO'!E12</f>
        <v>0</v>
      </c>
      <c r="N6" s="140" t="n">
        <f aca="false">MAX(0,M6-M5)</f>
        <v>0</v>
      </c>
      <c r="O6" s="139" t="n">
        <f aca="false">IF(B6&lt;='VALOR POR PL'!$P$5,'CP RESUMO'!E54,"")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HISTORICOS'!F12)</f>
        <v>101.63</v>
      </c>
      <c r="D7" s="45" t="n">
        <f aca="false">IF(B7&lt;='VALOR POR PL'!$P$5,0,IF($K$17&gt;0,$K$18*P7/$K$17,0))</f>
        <v>0</v>
      </c>
      <c r="E7" s="45" t="n">
        <f aca="false">L7+D7/$K$2</f>
        <v>0.0865838853272561</v>
      </c>
      <c r="F7" s="117" t="n">
        <f aca="false">IF($K$9=0,0,E7/$K$9)</f>
        <v>0.000133945122478076</v>
      </c>
      <c r="G7" s="117" t="n">
        <f aca="false">G6+F7</f>
        <v>0.000457508351492657</v>
      </c>
      <c r="H7" s="138"/>
      <c r="I7" s="42" t="s">
        <v>2922</v>
      </c>
      <c r="J7" s="45" t="n">
        <f aca="false">C78+D78</f>
        <v>835011.905352242</v>
      </c>
      <c r="L7" s="45" t="n">
        <f aca="false">C7/IF(B7&lt;='VALOR POR PL'!$P$5,IFERROR(INDEX('"INCC-FGV"'!$B$2:$B$800,MATCH(B7,'"INCC-FGV"'!$A$2:$A$800,0)),$K$2),$K$2)</f>
        <v>0.0865838853272561</v>
      </c>
      <c r="M7" s="139" t="n">
        <f aca="false">'CP RESUMO'!F12</f>
        <v>0</v>
      </c>
      <c r="N7" s="140" t="n">
        <f aca="false">MAX(0,M7-M6)</f>
        <v>0</v>
      </c>
      <c r="O7" s="139" t="n">
        <f aca="false">IF(B7&lt;='VALOR POR PL'!$P$5,'CP RESUMO'!F54,"")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HISTORICOS'!G12)</f>
        <v>3.37</v>
      </c>
      <c r="D8" s="45" t="n">
        <f aca="false">IF(B8&lt;='VALOR POR PL'!$P$5,0,IF($K$17&gt;0,$K$18*P8/$K$17,0))</f>
        <v>0</v>
      </c>
      <c r="E8" s="45" t="n">
        <f aca="false">L8+D8/$K$2</f>
        <v>0.00285984388816568</v>
      </c>
      <c r="F8" s="117" t="n">
        <f aca="false">IF($K$9=0,0,E8/$K$9)</f>
        <v>4.42417360252075E-006</v>
      </c>
      <c r="G8" s="117" t="n">
        <f aca="false">G7+F8</f>
        <v>0.000461932525095178</v>
      </c>
      <c r="H8" s="138"/>
      <c r="I8" s="42" t="s">
        <v>2923</v>
      </c>
      <c r="K8" s="66" t="n">
        <f aca="false">SUM(L5:L76)</f>
        <v>69.2663343989011</v>
      </c>
      <c r="L8" s="45" t="n">
        <f aca="false">C8/IF(B8&lt;='VALOR POR PL'!$P$5,IFERROR(INDEX('"INCC-FGV"'!$B$2:$B$800,MATCH(B8,'"INCC-FGV"'!$A$2:$A$800,0)),$K$2),$K$2)</f>
        <v>0.00285984388816568</v>
      </c>
      <c r="M8" s="139" t="n">
        <f aca="false">'CP RESUMO'!G12</f>
        <v>0</v>
      </c>
      <c r="N8" s="140" t="n">
        <f aca="false">MAX(0,M8-M7)</f>
        <v>0</v>
      </c>
      <c r="O8" s="139" t="n">
        <f aca="false">IF(B8&lt;='VALOR POR PL'!$P$5,'CP RESUMO'!G54,"")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0.000461932525095178</v>
      </c>
      <c r="H9" s="138"/>
      <c r="I9" s="42" t="s">
        <v>2924</v>
      </c>
      <c r="J9" s="45" t="n">
        <f aca="false">C78+D78</f>
        <v>835011.905352242</v>
      </c>
      <c r="K9" s="45" t="n">
        <f aca="false">E78</f>
        <v>646.413125953338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RESUMO'!H12</f>
        <v>0</v>
      </c>
      <c r="N9" s="140" t="n">
        <f aca="false">MAX(0,M9-M8)</f>
        <v>0</v>
      </c>
      <c r="O9" s="139" t="n">
        <f aca="false">IF(B9&lt;='VALOR POR PL'!$P$5,'CP RESUMO'!H54,"")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HISTORICOS'!I12)</f>
        <v>53.21</v>
      </c>
      <c r="D10" s="45" t="n">
        <f aca="false">IF(B10&lt;='VALOR POR PL'!$P$5,0,IF($K$17&gt;0,$K$18*P10/$K$17,0))</f>
        <v>0</v>
      </c>
      <c r="E10" s="45" t="n">
        <f aca="false">L10+D10/$K$2</f>
        <v>0.0446644791900125</v>
      </c>
      <c r="F10" s="117" t="n">
        <f aca="false">IF($K$9=0,0,E10/$K$9)</f>
        <v>6.90958728972911E-005</v>
      </c>
      <c r="G10" s="117" t="n">
        <f aca="false">G9+F10</f>
        <v>0.000531028397992469</v>
      </c>
      <c r="H10" s="138"/>
      <c r="I10" s="42" t="s">
        <v>2925</v>
      </c>
      <c r="K10" s="52" t="n">
        <f aca="false">IF(K6-K8&gt;0,(K6-K8)*'VALOR POR PL'!$G$65,K6-K8)</f>
        <v>577.146791554437</v>
      </c>
      <c r="L10" s="45" t="n">
        <f aca="false">C10/IF(B10&lt;='VALOR POR PL'!$P$5,IFERROR(INDEX('"INCC-FGV"'!$B$2:$B$800,MATCH(B10,'"INCC-FGV"'!$A$2:$A$800,0)),$K$2),$K$2)</f>
        <v>0.0446644791900125</v>
      </c>
      <c r="M10" s="139" t="n">
        <f aca="false">'CP RESUMO'!I12</f>
        <v>0</v>
      </c>
      <c r="N10" s="140" t="n">
        <f aca="false">MAX(0,M10-M9)</f>
        <v>0</v>
      </c>
      <c r="O10" s="139" t="n">
        <f aca="false">IF(B10&lt;='VALOR POR PL'!$P$5,'CP RESUMO'!I54,"")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HISTORICOS'!J12)</f>
        <v>50.16</v>
      </c>
      <c r="D11" s="45" t="n">
        <f aca="false">IF(B11&lt;='VALOR POR PL'!$P$5,0,IF($K$17&gt;0,$K$18*P11/$K$17,0))</f>
        <v>0</v>
      </c>
      <c r="E11" s="45" t="n">
        <f aca="false">L11+D11/$K$2</f>
        <v>0.0418171101675769</v>
      </c>
      <c r="F11" s="117" t="n">
        <f aca="false">IF($K$9=0,0,E11/$K$9)</f>
        <v>6.46909978907135E-005</v>
      </c>
      <c r="G11" s="117" t="n">
        <f aca="false">G10+F11</f>
        <v>0.000595719395883182</v>
      </c>
      <c r="H11" s="138"/>
      <c r="I11" s="42" t="s">
        <v>2926</v>
      </c>
      <c r="K11" s="56" t="n">
        <f aca="false">SUMPRODUCT((B5:B76&gt;'VALOR POR PL'!$P$5)*H5:H76)</f>
        <v>745297.28</v>
      </c>
      <c r="L11" s="45" t="n">
        <f aca="false">C11/IF(B11&lt;='VALOR POR PL'!$P$5,IFERROR(INDEX('"INCC-FGV"'!$B$2:$B$800,MATCH(B11,'"INCC-FGV"'!$A$2:$A$800,0)),$K$2),$K$2)</f>
        <v>0.0418171101675769</v>
      </c>
      <c r="M11" s="139" t="n">
        <f aca="false">'CP RESUMO'!J12</f>
        <v>0</v>
      </c>
      <c r="N11" s="140" t="n">
        <f aca="false">MAX(0,M11-M10)</f>
        <v>0</v>
      </c>
      <c r="O11" s="139" t="n">
        <f aca="false">IF(B11&lt;='VALOR POR PL'!$P$5,'CP RESUMO'!J54,"")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HISTORICOS'!K12)</f>
        <v>1010.05</v>
      </c>
      <c r="D12" s="45" t="n">
        <f aca="false">IF(B12&lt;='VALOR POR PL'!$P$5,0,IF($K$17&gt;0,$K$18*P12/$K$17,0))</f>
        <v>0</v>
      </c>
      <c r="E12" s="45" t="n">
        <f aca="false">L12+D12/$K$2</f>
        <v>0.834427260132626</v>
      </c>
      <c r="F12" s="117" t="n">
        <f aca="false">IF($K$9=0,0,E12/$K$9)</f>
        <v>0.0012908575439306</v>
      </c>
      <c r="G12" s="117" t="n">
        <f aca="false">G11+F12</f>
        <v>0.00188657693981378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0.834427260132626</v>
      </c>
      <c r="M12" s="139" t="n">
        <f aca="false">'CP RESUMO'!K12</f>
        <v>0</v>
      </c>
      <c r="N12" s="140" t="n">
        <f aca="false">MAX(0,M12-M11)</f>
        <v>0</v>
      </c>
      <c r="O12" s="139" t="n">
        <f aca="false">IF(B12&lt;='VALOR POR PL'!$P$5,'CP RESUMO'!K54,"")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HISTORICOS'!L12)</f>
        <v>1873.32</v>
      </c>
      <c r="D13" s="45" t="n">
        <f aca="false">IF(B13&lt;='VALOR POR PL'!$P$5,0,IF($K$17&gt;0,$K$18*P13/$K$17,0))</f>
        <v>0</v>
      </c>
      <c r="E13" s="45" t="n">
        <f aca="false">L13+D13/$K$2</f>
        <v>1.53966529301245</v>
      </c>
      <c r="F13" s="117" t="n">
        <f aca="false">IF($K$9=0,0,E13/$K$9)</f>
        <v>0.00238185957431129</v>
      </c>
      <c r="G13" s="117" t="n">
        <f aca="false">G12+F13</f>
        <v>0.00426843651412507</v>
      </c>
      <c r="H13" s="138"/>
      <c r="I13" s="42" t="s">
        <v>2928</v>
      </c>
      <c r="K13" s="56" t="str">
        <f aca="false">'VALOR POR PL'!I18</f>
        <v>INDIRETO</v>
      </c>
      <c r="L13" s="45" t="n">
        <f aca="false">C13/IF(B13&lt;='VALOR POR PL'!$P$5,IFERROR(INDEX('"INCC-FGV"'!$B$2:$B$800,MATCH(B13,'"INCC-FGV"'!$A$2:$A$800,0)),$K$2),$K$2)</f>
        <v>1.53966529301245</v>
      </c>
      <c r="M13" s="139" t="n">
        <f aca="false">'CP RESUMO'!L12</f>
        <v>0</v>
      </c>
      <c r="N13" s="140" t="n">
        <f aca="false">MAX(0,M13-M12)</f>
        <v>0</v>
      </c>
      <c r="O13" s="139" t="n">
        <f aca="false">IF(B13&lt;='VALOR POR PL'!$P$5,'CP RESUMO'!L54,"")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HISTORICOS'!M12)</f>
        <v>15662.6</v>
      </c>
      <c r="D14" s="45" t="n">
        <f aca="false">IF(B14&lt;='VALOR POR PL'!$P$5,0,IF($K$17&gt;0,$K$18*P14/$K$17,0))</f>
        <v>0</v>
      </c>
      <c r="E14" s="45" t="n">
        <f aca="false">L14+D14/$K$2</f>
        <v>12.851395736769</v>
      </c>
      <c r="F14" s="117" t="n">
        <f aca="false">IF($K$9=0,0,E14/$K$9)</f>
        <v>0.019881087219285</v>
      </c>
      <c r="G14" s="117" t="n">
        <f aca="false">G13+F14</f>
        <v>0.0241495237334101</v>
      </c>
      <c r="H14" s="138"/>
      <c r="I14" s="42" t="s">
        <v>2929</v>
      </c>
      <c r="K14" s="58" t="n">
        <f aca="false">IFERROR(INDEX('CP RESUMO'!$D$54:$BW$54,MATCH('VALOR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12.851395736769</v>
      </c>
      <c r="M14" s="139" t="n">
        <f aca="false">'CP RESUMO'!M12</f>
        <v>0</v>
      </c>
      <c r="N14" s="140" t="n">
        <f aca="false">MAX(0,M14-M13)</f>
        <v>0</v>
      </c>
      <c r="O14" s="139" t="n">
        <f aca="false">IF(B14&lt;='VALOR POR PL'!$P$5,'CP RESUMO'!M54,"")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HISTORICOS'!N12)</f>
        <v>8416.58</v>
      </c>
      <c r="D15" s="45" t="n">
        <f aca="false">IF(B15&lt;='VALOR POR PL'!$P$5,0,IF($K$17&gt;0,$K$18*P15/$K$17,0))</f>
        <v>0</v>
      </c>
      <c r="E15" s="45" t="n">
        <f aca="false">L15+D15/$K$2</f>
        <v>6.8855390737232</v>
      </c>
      <c r="F15" s="117" t="n">
        <f aca="false">IF($K$9=0,0,E15/$K$9)</f>
        <v>0.0106519171676292</v>
      </c>
      <c r="G15" s="117" t="n">
        <f aca="false">G14+F15</f>
        <v>0.0348014409010393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6.8855390737232</v>
      </c>
      <c r="M15" s="139" t="n">
        <f aca="false">'CP RESUMO'!N12</f>
        <v>0</v>
      </c>
      <c r="N15" s="140" t="n">
        <f aca="false">MAX(0,M15-M14)</f>
        <v>0</v>
      </c>
      <c r="O15" s="139" t="n">
        <f aca="false">IF(B15&lt;='VALOR POR PL'!$P$5,'CP RESUMO'!N54,"")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HISTORICOS'!O12)</f>
        <v>4003.5</v>
      </c>
      <c r="D16" s="45" t="n">
        <f aca="false">IF(B16&lt;='VALOR POR PL'!$P$5,0,IF($K$17&gt;0,$K$18*P16/$K$17,0))</f>
        <v>0</v>
      </c>
      <c r="E16" s="45" t="n">
        <f aca="false">L16+D16/$K$2</f>
        <v>3.26647536415877</v>
      </c>
      <c r="F16" s="117" t="n">
        <f aca="false">IF($K$9=0,0,E16/$K$9)</f>
        <v>0.00505323180023816</v>
      </c>
      <c r="G16" s="117" t="n">
        <f aca="false">G15+F16</f>
        <v>0.0398546727012774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3.26647536415877</v>
      </c>
      <c r="M16" s="139" t="n">
        <f aca="false">'CP RESUMO'!O12</f>
        <v>0</v>
      </c>
      <c r="N16" s="140" t="n">
        <f aca="false">MAX(0,M16-M15)</f>
        <v>0</v>
      </c>
      <c r="O16" s="139" t="n">
        <f aca="false">IF(B16&lt;='VALOR POR PL'!$P$5,'CP RESUMO'!O54,"")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HISTORICOS'!P12)</f>
        <v>7558.47</v>
      </c>
      <c r="D17" s="45" t="n">
        <f aca="false">IF(B17&lt;='VALOR POR PL'!$P$5,0,IF($K$17&gt;0,$K$18*P17/$K$17,0))</f>
        <v>0</v>
      </c>
      <c r="E17" s="45" t="n">
        <f aca="false">L17+D17/$K$2</f>
        <v>6.15429898848767</v>
      </c>
      <c r="F17" s="117" t="n">
        <f aca="false">IF($K$9=0,0,E17/$K$9)</f>
        <v>0.00952069000673714</v>
      </c>
      <c r="G17" s="117" t="n">
        <f aca="false">G16+F17</f>
        <v>0.0493753627080146</v>
      </c>
      <c r="H17" s="138"/>
      <c r="I17" s="42" t="s">
        <v>2933</v>
      </c>
      <c r="K17" s="45" t="n">
        <f aca="false">SUM(P5:P76)</f>
        <v>745297.28</v>
      </c>
      <c r="L17" s="45" t="n">
        <f aca="false">C17/IF(B17&lt;='VALOR POR PL'!$P$5,IFERROR(INDEX('"INCC-FGV"'!$B$2:$B$800,MATCH(B17,'"INCC-FGV"'!$A$2:$A$800,0)),$K$2),$K$2)</f>
        <v>6.15429898848767</v>
      </c>
      <c r="M17" s="139" t="n">
        <f aca="false">'CP RESUMO'!P12</f>
        <v>0</v>
      </c>
      <c r="N17" s="140" t="n">
        <f aca="false">MAX(0,M17-M16)</f>
        <v>0</v>
      </c>
      <c r="O17" s="139" t="n">
        <f aca="false">IF(B17&lt;='VALOR POR PL'!$P$5,'CP RESUMO'!P54,"")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HISTORICOS'!Q12)</f>
        <v>4295.23</v>
      </c>
      <c r="D18" s="45" t="n">
        <f aca="false">IF(B18&lt;='VALOR POR PL'!$P$5,0,IF($K$17&gt;0,$K$18*P18/$K$17,0))</f>
        <v>0</v>
      </c>
      <c r="E18" s="45" t="n">
        <f aca="false">L18+D18/$K$2</f>
        <v>3.47219482698968</v>
      </c>
      <c r="F18" s="117" t="n">
        <f aca="false">IF($K$9=0,0,E18/$K$9)</f>
        <v>0.00537147945730347</v>
      </c>
      <c r="G18" s="117" t="n">
        <f aca="false">G17+F18</f>
        <v>0.054746842165318</v>
      </c>
      <c r="H18" s="138"/>
      <c r="I18" s="42" t="s">
        <v>2934</v>
      </c>
      <c r="K18" s="45" t="n">
        <f aca="false">MAX(0,K10)*$K$2</f>
        <v>748495.325352242</v>
      </c>
      <c r="L18" s="45" t="n">
        <f aca="false">C18/IF(B18&lt;='VALOR POR PL'!$P$5,IFERROR(INDEX('"INCC-FGV"'!$B$2:$B$800,MATCH(B18,'"INCC-FGV"'!$A$2:$A$800,0)),$K$2),$K$2)</f>
        <v>3.47219482698968</v>
      </c>
      <c r="M18" s="139" t="n">
        <f aca="false">'CP RESUMO'!Q12</f>
        <v>0</v>
      </c>
      <c r="N18" s="140" t="n">
        <f aca="false">MAX(0,M18-M17)</f>
        <v>0</v>
      </c>
      <c r="O18" s="139" t="n">
        <f aca="false">IF(B18&lt;='VALOR POR PL'!$P$5,'CP RESUMO'!Q54,"")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HISTORICOS'!R12)</f>
        <v>3978</v>
      </c>
      <c r="D19" s="45" t="n">
        <f aca="false">IF(B19&lt;='VALOR POR PL'!$P$5,0,IF($K$17&gt;0,$K$18*P19/$K$17,0))</f>
        <v>0</v>
      </c>
      <c r="E19" s="45" t="n">
        <f aca="false">L19+D19/$K$2</f>
        <v>3.20682058008144</v>
      </c>
      <c r="F19" s="117" t="n">
        <f aca="false">IF($K$9=0,0,E19/$K$9)</f>
        <v>0.00496094595132482</v>
      </c>
      <c r="G19" s="117" t="n">
        <f aca="false">G18+F19</f>
        <v>0.0597077881166429</v>
      </c>
      <c r="H19" s="138"/>
      <c r="I19" s="42" t="s">
        <v>2935</v>
      </c>
      <c r="K19" s="142" t="n">
        <f aca="false">IF(AND(K16="PREVISÃO INFORMADA",K11&gt;0),K18/K11-1,"")</f>
        <v>0.00429096608569712</v>
      </c>
      <c r="L19" s="45" t="n">
        <f aca="false">C19/IF(B19&lt;='VALOR POR PL'!$P$5,IFERROR(INDEX('"INCC-FGV"'!$B$2:$B$800,MATCH(B19,'"INCC-FGV"'!$A$2:$A$800,0)),$K$2),$K$2)</f>
        <v>3.20682058008144</v>
      </c>
      <c r="M19" s="139" t="n">
        <f aca="false">'CP RESUMO'!R12</f>
        <v>0</v>
      </c>
      <c r="N19" s="140" t="n">
        <f aca="false">MAX(0,M19-M18)</f>
        <v>0</v>
      </c>
      <c r="O19" s="139" t="n">
        <f aca="false">IF(B19&lt;='VALOR POR PL'!$P$5,'CP RESUMO'!R54,"")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HISTORICOS'!S12)</f>
        <v>8413.92</v>
      </c>
      <c r="D20" s="45" t="n">
        <f aca="false">IF(B20&lt;='VALOR POR PL'!$P$5,0,IF($K$17&gt;0,$K$18*P20/$K$17,0))</f>
        <v>0</v>
      </c>
      <c r="E20" s="45" t="n">
        <f aca="false">L20+D20/$K$2</f>
        <v>6.74635036935297</v>
      </c>
      <c r="F20" s="117" t="n">
        <f aca="false">IF($K$9=0,0,E20/$K$9)</f>
        <v>0.0104365924800852</v>
      </c>
      <c r="G20" s="117" t="n">
        <f aca="false">G19+F20</f>
        <v>0.0701443805967281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6.74635036935297</v>
      </c>
      <c r="M20" s="139" t="n">
        <f aca="false">'CP RESUMO'!S12</f>
        <v>0</v>
      </c>
      <c r="N20" s="140" t="n">
        <f aca="false">MAX(0,M20-M19)</f>
        <v>0</v>
      </c>
      <c r="O20" s="139" t="n">
        <f aca="false">IF(B20&lt;='VALOR POR PL'!$P$5,'CP RESUMO'!S54,"")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HISTORICOS'!T12)</f>
        <v>2007.6</v>
      </c>
      <c r="D21" s="45" t="n">
        <f aca="false">IF(B21&lt;='VALOR POR PL'!$P$5,0,IF($K$17&gt;0,$K$18*P21/$K$17,0))</f>
        <v>0</v>
      </c>
      <c r="E21" s="45" t="n">
        <f aca="false">L21+D21/$K$2</f>
        <v>1.59377351840032</v>
      </c>
      <c r="F21" s="117" t="n">
        <f aca="false">IF($K$9=0,0,E21/$K$9)</f>
        <v>0.0024655649064208</v>
      </c>
      <c r="G21" s="117" t="n">
        <f aca="false">G20+F21</f>
        <v>0.0726099455031489</v>
      </c>
      <c r="H21" s="138"/>
      <c r="K21" s="143"/>
      <c r="L21" s="45" t="n">
        <f aca="false">C21/IF(B21&lt;='VALOR POR PL'!$P$5,IFERROR(INDEX('"INCC-FGV"'!$B$2:$B$800,MATCH(B21,'"INCC-FGV"'!$A$2:$A$800,0)),$K$2),$K$2)</f>
        <v>1.59377351840032</v>
      </c>
      <c r="M21" s="139" t="n">
        <f aca="false">'CP RESUMO'!T12</f>
        <v>0</v>
      </c>
      <c r="N21" s="140" t="n">
        <f aca="false">MAX(0,M21-M20)</f>
        <v>0</v>
      </c>
      <c r="O21" s="139" t="n">
        <f aca="false">IF(B21&lt;='VALOR POR PL'!$P$5,'CP RESUMO'!T54,"")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HISTORICOS'!U12)</f>
        <v>2550.05</v>
      </c>
      <c r="D22" s="45" t="n">
        <f aca="false">IF(B22&lt;='VALOR POR PL'!$P$5,0,IF($K$17&gt;0,$K$18*P22/$K$17,0))</f>
        <v>0</v>
      </c>
      <c r="E22" s="45" t="n">
        <f aca="false">L22+D22/$K$2</f>
        <v>2.00681516807731</v>
      </c>
      <c r="F22" s="117" t="n">
        <f aca="false">IF($K$9=0,0,E22/$K$9)</f>
        <v>0.00310453963186103</v>
      </c>
      <c r="G22" s="117" t="n">
        <f aca="false">G21+F22</f>
        <v>0.0757144851350099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2.00681516807731</v>
      </c>
      <c r="M22" s="139" t="n">
        <f aca="false">'CP RESUMO'!U12</f>
        <v>0</v>
      </c>
      <c r="N22" s="140" t="n">
        <f aca="false">MAX(0,M22-M21)</f>
        <v>0</v>
      </c>
      <c r="O22" s="139" t="n">
        <f aca="false">IF(B22&lt;='VALOR POR PL'!$P$5,'CP RESUMO'!U54,"")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HISTORICOS'!V12)</f>
        <v>3240.62</v>
      </c>
      <c r="D23" s="45" t="n">
        <f aca="false">IF(B23&lt;='VALOR POR PL'!$P$5,0,IF($K$17&gt;0,$K$18*P23/$K$17,0))</f>
        <v>0</v>
      </c>
      <c r="E23" s="45" t="n">
        <f aca="false">L23+D23/$K$2</f>
        <v>2.53046716449028</v>
      </c>
      <c r="F23" s="117" t="n">
        <f aca="false">IF($K$9=0,0,E23/$K$9)</f>
        <v>0.00391462837447541</v>
      </c>
      <c r="G23" s="117" t="n">
        <f aca="false">G22+F23</f>
        <v>0.0796291135094853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2.53046716449028</v>
      </c>
      <c r="M23" s="139" t="n">
        <f aca="false">'CP RESUMO'!V12</f>
        <v>0</v>
      </c>
      <c r="N23" s="140" t="n">
        <f aca="false">MAX(0,M23-M22)</f>
        <v>0</v>
      </c>
      <c r="O23" s="139" t="n">
        <f aca="false">IF(B23&lt;='VALOR POR PL'!$P$5,'CP RESUMO'!V54,"")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HISTORICOS'!W12)</f>
        <v>1114.34</v>
      </c>
      <c r="D24" s="45" t="n">
        <f aca="false">IF(B24&lt;='VALOR POR PL'!$P$5,0,IF($K$17&gt;0,$K$18*P24/$K$17,0))</f>
        <v>0</v>
      </c>
      <c r="E24" s="45" t="n">
        <f aca="false">L24+D24/$K$2</f>
        <v>0.864881394502305</v>
      </c>
      <c r="F24" s="117" t="n">
        <f aca="false">IF($K$9=0,0,E24/$K$9)</f>
        <v>0.00133797003770115</v>
      </c>
      <c r="G24" s="117" t="n">
        <f aca="false">G23+F24</f>
        <v>0.0809670835471864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0.864881394502305</v>
      </c>
      <c r="M24" s="139" t="n">
        <f aca="false">'CP RESUMO'!W12</f>
        <v>0</v>
      </c>
      <c r="N24" s="140" t="n">
        <f aca="false">MAX(0,M24-M23)</f>
        <v>0</v>
      </c>
      <c r="O24" s="139" t="n">
        <f aca="false">IF(B24&lt;='VALOR POR PL'!$P$5,'CP RESUMO'!W54,"")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HISTORICOS'!X12)</f>
        <v>5722.12</v>
      </c>
      <c r="D25" s="45" t="n">
        <f aca="false">IF(B25&lt;='VALOR POR PL'!$P$5,0,IF($K$17&gt;0,$K$18*P25/$K$17,0))</f>
        <v>0</v>
      </c>
      <c r="E25" s="45" t="n">
        <f aca="false">L25+D25/$K$2</f>
        <v>4.41218947805094</v>
      </c>
      <c r="F25" s="117" t="n">
        <f aca="false">IF($K$9=0,0,E25/$K$9)</f>
        <v>0.00682564957440149</v>
      </c>
      <c r="G25" s="117" t="n">
        <f aca="false">G24+F25</f>
        <v>0.0877927331215879</v>
      </c>
      <c r="H25" s="138"/>
      <c r="L25" s="45" t="n">
        <f aca="false">C25/IF(B25&lt;='VALOR POR PL'!$P$5,IFERROR(INDEX('"INCC-FGV"'!$B$2:$B$800,MATCH(B25,'"INCC-FGV"'!$A$2:$A$800,0)),$K$2),$K$2)</f>
        <v>4.41218947805094</v>
      </c>
      <c r="M25" s="139" t="n">
        <f aca="false">'CP RESUMO'!X12</f>
        <v>0</v>
      </c>
      <c r="N25" s="140" t="n">
        <f aca="false">MAX(0,M25-M24)</f>
        <v>0</v>
      </c>
      <c r="O25" s="139" t="n">
        <f aca="false">IF(B25&lt;='VALOR POR PL'!$P$5,'CP RESUMO'!X54,"")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HISTORICOS'!Y12)</f>
        <v>14050.89</v>
      </c>
      <c r="D26" s="45" t="n">
        <f aca="false">IF(B26&lt;='VALOR POR PL'!$P$5,0,IF($K$17&gt;0,$K$18*P26/$K$17,0))</f>
        <v>14287.816587579</v>
      </c>
      <c r="E26" s="45" t="n">
        <f aca="false">L26+D26/$K$2</f>
        <v>21.8512969017233</v>
      </c>
      <c r="F26" s="117" t="n">
        <f aca="false">IF($K$9=0,0,E26/$K$9)</f>
        <v>0.0338039189249085</v>
      </c>
      <c r="G26" s="117" t="n">
        <f aca="false">G25+F26</f>
        <v>0.121596652046496</v>
      </c>
      <c r="H26" s="138" t="n">
        <v>14226.77</v>
      </c>
      <c r="L26" s="45" t="n">
        <f aca="false">C26/IF(B26&lt;='VALOR POR PL'!$P$5,IFERROR(INDEX('"INCC-FGV"'!$B$2:$B$800,MATCH(B26,'"INCC-FGV"'!$A$2:$A$800,0)),$K$2),$K$2)</f>
        <v>10.8343042465469</v>
      </c>
      <c r="M26" s="139" t="n">
        <f aca="false">'CP RESUMO'!Y12</f>
        <v>0</v>
      </c>
      <c r="N26" s="140" t="n">
        <f aca="false">MAX(0,M26-M25)</f>
        <v>0</v>
      </c>
      <c r="O26" s="139" t="str">
        <f aca="false">IF(B26&lt;='VALOR POR PL'!$P$5,'CP RESUMO'!Y54,"")</f>
        <v/>
      </c>
      <c r="P26" s="66" t="n">
        <f aca="false">IF(B26&lt;='VALOR POR PL'!$P$5,0,IF(OR($K$16="CURVA PREVISION",$K$16="MDO PREVISION + MATERIAL PREMISSA"),N26,IF($K$16="PREVISÃO INFORMADA",MAX(0,H26),0)))</f>
        <v>14226.77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HISTORICOS'!Z12)</f>
        <v>2180.92</v>
      </c>
      <c r="D27" s="45" t="n">
        <f aca="false">IF(B27&lt;='VALOR POR PL'!$P$5,0,IF($K$17&gt;0,$K$18*P27/$K$17,0))</f>
        <v>17987.1324040653</v>
      </c>
      <c r="E27" s="45" t="n">
        <f aca="false">L27+D27/$K$2</f>
        <v>15.5511014466661</v>
      </c>
      <c r="F27" s="117" t="n">
        <f aca="false">IF($K$9=0,0,E27/$K$9)</f>
        <v>0.0240575273339803</v>
      </c>
      <c r="G27" s="117" t="n">
        <f aca="false">G26+F27</f>
        <v>0.145654179380477</v>
      </c>
      <c r="H27" s="138" t="n">
        <v>17910.28</v>
      </c>
      <c r="L27" s="45" t="n">
        <f aca="false">C27/IF(B27&lt;='VALOR POR PL'!$P$5,IFERROR(INDEX('"INCC-FGV"'!$B$2:$B$800,MATCH(B27,'"INCC-FGV"'!$A$2:$A$800,0)),$K$2),$K$2)</f>
        <v>1.68165509924134</v>
      </c>
      <c r="M27" s="139" t="n">
        <f aca="false">'CP RESUMO'!Z12</f>
        <v>0</v>
      </c>
      <c r="N27" s="140" t="n">
        <f aca="false">MAX(0,M27-M26)</f>
        <v>0</v>
      </c>
      <c r="O27" s="139" t="str">
        <f aca="false">IF(B27&lt;='VALOR POR PL'!$P$5,'CP RESUMO'!Z54,"")</f>
        <v/>
      </c>
      <c r="P27" s="66" t="n">
        <f aca="false">IF(B27&lt;='VALOR POR PL'!$P$5,0,IF(OR($K$16="CURVA PREVISION",$K$16="MDO PREVISION + MATERIAL PREMISSA"),N27,IF($K$16="PREVISÃO INFORMADA",MAX(0,H27),0)))</f>
        <v>17910.28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HISTORICOS'!AA12)</f>
        <v>0</v>
      </c>
      <c r="D28" s="45" t="n">
        <f aca="false">IF(B28&lt;='VALOR POR PL'!$P$5,0,IF($K$17&gt;0,$K$18*P28/$K$17,0))</f>
        <v>12111.9298233674</v>
      </c>
      <c r="E28" s="45" t="n">
        <f aca="false">L28+D28/$K$2</f>
        <v>9.33921856332146</v>
      </c>
      <c r="F28" s="117" t="n">
        <f aca="false">IF($K$9=0,0,E28/$K$9)</f>
        <v>0.014447755140411</v>
      </c>
      <c r="G28" s="117" t="n">
        <f aca="false">G27+F28</f>
        <v>0.160101934520888</v>
      </c>
      <c r="H28" s="138" t="n">
        <v>12060.18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RESUMO'!AA12</f>
        <v>0</v>
      </c>
      <c r="N28" s="140" t="n">
        <f aca="false">MAX(0,M28-M27)</f>
        <v>0</v>
      </c>
      <c r="O28" s="139" t="str">
        <f aca="false">IF(B28&lt;='VALOR POR PL'!$P$5,'CP RESUMO'!AA54,"")</f>
        <v/>
      </c>
      <c r="P28" s="66" t="n">
        <f aca="false">IF(B28&lt;='VALOR POR PL'!$P$5,0,IF(OR($K$16="CURVA PREVISION",$K$16="MDO PREVISION + MATERIAL PREMISSA"),N28,IF($K$16="PREVISÃO INFORMADA",MAX(0,H28),0)))</f>
        <v>12060.18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HISTORICOS'!AB12)</f>
        <v>0</v>
      </c>
      <c r="D29" s="45" t="n">
        <f aca="false">IF(B29&lt;='VALOR POR PL'!$P$5,0,IF($K$17&gt;0,$K$18*P29/$K$17,0))</f>
        <v>12422.2356460686</v>
      </c>
      <c r="E29" s="45" t="n">
        <f aca="false">L29+D29/$K$2</f>
        <v>9.57848794003848</v>
      </c>
      <c r="F29" s="117" t="n">
        <f aca="false">IF($K$9=0,0,E29/$K$9)</f>
        <v>0.0148179044568626</v>
      </c>
      <c r="G29" s="117" t="n">
        <f aca="false">G28+F29</f>
        <v>0.17491983897775</v>
      </c>
      <c r="H29" s="138" t="n">
        <v>12369.16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RESUMO'!AB12</f>
        <v>0</v>
      </c>
      <c r="N29" s="140" t="n">
        <f aca="false">MAX(0,M29-M28)</f>
        <v>0</v>
      </c>
      <c r="O29" s="139" t="str">
        <f aca="false">IF(B29&lt;='VALOR POR PL'!$P$5,'CP RESUMO'!AB54,"")</f>
        <v/>
      </c>
      <c r="P29" s="66" t="n">
        <f aca="false">IF(B29&lt;='VALOR POR PL'!$P$5,0,IF(OR($K$16="CURVA PREVISION",$K$16="MDO PREVISION + MATERIAL PREMISSA"),N29,IF($K$16="PREVISÃO INFORMADA",MAX(0,H29),0)))</f>
        <v>12369.16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HISTORICOS'!AC12)</f>
        <v>0</v>
      </c>
      <c r="D30" s="45" t="n">
        <f aca="false">IF(B30&lt;='VALOR POR PL'!$P$5,0,IF($K$17&gt;0,$K$18*P30/$K$17,0))</f>
        <v>16379.4835113747</v>
      </c>
      <c r="E30" s="45" t="n">
        <f aca="false">L30+D30/$K$2</f>
        <v>12.6298268482304</v>
      </c>
      <c r="F30" s="117" t="n">
        <f aca="false">IF($K$9=0,0,E30/$K$9)</f>
        <v>0.0195383205277643</v>
      </c>
      <c r="G30" s="117" t="n">
        <f aca="false">G29+F30</f>
        <v>0.194458159505515</v>
      </c>
      <c r="H30" s="138" t="n">
        <v>16309.5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RESUMO'!AC12</f>
        <v>0</v>
      </c>
      <c r="N30" s="140" t="n">
        <f aca="false">MAX(0,M30-M29)</f>
        <v>0</v>
      </c>
      <c r="O30" s="139" t="str">
        <f aca="false">IF(B30&lt;='VALOR POR PL'!$P$5,'CP RESUMO'!AC54,"")</f>
        <v/>
      </c>
      <c r="P30" s="66" t="n">
        <f aca="false">IF(B30&lt;='VALOR POR PL'!$P$5,0,IF(OR($K$16="CURVA PREVISION",$K$16="MDO PREVISION + MATERIAL PREMISSA"),N30,IF($K$16="PREVISÃO INFORMADA",MAX(0,H30),0)))</f>
        <v>16309.5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HISTORICOS'!AD12)</f>
        <v>0</v>
      </c>
      <c r="D31" s="45" t="n">
        <f aca="false">IF(B31&lt;='VALOR POR PL'!$P$5,0,IF($K$17&gt;0,$K$18*P31/$K$17,0))</f>
        <v>28357.0291605702</v>
      </c>
      <c r="E31" s="45" t="n">
        <f aca="false">L31+D31/$K$2</f>
        <v>21.8654249982613</v>
      </c>
      <c r="F31" s="117" t="n">
        <f aca="false">IF($K$9=0,0,E31/$K$9)</f>
        <v>0.0338257750660832</v>
      </c>
      <c r="G31" s="117" t="n">
        <f aca="false">G30+F31</f>
        <v>0.228283934571598</v>
      </c>
      <c r="H31" s="138" t="n">
        <v>28235.87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RESUMO'!AD12</f>
        <v>0</v>
      </c>
      <c r="N31" s="140" t="n">
        <f aca="false">MAX(0,M31-M30)</f>
        <v>0</v>
      </c>
      <c r="O31" s="139" t="str">
        <f aca="false">IF(B31&lt;='VALOR POR PL'!$P$5,'CP RESUMO'!AD54,"")</f>
        <v/>
      </c>
      <c r="P31" s="66" t="n">
        <f aca="false">IF(B31&lt;='VALOR POR PL'!$P$5,0,IF(OR($K$16="CURVA PREVISION",$K$16="MDO PREVISION + MATERIAL PREMISSA"),N31,IF($K$16="PREVISÃO INFORMADA",MAX(0,H31),0)))</f>
        <v>28235.87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HISTORICOS'!AE12)</f>
        <v>0</v>
      </c>
      <c r="D32" s="45" t="n">
        <f aca="false">IF(B32&lt;='VALOR POR PL'!$P$5,0,IF($K$17&gt;0,$K$18*P32/$K$17,0))</f>
        <v>25624.5040854959</v>
      </c>
      <c r="E32" s="45" t="n">
        <f aca="false">L32+D32/$K$2</f>
        <v>19.758440456736</v>
      </c>
      <c r="F32" s="117" t="n">
        <f aca="false">IF($K$9=0,0,E32/$K$9)</f>
        <v>0.0305662735848626</v>
      </c>
      <c r="G32" s="117" t="n">
        <f aca="false">G31+F32</f>
        <v>0.25885020815646</v>
      </c>
      <c r="H32" s="138" t="n">
        <v>25515.02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RESUMO'!AE12</f>
        <v>0</v>
      </c>
      <c r="N32" s="140" t="n">
        <f aca="false">MAX(0,M32-M31)</f>
        <v>0</v>
      </c>
      <c r="O32" s="139" t="str">
        <f aca="false">IF(B32&lt;='VALOR POR PL'!$P$5,'CP RESUMO'!AE54,"")</f>
        <v/>
      </c>
      <c r="P32" s="66" t="n">
        <f aca="false">IF(B32&lt;='VALOR POR PL'!$P$5,0,IF(OR($K$16="CURVA PREVISION",$K$16="MDO PREVISION + MATERIAL PREMISSA"),N32,IF($K$16="PREVISÃO INFORMADA",MAX(0,H32),0)))</f>
        <v>25515.02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HISTORICOS'!AF12)</f>
        <v>0</v>
      </c>
      <c r="D33" s="45" t="n">
        <f aca="false">IF(B33&lt;='VALOR POR PL'!$P$5,0,IF($K$17&gt;0,$K$18*P33/$K$17,0))</f>
        <v>30029.1836620125</v>
      </c>
      <c r="E33" s="45" t="n">
        <f aca="false">L33+D33/$K$2</f>
        <v>23.1547832250968</v>
      </c>
      <c r="F33" s="117" t="n">
        <f aca="false">IF($K$9=0,0,E33/$K$9)</f>
        <v>0.0358204100372309</v>
      </c>
      <c r="G33" s="117" t="n">
        <f aca="false">G32+F33</f>
        <v>0.294670618193691</v>
      </c>
      <c r="H33" s="138" t="n">
        <v>29900.88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RESUMO'!AF12</f>
        <v>0</v>
      </c>
      <c r="N33" s="140" t="n">
        <f aca="false">MAX(0,M33-M32)</f>
        <v>0</v>
      </c>
      <c r="O33" s="139" t="str">
        <f aca="false">IF(B33&lt;='VALOR POR PL'!$P$5,'CP RESUMO'!AF54,"")</f>
        <v/>
      </c>
      <c r="P33" s="66" t="n">
        <f aca="false">IF(B33&lt;='VALOR POR PL'!$P$5,0,IF(OR($K$16="CURVA PREVISION",$K$16="MDO PREVISION + MATERIAL PREMISSA"),N33,IF($K$16="PREVISÃO INFORMADA",MAX(0,H33),0)))</f>
        <v>29900.88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HISTORICOS'!AG12)</f>
        <v>0</v>
      </c>
      <c r="D34" s="45" t="n">
        <f aca="false">IF(B34&lt;='VALOR POR PL'!$P$5,0,IF($K$17&gt;0,$K$18*P34/$K$17,0))</f>
        <v>30329.2155881306</v>
      </c>
      <c r="E34" s="45" t="n">
        <f aca="false">L34+D34/$K$2</f>
        <v>23.386130646594</v>
      </c>
      <c r="F34" s="117" t="n">
        <f aca="false">IF($K$9=0,0,E34/$K$9)</f>
        <v>0.03617830410251</v>
      </c>
      <c r="G34" s="117" t="n">
        <f aca="false">G33+F34</f>
        <v>0.330848922296201</v>
      </c>
      <c r="H34" s="138" t="n">
        <v>30199.63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RESUMO'!AG12</f>
        <v>0</v>
      </c>
      <c r="N34" s="140" t="n">
        <f aca="false">MAX(0,M34-M33)</f>
        <v>0</v>
      </c>
      <c r="O34" s="139" t="str">
        <f aca="false">IF(B34&lt;='VALOR POR PL'!$P$5,'CP RESUMO'!AG54,"")</f>
        <v/>
      </c>
      <c r="P34" s="66" t="n">
        <f aca="false">IF(B34&lt;='VALOR POR PL'!$P$5,0,IF(OR($K$16="CURVA PREVISION",$K$16="MDO PREVISION + MATERIAL PREMISSA"),N34,IF($K$16="PREVISÃO INFORMADA",MAX(0,H34),0)))</f>
        <v>30199.63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HISTORICOS'!AH12)</f>
        <v>0</v>
      </c>
      <c r="D35" s="45" t="n">
        <f aca="false">IF(B35&lt;='VALOR POR PL'!$P$5,0,IF($K$17&gt;0,$K$18*P35/$K$17,0))</f>
        <v>34649.062706742</v>
      </c>
      <c r="E35" s="45" t="n">
        <f aca="false">L35+D35/$K$2</f>
        <v>26.7170611415024</v>
      </c>
      <c r="F35" s="117" t="n">
        <f aca="false">IF($K$9=0,0,E35/$K$9)</f>
        <v>0.0413312478797515</v>
      </c>
      <c r="G35" s="117" t="n">
        <f aca="false">G34+F35</f>
        <v>0.372180170175953</v>
      </c>
      <c r="H35" s="138" t="n">
        <v>34501.02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RESUMO'!AH12</f>
        <v>0</v>
      </c>
      <c r="N35" s="140" t="n">
        <f aca="false">MAX(0,M35-M34)</f>
        <v>0</v>
      </c>
      <c r="O35" s="139" t="str">
        <f aca="false">IF(B35&lt;='VALOR POR PL'!$P$5,'CP RESUMO'!AH54,"")</f>
        <v/>
      </c>
      <c r="P35" s="66" t="n">
        <f aca="false">IF(B35&lt;='VALOR POR PL'!$P$5,0,IF(OR($K$16="CURVA PREVISION",$K$16="MDO PREVISION + MATERIAL PREMISSA"),N35,IF($K$16="PREVISÃO INFORMADA",MAX(0,H35),0)))</f>
        <v>34501.02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HISTORICOS'!AI12)</f>
        <v>0</v>
      </c>
      <c r="D36" s="45" t="n">
        <f aca="false">IF(B36&lt;='VALOR POR PL'!$P$5,0,IF($K$17&gt;0,$K$18*P36/$K$17,0))</f>
        <v>32921.0997563142</v>
      </c>
      <c r="E36" s="45" t="n">
        <f aca="false">L36+D36/$K$2</f>
        <v>25.3846703583069</v>
      </c>
      <c r="F36" s="117" t="n">
        <f aca="false">IF($K$9=0,0,E36/$K$9)</f>
        <v>0.0392700416175325</v>
      </c>
      <c r="G36" s="117" t="n">
        <f aca="false">G35+F36</f>
        <v>0.411450211793485</v>
      </c>
      <c r="H36" s="138" t="n">
        <v>32780.44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RESUMO'!AI12</f>
        <v>0</v>
      </c>
      <c r="N36" s="140" t="n">
        <f aca="false">MAX(0,M36-M35)</f>
        <v>0</v>
      </c>
      <c r="O36" s="139" t="str">
        <f aca="false">IF(B36&lt;='VALOR POR PL'!$P$5,'CP RESUMO'!AI54,"")</f>
        <v/>
      </c>
      <c r="P36" s="66" t="n">
        <f aca="false">IF(B36&lt;='VALOR POR PL'!$P$5,0,IF(OR($K$16="CURVA PREVISION",$K$16="MDO PREVISION + MATERIAL PREMISSA"),N36,IF($K$16="PREVISÃO INFORMADA",MAX(0,H36),0)))</f>
        <v>32780.44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HISTORICOS'!AJ12)</f>
        <v>0</v>
      </c>
      <c r="D37" s="45" t="n">
        <f aca="false">IF(B37&lt;='VALOR POR PL'!$P$5,0,IF($K$17&gt;0,$K$18*P37/$K$17,0))</f>
        <v>31311.6933544329</v>
      </c>
      <c r="E37" s="45" t="n">
        <f aca="false">L37+D37/$K$2</f>
        <v>24.1436956859322</v>
      </c>
      <c r="F37" s="117" t="n">
        <f aca="false">IF($K$9=0,0,E37/$K$9)</f>
        <v>0.0373502559223635</v>
      </c>
      <c r="G37" s="117" t="n">
        <f aca="false">G36+F37</f>
        <v>0.448800467715849</v>
      </c>
      <c r="H37" s="138" t="n">
        <v>31177.91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RESUMO'!AJ12</f>
        <v>0</v>
      </c>
      <c r="N37" s="140" t="n">
        <f aca="false">MAX(0,M37-M36)</f>
        <v>0</v>
      </c>
      <c r="O37" s="139" t="str">
        <f aca="false">IF(B37&lt;='VALOR POR PL'!$P$5,'CP RESUMO'!AJ54,"")</f>
        <v/>
      </c>
      <c r="P37" s="66" t="n">
        <f aca="false">IF(B37&lt;='VALOR POR PL'!$P$5,0,IF(OR($K$16="CURVA PREVISION",$K$16="MDO PREVISION + MATERIAL PREMISSA"),N37,IF($K$16="PREVISÃO INFORMADA",MAX(0,H37),0)))</f>
        <v>31177.91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HISTORICOS'!AK12)</f>
        <v>0</v>
      </c>
      <c r="D38" s="45" t="n">
        <f aca="false">IF(B38&lt;='VALOR POR PL'!$P$5,0,IF($K$17&gt;0,$K$18*P38/$K$17,0))</f>
        <v>34167.9772052579</v>
      </c>
      <c r="E38" s="45" t="n">
        <f aca="false">L38+D38/$K$2</f>
        <v>26.3461076508922</v>
      </c>
      <c r="F38" s="117" t="n">
        <f aca="false">IF($K$9=0,0,E38/$K$9)</f>
        <v>0.0407573834643853</v>
      </c>
      <c r="G38" s="117" t="n">
        <f aca="false">G37+F38</f>
        <v>0.489557851180234</v>
      </c>
      <c r="H38" s="138" t="n">
        <v>34021.99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RESUMO'!AK12</f>
        <v>0</v>
      </c>
      <c r="N38" s="140" t="n">
        <f aca="false">MAX(0,M38-M37)</f>
        <v>0</v>
      </c>
      <c r="O38" s="139" t="str">
        <f aca="false">IF(B38&lt;='VALOR POR PL'!$P$5,'CP RESUMO'!AK54,"")</f>
        <v/>
      </c>
      <c r="P38" s="66" t="n">
        <f aca="false">IF(B38&lt;='VALOR POR PL'!$P$5,0,IF(OR($K$16="CURVA PREVISION",$K$16="MDO PREVISION + MATERIAL PREMISSA"),N38,IF($K$16="PREVISÃO INFORMADA",MAX(0,H38),0)))</f>
        <v>34021.99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HISTORICOS'!AL12)</f>
        <v>0</v>
      </c>
      <c r="D39" s="45" t="n">
        <f aca="false">IF(B39&lt;='VALOR POR PL'!$P$5,0,IF($K$17&gt;0,$K$18*P39/$K$17,0))</f>
        <v>29570.0820897761</v>
      </c>
      <c r="E39" s="45" t="n">
        <f aca="false">L39+D39/$K$2</f>
        <v>22.8007810150106</v>
      </c>
      <c r="F39" s="117" t="n">
        <f aca="false">IF($K$9=0,0,E39/$K$9)</f>
        <v>0.0352727692238361</v>
      </c>
      <c r="G39" s="117" t="n">
        <f aca="false">G38+F39</f>
        <v>0.52483062040407</v>
      </c>
      <c r="H39" s="138" t="n">
        <v>29443.74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RESUMO'!AL12</f>
        <v>0</v>
      </c>
      <c r="N39" s="140" t="n">
        <f aca="false">MAX(0,M39-M38)</f>
        <v>0</v>
      </c>
      <c r="O39" s="139" t="str">
        <f aca="false">IF(B39&lt;='VALOR POR PL'!$P$5,'CP RESUMO'!AL54,"")</f>
        <v/>
      </c>
      <c r="P39" s="66" t="n">
        <f aca="false">IF(B39&lt;='VALOR POR PL'!$P$5,0,IF(OR($K$16="CURVA PREVISION",$K$16="MDO PREVISION + MATERIAL PREMISSA"),N39,IF($K$16="PREVISÃO INFORMADA",MAX(0,H39),0)))</f>
        <v>29443.74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HISTORICOS'!AM12)</f>
        <v>0</v>
      </c>
      <c r="D40" s="45" t="n">
        <f aca="false">IF(B40&lt;='VALOR POR PL'!$P$5,0,IF($K$17&gt;0,$K$18*P40/$K$17,0))</f>
        <v>26577.7469417754</v>
      </c>
      <c r="E40" s="45" t="n">
        <f aca="false">L40+D40/$K$2</f>
        <v>20.4934631582005</v>
      </c>
      <c r="F40" s="117" t="n">
        <f aca="false">IF($K$9=0,0,E40/$K$9)</f>
        <v>0.0317033524465897</v>
      </c>
      <c r="G40" s="117" t="n">
        <f aca="false">G39+F40</f>
        <v>0.55653397285066</v>
      </c>
      <c r="H40" s="138" t="n">
        <v>26464.19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RESUMO'!AM12</f>
        <v>0</v>
      </c>
      <c r="N40" s="140" t="n">
        <f aca="false">MAX(0,M40-M39)</f>
        <v>0</v>
      </c>
      <c r="O40" s="139" t="str">
        <f aca="false">IF(B40&lt;='VALOR POR PL'!$P$5,'CP RESUMO'!AM54,"")</f>
        <v/>
      </c>
      <c r="P40" s="66" t="n">
        <f aca="false">IF(B40&lt;='VALOR POR PL'!$P$5,0,IF(OR($K$16="CURVA PREVISION",$K$16="MDO PREVISION + MATERIAL PREMISSA"),N40,IF($K$16="PREVISÃO INFORMADA",MAX(0,H40),0)))</f>
        <v>26464.19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HISTORICOS'!AN12)</f>
        <v>0</v>
      </c>
      <c r="D41" s="45" t="n">
        <f aca="false">IF(B41&lt;='VALOR POR PL'!$P$5,0,IF($K$17&gt;0,$K$18*P41/$K$17,0))</f>
        <v>29128.9372400133</v>
      </c>
      <c r="E41" s="45" t="n">
        <f aca="false">L41+D41/$K$2</f>
        <v>22.4606248029039</v>
      </c>
      <c r="F41" s="117" t="n">
        <f aca="false">IF($K$9=0,0,E41/$K$9)</f>
        <v>0.0347465481456286</v>
      </c>
      <c r="G41" s="117" t="n">
        <f aca="false">G40+F41</f>
        <v>0.591280520996289</v>
      </c>
      <c r="H41" s="138" t="n">
        <v>29004.48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RESUMO'!AN12</f>
        <v>0</v>
      </c>
      <c r="N41" s="140" t="n">
        <f aca="false">MAX(0,M41-M40)</f>
        <v>0</v>
      </c>
      <c r="O41" s="139" t="str">
        <f aca="false">IF(B41&lt;='VALOR POR PL'!$P$5,'CP RESUMO'!AN54,"")</f>
        <v/>
      </c>
      <c r="P41" s="66" t="n">
        <f aca="false">IF(B41&lt;='VALOR POR PL'!$P$5,0,IF(OR($K$16="CURVA PREVISION",$K$16="MDO PREVISION + MATERIAL PREMISSA"),N41,IF($K$16="PREVISÃO INFORMADA",MAX(0,H41),0)))</f>
        <v>29004.48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HISTORICOS'!AO12)</f>
        <v>0</v>
      </c>
      <c r="D42" s="45" t="n">
        <f aca="false">IF(B42&lt;='VALOR POR PL'!$P$5,0,IF($K$17&gt;0,$K$18*P42/$K$17,0))</f>
        <v>31657.5611202432</v>
      </c>
      <c r="E42" s="45" t="n">
        <f aca="false">L42+D42/$K$2</f>
        <v>24.4103860239721</v>
      </c>
      <c r="F42" s="117" t="n">
        <f aca="false">IF($K$9=0,0,E42/$K$9)</f>
        <v>0.0377628254190714</v>
      </c>
      <c r="G42" s="117" t="n">
        <f aca="false">G41+F42</f>
        <v>0.62904334641536</v>
      </c>
      <c r="H42" s="138" t="n">
        <v>31522.3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RESUMO'!AO12</f>
        <v>0</v>
      </c>
      <c r="N42" s="140" t="n">
        <f aca="false">MAX(0,M42-M41)</f>
        <v>0</v>
      </c>
      <c r="O42" s="139" t="str">
        <f aca="false">IF(B42&lt;='VALOR POR PL'!$P$5,'CP RESUMO'!AO54,"")</f>
        <v/>
      </c>
      <c r="P42" s="66" t="n">
        <f aca="false">IF(B42&lt;='VALOR POR PL'!$P$5,0,IF(OR($K$16="CURVA PREVISION",$K$16="MDO PREVISION + MATERIAL PREMISSA"),N42,IF($K$16="PREVISÃO INFORMADA",MAX(0,H42),0)))</f>
        <v>31522.3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HISTORICOS'!AP12)</f>
        <v>0</v>
      </c>
      <c r="D43" s="45" t="n">
        <f aca="false">IF(B43&lt;='VALOR POR PL'!$P$5,0,IF($K$17&gt;0,$K$18*P43/$K$17,0))</f>
        <v>31145.0111827917</v>
      </c>
      <c r="E43" s="45" t="n">
        <f aca="false">L43+D43/$K$2</f>
        <v>24.0151710615108</v>
      </c>
      <c r="F43" s="117" t="n">
        <f aca="false">IF($K$9=0,0,E43/$K$9)</f>
        <v>0.0371514285482569</v>
      </c>
      <c r="G43" s="117" t="n">
        <f aca="false">G42+F43</f>
        <v>0.666194774963617</v>
      </c>
      <c r="H43" s="138" t="n">
        <v>31011.94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RESUMO'!AP12</f>
        <v>0</v>
      </c>
      <c r="N43" s="140" t="n">
        <f aca="false">MAX(0,M43-M42)</f>
        <v>0</v>
      </c>
      <c r="O43" s="139" t="str">
        <f aca="false">IF(B43&lt;='VALOR POR PL'!$P$5,'CP RESUMO'!AP54,"")</f>
        <v/>
      </c>
      <c r="P43" s="66" t="n">
        <f aca="false">IF(B43&lt;='VALOR POR PL'!$P$5,0,IF(OR($K$16="CURVA PREVISION",$K$16="MDO PREVISION + MATERIAL PREMISSA"),N43,IF($K$16="PREVISÃO INFORMADA",MAX(0,H43),0)))</f>
        <v>31011.94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HISTORICOS'!AQ12)</f>
        <v>0</v>
      </c>
      <c r="D44" s="45" t="n">
        <f aca="false">IF(B44&lt;='VALOR POR PL'!$P$5,0,IF($K$17&gt;0,$K$18*P44/$K$17,0))</f>
        <v>20742.2238971476</v>
      </c>
      <c r="E44" s="45" t="n">
        <f aca="false">L44+D44/$K$2</f>
        <v>15.9938313125854</v>
      </c>
      <c r="F44" s="117" t="n">
        <f aca="false">IF($K$9=0,0,E44/$K$9)</f>
        <v>0.0247424296791583</v>
      </c>
      <c r="G44" s="117" t="n">
        <f aca="false">G43+F44</f>
        <v>0.690937204642775</v>
      </c>
      <c r="H44" s="138" t="n">
        <v>20653.6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RESUMO'!AQ12</f>
        <v>0</v>
      </c>
      <c r="N44" s="140" t="n">
        <f aca="false">MAX(0,M44-M43)</f>
        <v>0</v>
      </c>
      <c r="O44" s="139" t="str">
        <f aca="false">IF(B44&lt;='VALOR POR PL'!$P$5,'CP RESUMO'!AQ54,"")</f>
        <v/>
      </c>
      <c r="P44" s="66" t="n">
        <f aca="false">IF(B44&lt;='VALOR POR PL'!$P$5,0,IF(OR($K$16="CURVA PREVISION",$K$16="MDO PREVISION + MATERIAL PREMISSA"),N44,IF($K$16="PREVISÃO INFORMADA",MAX(0,H44),0)))</f>
        <v>20653.6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HISTORICOS'!AR12)</f>
        <v>0</v>
      </c>
      <c r="D45" s="45" t="n">
        <f aca="false">IF(B45&lt;='VALOR POR PL'!$P$5,0,IF($K$17&gt;0,$K$18*P45/$K$17,0))</f>
        <v>12983.6945535684</v>
      </c>
      <c r="E45" s="45" t="n">
        <f aca="false">L45+D45/$K$2</f>
        <v>10.0114154361464</v>
      </c>
      <c r="F45" s="117" t="n">
        <f aca="false">IF($K$9=0,0,E45/$K$9)</f>
        <v>0.0154876425527118</v>
      </c>
      <c r="G45" s="117" t="n">
        <f aca="false">G44+F45</f>
        <v>0.706424847195487</v>
      </c>
      <c r="H45" s="138" t="n">
        <v>12928.22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RESUMO'!AR12</f>
        <v>0</v>
      </c>
      <c r="N45" s="140" t="n">
        <f aca="false">MAX(0,M45-M44)</f>
        <v>0</v>
      </c>
      <c r="O45" s="139" t="str">
        <f aca="false">IF(B45&lt;='VALOR POR PL'!$P$5,'CP RESUMO'!AR54,"")</f>
        <v/>
      </c>
      <c r="P45" s="66" t="n">
        <f aca="false">IF(B45&lt;='VALOR POR PL'!$P$5,0,IF(OR($K$16="CURVA PREVISION",$K$16="MDO PREVISION + MATERIAL PREMISSA"),N45,IF($K$16="PREVISÃO INFORMADA",MAX(0,H45),0)))</f>
        <v>12928.22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HISTORICOS'!AS12)</f>
        <v>0</v>
      </c>
      <c r="D46" s="45" t="n">
        <f aca="false">IF(B46&lt;='VALOR POR PL'!$P$5,0,IF($K$17&gt;0,$K$18*P46/$K$17,0))</f>
        <v>12983.6945535684</v>
      </c>
      <c r="E46" s="45" t="n">
        <f aca="false">L46+D46/$K$2</f>
        <v>10.0114154361464</v>
      </c>
      <c r="F46" s="117" t="n">
        <f aca="false">IF($K$9=0,0,E46/$K$9)</f>
        <v>0.0154876425527118</v>
      </c>
      <c r="G46" s="117" t="n">
        <f aca="false">G45+F46</f>
        <v>0.721912489748199</v>
      </c>
      <c r="H46" s="138" t="n">
        <v>12928.22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RESUMO'!AS12</f>
        <v>0</v>
      </c>
      <c r="N46" s="140" t="n">
        <f aca="false">MAX(0,M46-M45)</f>
        <v>0</v>
      </c>
      <c r="O46" s="139" t="str">
        <f aca="false">IF(B46&lt;='VALOR POR PL'!$P$5,'CP RESUMO'!AS54,"")</f>
        <v/>
      </c>
      <c r="P46" s="66" t="n">
        <f aca="false">IF(B46&lt;='VALOR POR PL'!$P$5,0,IF(OR($K$16="CURVA PREVISION",$K$16="MDO PREVISION + MATERIAL PREMISSA"),N46,IF($K$16="PREVISÃO INFORMADA",MAX(0,H46),0)))</f>
        <v>12928.22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HISTORICOS'!AT12)</f>
        <v>0</v>
      </c>
      <c r="D47" s="45" t="n">
        <f aca="false">IF(B47&lt;='VALOR POR PL'!$P$5,0,IF($K$17&gt;0,$K$18*P47/$K$17,0))</f>
        <v>12983.6945535684</v>
      </c>
      <c r="E47" s="45" t="n">
        <f aca="false">L47+D47/$K$2</f>
        <v>10.0114154361464</v>
      </c>
      <c r="F47" s="117" t="n">
        <f aca="false">IF($K$9=0,0,E47/$K$9)</f>
        <v>0.0154876425527118</v>
      </c>
      <c r="G47" s="117" t="n">
        <f aca="false">G46+F47</f>
        <v>0.737400132300911</v>
      </c>
      <c r="H47" s="138" t="n">
        <v>12928.22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RESUMO'!AT12</f>
        <v>0</v>
      </c>
      <c r="N47" s="140" t="n">
        <f aca="false">MAX(0,M47-M46)</f>
        <v>0</v>
      </c>
      <c r="O47" s="139" t="str">
        <f aca="false">IF(B47&lt;='VALOR POR PL'!$P$5,'CP RESUMO'!AT54,"")</f>
        <v/>
      </c>
      <c r="P47" s="66" t="n">
        <f aca="false">IF(B47&lt;='VALOR POR PL'!$P$5,0,IF(OR($K$16="CURVA PREVISION",$K$16="MDO PREVISION + MATERIAL PREMISSA"),N47,IF($K$16="PREVISÃO INFORMADA",MAX(0,H47),0)))</f>
        <v>12928.22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HISTORICOS'!AU12)</f>
        <v>0</v>
      </c>
      <c r="D48" s="45" t="n">
        <f aca="false">IF(B48&lt;='VALOR POR PL'!$P$5,0,IF($K$17&gt;0,$K$18*P48/$K$17,0))</f>
        <v>12983.6945535684</v>
      </c>
      <c r="E48" s="45" t="n">
        <f aca="false">L48+D48/$K$2</f>
        <v>10.0114154361464</v>
      </c>
      <c r="F48" s="117" t="n">
        <f aca="false">IF($K$9=0,0,E48/$K$9)</f>
        <v>0.0154876425527118</v>
      </c>
      <c r="G48" s="117" t="n">
        <f aca="false">G47+F48</f>
        <v>0.752887774853623</v>
      </c>
      <c r="H48" s="138" t="n">
        <v>12928.22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RESUMO'!AU12</f>
        <v>0</v>
      </c>
      <c r="N48" s="140" t="n">
        <f aca="false">MAX(0,M48-M47)</f>
        <v>0</v>
      </c>
      <c r="O48" s="139" t="str">
        <f aca="false">IF(B48&lt;='VALOR POR PL'!$P$5,'CP RESUMO'!AU54,"")</f>
        <v/>
      </c>
      <c r="P48" s="66" t="n">
        <f aca="false">IF(B48&lt;='VALOR POR PL'!$P$5,0,IF(OR($K$16="CURVA PREVISION",$K$16="MDO PREVISION + MATERIAL PREMISSA"),N48,IF($K$16="PREVISÃO INFORMADA",MAX(0,H48),0)))</f>
        <v>12928.22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HISTORICOS'!AV12)</f>
        <v>0</v>
      </c>
      <c r="D49" s="45" t="n">
        <f aca="false">IF(B49&lt;='VALOR POR PL'!$P$5,0,IF($K$17&gt;0,$K$18*P49/$K$17,0))</f>
        <v>12983.6945535684</v>
      </c>
      <c r="E49" s="45" t="n">
        <f aca="false">L49+D49/$K$2</f>
        <v>10.0114154361464</v>
      </c>
      <c r="F49" s="117" t="n">
        <f aca="false">IF($K$9=0,0,E49/$K$9)</f>
        <v>0.0154876425527118</v>
      </c>
      <c r="G49" s="117" t="n">
        <f aca="false">G48+F49</f>
        <v>0.768375417406334</v>
      </c>
      <c r="H49" s="138" t="n">
        <v>12928.22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RESUMO'!AV12</f>
        <v>0</v>
      </c>
      <c r="N49" s="140" t="n">
        <f aca="false">MAX(0,M49-M48)</f>
        <v>0</v>
      </c>
      <c r="O49" s="139" t="str">
        <f aca="false">IF(B49&lt;='VALOR POR PL'!$P$5,'CP RESUMO'!AV54,"")</f>
        <v/>
      </c>
      <c r="P49" s="66" t="n">
        <f aca="false">IF(B49&lt;='VALOR POR PL'!$P$5,0,IF(OR($K$16="CURVA PREVISION",$K$16="MDO PREVISION + MATERIAL PREMISSA"),N49,IF($K$16="PREVISÃO INFORMADA",MAX(0,H49),0)))</f>
        <v>12928.22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HISTORICOS'!AW12)</f>
        <v>0</v>
      </c>
      <c r="D50" s="45" t="n">
        <f aca="false">IF(B50&lt;='VALOR POR PL'!$P$5,0,IF($K$17&gt;0,$K$18*P50/$K$17,0))</f>
        <v>12983.6945535684</v>
      </c>
      <c r="E50" s="45" t="n">
        <f aca="false">L50+D50/$K$2</f>
        <v>10.0114154361464</v>
      </c>
      <c r="F50" s="117" t="n">
        <f aca="false">IF($K$9=0,0,E50/$K$9)</f>
        <v>0.0154876425527118</v>
      </c>
      <c r="G50" s="117" t="n">
        <f aca="false">G49+F50</f>
        <v>0.783863059959046</v>
      </c>
      <c r="H50" s="138" t="n">
        <v>12928.22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RESUMO'!AW12</f>
        <v>0</v>
      </c>
      <c r="N50" s="140" t="n">
        <f aca="false">MAX(0,M50-M49)</f>
        <v>0</v>
      </c>
      <c r="O50" s="139" t="str">
        <f aca="false">IF(B50&lt;='VALOR POR PL'!$P$5,'CP RESUMO'!AW54,"")</f>
        <v/>
      </c>
      <c r="P50" s="66" t="n">
        <f aca="false">IF(B50&lt;='VALOR POR PL'!$P$5,0,IF(OR($K$16="CURVA PREVISION",$K$16="MDO PREVISION + MATERIAL PREMISSA"),N50,IF($K$16="PREVISÃO INFORMADA",MAX(0,H50),0)))</f>
        <v>12928.22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HISTORICOS'!AX12)</f>
        <v>0</v>
      </c>
      <c r="D51" s="45" t="n">
        <f aca="false">IF(B51&lt;='VALOR POR PL'!$P$5,0,IF($K$17&gt;0,$K$18*P51/$K$17,0))</f>
        <v>12983.6945535684</v>
      </c>
      <c r="E51" s="45" t="n">
        <f aca="false">L51+D51/$K$2</f>
        <v>10.0114154361464</v>
      </c>
      <c r="F51" s="117" t="n">
        <f aca="false">IF($K$9=0,0,E51/$K$9)</f>
        <v>0.0154876425527118</v>
      </c>
      <c r="G51" s="117" t="n">
        <f aca="false">G50+F51</f>
        <v>0.799350702511758</v>
      </c>
      <c r="H51" s="138" t="n">
        <v>12928.22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RESUMO'!AX12</f>
        <v>0</v>
      </c>
      <c r="N51" s="140" t="n">
        <f aca="false">MAX(0,M51-M50)</f>
        <v>0</v>
      </c>
      <c r="O51" s="139" t="str">
        <f aca="false">IF(B51&lt;='VALOR POR PL'!$P$5,'CP RESUMO'!AX54,"")</f>
        <v/>
      </c>
      <c r="P51" s="66" t="n">
        <f aca="false">IF(B51&lt;='VALOR POR PL'!$P$5,0,IF(OR($K$16="CURVA PREVISION",$K$16="MDO PREVISION + MATERIAL PREMISSA"),N51,IF($K$16="PREVISÃO INFORMADA",MAX(0,H51),0)))</f>
        <v>12928.22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HISTORICOS'!AY12)</f>
        <v>0</v>
      </c>
      <c r="D52" s="45" t="n">
        <f aca="false">IF(B52&lt;='VALOR POR PL'!$P$5,0,IF($K$17&gt;0,$K$18*P52/$K$17,0))</f>
        <v>12983.6945535684</v>
      </c>
      <c r="E52" s="45" t="n">
        <f aca="false">L52+D52/$K$2</f>
        <v>10.0114154361464</v>
      </c>
      <c r="F52" s="117" t="n">
        <f aca="false">IF($K$9=0,0,E52/$K$9)</f>
        <v>0.0154876425527118</v>
      </c>
      <c r="G52" s="117" t="n">
        <f aca="false">G51+F52</f>
        <v>0.81483834506447</v>
      </c>
      <c r="H52" s="138" t="n">
        <v>12928.22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RESUMO'!AY12</f>
        <v>0</v>
      </c>
      <c r="N52" s="140" t="n">
        <f aca="false">MAX(0,M52-M51)</f>
        <v>0</v>
      </c>
      <c r="O52" s="139" t="str">
        <f aca="false">IF(B52&lt;='VALOR POR PL'!$P$5,'CP RESUMO'!AY54,"")</f>
        <v/>
      </c>
      <c r="P52" s="66" t="n">
        <f aca="false">IF(B52&lt;='VALOR POR PL'!$P$5,0,IF(OR($K$16="CURVA PREVISION",$K$16="MDO PREVISION + MATERIAL PREMISSA"),N52,IF($K$16="PREVISÃO INFORMADA",MAX(0,H52),0)))</f>
        <v>12928.22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HISTORICOS'!AZ12)</f>
        <v>0</v>
      </c>
      <c r="D53" s="45" t="n">
        <f aca="false">IF(B53&lt;='VALOR POR PL'!$P$5,0,IF($K$17&gt;0,$K$18*P53/$K$17,0))</f>
        <v>12983.6945535684</v>
      </c>
      <c r="E53" s="45" t="n">
        <f aca="false">L53+D53/$K$2</f>
        <v>10.0114154361464</v>
      </c>
      <c r="F53" s="117" t="n">
        <f aca="false">IF($K$9=0,0,E53/$K$9)</f>
        <v>0.0154876425527118</v>
      </c>
      <c r="G53" s="117" t="n">
        <f aca="false">G52+F53</f>
        <v>0.830325987617182</v>
      </c>
      <c r="H53" s="138" t="n">
        <v>12928.22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RESUMO'!AZ12</f>
        <v>0</v>
      </c>
      <c r="N53" s="140" t="n">
        <f aca="false">MAX(0,M53-M52)</f>
        <v>0</v>
      </c>
      <c r="O53" s="139" t="str">
        <f aca="false">IF(B53&lt;='VALOR POR PL'!$P$5,'CP RESUMO'!AZ54,"")</f>
        <v/>
      </c>
      <c r="P53" s="66" t="n">
        <f aca="false">IF(B53&lt;='VALOR POR PL'!$P$5,0,IF(OR($K$16="CURVA PREVISION",$K$16="MDO PREVISION + MATERIAL PREMISSA"),N53,IF($K$16="PREVISÃO INFORMADA",MAX(0,H53),0)))</f>
        <v>12928.22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HISTORICOS'!BA12)</f>
        <v>0</v>
      </c>
      <c r="D54" s="45" t="n">
        <f aca="false">IF(B54&lt;='VALOR POR PL'!$P$5,0,IF($K$17&gt;0,$K$18*P54/$K$17,0))</f>
        <v>12983.6945535684</v>
      </c>
      <c r="E54" s="45" t="n">
        <f aca="false">L54+D54/$K$2</f>
        <v>10.0114154361464</v>
      </c>
      <c r="F54" s="117" t="n">
        <f aca="false">IF($K$9=0,0,E54/$K$9)</f>
        <v>0.0154876425527118</v>
      </c>
      <c r="G54" s="117" t="n">
        <f aca="false">G53+F54</f>
        <v>0.845813630169894</v>
      </c>
      <c r="H54" s="138" t="n">
        <v>12928.22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RESUMO'!BA12</f>
        <v>0</v>
      </c>
      <c r="N54" s="140" t="n">
        <f aca="false">MAX(0,M54-M53)</f>
        <v>0</v>
      </c>
      <c r="O54" s="139" t="str">
        <f aca="false">IF(B54&lt;='VALOR POR PL'!$P$5,'CP RESUMO'!BA54,"")</f>
        <v/>
      </c>
      <c r="P54" s="66" t="n">
        <f aca="false">IF(B54&lt;='VALOR POR PL'!$P$5,0,IF(OR($K$16="CURVA PREVISION",$K$16="MDO PREVISION + MATERIAL PREMISSA"),N54,IF($K$16="PREVISÃO INFORMADA",MAX(0,H54),0)))</f>
        <v>12928.22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HISTORICOS'!BB12)</f>
        <v>0</v>
      </c>
      <c r="D55" s="45" t="n">
        <f aca="false">IF(B55&lt;='VALOR POR PL'!$P$5,0,IF($K$17&gt;0,$K$18*P55/$K$17,0))</f>
        <v>6025.74579651418</v>
      </c>
      <c r="E55" s="45" t="n">
        <f aca="false">L55+D55/$K$2</f>
        <v>4.646308046806</v>
      </c>
      <c r="F55" s="117" t="n">
        <f aca="false">IF($K$9=0,0,E55/$K$9)</f>
        <v>0.00718783059974774</v>
      </c>
      <c r="G55" s="117" t="n">
        <f aca="false">G54+F55</f>
        <v>0.853001460769641</v>
      </c>
      <c r="H55" s="138" t="n">
        <v>6000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RESUMO'!BB12</f>
        <v>0</v>
      </c>
      <c r="N55" s="140" t="n">
        <f aca="false">MAX(0,M55-M54)</f>
        <v>0</v>
      </c>
      <c r="O55" s="139" t="str">
        <f aca="false">IF(B55&lt;='VALOR POR PL'!$P$5,'CP RESUMO'!BB54,"")</f>
        <v/>
      </c>
      <c r="P55" s="66" t="n">
        <f aca="false">IF(B55&lt;='VALOR POR PL'!$P$5,0,IF(OR($K$16="CURVA PREVISION",$K$16="MDO PREVISION + MATERIAL PREMISSA"),N55,IF($K$16="PREVISÃO INFORMADA",MAX(0,H55),0)))</f>
        <v>6000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HISTORICOS'!BC12)</f>
        <v>0</v>
      </c>
      <c r="D56" s="45" t="n">
        <f aca="false">IF(B56&lt;='VALOR POR PL'!$P$5,0,IF($K$17&gt;0,$K$18*P56/$K$17,0))</f>
        <v>65840.3214885219</v>
      </c>
      <c r="E56" s="45" t="n">
        <f aca="false">L56+D56/$K$2</f>
        <v>50.7678926172725</v>
      </c>
      <c r="F56" s="117" t="n">
        <f aca="false">IF($K$9=0,0,E56/$K$9)</f>
        <v>0.0785378430278614</v>
      </c>
      <c r="G56" s="117" t="n">
        <f aca="false">G55+F56</f>
        <v>0.931539303797503</v>
      </c>
      <c r="H56" s="138" t="n">
        <v>65559.01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RESUMO'!BC12</f>
        <v>0</v>
      </c>
      <c r="N56" s="140" t="n">
        <f aca="false">MAX(0,M56-M55)</f>
        <v>0</v>
      </c>
      <c r="O56" s="139" t="str">
        <f aca="false">IF(B56&lt;='VALOR POR PL'!$P$5,'CP RESUMO'!BC54,"")</f>
        <v/>
      </c>
      <c r="P56" s="66" t="n">
        <f aca="false">IF(B56&lt;='VALOR POR PL'!$P$5,0,IF(OR($K$16="CURVA PREVISION",$K$16="MDO PREVISION + MATERIAL PREMISSA"),N56,IF($K$16="PREVISÃO INFORMADA",MAX(0,H56),0)))</f>
        <v>65559.01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HISTORICOS'!BD12)</f>
        <v>0</v>
      </c>
      <c r="D57" s="45" t="n">
        <f aca="false">IF(B57&lt;='VALOR POR PL'!$P$5,0,IF($K$17&gt;0,$K$18*P57/$K$17,0))</f>
        <v>19521.7090860636</v>
      </c>
      <c r="E57" s="45" t="n">
        <f aca="false">L57+D57/$K$2</f>
        <v>15.0527216177048</v>
      </c>
      <c r="F57" s="117" t="n">
        <f aca="false">IF($K$9=0,0,E57/$K$9)</f>
        <v>0.0232865345911794</v>
      </c>
      <c r="G57" s="117" t="n">
        <f aca="false">G56+F57</f>
        <v>0.954825838388682</v>
      </c>
      <c r="H57" s="138" t="n">
        <v>19438.3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RESUMO'!BD12</f>
        <v>0</v>
      </c>
      <c r="N57" s="140" t="n">
        <f aca="false">MAX(0,M57-M56)</f>
        <v>0</v>
      </c>
      <c r="O57" s="139" t="str">
        <f aca="false">IF(B57&lt;='VALOR POR PL'!$P$5,'CP RESUMO'!BD54,"")</f>
        <v/>
      </c>
      <c r="P57" s="66" t="n">
        <f aca="false">IF(B57&lt;='VALOR POR PL'!$P$5,0,IF(OR($K$16="CURVA PREVISION",$K$16="MDO PREVISION + MATERIAL PREMISSA"),N57,IF($K$16="PREVISÃO INFORMADA",MAX(0,H57),0)))</f>
        <v>19438.3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HISTORICOS'!BE12)</f>
        <v>0</v>
      </c>
      <c r="D58" s="45" t="n">
        <f aca="false">IF(B58&lt;='VALOR POR PL'!$P$5,0,IF($K$17&gt;0,$K$18*P58/$K$17,0))</f>
        <v>37870.6774823</v>
      </c>
      <c r="E58" s="45" t="n">
        <f aca="false">L58+D58/$K$2</f>
        <v>29.2011710194935</v>
      </c>
      <c r="F58" s="117" t="n">
        <f aca="false">IF($K$9=0,0,E58/$K$9)</f>
        <v>0.0451741616113183</v>
      </c>
      <c r="G58" s="117" t="n">
        <f aca="false">G57+F58</f>
        <v>1</v>
      </c>
      <c r="H58" s="138" t="n">
        <v>37708.87</v>
      </c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RESUMO'!BE12</f>
        <v>0</v>
      </c>
      <c r="N58" s="140" t="n">
        <f aca="false">MAX(0,M58-M57)</f>
        <v>0</v>
      </c>
      <c r="O58" s="139" t="str">
        <f aca="false">IF(B58&lt;='VALOR POR PL'!$P$5,'CP RESUMO'!BE54,"")</f>
        <v/>
      </c>
      <c r="P58" s="66" t="n">
        <f aca="false">IF(B58&lt;='VALOR POR PL'!$P$5,0,IF(OR($K$16="CURVA PREVISION",$K$16="MDO PREVISION + MATERIAL PREMISSA"),N58,IF($K$16="PREVISÃO INFORMADA",MAX(0,H58),0)))</f>
        <v>37708.87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RESUMO'!BF12</f>
        <v>0</v>
      </c>
      <c r="N59" s="140" t="n">
        <f aca="false">MAX(0,M59-M58)</f>
        <v>0</v>
      </c>
      <c r="O59" s="139" t="str">
        <f aca="false">IF(B59&lt;='VALOR POR PL'!$P$5,'CP RESUMO'!BF54,"")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RESUMO'!BG12</f>
        <v>0</v>
      </c>
      <c r="N60" s="140" t="n">
        <f aca="false">MAX(0,M60-M59)</f>
        <v>0</v>
      </c>
      <c r="O60" s="139" t="str">
        <f aca="false">IF(B60&lt;='VALOR POR PL'!$P$5,'CP RESUMO'!BG54,"")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RESUMO'!BH12</f>
        <v>0</v>
      </c>
      <c r="N61" s="140" t="n">
        <f aca="false">MAX(0,M61-M60)</f>
        <v>0</v>
      </c>
      <c r="O61" s="139" t="str">
        <f aca="false">IF(B61&lt;='VALOR POR PL'!$P$5,'CP RESUMO'!BH54,"")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RESUMO'!BI12</f>
        <v>0</v>
      </c>
      <c r="N62" s="140" t="n">
        <f aca="false">MAX(0,M62-M61)</f>
        <v>0</v>
      </c>
      <c r="O62" s="139" t="str">
        <f aca="false">IF(B62&lt;='VALOR POR PL'!$P$5,'CP RESUMO'!BI54,"")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RESUMO'!BJ12</f>
        <v>0</v>
      </c>
      <c r="N63" s="140" t="n">
        <f aca="false">MAX(0,M63-M62)</f>
        <v>0</v>
      </c>
      <c r="O63" s="139" t="str">
        <f aca="false">IF(B63&lt;='VALOR POR PL'!$P$5,'CP RESUMO'!BJ54,"")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RESUMO'!BK12</f>
        <v>0</v>
      </c>
      <c r="N64" s="140" t="n">
        <f aca="false">MAX(0,M64-M63)</f>
        <v>0</v>
      </c>
      <c r="O64" s="139" t="str">
        <f aca="false">IF(B64&lt;='VALOR POR PL'!$P$5,'CP RESUMO'!BK54,"")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RESUMO'!BL12</f>
        <v>0</v>
      </c>
      <c r="N65" s="140" t="n">
        <f aca="false">MAX(0,M65-M64)</f>
        <v>0</v>
      </c>
      <c r="O65" s="139" t="str">
        <f aca="false">IF(B65&lt;='VALOR POR PL'!$P$5,'CP RESUMO'!BL54,"")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RESUMO'!BM12</f>
        <v>0</v>
      </c>
      <c r="N66" s="140" t="n">
        <f aca="false">MAX(0,M66-M65)</f>
        <v>0</v>
      </c>
      <c r="O66" s="139" t="str">
        <f aca="false">IF(B66&lt;='VALOR POR PL'!$P$5,'CP RESUMO'!BM54,"")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RESUMO'!BN12</f>
        <v>0</v>
      </c>
      <c r="N67" s="140" t="n">
        <f aca="false">MAX(0,M67-M66)</f>
        <v>0</v>
      </c>
      <c r="O67" s="139" t="str">
        <f aca="false">IF(B67&lt;='VALOR POR PL'!$P$5,'CP RESUMO'!BN54,"")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RESUMO'!BO12</f>
        <v>0</v>
      </c>
      <c r="N68" s="140" t="n">
        <f aca="false">MAX(0,M68-M67)</f>
        <v>0</v>
      </c>
      <c r="O68" s="139" t="str">
        <f aca="false">IF(B68&lt;='VALOR POR PL'!$P$5,'CP RESUMO'!BO54,"")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RESUMO'!BP12</f>
        <v>0</v>
      </c>
      <c r="N69" s="140" t="n">
        <f aca="false">MAX(0,M69-M68)</f>
        <v>0</v>
      </c>
      <c r="O69" s="139" t="str">
        <f aca="false">IF(B69&lt;='VALOR POR PL'!$P$5,'CP RESUMO'!BP54,"")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RESUMO'!BQ12</f>
        <v>0</v>
      </c>
      <c r="N70" s="140" t="n">
        <f aca="false">MAX(0,M70-M69)</f>
        <v>0</v>
      </c>
      <c r="O70" s="139" t="str">
        <f aca="false">IF(B70&lt;='VALOR POR PL'!$P$5,'CP RESUMO'!BQ54,"")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RESUMO'!BR12</f>
        <v>0</v>
      </c>
      <c r="N71" s="140" t="n">
        <f aca="false">MAX(0,M71-M70)</f>
        <v>0</v>
      </c>
      <c r="O71" s="139" t="str">
        <f aca="false">IF(B71&lt;='VALOR POR PL'!$P$5,'CP RESUMO'!BR54,"")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RESUMO'!BS12</f>
        <v>0</v>
      </c>
      <c r="N72" s="140" t="n">
        <f aca="false">MAX(0,M72-M71)</f>
        <v>0</v>
      </c>
      <c r="O72" s="139" t="str">
        <f aca="false">IF(B72&lt;='VALOR POR PL'!$P$5,'CP RESUMO'!BS54,"")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RESUMO'!BT12</f>
        <v>0</v>
      </c>
      <c r="N73" s="140" t="n">
        <f aca="false">MAX(0,M73-M72)</f>
        <v>0</v>
      </c>
      <c r="O73" s="139" t="str">
        <f aca="false">IF(B73&lt;='VALOR POR PL'!$P$5,'CP RESUMO'!BT54,"")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RESUMO'!BU12</f>
        <v>0</v>
      </c>
      <c r="N74" s="140" t="n">
        <f aca="false">MAX(0,M74-M73)</f>
        <v>0</v>
      </c>
      <c r="O74" s="139" t="str">
        <f aca="false">IF(B74&lt;='VALOR POR PL'!$P$5,'CP RESUMO'!BU54,"")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RESUMO'!BV12</f>
        <v>0</v>
      </c>
      <c r="N75" s="140" t="n">
        <f aca="false">MAX(0,M75-M74)</f>
        <v>0</v>
      </c>
      <c r="O75" s="139" t="str">
        <f aca="false">IF(B75&lt;='VALOR POR PL'!$P$5,'CP RESUMO'!BV54,"")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RESUMO'!BW12</f>
        <v>0</v>
      </c>
      <c r="N76" s="140" t="n">
        <f aca="false">MAX(0,M76-M75)</f>
        <v>0</v>
      </c>
      <c r="O76" s="139" t="str">
        <f aca="false">IF(B76&lt;='VALOR POR PL'!$P$5,'CP RESUMO'!BW54,"")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86516.58</v>
      </c>
      <c r="D78" s="61" t="n">
        <f aca="false">SUM(D5:D76)</f>
        <v>748495.325352242</v>
      </c>
      <c r="E78" s="61" t="n">
        <f aca="false">SUM(E5:E76)</f>
        <v>646.413125953338</v>
      </c>
      <c r="F78" s="145" t="n">
        <f aca="false">SUM(F5:F76)</f>
        <v>1</v>
      </c>
      <c r="H78" s="61" t="n">
        <f aca="false">SUM(H5:H76)</f>
        <v>745297.28</v>
      </c>
      <c r="L78" s="61" t="n">
        <f aca="false">SUM(L5:L76)</f>
        <v>69.2663343989011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PL'!D19</f>
        <v>CONSULTORIAS (OBRAS)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HISTORICOS'!D13)</f>
        <v>43088.09</v>
      </c>
      <c r="D5" s="45" t="n">
        <f aca="false">IF(B5&lt;='VALOR POR PL'!$P$5,0,IF($K$17&gt;0,$K$18*P5/$K$17,0))</f>
        <v>0</v>
      </c>
      <c r="E5" s="45" t="n">
        <f aca="false">L5+D5/$K$2</f>
        <v>37.8286998660252</v>
      </c>
      <c r="F5" s="117" t="n">
        <f aca="false">IF($K$9=0,0,E5/$K$9)</f>
        <v>0.0353227615493849</v>
      </c>
      <c r="G5" s="117" t="n">
        <f aca="false">F5</f>
        <v>0.0353227615493849</v>
      </c>
      <c r="H5" s="138"/>
      <c r="I5" s="42" t="s">
        <v>2920</v>
      </c>
      <c r="J5" s="56" t="n">
        <f aca="false">'VALOR POR PL'!F19</f>
        <v>1322660.98</v>
      </c>
      <c r="K5" s="56" t="n">
        <f aca="false">'VALOR POR PL'!G19</f>
        <v>1087.08347</v>
      </c>
      <c r="L5" s="56" t="n">
        <f aca="false">'DADOS HISTORICOS'!$BZ$13</f>
        <v>37.8286998660252</v>
      </c>
      <c r="M5" s="139" t="n">
        <f aca="false">'CP RESUMO'!D13</f>
        <v>0</v>
      </c>
      <c r="N5" s="140" t="n">
        <v>0</v>
      </c>
      <c r="O5" s="139" t="n">
        <f aca="false">IF(B5&lt;='VALOR POR PL'!$P$5,'CP RESUMO'!D55,"")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0.0353227615493849</v>
      </c>
      <c r="H6" s="138"/>
      <c r="I6" s="42" t="s">
        <v>2921</v>
      </c>
      <c r="K6" s="52" t="n">
        <f aca="false">'VALOR POR PL'!H19</f>
        <v>1071.13920587468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RESUMO'!E13</f>
        <v>0</v>
      </c>
      <c r="N6" s="140" t="n">
        <f aca="false">MAX(0,M6-M5)</f>
        <v>0</v>
      </c>
      <c r="O6" s="139" t="n">
        <f aca="false">IF(B6&lt;='VALOR POR PL'!$P$5,'CP RESUMO'!E55,"")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HISTORICOS'!F13)</f>
        <v>14421.7</v>
      </c>
      <c r="D7" s="45" t="n">
        <f aca="false">IF(B7&lt;='VALOR POR PL'!$P$5,0,IF($K$17&gt;0,$K$18*P7/$K$17,0))</f>
        <v>0</v>
      </c>
      <c r="E7" s="45" t="n">
        <f aca="false">L7+D7/$K$2</f>
        <v>12.2865966646078</v>
      </c>
      <c r="F7" s="117" t="n">
        <f aca="false">IF($K$9=0,0,E7/$K$9)</f>
        <v>0.0114726788331203</v>
      </c>
      <c r="G7" s="117" t="n">
        <f aca="false">G6+F7</f>
        <v>0.0467954403825052</v>
      </c>
      <c r="H7" s="138"/>
      <c r="I7" s="42" t="s">
        <v>2922</v>
      </c>
      <c r="J7" s="45" t="n">
        <f aca="false">C78+D78</f>
        <v>1352988.41770466</v>
      </c>
      <c r="L7" s="45" t="n">
        <f aca="false">C7/IF(B7&lt;='VALOR POR PL'!$P$5,IFERROR(INDEX('"INCC-FGV"'!$B$2:$B$800,MATCH(B7,'"INCC-FGV"'!$A$2:$A$800,0)),$K$2),$K$2)</f>
        <v>12.2865966646078</v>
      </c>
      <c r="M7" s="139" t="n">
        <f aca="false">'CP RESUMO'!F13</f>
        <v>0</v>
      </c>
      <c r="N7" s="140" t="n">
        <f aca="false">MAX(0,M7-M6)</f>
        <v>0</v>
      </c>
      <c r="O7" s="139" t="n">
        <f aca="false">IF(B7&lt;='VALOR POR PL'!$P$5,'CP RESUMO'!F55,"")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HISTORICOS'!G13)</f>
        <v>608.73</v>
      </c>
      <c r="D8" s="45" t="n">
        <f aca="false">IF(B8&lt;='VALOR POR PL'!$P$5,0,IF($K$17&gt;0,$K$18*P8/$K$17,0))</f>
        <v>0</v>
      </c>
      <c r="E8" s="45" t="n">
        <f aca="false">L8+D8/$K$2</f>
        <v>0.516579456986081</v>
      </c>
      <c r="F8" s="117" t="n">
        <f aca="false">IF($K$9=0,0,E8/$K$9)</f>
        <v>0.000482358977312306</v>
      </c>
      <c r="G8" s="117" t="n">
        <f aca="false">G7+F8</f>
        <v>0.0472777993598176</v>
      </c>
      <c r="H8" s="138"/>
      <c r="I8" s="42" t="s">
        <v>2923</v>
      </c>
      <c r="K8" s="66" t="n">
        <f aca="false">SUM(L5:L76)</f>
        <v>577.524242481269</v>
      </c>
      <c r="L8" s="45" t="n">
        <f aca="false">C8/IF(B8&lt;='VALOR POR PL'!$P$5,IFERROR(INDEX('"INCC-FGV"'!$B$2:$B$800,MATCH(B8,'"INCC-FGV"'!$A$2:$A$800,0)),$K$2),$K$2)</f>
        <v>0.516579456986081</v>
      </c>
      <c r="M8" s="139" t="n">
        <f aca="false">'CP RESUMO'!G13</f>
        <v>0</v>
      </c>
      <c r="N8" s="140" t="n">
        <f aca="false">MAX(0,M8-M7)</f>
        <v>0</v>
      </c>
      <c r="O8" s="139" t="n">
        <f aca="false">IF(B8&lt;='VALOR POR PL'!$P$5,'CP RESUMO'!G55,"")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0.0472777993598176</v>
      </c>
      <c r="H9" s="138"/>
      <c r="I9" s="42" t="s">
        <v>2924</v>
      </c>
      <c r="J9" s="45" t="n">
        <f aca="false">C78+D78</f>
        <v>1352988.41770466</v>
      </c>
      <c r="K9" s="45" t="n">
        <f aca="false">E78</f>
        <v>1070.94400909557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RESUMO'!H13</f>
        <v>0</v>
      </c>
      <c r="N9" s="140" t="n">
        <f aca="false">MAX(0,M9-M8)</f>
        <v>0</v>
      </c>
      <c r="O9" s="139" t="n">
        <f aca="false">IF(B9&lt;='VALOR POR PL'!$P$5,'CP RESUMO'!H55,"")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0.0472777993598176</v>
      </c>
      <c r="H10" s="138"/>
      <c r="I10" s="42" t="s">
        <v>2925</v>
      </c>
      <c r="K10" s="52" t="n">
        <f aca="false">IF(K6-K8&gt;0,(K6-K8)*'VALOR POR PL'!$G$65,K6-K8)</f>
        <v>493.419766614302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RESUMO'!I13</f>
        <v>0</v>
      </c>
      <c r="N10" s="140" t="n">
        <f aca="false">MAX(0,M10-M9)</f>
        <v>0</v>
      </c>
      <c r="O10" s="139" t="n">
        <f aca="false">IF(B10&lt;='VALOR POR PL'!$P$5,'CP RESUMO'!I55,"")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0.0472777993598176</v>
      </c>
      <c r="H11" s="138"/>
      <c r="I11" s="42" t="s">
        <v>2926</v>
      </c>
      <c r="K11" s="56" t="n">
        <f aca="false">SUMPRODUCT((B5:B76&gt;'VALOR POR PL'!$P$5)*H5:H76)</f>
        <v>671943.38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RESUMO'!J13</f>
        <v>0</v>
      </c>
      <c r="N11" s="140" t="n">
        <f aca="false">MAX(0,M11-M10)</f>
        <v>0</v>
      </c>
      <c r="O11" s="139" t="n">
        <f aca="false">IF(B11&lt;='VALOR POR PL'!$P$5,'CP RESUMO'!J55,"")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HISTORICOS'!K13)</f>
        <v>20181.97</v>
      </c>
      <c r="D12" s="45" t="n">
        <f aca="false">IF(B12&lt;='VALOR POR PL'!$P$5,0,IF($K$17&gt;0,$K$18*P12/$K$17,0))</f>
        <v>0</v>
      </c>
      <c r="E12" s="45" t="n">
        <f aca="false">L12+D12/$K$2</f>
        <v>16.6728240494816</v>
      </c>
      <c r="F12" s="117" t="n">
        <f aca="false">IF($K$9=0,0,E12/$K$9)</f>
        <v>0.0155683433567755</v>
      </c>
      <c r="G12" s="117" t="n">
        <f aca="false">G11+F12</f>
        <v>0.0628461427165931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16.6728240494816</v>
      </c>
      <c r="M12" s="139" t="n">
        <f aca="false">'CP RESUMO'!K13</f>
        <v>0</v>
      </c>
      <c r="N12" s="140" t="n">
        <f aca="false">MAX(0,M12-M11)</f>
        <v>0</v>
      </c>
      <c r="O12" s="139" t="n">
        <f aca="false">IF(B12&lt;='VALOR POR PL'!$P$5,'CP RESUMO'!K55,"")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HISTORICOS'!L13)</f>
        <v>6015.91</v>
      </c>
      <c r="D13" s="45" t="n">
        <f aca="false">IF(B13&lt;='VALOR POR PL'!$P$5,0,IF($K$17&gt;0,$K$18*P13/$K$17,0))</f>
        <v>0</v>
      </c>
      <c r="E13" s="45" t="n">
        <f aca="false">L13+D13/$K$2</f>
        <v>4.94442371452101</v>
      </c>
      <c r="F13" s="117" t="n">
        <f aca="false">IF($K$9=0,0,E13/$K$9)</f>
        <v>0.00461688349019913</v>
      </c>
      <c r="G13" s="117" t="n">
        <f aca="false">G12+F13</f>
        <v>0.0674630262067922</v>
      </c>
      <c r="H13" s="138"/>
      <c r="I13" s="42" t="s">
        <v>2928</v>
      </c>
      <c r="K13" s="56" t="str">
        <f aca="false">'VALOR POR PL'!I19</f>
        <v>INDIRETO</v>
      </c>
      <c r="L13" s="45" t="n">
        <f aca="false">C13/IF(B13&lt;='VALOR POR PL'!$P$5,IFERROR(INDEX('"INCC-FGV"'!$B$2:$B$800,MATCH(B13,'"INCC-FGV"'!$A$2:$A$800,0)),$K$2),$K$2)</f>
        <v>4.94442371452101</v>
      </c>
      <c r="M13" s="139" t="n">
        <f aca="false">'CP RESUMO'!L13</f>
        <v>0</v>
      </c>
      <c r="N13" s="140" t="n">
        <f aca="false">MAX(0,M13-M12)</f>
        <v>0</v>
      </c>
      <c r="O13" s="139" t="n">
        <f aca="false">IF(B13&lt;='VALOR POR PL'!$P$5,'CP RESUMO'!L55,"")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HISTORICOS'!M13)</f>
        <v>9715.37</v>
      </c>
      <c r="D14" s="45" t="n">
        <f aca="false">IF(B14&lt;='VALOR POR PL'!$P$5,0,IF($K$17&gt;0,$K$18*P14/$K$17,0))</f>
        <v>0</v>
      </c>
      <c r="E14" s="45" t="n">
        <f aca="false">L14+D14/$K$2</f>
        <v>7.9716052634386</v>
      </c>
      <c r="F14" s="117" t="n">
        <f aca="false">IF($K$9=0,0,E14/$K$9)</f>
        <v>0.00744353131044707</v>
      </c>
      <c r="G14" s="117" t="n">
        <f aca="false">G13+F14</f>
        <v>0.0749065575172393</v>
      </c>
      <c r="H14" s="138"/>
      <c r="I14" s="42" t="s">
        <v>2929</v>
      </c>
      <c r="K14" s="58" t="n">
        <f aca="false">IFERROR(INDEX('CP RESUMO'!$D$55:$BW$55,MATCH('VALOR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7.9716052634386</v>
      </c>
      <c r="M14" s="139" t="n">
        <f aca="false">'CP RESUMO'!M13</f>
        <v>0</v>
      </c>
      <c r="N14" s="140" t="n">
        <f aca="false">MAX(0,M14-M13)</f>
        <v>0</v>
      </c>
      <c r="O14" s="139" t="n">
        <f aca="false">IF(B14&lt;='VALOR POR PL'!$P$5,'CP RESUMO'!M55,"")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HISTORICOS'!N13)</f>
        <v>28769</v>
      </c>
      <c r="D15" s="45" t="n">
        <f aca="false">IF(B15&lt;='VALOR POR PL'!$P$5,0,IF($K$17&gt;0,$K$18*P15/$K$17,0))</f>
        <v>0</v>
      </c>
      <c r="E15" s="45" t="n">
        <f aca="false">L15+D15/$K$2</f>
        <v>23.5356966382952</v>
      </c>
      <c r="F15" s="117" t="n">
        <f aca="false">IF($K$9=0,0,E15/$K$9)</f>
        <v>0.0219765892879605</v>
      </c>
      <c r="G15" s="117" t="n">
        <f aca="false">G14+F15</f>
        <v>0.0968831468051998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23.5356966382952</v>
      </c>
      <c r="M15" s="139" t="n">
        <f aca="false">'CP RESUMO'!N13</f>
        <v>0</v>
      </c>
      <c r="N15" s="140" t="n">
        <f aca="false">MAX(0,M15-M14)</f>
        <v>0</v>
      </c>
      <c r="O15" s="139" t="n">
        <f aca="false">IF(B15&lt;='VALOR POR PL'!$P$5,'CP RESUMO'!N55,"")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HISTORICOS'!O13)</f>
        <v>255492.31</v>
      </c>
      <c r="D16" s="45" t="n">
        <f aca="false">IF(B16&lt;='VALOR POR PL'!$P$5,0,IF($K$17&gt;0,$K$18*P16/$K$17,0))</f>
        <v>0</v>
      </c>
      <c r="E16" s="45" t="n">
        <f aca="false">L16+D16/$K$2</f>
        <v>208.45743383215</v>
      </c>
      <c r="F16" s="117" t="n">
        <f aca="false">IF($K$9=0,0,E16/$K$9)</f>
        <v>0.194648302863374</v>
      </c>
      <c r="G16" s="117" t="n">
        <f aca="false">G15+F16</f>
        <v>0.291531449668574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208.45743383215</v>
      </c>
      <c r="M16" s="139" t="n">
        <f aca="false">'CP RESUMO'!O13</f>
        <v>0</v>
      </c>
      <c r="N16" s="140" t="n">
        <f aca="false">MAX(0,M16-M15)</f>
        <v>0</v>
      </c>
      <c r="O16" s="139" t="n">
        <f aca="false">IF(B16&lt;='VALOR POR PL'!$P$5,'CP RESUMO'!O55,"")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HISTORICOS'!P13)</f>
        <v>61293.83</v>
      </c>
      <c r="D17" s="45" t="n">
        <f aca="false">IF(B17&lt;='VALOR POR PL'!$P$5,0,IF($K$17&gt;0,$K$18*P17/$K$17,0))</f>
        <v>0</v>
      </c>
      <c r="E17" s="45" t="n">
        <f aca="false">L17+D17/$K$2</f>
        <v>49.9069991637904</v>
      </c>
      <c r="F17" s="117" t="n">
        <f aca="false">IF($K$9=0,0,E17/$K$9)</f>
        <v>0.0466009415430949</v>
      </c>
      <c r="G17" s="117" t="n">
        <f aca="false">G16+F17</f>
        <v>0.338132391211668</v>
      </c>
      <c r="H17" s="138"/>
      <c r="I17" s="42" t="s">
        <v>2933</v>
      </c>
      <c r="K17" s="45" t="n">
        <f aca="false">SUM(P5:P76)</f>
        <v>671943.38</v>
      </c>
      <c r="L17" s="45" t="n">
        <f aca="false">C17/IF(B17&lt;='VALOR POR PL'!$P$5,IFERROR(INDEX('"INCC-FGV"'!$B$2:$B$800,MATCH(B17,'"INCC-FGV"'!$A$2:$A$800,0)),$K$2),$K$2)</f>
        <v>49.9069991637904</v>
      </c>
      <c r="M17" s="139" t="n">
        <f aca="false">'CP RESUMO'!P13</f>
        <v>0</v>
      </c>
      <c r="N17" s="140" t="n">
        <f aca="false">MAX(0,M17-M16)</f>
        <v>0</v>
      </c>
      <c r="O17" s="139" t="n">
        <f aca="false">IF(B17&lt;='VALOR POR PL'!$P$5,'CP RESUMO'!P55,"")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HISTORICOS'!Q13)</f>
        <v>26405.03</v>
      </c>
      <c r="D18" s="45" t="n">
        <f aca="false">IF(B18&lt;='VALOR POR PL'!$P$5,0,IF($K$17&gt;0,$K$18*P18/$K$17,0))</f>
        <v>0</v>
      </c>
      <c r="E18" s="45" t="n">
        <f aca="false">L18+D18/$K$2</f>
        <v>21.3454014272826</v>
      </c>
      <c r="F18" s="117" t="n">
        <f aca="false">IF($K$9=0,0,E18/$K$9)</f>
        <v>0.0199313887990364</v>
      </c>
      <c r="G18" s="117" t="n">
        <f aca="false">G17+F18</f>
        <v>0.358063780010705</v>
      </c>
      <c r="H18" s="138"/>
      <c r="I18" s="42" t="s">
        <v>2934</v>
      </c>
      <c r="K18" s="45" t="n">
        <f aca="false">MAX(0,K10)*$K$2</f>
        <v>639910.667704656</v>
      </c>
      <c r="L18" s="45" t="n">
        <f aca="false">C18/IF(B18&lt;='VALOR POR PL'!$P$5,IFERROR(INDEX('"INCC-FGV"'!$B$2:$B$800,MATCH(B18,'"INCC-FGV"'!$A$2:$A$800,0)),$K$2),$K$2)</f>
        <v>21.3454014272826</v>
      </c>
      <c r="M18" s="139" t="n">
        <f aca="false">'CP RESUMO'!Q13</f>
        <v>0</v>
      </c>
      <c r="N18" s="140" t="n">
        <f aca="false">MAX(0,M18-M17)</f>
        <v>0</v>
      </c>
      <c r="O18" s="139" t="n">
        <f aca="false">IF(B18&lt;='VALOR POR PL'!$P$5,'CP RESUMO'!Q55,"")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HISTORICOS'!R13)</f>
        <v>27423.86</v>
      </c>
      <c r="D19" s="45" t="n">
        <f aca="false">IF(B19&lt;='VALOR POR PL'!$P$5,0,IF($K$17&gt;0,$K$18*P19/$K$17,0))</f>
        <v>0</v>
      </c>
      <c r="E19" s="45" t="n">
        <f aca="false">L19+D19/$K$2</f>
        <v>22.1074405815164</v>
      </c>
      <c r="F19" s="117" t="n">
        <f aca="false">IF($K$9=0,0,E19/$K$9)</f>
        <v>0.0206429471510714</v>
      </c>
      <c r="G19" s="117" t="n">
        <f aca="false">G18+F19</f>
        <v>0.378706727161776</v>
      </c>
      <c r="H19" s="138"/>
      <c r="I19" s="42" t="s">
        <v>2935</v>
      </c>
      <c r="K19" s="142" t="n">
        <f aca="false">IF(AND(K16="PREVISÃO INFORMADA",K11&gt;0),K18/K11-1,"")</f>
        <v>-0.0476717432581068</v>
      </c>
      <c r="L19" s="45" t="n">
        <f aca="false">C19/IF(B19&lt;='VALOR POR PL'!$P$5,IFERROR(INDEX('"INCC-FGV"'!$B$2:$B$800,MATCH(B19,'"INCC-FGV"'!$A$2:$A$800,0)),$K$2),$K$2)</f>
        <v>22.1074405815164</v>
      </c>
      <c r="M19" s="139" t="n">
        <f aca="false">'CP RESUMO'!R13</f>
        <v>0</v>
      </c>
      <c r="N19" s="140" t="n">
        <f aca="false">MAX(0,M19-M18)</f>
        <v>0</v>
      </c>
      <c r="O19" s="139" t="n">
        <f aca="false">IF(B19&lt;='VALOR POR PL'!$P$5,'CP RESUMO'!R55,"")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HISTORICOS'!S13)</f>
        <v>42679.98</v>
      </c>
      <c r="D20" s="45" t="n">
        <f aca="false">IF(B20&lt;='VALOR POR PL'!$P$5,0,IF($K$17&gt;0,$K$18*P20/$K$17,0))</f>
        <v>0</v>
      </c>
      <c r="E20" s="45" t="n">
        <f aca="false">L20+D20/$K$2</f>
        <v>34.2211595590375</v>
      </c>
      <c r="F20" s="117" t="n">
        <f aca="false">IF($K$9=0,0,E20/$K$9)</f>
        <v>0.0319542004702355</v>
      </c>
      <c r="G20" s="117" t="n">
        <f aca="false">G19+F20</f>
        <v>0.410660927632012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34.2211595590375</v>
      </c>
      <c r="M20" s="139" t="n">
        <f aca="false">'CP RESUMO'!S13</f>
        <v>0</v>
      </c>
      <c r="N20" s="140" t="n">
        <f aca="false">MAX(0,M20-M19)</f>
        <v>0</v>
      </c>
      <c r="O20" s="139" t="n">
        <f aca="false">IF(B20&lt;='VALOR POR PL'!$P$5,'CP RESUMO'!S55,"")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HISTORICOS'!T13)</f>
        <v>22203.86</v>
      </c>
      <c r="D21" s="45" t="n">
        <f aca="false">IF(B21&lt;='VALOR POR PL'!$P$5,0,IF($K$17&gt;0,$K$18*P21/$K$17,0))</f>
        <v>0</v>
      </c>
      <c r="E21" s="45" t="n">
        <f aca="false">L21+D21/$K$2</f>
        <v>17.6269795149772</v>
      </c>
      <c r="F21" s="117" t="n">
        <f aca="false">IF($K$9=0,0,E21/$K$9)</f>
        <v>0.0164592913964414</v>
      </c>
      <c r="G21" s="117" t="n">
        <f aca="false">G20+F21</f>
        <v>0.427120219028453</v>
      </c>
      <c r="H21" s="138"/>
      <c r="K21" s="143"/>
      <c r="L21" s="45" t="n">
        <f aca="false">C21/IF(B21&lt;='VALOR POR PL'!$P$5,IFERROR(INDEX('"INCC-FGV"'!$B$2:$B$800,MATCH(B21,'"INCC-FGV"'!$A$2:$A$800,0)),$K$2),$K$2)</f>
        <v>17.6269795149772</v>
      </c>
      <c r="M21" s="139" t="n">
        <f aca="false">'CP RESUMO'!T13</f>
        <v>0</v>
      </c>
      <c r="N21" s="140" t="n">
        <f aca="false">MAX(0,M21-M20)</f>
        <v>0</v>
      </c>
      <c r="O21" s="139" t="n">
        <f aca="false">IF(B21&lt;='VALOR POR PL'!$P$5,'CP RESUMO'!T55,"")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HISTORICOS'!U13)</f>
        <v>22652.84</v>
      </c>
      <c r="D22" s="45" t="n">
        <f aca="false">IF(B22&lt;='VALOR POR PL'!$P$5,0,IF($K$17&gt;0,$K$18*P22/$K$17,0))</f>
        <v>0</v>
      </c>
      <c r="E22" s="45" t="n">
        <f aca="false">L22+D22/$K$2</f>
        <v>17.8271261002837</v>
      </c>
      <c r="F22" s="117" t="n">
        <f aca="false">IF($K$9=0,0,E22/$K$9)</f>
        <v>0.0166461793976876</v>
      </c>
      <c r="G22" s="117" t="n">
        <f aca="false">G21+F22</f>
        <v>0.443766398426141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17.8271261002837</v>
      </c>
      <c r="M22" s="139" t="n">
        <f aca="false">'CP RESUMO'!U13</f>
        <v>0</v>
      </c>
      <c r="N22" s="140" t="n">
        <f aca="false">MAX(0,M22-M21)</f>
        <v>0</v>
      </c>
      <c r="O22" s="139" t="n">
        <f aca="false">IF(B22&lt;='VALOR POR PL'!$P$5,'CP RESUMO'!U55,"")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HISTORICOS'!V13)</f>
        <v>18615.9</v>
      </c>
      <c r="D23" s="45" t="n">
        <f aca="false">IF(B23&lt;='VALOR POR PL'!$P$5,0,IF($K$17&gt;0,$K$18*P23/$K$17,0))</f>
        <v>0</v>
      </c>
      <c r="E23" s="45" t="n">
        <f aca="false">L23+D23/$K$2</f>
        <v>14.5363923222824</v>
      </c>
      <c r="F23" s="117" t="n">
        <f aca="false">IF($K$9=0,0,E23/$K$9)</f>
        <v>0.0135734381992188</v>
      </c>
      <c r="G23" s="117" t="n">
        <f aca="false">G22+F23</f>
        <v>0.45733983662536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14.5363923222824</v>
      </c>
      <c r="M23" s="139" t="n">
        <f aca="false">'CP RESUMO'!V13</f>
        <v>0</v>
      </c>
      <c r="N23" s="140" t="n">
        <f aca="false">MAX(0,M23-M22)</f>
        <v>0</v>
      </c>
      <c r="O23" s="139" t="n">
        <f aca="false">IF(B23&lt;='VALOR POR PL'!$P$5,'CP RESUMO'!V55,"")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HISTORICOS'!W13)</f>
        <v>42382.64</v>
      </c>
      <c r="D24" s="45" t="n">
        <f aca="false">IF(B24&lt;='VALOR POR PL'!$P$5,0,IF($K$17&gt;0,$K$18*P24/$K$17,0))</f>
        <v>0</v>
      </c>
      <c r="E24" s="45" t="n">
        <f aca="false">L24+D24/$K$2</f>
        <v>32.8947689088512</v>
      </c>
      <c r="F24" s="117" t="n">
        <f aca="false">IF($K$9=0,0,E24/$K$9)</f>
        <v>0.0307156757304533</v>
      </c>
      <c r="G24" s="117" t="n">
        <f aca="false">G23+F24</f>
        <v>0.488055512355813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32.8947689088512</v>
      </c>
      <c r="M24" s="139" t="n">
        <f aca="false">'CP RESUMO'!W13</f>
        <v>0</v>
      </c>
      <c r="N24" s="140" t="n">
        <f aca="false">MAX(0,M24-M23)</f>
        <v>0</v>
      </c>
      <c r="O24" s="139" t="n">
        <f aca="false">IF(B24&lt;='VALOR POR PL'!$P$5,'CP RESUMO'!W55,"")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HISTORICOS'!X13)</f>
        <v>32608.81</v>
      </c>
      <c r="D25" s="45" t="n">
        <f aca="false">IF(B25&lt;='VALOR POR PL'!$P$5,0,IF($K$17&gt;0,$K$18*P25/$K$17,0))</f>
        <v>0</v>
      </c>
      <c r="E25" s="45" t="n">
        <f aca="false">L25+D25/$K$2</f>
        <v>25.1438712179685</v>
      </c>
      <c r="F25" s="117" t="n">
        <f aca="false">IF($K$9=0,0,E25/$K$9)</f>
        <v>0.0234782313588952</v>
      </c>
      <c r="G25" s="117" t="n">
        <f aca="false">G24+F25</f>
        <v>0.511533743714708</v>
      </c>
      <c r="H25" s="138"/>
      <c r="L25" s="45" t="n">
        <f aca="false">C25/IF(B25&lt;='VALOR POR PL'!$P$5,IFERROR(INDEX('"INCC-FGV"'!$B$2:$B$800,MATCH(B25,'"INCC-FGV"'!$A$2:$A$800,0)),$K$2),$K$2)</f>
        <v>25.1438712179685</v>
      </c>
      <c r="M25" s="139" t="n">
        <f aca="false">'CP RESUMO'!X13</f>
        <v>0</v>
      </c>
      <c r="N25" s="140" t="n">
        <f aca="false">MAX(0,M25-M24)</f>
        <v>0</v>
      </c>
      <c r="O25" s="139" t="n">
        <f aca="false">IF(B25&lt;='VALOR POR PL'!$P$5,'CP RESUMO'!X55,"")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HISTORICOS'!Y13)</f>
        <v>28595.43</v>
      </c>
      <c r="D26" s="45" t="n">
        <f aca="false">IF(B26&lt;='VALOR POR PL'!$P$5,0,IF($K$17&gt;0,$K$18*P26/$K$17,0))</f>
        <v>27843.192672515</v>
      </c>
      <c r="E26" s="45" t="n">
        <f aca="false">L26+D26/$K$2</f>
        <v>43.5184681746202</v>
      </c>
      <c r="F26" s="117" t="n">
        <f aca="false">IF($K$9=0,0,E26/$K$9)</f>
        <v>0.0406356147520469</v>
      </c>
      <c r="G26" s="117" t="n">
        <f aca="false">G25+F26</f>
        <v>0.552169358466755</v>
      </c>
      <c r="H26" s="138" t="n">
        <v>29236.97</v>
      </c>
      <c r="L26" s="45" t="n">
        <f aca="false">C26/IF(B26&lt;='VALOR POR PL'!$P$5,IFERROR(INDEX('"INCC-FGV"'!$B$2:$B$800,MATCH(B26,'"INCC-FGV"'!$A$2:$A$800,0)),$K$2),$K$2)</f>
        <v>22.0492501671307</v>
      </c>
      <c r="M26" s="139" t="n">
        <f aca="false">'CP RESUMO'!Y13</f>
        <v>0</v>
      </c>
      <c r="N26" s="140" t="n">
        <f aca="false">MAX(0,M26-M25)</f>
        <v>0</v>
      </c>
      <c r="O26" s="139" t="str">
        <f aca="false">IF(B26&lt;='VALOR POR PL'!$P$5,'CP RESUMO'!Y55,"")</f>
        <v/>
      </c>
      <c r="P26" s="66" t="n">
        <f aca="false">IF(B26&lt;='VALOR POR PL'!$P$5,0,IF(OR($K$16="CURVA PREVISION",$K$16="MDO PREVISION + MATERIAL PREMISSA"),N26,IF($K$16="PREVISÃO INFORMADA",MAX(0,H26),0)))</f>
        <v>29236.97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HISTORICOS'!Z13)</f>
        <v>9922.49</v>
      </c>
      <c r="D27" s="45" t="n">
        <f aca="false">IF(B27&lt;='VALOR POR PL'!$P$5,0,IF($K$17&gt;0,$K$18*P27/$K$17,0))</f>
        <v>23800.0735352348</v>
      </c>
      <c r="E27" s="45" t="n">
        <f aca="false">L27+D27/$K$2</f>
        <v>26.0026598538771</v>
      </c>
      <c r="F27" s="117" t="n">
        <f aca="false">IF($K$9=0,0,E27/$K$9)</f>
        <v>0.0242801300843325</v>
      </c>
      <c r="G27" s="117" t="n">
        <f aca="false">G26+F27</f>
        <v>0.576449488551087</v>
      </c>
      <c r="H27" s="138" t="n">
        <v>24991.46</v>
      </c>
      <c r="L27" s="45" t="n">
        <f aca="false">C27/IF(B27&lt;='VALOR POR PL'!$P$5,IFERROR(INDEX('"INCC-FGV"'!$B$2:$B$800,MATCH(B27,'"INCC-FGV"'!$A$2:$A$800,0)),$K$2),$K$2)</f>
        <v>7.65099403264273</v>
      </c>
      <c r="M27" s="139" t="n">
        <f aca="false">'CP RESUMO'!Z13</f>
        <v>0</v>
      </c>
      <c r="N27" s="140" t="n">
        <f aca="false">MAX(0,M27-M26)</f>
        <v>0</v>
      </c>
      <c r="O27" s="139" t="str">
        <f aca="false">IF(B27&lt;='VALOR POR PL'!$P$5,'CP RESUMO'!Z55,"")</f>
        <v/>
      </c>
      <c r="P27" s="66" t="n">
        <f aca="false">IF(B27&lt;='VALOR POR PL'!$P$5,0,IF(OR($K$16="CURVA PREVISION",$K$16="MDO PREVISION + MATERIAL PREMISSA"),N27,IF($K$16="PREVISÃO INFORMADA",MAX(0,H27),0)))</f>
        <v>24991.46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HISTORICOS'!AA13)</f>
        <v>0</v>
      </c>
      <c r="D28" s="45" t="n">
        <f aca="false">IF(B28&lt;='VALOR POR PL'!$P$5,0,IF($K$17&gt;0,$K$18*P28/$K$17,0))</f>
        <v>21704.9513704026</v>
      </c>
      <c r="E28" s="45" t="n">
        <f aca="false">L28+D28/$K$2</f>
        <v>16.7361673746964</v>
      </c>
      <c r="F28" s="117" t="n">
        <f aca="false">IF($K$9=0,0,E28/$K$9)</f>
        <v>0.0156274905434415</v>
      </c>
      <c r="G28" s="117" t="n">
        <f aca="false">G27+F28</f>
        <v>0.592076979094529</v>
      </c>
      <c r="H28" s="138" t="n">
        <v>22791.46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RESUMO'!AA13</f>
        <v>0</v>
      </c>
      <c r="N28" s="140" t="n">
        <f aca="false">MAX(0,M28-M27)</f>
        <v>0</v>
      </c>
      <c r="O28" s="139" t="str">
        <f aca="false">IF(B28&lt;='VALOR POR PL'!$P$5,'CP RESUMO'!AA55,"")</f>
        <v/>
      </c>
      <c r="P28" s="66" t="n">
        <f aca="false">IF(B28&lt;='VALOR POR PL'!$P$5,0,IF(OR($K$16="CURVA PREVISION",$K$16="MDO PREVISION + MATERIAL PREMISSA"),N28,IF($K$16="PREVISÃO INFORMADA",MAX(0,H28),0)))</f>
        <v>22791.46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HISTORICOS'!AB13)</f>
        <v>0</v>
      </c>
      <c r="D29" s="45" t="n">
        <f aca="false">IF(B29&lt;='VALOR POR PL'!$P$5,0,IF($K$17&gt;0,$K$18*P29/$K$17,0))</f>
        <v>21704.9513704026</v>
      </c>
      <c r="E29" s="45" t="n">
        <f aca="false">L29+D29/$K$2</f>
        <v>16.7361673746964</v>
      </c>
      <c r="F29" s="117" t="n">
        <f aca="false">IF($K$9=0,0,E29/$K$9)</f>
        <v>0.0156274905434415</v>
      </c>
      <c r="G29" s="117" t="n">
        <f aca="false">G28+F29</f>
        <v>0.60770446963797</v>
      </c>
      <c r="H29" s="138" t="n">
        <v>22791.46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RESUMO'!AB13</f>
        <v>0</v>
      </c>
      <c r="N29" s="140" t="n">
        <f aca="false">MAX(0,M29-M28)</f>
        <v>0</v>
      </c>
      <c r="O29" s="139" t="str">
        <f aca="false">IF(B29&lt;='VALOR POR PL'!$P$5,'CP RESUMO'!AB55,"")</f>
        <v/>
      </c>
      <c r="P29" s="66" t="n">
        <f aca="false">IF(B29&lt;='VALOR POR PL'!$P$5,0,IF(OR($K$16="CURVA PREVISION",$K$16="MDO PREVISION + MATERIAL PREMISSA"),N29,IF($K$16="PREVISÃO INFORMADA",MAX(0,H29),0)))</f>
        <v>22791.46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HISTORICOS'!AC13)</f>
        <v>0</v>
      </c>
      <c r="D30" s="45" t="n">
        <f aca="false">IF(B30&lt;='VALOR POR PL'!$P$5,0,IF($K$17&gt;0,$K$18*P30/$K$17,0))</f>
        <v>24467.9222951227</v>
      </c>
      <c r="E30" s="45" t="n">
        <f aca="false">L30+D30/$K$2</f>
        <v>18.8666279805926</v>
      </c>
      <c r="F30" s="117" t="n">
        <f aca="false">IF($K$9=0,0,E30/$K$9)</f>
        <v>0.0176168201328524</v>
      </c>
      <c r="G30" s="117" t="n">
        <f aca="false">G29+F30</f>
        <v>0.625321289770823</v>
      </c>
      <c r="H30" s="138" t="n">
        <v>25692.74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RESUMO'!AC13</f>
        <v>0</v>
      </c>
      <c r="N30" s="140" t="n">
        <f aca="false">MAX(0,M30-M29)</f>
        <v>0</v>
      </c>
      <c r="O30" s="139" t="str">
        <f aca="false">IF(B30&lt;='VALOR POR PL'!$P$5,'CP RESUMO'!AC55,"")</f>
        <v/>
      </c>
      <c r="P30" s="66" t="n">
        <f aca="false">IF(B30&lt;='VALOR POR PL'!$P$5,0,IF(OR($K$16="CURVA PREVISION",$K$16="MDO PREVISION + MATERIAL PREMISSA"),N30,IF($K$16="PREVISÃO INFORMADA",MAX(0,H30),0)))</f>
        <v>25692.74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HISTORICOS'!AD13)</f>
        <v>0</v>
      </c>
      <c r="D31" s="45" t="n">
        <f aca="false">IF(B31&lt;='VALOR POR PL'!$P$5,0,IF($K$17&gt;0,$K$18*P31/$K$17,0))</f>
        <v>18563.487103323</v>
      </c>
      <c r="E31" s="45" t="n">
        <f aca="false">L31+D31/$K$2</f>
        <v>14.3138596312583</v>
      </c>
      <c r="F31" s="117" t="n">
        <f aca="false">IF($K$9=0,0,E31/$K$9)</f>
        <v>0.0133656470456813</v>
      </c>
      <c r="G31" s="117" t="n">
        <f aca="false">G30+F31</f>
        <v>0.638686936816504</v>
      </c>
      <c r="H31" s="138" t="n">
        <v>19492.74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RESUMO'!AD13</f>
        <v>0</v>
      </c>
      <c r="N31" s="140" t="n">
        <f aca="false">MAX(0,M31-M30)</f>
        <v>0</v>
      </c>
      <c r="O31" s="139" t="str">
        <f aca="false">IF(B31&lt;='VALOR POR PL'!$P$5,'CP RESUMO'!AD55,"")</f>
        <v/>
      </c>
      <c r="P31" s="66" t="n">
        <f aca="false">IF(B31&lt;='VALOR POR PL'!$P$5,0,IF(OR($K$16="CURVA PREVISION",$K$16="MDO PREVISION + MATERIAL PREMISSA"),N31,IF($K$16="PREVISÃO INFORMADA",MAX(0,H31),0)))</f>
        <v>19492.74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HISTORICOS'!AE13)</f>
        <v>0</v>
      </c>
      <c r="D32" s="45" t="n">
        <f aca="false">IF(B32&lt;='VALOR POR PL'!$P$5,0,IF($K$17&gt;0,$K$18*P32/$K$17,0))</f>
        <v>18563.487103323</v>
      </c>
      <c r="E32" s="45" t="n">
        <f aca="false">L32+D32/$K$2</f>
        <v>14.3138596312583</v>
      </c>
      <c r="F32" s="117" t="n">
        <f aca="false">IF($K$9=0,0,E32/$K$9)</f>
        <v>0.0133656470456813</v>
      </c>
      <c r="G32" s="117" t="n">
        <f aca="false">G31+F32</f>
        <v>0.652052583862186</v>
      </c>
      <c r="H32" s="138" t="n">
        <v>19492.74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RESUMO'!AE13</f>
        <v>0</v>
      </c>
      <c r="N32" s="140" t="n">
        <f aca="false">MAX(0,M32-M31)</f>
        <v>0</v>
      </c>
      <c r="O32" s="139" t="str">
        <f aca="false">IF(B32&lt;='VALOR POR PL'!$P$5,'CP RESUMO'!AE55,"")</f>
        <v/>
      </c>
      <c r="P32" s="66" t="n">
        <f aca="false">IF(B32&lt;='VALOR POR PL'!$P$5,0,IF(OR($K$16="CURVA PREVISION",$K$16="MDO PREVISION + MATERIAL PREMISSA"),N32,IF($K$16="PREVISÃO INFORMADA",MAX(0,H32),0)))</f>
        <v>19492.74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HISTORICOS'!AF13)</f>
        <v>0</v>
      </c>
      <c r="D33" s="45" t="n">
        <f aca="false">IF(B33&lt;='VALOR POR PL'!$P$5,0,IF($K$17&gt;0,$K$18*P33/$K$17,0))</f>
        <v>20658.6092681551</v>
      </c>
      <c r="E33" s="45" t="n">
        <f aca="false">L33+D33/$K$2</f>
        <v>15.9293580777963</v>
      </c>
      <c r="F33" s="117" t="n">
        <f aca="false">IF($K$9=0,0,E33/$K$9)</f>
        <v>0.0148741278185485</v>
      </c>
      <c r="G33" s="117" t="n">
        <f aca="false">G32+F33</f>
        <v>0.666926711680734</v>
      </c>
      <c r="H33" s="138" t="n">
        <v>21692.74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RESUMO'!AF13</f>
        <v>0</v>
      </c>
      <c r="N33" s="140" t="n">
        <f aca="false">MAX(0,M33-M32)</f>
        <v>0</v>
      </c>
      <c r="O33" s="139" t="str">
        <f aca="false">IF(B33&lt;='VALOR POR PL'!$P$5,'CP RESUMO'!AF55,"")</f>
        <v/>
      </c>
      <c r="P33" s="66" t="n">
        <f aca="false">IF(B33&lt;='VALOR POR PL'!$P$5,0,IF(OR($K$16="CURVA PREVISION",$K$16="MDO PREVISION + MATERIAL PREMISSA"),N33,IF($K$16="PREVISÃO INFORMADA",MAX(0,H33),0)))</f>
        <v>21692.74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HISTORICOS'!AG13)</f>
        <v>0</v>
      </c>
      <c r="D34" s="45" t="n">
        <f aca="false">IF(B34&lt;='VALOR POR PL'!$P$5,0,IF($K$17&gt;0,$K$18*P34/$K$17,0))</f>
        <v>18563.487103323</v>
      </c>
      <c r="E34" s="45" t="n">
        <f aca="false">L34+D34/$K$2</f>
        <v>14.3138596312583</v>
      </c>
      <c r="F34" s="117" t="n">
        <f aca="false">IF($K$9=0,0,E34/$K$9)</f>
        <v>0.0133656470456813</v>
      </c>
      <c r="G34" s="117" t="n">
        <f aca="false">G33+F34</f>
        <v>0.680292358726415</v>
      </c>
      <c r="H34" s="138" t="n">
        <v>19492.74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RESUMO'!AG13</f>
        <v>0</v>
      </c>
      <c r="N34" s="140" t="n">
        <f aca="false">MAX(0,M34-M33)</f>
        <v>0</v>
      </c>
      <c r="O34" s="139" t="str">
        <f aca="false">IF(B34&lt;='VALOR POR PL'!$P$5,'CP RESUMO'!AG55,"")</f>
        <v/>
      </c>
      <c r="P34" s="66" t="n">
        <f aca="false">IF(B34&lt;='VALOR POR PL'!$P$5,0,IF(OR($K$16="CURVA PREVISION",$K$16="MDO PREVISION + MATERIAL PREMISSA"),N34,IF($K$16="PREVISÃO INFORMADA",MAX(0,H34),0)))</f>
        <v>19492.74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HISTORICOS'!AH13)</f>
        <v>0</v>
      </c>
      <c r="D35" s="45" t="n">
        <f aca="false">IF(B35&lt;='VALOR POR PL'!$P$5,0,IF($K$17&gt;0,$K$18*P35/$K$17,0))</f>
        <v>23348.936593451</v>
      </c>
      <c r="E35" s="45" t="n">
        <f aca="false">L35+D35/$K$2</f>
        <v>18.0038049466462</v>
      </c>
      <c r="F35" s="117" t="n">
        <f aca="false">IF($K$9=0,0,E35/$K$9)</f>
        <v>0.0168111542655257</v>
      </c>
      <c r="G35" s="117" t="n">
        <f aca="false">G34+F35</f>
        <v>0.697103512991941</v>
      </c>
      <c r="H35" s="138" t="n">
        <v>24517.74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RESUMO'!AH13</f>
        <v>0</v>
      </c>
      <c r="N35" s="140" t="n">
        <f aca="false">MAX(0,M35-M34)</f>
        <v>0</v>
      </c>
      <c r="O35" s="139" t="str">
        <f aca="false">IF(B35&lt;='VALOR POR PL'!$P$5,'CP RESUMO'!AH55,"")</f>
        <v/>
      </c>
      <c r="P35" s="66" t="n">
        <f aca="false">IF(B35&lt;='VALOR POR PL'!$P$5,0,IF(OR($K$16="CURVA PREVISION",$K$16="MDO PREVISION + MATERIAL PREMISSA"),N35,IF($K$16="PREVISÃO INFORMADA",MAX(0,H35),0)))</f>
        <v>24517.74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HISTORICOS'!AI13)</f>
        <v>0</v>
      </c>
      <c r="D36" s="45" t="n">
        <f aca="false">IF(B36&lt;='VALOR POR PL'!$P$5,0,IF($K$17&gt;0,$K$18*P36/$K$17,0))</f>
        <v>20658.6092681551</v>
      </c>
      <c r="E36" s="45" t="n">
        <f aca="false">L36+D36/$K$2</f>
        <v>15.9293580777963</v>
      </c>
      <c r="F36" s="117" t="n">
        <f aca="false">IF($K$9=0,0,E36/$K$9)</f>
        <v>0.0148741278185485</v>
      </c>
      <c r="G36" s="117" t="n">
        <f aca="false">G35+F36</f>
        <v>0.711977640810489</v>
      </c>
      <c r="H36" s="138" t="n">
        <v>21692.74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RESUMO'!AI13</f>
        <v>0</v>
      </c>
      <c r="N36" s="140" t="n">
        <f aca="false">MAX(0,M36-M35)</f>
        <v>0</v>
      </c>
      <c r="O36" s="139" t="str">
        <f aca="false">IF(B36&lt;='VALOR POR PL'!$P$5,'CP RESUMO'!AI55,"")</f>
        <v/>
      </c>
      <c r="P36" s="66" t="n">
        <f aca="false">IF(B36&lt;='VALOR POR PL'!$P$5,0,IF(OR($K$16="CURVA PREVISION",$K$16="MDO PREVISION + MATERIAL PREMISSA"),N36,IF($K$16="PREVISÃO INFORMADA",MAX(0,H36),0)))</f>
        <v>21692.74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HISTORICOS'!AJ13)</f>
        <v>0</v>
      </c>
      <c r="D37" s="45" t="n">
        <f aca="false">IF(B37&lt;='VALOR POR PL'!$P$5,0,IF($K$17&gt;0,$K$18*P37/$K$17,0))</f>
        <v>18563.487103323</v>
      </c>
      <c r="E37" s="45" t="n">
        <f aca="false">L37+D37/$K$2</f>
        <v>14.3138596312583</v>
      </c>
      <c r="F37" s="117" t="n">
        <f aca="false">IF($K$9=0,0,E37/$K$9)</f>
        <v>0.0133656470456813</v>
      </c>
      <c r="G37" s="117" t="n">
        <f aca="false">G36+F37</f>
        <v>0.725343287856171</v>
      </c>
      <c r="H37" s="138" t="n">
        <v>19492.74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RESUMO'!AJ13</f>
        <v>0</v>
      </c>
      <c r="N37" s="140" t="n">
        <f aca="false">MAX(0,M37-M36)</f>
        <v>0</v>
      </c>
      <c r="O37" s="139" t="str">
        <f aca="false">IF(B37&lt;='VALOR POR PL'!$P$5,'CP RESUMO'!AJ55,"")</f>
        <v/>
      </c>
      <c r="P37" s="66" t="n">
        <f aca="false">IF(B37&lt;='VALOR POR PL'!$P$5,0,IF(OR($K$16="CURVA PREVISION",$K$16="MDO PREVISION + MATERIAL PREMISSA"),N37,IF($K$16="PREVISÃO INFORMADA",MAX(0,H37),0)))</f>
        <v>19492.74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HISTORICOS'!AK13)</f>
        <v>0</v>
      </c>
      <c r="D38" s="45" t="n">
        <f aca="false">IF(B38&lt;='VALOR POR PL'!$P$5,0,IF($K$17&gt;0,$K$18*P38/$K$17,0))</f>
        <v>18563.487103323</v>
      </c>
      <c r="E38" s="45" t="n">
        <f aca="false">L38+D38/$K$2</f>
        <v>14.3138596312583</v>
      </c>
      <c r="F38" s="117" t="n">
        <f aca="false">IF($K$9=0,0,E38/$K$9)</f>
        <v>0.0133656470456813</v>
      </c>
      <c r="G38" s="117" t="n">
        <f aca="false">G37+F38</f>
        <v>0.738708934901852</v>
      </c>
      <c r="H38" s="138" t="n">
        <v>19492.74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RESUMO'!AK13</f>
        <v>0</v>
      </c>
      <c r="N38" s="140" t="n">
        <f aca="false">MAX(0,M38-M37)</f>
        <v>0</v>
      </c>
      <c r="O38" s="139" t="str">
        <f aca="false">IF(B38&lt;='VALOR POR PL'!$P$5,'CP RESUMO'!AK55,"")</f>
        <v/>
      </c>
      <c r="P38" s="66" t="n">
        <f aca="false">IF(B38&lt;='VALOR POR PL'!$P$5,0,IF(OR($K$16="CURVA PREVISION",$K$16="MDO PREVISION + MATERIAL PREMISSA"),N38,IF($K$16="PREVISÃO INFORMADA",MAX(0,H38),0)))</f>
        <v>19492.74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HISTORICOS'!AL13)</f>
        <v>0</v>
      </c>
      <c r="D39" s="45" t="n">
        <f aca="false">IF(B39&lt;='VALOR POR PL'!$P$5,0,IF($K$17&gt;0,$K$18*P39/$K$17,0))</f>
        <v>20658.6092681551</v>
      </c>
      <c r="E39" s="45" t="n">
        <f aca="false">L39+D39/$K$2</f>
        <v>15.9293580777963</v>
      </c>
      <c r="F39" s="117" t="n">
        <f aca="false">IF($K$9=0,0,E39/$K$9)</f>
        <v>0.0148741278185485</v>
      </c>
      <c r="G39" s="117" t="n">
        <f aca="false">G38+F39</f>
        <v>0.753583062720401</v>
      </c>
      <c r="H39" s="138" t="n">
        <v>21692.74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RESUMO'!AL13</f>
        <v>0</v>
      </c>
      <c r="N39" s="140" t="n">
        <f aca="false">MAX(0,M39-M38)</f>
        <v>0</v>
      </c>
      <c r="O39" s="139" t="str">
        <f aca="false">IF(B39&lt;='VALOR POR PL'!$P$5,'CP RESUMO'!AL55,"")</f>
        <v/>
      </c>
      <c r="P39" s="66" t="n">
        <f aca="false">IF(B39&lt;='VALOR POR PL'!$P$5,0,IF(OR($K$16="CURVA PREVISION",$K$16="MDO PREVISION + MATERIAL PREMISSA"),N39,IF($K$16="PREVISÃO INFORMADA",MAX(0,H39),0)))</f>
        <v>21692.74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HISTORICOS'!AM13)</f>
        <v>0</v>
      </c>
      <c r="D40" s="45" t="n">
        <f aca="false">IF(B40&lt;='VALOR POR PL'!$P$5,0,IF($K$17&gt;0,$K$18*P40/$K$17,0))</f>
        <v>18563.487103323</v>
      </c>
      <c r="E40" s="45" t="n">
        <f aca="false">L40+D40/$K$2</f>
        <v>14.3138596312583</v>
      </c>
      <c r="F40" s="117" t="n">
        <f aca="false">IF($K$9=0,0,E40/$K$9)</f>
        <v>0.0133656470456813</v>
      </c>
      <c r="G40" s="117" t="n">
        <f aca="false">G39+F40</f>
        <v>0.766948709766082</v>
      </c>
      <c r="H40" s="138" t="n">
        <v>19492.74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RESUMO'!AM13</f>
        <v>0</v>
      </c>
      <c r="N40" s="140" t="n">
        <f aca="false">MAX(0,M40-M39)</f>
        <v>0</v>
      </c>
      <c r="O40" s="139" t="str">
        <f aca="false">IF(B40&lt;='VALOR POR PL'!$P$5,'CP RESUMO'!AM55,"")</f>
        <v/>
      </c>
      <c r="P40" s="66" t="n">
        <f aca="false">IF(B40&lt;='VALOR POR PL'!$P$5,0,IF(OR($K$16="CURVA PREVISION",$K$16="MDO PREVISION + MATERIAL PREMISSA"),N40,IF($K$16="PREVISÃO INFORMADA",MAX(0,H40),0)))</f>
        <v>19492.74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HISTORICOS'!AN13)</f>
        <v>0</v>
      </c>
      <c r="D41" s="45" t="n">
        <f aca="false">IF(B41&lt;='VALOR POR PL'!$P$5,0,IF($K$17&gt;0,$K$18*P41/$K$17,0))</f>
        <v>14866.5869037812</v>
      </c>
      <c r="E41" s="45" t="n">
        <f aca="false">L41+D41/$K$2</f>
        <v>11.4632685632936</v>
      </c>
      <c r="F41" s="117" t="n">
        <f aca="false">IF($K$9=0,0,E41/$K$9)</f>
        <v>0.0107038915815725</v>
      </c>
      <c r="G41" s="117" t="n">
        <f aca="false">G40+F41</f>
        <v>0.777652601347654</v>
      </c>
      <c r="H41" s="138" t="n">
        <v>15610.78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RESUMO'!AN13</f>
        <v>0</v>
      </c>
      <c r="N41" s="140" t="n">
        <f aca="false">MAX(0,M41-M40)</f>
        <v>0</v>
      </c>
      <c r="O41" s="139" t="str">
        <f aca="false">IF(B41&lt;='VALOR POR PL'!$P$5,'CP RESUMO'!AN55,"")</f>
        <v/>
      </c>
      <c r="P41" s="66" t="n">
        <f aca="false">IF(B41&lt;='VALOR POR PL'!$P$5,0,IF(OR($K$16="CURVA PREVISION",$K$16="MDO PREVISION + MATERIAL PREMISSA"),N41,IF($K$16="PREVISÃO INFORMADA",MAX(0,H41),0)))</f>
        <v>15610.78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HISTORICOS'!AO13)</f>
        <v>0</v>
      </c>
      <c r="D42" s="45" t="n">
        <f aca="false">IF(B42&lt;='VALOR POR PL'!$P$5,0,IF($K$17&gt;0,$K$18*P42/$K$17,0))</f>
        <v>16556.8743266724</v>
      </c>
      <c r="E42" s="45" t="n">
        <f aca="false">L42+D42/$K$2</f>
        <v>12.7666086509118</v>
      </c>
      <c r="F42" s="117" t="n">
        <f aca="false">IF($K$9=0,0,E42/$K$9)</f>
        <v>0.011920892728737</v>
      </c>
      <c r="G42" s="117" t="n">
        <f aca="false">G41+F42</f>
        <v>0.789573494076391</v>
      </c>
      <c r="H42" s="138" t="n">
        <v>17385.68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RESUMO'!AO13</f>
        <v>0</v>
      </c>
      <c r="N42" s="140" t="n">
        <f aca="false">MAX(0,M42-M41)</f>
        <v>0</v>
      </c>
      <c r="O42" s="139" t="str">
        <f aca="false">IF(B42&lt;='VALOR POR PL'!$P$5,'CP RESUMO'!AO55,"")</f>
        <v/>
      </c>
      <c r="P42" s="66" t="n">
        <f aca="false">IF(B42&lt;='VALOR POR PL'!$P$5,0,IF(OR($K$16="CURVA PREVISION",$K$16="MDO PREVISION + MATERIAL PREMISSA"),N42,IF($K$16="PREVISÃO INFORMADA",MAX(0,H42),0)))</f>
        <v>17385.68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HISTORICOS'!AP13)</f>
        <v>0</v>
      </c>
      <c r="D43" s="45" t="n">
        <f aca="false">IF(B43&lt;='VALOR POR PL'!$P$5,0,IF($K$17&gt;0,$K$18*P43/$K$17,0))</f>
        <v>14461.7521618402</v>
      </c>
      <c r="E43" s="45" t="n">
        <f aca="false">L43+D43/$K$2</f>
        <v>11.1511102043739</v>
      </c>
      <c r="F43" s="117" t="n">
        <f aca="false">IF($K$9=0,0,E43/$K$9)</f>
        <v>0.0104124119558698</v>
      </c>
      <c r="G43" s="117" t="n">
        <f aca="false">G42+F43</f>
        <v>0.799985906032261</v>
      </c>
      <c r="H43" s="138" t="n">
        <v>15185.68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RESUMO'!AP13</f>
        <v>0</v>
      </c>
      <c r="N43" s="140" t="n">
        <f aca="false">MAX(0,M43-M42)</f>
        <v>0</v>
      </c>
      <c r="O43" s="139" t="str">
        <f aca="false">IF(B43&lt;='VALOR POR PL'!$P$5,'CP RESUMO'!AP55,"")</f>
        <v/>
      </c>
      <c r="P43" s="66" t="n">
        <f aca="false">IF(B43&lt;='VALOR POR PL'!$P$5,0,IF(OR($K$16="CURVA PREVISION",$K$16="MDO PREVISION + MATERIAL PREMISSA"),N43,IF($K$16="PREVISÃO INFORMADA",MAX(0,H43),0)))</f>
        <v>15185.68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HISTORICOS'!AQ13)</f>
        <v>0</v>
      </c>
      <c r="D44" s="45" t="n">
        <f aca="false">IF(B44&lt;='VALOR POR PL'!$P$5,0,IF($K$17&gt;0,$K$18*P44/$K$17,0))</f>
        <v>10652.4391348727</v>
      </c>
      <c r="E44" s="45" t="n">
        <f aca="false">L44+D44/$K$2</f>
        <v>8.21384030157759</v>
      </c>
      <c r="F44" s="117" t="n">
        <f aca="false">IF($K$9=0,0,E44/$K$9)</f>
        <v>0.00766971964156586</v>
      </c>
      <c r="G44" s="117" t="n">
        <f aca="false">G43+F44</f>
        <v>0.807655625673827</v>
      </c>
      <c r="H44" s="138" t="n">
        <v>11185.68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RESUMO'!AQ13</f>
        <v>0</v>
      </c>
      <c r="N44" s="140" t="n">
        <f aca="false">MAX(0,M44-M43)</f>
        <v>0</v>
      </c>
      <c r="O44" s="139" t="str">
        <f aca="false">IF(B44&lt;='VALOR POR PL'!$P$5,'CP RESUMO'!AQ55,"")</f>
        <v/>
      </c>
      <c r="P44" s="66" t="n">
        <f aca="false">IF(B44&lt;='VALOR POR PL'!$P$5,0,IF(OR($K$16="CURVA PREVISION",$K$16="MDO PREVISION + MATERIAL PREMISSA"),N44,IF($K$16="PREVISÃO INFORMADA",MAX(0,H44),0)))</f>
        <v>11185.68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HISTORICOS'!AR13)</f>
        <v>0</v>
      </c>
      <c r="D45" s="45" t="n">
        <f aca="false">IF(B45&lt;='VALOR POR PL'!$P$5,0,IF($K$17&gt;0,$K$18*P45/$K$17,0))</f>
        <v>12747.5612997048</v>
      </c>
      <c r="E45" s="45" t="n">
        <f aca="false">L45+D45/$K$2</f>
        <v>9.82933874811555</v>
      </c>
      <c r="F45" s="117" t="n">
        <f aca="false">IF($K$9=0,0,E45/$K$9)</f>
        <v>0.00917820041443304</v>
      </c>
      <c r="G45" s="117" t="n">
        <f aca="false">G44+F45</f>
        <v>0.81683382608826</v>
      </c>
      <c r="H45" s="138" t="n">
        <v>13385.68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RESUMO'!AR13</f>
        <v>0</v>
      </c>
      <c r="N45" s="140" t="n">
        <f aca="false">MAX(0,M45-M44)</f>
        <v>0</v>
      </c>
      <c r="O45" s="139" t="str">
        <f aca="false">IF(B45&lt;='VALOR POR PL'!$P$5,'CP RESUMO'!AR55,"")</f>
        <v/>
      </c>
      <c r="P45" s="66" t="n">
        <f aca="false">IF(B45&lt;='VALOR POR PL'!$P$5,0,IF(OR($K$16="CURVA PREVISION",$K$16="MDO PREVISION + MATERIAL PREMISSA"),N45,IF($K$16="PREVISÃO INFORMADA",MAX(0,H45),0)))</f>
        <v>13385.68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HISTORICOS'!AS13)</f>
        <v>0</v>
      </c>
      <c r="D46" s="45" t="n">
        <f aca="false">IF(B46&lt;='VALOR POR PL'!$P$5,0,IF($K$17&gt;0,$K$18*P46/$K$17,0))</f>
        <v>10652.4391348727</v>
      </c>
      <c r="E46" s="45" t="n">
        <f aca="false">L46+D46/$K$2</f>
        <v>8.21384030157759</v>
      </c>
      <c r="F46" s="117" t="n">
        <f aca="false">IF($K$9=0,0,E46/$K$9)</f>
        <v>0.00766971964156586</v>
      </c>
      <c r="G46" s="117" t="n">
        <f aca="false">G45+F46</f>
        <v>0.824503545729826</v>
      </c>
      <c r="H46" s="138" t="n">
        <v>11185.68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RESUMO'!AS13</f>
        <v>0</v>
      </c>
      <c r="N46" s="140" t="n">
        <f aca="false">MAX(0,M46-M45)</f>
        <v>0</v>
      </c>
      <c r="O46" s="139" t="str">
        <f aca="false">IF(B46&lt;='VALOR POR PL'!$P$5,'CP RESUMO'!AS55,"")</f>
        <v/>
      </c>
      <c r="P46" s="66" t="n">
        <f aca="false">IF(B46&lt;='VALOR POR PL'!$P$5,0,IF(OR($K$16="CURVA PREVISION",$K$16="MDO PREVISION + MATERIAL PREMISSA"),N46,IF($K$16="PREVISÃO INFORMADA",MAX(0,H46),0)))</f>
        <v>11185.68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HISTORICOS'!AT13)</f>
        <v>0</v>
      </c>
      <c r="D47" s="45" t="n">
        <f aca="false">IF(B47&lt;='VALOR POR PL'!$P$5,0,IF($K$17&gt;0,$K$18*P47/$K$17,0))</f>
        <v>15437.8886250007</v>
      </c>
      <c r="E47" s="45" t="n">
        <f aca="false">L47+D47/$K$2</f>
        <v>11.9037856169654</v>
      </c>
      <c r="F47" s="117" t="n">
        <f aca="false">IF($K$9=0,0,E47/$K$9)</f>
        <v>0.0111152268614102</v>
      </c>
      <c r="G47" s="117" t="n">
        <f aca="false">G46+F47</f>
        <v>0.835618772591236</v>
      </c>
      <c r="H47" s="138" t="n">
        <v>16210.68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RESUMO'!AT13</f>
        <v>0</v>
      </c>
      <c r="N47" s="140" t="n">
        <f aca="false">MAX(0,M47-M46)</f>
        <v>0</v>
      </c>
      <c r="O47" s="139" t="str">
        <f aca="false">IF(B47&lt;='VALOR POR PL'!$P$5,'CP RESUMO'!AT55,"")</f>
        <v/>
      </c>
      <c r="P47" s="66" t="n">
        <f aca="false">IF(B47&lt;='VALOR POR PL'!$P$5,0,IF(OR($K$16="CURVA PREVISION",$K$16="MDO PREVISION + MATERIAL PREMISSA"),N47,IF($K$16="PREVISÃO INFORMADA",MAX(0,H47),0)))</f>
        <v>16210.68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HISTORICOS'!AU13)</f>
        <v>0</v>
      </c>
      <c r="D48" s="45" t="n">
        <f aca="false">IF(B48&lt;='VALOR POR PL'!$P$5,0,IF($K$17&gt;0,$K$18*P48/$K$17,0))</f>
        <v>12747.5612997048</v>
      </c>
      <c r="E48" s="45" t="n">
        <f aca="false">L48+D48/$K$2</f>
        <v>9.82933874811555</v>
      </c>
      <c r="F48" s="117" t="n">
        <f aca="false">IF($K$9=0,0,E48/$K$9)</f>
        <v>0.00917820041443304</v>
      </c>
      <c r="G48" s="117" t="n">
        <f aca="false">G47+F48</f>
        <v>0.844796973005669</v>
      </c>
      <c r="H48" s="138" t="n">
        <v>13385.68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RESUMO'!AU13</f>
        <v>0</v>
      </c>
      <c r="N48" s="140" t="n">
        <f aca="false">MAX(0,M48-M47)</f>
        <v>0</v>
      </c>
      <c r="O48" s="139" t="str">
        <f aca="false">IF(B48&lt;='VALOR POR PL'!$P$5,'CP RESUMO'!AU55,"")</f>
        <v/>
      </c>
      <c r="P48" s="66" t="n">
        <f aca="false">IF(B48&lt;='VALOR POR PL'!$P$5,0,IF(OR($K$16="CURVA PREVISION",$K$16="MDO PREVISION + MATERIAL PREMISSA"),N48,IF($K$16="PREVISÃO INFORMADA",MAX(0,H48),0)))</f>
        <v>13385.68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HISTORICOS'!AV13)</f>
        <v>0</v>
      </c>
      <c r="D49" s="45" t="n">
        <f aca="false">IF(B49&lt;='VALOR POR PL'!$P$5,0,IF($K$17&gt;0,$K$18*P49/$K$17,0))</f>
        <v>46364.7487626937</v>
      </c>
      <c r="E49" s="45" t="n">
        <f aca="false">L49+D49/$K$2</f>
        <v>35.7507456402928</v>
      </c>
      <c r="F49" s="117" t="n">
        <f aca="false">IF($K$9=0,0,E49/$K$9)</f>
        <v>0.0333824600881654</v>
      </c>
      <c r="G49" s="117" t="n">
        <f aca="false">G48+F49</f>
        <v>0.878179433093835</v>
      </c>
      <c r="H49" s="138" t="n">
        <v>48685.68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RESUMO'!AV13</f>
        <v>0</v>
      </c>
      <c r="N49" s="140" t="n">
        <f aca="false">MAX(0,M49-M48)</f>
        <v>0</v>
      </c>
      <c r="O49" s="139" t="str">
        <f aca="false">IF(B49&lt;='VALOR POR PL'!$P$5,'CP RESUMO'!AV55,"")</f>
        <v/>
      </c>
      <c r="P49" s="66" t="n">
        <f aca="false">IF(B49&lt;='VALOR POR PL'!$P$5,0,IF(OR($K$16="CURVA PREVISION",$K$16="MDO PREVISION + MATERIAL PREMISSA"),N49,IF($K$16="PREVISÃO INFORMADA",MAX(0,H49),0)))</f>
        <v>48685.68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HISTORICOS'!AW13)</f>
        <v>0</v>
      </c>
      <c r="D50" s="45" t="n">
        <f aca="false">IF(B50&lt;='VALOR POR PL'!$P$5,0,IF($K$17&gt;0,$K$18*P50/$K$17,0))</f>
        <v>48459.8709275258</v>
      </c>
      <c r="E50" s="45" t="n">
        <f aca="false">L50+D50/$K$2</f>
        <v>37.3662440868307</v>
      </c>
      <c r="F50" s="117" t="n">
        <f aca="false">IF($K$9=0,0,E50/$K$9)</f>
        <v>0.0348909408610326</v>
      </c>
      <c r="G50" s="117" t="n">
        <f aca="false">G49+F50</f>
        <v>0.913070373954867</v>
      </c>
      <c r="H50" s="138" t="n">
        <v>50885.68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RESUMO'!AW13</f>
        <v>0</v>
      </c>
      <c r="N50" s="140" t="n">
        <f aca="false">MAX(0,M50-M49)</f>
        <v>0</v>
      </c>
      <c r="O50" s="139" t="str">
        <f aca="false">IF(B50&lt;='VALOR POR PL'!$P$5,'CP RESUMO'!AW55,"")</f>
        <v/>
      </c>
      <c r="P50" s="66" t="n">
        <f aca="false">IF(B50&lt;='VALOR POR PL'!$P$5,0,IF(OR($K$16="CURVA PREVISION",$K$16="MDO PREVISION + MATERIAL PREMISSA"),N50,IF($K$16="PREVISÃO INFORMADA",MAX(0,H50),0)))</f>
        <v>50885.68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HISTORICOS'!AX13)</f>
        <v>0</v>
      </c>
      <c r="D51" s="45" t="n">
        <f aca="false">IF(B51&lt;='VALOR POR PL'!$P$5,0,IF($K$17&gt;0,$K$18*P51/$K$17,0))</f>
        <v>10652.4391348727</v>
      </c>
      <c r="E51" s="45" t="n">
        <f aca="false">L51+D51/$K$2</f>
        <v>8.21384030157759</v>
      </c>
      <c r="F51" s="117" t="n">
        <f aca="false">IF($K$9=0,0,E51/$K$9)</f>
        <v>0.00766971964156586</v>
      </c>
      <c r="G51" s="117" t="n">
        <f aca="false">G50+F51</f>
        <v>0.920740093596433</v>
      </c>
      <c r="H51" s="138" t="n">
        <v>11185.68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RESUMO'!AX13</f>
        <v>0</v>
      </c>
      <c r="N51" s="140" t="n">
        <f aca="false">MAX(0,M51-M50)</f>
        <v>0</v>
      </c>
      <c r="O51" s="139" t="str">
        <f aca="false">IF(B51&lt;='VALOR POR PL'!$P$5,'CP RESUMO'!AX55,"")</f>
        <v/>
      </c>
      <c r="P51" s="66" t="n">
        <f aca="false">IF(B51&lt;='VALOR POR PL'!$P$5,0,IF(OR($K$16="CURVA PREVISION",$K$16="MDO PREVISION + MATERIAL PREMISSA"),N51,IF($K$16="PREVISÃO INFORMADA",MAX(0,H51),0)))</f>
        <v>11185.68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HISTORICOS'!AY13)</f>
        <v>0</v>
      </c>
      <c r="D52" s="45" t="n">
        <f aca="false">IF(B52&lt;='VALOR POR PL'!$P$5,0,IF($K$17&gt;0,$K$18*P52/$K$17,0))</f>
        <v>9983.90469863985</v>
      </c>
      <c r="E52" s="45" t="n">
        <f aca="false">L52+D52/$K$2</f>
        <v>7.69834943363684</v>
      </c>
      <c r="F52" s="117" t="n">
        <f aca="false">IF($K$9=0,0,E52/$K$9)</f>
        <v>0.00718837714040552</v>
      </c>
      <c r="G52" s="117" t="n">
        <f aca="false">G51+F52</f>
        <v>0.927928470736839</v>
      </c>
      <c r="H52" s="138" t="n">
        <v>10483.68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RESUMO'!AY13</f>
        <v>0</v>
      </c>
      <c r="N52" s="140" t="n">
        <f aca="false">MAX(0,M52-M51)</f>
        <v>0</v>
      </c>
      <c r="O52" s="139" t="str">
        <f aca="false">IF(B52&lt;='VALOR POR PL'!$P$5,'CP RESUMO'!AY55,"")</f>
        <v/>
      </c>
      <c r="P52" s="66" t="n">
        <f aca="false">IF(B52&lt;='VALOR POR PL'!$P$5,0,IF(OR($K$16="CURVA PREVISION",$K$16="MDO PREVISION + MATERIAL PREMISSA"),N52,IF($K$16="PREVISÃO INFORMADA",MAX(0,H52),0)))</f>
        <v>10483.68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HISTORICOS'!AZ13)</f>
        <v>0</v>
      </c>
      <c r="D53" s="45" t="n">
        <f aca="false">IF(B53&lt;='VALOR POR PL'!$P$5,0,IF($K$17&gt;0,$K$18*P53/$K$17,0))</f>
        <v>12079.026863472</v>
      </c>
      <c r="E53" s="45" t="n">
        <f aca="false">L53+D53/$K$2</f>
        <v>9.3138478801748</v>
      </c>
      <c r="F53" s="117" t="n">
        <f aca="false">IF($K$9=0,0,E53/$K$9)</f>
        <v>0.00869685791327269</v>
      </c>
      <c r="G53" s="117" t="n">
        <f aca="false">G52+F53</f>
        <v>0.936625328650111</v>
      </c>
      <c r="H53" s="138" t="n">
        <v>12683.68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RESUMO'!AZ13</f>
        <v>0</v>
      </c>
      <c r="N53" s="140" t="n">
        <f aca="false">MAX(0,M53-M52)</f>
        <v>0</v>
      </c>
      <c r="O53" s="139" t="str">
        <f aca="false">IF(B53&lt;='VALOR POR PL'!$P$5,'CP RESUMO'!AZ55,"")</f>
        <v/>
      </c>
      <c r="P53" s="66" t="n">
        <f aca="false">IF(B53&lt;='VALOR POR PL'!$P$5,0,IF(OR($K$16="CURVA PREVISION",$K$16="MDO PREVISION + MATERIAL PREMISSA"),N53,IF($K$16="PREVISÃO INFORMADA",MAX(0,H53),0)))</f>
        <v>12683.68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HISTORICOS'!BA13)</f>
        <v>0</v>
      </c>
      <c r="D54" s="45" t="n">
        <f aca="false">IF(B54&lt;='VALOR POR PL'!$P$5,0,IF($K$17&gt;0,$K$18*P54/$K$17,0))</f>
        <v>9033.48109841144</v>
      </c>
      <c r="E54" s="45" t="n">
        <f aca="false">L54+D54/$K$2</f>
        <v>6.96550059288917</v>
      </c>
      <c r="F54" s="117" t="n">
        <f aca="false">IF($K$9=0,0,E54/$K$9)</f>
        <v>0.00650407540798668</v>
      </c>
      <c r="G54" s="117" t="n">
        <f aca="false">G53+F54</f>
        <v>0.943129404058098</v>
      </c>
      <c r="H54" s="138" t="n">
        <v>9485.68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RESUMO'!BA13</f>
        <v>0</v>
      </c>
      <c r="N54" s="140" t="n">
        <f aca="false">MAX(0,M54-M53)</f>
        <v>0</v>
      </c>
      <c r="O54" s="139" t="str">
        <f aca="false">IF(B54&lt;='VALOR POR PL'!$P$5,'CP RESUMO'!BA55,"")</f>
        <v/>
      </c>
      <c r="P54" s="66" t="n">
        <f aca="false">IF(B54&lt;='VALOR POR PL'!$P$5,0,IF(OR($K$16="CURVA PREVISION",$K$16="MDO PREVISION + MATERIAL PREMISSA"),N54,IF($K$16="PREVISÃO INFORMADA",MAX(0,H54),0)))</f>
        <v>9485.68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HISTORICOS'!BB13)</f>
        <v>0</v>
      </c>
      <c r="D55" s="45" t="n">
        <f aca="false">IF(B55&lt;='VALOR POR PL'!$P$5,0,IF($K$17&gt;0,$K$18*P55/$K$17,0))</f>
        <v>5414.63372279225</v>
      </c>
      <c r="E55" s="45" t="n">
        <f aca="false">L55+D55/$K$2</f>
        <v>4.1750941852327</v>
      </c>
      <c r="F55" s="117" t="n">
        <f aca="false">IF($K$9=0,0,E55/$K$9)</f>
        <v>0.00389851770939793</v>
      </c>
      <c r="G55" s="117" t="n">
        <f aca="false">G54+F55</f>
        <v>0.947027921767496</v>
      </c>
      <c r="H55" s="138" t="n">
        <v>5685.68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RESUMO'!BB13</f>
        <v>0</v>
      </c>
      <c r="N55" s="140" t="n">
        <f aca="false">MAX(0,M55-M54)</f>
        <v>0</v>
      </c>
      <c r="O55" s="139" t="str">
        <f aca="false">IF(B55&lt;='VALOR POR PL'!$P$5,'CP RESUMO'!BB55,"")</f>
        <v/>
      </c>
      <c r="P55" s="66" t="n">
        <f aca="false">IF(B55&lt;='VALOR POR PL'!$P$5,0,IF(OR($K$16="CURVA PREVISION",$K$16="MDO PREVISION + MATERIAL PREMISSA"),N55,IF($K$16="PREVISÃO INFORMADA",MAX(0,H55),0)))</f>
        <v>5685.68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HISTORICOS'!BC13)</f>
        <v>0</v>
      </c>
      <c r="D56" s="45" t="n">
        <f aca="false">IF(B56&lt;='VALOR POR PL'!$P$5,0,IF($K$17&gt;0,$K$18*P56/$K$17,0))</f>
        <v>73572.6813482664</v>
      </c>
      <c r="E56" s="45" t="n">
        <f aca="false">L56+D56/$K$2</f>
        <v>56.7301298324424</v>
      </c>
      <c r="F56" s="117" t="n">
        <f aca="false">IF($K$9=0,0,E56/$K$9)</f>
        <v>0.0529720782325044</v>
      </c>
      <c r="G56" s="117" t="n">
        <f aca="false">G55+F56</f>
        <v>1</v>
      </c>
      <c r="H56" s="138" t="n">
        <v>77255.59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RESUMO'!BC13</f>
        <v>0</v>
      </c>
      <c r="N56" s="140" t="n">
        <f aca="false">MAX(0,M56-M55)</f>
        <v>0</v>
      </c>
      <c r="O56" s="139" t="str">
        <f aca="false">IF(B56&lt;='VALOR POR PL'!$P$5,'CP RESUMO'!BC55,"")</f>
        <v/>
      </c>
      <c r="P56" s="66" t="n">
        <f aca="false">IF(B56&lt;='VALOR POR PL'!$P$5,0,IF(OR($K$16="CURVA PREVISION",$K$16="MDO PREVISION + MATERIAL PREMISSA"),N56,IF($K$16="PREVISÃO INFORMADA",MAX(0,H56),0)))</f>
        <v>77255.59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RESUMO'!BD13</f>
        <v>0</v>
      </c>
      <c r="N57" s="140" t="n">
        <f aca="false">MAX(0,M57-M56)</f>
        <v>0</v>
      </c>
      <c r="O57" s="139" t="str">
        <f aca="false">IF(B57&lt;='VALOR POR PL'!$P$5,'CP RESUMO'!BD55,"")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RESUMO'!BE13</f>
        <v>0</v>
      </c>
      <c r="N58" s="140" t="n">
        <f aca="false">MAX(0,M58-M57)</f>
        <v>0</v>
      </c>
      <c r="O58" s="139" t="str">
        <f aca="false">IF(B58&lt;='VALOR POR PL'!$P$5,'CP RESUMO'!BE55,"")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RESUMO'!BF13</f>
        <v>0</v>
      </c>
      <c r="N59" s="140" t="n">
        <f aca="false">MAX(0,M59-M58)</f>
        <v>0</v>
      </c>
      <c r="O59" s="139" t="str">
        <f aca="false">IF(B59&lt;='VALOR POR PL'!$P$5,'CP RESUMO'!BF55,"")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RESUMO'!BG13</f>
        <v>0</v>
      </c>
      <c r="N60" s="140" t="n">
        <f aca="false">MAX(0,M60-M59)</f>
        <v>0</v>
      </c>
      <c r="O60" s="139" t="str">
        <f aca="false">IF(B60&lt;='VALOR POR PL'!$P$5,'CP RESUMO'!BG55,"")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RESUMO'!BH13</f>
        <v>0</v>
      </c>
      <c r="N61" s="140" t="n">
        <f aca="false">MAX(0,M61-M60)</f>
        <v>0</v>
      </c>
      <c r="O61" s="139" t="str">
        <f aca="false">IF(B61&lt;='VALOR POR PL'!$P$5,'CP RESUMO'!BH55,"")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RESUMO'!BI13</f>
        <v>0</v>
      </c>
      <c r="N62" s="140" t="n">
        <f aca="false">MAX(0,M62-M61)</f>
        <v>0</v>
      </c>
      <c r="O62" s="139" t="str">
        <f aca="false">IF(B62&lt;='VALOR POR PL'!$P$5,'CP RESUMO'!BI55,"")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RESUMO'!BJ13</f>
        <v>0</v>
      </c>
      <c r="N63" s="140" t="n">
        <f aca="false">MAX(0,M63-M62)</f>
        <v>0</v>
      </c>
      <c r="O63" s="139" t="str">
        <f aca="false">IF(B63&lt;='VALOR POR PL'!$P$5,'CP RESUMO'!BJ55,"")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RESUMO'!BK13</f>
        <v>0</v>
      </c>
      <c r="N64" s="140" t="n">
        <f aca="false">MAX(0,M64-M63)</f>
        <v>0</v>
      </c>
      <c r="O64" s="139" t="str">
        <f aca="false">IF(B64&lt;='VALOR POR PL'!$P$5,'CP RESUMO'!BK55,"")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RESUMO'!BL13</f>
        <v>0</v>
      </c>
      <c r="N65" s="140" t="n">
        <f aca="false">MAX(0,M65-M64)</f>
        <v>0</v>
      </c>
      <c r="O65" s="139" t="str">
        <f aca="false">IF(B65&lt;='VALOR POR PL'!$P$5,'CP RESUMO'!BL55,"")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RESUMO'!BM13</f>
        <v>0</v>
      </c>
      <c r="N66" s="140" t="n">
        <f aca="false">MAX(0,M66-M65)</f>
        <v>0</v>
      </c>
      <c r="O66" s="139" t="str">
        <f aca="false">IF(B66&lt;='VALOR POR PL'!$P$5,'CP RESUMO'!BM55,"")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RESUMO'!BN13</f>
        <v>0</v>
      </c>
      <c r="N67" s="140" t="n">
        <f aca="false">MAX(0,M67-M66)</f>
        <v>0</v>
      </c>
      <c r="O67" s="139" t="str">
        <f aca="false">IF(B67&lt;='VALOR POR PL'!$P$5,'CP RESUMO'!BN55,"")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RESUMO'!BO13</f>
        <v>0</v>
      </c>
      <c r="N68" s="140" t="n">
        <f aca="false">MAX(0,M68-M67)</f>
        <v>0</v>
      </c>
      <c r="O68" s="139" t="str">
        <f aca="false">IF(B68&lt;='VALOR POR PL'!$P$5,'CP RESUMO'!BO55,"")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RESUMO'!BP13</f>
        <v>0</v>
      </c>
      <c r="N69" s="140" t="n">
        <f aca="false">MAX(0,M69-M68)</f>
        <v>0</v>
      </c>
      <c r="O69" s="139" t="str">
        <f aca="false">IF(B69&lt;='VALOR POR PL'!$P$5,'CP RESUMO'!BP55,"")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RESUMO'!BQ13</f>
        <v>0</v>
      </c>
      <c r="N70" s="140" t="n">
        <f aca="false">MAX(0,M70-M69)</f>
        <v>0</v>
      </c>
      <c r="O70" s="139" t="str">
        <f aca="false">IF(B70&lt;='VALOR POR PL'!$P$5,'CP RESUMO'!BQ55,"")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RESUMO'!BR13</f>
        <v>0</v>
      </c>
      <c r="N71" s="140" t="n">
        <f aca="false">MAX(0,M71-M70)</f>
        <v>0</v>
      </c>
      <c r="O71" s="139" t="str">
        <f aca="false">IF(B71&lt;='VALOR POR PL'!$P$5,'CP RESUMO'!BR55,"")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RESUMO'!BS13</f>
        <v>0</v>
      </c>
      <c r="N72" s="140" t="n">
        <f aca="false">MAX(0,M72-M71)</f>
        <v>0</v>
      </c>
      <c r="O72" s="139" t="str">
        <f aca="false">IF(B72&lt;='VALOR POR PL'!$P$5,'CP RESUMO'!BS55,"")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RESUMO'!BT13</f>
        <v>0</v>
      </c>
      <c r="N73" s="140" t="n">
        <f aca="false">MAX(0,M73-M72)</f>
        <v>0</v>
      </c>
      <c r="O73" s="139" t="str">
        <f aca="false">IF(B73&lt;='VALOR POR PL'!$P$5,'CP RESUMO'!BT55,"")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RESUMO'!BU13</f>
        <v>0</v>
      </c>
      <c r="N74" s="140" t="n">
        <f aca="false">MAX(0,M74-M73)</f>
        <v>0</v>
      </c>
      <c r="O74" s="139" t="str">
        <f aca="false">IF(B74&lt;='VALOR POR PL'!$P$5,'CP RESUMO'!BU55,"")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RESUMO'!BV13</f>
        <v>0</v>
      </c>
      <c r="N75" s="140" t="n">
        <f aca="false">MAX(0,M75-M74)</f>
        <v>0</v>
      </c>
      <c r="O75" s="139" t="str">
        <f aca="false">IF(B75&lt;='VALOR POR PL'!$P$5,'CP RESUMO'!BV55,"")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RESUMO'!BW13</f>
        <v>0</v>
      </c>
      <c r="N76" s="140" t="n">
        <f aca="false">MAX(0,M76-M75)</f>
        <v>0</v>
      </c>
      <c r="O76" s="139" t="str">
        <f aca="false">IF(B76&lt;='VALOR POR PL'!$P$5,'CP RESUMO'!BW55,"")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713077.75</v>
      </c>
      <c r="D78" s="61" t="n">
        <f aca="false">SUM(D5:D76)</f>
        <v>639910.667704656</v>
      </c>
      <c r="E78" s="61" t="n">
        <f aca="false">SUM(E5:E76)</f>
        <v>1070.94400909557</v>
      </c>
      <c r="F78" s="145" t="n">
        <f aca="false">SUM(F5:F76)</f>
        <v>1</v>
      </c>
      <c r="H78" s="61" t="n">
        <f aca="false">SUM(H5:H76)</f>
        <v>671943.38</v>
      </c>
      <c r="L78" s="61" t="n">
        <f aca="false">SUM(L5:L76)</f>
        <v>577.524242481269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-1.70530256582424E-013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PL'!D20</f>
        <v>MÃO DE OBRA PRÓPRIA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HISTORICOS'!D14)</f>
        <v>387208.85</v>
      </c>
      <c r="D5" s="45" t="n">
        <f aca="false">IF(B5&lt;='VALOR POR PL'!$P$5,0,IF($K$17&gt;0,$K$18*P5/$K$17,0))</f>
        <v>0</v>
      </c>
      <c r="E5" s="45" t="n">
        <f aca="false">L5+D5/$K$2</f>
        <v>343.30301603844</v>
      </c>
      <c r="F5" s="117" t="n">
        <f aca="false">IF($K$9=0,0,E5/$K$9)</f>
        <v>0.0206970637962324</v>
      </c>
      <c r="G5" s="117" t="n">
        <f aca="false">F5</f>
        <v>0.0206970637962324</v>
      </c>
      <c r="H5" s="138"/>
      <c r="I5" s="42" t="s">
        <v>2920</v>
      </c>
      <c r="J5" s="56" t="n">
        <f aca="false">'VALOR POR PL'!F20</f>
        <v>20188024.55</v>
      </c>
      <c r="K5" s="56" t="n">
        <f aca="false">'VALOR POR PL'!G20</f>
        <v>16592.360482</v>
      </c>
      <c r="L5" s="56" t="n">
        <f aca="false">'DADOS HISTORICOS'!$BZ$14</f>
        <v>343.30301603844</v>
      </c>
      <c r="M5" s="139" t="n">
        <f aca="false">'CP RESUMO'!D14</f>
        <v>0</v>
      </c>
      <c r="N5" s="140" t="n">
        <v>0</v>
      </c>
      <c r="O5" s="139" t="n">
        <f aca="false">IF(B5&lt;='VALOR POR PL'!$P$5,'CP RESUMO'!D56,"")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HISTORICOS'!E14)</f>
        <v>940</v>
      </c>
      <c r="D6" s="45" t="n">
        <f aca="false">IF(B6&lt;='VALOR POR PL'!$P$5,0,IF($K$17&gt;0,$K$18*P6/$K$17,0))</f>
        <v>0</v>
      </c>
      <c r="E6" s="45" t="n">
        <f aca="false">L6+D6/$K$2</f>
        <v>0.804026289948987</v>
      </c>
      <c r="F6" s="117" t="n">
        <f aca="false">IF($K$9=0,0,E6/$K$9)</f>
        <v>4.84731640547515E-005</v>
      </c>
      <c r="G6" s="117" t="n">
        <f aca="false">G5+F6</f>
        <v>0.0207455369602872</v>
      </c>
      <c r="H6" s="138"/>
      <c r="I6" s="42" t="s">
        <v>2921</v>
      </c>
      <c r="K6" s="52" t="n">
        <f aca="false">'VALOR POR PL'!H20</f>
        <v>16592.360482</v>
      </c>
      <c r="L6" s="45" t="n">
        <f aca="false">C6/IF(B6&lt;='VALOR POR PL'!$P$5,IFERROR(INDEX('"INCC-FGV"'!$B$2:$B$800,MATCH(B6,'"INCC-FGV"'!$A$2:$A$800,0)),$K$2),$K$2)</f>
        <v>0.804026289948987</v>
      </c>
      <c r="M6" s="139" t="n">
        <f aca="false">'CP RESUMO'!E14</f>
        <v>0</v>
      </c>
      <c r="N6" s="140" t="n">
        <f aca="false">MAX(0,M6-M5)</f>
        <v>0</v>
      </c>
      <c r="O6" s="139" t="n">
        <f aca="false">IF(B6&lt;='VALOR POR PL'!$P$5,'CP RESUMO'!E56,"")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HISTORICOS'!F14)</f>
        <v>61357.36</v>
      </c>
      <c r="D7" s="45" t="n">
        <f aca="false">IF(B7&lt;='VALOR POR PL'!$P$5,0,IF($K$17&gt;0,$K$18*P7/$K$17,0))</f>
        <v>0</v>
      </c>
      <c r="E7" s="45" t="n">
        <f aca="false">L7+D7/$K$2</f>
        <v>52.2735277203893</v>
      </c>
      <c r="F7" s="117" t="n">
        <f aca="false">IF($K$9=0,0,E7/$K$9)</f>
        <v>0.00315146820021494</v>
      </c>
      <c r="G7" s="117" t="n">
        <f aca="false">G6+F7</f>
        <v>0.0238970051605021</v>
      </c>
      <c r="H7" s="138"/>
      <c r="I7" s="42" t="s">
        <v>2922</v>
      </c>
      <c r="J7" s="45" t="n">
        <f aca="false">C78+D78</f>
        <v>21332424.0263632</v>
      </c>
      <c r="L7" s="45" t="n">
        <f aca="false">C7/IF(B7&lt;='VALOR POR PL'!$P$5,IFERROR(INDEX('"INCC-FGV"'!$B$2:$B$800,MATCH(B7,'"INCC-FGV"'!$A$2:$A$800,0)),$K$2),$K$2)</f>
        <v>52.2735277203893</v>
      </c>
      <c r="M7" s="139" t="n">
        <f aca="false">'CP RESUMO'!F14</f>
        <v>0</v>
      </c>
      <c r="N7" s="140" t="n">
        <f aca="false">MAX(0,M7-M6)</f>
        <v>0</v>
      </c>
      <c r="O7" s="139" t="n">
        <f aca="false">IF(B7&lt;='VALOR POR PL'!$P$5,'CP RESUMO'!F56,"")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HISTORICOS'!G14)</f>
        <v>118973.07</v>
      </c>
      <c r="D8" s="45" t="n">
        <f aca="false">IF(B8&lt;='VALOR POR PL'!$P$5,0,IF($K$17&gt;0,$K$18*P8/$K$17,0))</f>
        <v>0</v>
      </c>
      <c r="E8" s="45" t="n">
        <f aca="false">L8+D8/$K$2</f>
        <v>100.962732075907</v>
      </c>
      <c r="F8" s="117" t="n">
        <f aca="false">IF($K$9=0,0,E8/$K$9)</f>
        <v>0.00608684459265863</v>
      </c>
      <c r="G8" s="117" t="n">
        <f aca="false">G7+F8</f>
        <v>0.0299838497531608</v>
      </c>
      <c r="H8" s="138"/>
      <c r="I8" s="42" t="s">
        <v>2923</v>
      </c>
      <c r="K8" s="66" t="n">
        <f aca="false">SUM(L5:L76)</f>
        <v>3136.78527324479</v>
      </c>
      <c r="L8" s="45" t="n">
        <f aca="false">C8/IF(B8&lt;='VALOR POR PL'!$P$5,IFERROR(INDEX('"INCC-FGV"'!$B$2:$B$800,MATCH(B8,'"INCC-FGV"'!$A$2:$A$800,0)),$K$2),$K$2)</f>
        <v>100.962732075907</v>
      </c>
      <c r="M8" s="139" t="n">
        <f aca="false">'CP RESUMO'!G14</f>
        <v>0</v>
      </c>
      <c r="N8" s="140" t="n">
        <f aca="false">MAX(0,M8-M7)</f>
        <v>0</v>
      </c>
      <c r="O8" s="139" t="n">
        <f aca="false">IF(B8&lt;='VALOR POR PL'!$P$5,'CP RESUMO'!G56,"")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HISTORICOS'!H14)</f>
        <v>60617.36</v>
      </c>
      <c r="D9" s="45" t="n">
        <f aca="false">IF(B9&lt;='VALOR POR PL'!$P$5,0,IF($K$17&gt;0,$K$18*P9/$K$17,0))</f>
        <v>0</v>
      </c>
      <c r="E9" s="45" t="n">
        <f aca="false">L9+D9/$K$2</f>
        <v>51.1771251420476</v>
      </c>
      <c r="F9" s="117" t="n">
        <f aca="false">IF($K$9=0,0,E9/$K$9)</f>
        <v>0.0030853682446359</v>
      </c>
      <c r="G9" s="117" t="n">
        <f aca="false">G8+F9</f>
        <v>0.0330692179977967</v>
      </c>
      <c r="H9" s="138"/>
      <c r="I9" s="42" t="s">
        <v>2924</v>
      </c>
      <c r="J9" s="45" t="n">
        <f aca="false">C78+D78</f>
        <v>21332424.0263632</v>
      </c>
      <c r="K9" s="45" t="n">
        <f aca="false">E78</f>
        <v>16587.039563599</v>
      </c>
      <c r="L9" s="45" t="n">
        <f aca="false">C9/IF(B9&lt;='VALOR POR PL'!$P$5,IFERROR(INDEX('"INCC-FGV"'!$B$2:$B$800,MATCH(B9,'"INCC-FGV"'!$A$2:$A$800,0)),$K$2),$K$2)</f>
        <v>51.1771251420476</v>
      </c>
      <c r="M9" s="139" t="n">
        <f aca="false">'CP RESUMO'!H14</f>
        <v>0</v>
      </c>
      <c r="N9" s="140" t="n">
        <f aca="false">MAX(0,M9-M8)</f>
        <v>0</v>
      </c>
      <c r="O9" s="139" t="n">
        <f aca="false">IF(B9&lt;='VALOR POR PL'!$P$5,'CP RESUMO'!H56,"")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HISTORICOS'!I14)</f>
        <v>23912.84</v>
      </c>
      <c r="D10" s="45" t="n">
        <f aca="false">IF(B10&lt;='VALOR POR PL'!$P$5,0,IF($K$17&gt;0,$K$18*P10/$K$17,0))</f>
        <v>0</v>
      </c>
      <c r="E10" s="45" t="n">
        <f aca="false">L10+D10/$K$2</f>
        <v>20.0724402284176</v>
      </c>
      <c r="F10" s="117" t="n">
        <f aca="false">IF($K$9=0,0,E10/$K$9)</f>
        <v>0.00121012795269793</v>
      </c>
      <c r="G10" s="117" t="n">
        <f aca="false">G9+F10</f>
        <v>0.0342793459504946</v>
      </c>
      <c r="H10" s="138"/>
      <c r="I10" s="42" t="s">
        <v>2925</v>
      </c>
      <c r="K10" s="52" t="n">
        <f aca="false">IF(K6-K8&gt;0,(K6-K8)*'VALOR POR PL'!$G$65,K6-K8)</f>
        <v>13450.2542903542</v>
      </c>
      <c r="L10" s="45" t="n">
        <f aca="false">C10/IF(B10&lt;='VALOR POR PL'!$P$5,IFERROR(INDEX('"INCC-FGV"'!$B$2:$B$800,MATCH(B10,'"INCC-FGV"'!$A$2:$A$800,0)),$K$2),$K$2)</f>
        <v>20.0724402284176</v>
      </c>
      <c r="M10" s="139" t="n">
        <f aca="false">'CP RESUMO'!I14</f>
        <v>0</v>
      </c>
      <c r="N10" s="140" t="n">
        <f aca="false">MAX(0,M10-M9)</f>
        <v>0</v>
      </c>
      <c r="O10" s="139" t="n">
        <f aca="false">IF(B10&lt;='VALOR POR PL'!$P$5,'CP RESUMO'!I56,"")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HISTORICOS'!J14)</f>
        <v>27131.75</v>
      </c>
      <c r="D11" s="45" t="n">
        <f aca="false">IF(B11&lt;='VALOR POR PL'!$P$5,0,IF($K$17&gt;0,$K$18*P11/$K$17,0))</f>
        <v>0</v>
      </c>
      <c r="E11" s="45" t="n">
        <f aca="false">L11+D11/$K$2</f>
        <v>22.619046626578</v>
      </c>
      <c r="F11" s="117" t="n">
        <f aca="false">IF($K$9=0,0,E11/$K$9)</f>
        <v>0.00136365784502116</v>
      </c>
      <c r="G11" s="117" t="n">
        <f aca="false">G10+F11</f>
        <v>0.0356430037955158</v>
      </c>
      <c r="H11" s="138"/>
      <c r="I11" s="42" t="s">
        <v>2926</v>
      </c>
      <c r="K11" s="56" t="n">
        <f aca="false">SUMPRODUCT((B5:B76&gt;'VALOR POR PL'!$P$5)*H5:H76)</f>
        <v>17058053.85</v>
      </c>
      <c r="L11" s="45" t="n">
        <f aca="false">C11/IF(B11&lt;='VALOR POR PL'!$P$5,IFERROR(INDEX('"INCC-FGV"'!$B$2:$B$800,MATCH(B11,'"INCC-FGV"'!$A$2:$A$800,0)),$K$2),$K$2)</f>
        <v>22.619046626578</v>
      </c>
      <c r="M11" s="139" t="n">
        <f aca="false">'CP RESUMO'!J14</f>
        <v>0</v>
      </c>
      <c r="N11" s="140" t="n">
        <f aca="false">MAX(0,M11-M10)</f>
        <v>0</v>
      </c>
      <c r="O11" s="139" t="n">
        <f aca="false">IF(B11&lt;='VALOR POR PL'!$P$5,'CP RESUMO'!J56,"")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HISTORICOS'!K14)</f>
        <v>51487.59</v>
      </c>
      <c r="D12" s="45" t="n">
        <f aca="false">IF(B12&lt;='VALOR POR PL'!$P$5,0,IF($K$17&gt;0,$K$18*P12/$K$17,0))</f>
        <v>0</v>
      </c>
      <c r="E12" s="45" t="n">
        <f aca="false">L12+D12/$K$2</f>
        <v>42.5351701940815</v>
      </c>
      <c r="F12" s="117" t="n">
        <f aca="false">IF($K$9=0,0,E12/$K$9)</f>
        <v>0.00256436177359985</v>
      </c>
      <c r="G12" s="117" t="n">
        <f aca="false">G11+F12</f>
        <v>0.0382073655691156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42.5351701940815</v>
      </c>
      <c r="M12" s="139" t="n">
        <f aca="false">'CP RESUMO'!K14</f>
        <v>0</v>
      </c>
      <c r="N12" s="140" t="n">
        <f aca="false">MAX(0,M12-M11)</f>
        <v>0</v>
      </c>
      <c r="O12" s="139" t="n">
        <f aca="false">IF(B12&lt;='VALOR POR PL'!$P$5,'CP RESUMO'!K56,"")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HISTORICOS'!L14)</f>
        <v>89901.3</v>
      </c>
      <c r="D13" s="45" t="n">
        <f aca="false">IF(B13&lt;='VALOR POR PL'!$P$5,0,IF($K$17&gt;0,$K$18*P13/$K$17,0))</f>
        <v>0</v>
      </c>
      <c r="E13" s="45" t="n">
        <f aca="false">L13+D13/$K$2</f>
        <v>73.8890907088483</v>
      </c>
      <c r="F13" s="117" t="n">
        <f aca="false">IF($K$9=0,0,E13/$K$9)</f>
        <v>0.00445462798985549</v>
      </c>
      <c r="G13" s="117" t="n">
        <f aca="false">G12+F13</f>
        <v>0.0426619935589711</v>
      </c>
      <c r="H13" s="138"/>
      <c r="I13" s="42" t="s">
        <v>2928</v>
      </c>
      <c r="K13" s="56" t="str">
        <f aca="false">'VALOR POR PL'!I20</f>
        <v>INDIRETO</v>
      </c>
      <c r="L13" s="45" t="n">
        <f aca="false">C13/IF(B13&lt;='VALOR POR PL'!$P$5,IFERROR(INDEX('"INCC-FGV"'!$B$2:$B$800,MATCH(B13,'"INCC-FGV"'!$A$2:$A$800,0)),$K$2),$K$2)</f>
        <v>73.8890907088483</v>
      </c>
      <c r="M13" s="139" t="n">
        <f aca="false">'CP RESUMO'!L14</f>
        <v>0</v>
      </c>
      <c r="N13" s="140" t="n">
        <f aca="false">MAX(0,M13-M12)</f>
        <v>0</v>
      </c>
      <c r="O13" s="139" t="n">
        <f aca="false">IF(B13&lt;='VALOR POR PL'!$P$5,'CP RESUMO'!L56,"")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HISTORICOS'!M14)</f>
        <v>109406.48</v>
      </c>
      <c r="D14" s="45" t="n">
        <f aca="false">IF(B14&lt;='VALOR POR PL'!$P$5,0,IF($K$17&gt;0,$K$18*P14/$K$17,0))</f>
        <v>0</v>
      </c>
      <c r="E14" s="45" t="n">
        <f aca="false">L14+D14/$K$2</f>
        <v>89.7696404586021</v>
      </c>
      <c r="F14" s="117" t="n">
        <f aca="false">IF($K$9=0,0,E14/$K$9)</f>
        <v>0.00541203510815792</v>
      </c>
      <c r="G14" s="117" t="n">
        <f aca="false">G13+F14</f>
        <v>0.048074028667129</v>
      </c>
      <c r="H14" s="138"/>
      <c r="I14" s="42" t="s">
        <v>2929</v>
      </c>
      <c r="K14" s="58" t="n">
        <f aca="false">IFERROR(INDEX('CP RESUMO'!$D$56:$BW$56,MATCH('VALOR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89.7696404586021</v>
      </c>
      <c r="M14" s="139" t="n">
        <f aca="false">'CP RESUMO'!M14</f>
        <v>0</v>
      </c>
      <c r="N14" s="140" t="n">
        <f aca="false">MAX(0,M14-M13)</f>
        <v>0</v>
      </c>
      <c r="O14" s="139" t="n">
        <f aca="false">IF(B14&lt;='VALOR POR PL'!$P$5,'CP RESUMO'!M56,"")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HISTORICOS'!N14)</f>
        <v>164098.29</v>
      </c>
      <c r="D15" s="45" t="n">
        <f aca="false">IF(B15&lt;='VALOR POR PL'!$P$5,0,IF($K$17&gt;0,$K$18*P15/$K$17,0))</f>
        <v>0</v>
      </c>
      <c r="E15" s="45" t="n">
        <f aca="false">L15+D15/$K$2</f>
        <v>134.2475432689</v>
      </c>
      <c r="F15" s="117" t="n">
        <f aca="false">IF($K$9=0,0,E15/$K$9)</f>
        <v>0.00809352041117167</v>
      </c>
      <c r="G15" s="117" t="n">
        <f aca="false">G14+F15</f>
        <v>0.0561675490783007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134.2475432689</v>
      </c>
      <c r="M15" s="139" t="n">
        <f aca="false">'CP RESUMO'!N14</f>
        <v>0</v>
      </c>
      <c r="N15" s="140" t="n">
        <f aca="false">MAX(0,M15-M14)</f>
        <v>0</v>
      </c>
      <c r="O15" s="139" t="n">
        <f aca="false">IF(B15&lt;='VALOR POR PL'!$P$5,'CP RESUMO'!N56,"")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HISTORICOS'!O14)</f>
        <v>234224.1</v>
      </c>
      <c r="D16" s="45" t="n">
        <f aca="false">IF(B16&lt;='VALOR POR PL'!$P$5,0,IF($K$17&gt;0,$K$18*P16/$K$17,0))</f>
        <v>0</v>
      </c>
      <c r="E16" s="45" t="n">
        <f aca="false">L16+D16/$K$2</f>
        <v>191.104596563572</v>
      </c>
      <c r="F16" s="117" t="n">
        <f aca="false">IF($K$9=0,0,E16/$K$9)</f>
        <v>0.0115213203556203</v>
      </c>
      <c r="G16" s="117" t="n">
        <f aca="false">G15+F16</f>
        <v>0.0676888694339209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191.104596563572</v>
      </c>
      <c r="M16" s="139" t="n">
        <f aca="false">'CP RESUMO'!O14</f>
        <v>0</v>
      </c>
      <c r="N16" s="140" t="n">
        <f aca="false">MAX(0,M16-M15)</f>
        <v>0</v>
      </c>
      <c r="O16" s="139" t="n">
        <f aca="false">IF(B16&lt;='VALOR POR PL'!$P$5,'CP RESUMO'!O56,"")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HISTORICOS'!P14)</f>
        <v>187300.46</v>
      </c>
      <c r="D17" s="45" t="n">
        <f aca="false">IF(B17&lt;='VALOR POR PL'!$P$5,0,IF($K$17&gt;0,$K$18*P17/$K$17,0))</f>
        <v>0</v>
      </c>
      <c r="E17" s="45" t="n">
        <f aca="false">L17+D17/$K$2</f>
        <v>152.504810037121</v>
      </c>
      <c r="F17" s="117" t="n">
        <f aca="false">IF($K$9=0,0,E17/$K$9)</f>
        <v>0.00919421512515105</v>
      </c>
      <c r="G17" s="117" t="n">
        <f aca="false">G16+F17</f>
        <v>0.076883084559072</v>
      </c>
      <c r="H17" s="138"/>
      <c r="I17" s="42" t="s">
        <v>2933</v>
      </c>
      <c r="K17" s="45" t="n">
        <f aca="false">SUM(P5:P76)</f>
        <v>17058053.85</v>
      </c>
      <c r="L17" s="45" t="n">
        <f aca="false">C17/IF(B17&lt;='VALOR POR PL'!$P$5,IFERROR(INDEX('"INCC-FGV"'!$B$2:$B$800,MATCH(B17,'"INCC-FGV"'!$A$2:$A$800,0)),$K$2),$K$2)</f>
        <v>152.504810037121</v>
      </c>
      <c r="M17" s="139" t="n">
        <f aca="false">'CP RESUMO'!P14</f>
        <v>0</v>
      </c>
      <c r="N17" s="140" t="n">
        <f aca="false">MAX(0,M17-M16)</f>
        <v>0</v>
      </c>
      <c r="O17" s="139" t="n">
        <f aca="false">IF(B17&lt;='VALOR POR PL'!$P$5,'CP RESUMO'!P56,"")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HISTORICOS'!Q14)</f>
        <v>207035.09</v>
      </c>
      <c r="D18" s="45" t="n">
        <f aca="false">IF(B18&lt;='VALOR POR PL'!$P$5,0,IF($K$17&gt;0,$K$18*P18/$K$17,0))</f>
        <v>0</v>
      </c>
      <c r="E18" s="45" t="n">
        <f aca="false">L18+D18/$K$2</f>
        <v>167.363835813994</v>
      </c>
      <c r="F18" s="117" t="n">
        <f aca="false">IF($K$9=0,0,E18/$K$9)</f>
        <v>0.010090036571763</v>
      </c>
      <c r="G18" s="117" t="n">
        <f aca="false">G17+F18</f>
        <v>0.086973121130835</v>
      </c>
      <c r="H18" s="138"/>
      <c r="I18" s="42" t="s">
        <v>2934</v>
      </c>
      <c r="K18" s="45" t="n">
        <f aca="false">MAX(0,K10)*$K$2</f>
        <v>17443486.8363631</v>
      </c>
      <c r="L18" s="45" t="n">
        <f aca="false">C18/IF(B18&lt;='VALOR POR PL'!$P$5,IFERROR(INDEX('"INCC-FGV"'!$B$2:$B$800,MATCH(B18,'"INCC-FGV"'!$A$2:$A$800,0)),$K$2),$K$2)</f>
        <v>167.363835813994</v>
      </c>
      <c r="M18" s="139" t="n">
        <f aca="false">'CP RESUMO'!Q14</f>
        <v>0</v>
      </c>
      <c r="N18" s="140" t="n">
        <f aca="false">MAX(0,M18-M17)</f>
        <v>0</v>
      </c>
      <c r="O18" s="139" t="n">
        <f aca="false">IF(B18&lt;='VALOR POR PL'!$P$5,'CP RESUMO'!Q56,"")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HISTORICOS'!R14)</f>
        <v>189783.71</v>
      </c>
      <c r="D19" s="45" t="n">
        <f aca="false">IF(B19&lt;='VALOR POR PL'!$P$5,0,IF($K$17&gt;0,$K$18*P19/$K$17,0))</f>
        <v>0</v>
      </c>
      <c r="E19" s="45" t="n">
        <f aca="false">L19+D19/$K$2</f>
        <v>152.992032929162</v>
      </c>
      <c r="F19" s="117" t="n">
        <f aca="false">IF($K$9=0,0,E19/$K$9)</f>
        <v>0.00922358883528018</v>
      </c>
      <c r="G19" s="117" t="n">
        <f aca="false">G18+F19</f>
        <v>0.0961967099661152</v>
      </c>
      <c r="H19" s="138"/>
      <c r="I19" s="42" t="s">
        <v>2935</v>
      </c>
      <c r="K19" s="142" t="n">
        <f aca="false">IF(AND(K16="PREVISÃO INFORMADA",K11&gt;0),K18/K11-1,"")</f>
        <v>0.0225953669599388</v>
      </c>
      <c r="L19" s="45" t="n">
        <f aca="false">C19/IF(B19&lt;='VALOR POR PL'!$P$5,IFERROR(INDEX('"INCC-FGV"'!$B$2:$B$800,MATCH(B19,'"INCC-FGV"'!$A$2:$A$800,0)),$K$2),$K$2)</f>
        <v>152.992032929162</v>
      </c>
      <c r="M19" s="139" t="n">
        <f aca="false">'CP RESUMO'!R14</f>
        <v>0</v>
      </c>
      <c r="N19" s="140" t="n">
        <f aca="false">MAX(0,M19-M18)</f>
        <v>0</v>
      </c>
      <c r="O19" s="139" t="n">
        <f aca="false">IF(B19&lt;='VALOR POR PL'!$P$5,'CP RESUMO'!R56,"")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HISTORICOS'!S14)</f>
        <v>215160.73</v>
      </c>
      <c r="D20" s="45" t="n">
        <f aca="false">IF(B20&lt;='VALOR POR PL'!$P$5,0,IF($K$17&gt;0,$K$18*P20/$K$17,0))</f>
        <v>0</v>
      </c>
      <c r="E20" s="45" t="n">
        <f aca="false">L20+D20/$K$2</f>
        <v>172.517645794796</v>
      </c>
      <c r="F20" s="117" t="n">
        <f aca="false">IF($K$9=0,0,E20/$K$9)</f>
        <v>0.0104007496415089</v>
      </c>
      <c r="G20" s="117" t="n">
        <f aca="false">G19+F20</f>
        <v>0.106597459607624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172.517645794796</v>
      </c>
      <c r="M20" s="139" t="n">
        <f aca="false">'CP RESUMO'!S14</f>
        <v>0</v>
      </c>
      <c r="N20" s="140" t="n">
        <f aca="false">MAX(0,M20-M19)</f>
        <v>0</v>
      </c>
      <c r="O20" s="139" t="n">
        <f aca="false">IF(B20&lt;='VALOR POR PL'!$P$5,'CP RESUMO'!S56,"")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HISTORICOS'!T14)</f>
        <v>203548.11</v>
      </c>
      <c r="D21" s="45" t="n">
        <f aca="false">IF(B21&lt;='VALOR POR PL'!$P$5,0,IF($K$17&gt;0,$K$18*P21/$K$17,0))</f>
        <v>0</v>
      </c>
      <c r="E21" s="45" t="n">
        <f aca="false">L21+D21/$K$2</f>
        <v>161.590748873498</v>
      </c>
      <c r="F21" s="117" t="n">
        <f aca="false">IF($K$9=0,0,E21/$K$9)</f>
        <v>0.00974198851180875</v>
      </c>
      <c r="G21" s="117" t="n">
        <f aca="false">G20+F21</f>
        <v>0.116339448119433</v>
      </c>
      <c r="H21" s="138"/>
      <c r="K21" s="143"/>
      <c r="L21" s="45" t="n">
        <f aca="false">C21/IF(B21&lt;='VALOR POR PL'!$P$5,IFERROR(INDEX('"INCC-FGV"'!$B$2:$B$800,MATCH(B21,'"INCC-FGV"'!$A$2:$A$800,0)),$K$2),$K$2)</f>
        <v>161.590748873498</v>
      </c>
      <c r="M21" s="139" t="n">
        <f aca="false">'CP RESUMO'!T14</f>
        <v>0</v>
      </c>
      <c r="N21" s="140" t="n">
        <f aca="false">MAX(0,M21-M20)</f>
        <v>0</v>
      </c>
      <c r="O21" s="139" t="n">
        <f aca="false">IF(B21&lt;='VALOR POR PL'!$P$5,'CP RESUMO'!T56,"")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HISTORICOS'!U14)</f>
        <v>207785.71</v>
      </c>
      <c r="D22" s="45" t="n">
        <f aca="false">IF(B22&lt;='VALOR POR PL'!$P$5,0,IF($K$17&gt;0,$K$18*P22/$K$17,0))</f>
        <v>0</v>
      </c>
      <c r="E22" s="45" t="n">
        <f aca="false">L22+D22/$K$2</f>
        <v>163.521309204805</v>
      </c>
      <c r="F22" s="117" t="n">
        <f aca="false">IF($K$9=0,0,E22/$K$9)</f>
        <v>0.00985837819809994</v>
      </c>
      <c r="G22" s="117" t="n">
        <f aca="false">G21+F22</f>
        <v>0.126197826317533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163.521309204805</v>
      </c>
      <c r="M22" s="139" t="n">
        <f aca="false">'CP RESUMO'!U14</f>
        <v>0</v>
      </c>
      <c r="N22" s="140" t="n">
        <f aca="false">MAX(0,M22-M21)</f>
        <v>0</v>
      </c>
      <c r="O22" s="139" t="n">
        <f aca="false">IF(B22&lt;='VALOR POR PL'!$P$5,'CP RESUMO'!U56,"")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HISTORICOS'!V14)</f>
        <v>205254.17</v>
      </c>
      <c r="D23" s="45" t="n">
        <f aca="false">IF(B23&lt;='VALOR POR PL'!$P$5,0,IF($K$17&gt;0,$K$18*P23/$K$17,0))</f>
        <v>0</v>
      </c>
      <c r="E23" s="45" t="n">
        <f aca="false">L23+D23/$K$2</f>
        <v>160.274557819092</v>
      </c>
      <c r="F23" s="117" t="n">
        <f aca="false">IF($K$9=0,0,E23/$K$9)</f>
        <v>0.00966263794118042</v>
      </c>
      <c r="G23" s="117" t="n">
        <f aca="false">G22+F23</f>
        <v>0.135860464258713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160.274557819092</v>
      </c>
      <c r="M23" s="139" t="n">
        <f aca="false">'CP RESUMO'!V14</f>
        <v>0</v>
      </c>
      <c r="N23" s="140" t="n">
        <f aca="false">MAX(0,M23-M22)</f>
        <v>0</v>
      </c>
      <c r="O23" s="139" t="n">
        <f aca="false">IF(B23&lt;='VALOR POR PL'!$P$5,'CP RESUMO'!V56,"")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HISTORICOS'!W14)</f>
        <v>256382.45</v>
      </c>
      <c r="D24" s="45" t="n">
        <f aca="false">IF(B24&lt;='VALOR POR PL'!$P$5,0,IF($K$17&gt;0,$K$18*P24/$K$17,0))</f>
        <v>0</v>
      </c>
      <c r="E24" s="45" t="n">
        <f aca="false">L24+D24/$K$2</f>
        <v>198.988110345063</v>
      </c>
      <c r="F24" s="117" t="n">
        <f aca="false">IF($K$9=0,0,E24/$K$9)</f>
        <v>0.0119966019000613</v>
      </c>
      <c r="G24" s="117" t="n">
        <f aca="false">G23+F24</f>
        <v>0.147857066158775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198.988110345063</v>
      </c>
      <c r="M24" s="139" t="n">
        <f aca="false">'CP RESUMO'!W14</f>
        <v>0</v>
      </c>
      <c r="N24" s="140" t="n">
        <f aca="false">MAX(0,M24-M23)</f>
        <v>0</v>
      </c>
      <c r="O24" s="139" t="n">
        <f aca="false">IF(B24&lt;='VALOR POR PL'!$P$5,'CP RESUMO'!W56,"")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HISTORICOS'!X14)</f>
        <v>298850.74</v>
      </c>
      <c r="D25" s="45" t="n">
        <f aca="false">IF(B25&lt;='VALOR POR PL'!$P$5,0,IF($K$17&gt;0,$K$18*P25/$K$17,0))</f>
        <v>0</v>
      </c>
      <c r="E25" s="45" t="n">
        <f aca="false">L25+D25/$K$2</f>
        <v>230.436637214133</v>
      </c>
      <c r="F25" s="117" t="n">
        <f aca="false">IF($K$9=0,0,E25/$K$9)</f>
        <v>0.0138925717473923</v>
      </c>
      <c r="G25" s="117" t="n">
        <f aca="false">G24+F25</f>
        <v>0.161749637906167</v>
      </c>
      <c r="H25" s="138"/>
      <c r="L25" s="45" t="n">
        <f aca="false">C25/IF(B25&lt;='VALOR POR PL'!$P$5,IFERROR(INDEX('"INCC-FGV"'!$B$2:$B$800,MATCH(B25,'"INCC-FGV"'!$A$2:$A$800,0)),$K$2),$K$2)</f>
        <v>230.436637214133</v>
      </c>
      <c r="M25" s="139" t="n">
        <f aca="false">'CP RESUMO'!X14</f>
        <v>0</v>
      </c>
      <c r="N25" s="140" t="n">
        <f aca="false">MAX(0,M25-M24)</f>
        <v>0</v>
      </c>
      <c r="O25" s="139" t="n">
        <f aca="false">IF(B25&lt;='VALOR POR PL'!$P$5,'CP RESUMO'!X56,"")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HISTORICOS'!Y14)</f>
        <v>257613.12</v>
      </c>
      <c r="D26" s="45" t="n">
        <f aca="false">IF(B26&lt;='VALOR POR PL'!$P$5,0,IF($K$17&gt;0,$K$18*P26/$K$17,0))</f>
        <v>143245.476008312</v>
      </c>
      <c r="E26" s="45" t="n">
        <f aca="false">L26+D26/$K$2</f>
        <v>309.092448165041</v>
      </c>
      <c r="F26" s="117" t="n">
        <f aca="false">IF($K$9=0,0,E26/$K$9)</f>
        <v>0.0186345759277839</v>
      </c>
      <c r="G26" s="117" t="n">
        <f aca="false">G25+F26</f>
        <v>0.180384213833951</v>
      </c>
      <c r="H26" s="138" t="n">
        <v>140080.31</v>
      </c>
      <c r="L26" s="45" t="n">
        <f aca="false">C26/IF(B26&lt;='VALOR POR PL'!$P$5,IFERROR(INDEX('"INCC-FGV"'!$B$2:$B$800,MATCH(B26,'"INCC-FGV"'!$A$2:$A$800,0)),$K$2),$K$2)</f>
        <v>198.639297580595</v>
      </c>
      <c r="M26" s="139" t="n">
        <f aca="false">'CP RESUMO'!Y14</f>
        <v>0</v>
      </c>
      <c r="N26" s="140" t="n">
        <f aca="false">MAX(0,M26-M25)</f>
        <v>0</v>
      </c>
      <c r="O26" s="139" t="str">
        <f aca="false">IF(B26&lt;='VALOR POR PL'!$P$5,'CP RESUMO'!Y56,"")</f>
        <v/>
      </c>
      <c r="P26" s="66" t="n">
        <f aca="false">IF(B26&lt;='VALOR POR PL'!$P$5,0,IF(OR($K$16="CURVA PREVISION",$K$16="MDO PREVISION + MATERIAL PREMISSA"),N26,IF($K$16="PREVISÃO INFORMADA",MAX(0,H26),0)))</f>
        <v>140080.31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HISTORICOS'!Z14)</f>
        <v>128856.07</v>
      </c>
      <c r="D27" s="45" t="n">
        <f aca="false">IF(B27&lt;='VALOR POR PL'!$P$5,0,IF($K$17&gt;0,$K$18*P27/$K$17,0))</f>
        <v>257833.565611726</v>
      </c>
      <c r="E27" s="45" t="n">
        <f aca="false">L27+D27/$K$2</f>
        <v>298.167102667789</v>
      </c>
      <c r="F27" s="117" t="n">
        <f aca="false">IF($K$9=0,0,E27/$K$9)</f>
        <v>0.0179759083303889</v>
      </c>
      <c r="G27" s="117" t="n">
        <f aca="false">G26+F27</f>
        <v>0.19836012216434</v>
      </c>
      <c r="H27" s="138" t="n">
        <v>252136.45</v>
      </c>
      <c r="L27" s="45" t="n">
        <f aca="false">C27/IF(B27&lt;='VALOR POR PL'!$P$5,IFERROR(INDEX('"INCC-FGV"'!$B$2:$B$800,MATCH(B27,'"INCC-FGV"'!$A$2:$A$800,0)),$K$2),$K$2)</f>
        <v>99.357824763723</v>
      </c>
      <c r="M27" s="139" t="n">
        <f aca="false">'CP RESUMO'!Z14</f>
        <v>0</v>
      </c>
      <c r="N27" s="140" t="n">
        <f aca="false">MAX(0,M27-M26)</f>
        <v>0</v>
      </c>
      <c r="O27" s="139" t="str">
        <f aca="false">IF(B27&lt;='VALOR POR PL'!$P$5,'CP RESUMO'!Z56,"")</f>
        <v/>
      </c>
      <c r="P27" s="66" t="n">
        <f aca="false">IF(B27&lt;='VALOR POR PL'!$P$5,0,IF(OR($K$16="CURVA PREVISION",$K$16="MDO PREVISION + MATERIAL PREMISSA"),N27,IF($K$16="PREVISÃO INFORMADA",MAX(0,H27),0)))</f>
        <v>252136.45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HISTORICOS'!AA14)</f>
        <v>92763.43</v>
      </c>
      <c r="D28" s="45" t="n">
        <f aca="false">IF(B28&lt;='VALOR POR PL'!$P$5,0,IF($K$17&gt;0,$K$18*P28/$K$17,0))</f>
        <v>291076.382127563</v>
      </c>
      <c r="E28" s="45" t="n">
        <f aca="false">L28+D28/$K$2</f>
        <v>295.9696721366</v>
      </c>
      <c r="F28" s="117" t="n">
        <f aca="false">IF($K$9=0,0,E28/$K$9)</f>
        <v>0.0178434295644968</v>
      </c>
      <c r="G28" s="117" t="n">
        <f aca="false">G27+F28</f>
        <v>0.216203551728836</v>
      </c>
      <c r="H28" s="138" t="n">
        <v>284644.73</v>
      </c>
      <c r="L28" s="45" t="n">
        <f aca="false">C28/IF(B28&lt;='VALOR POR PL'!$P$5,IFERROR(INDEX('"INCC-FGV"'!$B$2:$B$800,MATCH(B28,'"INCC-FGV"'!$A$2:$A$800,0)),$K$2),$K$2)</f>
        <v>71.5276557978362</v>
      </c>
      <c r="M28" s="139" t="n">
        <f aca="false">'CP RESUMO'!AA14</f>
        <v>0</v>
      </c>
      <c r="N28" s="140" t="n">
        <f aca="false">MAX(0,M28-M27)</f>
        <v>0</v>
      </c>
      <c r="O28" s="139" t="str">
        <f aca="false">IF(B28&lt;='VALOR POR PL'!$P$5,'CP RESUMO'!AA56,"")</f>
        <v/>
      </c>
      <c r="P28" s="66" t="n">
        <f aca="false">IF(B28&lt;='VALOR POR PL'!$P$5,0,IF(OR($K$16="CURVA PREVISION",$K$16="MDO PREVISION + MATERIAL PREMISSA"),N28,IF($K$16="PREVISÃO INFORMADA",MAX(0,H28),0)))</f>
        <v>284644.73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HISTORICOS'!AB14)</f>
        <v>92720.76</v>
      </c>
      <c r="D29" s="45" t="n">
        <f aca="false">IF(B29&lt;='VALOR POR PL'!$P$5,0,IF($K$17&gt;0,$K$18*P29/$K$17,0))</f>
        <v>336196.735864222</v>
      </c>
      <c r="E29" s="45" t="n">
        <f aca="false">L29+D29/$K$2</f>
        <v>330.727992807574</v>
      </c>
      <c r="F29" s="117" t="n">
        <f aca="false">IF($K$9=0,0,E29/$K$9)</f>
        <v>0.0199389403720584</v>
      </c>
      <c r="G29" s="117" t="n">
        <f aca="false">G28+F29</f>
        <v>0.236142492100895</v>
      </c>
      <c r="H29" s="138" t="n">
        <v>328768.1</v>
      </c>
      <c r="L29" s="45" t="n">
        <f aca="false">C29/IF(B29&lt;='VALOR POR PL'!$P$5,IFERROR(INDEX('"INCC-FGV"'!$B$2:$B$800,MATCH(B29,'"INCC-FGV"'!$A$2:$A$800,0)),$K$2),$K$2)</f>
        <v>71.4947539843425</v>
      </c>
      <c r="M29" s="139" t="n">
        <f aca="false">'CP RESUMO'!AB14</f>
        <v>0</v>
      </c>
      <c r="N29" s="140" t="n">
        <f aca="false">MAX(0,M29-M28)</f>
        <v>0</v>
      </c>
      <c r="O29" s="139" t="str">
        <f aca="false">IF(B29&lt;='VALOR POR PL'!$P$5,'CP RESUMO'!AB56,"")</f>
        <v/>
      </c>
      <c r="P29" s="66" t="n">
        <f aca="false">IF(B29&lt;='VALOR POR PL'!$P$5,0,IF(OR($K$16="CURVA PREVISION",$K$16="MDO PREVISION + MATERIAL PREMISSA"),N29,IF($K$16="PREVISÃO INFORMADA",MAX(0,H29),0)))</f>
        <v>328768.1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HISTORICOS'!AC14)</f>
        <v>1930.87</v>
      </c>
      <c r="D30" s="45" t="n">
        <f aca="false">IF(B30&lt;='VALOR POR PL'!$P$5,0,IF($K$17&gt;0,$K$18*P30/$K$17,0))</f>
        <v>499629.5737903</v>
      </c>
      <c r="E30" s="45" t="n">
        <f aca="false">L30+D30/$K$2</f>
        <v>386.74122749927</v>
      </c>
      <c r="F30" s="117" t="n">
        <f aca="false">IF($K$9=0,0,E30/$K$9)</f>
        <v>0.023315868152144</v>
      </c>
      <c r="G30" s="117" t="n">
        <f aca="false">G29+F30</f>
        <v>0.259458360253039</v>
      </c>
      <c r="H30" s="138" t="n">
        <v>488589.71</v>
      </c>
      <c r="L30" s="45" t="n">
        <f aca="false">C30/IF(B30&lt;='VALOR POR PL'!$P$5,IFERROR(INDEX('"INCC-FGV"'!$B$2:$B$800,MATCH(B30,'"INCC-FGV"'!$A$2:$A$800,0)),$K$2),$K$2)</f>
        <v>1.48884754207955</v>
      </c>
      <c r="M30" s="139" t="n">
        <f aca="false">'CP RESUMO'!AC14</f>
        <v>0</v>
      </c>
      <c r="N30" s="140" t="n">
        <f aca="false">MAX(0,M30-M29)</f>
        <v>0</v>
      </c>
      <c r="O30" s="139" t="str">
        <f aca="false">IF(B30&lt;='VALOR POR PL'!$P$5,'CP RESUMO'!AC56,"")</f>
        <v/>
      </c>
      <c r="P30" s="66" t="n">
        <f aca="false">IF(B30&lt;='VALOR POR PL'!$P$5,0,IF(OR($K$16="CURVA PREVISION",$K$16="MDO PREVISION + MATERIAL PREMISSA"),N30,IF($K$16="PREVISÃO INFORMADA",MAX(0,H30),0)))</f>
        <v>488589.71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HISTORICOS'!AD14)</f>
        <v>1037.4</v>
      </c>
      <c r="D31" s="45" t="n">
        <f aca="false">IF(B31&lt;='VALOR POR PL'!$P$5,0,IF($K$17&gt;0,$K$18*P31/$K$17,0))</f>
        <v>449604.0141455</v>
      </c>
      <c r="E31" s="45" t="n">
        <f aca="false">L31+D31/$K$2</f>
        <v>347.478785112296</v>
      </c>
      <c r="F31" s="117" t="n">
        <f aca="false">IF($K$9=0,0,E31/$K$9)</f>
        <v>0.0209488127028318</v>
      </c>
      <c r="G31" s="117" t="n">
        <f aca="false">G30+F31</f>
        <v>0.280407172955871</v>
      </c>
      <c r="H31" s="138" t="n">
        <v>439669.52</v>
      </c>
      <c r="L31" s="45" t="n">
        <f aca="false">C31/IF(B31&lt;='VALOR POR PL'!$P$5,IFERROR(INDEX('"INCC-FGV"'!$B$2:$B$800,MATCH(B31,'"INCC-FGV"'!$A$2:$A$800,0)),$K$2),$K$2)</f>
        <v>0.799914256347305</v>
      </c>
      <c r="M31" s="139" t="n">
        <f aca="false">'CP RESUMO'!AD14</f>
        <v>0</v>
      </c>
      <c r="N31" s="140" t="n">
        <f aca="false">MAX(0,M31-M30)</f>
        <v>0</v>
      </c>
      <c r="O31" s="139" t="str">
        <f aca="false">IF(B31&lt;='VALOR POR PL'!$P$5,'CP RESUMO'!AD56,"")</f>
        <v/>
      </c>
      <c r="P31" s="66" t="n">
        <f aca="false">IF(B31&lt;='VALOR POR PL'!$P$5,0,IF(OR($K$16="CURVA PREVISION",$K$16="MDO PREVISION + MATERIAL PREMISSA"),N31,IF($K$16="PREVISÃO INFORMADA",MAX(0,H31),0)))</f>
        <v>439669.52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HISTORICOS'!AE14)</f>
        <v>4340.17</v>
      </c>
      <c r="D32" s="45" t="n">
        <f aca="false">IF(B32&lt;='VALOR POR PL'!$P$5,0,IF($K$17&gt;0,$K$18*P32/$K$17,0))</f>
        <v>447369.070615287</v>
      </c>
      <c r="E32" s="45" t="n">
        <f aca="false">L32+D32/$K$2</f>
        <v>348.30216048967</v>
      </c>
      <c r="F32" s="117" t="n">
        <f aca="false">IF($K$9=0,0,E32/$K$9)</f>
        <v>0.0209984523853211</v>
      </c>
      <c r="G32" s="117" t="n">
        <f aca="false">G31+F32</f>
        <v>0.301405625341192</v>
      </c>
      <c r="H32" s="138" t="n">
        <v>437483.96</v>
      </c>
      <c r="L32" s="45" t="n">
        <f aca="false">C32/IF(B32&lt;='VALOR POR PL'!$P$5,IFERROR(INDEX('"INCC-FGV"'!$B$2:$B$800,MATCH(B32,'"INCC-FGV"'!$A$2:$A$800,0)),$K$2),$K$2)</f>
        <v>3.34660098127134</v>
      </c>
      <c r="M32" s="139" t="n">
        <f aca="false">'CP RESUMO'!AE14</f>
        <v>0</v>
      </c>
      <c r="N32" s="140" t="n">
        <f aca="false">MAX(0,M32-M31)</f>
        <v>0</v>
      </c>
      <c r="O32" s="139" t="str">
        <f aca="false">IF(B32&lt;='VALOR POR PL'!$P$5,'CP RESUMO'!AE56,"")</f>
        <v/>
      </c>
      <c r="P32" s="66" t="n">
        <f aca="false">IF(B32&lt;='VALOR POR PL'!$P$5,0,IF(OR($K$16="CURVA PREVISION",$K$16="MDO PREVISION + MATERIAL PREMISSA"),N32,IF($K$16="PREVISÃO INFORMADA",MAX(0,H32),0)))</f>
        <v>437483.96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HISTORICOS'!AF14)</f>
        <v>0</v>
      </c>
      <c r="D33" s="45" t="n">
        <f aca="false">IF(B33&lt;='VALOR POR PL'!$P$5,0,IF($K$17&gt;0,$K$18*P33/$K$17,0))</f>
        <v>461166.050017755</v>
      </c>
      <c r="E33" s="45" t="n">
        <f aca="false">L33+D33/$K$2</f>
        <v>355.594079383629</v>
      </c>
      <c r="F33" s="117" t="n">
        <f aca="false">IF($K$9=0,0,E33/$K$9)</f>
        <v>0.0214380678372527</v>
      </c>
      <c r="G33" s="117" t="n">
        <f aca="false">G32+F33</f>
        <v>0.322843693178444</v>
      </c>
      <c r="H33" s="138" t="n">
        <v>450976.08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RESUMO'!AF14</f>
        <v>0</v>
      </c>
      <c r="N33" s="140" t="n">
        <f aca="false">MAX(0,M33-M32)</f>
        <v>0</v>
      </c>
      <c r="O33" s="139" t="str">
        <f aca="false">IF(B33&lt;='VALOR POR PL'!$P$5,'CP RESUMO'!AF56,"")</f>
        <v/>
      </c>
      <c r="P33" s="66" t="n">
        <f aca="false">IF(B33&lt;='VALOR POR PL'!$P$5,0,IF(OR($K$16="CURVA PREVISION",$K$16="MDO PREVISION + MATERIAL PREMISSA"),N33,IF($K$16="PREVISÃO INFORMADA",MAX(0,H33),0)))</f>
        <v>450976.08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HISTORICOS'!AG14)</f>
        <v>0</v>
      </c>
      <c r="D34" s="45" t="n">
        <f aca="false">IF(B34&lt;='VALOR POR PL'!$P$5,0,IF($K$17&gt;0,$K$18*P34/$K$17,0))</f>
        <v>466833.375800983</v>
      </c>
      <c r="E34" s="45" t="n">
        <f aca="false">L34+D34/$K$2</f>
        <v>359.964018355452</v>
      </c>
      <c r="F34" s="117" t="n">
        <f aca="false">IF($K$9=0,0,E34/$K$9)</f>
        <v>0.0217015228652019</v>
      </c>
      <c r="G34" s="117" t="n">
        <f aca="false">G33+F34</f>
        <v>0.344545216043646</v>
      </c>
      <c r="H34" s="138" t="n">
        <v>456518.18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RESUMO'!AG14</f>
        <v>0</v>
      </c>
      <c r="N34" s="140" t="n">
        <f aca="false">MAX(0,M34-M33)</f>
        <v>0</v>
      </c>
      <c r="O34" s="139" t="str">
        <f aca="false">IF(B34&lt;='VALOR POR PL'!$P$5,'CP RESUMO'!AG56,"")</f>
        <v/>
      </c>
      <c r="P34" s="66" t="n">
        <f aca="false">IF(B34&lt;='VALOR POR PL'!$P$5,0,IF(OR($K$16="CURVA PREVISION",$K$16="MDO PREVISION + MATERIAL PREMISSA"),N34,IF($K$16="PREVISÃO INFORMADA",MAX(0,H34),0)))</f>
        <v>456518.18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HISTORICOS'!AH14)</f>
        <v>0</v>
      </c>
      <c r="D35" s="45" t="n">
        <f aca="false">IF(B35&lt;='VALOR POR PL'!$P$5,0,IF($K$17&gt;0,$K$18*P35/$K$17,0))</f>
        <v>466833.375800983</v>
      </c>
      <c r="E35" s="45" t="n">
        <f aca="false">L35+D35/$K$2</f>
        <v>359.964018355452</v>
      </c>
      <c r="F35" s="117" t="n">
        <f aca="false">IF($K$9=0,0,E35/$K$9)</f>
        <v>0.0217015228652019</v>
      </c>
      <c r="G35" s="117" t="n">
        <f aca="false">G34+F35</f>
        <v>0.366246738908848</v>
      </c>
      <c r="H35" s="138" t="n">
        <v>456518.18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RESUMO'!AH14</f>
        <v>0</v>
      </c>
      <c r="N35" s="140" t="n">
        <f aca="false">MAX(0,M35-M34)</f>
        <v>0</v>
      </c>
      <c r="O35" s="139" t="str">
        <f aca="false">IF(B35&lt;='VALOR POR PL'!$P$5,'CP RESUMO'!AH56,"")</f>
        <v/>
      </c>
      <c r="P35" s="66" t="n">
        <f aca="false">IF(B35&lt;='VALOR POR PL'!$P$5,0,IF(OR($K$16="CURVA PREVISION",$K$16="MDO PREVISION + MATERIAL PREMISSA"),N35,IF($K$16="PREVISÃO INFORMADA",MAX(0,H35),0)))</f>
        <v>456518.18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HISTORICOS'!AI14)</f>
        <v>0</v>
      </c>
      <c r="D36" s="45" t="n">
        <f aca="false">IF(B36&lt;='VALOR POR PL'!$P$5,0,IF($K$17&gt;0,$K$18*P36/$K$17,0))</f>
        <v>466833.375800983</v>
      </c>
      <c r="E36" s="45" t="n">
        <f aca="false">L36+D36/$K$2</f>
        <v>359.964018355452</v>
      </c>
      <c r="F36" s="117" t="n">
        <f aca="false">IF($K$9=0,0,E36/$K$9)</f>
        <v>0.0217015228652019</v>
      </c>
      <c r="G36" s="117" t="n">
        <f aca="false">G35+F36</f>
        <v>0.38794826177405</v>
      </c>
      <c r="H36" s="138" t="n">
        <v>456518.18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RESUMO'!AI14</f>
        <v>0</v>
      </c>
      <c r="N36" s="140" t="n">
        <f aca="false">MAX(0,M36-M35)</f>
        <v>0</v>
      </c>
      <c r="O36" s="139" t="str">
        <f aca="false">IF(B36&lt;='VALOR POR PL'!$P$5,'CP RESUMO'!AI56,"")</f>
        <v/>
      </c>
      <c r="P36" s="66" t="n">
        <f aca="false">IF(B36&lt;='VALOR POR PL'!$P$5,0,IF(OR($K$16="CURVA PREVISION",$K$16="MDO PREVISION + MATERIAL PREMISSA"),N36,IF($K$16="PREVISÃO INFORMADA",MAX(0,H36),0)))</f>
        <v>456518.18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HISTORICOS'!AJ14)</f>
        <v>0</v>
      </c>
      <c r="D37" s="45" t="n">
        <f aca="false">IF(B37&lt;='VALOR POR PL'!$P$5,0,IF($K$17&gt;0,$K$18*P37/$K$17,0))</f>
        <v>475091.09926398</v>
      </c>
      <c r="E37" s="45" t="n">
        <f aca="false">L37+D37/$K$2</f>
        <v>366.331350843426</v>
      </c>
      <c r="F37" s="117" t="n">
        <f aca="false">IF($K$9=0,0,E37/$K$9)</f>
        <v>0.0220853968207417</v>
      </c>
      <c r="G37" s="117" t="n">
        <f aca="false">G36+F37</f>
        <v>0.410033658594792</v>
      </c>
      <c r="H37" s="138" t="n">
        <v>464593.44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RESUMO'!AJ14</f>
        <v>0</v>
      </c>
      <c r="N37" s="140" t="n">
        <f aca="false">MAX(0,M37-M36)</f>
        <v>0</v>
      </c>
      <c r="O37" s="139" t="str">
        <f aca="false">IF(B37&lt;='VALOR POR PL'!$P$5,'CP RESUMO'!AJ56,"")</f>
        <v/>
      </c>
      <c r="P37" s="66" t="n">
        <f aca="false">IF(B37&lt;='VALOR POR PL'!$P$5,0,IF(OR($K$16="CURVA PREVISION",$K$16="MDO PREVISION + MATERIAL PREMISSA"),N37,IF($K$16="PREVISÃO INFORMADA",MAX(0,H37),0)))</f>
        <v>464593.44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HISTORICOS'!AK14)</f>
        <v>0</v>
      </c>
      <c r="D38" s="45" t="n">
        <f aca="false">IF(B38&lt;='VALOR POR PL'!$P$5,0,IF($K$17&gt;0,$K$18*P38/$K$17,0))</f>
        <v>475091.09926398</v>
      </c>
      <c r="E38" s="45" t="n">
        <f aca="false">L38+D38/$K$2</f>
        <v>366.331350843426</v>
      </c>
      <c r="F38" s="117" t="n">
        <f aca="false">IF($K$9=0,0,E38/$K$9)</f>
        <v>0.0220853968207417</v>
      </c>
      <c r="G38" s="117" t="n">
        <f aca="false">G37+F38</f>
        <v>0.432119055415533</v>
      </c>
      <c r="H38" s="138" t="n">
        <v>464593.44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RESUMO'!AK14</f>
        <v>0</v>
      </c>
      <c r="N38" s="140" t="n">
        <f aca="false">MAX(0,M38-M37)</f>
        <v>0</v>
      </c>
      <c r="O38" s="139" t="str">
        <f aca="false">IF(B38&lt;='VALOR POR PL'!$P$5,'CP RESUMO'!AK56,"")</f>
        <v/>
      </c>
      <c r="P38" s="66" t="n">
        <f aca="false">IF(B38&lt;='VALOR POR PL'!$P$5,0,IF(OR($K$16="CURVA PREVISION",$K$16="MDO PREVISION + MATERIAL PREMISSA"),N38,IF($K$16="PREVISÃO INFORMADA",MAX(0,H38),0)))</f>
        <v>464593.44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HISTORICOS'!AL14)</f>
        <v>863.52</v>
      </c>
      <c r="D39" s="45" t="n">
        <f aca="false">IF(B39&lt;='VALOR POR PL'!$P$5,0,IF($K$17&gt;0,$K$18*P39/$K$17,0))</f>
        <v>474208.067712703</v>
      </c>
      <c r="E39" s="45" t="n">
        <f aca="false">L39+D39/$K$2</f>
        <v>366.316305954251</v>
      </c>
      <c r="F39" s="117" t="n">
        <f aca="false">IF($K$9=0,0,E39/$K$9)</f>
        <v>0.0220844897939563</v>
      </c>
      <c r="G39" s="117" t="n">
        <f aca="false">G38+F39</f>
        <v>0.45420354520949</v>
      </c>
      <c r="H39" s="138" t="n">
        <v>463729.92</v>
      </c>
      <c r="L39" s="45" t="n">
        <f aca="false">C39/IF(B39&lt;='VALOR POR PL'!$P$5,IFERROR(INDEX('"INCC-FGV"'!$B$2:$B$800,MATCH(B39,'"INCC-FGV"'!$A$2:$A$800,0)),$K$2),$K$2)</f>
        <v>0.665839559129579</v>
      </c>
      <c r="M39" s="139" t="n">
        <f aca="false">'CP RESUMO'!AL14</f>
        <v>0</v>
      </c>
      <c r="N39" s="140" t="n">
        <f aca="false">MAX(0,M39-M38)</f>
        <v>0</v>
      </c>
      <c r="O39" s="139" t="str">
        <f aca="false">IF(B39&lt;='VALOR POR PL'!$P$5,'CP RESUMO'!AL56,"")</f>
        <v/>
      </c>
      <c r="P39" s="66" t="n">
        <f aca="false">IF(B39&lt;='VALOR POR PL'!$P$5,0,IF(OR($K$16="CURVA PREVISION",$K$16="MDO PREVISION + MATERIAL PREMISSA"),N39,IF($K$16="PREVISÃO INFORMADA",MAX(0,H39),0)))</f>
        <v>463729.92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HISTORICOS'!AM14)</f>
        <v>0</v>
      </c>
      <c r="D40" s="45" t="n">
        <f aca="false">IF(B40&lt;='VALOR POR PL'!$P$5,0,IF($K$17&gt;0,$K$18*P40/$K$17,0))</f>
        <v>605617.718165211</v>
      </c>
      <c r="E40" s="45" t="n">
        <f aca="false">L40+D40/$K$2</f>
        <v>466.977295794174</v>
      </c>
      <c r="F40" s="117" t="n">
        <f aca="false">IF($K$9=0,0,E40/$K$9)</f>
        <v>0.0281531429405267</v>
      </c>
      <c r="G40" s="117" t="n">
        <f aca="false">G39+F40</f>
        <v>0.482356688150016</v>
      </c>
      <c r="H40" s="138" t="n">
        <v>592235.93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RESUMO'!AM14</f>
        <v>0</v>
      </c>
      <c r="N40" s="140" t="n">
        <f aca="false">MAX(0,M40-M39)</f>
        <v>0</v>
      </c>
      <c r="O40" s="139" t="str">
        <f aca="false">IF(B40&lt;='VALOR POR PL'!$P$5,'CP RESUMO'!AM56,"")</f>
        <v/>
      </c>
      <c r="P40" s="66" t="n">
        <f aca="false">IF(B40&lt;='VALOR POR PL'!$P$5,0,IF(OR($K$16="CURVA PREVISION",$K$16="MDO PREVISION + MATERIAL PREMISSA"),N40,IF($K$16="PREVISÃO INFORMADA",MAX(0,H40),0)))</f>
        <v>592235.93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HISTORICOS'!AN14)</f>
        <v>8451.69</v>
      </c>
      <c r="D41" s="45" t="n">
        <f aca="false">IF(B41&lt;='VALOR POR PL'!$P$5,0,IF($K$17&gt;0,$K$18*P41/$K$17,0))</f>
        <v>596975.059128229</v>
      </c>
      <c r="E41" s="45" t="n">
        <f aca="false">L41+D41/$K$2</f>
        <v>466.830044150447</v>
      </c>
      <c r="F41" s="117" t="n">
        <f aca="false">IF($K$9=0,0,E41/$K$9)</f>
        <v>0.028144265428469</v>
      </c>
      <c r="G41" s="117" t="n">
        <f aca="false">G40+F41</f>
        <v>0.510500953578486</v>
      </c>
      <c r="H41" s="138" t="n">
        <v>583784.24</v>
      </c>
      <c r="L41" s="45" t="n">
        <f aca="false">C41/IF(B41&lt;='VALOR POR PL'!$P$5,IFERROR(INDEX('"INCC-FGV"'!$B$2:$B$800,MATCH(B41,'"INCC-FGV"'!$A$2:$A$800,0)),$K$2),$K$2)</f>
        <v>6.51689543206859</v>
      </c>
      <c r="M41" s="139" t="n">
        <f aca="false">'CP RESUMO'!AN14</f>
        <v>0</v>
      </c>
      <c r="N41" s="140" t="n">
        <f aca="false">MAX(0,M41-M40)</f>
        <v>0</v>
      </c>
      <c r="O41" s="139" t="str">
        <f aca="false">IF(B41&lt;='VALOR POR PL'!$P$5,'CP RESUMO'!AN56,"")</f>
        <v/>
      </c>
      <c r="P41" s="66" t="n">
        <f aca="false">IF(B41&lt;='VALOR POR PL'!$P$5,0,IF(OR($K$16="CURVA PREVISION",$K$16="MDO PREVISION + MATERIAL PREMISSA"),N41,IF($K$16="PREVISÃO INFORMADA",MAX(0,H41),0)))</f>
        <v>583784.24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HISTORICOS'!AO14)</f>
        <v>0</v>
      </c>
      <c r="D42" s="45" t="n">
        <f aca="false">IF(B42&lt;='VALOR POR PL'!$P$5,0,IF($K$17&gt;0,$K$18*P42/$K$17,0))</f>
        <v>475091.09926398</v>
      </c>
      <c r="E42" s="45" t="n">
        <f aca="false">L42+D42/$K$2</f>
        <v>366.331350843426</v>
      </c>
      <c r="F42" s="117" t="n">
        <f aca="false">IF($K$9=0,0,E42/$K$9)</f>
        <v>0.0220853968207417</v>
      </c>
      <c r="G42" s="117" t="n">
        <f aca="false">G41+F42</f>
        <v>0.532586350399227</v>
      </c>
      <c r="H42" s="138" t="n">
        <v>464593.44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RESUMO'!AO14</f>
        <v>0</v>
      </c>
      <c r="N42" s="140" t="n">
        <f aca="false">MAX(0,M42-M41)</f>
        <v>0</v>
      </c>
      <c r="O42" s="139" t="str">
        <f aca="false">IF(B42&lt;='VALOR POR PL'!$P$5,'CP RESUMO'!AO56,"")</f>
        <v/>
      </c>
      <c r="P42" s="66" t="n">
        <f aca="false">IF(B42&lt;='VALOR POR PL'!$P$5,0,IF(OR($K$16="CURVA PREVISION",$K$16="MDO PREVISION + MATERIAL PREMISSA"),N42,IF($K$16="PREVISÃO INFORMADA",MAX(0,H42),0)))</f>
        <v>464593.44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HISTORICOS'!AP14)</f>
        <v>0</v>
      </c>
      <c r="D43" s="45" t="n">
        <f aca="false">IF(B43&lt;='VALOR POR PL'!$P$5,0,IF($K$17&gt;0,$K$18*P43/$K$17,0))</f>
        <v>475091.09926398</v>
      </c>
      <c r="E43" s="45" t="n">
        <f aca="false">L43+D43/$K$2</f>
        <v>366.331350843426</v>
      </c>
      <c r="F43" s="117" t="n">
        <f aca="false">IF($K$9=0,0,E43/$K$9)</f>
        <v>0.0220853968207417</v>
      </c>
      <c r="G43" s="117" t="n">
        <f aca="false">G42+F43</f>
        <v>0.554671747219969</v>
      </c>
      <c r="H43" s="138" t="n">
        <v>464593.44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RESUMO'!AP14</f>
        <v>0</v>
      </c>
      <c r="N43" s="140" t="n">
        <f aca="false">MAX(0,M43-M42)</f>
        <v>0</v>
      </c>
      <c r="O43" s="139" t="str">
        <f aca="false">IF(B43&lt;='VALOR POR PL'!$P$5,'CP RESUMO'!AP56,"")</f>
        <v/>
      </c>
      <c r="P43" s="66" t="n">
        <f aca="false">IF(B43&lt;='VALOR POR PL'!$P$5,0,IF(OR($K$16="CURVA PREVISION",$K$16="MDO PREVISION + MATERIAL PREMISSA"),N43,IF($K$16="PREVISÃO INFORMADA",MAX(0,H43),0)))</f>
        <v>464593.44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HISTORICOS'!AQ14)</f>
        <v>0</v>
      </c>
      <c r="D44" s="45" t="n">
        <f aca="false">IF(B44&lt;='VALOR POR PL'!$P$5,0,IF($K$17&gt;0,$K$18*P44/$K$17,0))</f>
        <v>475091.09926398</v>
      </c>
      <c r="E44" s="45" t="n">
        <f aca="false">L44+D44/$K$2</f>
        <v>366.331350843426</v>
      </c>
      <c r="F44" s="117" t="n">
        <f aca="false">IF($K$9=0,0,E44/$K$9)</f>
        <v>0.0220853968207417</v>
      </c>
      <c r="G44" s="117" t="n">
        <f aca="false">G43+F44</f>
        <v>0.576757144040711</v>
      </c>
      <c r="H44" s="138" t="n">
        <v>464593.44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RESUMO'!AQ14</f>
        <v>0</v>
      </c>
      <c r="N44" s="140" t="n">
        <f aca="false">MAX(0,M44-M43)</f>
        <v>0</v>
      </c>
      <c r="O44" s="139" t="str">
        <f aca="false">IF(B44&lt;='VALOR POR PL'!$P$5,'CP RESUMO'!AQ56,"")</f>
        <v/>
      </c>
      <c r="P44" s="66" t="n">
        <f aca="false">IF(B44&lt;='VALOR POR PL'!$P$5,0,IF(OR($K$16="CURVA PREVISION",$K$16="MDO PREVISION + MATERIAL PREMISSA"),N44,IF($K$16="PREVISÃO INFORMADA",MAX(0,H44),0)))</f>
        <v>464593.44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HISTORICOS'!AR14)</f>
        <v>0</v>
      </c>
      <c r="D45" s="45" t="n">
        <f aca="false">IF(B45&lt;='VALOR POR PL'!$P$5,0,IF($K$17&gt;0,$K$18*P45/$K$17,0))</f>
        <v>456548.121826054</v>
      </c>
      <c r="E45" s="45" t="n">
        <f aca="false">L45+D45/$K$2</f>
        <v>352.033305723199</v>
      </c>
      <c r="F45" s="117" t="n">
        <f aca="false">IF($K$9=0,0,E45/$K$9)</f>
        <v>0.0212233957948562</v>
      </c>
      <c r="G45" s="117" t="n">
        <f aca="false">G44+F45</f>
        <v>0.597980539835567</v>
      </c>
      <c r="H45" s="138" t="n">
        <v>446460.19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RESUMO'!AR14</f>
        <v>0</v>
      </c>
      <c r="N45" s="140" t="n">
        <f aca="false">MAX(0,M45-M44)</f>
        <v>0</v>
      </c>
      <c r="O45" s="139" t="str">
        <f aca="false">IF(B45&lt;='VALOR POR PL'!$P$5,'CP RESUMO'!AR56,"")</f>
        <v/>
      </c>
      <c r="P45" s="66" t="n">
        <f aca="false">IF(B45&lt;='VALOR POR PL'!$P$5,0,IF(OR($K$16="CURVA PREVISION",$K$16="MDO PREVISION + MATERIAL PREMISSA"),N45,IF($K$16="PREVISÃO INFORMADA",MAX(0,H45),0)))</f>
        <v>446460.19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HISTORICOS'!AS14)</f>
        <v>0</v>
      </c>
      <c r="D46" s="45" t="n">
        <f aca="false">IF(B46&lt;='VALOR POR PL'!$P$5,0,IF($K$17&gt;0,$K$18*P46/$K$17,0))</f>
        <v>456548.121826054</v>
      </c>
      <c r="E46" s="45" t="n">
        <f aca="false">L46+D46/$K$2</f>
        <v>352.033305723199</v>
      </c>
      <c r="F46" s="117" t="n">
        <f aca="false">IF($K$9=0,0,E46/$K$9)</f>
        <v>0.0212233957948562</v>
      </c>
      <c r="G46" s="117" t="n">
        <f aca="false">G45+F46</f>
        <v>0.619203935630423</v>
      </c>
      <c r="H46" s="138" t="n">
        <v>446460.19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RESUMO'!AS14</f>
        <v>0</v>
      </c>
      <c r="N46" s="140" t="n">
        <f aca="false">MAX(0,M46-M45)</f>
        <v>0</v>
      </c>
      <c r="O46" s="139" t="str">
        <f aca="false">IF(B46&lt;='VALOR POR PL'!$P$5,'CP RESUMO'!AS56,"")</f>
        <v/>
      </c>
      <c r="P46" s="66" t="n">
        <f aca="false">IF(B46&lt;='VALOR POR PL'!$P$5,0,IF(OR($K$16="CURVA PREVISION",$K$16="MDO PREVISION + MATERIAL PREMISSA"),N46,IF($K$16="PREVISÃO INFORMADA",MAX(0,H46),0)))</f>
        <v>446460.19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HISTORICOS'!AT14)</f>
        <v>0</v>
      </c>
      <c r="D47" s="45" t="n">
        <f aca="false">IF(B47&lt;='VALOR POR PL'!$P$5,0,IF($K$17&gt;0,$K$18*P47/$K$17,0))</f>
        <v>456548.121826054</v>
      </c>
      <c r="E47" s="45" t="n">
        <f aca="false">L47+D47/$K$2</f>
        <v>352.033305723199</v>
      </c>
      <c r="F47" s="117" t="n">
        <f aca="false">IF($K$9=0,0,E47/$K$9)</f>
        <v>0.0212233957948562</v>
      </c>
      <c r="G47" s="117" t="n">
        <f aca="false">G46+F47</f>
        <v>0.640427331425279</v>
      </c>
      <c r="H47" s="138" t="n">
        <v>446460.19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RESUMO'!AT14</f>
        <v>0</v>
      </c>
      <c r="N47" s="140" t="n">
        <f aca="false">MAX(0,M47-M46)</f>
        <v>0</v>
      </c>
      <c r="O47" s="139" t="str">
        <f aca="false">IF(B47&lt;='VALOR POR PL'!$P$5,'CP RESUMO'!AT56,"")</f>
        <v/>
      </c>
      <c r="P47" s="66" t="n">
        <f aca="false">IF(B47&lt;='VALOR POR PL'!$P$5,0,IF(OR($K$16="CURVA PREVISION",$K$16="MDO PREVISION + MATERIAL PREMISSA"),N47,IF($K$16="PREVISÃO INFORMADA",MAX(0,H47),0)))</f>
        <v>446460.19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HISTORICOS'!AU14)</f>
        <v>0</v>
      </c>
      <c r="D48" s="45" t="n">
        <f aca="false">IF(B48&lt;='VALOR POR PL'!$P$5,0,IF($K$17&gt;0,$K$18*P48/$K$17,0))</f>
        <v>439929.495027534</v>
      </c>
      <c r="E48" s="45" t="n">
        <f aca="false">L48+D48/$K$2</f>
        <v>339.219081222475</v>
      </c>
      <c r="F48" s="117" t="n">
        <f aca="false">IF($K$9=0,0,E48/$K$9)</f>
        <v>0.0204508513964666</v>
      </c>
      <c r="G48" s="117" t="n">
        <f aca="false">G47+F48</f>
        <v>0.660878182821746</v>
      </c>
      <c r="H48" s="138" t="n">
        <v>430208.77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RESUMO'!AU14</f>
        <v>0</v>
      </c>
      <c r="N48" s="140" t="n">
        <f aca="false">MAX(0,M48-M47)</f>
        <v>0</v>
      </c>
      <c r="O48" s="139" t="str">
        <f aca="false">IF(B48&lt;='VALOR POR PL'!$P$5,'CP RESUMO'!AU56,"")</f>
        <v/>
      </c>
      <c r="P48" s="66" t="n">
        <f aca="false">IF(B48&lt;='VALOR POR PL'!$P$5,0,IF(OR($K$16="CURVA PREVISION",$K$16="MDO PREVISION + MATERIAL PREMISSA"),N48,IF($K$16="PREVISÃO INFORMADA",MAX(0,H48),0)))</f>
        <v>430208.77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HISTORICOS'!AV14)</f>
        <v>0</v>
      </c>
      <c r="D49" s="45" t="n">
        <f aca="false">IF(B49&lt;='VALOR POR PL'!$P$5,0,IF($K$17&gt;0,$K$18*P49/$K$17,0))</f>
        <v>418268.051662341</v>
      </c>
      <c r="E49" s="45" t="n">
        <f aca="false">L49+D49/$K$2</f>
        <v>322.516461826989</v>
      </c>
      <c r="F49" s="117" t="n">
        <f aca="false">IF($K$9=0,0,E49/$K$9)</f>
        <v>0.0194438833156681</v>
      </c>
      <c r="G49" s="117" t="n">
        <f aca="false">G48+F49</f>
        <v>0.680322066137414</v>
      </c>
      <c r="H49" s="138" t="n">
        <v>409025.96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RESUMO'!AV14</f>
        <v>0</v>
      </c>
      <c r="N49" s="140" t="n">
        <f aca="false">MAX(0,M49-M48)</f>
        <v>0</v>
      </c>
      <c r="O49" s="139" t="str">
        <f aca="false">IF(B49&lt;='VALOR POR PL'!$P$5,'CP RESUMO'!AV56,"")</f>
        <v/>
      </c>
      <c r="P49" s="66" t="n">
        <f aca="false">IF(B49&lt;='VALOR POR PL'!$P$5,0,IF(OR($K$16="CURVA PREVISION",$K$16="MDO PREVISION + MATERIAL PREMISSA"),N49,IF($K$16="PREVISÃO INFORMADA",MAX(0,H49),0)))</f>
        <v>409025.96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HISTORICOS'!AW14)</f>
        <v>0</v>
      </c>
      <c r="D50" s="45" t="n">
        <f aca="false">IF(B50&lt;='VALOR POR PL'!$P$5,0,IF($K$17&gt;0,$K$18*P50/$K$17,0))</f>
        <v>418268.051662341</v>
      </c>
      <c r="E50" s="45" t="n">
        <f aca="false">L50+D50/$K$2</f>
        <v>322.516461826989</v>
      </c>
      <c r="F50" s="117" t="n">
        <f aca="false">IF($K$9=0,0,E50/$K$9)</f>
        <v>0.0194438833156681</v>
      </c>
      <c r="G50" s="117" t="n">
        <f aca="false">G49+F50</f>
        <v>0.699765949453082</v>
      </c>
      <c r="H50" s="138" t="n">
        <v>409025.96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RESUMO'!AW14</f>
        <v>0</v>
      </c>
      <c r="N50" s="140" t="n">
        <f aca="false">MAX(0,M50-M49)</f>
        <v>0</v>
      </c>
      <c r="O50" s="139" t="str">
        <f aca="false">IF(B50&lt;='VALOR POR PL'!$P$5,'CP RESUMO'!AW56,"")</f>
        <v/>
      </c>
      <c r="P50" s="66" t="n">
        <f aca="false">IF(B50&lt;='VALOR POR PL'!$P$5,0,IF(OR($K$16="CURVA PREVISION",$K$16="MDO PREVISION + MATERIAL PREMISSA"),N50,IF($K$16="PREVISÃO INFORMADA",MAX(0,H50),0)))</f>
        <v>409025.96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HISTORICOS'!AX14)</f>
        <v>0</v>
      </c>
      <c r="D51" s="45" t="n">
        <f aca="false">IF(B51&lt;='VALOR POR PL'!$P$5,0,IF($K$17&gt;0,$K$18*P51/$K$17,0))</f>
        <v>418268.051662341</v>
      </c>
      <c r="E51" s="45" t="n">
        <f aca="false">L51+D51/$K$2</f>
        <v>322.516461826989</v>
      </c>
      <c r="F51" s="117" t="n">
        <f aca="false">IF($K$9=0,0,E51/$K$9)</f>
        <v>0.0194438833156681</v>
      </c>
      <c r="G51" s="117" t="n">
        <f aca="false">G50+F51</f>
        <v>0.71920983276875</v>
      </c>
      <c r="H51" s="138" t="n">
        <v>409025.96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RESUMO'!AX14</f>
        <v>0</v>
      </c>
      <c r="N51" s="140" t="n">
        <f aca="false">MAX(0,M51-M50)</f>
        <v>0</v>
      </c>
      <c r="O51" s="139" t="str">
        <f aca="false">IF(B51&lt;='VALOR POR PL'!$P$5,'CP RESUMO'!AX56,"")</f>
        <v/>
      </c>
      <c r="P51" s="66" t="n">
        <f aca="false">IF(B51&lt;='VALOR POR PL'!$P$5,0,IF(OR($K$16="CURVA PREVISION",$K$16="MDO PREVISION + MATERIAL PREMISSA"),N51,IF($K$16="PREVISÃO INFORMADA",MAX(0,H51),0)))</f>
        <v>409025.96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HISTORICOS'!AY14)</f>
        <v>0</v>
      </c>
      <c r="D52" s="45" t="n">
        <f aca="false">IF(B52&lt;='VALOR POR PL'!$P$5,0,IF($K$17&gt;0,$K$18*P52/$K$17,0))</f>
        <v>593611.783870112</v>
      </c>
      <c r="E52" s="45" t="n">
        <f aca="false">L52+D52/$K$2</f>
        <v>457.719807840233</v>
      </c>
      <c r="F52" s="117" t="n">
        <f aca="false">IF($K$9=0,0,E52/$K$9)</f>
        <v>0.0275950271948902</v>
      </c>
      <c r="G52" s="117" t="n">
        <f aca="false">G51+F52</f>
        <v>0.74680485996364</v>
      </c>
      <c r="H52" s="138" t="n">
        <v>580495.28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RESUMO'!AY14</f>
        <v>0</v>
      </c>
      <c r="N52" s="140" t="n">
        <f aca="false">MAX(0,M52-M51)</f>
        <v>0</v>
      </c>
      <c r="O52" s="139" t="str">
        <f aca="false">IF(B52&lt;='VALOR POR PL'!$P$5,'CP RESUMO'!AY56,"")</f>
        <v/>
      </c>
      <c r="P52" s="66" t="n">
        <f aca="false">IF(B52&lt;='VALOR POR PL'!$P$5,0,IF(OR($K$16="CURVA PREVISION",$K$16="MDO PREVISION + MATERIAL PREMISSA"),N52,IF($K$16="PREVISÃO INFORMADA",MAX(0,H52),0)))</f>
        <v>580495.28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HISTORICOS'!AZ14)</f>
        <v>0</v>
      </c>
      <c r="D53" s="45" t="n">
        <f aca="false">IF(B53&lt;='VALOR POR PL'!$P$5,0,IF($K$17&gt;0,$K$18*P53/$K$17,0))</f>
        <v>619449.762362811</v>
      </c>
      <c r="E53" s="45" t="n">
        <f aca="false">L53+D53/$K$2</f>
        <v>477.642853291848</v>
      </c>
      <c r="F53" s="117" t="n">
        <f aca="false">IF($K$9=0,0,E53/$K$9)</f>
        <v>0.0287961484302514</v>
      </c>
      <c r="G53" s="117" t="n">
        <f aca="false">G52+F53</f>
        <v>0.775601008393891</v>
      </c>
      <c r="H53" s="138" t="n">
        <v>605762.34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RESUMO'!AZ14</f>
        <v>0</v>
      </c>
      <c r="N53" s="140" t="n">
        <f aca="false">MAX(0,M53-M52)</f>
        <v>0</v>
      </c>
      <c r="O53" s="139" t="str">
        <f aca="false">IF(B53&lt;='VALOR POR PL'!$P$5,'CP RESUMO'!AZ56,"")</f>
        <v/>
      </c>
      <c r="P53" s="66" t="n">
        <f aca="false">IF(B53&lt;='VALOR POR PL'!$P$5,0,IF(OR($K$16="CURVA PREVISION",$K$16="MDO PREVISION + MATERIAL PREMISSA"),N53,IF($K$16="PREVISÃO INFORMADA",MAX(0,H53),0)))</f>
        <v>605762.34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HISTORICOS'!BA14)</f>
        <v>0</v>
      </c>
      <c r="D54" s="45" t="n">
        <f aca="false">IF(B54&lt;='VALOR POR PL'!$P$5,0,IF($K$17&gt;0,$K$18*P54/$K$17,0))</f>
        <v>484171.694992816</v>
      </c>
      <c r="E54" s="45" t="n">
        <f aca="false">L54+D54/$K$2</f>
        <v>373.333180397718</v>
      </c>
      <c r="F54" s="117" t="n">
        <f aca="false">IF($K$9=0,0,E54/$K$9)</f>
        <v>0.0225075233567909</v>
      </c>
      <c r="G54" s="117" t="n">
        <f aca="false">G53+F54</f>
        <v>0.798108531750682</v>
      </c>
      <c r="H54" s="138" t="n">
        <v>473473.39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RESUMO'!BA14</f>
        <v>0</v>
      </c>
      <c r="N54" s="140" t="n">
        <f aca="false">MAX(0,M54-M53)</f>
        <v>0</v>
      </c>
      <c r="O54" s="139" t="str">
        <f aca="false">IF(B54&lt;='VALOR POR PL'!$P$5,'CP RESUMO'!BA56,"")</f>
        <v/>
      </c>
      <c r="P54" s="66" t="n">
        <f aca="false">IF(B54&lt;='VALOR POR PL'!$P$5,0,IF(OR($K$16="CURVA PREVISION",$K$16="MDO PREVISION + MATERIAL PREMISSA"),N54,IF($K$16="PREVISÃO INFORMADA",MAX(0,H54),0)))</f>
        <v>473473.39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HISTORICOS'!BB14)</f>
        <v>0</v>
      </c>
      <c r="D55" s="45" t="n">
        <f aca="false">IF(B55&lt;='VALOR POR PL'!$P$5,0,IF($K$17&gt;0,$K$18*P55/$K$17,0))</f>
        <v>447814.963099096</v>
      </c>
      <c r="E55" s="45" t="n">
        <f aca="false">L55+D55/$K$2</f>
        <v>345.299376507239</v>
      </c>
      <c r="F55" s="117" t="n">
        <f aca="false">IF($K$9=0,0,E55/$K$9)</f>
        <v>0.0208174204434295</v>
      </c>
      <c r="G55" s="117" t="n">
        <f aca="false">G54+F55</f>
        <v>0.818925952194112</v>
      </c>
      <c r="H55" s="138" t="n">
        <v>437920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RESUMO'!BB14</f>
        <v>0</v>
      </c>
      <c r="N55" s="140" t="n">
        <f aca="false">MAX(0,M55-M54)</f>
        <v>0</v>
      </c>
      <c r="O55" s="139" t="str">
        <f aca="false">IF(B55&lt;='VALOR POR PL'!$P$5,'CP RESUMO'!BB56,"")</f>
        <v/>
      </c>
      <c r="P55" s="66" t="n">
        <f aca="false">IF(B55&lt;='VALOR POR PL'!$P$5,0,IF(OR($K$16="CURVA PREVISION",$K$16="MDO PREVISION + MATERIAL PREMISSA"),N55,IF($K$16="PREVISÃO INFORMADA",MAX(0,H55),0)))</f>
        <v>437920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HISTORICOS'!BC14)</f>
        <v>0</v>
      </c>
      <c r="D56" s="45" t="n">
        <f aca="false">IF(B56&lt;='VALOR POR PL'!$P$5,0,IF($K$17&gt;0,$K$18*P56/$K$17,0))</f>
        <v>447814.963099096</v>
      </c>
      <c r="E56" s="45" t="n">
        <f aca="false">L56+D56/$K$2</f>
        <v>345.299376507239</v>
      </c>
      <c r="F56" s="117" t="n">
        <f aca="false">IF($K$9=0,0,E56/$K$9)</f>
        <v>0.0208174204434295</v>
      </c>
      <c r="G56" s="117" t="n">
        <f aca="false">G55+F56</f>
        <v>0.839743372637541</v>
      </c>
      <c r="H56" s="138" t="n">
        <v>437920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RESUMO'!BC14</f>
        <v>0</v>
      </c>
      <c r="N56" s="140" t="n">
        <f aca="false">MAX(0,M56-M55)</f>
        <v>0</v>
      </c>
      <c r="O56" s="139" t="str">
        <f aca="false">IF(B56&lt;='VALOR POR PL'!$P$5,'CP RESUMO'!BC56,"")</f>
        <v/>
      </c>
      <c r="P56" s="66" t="n">
        <f aca="false">IF(B56&lt;='VALOR POR PL'!$P$5,0,IF(OR($K$16="CURVA PREVISION",$K$16="MDO PREVISION + MATERIAL PREMISSA"),N56,IF($K$16="PREVISÃO INFORMADA",MAX(0,H56),0)))</f>
        <v>437920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HISTORICOS'!BD14)</f>
        <v>0</v>
      </c>
      <c r="D57" s="45" t="n">
        <f aca="false">IF(B57&lt;='VALOR POR PL'!$P$5,0,IF($K$17&gt;0,$K$18*P57/$K$17,0))</f>
        <v>629426.806094139</v>
      </c>
      <c r="E57" s="45" t="n">
        <f aca="false">L57+D57/$K$2</f>
        <v>485.335912398161</v>
      </c>
      <c r="F57" s="117" t="n">
        <f aca="false">IF($K$9=0,0,E57/$K$9)</f>
        <v>0.0292599478368191</v>
      </c>
      <c r="G57" s="117" t="n">
        <f aca="false">G56+F57</f>
        <v>0.86900332047436</v>
      </c>
      <c r="H57" s="138" t="n">
        <v>615518.93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RESUMO'!BD14</f>
        <v>0</v>
      </c>
      <c r="N57" s="140" t="n">
        <f aca="false">MAX(0,M57-M56)</f>
        <v>0</v>
      </c>
      <c r="O57" s="139" t="str">
        <f aca="false">IF(B57&lt;='VALOR POR PL'!$P$5,'CP RESUMO'!BD56,"")</f>
        <v/>
      </c>
      <c r="P57" s="66" t="n">
        <f aca="false">IF(B57&lt;='VALOR POR PL'!$P$5,0,IF(OR($K$16="CURVA PREVISION",$K$16="MDO PREVISION + MATERIAL PREMISSA"),N57,IF($K$16="PREVISÃO INFORMADA",MAX(0,H57),0)))</f>
        <v>615518.93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HISTORICOS'!BE14)</f>
        <v>0</v>
      </c>
      <c r="D58" s="45" t="n">
        <f aca="false">IF(B58&lt;='VALOR POR PL'!$P$5,0,IF($K$17&gt;0,$K$18*P58/$K$17,0))</f>
        <v>166821.238352361</v>
      </c>
      <c r="E58" s="45" t="n">
        <f aca="false">L58+D58/$K$2</f>
        <v>128.63185542661</v>
      </c>
      <c r="F58" s="117" t="n">
        <f aca="false">IF($K$9=0,0,E58/$K$9)</f>
        <v>0.00775496163335251</v>
      </c>
      <c r="G58" s="117" t="n">
        <f aca="false">G57+F58</f>
        <v>0.876758282107713</v>
      </c>
      <c r="H58" s="138" t="n">
        <v>163135.14</v>
      </c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RESUMO'!BE14</f>
        <v>0</v>
      </c>
      <c r="N58" s="140" t="n">
        <f aca="false">MAX(0,M58-M57)</f>
        <v>0</v>
      </c>
      <c r="O58" s="139" t="str">
        <f aca="false">IF(B58&lt;='VALOR POR PL'!$P$5,'CP RESUMO'!BE56,"")</f>
        <v/>
      </c>
      <c r="P58" s="66" t="n">
        <f aca="false">IF(B58&lt;='VALOR POR PL'!$P$5,0,IF(OR($K$16="CURVA PREVISION",$K$16="MDO PREVISION + MATERIAL PREMISSA"),N58,IF($K$16="PREVISÃO INFORMADA",MAX(0,H58),0)))</f>
        <v>163135.14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HISTORICOS'!BF14)</f>
        <v>0</v>
      </c>
      <c r="D59" s="45" t="n">
        <f aca="false">IF(B59&lt;='VALOR POR PL'!$P$5,0,IF($K$17&gt;0,$K$18*P59/$K$17,0))</f>
        <v>64804.4657964834</v>
      </c>
      <c r="E59" s="45" t="n">
        <f aca="false">L59+D59/$K$2</f>
        <v>49.9691691397517</v>
      </c>
      <c r="F59" s="117" t="n">
        <f aca="false">IF($K$9=0,0,E59/$K$9)</f>
        <v>0.00301254295247546</v>
      </c>
      <c r="G59" s="117" t="n">
        <f aca="false">G58+F59</f>
        <v>0.879770825060188</v>
      </c>
      <c r="H59" s="138" t="n">
        <v>63372.54</v>
      </c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RESUMO'!BF14</f>
        <v>0</v>
      </c>
      <c r="N59" s="140" t="n">
        <f aca="false">MAX(0,M59-M58)</f>
        <v>0</v>
      </c>
      <c r="O59" s="139" t="str">
        <f aca="false">IF(B59&lt;='VALOR POR PL'!$P$5,'CP RESUMO'!BF56,"")</f>
        <v/>
      </c>
      <c r="P59" s="66" t="n">
        <f aca="false">IF(B59&lt;='VALOR POR PL'!$P$5,0,IF(OR($K$16="CURVA PREVISION",$K$16="MDO PREVISION + MATERIAL PREMISSA"),N59,IF($K$16="PREVISÃO INFORMADA",MAX(0,H59),0)))</f>
        <v>63372.54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HISTORICOS'!BG14)</f>
        <v>0</v>
      </c>
      <c r="D60" s="45" t="n">
        <f aca="false">IF(B60&lt;='VALOR POR PL'!$P$5,0,IF($K$17&gt;0,$K$18*P60/$K$17,0))</f>
        <v>64804.4657964834</v>
      </c>
      <c r="E60" s="45" t="n">
        <f aca="false">L60+D60/$K$2</f>
        <v>49.9691691397517</v>
      </c>
      <c r="F60" s="117" t="n">
        <f aca="false">IF($K$9=0,0,E60/$K$9)</f>
        <v>0.00301254295247546</v>
      </c>
      <c r="G60" s="117" t="n">
        <f aca="false">G59+F60</f>
        <v>0.882783368012664</v>
      </c>
      <c r="H60" s="138" t="n">
        <v>63372.54</v>
      </c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RESUMO'!BG14</f>
        <v>0</v>
      </c>
      <c r="N60" s="140" t="n">
        <f aca="false">MAX(0,M60-M59)</f>
        <v>0</v>
      </c>
      <c r="O60" s="139" t="str">
        <f aca="false">IF(B60&lt;='VALOR POR PL'!$P$5,'CP RESUMO'!BG56,"")</f>
        <v/>
      </c>
      <c r="P60" s="66" t="n">
        <f aca="false">IF(B60&lt;='VALOR POR PL'!$P$5,0,IF(OR($K$16="CURVA PREVISION",$K$16="MDO PREVISION + MATERIAL PREMISSA"),N60,IF($K$16="PREVISÃO INFORMADA",MAX(0,H60),0)))</f>
        <v>63372.54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0.882783368012664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RESUMO'!BH14</f>
        <v>0</v>
      </c>
      <c r="N61" s="140" t="n">
        <f aca="false">MAX(0,M61-M60)</f>
        <v>0</v>
      </c>
      <c r="O61" s="139" t="str">
        <f aca="false">IF(B61&lt;='VALOR POR PL'!$P$5,'CP RESUMO'!BH56,"")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0.882783368012664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RESUMO'!BI14</f>
        <v>0</v>
      </c>
      <c r="N62" s="140" t="n">
        <f aca="false">MAX(0,M62-M61)</f>
        <v>0</v>
      </c>
      <c r="O62" s="139" t="str">
        <f aca="false">IF(B62&lt;='VALOR POR PL'!$P$5,'CP RESUMO'!BI56,"")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HISTORICOS'!BJ14)</f>
        <v>0</v>
      </c>
      <c r="D63" s="45" t="n">
        <f aca="false">IF(B63&lt;='VALOR POR PL'!$P$5,0,IF($K$17&gt;0,$K$18*P63/$K$17,0))</f>
        <v>2521511.34049737</v>
      </c>
      <c r="E63" s="45" t="n">
        <f aca="false">L63+D63/$K$2</f>
        <v>1944.27691228576</v>
      </c>
      <c r="F63" s="117" t="n">
        <f aca="false">IF($K$9=0,0,E63/$K$9)</f>
        <v>0.117216631987336</v>
      </c>
      <c r="G63" s="117" t="n">
        <f aca="false">G62+F63</f>
        <v>1</v>
      </c>
      <c r="H63" s="138" t="n">
        <v>2465795.78</v>
      </c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RESUMO'!BJ14</f>
        <v>0</v>
      </c>
      <c r="N63" s="140" t="n">
        <f aca="false">MAX(0,M63-M62)</f>
        <v>0</v>
      </c>
      <c r="O63" s="139" t="str">
        <f aca="false">IF(B63&lt;='VALOR POR PL'!$P$5,'CP RESUMO'!BJ56,"")</f>
        <v/>
      </c>
      <c r="P63" s="66" t="n">
        <f aca="false">IF(B63&lt;='VALOR POR PL'!$P$5,0,IF(OR($K$16="CURVA PREVISION",$K$16="MDO PREVISION + MATERIAL PREMISSA"),N63,IF($K$16="PREVISÃO INFORMADA",MAX(0,H63),0)))</f>
        <v>2465795.78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RESUMO'!BK14</f>
        <v>0</v>
      </c>
      <c r="N64" s="140" t="n">
        <f aca="false">MAX(0,M64-M63)</f>
        <v>0</v>
      </c>
      <c r="O64" s="139" t="str">
        <f aca="false">IF(B64&lt;='VALOR POR PL'!$P$5,'CP RESUMO'!BK56,"")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RESUMO'!BL14</f>
        <v>0</v>
      </c>
      <c r="N65" s="140" t="n">
        <f aca="false">MAX(0,M65-M64)</f>
        <v>0</v>
      </c>
      <c r="O65" s="139" t="str">
        <f aca="false">IF(B65&lt;='VALOR POR PL'!$P$5,'CP RESUMO'!BL56,"")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RESUMO'!BM14</f>
        <v>0</v>
      </c>
      <c r="N66" s="140" t="n">
        <f aca="false">MAX(0,M66-M65)</f>
        <v>0</v>
      </c>
      <c r="O66" s="139" t="str">
        <f aca="false">IF(B66&lt;='VALOR POR PL'!$P$5,'CP RESUMO'!BM56,"")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RESUMO'!BN14</f>
        <v>0</v>
      </c>
      <c r="N67" s="140" t="n">
        <f aca="false">MAX(0,M67-M66)</f>
        <v>0</v>
      </c>
      <c r="O67" s="139" t="str">
        <f aca="false">IF(B67&lt;='VALOR POR PL'!$P$5,'CP RESUMO'!BN56,"")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RESUMO'!BO14</f>
        <v>0</v>
      </c>
      <c r="N68" s="140" t="n">
        <f aca="false">MAX(0,M68-M67)</f>
        <v>0</v>
      </c>
      <c r="O68" s="139" t="str">
        <f aca="false">IF(B68&lt;='VALOR POR PL'!$P$5,'CP RESUMO'!BO56,"")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RESUMO'!BP14</f>
        <v>0</v>
      </c>
      <c r="N69" s="140" t="n">
        <f aca="false">MAX(0,M69-M68)</f>
        <v>0</v>
      </c>
      <c r="O69" s="139" t="str">
        <f aca="false">IF(B69&lt;='VALOR POR PL'!$P$5,'CP RESUMO'!BP56,"")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RESUMO'!BQ14</f>
        <v>0</v>
      </c>
      <c r="N70" s="140" t="n">
        <f aca="false">MAX(0,M70-M69)</f>
        <v>0</v>
      </c>
      <c r="O70" s="139" t="str">
        <f aca="false">IF(B70&lt;='VALOR POR PL'!$P$5,'CP RESUMO'!BQ56,"")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RESUMO'!BR14</f>
        <v>0</v>
      </c>
      <c r="N71" s="140" t="n">
        <f aca="false">MAX(0,M71-M70)</f>
        <v>0</v>
      </c>
      <c r="O71" s="139" t="str">
        <f aca="false">IF(B71&lt;='VALOR POR PL'!$P$5,'CP RESUMO'!BR56,"")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RESUMO'!BS14</f>
        <v>0</v>
      </c>
      <c r="N72" s="140" t="n">
        <f aca="false">MAX(0,M72-M71)</f>
        <v>0</v>
      </c>
      <c r="O72" s="139" t="str">
        <f aca="false">IF(B72&lt;='VALOR POR PL'!$P$5,'CP RESUMO'!BS56,"")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RESUMO'!BT14</f>
        <v>0</v>
      </c>
      <c r="N73" s="140" t="n">
        <f aca="false">MAX(0,M73-M72)</f>
        <v>0</v>
      </c>
      <c r="O73" s="139" t="str">
        <f aca="false">IF(B73&lt;='VALOR POR PL'!$P$5,'CP RESUMO'!BT56,"")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RESUMO'!BU14</f>
        <v>0</v>
      </c>
      <c r="N74" s="140" t="n">
        <f aca="false">MAX(0,M74-M73)</f>
        <v>0</v>
      </c>
      <c r="O74" s="139" t="str">
        <f aca="false">IF(B74&lt;='VALOR POR PL'!$P$5,'CP RESUMO'!BU56,"")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RESUMO'!BV14</f>
        <v>0</v>
      </c>
      <c r="N75" s="140" t="n">
        <f aca="false">MAX(0,M75-M74)</f>
        <v>0</v>
      </c>
      <c r="O75" s="139" t="str">
        <f aca="false">IF(B75&lt;='VALOR POR PL'!$P$5,'CP RESUMO'!BV56,"")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RESUMO'!BW14</f>
        <v>0</v>
      </c>
      <c r="N76" s="140" t="n">
        <f aca="false">MAX(0,M76-M75)</f>
        <v>0</v>
      </c>
      <c r="O76" s="139" t="str">
        <f aca="false">IF(B76&lt;='VALOR POR PL'!$P$5,'CP RESUMO'!BW56,"")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3888937.19</v>
      </c>
      <c r="D78" s="61" t="n">
        <f aca="false">SUM(D5:D76)</f>
        <v>17443486.8363631</v>
      </c>
      <c r="E78" s="61" t="n">
        <f aca="false">SUM(E5:E76)</f>
        <v>16587.039563599</v>
      </c>
      <c r="F78" s="145" t="n">
        <f aca="false">SUM(F5:F76)</f>
        <v>1</v>
      </c>
      <c r="H78" s="61" t="n">
        <f aca="false">SUM(H5:H76)</f>
        <v>17058053.85</v>
      </c>
      <c r="L78" s="61" t="n">
        <f aca="false">SUM(L5:L76)</f>
        <v>3136.78527324479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PL'!D21</f>
        <v>EQUIPAMENTOS E FERRAMENTAS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HISTORICOS'!D15)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PL'!F21</f>
        <v>6467911.66</v>
      </c>
      <c r="K5" s="56" t="n">
        <f aca="false">'VALOR POR PL'!G21</f>
        <v>5315.919921</v>
      </c>
      <c r="L5" s="56" t="n">
        <f aca="false">'DADOS HISTORICOS'!$BZ$15</f>
        <v>0</v>
      </c>
      <c r="M5" s="139" t="n">
        <f aca="false">'CP RESUMO'!D15</f>
        <v>0</v>
      </c>
      <c r="N5" s="140" t="n">
        <v>0</v>
      </c>
      <c r="O5" s="139" t="n">
        <f aca="false">IF(B5&lt;='VALOR POR PL'!$P$5,'CP RESUMO'!D57,"")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HISTORICOS'!E15)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PL'!H21</f>
        <v>5300.15774000144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RESUMO'!E15</f>
        <v>0</v>
      </c>
      <c r="N6" s="140" t="n">
        <f aca="false">MAX(0,M6-M5)</f>
        <v>0</v>
      </c>
      <c r="O6" s="139" t="n">
        <f aca="false">IF(B6&lt;='VALOR POR PL'!$P$5,'CP RESUMO'!E57,"")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HISTORICOS'!F15)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6854195.05722762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RESUMO'!F15</f>
        <v>0</v>
      </c>
      <c r="N7" s="140" t="n">
        <f aca="false">MAX(0,M7-M6)</f>
        <v>0</v>
      </c>
      <c r="O7" s="139" t="n">
        <f aca="false">IF(B7&lt;='VALOR POR PL'!$P$5,'CP RESUMO'!F57,"")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590.80525051957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RESUMO'!G15</f>
        <v>0</v>
      </c>
      <c r="N8" s="140" t="n">
        <f aca="false">MAX(0,M8-M7)</f>
        <v>0</v>
      </c>
      <c r="O8" s="139" t="n">
        <f aca="false">IF(B8&lt;='VALOR POR PL'!$P$5,'CP RESUMO'!G57,"")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HISTORICOS'!H15)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6854195.05722762</v>
      </c>
      <c r="K9" s="45" t="n">
        <f aca="false">E78</f>
        <v>5298.29545764417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RESUMO'!H15</f>
        <v>0</v>
      </c>
      <c r="N9" s="140" t="n">
        <f aca="false">MAX(0,M9-M8)</f>
        <v>0</v>
      </c>
      <c r="O9" s="139" t="n">
        <f aca="false">IF(B9&lt;='VALOR POR PL'!$P$5,'CP RESUMO'!H57,"")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HISTORICOS'!I15)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4707.4902071246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RESUMO'!I15</f>
        <v>0</v>
      </c>
      <c r="N10" s="140" t="n">
        <f aca="false">MAX(0,M10-M9)</f>
        <v>0</v>
      </c>
      <c r="O10" s="139" t="n">
        <f aca="false">IF(B10&lt;='VALOR POR PL'!$P$5,'CP RESUMO'!I57,"")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6128608.3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RESUMO'!J15</f>
        <v>0</v>
      </c>
      <c r="N11" s="140" t="n">
        <f aca="false">MAX(0,M11-M10)</f>
        <v>0</v>
      </c>
      <c r="O11" s="139" t="n">
        <f aca="false">IF(B11&lt;='VALOR POR PL'!$P$5,'CP RESUMO'!J57,"")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HISTORICOS'!K15)</f>
        <v>672.9</v>
      </c>
      <c r="D12" s="45" t="n">
        <f aca="false">IF(B12&lt;='VALOR POR PL'!$P$5,0,IF($K$17&gt;0,$K$18*P12/$K$17,0))</f>
        <v>0</v>
      </c>
      <c r="E12" s="45" t="n">
        <f aca="false">L12+D12/$K$2</f>
        <v>0.555899315225231</v>
      </c>
      <c r="F12" s="117" t="n">
        <f aca="false">IF($K$9=0,0,E12/$K$9)</f>
        <v>0.000104920406887313</v>
      </c>
      <c r="G12" s="117" t="n">
        <f aca="false">G11+F12</f>
        <v>0.000104920406887313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0.555899315225231</v>
      </c>
      <c r="M12" s="139" t="n">
        <f aca="false">'CP RESUMO'!K15</f>
        <v>0</v>
      </c>
      <c r="N12" s="140" t="n">
        <f aca="false">MAX(0,M12-M11)</f>
        <v>0</v>
      </c>
      <c r="O12" s="139" t="n">
        <f aca="false">IF(B12&lt;='VALOR POR PL'!$P$5,'CP RESUMO'!K57,"")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HISTORICOS'!L15)</f>
        <v>5281.41</v>
      </c>
      <c r="D13" s="45" t="n">
        <f aca="false">IF(B13&lt;='VALOR POR PL'!$P$5,0,IF($K$17&gt;0,$K$18*P13/$K$17,0))</f>
        <v>0</v>
      </c>
      <c r="E13" s="45" t="n">
        <f aca="false">L13+D13/$K$2</f>
        <v>4.34074460058552</v>
      </c>
      <c r="F13" s="117" t="n">
        <f aca="false">IF($K$9=0,0,E13/$K$9)</f>
        <v>0.000819271902687658</v>
      </c>
      <c r="G13" s="117" t="n">
        <f aca="false">G12+F13</f>
        <v>0.000924192309574971</v>
      </c>
      <c r="H13" s="138"/>
      <c r="I13" s="42" t="s">
        <v>2928</v>
      </c>
      <c r="K13" s="56" t="str">
        <f aca="false">'VALOR POR PL'!I21</f>
        <v>INDIRETO</v>
      </c>
      <c r="L13" s="45" t="n">
        <f aca="false">C13/IF(B13&lt;='VALOR POR PL'!$P$5,IFERROR(INDEX('"INCC-FGV"'!$B$2:$B$800,MATCH(B13,'"INCC-FGV"'!$A$2:$A$800,0)),$K$2),$K$2)</f>
        <v>4.34074460058552</v>
      </c>
      <c r="M13" s="139" t="n">
        <f aca="false">'CP RESUMO'!L15</f>
        <v>0</v>
      </c>
      <c r="N13" s="140" t="n">
        <f aca="false">MAX(0,M13-M12)</f>
        <v>0</v>
      </c>
      <c r="O13" s="139" t="n">
        <f aca="false">IF(B13&lt;='VALOR POR PL'!$P$5,'CP RESUMO'!L57,"")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HISTORICOS'!M15)</f>
        <v>6232.49</v>
      </c>
      <c r="D14" s="45" t="n">
        <f aca="false">IF(B14&lt;='VALOR POR PL'!$P$5,0,IF($K$17&gt;0,$K$18*P14/$K$17,0))</f>
        <v>0</v>
      </c>
      <c r="E14" s="45" t="n">
        <f aca="false">L14+D14/$K$2</f>
        <v>5.11385053665773</v>
      </c>
      <c r="F14" s="117" t="n">
        <f aca="false">IF($K$9=0,0,E14/$K$9)</f>
        <v>0.000965187875523187</v>
      </c>
      <c r="G14" s="117" t="n">
        <f aca="false">G13+F14</f>
        <v>0.00188938018509816</v>
      </c>
      <c r="H14" s="138"/>
      <c r="I14" s="42" t="s">
        <v>2929</v>
      </c>
      <c r="K14" s="58" t="n">
        <f aca="false">IFERROR(INDEX('CP RESUMO'!$D$57:$BW$57,MATCH('VALOR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5.11385053665773</v>
      </c>
      <c r="M14" s="139" t="n">
        <f aca="false">'CP RESUMO'!M15</f>
        <v>0</v>
      </c>
      <c r="N14" s="140" t="n">
        <f aca="false">MAX(0,M14-M13)</f>
        <v>0</v>
      </c>
      <c r="O14" s="139" t="n">
        <f aca="false">IF(B14&lt;='VALOR POR PL'!$P$5,'CP RESUMO'!M57,"")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HISTORICOS'!N15)</f>
        <v>9500.17</v>
      </c>
      <c r="D15" s="45" t="n">
        <f aca="false">IF(B15&lt;='VALOR POR PL'!$P$5,0,IF($K$17&gt;0,$K$18*P15/$K$17,0))</f>
        <v>0</v>
      </c>
      <c r="E15" s="45" t="n">
        <f aca="false">L15+D15/$K$2</f>
        <v>7.77201568119271</v>
      </c>
      <c r="F15" s="117" t="n">
        <f aca="false">IF($K$9=0,0,E15/$K$9)</f>
        <v>0.00146688982208034</v>
      </c>
      <c r="G15" s="117" t="n">
        <f aca="false">G14+F15</f>
        <v>0.0033562700071785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7.77201568119271</v>
      </c>
      <c r="M15" s="139" t="n">
        <f aca="false">'CP RESUMO'!N15</f>
        <v>0</v>
      </c>
      <c r="N15" s="140" t="n">
        <f aca="false">MAX(0,M15-M14)</f>
        <v>0</v>
      </c>
      <c r="O15" s="139" t="n">
        <f aca="false">IF(B15&lt;='VALOR POR PL'!$P$5,'CP RESUMO'!N57,"")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HISTORICOS'!O15)</f>
        <v>55945.36</v>
      </c>
      <c r="D16" s="45" t="n">
        <f aca="false">IF(B16&lt;='VALOR POR PL'!$P$5,0,IF($K$17&gt;0,$K$18*P16/$K$17,0))</f>
        <v>0</v>
      </c>
      <c r="E16" s="45" t="n">
        <f aca="false">L16+D16/$K$2</f>
        <v>45.6460947118754</v>
      </c>
      <c r="F16" s="117" t="n">
        <f aca="false">IF($K$9=0,0,E16/$K$9)</f>
        <v>0.00861524146336895</v>
      </c>
      <c r="G16" s="117" t="n">
        <f aca="false">G15+F16</f>
        <v>0.0119715114705474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45.6460947118754</v>
      </c>
      <c r="M16" s="139" t="n">
        <f aca="false">'CP RESUMO'!O15</f>
        <v>0</v>
      </c>
      <c r="N16" s="140" t="n">
        <f aca="false">MAX(0,M16-M15)</f>
        <v>0</v>
      </c>
      <c r="O16" s="139" t="n">
        <f aca="false">IF(B16&lt;='VALOR POR PL'!$P$5,'CP RESUMO'!O57,"")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HISTORICOS'!P15)</f>
        <v>58948.93</v>
      </c>
      <c r="D17" s="45" t="n">
        <f aca="false">IF(B17&lt;='VALOR POR PL'!$P$5,0,IF($K$17&gt;0,$K$18*P17/$K$17,0))</f>
        <v>0</v>
      </c>
      <c r="E17" s="45" t="n">
        <f aca="false">L17+D17/$K$2</f>
        <v>47.9977217970608</v>
      </c>
      <c r="F17" s="117" t="n">
        <f aca="false">IF($K$9=0,0,E17/$K$9)</f>
        <v>0.00905908743307465</v>
      </c>
      <c r="G17" s="117" t="n">
        <f aca="false">G16+F17</f>
        <v>0.0210305989036221</v>
      </c>
      <c r="H17" s="138"/>
      <c r="I17" s="42" t="s">
        <v>2933</v>
      </c>
      <c r="K17" s="45" t="n">
        <f aca="false">SUM(P5:P76)</f>
        <v>6128608.3</v>
      </c>
      <c r="L17" s="45" t="n">
        <f aca="false">C17/IF(B17&lt;='VALOR POR PL'!$P$5,IFERROR(INDEX('"INCC-FGV"'!$B$2:$B$800,MATCH(B17,'"INCC-FGV"'!$A$2:$A$800,0)),$K$2),$K$2)</f>
        <v>47.9977217970608</v>
      </c>
      <c r="M17" s="139" t="n">
        <f aca="false">'CP RESUMO'!P15</f>
        <v>0</v>
      </c>
      <c r="N17" s="140" t="n">
        <f aca="false">MAX(0,M17-M16)</f>
        <v>0</v>
      </c>
      <c r="O17" s="139" t="n">
        <f aca="false">IF(B17&lt;='VALOR POR PL'!$P$5,'CP RESUMO'!P57,"")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HISTORICOS'!Q15)</f>
        <v>144547.58</v>
      </c>
      <c r="D18" s="45" t="n">
        <f aca="false">IF(B18&lt;='VALOR POR PL'!$P$5,0,IF($K$17&gt;0,$K$18*P18/$K$17,0))</f>
        <v>0</v>
      </c>
      <c r="E18" s="45" t="n">
        <f aca="false">L18+D18/$K$2</f>
        <v>116.849938077792</v>
      </c>
      <c r="F18" s="117" t="n">
        <f aca="false">IF($K$9=0,0,E18/$K$9)</f>
        <v>0.0220542510344918</v>
      </c>
      <c r="G18" s="117" t="n">
        <f aca="false">G17+F18</f>
        <v>0.0430848499381139</v>
      </c>
      <c r="H18" s="138"/>
      <c r="I18" s="42" t="s">
        <v>2934</v>
      </c>
      <c r="K18" s="45" t="n">
        <f aca="false">MAX(0,K10)*$K$2</f>
        <v>6105092.26722762</v>
      </c>
      <c r="L18" s="45" t="n">
        <f aca="false">C18/IF(B18&lt;='VALOR POR PL'!$P$5,IFERROR(INDEX('"INCC-FGV"'!$B$2:$B$800,MATCH(B18,'"INCC-FGV"'!$A$2:$A$800,0)),$K$2),$K$2)</f>
        <v>116.849938077792</v>
      </c>
      <c r="M18" s="139" t="n">
        <f aca="false">'CP RESUMO'!Q15</f>
        <v>0</v>
      </c>
      <c r="N18" s="140" t="n">
        <f aca="false">MAX(0,M18-M17)</f>
        <v>0</v>
      </c>
      <c r="O18" s="139" t="n">
        <f aca="false">IF(B18&lt;='VALOR POR PL'!$P$5,'CP RESUMO'!Q57,"")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HISTORICOS'!R15)</f>
        <v>11787.59</v>
      </c>
      <c r="D19" s="45" t="n">
        <f aca="false">IF(B19&lt;='VALOR POR PL'!$P$5,0,IF($K$17&gt;0,$K$18*P19/$K$17,0))</f>
        <v>0</v>
      </c>
      <c r="E19" s="45" t="n">
        <f aca="false">L19+D19/$K$2</f>
        <v>9.5024349425747</v>
      </c>
      <c r="F19" s="117" t="n">
        <f aca="false">IF($K$9=0,0,E19/$K$9)</f>
        <v>0.00179348906049869</v>
      </c>
      <c r="G19" s="117" t="n">
        <f aca="false">G18+F19</f>
        <v>0.0448783389986126</v>
      </c>
      <c r="H19" s="138"/>
      <c r="I19" s="42" t="s">
        <v>2935</v>
      </c>
      <c r="K19" s="142" t="n">
        <f aca="false">IF(AND(K16="PREVISÃO INFORMADA",K11&gt;0),K18/K11-1,"")</f>
        <v>-0.00383709181942382</v>
      </c>
      <c r="L19" s="45" t="n">
        <f aca="false">C19/IF(B19&lt;='VALOR POR PL'!$P$5,IFERROR(INDEX('"INCC-FGV"'!$B$2:$B$800,MATCH(B19,'"INCC-FGV"'!$A$2:$A$800,0)),$K$2),$K$2)</f>
        <v>9.5024349425747</v>
      </c>
      <c r="M19" s="139" t="n">
        <f aca="false">'CP RESUMO'!R15</f>
        <v>0</v>
      </c>
      <c r="N19" s="140" t="n">
        <f aca="false">MAX(0,M19-M18)</f>
        <v>0</v>
      </c>
      <c r="O19" s="139" t="n">
        <f aca="false">IF(B19&lt;='VALOR POR PL'!$P$5,'CP RESUMO'!R57,"")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HISTORICOS'!S15)</f>
        <v>6734.81</v>
      </c>
      <c r="D20" s="45" t="n">
        <f aca="false">IF(B20&lt;='VALOR POR PL'!$P$5,0,IF($K$17&gt;0,$K$18*P20/$K$17,0))</f>
        <v>0</v>
      </c>
      <c r="E20" s="45" t="n">
        <f aca="false">L20+D20/$K$2</f>
        <v>5.40002613894856</v>
      </c>
      <c r="F20" s="117" t="n">
        <f aca="false">IF($K$9=0,0,E20/$K$9)</f>
        <v>0.00101920064332343</v>
      </c>
      <c r="G20" s="117" t="n">
        <f aca="false">G19+F20</f>
        <v>0.0458975396419361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5.40002613894856</v>
      </c>
      <c r="M20" s="139" t="n">
        <f aca="false">'CP RESUMO'!S15</f>
        <v>0</v>
      </c>
      <c r="N20" s="140" t="n">
        <f aca="false">MAX(0,M20-M19)</f>
        <v>0</v>
      </c>
      <c r="O20" s="139" t="n">
        <f aca="false">IF(B20&lt;='VALOR POR PL'!$P$5,'CP RESUMO'!S57,"")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HISTORICOS'!T15)</f>
        <v>2323.6</v>
      </c>
      <c r="D21" s="45" t="n">
        <f aca="false">IF(B21&lt;='VALOR POR PL'!$P$5,0,IF($K$17&gt;0,$K$18*P21/$K$17,0))</f>
        <v>0</v>
      </c>
      <c r="E21" s="45" t="n">
        <f aca="false">L21+D21/$K$2</f>
        <v>1.84463645514793</v>
      </c>
      <c r="F21" s="117" t="n">
        <f aca="false">IF($K$9=0,0,E21/$K$9)</f>
        <v>0.000348156585432879</v>
      </c>
      <c r="G21" s="117" t="n">
        <f aca="false">G20+F21</f>
        <v>0.0462456962273689</v>
      </c>
      <c r="H21" s="138"/>
      <c r="K21" s="143"/>
      <c r="L21" s="45" t="n">
        <f aca="false">C21/IF(B21&lt;='VALOR POR PL'!$P$5,IFERROR(INDEX('"INCC-FGV"'!$B$2:$B$800,MATCH(B21,'"INCC-FGV"'!$A$2:$A$800,0)),$K$2),$K$2)</f>
        <v>1.84463645514793</v>
      </c>
      <c r="M21" s="139" t="n">
        <f aca="false">'CP RESUMO'!T15</f>
        <v>0</v>
      </c>
      <c r="N21" s="140" t="n">
        <f aca="false">MAX(0,M21-M20)</f>
        <v>0</v>
      </c>
      <c r="O21" s="139" t="n">
        <f aca="false">IF(B21&lt;='VALOR POR PL'!$P$5,'CP RESUMO'!T57,"")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HISTORICOS'!U15)</f>
        <v>28516.02</v>
      </c>
      <c r="D22" s="45" t="n">
        <f aca="false">IF(B22&lt;='VALOR POR PL'!$P$5,0,IF($K$17&gt;0,$K$18*P22/$K$17,0))</f>
        <v>0</v>
      </c>
      <c r="E22" s="45" t="n">
        <f aca="false">L22+D22/$K$2</f>
        <v>22.4412781981514</v>
      </c>
      <c r="F22" s="117" t="n">
        <f aca="false">IF($K$9=0,0,E22/$K$9)</f>
        <v>0.00423556564135622</v>
      </c>
      <c r="G22" s="117" t="n">
        <f aca="false">G21+F22</f>
        <v>0.0504812618687252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22.4412781981514</v>
      </c>
      <c r="M22" s="139" t="n">
        <f aca="false">'CP RESUMO'!U15</f>
        <v>0</v>
      </c>
      <c r="N22" s="140" t="n">
        <f aca="false">MAX(0,M22-M21)</f>
        <v>0</v>
      </c>
      <c r="O22" s="139" t="n">
        <f aca="false">IF(B22&lt;='VALOR POR PL'!$P$5,'CP RESUMO'!U57,"")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HISTORICOS'!V15)</f>
        <v>24451.29</v>
      </c>
      <c r="D23" s="45" t="n">
        <f aca="false">IF(B23&lt;='VALOR POR PL'!$P$5,0,IF($K$17&gt;0,$K$18*P23/$K$17,0))</f>
        <v>0</v>
      </c>
      <c r="E23" s="45" t="n">
        <f aca="false">L23+D23/$K$2</f>
        <v>19.093008891641</v>
      </c>
      <c r="F23" s="117" t="n">
        <f aca="false">IF($K$9=0,0,E23/$K$9)</f>
        <v>0.00360361347234691</v>
      </c>
      <c r="G23" s="117" t="n">
        <f aca="false">G22+F23</f>
        <v>0.0540848753410721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19.093008891641</v>
      </c>
      <c r="M23" s="139" t="n">
        <f aca="false">'CP RESUMO'!V15</f>
        <v>0</v>
      </c>
      <c r="N23" s="140" t="n">
        <f aca="false">MAX(0,M23-M22)</f>
        <v>0</v>
      </c>
      <c r="O23" s="139" t="n">
        <f aca="false">IF(B23&lt;='VALOR POR PL'!$P$5,'CP RESUMO'!V57,"")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HISTORICOS'!W15)</f>
        <v>63176.57</v>
      </c>
      <c r="D24" s="45" t="n">
        <f aca="false">IF(B24&lt;='VALOR POR PL'!$P$5,0,IF($K$17&gt;0,$K$18*P24/$K$17,0))</f>
        <v>0</v>
      </c>
      <c r="E24" s="45" t="n">
        <f aca="false">L24+D24/$K$2</f>
        <v>49.0337239634874</v>
      </c>
      <c r="F24" s="117" t="n">
        <f aca="false">IF($K$9=0,0,E24/$K$9)</f>
        <v>0.00925462242630193</v>
      </c>
      <c r="G24" s="117" t="n">
        <f aca="false">G23+F24</f>
        <v>0.063339497767374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49.0337239634874</v>
      </c>
      <c r="M24" s="139" t="n">
        <f aca="false">'CP RESUMO'!W15</f>
        <v>0</v>
      </c>
      <c r="N24" s="140" t="n">
        <f aca="false">MAX(0,M24-M23)</f>
        <v>0</v>
      </c>
      <c r="O24" s="139" t="n">
        <f aca="false">IF(B24&lt;='VALOR POR PL'!$P$5,'CP RESUMO'!W57,"")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HISTORICOS'!X15)</f>
        <v>125549</v>
      </c>
      <c r="D25" s="45" t="n">
        <f aca="false">IF(B25&lt;='VALOR POR PL'!$P$5,0,IF($K$17&gt;0,$K$18*P25/$K$17,0))</f>
        <v>0</v>
      </c>
      <c r="E25" s="45" t="n">
        <f aca="false">L25+D25/$K$2</f>
        <v>96.8078224119412</v>
      </c>
      <c r="F25" s="117" t="n">
        <f aca="false">IF($K$9=0,0,E25/$K$9)</f>
        <v>0.0182715032005757</v>
      </c>
      <c r="G25" s="117" t="n">
        <f aca="false">G24+F25</f>
        <v>0.0816110009679497</v>
      </c>
      <c r="H25" s="138"/>
      <c r="L25" s="45" t="n">
        <f aca="false">C25/IF(B25&lt;='VALOR POR PL'!$P$5,IFERROR(INDEX('"INCC-FGV"'!$B$2:$B$800,MATCH(B25,'"INCC-FGV"'!$A$2:$A$800,0)),$K$2),$K$2)</f>
        <v>96.8078224119412</v>
      </c>
      <c r="M25" s="139" t="n">
        <f aca="false">'CP RESUMO'!X15</f>
        <v>0</v>
      </c>
      <c r="N25" s="140" t="n">
        <f aca="false">MAX(0,M25-M24)</f>
        <v>0</v>
      </c>
      <c r="O25" s="139" t="n">
        <f aca="false">IF(B25&lt;='VALOR POR PL'!$P$5,'CP RESUMO'!X57,"")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HISTORICOS'!Y15)</f>
        <v>107406.86</v>
      </c>
      <c r="D26" s="45" t="n">
        <f aca="false">IF(B26&lt;='VALOR POR PL'!$P$5,0,IF($K$17&gt;0,$K$18*P26/$K$17,0))</f>
        <v>94575.6766177767</v>
      </c>
      <c r="E26" s="45" t="n">
        <f aca="false">L26+D26/$K$2</f>
        <v>155.743889120639</v>
      </c>
      <c r="F26" s="117" t="n">
        <f aca="false">IF($K$9=0,0,E26/$K$9)</f>
        <v>0.0293950932645589</v>
      </c>
      <c r="G26" s="117" t="n">
        <f aca="false">G25+F26</f>
        <v>0.111006094232509</v>
      </c>
      <c r="H26" s="138" t="n">
        <v>94939.97</v>
      </c>
      <c r="L26" s="45" t="n">
        <f aca="false">C26/IF(B26&lt;='VALOR POR PL'!$P$5,IFERROR(INDEX('"INCC-FGV"'!$B$2:$B$800,MATCH(B26,'"INCC-FGV"'!$A$2:$A$800,0)),$K$2),$K$2)</f>
        <v>82.8188534253895</v>
      </c>
      <c r="M26" s="139" t="n">
        <f aca="false">'CP RESUMO'!Y15</f>
        <v>0</v>
      </c>
      <c r="N26" s="140" t="n">
        <f aca="false">MAX(0,M26-M25)</f>
        <v>0</v>
      </c>
      <c r="O26" s="139" t="str">
        <f aca="false">IF(B26&lt;='VALOR POR PL'!$P$5,'CP RESUMO'!Y57,"")</f>
        <v/>
      </c>
      <c r="P26" s="66" t="n">
        <f aca="false">IF(B26&lt;='VALOR POR PL'!$P$5,0,IF(OR($K$16="CURVA PREVISION",$K$16="MDO PREVISION + MATERIAL PREMISSA"),N26,IF($K$16="PREVISÃO INFORMADA",MAX(0,H26),0)))</f>
        <v>94939.97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HISTORICOS'!Z15)</f>
        <v>73087.59</v>
      </c>
      <c r="D27" s="45" t="n">
        <f aca="false">IF(B27&lt;='VALOR POR PL'!$P$5,0,IF($K$17&gt;0,$K$18*P27/$K$17,0))</f>
        <v>157956.153147232</v>
      </c>
      <c r="E27" s="45" t="n">
        <f aca="false">L27+D27/$K$2</f>
        <v>178.152288397258</v>
      </c>
      <c r="F27" s="117" t="n">
        <f aca="false">IF($K$9=0,0,E27/$K$9)</f>
        <v>0.0336244533400317</v>
      </c>
      <c r="G27" s="117" t="n">
        <f aca="false">G26+F27</f>
        <v>0.14463054757254</v>
      </c>
      <c r="H27" s="138" t="n">
        <v>158564.58</v>
      </c>
      <c r="L27" s="45" t="n">
        <f aca="false">C27/IF(B27&lt;='VALOR POR PL'!$P$5,IFERROR(INDEX('"INCC-FGV"'!$B$2:$B$800,MATCH(B27,'"INCC-FGV"'!$A$2:$A$800,0)),$K$2),$K$2)</f>
        <v>56.3560875294647</v>
      </c>
      <c r="M27" s="139" t="n">
        <f aca="false">'CP RESUMO'!Z15</f>
        <v>0</v>
      </c>
      <c r="N27" s="140" t="n">
        <f aca="false">MAX(0,M27-M26)</f>
        <v>0</v>
      </c>
      <c r="O27" s="139" t="str">
        <f aca="false">IF(B27&lt;='VALOR POR PL'!$P$5,'CP RESUMO'!Z57,"")</f>
        <v/>
      </c>
      <c r="P27" s="66" t="n">
        <f aca="false">IF(B27&lt;='VALOR POR PL'!$P$5,0,IF(OR($K$16="CURVA PREVISION",$K$16="MDO PREVISION + MATERIAL PREMISSA"),N27,IF($K$16="PREVISÃO INFORMADA",MAX(0,H27),0)))</f>
        <v>158564.58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HISTORICOS'!AA15)</f>
        <v>12181.83</v>
      </c>
      <c r="D28" s="45" t="n">
        <f aca="false">IF(B28&lt;='VALOR POR PL'!$P$5,0,IF($K$17&gt;0,$K$18*P28/$K$17,0))</f>
        <v>95377.6176437493</v>
      </c>
      <c r="E28" s="45" t="n">
        <f aca="false">L28+D28/$K$2</f>
        <v>82.9365100974326</v>
      </c>
      <c r="F28" s="117" t="n">
        <f aca="false">IF($K$9=0,0,E28/$K$9)</f>
        <v>0.0156534324596366</v>
      </c>
      <c r="G28" s="117" t="n">
        <f aca="false">G27+F28</f>
        <v>0.160283980032177</v>
      </c>
      <c r="H28" s="138" t="n">
        <v>95745</v>
      </c>
      <c r="L28" s="45" t="n">
        <f aca="false">C28/IF(B28&lt;='VALOR POR PL'!$P$5,IFERROR(INDEX('"INCC-FGV"'!$B$2:$B$800,MATCH(B28,'"INCC-FGV"'!$A$2:$A$800,0)),$K$2),$K$2)</f>
        <v>9.39311691285839</v>
      </c>
      <c r="M28" s="139" t="n">
        <f aca="false">'CP RESUMO'!AA15</f>
        <v>0</v>
      </c>
      <c r="N28" s="140" t="n">
        <f aca="false">MAX(0,M28-M27)</f>
        <v>0</v>
      </c>
      <c r="O28" s="139" t="str">
        <f aca="false">IF(B28&lt;='VALOR POR PL'!$P$5,'CP RESUMO'!AA57,"")</f>
        <v/>
      </c>
      <c r="P28" s="66" t="n">
        <f aca="false">IF(B28&lt;='VALOR POR PL'!$P$5,0,IF(OR($K$16="CURVA PREVISION",$K$16="MDO PREVISION + MATERIAL PREMISSA"),N28,IF($K$16="PREVISÃO INFORMADA",MAX(0,H28),0)))</f>
        <v>95745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HISTORICOS'!AB15)</f>
        <v>6653</v>
      </c>
      <c r="D29" s="45" t="n">
        <f aca="false">IF(B29&lt;='VALOR POR PL'!$P$5,0,IF($K$17&gt;0,$K$18*P29/$K$17,0))</f>
        <v>200311.505758707</v>
      </c>
      <c r="E29" s="45" t="n">
        <f aca="false">L29+D29/$K$2</f>
        <v>159.585366024932</v>
      </c>
      <c r="F29" s="117" t="n">
        <f aca="false">IF($K$9=0,0,E29/$K$9)</f>
        <v>0.0301201334090737</v>
      </c>
      <c r="G29" s="117" t="n">
        <f aca="false">G28+F29</f>
        <v>0.190404113441251</v>
      </c>
      <c r="H29" s="138" t="n">
        <v>201083.08</v>
      </c>
      <c r="L29" s="45" t="n">
        <f aca="false">C29/IF(B29&lt;='VALOR POR PL'!$P$5,IFERROR(INDEX('"INCC-FGV"'!$B$2:$B$800,MATCH(B29,'"INCC-FGV"'!$A$2:$A$800,0)),$K$2),$K$2)</f>
        <v>5.12996871744614</v>
      </c>
      <c r="M29" s="139" t="n">
        <f aca="false">'CP RESUMO'!AB15</f>
        <v>0</v>
      </c>
      <c r="N29" s="140" t="n">
        <f aca="false">MAX(0,M29-M28)</f>
        <v>0</v>
      </c>
      <c r="O29" s="139" t="str">
        <f aca="false">IF(B29&lt;='VALOR POR PL'!$P$5,'CP RESUMO'!AB57,"")</f>
        <v/>
      </c>
      <c r="P29" s="66" t="n">
        <f aca="false">IF(B29&lt;='VALOR POR PL'!$P$5,0,IF(OR($K$16="CURVA PREVISION",$K$16="MDO PREVISION + MATERIAL PREMISSA"),N29,IF($K$16="PREVISÃO INFORMADA",MAX(0,H29),0)))</f>
        <v>201083.08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HISTORICOS'!AC15)</f>
        <v>0</v>
      </c>
      <c r="D30" s="45" t="n">
        <f aca="false">IF(B30&lt;='VALOR POR PL'!$P$5,0,IF($K$17&gt;0,$K$18*P30/$K$17,0))</f>
        <v>97761.8140249305</v>
      </c>
      <c r="E30" s="45" t="n">
        <f aca="false">L30+D30/$K$2</f>
        <v>75.3817898254442</v>
      </c>
      <c r="F30" s="117" t="n">
        <f aca="false">IF($K$9=0,0,E30/$K$9)</f>
        <v>0.0142275549614143</v>
      </c>
      <c r="G30" s="117" t="n">
        <f aca="false">G29+F30</f>
        <v>0.204631668402665</v>
      </c>
      <c r="H30" s="138" t="n">
        <v>98138.38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RESUMO'!AC15</f>
        <v>0</v>
      </c>
      <c r="N30" s="140" t="n">
        <f aca="false">MAX(0,M30-M29)</f>
        <v>0</v>
      </c>
      <c r="O30" s="139" t="str">
        <f aca="false">IF(B30&lt;='VALOR POR PL'!$P$5,'CP RESUMO'!AC57,"")</f>
        <v/>
      </c>
      <c r="P30" s="66" t="n">
        <f aca="false">IF(B30&lt;='VALOR POR PL'!$P$5,0,IF(OR($K$16="CURVA PREVISION",$K$16="MDO PREVISION + MATERIAL PREMISSA"),N30,IF($K$16="PREVISÃO INFORMADA",MAX(0,H30),0)))</f>
        <v>98138.38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HISTORICOS'!AD15)</f>
        <v>1456.4</v>
      </c>
      <c r="D31" s="45" t="n">
        <f aca="false">IF(B31&lt;='VALOR POR PL'!$P$5,0,IF($K$17&gt;0,$K$18*P31/$K$17,0))</f>
        <v>197148.130674006</v>
      </c>
      <c r="E31" s="45" t="n">
        <f aca="false">L31+D31/$K$2</f>
        <v>153.139189764124</v>
      </c>
      <c r="F31" s="117" t="n">
        <f aca="false">IF($K$9=0,0,E31/$K$9)</f>
        <v>0.02890348244796</v>
      </c>
      <c r="G31" s="117" t="n">
        <f aca="false">G30+F31</f>
        <v>0.233535150850625</v>
      </c>
      <c r="H31" s="138" t="n">
        <v>197907.52</v>
      </c>
      <c r="L31" s="45" t="n">
        <f aca="false">C31/IF(B31&lt;='VALOR POR PL'!$P$5,IFERROR(INDEX('"INCC-FGV"'!$B$2:$B$800,MATCH(B31,'"INCC-FGV"'!$A$2:$A$800,0)),$K$2),$K$2)</f>
        <v>1.12299510598054</v>
      </c>
      <c r="M31" s="139" t="n">
        <f aca="false">'CP RESUMO'!AD15</f>
        <v>0</v>
      </c>
      <c r="N31" s="140" t="n">
        <f aca="false">MAX(0,M31-M30)</f>
        <v>0</v>
      </c>
      <c r="O31" s="139" t="str">
        <f aca="false">IF(B31&lt;='VALOR POR PL'!$P$5,'CP RESUMO'!AD57,"")</f>
        <v/>
      </c>
      <c r="P31" s="66" t="n">
        <f aca="false">IF(B31&lt;='VALOR POR PL'!$P$5,0,IF(OR($K$16="CURVA PREVISION",$K$16="MDO PREVISION + MATERIAL PREMISSA"),N31,IF($K$16="PREVISÃO INFORMADA",MAX(0,H31),0)))</f>
        <v>197907.52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HISTORICOS'!AE15)</f>
        <v>1802.48</v>
      </c>
      <c r="D32" s="45" t="n">
        <f aca="false">IF(B32&lt;='VALOR POR PL'!$P$5,0,IF($K$17&gt;0,$K$18*P32/$K$17,0))</f>
        <v>162293.755259951</v>
      </c>
      <c r="E32" s="45" t="n">
        <f aca="false">L32+D32/$K$2</f>
        <v>126.530670905491</v>
      </c>
      <c r="F32" s="117" t="n">
        <f aca="false">IF($K$9=0,0,E32/$K$9)</f>
        <v>0.0238813920282489</v>
      </c>
      <c r="G32" s="117" t="n">
        <f aca="false">G31+F32</f>
        <v>0.257416542878874</v>
      </c>
      <c r="H32" s="138" t="n">
        <v>162918.89</v>
      </c>
      <c r="L32" s="45" t="n">
        <f aca="false">C32/IF(B32&lt;='VALOR POR PL'!$P$5,IFERROR(INDEX('"INCC-FGV"'!$B$2:$B$800,MATCH(B32,'"INCC-FGV"'!$A$2:$A$800,0)),$K$2),$K$2)</f>
        <v>1.38984909271341</v>
      </c>
      <c r="M32" s="139" t="n">
        <f aca="false">'CP RESUMO'!AE15</f>
        <v>0</v>
      </c>
      <c r="N32" s="140" t="n">
        <f aca="false">MAX(0,M32-M31)</f>
        <v>0</v>
      </c>
      <c r="O32" s="139" t="str">
        <f aca="false">IF(B32&lt;='VALOR POR PL'!$P$5,'CP RESUMO'!AE57,"")</f>
        <v/>
      </c>
      <c r="P32" s="66" t="n">
        <f aca="false">IF(B32&lt;='VALOR POR PL'!$P$5,0,IF(OR($K$16="CURVA PREVISION",$K$16="MDO PREVISION + MATERIAL PREMISSA"),N32,IF($K$16="PREVISÃO INFORMADA",MAX(0,H32),0)))</f>
        <v>162918.89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HISTORICOS'!AF15)</f>
        <v>0</v>
      </c>
      <c r="D33" s="45" t="n">
        <f aca="false">IF(B33&lt;='VALOR POR PL'!$P$5,0,IF($K$17&gt;0,$K$18*P33/$K$17,0))</f>
        <v>168410.19551618</v>
      </c>
      <c r="E33" s="45" t="n">
        <f aca="false">L33+D33/$K$2</f>
        <v>129.857062182022</v>
      </c>
      <c r="F33" s="117" t="n">
        <f aca="false">IF($K$9=0,0,E33/$K$9)</f>
        <v>0.0245092149390554</v>
      </c>
      <c r="G33" s="117" t="n">
        <f aca="false">G32+F33</f>
        <v>0.281925757817929</v>
      </c>
      <c r="H33" s="138" t="n">
        <v>169058.89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RESUMO'!AF15</f>
        <v>0</v>
      </c>
      <c r="N33" s="140" t="n">
        <f aca="false">MAX(0,M33-M32)</f>
        <v>0</v>
      </c>
      <c r="O33" s="139" t="str">
        <f aca="false">IF(B33&lt;='VALOR POR PL'!$P$5,'CP RESUMO'!AF57,"")</f>
        <v/>
      </c>
      <c r="P33" s="66" t="n">
        <f aca="false">IF(B33&lt;='VALOR POR PL'!$P$5,0,IF(OR($K$16="CURVA PREVISION",$K$16="MDO PREVISION + MATERIAL PREMISSA"),N33,IF($K$16="PREVISÃO INFORMADA",MAX(0,H33),0)))</f>
        <v>169058.89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HISTORICOS'!AG15)</f>
        <v>0</v>
      </c>
      <c r="D34" s="45" t="n">
        <f aca="false">IF(B34&lt;='VALOR POR PL'!$P$5,0,IF($K$17&gt;0,$K$18*P34/$K$17,0))</f>
        <v>271962.027135587</v>
      </c>
      <c r="E34" s="45" t="n">
        <f aca="false">L34+D34/$K$2</f>
        <v>209.703395691988</v>
      </c>
      <c r="F34" s="117" t="n">
        <f aca="false">IF($K$9=0,0,E34/$K$9)</f>
        <v>0.0395794076356079</v>
      </c>
      <c r="G34" s="117" t="n">
        <f aca="false">G33+F34</f>
        <v>0.321505165453537</v>
      </c>
      <c r="H34" s="138" t="n">
        <v>273009.59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RESUMO'!AG15</f>
        <v>0</v>
      </c>
      <c r="N34" s="140" t="n">
        <f aca="false">MAX(0,M34-M33)</f>
        <v>0</v>
      </c>
      <c r="O34" s="139" t="str">
        <f aca="false">IF(B34&lt;='VALOR POR PL'!$P$5,'CP RESUMO'!AG57,"")</f>
        <v/>
      </c>
      <c r="P34" s="66" t="n">
        <f aca="false">IF(B34&lt;='VALOR POR PL'!$P$5,0,IF(OR($K$16="CURVA PREVISION",$K$16="MDO PREVISION + MATERIAL PREMISSA"),N34,IF($K$16="PREVISÃO INFORMADA",MAX(0,H34),0)))</f>
        <v>273009.59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HISTORICOS'!AH15)</f>
        <v>0</v>
      </c>
      <c r="D35" s="45" t="n">
        <f aca="false">IF(B35&lt;='VALOR POR PL'!$P$5,0,IF($K$17&gt;0,$K$18*P35/$K$17,0))</f>
        <v>217568.175279927</v>
      </c>
      <c r="E35" s="45" t="n">
        <f aca="false">L35+D35/$K$2</f>
        <v>167.761601247236</v>
      </c>
      <c r="F35" s="117" t="n">
        <f aca="false">IF($K$9=0,0,E35/$K$9)</f>
        <v>0.0316633156056249</v>
      </c>
      <c r="G35" s="117" t="n">
        <f aca="false">G34+F35</f>
        <v>0.353168481059162</v>
      </c>
      <c r="H35" s="138" t="n">
        <v>218406.22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RESUMO'!AH15</f>
        <v>0</v>
      </c>
      <c r="N35" s="140" t="n">
        <f aca="false">MAX(0,M35-M34)</f>
        <v>0</v>
      </c>
      <c r="O35" s="139" t="str">
        <f aca="false">IF(B35&lt;='VALOR POR PL'!$P$5,'CP RESUMO'!AH57,"")</f>
        <v/>
      </c>
      <c r="P35" s="66" t="n">
        <f aca="false">IF(B35&lt;='VALOR POR PL'!$P$5,0,IF(OR($K$16="CURVA PREVISION",$K$16="MDO PREVISION + MATERIAL PREMISSA"),N35,IF($K$16="PREVISÃO INFORMADA",MAX(0,H35),0)))</f>
        <v>218406.22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HISTORICOS'!AI15)</f>
        <v>0</v>
      </c>
      <c r="D36" s="45" t="n">
        <f aca="false">IF(B36&lt;='VALOR POR PL'!$P$5,0,IF($K$17&gt;0,$K$18*P36/$K$17,0))</f>
        <v>266245.02828228</v>
      </c>
      <c r="E36" s="45" t="n">
        <f aca="false">L36+D36/$K$2</f>
        <v>205.295155007314</v>
      </c>
      <c r="F36" s="117" t="n">
        <f aca="false">IF($K$9=0,0,E36/$K$9)</f>
        <v>0.0387473965256358</v>
      </c>
      <c r="G36" s="117" t="n">
        <f aca="false">G35+F36</f>
        <v>0.391915877584798</v>
      </c>
      <c r="H36" s="138" t="n">
        <v>267270.57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RESUMO'!AI15</f>
        <v>0</v>
      </c>
      <c r="N36" s="140" t="n">
        <f aca="false">MAX(0,M36-M35)</f>
        <v>0</v>
      </c>
      <c r="O36" s="139" t="str">
        <f aca="false">IF(B36&lt;='VALOR POR PL'!$P$5,'CP RESUMO'!AI57,"")</f>
        <v/>
      </c>
      <c r="P36" s="66" t="n">
        <f aca="false">IF(B36&lt;='VALOR POR PL'!$P$5,0,IF(OR($K$16="CURVA PREVISION",$K$16="MDO PREVISION + MATERIAL PREMISSA"),N36,IF($K$16="PREVISÃO INFORMADA",MAX(0,H36),0)))</f>
        <v>267270.57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HISTORICOS'!AJ15)</f>
        <v>0</v>
      </c>
      <c r="D37" s="45" t="n">
        <f aca="false">IF(B37&lt;='VALOR POR PL'!$P$5,0,IF($K$17&gt;0,$K$18*P37/$K$17,0))</f>
        <v>232367.171443857</v>
      </c>
      <c r="E37" s="45" t="n">
        <f aca="false">L37+D37/$K$2</f>
        <v>179.1727522123</v>
      </c>
      <c r="F37" s="117" t="n">
        <f aca="false">IF($K$9=0,0,E37/$K$9)</f>
        <v>0.0338170556256534</v>
      </c>
      <c r="G37" s="117" t="n">
        <f aca="false">G36+F37</f>
        <v>0.425732933210451</v>
      </c>
      <c r="H37" s="138" t="n">
        <v>233262.22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RESUMO'!AJ15</f>
        <v>0</v>
      </c>
      <c r="N37" s="140" t="n">
        <f aca="false">MAX(0,M37-M36)</f>
        <v>0</v>
      </c>
      <c r="O37" s="139" t="str">
        <f aca="false">IF(B37&lt;='VALOR POR PL'!$P$5,'CP RESUMO'!AJ57,"")</f>
        <v/>
      </c>
      <c r="P37" s="66" t="n">
        <f aca="false">IF(B37&lt;='VALOR POR PL'!$P$5,0,IF(OR($K$16="CURVA PREVISION",$K$16="MDO PREVISION + MATERIAL PREMISSA"),N37,IF($K$16="PREVISÃO INFORMADA",MAX(0,H37),0)))</f>
        <v>233262.22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HISTORICOS'!AK15)</f>
        <v>0</v>
      </c>
      <c r="D38" s="45" t="n">
        <f aca="false">IF(B38&lt;='VALOR POR PL'!$P$5,0,IF($K$17&gt;0,$K$18*P38/$K$17,0))</f>
        <v>228711.253570835</v>
      </c>
      <c r="E38" s="45" t="n">
        <f aca="false">L38+D38/$K$2</f>
        <v>176.353761633289</v>
      </c>
      <c r="F38" s="117" t="n">
        <f aca="false">IF($K$9=0,0,E38/$K$9)</f>
        <v>0.0332849994952344</v>
      </c>
      <c r="G38" s="117" t="n">
        <f aca="false">G37+F38</f>
        <v>0.459017932705686</v>
      </c>
      <c r="H38" s="138" t="n">
        <v>229592.22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RESUMO'!AK15</f>
        <v>0</v>
      </c>
      <c r="N38" s="140" t="n">
        <f aca="false">MAX(0,M38-M37)</f>
        <v>0</v>
      </c>
      <c r="O38" s="139" t="str">
        <f aca="false">IF(B38&lt;='VALOR POR PL'!$P$5,'CP RESUMO'!AK57,"")</f>
        <v/>
      </c>
      <c r="P38" s="66" t="n">
        <f aca="false">IF(B38&lt;='VALOR POR PL'!$P$5,0,IF(OR($K$16="CURVA PREVISION",$K$16="MDO PREVISION + MATERIAL PREMISSA"),N38,IF($K$16="PREVISÃO INFORMADA",MAX(0,H38),0)))</f>
        <v>229592.22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HISTORICOS'!AL15)</f>
        <v>0</v>
      </c>
      <c r="D39" s="45" t="n">
        <f aca="false">IF(B39&lt;='VALOR POR PL'!$P$5,0,IF($K$17&gt;0,$K$18*P39/$K$17,0))</f>
        <v>285669.208828893</v>
      </c>
      <c r="E39" s="45" t="n">
        <f aca="false">L39+D39/$K$2</f>
        <v>220.272674707622</v>
      </c>
      <c r="F39" s="117" t="n">
        <f aca="false">IF($K$9=0,0,E39/$K$9)</f>
        <v>0.0415742527891346</v>
      </c>
      <c r="G39" s="117" t="n">
        <f aca="false">G38+F39</f>
        <v>0.50059218549482</v>
      </c>
      <c r="H39" s="138" t="n">
        <v>286769.57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RESUMO'!AL15</f>
        <v>0</v>
      </c>
      <c r="N39" s="140" t="n">
        <f aca="false">MAX(0,M39-M38)</f>
        <v>0</v>
      </c>
      <c r="O39" s="139" t="str">
        <f aca="false">IF(B39&lt;='VALOR POR PL'!$P$5,'CP RESUMO'!AL57,"")</f>
        <v/>
      </c>
      <c r="P39" s="66" t="n">
        <f aca="false">IF(B39&lt;='VALOR POR PL'!$P$5,0,IF(OR($K$16="CURVA PREVISION",$K$16="MDO PREVISION + MATERIAL PREMISSA"),N39,IF($K$16="PREVISÃO INFORMADA",MAX(0,H39),0)))</f>
        <v>286769.57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HISTORICOS'!AM15)</f>
        <v>0</v>
      </c>
      <c r="D40" s="45" t="n">
        <f aca="false">IF(B40&lt;='VALOR POR PL'!$P$5,0,IF($K$17&gt;0,$K$18*P40/$K$17,0))</f>
        <v>325964.287352041</v>
      </c>
      <c r="E40" s="45" t="n">
        <f aca="false">L40+D40/$K$2</f>
        <v>251.343243216683</v>
      </c>
      <c r="F40" s="117" t="n">
        <f aca="false">IF($K$9=0,0,E40/$K$9)</f>
        <v>0.0474385102201228</v>
      </c>
      <c r="G40" s="117" t="n">
        <f aca="false">G39+F40</f>
        <v>0.548030695714943</v>
      </c>
      <c r="H40" s="138" t="n">
        <v>327219.86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RESUMO'!AM15</f>
        <v>0</v>
      </c>
      <c r="N40" s="140" t="n">
        <f aca="false">MAX(0,M40-M39)</f>
        <v>0</v>
      </c>
      <c r="O40" s="139" t="str">
        <f aca="false">IF(B40&lt;='VALOR POR PL'!$P$5,'CP RESUMO'!AM57,"")</f>
        <v/>
      </c>
      <c r="P40" s="66" t="n">
        <f aca="false">IF(B40&lt;='VALOR POR PL'!$P$5,0,IF(OR($K$16="CURVA PREVISION",$K$16="MDO PREVISION + MATERIAL PREMISSA"),N40,IF($K$16="PREVISÃO INFORMADA",MAX(0,H40),0)))</f>
        <v>327219.86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HISTORICOS'!AN15)</f>
        <v>0</v>
      </c>
      <c r="D41" s="45" t="n">
        <f aca="false">IF(B41&lt;='VALOR POR PL'!$P$5,0,IF($K$17&gt;0,$K$18*P41/$K$17,0))</f>
        <v>262636.039643862</v>
      </c>
      <c r="E41" s="45" t="n">
        <f aca="false">L41+D41/$K$2</f>
        <v>202.512350435436</v>
      </c>
      <c r="F41" s="117" t="n">
        <f aca="false">IF($K$9=0,0,E41/$K$9)</f>
        <v>0.0382221701402588</v>
      </c>
      <c r="G41" s="117" t="n">
        <f aca="false">G40+F41</f>
        <v>0.586252865855202</v>
      </c>
      <c r="H41" s="138" t="n">
        <v>263647.68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RESUMO'!AN15</f>
        <v>0</v>
      </c>
      <c r="N41" s="140" t="n">
        <f aca="false">MAX(0,M41-M40)</f>
        <v>0</v>
      </c>
      <c r="O41" s="139" t="str">
        <f aca="false">IF(B41&lt;='VALOR POR PL'!$P$5,'CP RESUMO'!AN57,"")</f>
        <v/>
      </c>
      <c r="P41" s="66" t="n">
        <f aca="false">IF(B41&lt;='VALOR POR PL'!$P$5,0,IF(OR($K$16="CURVA PREVISION",$K$16="MDO PREVISION + MATERIAL PREMISSA"),N41,IF($K$16="PREVISÃO INFORMADA",MAX(0,H41),0)))</f>
        <v>263647.68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HISTORICOS'!AO15)</f>
        <v>0</v>
      </c>
      <c r="D42" s="45" t="n">
        <f aca="false">IF(B42&lt;='VALOR POR PL'!$P$5,0,IF($K$17&gt;0,$K$18*P42/$K$17,0))</f>
        <v>244067.563035376</v>
      </c>
      <c r="E42" s="45" t="n">
        <f aca="false">L42+D42/$K$2</f>
        <v>188.194643516427</v>
      </c>
      <c r="F42" s="117" t="n">
        <f aca="false">IF($K$9=0,0,E42/$K$9)</f>
        <v>0.0355198469056511</v>
      </c>
      <c r="G42" s="117" t="n">
        <f aca="false">G41+F42</f>
        <v>0.621772712760853</v>
      </c>
      <c r="H42" s="138" t="n">
        <v>245007.68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RESUMO'!AO15</f>
        <v>0</v>
      </c>
      <c r="N42" s="140" t="n">
        <f aca="false">MAX(0,M42-M41)</f>
        <v>0</v>
      </c>
      <c r="O42" s="139" t="str">
        <f aca="false">IF(B42&lt;='VALOR POR PL'!$P$5,'CP RESUMO'!AO57,"")</f>
        <v/>
      </c>
      <c r="P42" s="66" t="n">
        <f aca="false">IF(B42&lt;='VALOR POR PL'!$P$5,0,IF(OR($K$16="CURVA PREVISION",$K$16="MDO PREVISION + MATERIAL PREMISSA"),N42,IF($K$16="PREVISÃO INFORMADA",MAX(0,H42),0)))</f>
        <v>245007.68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HISTORICOS'!AP15)</f>
        <v>0</v>
      </c>
      <c r="D43" s="45" t="n">
        <f aca="false">IF(B43&lt;='VALOR POR PL'!$P$5,0,IF($K$17&gt;0,$K$18*P43/$K$17,0))</f>
        <v>248052.214668098</v>
      </c>
      <c r="E43" s="45" t="n">
        <f aca="false">L43+D43/$K$2</f>
        <v>191.267112812352</v>
      </c>
      <c r="F43" s="117" t="n">
        <f aca="false">IF($K$9=0,0,E43/$K$9)</f>
        <v>0.036099744595481</v>
      </c>
      <c r="G43" s="117" t="n">
        <f aca="false">G42+F43</f>
        <v>0.657872457356334</v>
      </c>
      <c r="H43" s="138" t="n">
        <v>249007.68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RESUMO'!AP15</f>
        <v>0</v>
      </c>
      <c r="N43" s="140" t="n">
        <f aca="false">MAX(0,M43-M42)</f>
        <v>0</v>
      </c>
      <c r="O43" s="139" t="str">
        <f aca="false">IF(B43&lt;='VALOR POR PL'!$P$5,'CP RESUMO'!AP57,"")</f>
        <v/>
      </c>
      <c r="P43" s="66" t="n">
        <f aca="false">IF(B43&lt;='VALOR POR PL'!$P$5,0,IF(OR($K$16="CURVA PREVISION",$K$16="MDO PREVISION + MATERIAL PREMISSA"),N43,IF($K$16="PREVISÃO INFORMADA",MAX(0,H43),0)))</f>
        <v>249007.68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HISTORICOS'!AQ15)</f>
        <v>0</v>
      </c>
      <c r="D44" s="45" t="n">
        <f aca="false">IF(B44&lt;='VALOR POR PL'!$P$5,0,IF($K$17&gt;0,$K$18*P44/$K$17,0))</f>
        <v>238768.972526764</v>
      </c>
      <c r="E44" s="45" t="n">
        <f aca="false">L44+D44/$K$2</f>
        <v>184.109027470172</v>
      </c>
      <c r="F44" s="117" t="n">
        <f aca="false">IF($K$9=0,0,E44/$K$9)</f>
        <v>0.0347487279525996</v>
      </c>
      <c r="G44" s="117" t="n">
        <f aca="false">G43+F44</f>
        <v>0.692621185308933</v>
      </c>
      <c r="H44" s="138" t="n">
        <v>239688.68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RESUMO'!AQ15</f>
        <v>0</v>
      </c>
      <c r="N44" s="140" t="n">
        <f aca="false">MAX(0,M44-M43)</f>
        <v>0</v>
      </c>
      <c r="O44" s="139" t="str">
        <f aca="false">IF(B44&lt;='VALOR POR PL'!$P$5,'CP RESUMO'!AQ57,"")</f>
        <v/>
      </c>
      <c r="P44" s="66" t="n">
        <f aca="false">IF(B44&lt;='VALOR POR PL'!$P$5,0,IF(OR($K$16="CURVA PREVISION",$K$16="MDO PREVISION + MATERIAL PREMISSA"),N44,IF($K$16="PREVISÃO INFORMADA",MAX(0,H44),0)))</f>
        <v>239688.68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HISTORICOS'!AR15)</f>
        <v>0</v>
      </c>
      <c r="D45" s="45" t="n">
        <f aca="false">IF(B45&lt;='VALOR POR PL'!$P$5,0,IF($K$17&gt;0,$K$18*P45/$K$17,0))</f>
        <v>249666.994742259</v>
      </c>
      <c r="E45" s="45" t="n">
        <f aca="false">L45+D45/$K$2</f>
        <v>192.512230994525</v>
      </c>
      <c r="F45" s="117" t="n">
        <f aca="false">IF($K$9=0,0,E45/$K$9)</f>
        <v>0.0363347481342846</v>
      </c>
      <c r="G45" s="117" t="n">
        <f aca="false">G44+F45</f>
        <v>0.728955933443218</v>
      </c>
      <c r="H45" s="138" t="n">
        <v>250628.68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RESUMO'!AR15</f>
        <v>0</v>
      </c>
      <c r="N45" s="140" t="n">
        <f aca="false">MAX(0,M45-M44)</f>
        <v>0</v>
      </c>
      <c r="O45" s="139" t="str">
        <f aca="false">IF(B45&lt;='VALOR POR PL'!$P$5,'CP RESUMO'!AR57,"")</f>
        <v/>
      </c>
      <c r="P45" s="66" t="n">
        <f aca="false">IF(B45&lt;='VALOR POR PL'!$P$5,0,IF(OR($K$16="CURVA PREVISION",$K$16="MDO PREVISION + MATERIAL PREMISSA"),N45,IF($K$16="PREVISÃO INFORMADA",MAX(0,H45),0)))</f>
        <v>250628.68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HISTORICOS'!AS15)</f>
        <v>0</v>
      </c>
      <c r="D46" s="45" t="n">
        <f aca="false">IF(B46&lt;='VALOR POR PL'!$P$5,0,IF($K$17&gt;0,$K$18*P46/$K$17,0))</f>
        <v>262244.547620947</v>
      </c>
      <c r="E46" s="45" t="n">
        <f aca="false">L46+D46/$K$2</f>
        <v>202.210480327111</v>
      </c>
      <c r="F46" s="117" t="n">
        <f aca="false">IF($K$9=0,0,E46/$K$9)</f>
        <v>0.038165195192233</v>
      </c>
      <c r="G46" s="117" t="n">
        <f aca="false">G45+F46</f>
        <v>0.767121128635451</v>
      </c>
      <c r="H46" s="138" t="n">
        <v>263254.68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RESUMO'!AS15</f>
        <v>0</v>
      </c>
      <c r="N46" s="140" t="n">
        <f aca="false">MAX(0,M46-M45)</f>
        <v>0</v>
      </c>
      <c r="O46" s="139" t="str">
        <f aca="false">IF(B46&lt;='VALOR POR PL'!$P$5,'CP RESUMO'!AS57,"")</f>
        <v/>
      </c>
      <c r="P46" s="66" t="n">
        <f aca="false">IF(B46&lt;='VALOR POR PL'!$P$5,0,IF(OR($K$16="CURVA PREVISION",$K$16="MDO PREVISION + MATERIAL PREMISSA"),N46,IF($K$16="PREVISÃO INFORMADA",MAX(0,H46),0)))</f>
        <v>263254.68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HISTORICOS'!AT15)</f>
        <v>0</v>
      </c>
      <c r="D47" s="45" t="n">
        <f aca="false">IF(B47&lt;='VALOR POR PL'!$P$5,0,IF($K$17&gt;0,$K$18*P47/$K$17,0))</f>
        <v>248790.989004063</v>
      </c>
      <c r="E47" s="45" t="n">
        <f aca="false">L47+D47/$K$2</f>
        <v>191.836763982163</v>
      </c>
      <c r="F47" s="117" t="n">
        <f aca="false">IF($K$9=0,0,E47/$K$9)</f>
        <v>0.036207260526664</v>
      </c>
      <c r="G47" s="117" t="n">
        <f aca="false">G46+F47</f>
        <v>0.803328389162115</v>
      </c>
      <c r="H47" s="138" t="n">
        <v>249749.3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RESUMO'!AT15</f>
        <v>0</v>
      </c>
      <c r="N47" s="140" t="n">
        <f aca="false">MAX(0,M47-M46)</f>
        <v>0</v>
      </c>
      <c r="O47" s="139" t="str">
        <f aca="false">IF(B47&lt;='VALOR POR PL'!$P$5,'CP RESUMO'!AT57,"")</f>
        <v/>
      </c>
      <c r="P47" s="66" t="n">
        <f aca="false">IF(B47&lt;='VALOR POR PL'!$P$5,0,IF(OR($K$16="CURVA PREVISION",$K$16="MDO PREVISION + MATERIAL PREMISSA"),N47,IF($K$16="PREVISÃO INFORMADA",MAX(0,H47),0)))</f>
        <v>249749.3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HISTORICOS'!AU15)</f>
        <v>2846.91</v>
      </c>
      <c r="D48" s="45" t="n">
        <f aca="false">IF(B48&lt;='VALOR POR PL'!$P$5,0,IF($K$17&gt;0,$K$18*P48/$K$17,0))</f>
        <v>259864.943550772</v>
      </c>
      <c r="E48" s="45" t="n">
        <f aca="false">L48+D48/$K$2</f>
        <v>202.57080872054</v>
      </c>
      <c r="F48" s="117" t="n">
        <f aca="false">IF($K$9=0,0,E48/$K$9)</f>
        <v>0.0382332035538484</v>
      </c>
      <c r="G48" s="117" t="n">
        <f aca="false">G47+F48</f>
        <v>0.841561592715963</v>
      </c>
      <c r="H48" s="138" t="n">
        <v>260865.91</v>
      </c>
      <c r="L48" s="45" t="n">
        <f aca="false">C48/IF(B48&lt;='VALOR POR PL'!$P$5,IFERROR(INDEX('"INCC-FGV"'!$B$2:$B$800,MATCH(B48,'"INCC-FGV"'!$A$2:$A$800,0)),$K$2),$K$2)</f>
        <v>2.19518401343523</v>
      </c>
      <c r="M48" s="139" t="n">
        <f aca="false">'CP RESUMO'!AU15</f>
        <v>0</v>
      </c>
      <c r="N48" s="140" t="n">
        <f aca="false">MAX(0,M48-M47)</f>
        <v>0</v>
      </c>
      <c r="O48" s="139" t="str">
        <f aca="false">IF(B48&lt;='VALOR POR PL'!$P$5,'CP RESUMO'!AU57,"")</f>
        <v/>
      </c>
      <c r="P48" s="66" t="n">
        <f aca="false">IF(B48&lt;='VALOR POR PL'!$P$5,0,IF(OR($K$16="CURVA PREVISION",$K$16="MDO PREVISION + MATERIAL PREMISSA"),N48,IF($K$16="PREVISÃO INFORMADA",MAX(0,H48),0)))</f>
        <v>260865.91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HISTORICOS'!AV15)</f>
        <v>0</v>
      </c>
      <c r="D49" s="45" t="n">
        <f aca="false">IF(B49&lt;='VALOR POR PL'!$P$5,0,IF($K$17&gt;0,$K$18*P49/$K$17,0))</f>
        <v>317466.778666163</v>
      </c>
      <c r="E49" s="45" t="n">
        <f aca="false">L49+D49/$K$2</f>
        <v>244.791018094966</v>
      </c>
      <c r="F49" s="117" t="n">
        <f aca="false">IF($K$9=0,0,E49/$K$9)</f>
        <v>0.046201843602699</v>
      </c>
      <c r="G49" s="117" t="n">
        <f aca="false">G48+F49</f>
        <v>0.887763436318662</v>
      </c>
      <c r="H49" s="138" t="n">
        <v>318689.62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RESUMO'!AV15</f>
        <v>0</v>
      </c>
      <c r="N49" s="140" t="n">
        <f aca="false">MAX(0,M49-M48)</f>
        <v>0</v>
      </c>
      <c r="O49" s="139" t="str">
        <f aca="false">IF(B49&lt;='VALOR POR PL'!$P$5,'CP RESUMO'!AV57,"")</f>
        <v/>
      </c>
      <c r="P49" s="66" t="n">
        <f aca="false">IF(B49&lt;='VALOR POR PL'!$P$5,0,IF(OR($K$16="CURVA PREVISION",$K$16="MDO PREVISION + MATERIAL PREMISSA"),N49,IF($K$16="PREVISÃO INFORMADA",MAX(0,H49),0)))</f>
        <v>318689.62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HISTORICOS'!AW15)</f>
        <v>0</v>
      </c>
      <c r="D50" s="45" t="n">
        <f aca="false">IF(B50&lt;='VALOR POR PL'!$P$5,0,IF($K$17&gt;0,$K$18*P50/$K$17,0))</f>
        <v>209114.816534139</v>
      </c>
      <c r="E50" s="45" t="n">
        <f aca="false">L50+D50/$K$2</f>
        <v>161.243419085318</v>
      </c>
      <c r="F50" s="117" t="n">
        <f aca="false">IF($K$9=0,0,E50/$K$9)</f>
        <v>0.0304330742546044</v>
      </c>
      <c r="G50" s="117" t="n">
        <f aca="false">G49+F50</f>
        <v>0.918196510573267</v>
      </c>
      <c r="H50" s="138" t="n">
        <v>209920.3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RESUMO'!AW15</f>
        <v>0</v>
      </c>
      <c r="N50" s="140" t="n">
        <f aca="false">MAX(0,M50-M49)</f>
        <v>0</v>
      </c>
      <c r="O50" s="139" t="str">
        <f aca="false">IF(B50&lt;='VALOR POR PL'!$P$5,'CP RESUMO'!AW57,"")</f>
        <v/>
      </c>
      <c r="P50" s="66" t="n">
        <f aca="false">IF(B50&lt;='VALOR POR PL'!$P$5,0,IF(OR($K$16="CURVA PREVISION",$K$16="MDO PREVISION + MATERIAL PREMISSA"),N50,IF($K$16="PREVISÃO INFORMADA",MAX(0,H50),0)))</f>
        <v>209920.3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HISTORICOS'!AX15)</f>
        <v>0</v>
      </c>
      <c r="D51" s="45" t="n">
        <f aca="false">IF(B51&lt;='VALOR POR PL'!$P$5,0,IF($K$17&gt;0,$K$18*P51/$K$17,0))</f>
        <v>232571.135799307</v>
      </c>
      <c r="E51" s="45" t="n">
        <f aca="false">L51+D51/$K$2</f>
        <v>179.330024234385</v>
      </c>
      <c r="F51" s="117" t="n">
        <f aca="false">IF($K$9=0,0,E51/$K$9)</f>
        <v>0.0338467391386516</v>
      </c>
      <c r="G51" s="117" t="n">
        <f aca="false">G50+F51</f>
        <v>0.952043249711918</v>
      </c>
      <c r="H51" s="138" t="n">
        <v>233466.97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RESUMO'!AX15</f>
        <v>0</v>
      </c>
      <c r="N51" s="140" t="n">
        <f aca="false">MAX(0,M51-M50)</f>
        <v>0</v>
      </c>
      <c r="O51" s="139" t="str">
        <f aca="false">IF(B51&lt;='VALOR POR PL'!$P$5,'CP RESUMO'!AX57,"")</f>
        <v/>
      </c>
      <c r="P51" s="66" t="n">
        <f aca="false">IF(B51&lt;='VALOR POR PL'!$P$5,0,IF(OR($K$16="CURVA PREVISION",$K$16="MDO PREVISION + MATERIAL PREMISSA"),N51,IF($K$16="PREVISÃO INFORMADA",MAX(0,H51),0)))</f>
        <v>233466.97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HISTORICOS'!AY15)</f>
        <v>0</v>
      </c>
      <c r="D52" s="45" t="n">
        <f aca="false">IF(B52&lt;='VALOR POR PL'!$P$5,0,IF($K$17&gt;0,$K$18*P52/$K$17,0))</f>
        <v>18672.2767835184</v>
      </c>
      <c r="E52" s="45" t="n">
        <f aca="false">L52+D52/$K$2</f>
        <v>14.3977447441673</v>
      </c>
      <c r="F52" s="117" t="n">
        <f aca="false">IF($K$9=0,0,E52/$K$9)</f>
        <v>0.0027174295694278</v>
      </c>
      <c r="G52" s="117" t="n">
        <f aca="false">G51+F52</f>
        <v>0.954760679281346</v>
      </c>
      <c r="H52" s="138" t="n">
        <v>18744.2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RESUMO'!AY15</f>
        <v>0</v>
      </c>
      <c r="N52" s="140" t="n">
        <f aca="false">MAX(0,M52-M51)</f>
        <v>0</v>
      </c>
      <c r="O52" s="139" t="str">
        <f aca="false">IF(B52&lt;='VALOR POR PL'!$P$5,'CP RESUMO'!AY57,"")</f>
        <v/>
      </c>
      <c r="P52" s="66" t="n">
        <f aca="false">IF(B52&lt;='VALOR POR PL'!$P$5,0,IF(OR($K$16="CURVA PREVISION",$K$16="MDO PREVISION + MATERIAL PREMISSA"),N52,IF($K$16="PREVISÃO INFORMADA",MAX(0,H52),0)))</f>
        <v>18744.2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HISTORICOS'!AZ15)</f>
        <v>0</v>
      </c>
      <c r="D53" s="45" t="n">
        <f aca="false">IF(B53&lt;='VALOR POR PL'!$P$5,0,IF($K$17&gt;0,$K$18*P53/$K$17,0))</f>
        <v>108992.504843613</v>
      </c>
      <c r="E53" s="45" t="n">
        <f aca="false">L53+D53/$K$2</f>
        <v>84.0415061301414</v>
      </c>
      <c r="F53" s="117" t="n">
        <f aca="false">IF($K$9=0,0,E53/$K$9)</f>
        <v>0.015861989351479</v>
      </c>
      <c r="G53" s="117" t="n">
        <f aca="false">G52+F53</f>
        <v>0.970622668632825</v>
      </c>
      <c r="H53" s="138" t="n">
        <v>109412.33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RESUMO'!AZ15</f>
        <v>0</v>
      </c>
      <c r="N53" s="140" t="n">
        <f aca="false">MAX(0,M53-M52)</f>
        <v>0</v>
      </c>
      <c r="O53" s="139" t="str">
        <f aca="false">IF(B53&lt;='VALOR POR PL'!$P$5,'CP RESUMO'!AZ57,"")</f>
        <v/>
      </c>
      <c r="P53" s="66" t="n">
        <f aca="false">IF(B53&lt;='VALOR POR PL'!$P$5,0,IF(OR($K$16="CURVA PREVISION",$K$16="MDO PREVISION + MATERIAL PREMISSA"),N53,IF($K$16="PREVISÃO INFORMADA",MAX(0,H53),0)))</f>
        <v>109412.33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HISTORICOS'!BA15)</f>
        <v>0</v>
      </c>
      <c r="D54" s="45" t="n">
        <f aca="false">IF(B54&lt;='VALOR POR PL'!$P$5,0,IF($K$17&gt;0,$K$18*P54/$K$17,0))</f>
        <v>104031.613560874</v>
      </c>
      <c r="E54" s="45" t="n">
        <f aca="false">L54+D54/$K$2</f>
        <v>80.2162818567153</v>
      </c>
      <c r="F54" s="117" t="n">
        <f aca="false">IF($K$9=0,0,E54/$K$9)</f>
        <v>0.0151400167276407</v>
      </c>
      <c r="G54" s="117" t="n">
        <f aca="false">G53+F54</f>
        <v>0.985762685360466</v>
      </c>
      <c r="H54" s="138" t="n">
        <v>104432.33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RESUMO'!BA15</f>
        <v>0</v>
      </c>
      <c r="N54" s="140" t="n">
        <f aca="false">MAX(0,M54-M53)</f>
        <v>0</v>
      </c>
      <c r="O54" s="139" t="str">
        <f aca="false">IF(B54&lt;='VALOR POR PL'!$P$5,'CP RESUMO'!BA57,"")</f>
        <v/>
      </c>
      <c r="P54" s="66" t="n">
        <f aca="false">IF(B54&lt;='VALOR POR PL'!$P$5,0,IF(OR($K$16="CURVA PREVISION",$K$16="MDO PREVISION + MATERIAL PREMISSA"),N54,IF($K$16="PREVISÃO INFORMADA",MAX(0,H54),0)))</f>
        <v>104432.33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HISTORICOS'!BB15)</f>
        <v>0</v>
      </c>
      <c r="D55" s="45" t="n">
        <f aca="false">IF(B55&lt;='VALOR POR PL'!$P$5,0,IF($K$17&gt;0,$K$18*P55/$K$17,0))</f>
        <v>85794.4208891322</v>
      </c>
      <c r="E55" s="45" t="n">
        <f aca="false">L55+D55/$K$2</f>
        <v>66.15402003497</v>
      </c>
      <c r="F55" s="117" t="n">
        <f aca="false">IF($K$9=0,0,E55/$K$9)</f>
        <v>0.0124859061869654</v>
      </c>
      <c r="G55" s="117" t="n">
        <f aca="false">G54+F55</f>
        <v>0.998248591547431</v>
      </c>
      <c r="H55" s="138" t="n">
        <v>86124.89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RESUMO'!BB15</f>
        <v>0</v>
      </c>
      <c r="N55" s="140" t="n">
        <f aca="false">MAX(0,M55-M54)</f>
        <v>0</v>
      </c>
      <c r="O55" s="139" t="str">
        <f aca="false">IF(B55&lt;='VALOR POR PL'!$P$5,'CP RESUMO'!BB57,"")</f>
        <v/>
      </c>
      <c r="P55" s="66" t="n">
        <f aca="false">IF(B55&lt;='VALOR POR PL'!$P$5,0,IF(OR($K$16="CURVA PREVISION",$K$16="MDO PREVISION + MATERIAL PREMISSA"),N55,IF($K$16="PREVISÃO INFORMADA",MAX(0,H55),0)))</f>
        <v>86124.89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HISTORICOS'!BC15)</f>
        <v>0</v>
      </c>
      <c r="D56" s="45" t="n">
        <f aca="false">IF(B56&lt;='VALOR POR PL'!$P$5,0,IF($K$17&gt;0,$K$18*P56/$K$17,0))</f>
        <v>6327.89575674823</v>
      </c>
      <c r="E56" s="45" t="n">
        <f aca="false">L56+D56/$K$2</f>
        <v>4.87928863360567</v>
      </c>
      <c r="F56" s="117" t="n">
        <f aca="false">IF($K$9=0,0,E56/$K$9)</f>
        <v>0.00092091667454408</v>
      </c>
      <c r="G56" s="117" t="n">
        <f aca="false">G55+F56</f>
        <v>0.999169508221975</v>
      </c>
      <c r="H56" s="138" t="n">
        <v>6352.27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RESUMO'!BC15</f>
        <v>0</v>
      </c>
      <c r="N56" s="140" t="n">
        <f aca="false">MAX(0,M56-M55)</f>
        <v>0</v>
      </c>
      <c r="O56" s="139" t="str">
        <f aca="false">IF(B56&lt;='VALOR POR PL'!$P$5,'CP RESUMO'!BC57,"")</f>
        <v/>
      </c>
      <c r="P56" s="66" t="n">
        <f aca="false">IF(B56&lt;='VALOR POR PL'!$P$5,0,IF(OR($K$16="CURVA PREVISION",$K$16="MDO PREVISION + MATERIAL PREMISSA"),N56,IF($K$16="PREVISÃO INFORMADA",MAX(0,H56),0)))</f>
        <v>6352.27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HISTORICOS'!BD15)</f>
        <v>0</v>
      </c>
      <c r="D57" s="45" t="n">
        <f aca="false">IF(B57&lt;='VALOR POR PL'!$P$5,0,IF($K$17&gt;0,$K$18*P57/$K$17,0))</f>
        <v>2853.27953301438</v>
      </c>
      <c r="E57" s="45" t="n">
        <f aca="false">L57+D57/$K$2</f>
        <v>2.20009540755946</v>
      </c>
      <c r="F57" s="117" t="n">
        <f aca="false">IF($K$9=0,0,E57/$K$9)</f>
        <v>0.000415245889012333</v>
      </c>
      <c r="G57" s="117" t="n">
        <f aca="false">G56+F57</f>
        <v>0.999584754110988</v>
      </c>
      <c r="H57" s="138" t="n">
        <v>2864.27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RESUMO'!BD15</f>
        <v>0</v>
      </c>
      <c r="N57" s="140" t="n">
        <f aca="false">MAX(0,M57-M56)</f>
        <v>0</v>
      </c>
      <c r="O57" s="139" t="str">
        <f aca="false">IF(B57&lt;='VALOR POR PL'!$P$5,'CP RESUMO'!BD57,"")</f>
        <v/>
      </c>
      <c r="P57" s="66" t="n">
        <f aca="false">IF(B57&lt;='VALOR POR PL'!$P$5,0,IF(OR($K$16="CURVA PREVISION",$K$16="MDO PREVISION + MATERIAL PREMISSA"),N57,IF($K$16="PREVISÃO INFORMADA",MAX(0,H57),0)))</f>
        <v>2864.27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HISTORICOS'!BE15)</f>
        <v>0</v>
      </c>
      <c r="D58" s="45" t="n">
        <f aca="false">IF(B58&lt;='VALOR POR PL'!$P$5,0,IF($K$17&gt;0,$K$18*P58/$K$17,0))</f>
        <v>2853.27953301438</v>
      </c>
      <c r="E58" s="45" t="n">
        <f aca="false">L58+D58/$K$2</f>
        <v>2.20009540755946</v>
      </c>
      <c r="F58" s="117" t="n">
        <f aca="false">IF($K$9=0,0,E58/$K$9)</f>
        <v>0.000415245889012333</v>
      </c>
      <c r="G58" s="117" t="n">
        <f aca="false">G57+F58</f>
        <v>1</v>
      </c>
      <c r="H58" s="138" t="n">
        <v>2864.27</v>
      </c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RESUMO'!BE15</f>
        <v>0</v>
      </c>
      <c r="N58" s="140" t="n">
        <f aca="false">MAX(0,M58-M57)</f>
        <v>0</v>
      </c>
      <c r="O58" s="139" t="str">
        <f aca="false">IF(B58&lt;='VALOR POR PL'!$P$5,'CP RESUMO'!BE57,"")</f>
        <v/>
      </c>
      <c r="P58" s="66" t="n">
        <f aca="false">IF(B58&lt;='VALOR POR PL'!$P$5,0,IF(OR($K$16="CURVA PREVISION",$K$16="MDO PREVISION + MATERIAL PREMISSA"),N58,IF($K$16="PREVISÃO INFORMADA",MAX(0,H58),0)))</f>
        <v>2864.27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RESUMO'!BF15</f>
        <v>0</v>
      </c>
      <c r="N59" s="140" t="n">
        <f aca="false">MAX(0,M59-M58)</f>
        <v>0</v>
      </c>
      <c r="O59" s="139" t="str">
        <f aca="false">IF(B59&lt;='VALOR POR PL'!$P$5,'CP RESUMO'!BF57,"")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RESUMO'!BG15</f>
        <v>0</v>
      </c>
      <c r="N60" s="140" t="n">
        <f aca="false">MAX(0,M60-M59)</f>
        <v>0</v>
      </c>
      <c r="O60" s="139" t="str">
        <f aca="false">IF(B60&lt;='VALOR POR PL'!$P$5,'CP RESUMO'!BG57,"")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RESUMO'!BH15</f>
        <v>0</v>
      </c>
      <c r="N61" s="140" t="n">
        <f aca="false">MAX(0,M61-M60)</f>
        <v>0</v>
      </c>
      <c r="O61" s="139" t="str">
        <f aca="false">IF(B61&lt;='VALOR POR PL'!$P$5,'CP RESUMO'!BH57,"")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RESUMO'!BI15</f>
        <v>0</v>
      </c>
      <c r="N62" s="140" t="n">
        <f aca="false">MAX(0,M62-M61)</f>
        <v>0</v>
      </c>
      <c r="O62" s="139" t="str">
        <f aca="false">IF(B62&lt;='VALOR POR PL'!$P$5,'CP RESUMO'!BI57,"")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RESUMO'!BJ15</f>
        <v>0</v>
      </c>
      <c r="N63" s="140" t="n">
        <f aca="false">MAX(0,M63-M62)</f>
        <v>0</v>
      </c>
      <c r="O63" s="139" t="str">
        <f aca="false">IF(B63&lt;='VALOR POR PL'!$P$5,'CP RESUMO'!BJ57,"")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RESUMO'!BK15</f>
        <v>0</v>
      </c>
      <c r="N64" s="140" t="n">
        <f aca="false">MAX(0,M64-M63)</f>
        <v>0</v>
      </c>
      <c r="O64" s="139" t="str">
        <f aca="false">IF(B64&lt;='VALOR POR PL'!$P$5,'CP RESUMO'!BK57,"")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RESUMO'!BL15</f>
        <v>0</v>
      </c>
      <c r="N65" s="140" t="n">
        <f aca="false">MAX(0,M65-M64)</f>
        <v>0</v>
      </c>
      <c r="O65" s="139" t="str">
        <f aca="false">IF(B65&lt;='VALOR POR PL'!$P$5,'CP RESUMO'!BL57,"")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RESUMO'!BM15</f>
        <v>0</v>
      </c>
      <c r="N66" s="140" t="n">
        <f aca="false">MAX(0,M66-M65)</f>
        <v>0</v>
      </c>
      <c r="O66" s="139" t="str">
        <f aca="false">IF(B66&lt;='VALOR POR PL'!$P$5,'CP RESUMO'!BM57,"")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RESUMO'!BN15</f>
        <v>0</v>
      </c>
      <c r="N67" s="140" t="n">
        <f aca="false">MAX(0,M67-M66)</f>
        <v>0</v>
      </c>
      <c r="O67" s="139" t="str">
        <f aca="false">IF(B67&lt;='VALOR POR PL'!$P$5,'CP RESUMO'!BN57,"")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RESUMO'!BO15</f>
        <v>0</v>
      </c>
      <c r="N68" s="140" t="n">
        <f aca="false">MAX(0,M68-M67)</f>
        <v>0</v>
      </c>
      <c r="O68" s="139" t="str">
        <f aca="false">IF(B68&lt;='VALOR POR PL'!$P$5,'CP RESUMO'!BO57,"")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RESUMO'!BP15</f>
        <v>0</v>
      </c>
      <c r="N69" s="140" t="n">
        <f aca="false">MAX(0,M69-M68)</f>
        <v>0</v>
      </c>
      <c r="O69" s="139" t="str">
        <f aca="false">IF(B69&lt;='VALOR POR PL'!$P$5,'CP RESUMO'!BP57,"")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RESUMO'!BQ15</f>
        <v>0</v>
      </c>
      <c r="N70" s="140" t="n">
        <f aca="false">MAX(0,M70-M69)</f>
        <v>0</v>
      </c>
      <c r="O70" s="139" t="str">
        <f aca="false">IF(B70&lt;='VALOR POR PL'!$P$5,'CP RESUMO'!BQ57,"")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RESUMO'!BR15</f>
        <v>0</v>
      </c>
      <c r="N71" s="140" t="n">
        <f aca="false">MAX(0,M71-M70)</f>
        <v>0</v>
      </c>
      <c r="O71" s="139" t="str">
        <f aca="false">IF(B71&lt;='VALOR POR PL'!$P$5,'CP RESUMO'!BR57,"")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RESUMO'!BS15</f>
        <v>0</v>
      </c>
      <c r="N72" s="140" t="n">
        <f aca="false">MAX(0,M72-M71)</f>
        <v>0</v>
      </c>
      <c r="O72" s="139" t="str">
        <f aca="false">IF(B72&lt;='VALOR POR PL'!$P$5,'CP RESUMO'!BS57,"")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RESUMO'!BT15</f>
        <v>0</v>
      </c>
      <c r="N73" s="140" t="n">
        <f aca="false">MAX(0,M73-M72)</f>
        <v>0</v>
      </c>
      <c r="O73" s="139" t="str">
        <f aca="false">IF(B73&lt;='VALOR POR PL'!$P$5,'CP RESUMO'!BT57,"")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RESUMO'!BU15</f>
        <v>0</v>
      </c>
      <c r="N74" s="140" t="n">
        <f aca="false">MAX(0,M74-M73)</f>
        <v>0</v>
      </c>
      <c r="O74" s="139" t="str">
        <f aca="false">IF(B74&lt;='VALOR POR PL'!$P$5,'CP RESUMO'!BU57,"")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RESUMO'!BV15</f>
        <v>0</v>
      </c>
      <c r="N75" s="140" t="n">
        <f aca="false">MAX(0,M75-M74)</f>
        <v>0</v>
      </c>
      <c r="O75" s="139" t="str">
        <f aca="false">IF(B75&lt;='VALOR POR PL'!$P$5,'CP RESUMO'!BV57,"")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RESUMO'!BW15</f>
        <v>0</v>
      </c>
      <c r="N76" s="140" t="n">
        <f aca="false">MAX(0,M76-M75)</f>
        <v>0</v>
      </c>
      <c r="O76" s="139" t="str">
        <f aca="false">IF(B76&lt;='VALOR POR PL'!$P$5,'CP RESUMO'!BW57,"")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749102.79</v>
      </c>
      <c r="D78" s="61" t="n">
        <f aca="false">SUM(D5:D76)</f>
        <v>6105092.26722762</v>
      </c>
      <c r="E78" s="61" t="n">
        <f aca="false">SUM(E5:E76)</f>
        <v>5298.29545764417</v>
      </c>
      <c r="F78" s="145" t="n">
        <f aca="false">SUM(F5:F76)</f>
        <v>1</v>
      </c>
      <c r="H78" s="61" t="n">
        <f aca="false">SUM(H5:H76)</f>
        <v>6128608.3</v>
      </c>
      <c r="L78" s="61" t="n">
        <f aca="false">SUM(L5:L76)</f>
        <v>590.80525051957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PL'!D22</f>
        <v>SERVIÇOS INICIAIS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PL'!F22</f>
        <v>175350.93</v>
      </c>
      <c r="K5" s="56" t="n">
        <f aca="false">'VALOR POR PL'!G22</f>
        <v>144.119392</v>
      </c>
      <c r="L5" s="56" t="n">
        <f aca="false">'DADOS HISTORICOS'!$BZ$16</f>
        <v>0</v>
      </c>
      <c r="M5" s="139" t="n">
        <f aca="false">'CP RESUMO'!D16</f>
        <v>0</v>
      </c>
      <c r="N5" s="140" t="n">
        <v>0</v>
      </c>
      <c r="O5" s="139" t="n">
        <f aca="false">IF(B5&lt;='VALOR POR PL'!$P$5,'CP RESUMO'!D58,"")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PL'!H22</f>
        <v>136.726941995109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RESUMO'!E16</f>
        <v>0</v>
      </c>
      <c r="N6" s="140" t="n">
        <f aca="false">MAX(0,M6-M5)</f>
        <v>0</v>
      </c>
      <c r="O6" s="139" t="n">
        <f aca="false">IF(B6&lt;='VALOR POR PL'!$P$5,'CP RESUMO'!E58,"")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170605.435110053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RESUMO'!F16</f>
        <v>0</v>
      </c>
      <c r="N7" s="140" t="n">
        <f aca="false">MAX(0,M7-M6)</f>
        <v>0</v>
      </c>
      <c r="O7" s="139" t="n">
        <f aca="false">IF(B7&lt;='VALOR POR PL'!$P$5,'CP RESUMO'!F58,"")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93.8887619290509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RESUMO'!G16</f>
        <v>0</v>
      </c>
      <c r="N8" s="140" t="n">
        <f aca="false">MAX(0,M8-M7)</f>
        <v>0</v>
      </c>
      <c r="O8" s="139" t="n">
        <f aca="false">IF(B8&lt;='VALOR POR PL'!$P$5,'CP RESUMO'!G58,"")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170605.435110053</v>
      </c>
      <c r="K9" s="45" t="n">
        <f aca="false">E78</f>
        <v>136.710001919561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RESUMO'!H16</f>
        <v>0</v>
      </c>
      <c r="N9" s="140" t="n">
        <f aca="false">MAX(0,M9-M8)</f>
        <v>0</v>
      </c>
      <c r="O9" s="139" t="n">
        <f aca="false">IF(B9&lt;='VALOR POR PL'!$P$5,'CP RESUMO'!H58,"")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42.8212399905104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RESUMO'!I16</f>
        <v>0</v>
      </c>
      <c r="N10" s="140" t="n">
        <f aca="false">MAX(0,M10-M9)</f>
        <v>0</v>
      </c>
      <c r="O10" s="139" t="n">
        <f aca="false">IF(B10&lt;='VALOR POR PL'!$P$5,'CP RESUMO'!I58,"")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HISTORICOS'!J16)</f>
        <v>29688.12</v>
      </c>
      <c r="D11" s="45" t="n">
        <f aca="false">IF(B11&lt;='VALOR POR PL'!$P$5,0,IF($K$17&gt;0,$K$18*P11/$K$17,0))</f>
        <v>0</v>
      </c>
      <c r="E11" s="45" t="n">
        <f aca="false">L11+D11/$K$2</f>
        <v>24.7502269678677</v>
      </c>
      <c r="F11" s="117" t="n">
        <f aca="false">IF($K$9=0,0,E11/$K$9)</f>
        <v>0.18104181567074</v>
      </c>
      <c r="G11" s="117" t="n">
        <f aca="false">G10+F11</f>
        <v>0.18104181567074</v>
      </c>
      <c r="H11" s="138"/>
      <c r="I11" s="42" t="s">
        <v>2926</v>
      </c>
      <c r="K11" s="56" t="n">
        <f aca="false">SUMPRODUCT((B5:B76&gt;'VALOR POR PL'!$P$5)*H5:H76)</f>
        <v>56654.6</v>
      </c>
      <c r="L11" s="45" t="n">
        <f aca="false">C11/IF(B11&lt;='VALOR POR PL'!$P$5,IFERROR(INDEX('"INCC-FGV"'!$B$2:$B$800,MATCH(B11,'"INCC-FGV"'!$A$2:$A$800,0)),$K$2),$K$2)</f>
        <v>24.7502269678677</v>
      </c>
      <c r="M11" s="139" t="n">
        <f aca="false">'CP RESUMO'!J16</f>
        <v>15.31</v>
      </c>
      <c r="N11" s="140" t="n">
        <f aca="false">MAX(0,M11-M10)</f>
        <v>15.31</v>
      </c>
      <c r="O11" s="139" t="n">
        <f aca="false">IF(B11&lt;='VALOR POR PL'!$P$5,'CP RESUMO'!J58,"")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HISTORICOS'!K16)</f>
        <v>5465.88</v>
      </c>
      <c r="D12" s="45" t="n">
        <f aca="false">IF(B12&lt;='VALOR POR PL'!$P$5,0,IF($K$17&gt;0,$K$18*P12/$K$17,0))</f>
        <v>0</v>
      </c>
      <c r="E12" s="45" t="n">
        <f aca="false">L12+D12/$K$2</f>
        <v>4.51549851256247</v>
      </c>
      <c r="F12" s="117" t="n">
        <f aca="false">IF($K$9=0,0,E12/$K$9)</f>
        <v>0.03302975970419</v>
      </c>
      <c r="G12" s="117" t="n">
        <f aca="false">G11+F12</f>
        <v>0.21407157537493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4.51549851256247</v>
      </c>
      <c r="M12" s="139" t="n">
        <f aca="false">'CP RESUMO'!K16</f>
        <v>100</v>
      </c>
      <c r="N12" s="140" t="n">
        <f aca="false">MAX(0,M12-M11)</f>
        <v>84.69</v>
      </c>
      <c r="O12" s="139" t="n">
        <f aca="false">IF(B12&lt;='VALOR POR PL'!$P$5,'CP RESUMO'!K58,"")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0.21407157537493</v>
      </c>
      <c r="H13" s="138"/>
      <c r="I13" s="42" t="s">
        <v>2928</v>
      </c>
      <c r="K13" s="56" t="str">
        <f aca="false">'VALOR POR PL'!I22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RESUMO'!L16</f>
        <v>100</v>
      </c>
      <c r="N13" s="140" t="n">
        <f aca="false">MAX(0,M13-M12)</f>
        <v>0</v>
      </c>
      <c r="O13" s="139" t="n">
        <f aca="false">IF(B13&lt;='VALOR POR PL'!$P$5,'CP RESUMO'!L58,"")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HISTORICOS'!M16)</f>
        <v>15003.12</v>
      </c>
      <c r="D14" s="45" t="n">
        <f aca="false">IF(B14&lt;='VALOR POR PL'!$P$5,0,IF($K$17&gt;0,$K$18*P14/$K$17,0))</f>
        <v>0</v>
      </c>
      <c r="E14" s="45" t="n">
        <f aca="false">L14+D14/$K$2</f>
        <v>12.3102826099264</v>
      </c>
      <c r="F14" s="117" t="n">
        <f aca="false">IF($K$9=0,0,E14/$K$9)</f>
        <v>0.0900466859562307</v>
      </c>
      <c r="G14" s="117" t="n">
        <f aca="false">G13+F14</f>
        <v>0.30411826133116</v>
      </c>
      <c r="H14" s="138"/>
      <c r="I14" s="42" t="s">
        <v>2929</v>
      </c>
      <c r="K14" s="58" t="n">
        <f aca="false">IFERROR(INDEX('CP RESUMO'!$D$58:$BW$58,MATCH('VALOR POR PL'!$P$5,'CP RESUMO'!$D$4:$BW$4,0))/100,0)</f>
        <v>1</v>
      </c>
      <c r="L14" s="45" t="n">
        <f aca="false">C14/IF(B14&lt;='VALOR POR PL'!$P$5,IFERROR(INDEX('"INCC-FGV"'!$B$2:$B$800,MATCH(B14,'"INCC-FGV"'!$A$2:$A$800,0)),$K$2),$K$2)</f>
        <v>12.3102826099264</v>
      </c>
      <c r="M14" s="139" t="n">
        <f aca="false">'CP RESUMO'!M16</f>
        <v>100</v>
      </c>
      <c r="N14" s="140" t="n">
        <f aca="false">MAX(0,M14-M13)</f>
        <v>0</v>
      </c>
      <c r="O14" s="139" t="n">
        <f aca="false">IF(B14&lt;='VALOR POR PL'!$P$5,'CP RESUMO'!M58,"")</f>
        <v>100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HISTORICOS'!N16)</f>
        <v>8525.88</v>
      </c>
      <c r="D15" s="45" t="n">
        <f aca="false">IF(B15&lt;='VALOR POR PL'!$P$5,0,IF($K$17&gt;0,$K$18*P15/$K$17,0))</f>
        <v>0</v>
      </c>
      <c r="E15" s="45" t="n">
        <f aca="false">L15+D15/$K$2</f>
        <v>6.97495655930024</v>
      </c>
      <c r="F15" s="117" t="n">
        <f aca="false">IF($K$9=0,0,E15/$K$9)</f>
        <v>0.05102008968886</v>
      </c>
      <c r="G15" s="117" t="n">
        <f aca="false">G14+F15</f>
        <v>0.35513835102002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6.97495655930024</v>
      </c>
      <c r="M15" s="139" t="n">
        <f aca="false">'CP RESUMO'!N16</f>
        <v>100</v>
      </c>
      <c r="N15" s="140" t="n">
        <f aca="false">MAX(0,M15-M14)</f>
        <v>0</v>
      </c>
      <c r="O15" s="139" t="n">
        <f aca="false">IF(B15&lt;='VALOR POR PL'!$P$5,'CP RESUMO'!N58,"")</f>
        <v>100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HISTORICOS'!O16)</f>
        <v>9755.94</v>
      </c>
      <c r="D16" s="45" t="n">
        <f aca="false">IF(B16&lt;='VALOR POR PL'!$P$5,0,IF($K$17&gt;0,$K$18*P16/$K$17,0))</f>
        <v>0</v>
      </c>
      <c r="E16" s="45" t="n">
        <f aca="false">L16+D16/$K$2</f>
        <v>7.95991948650208</v>
      </c>
      <c r="F16" s="117" t="n">
        <f aca="false">IF($K$9=0,0,E16/$K$9)</f>
        <v>0.0582248509599584</v>
      </c>
      <c r="G16" s="117" t="n">
        <f aca="false">G15+F16</f>
        <v>0.413363201979979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7.95991948650208</v>
      </c>
      <c r="M16" s="139" t="n">
        <f aca="false">'CP RESUMO'!O16</f>
        <v>100</v>
      </c>
      <c r="N16" s="140" t="n">
        <f aca="false">MAX(0,M16-M15)</f>
        <v>0</v>
      </c>
      <c r="O16" s="139" t="n">
        <f aca="false">IF(B16&lt;='VALOR POR PL'!$P$5,'CP RESUMO'!O58,"")</f>
        <v>100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HISTORICOS'!P16)</f>
        <v>13712.62</v>
      </c>
      <c r="D17" s="45" t="n">
        <f aca="false">IF(B17&lt;='VALOR POR PL'!$P$5,0,IF($K$17&gt;0,$K$18*P17/$K$17,0))</f>
        <v>0</v>
      </c>
      <c r="E17" s="45" t="n">
        <f aca="false">L17+D17/$K$2</f>
        <v>11.1651648277384</v>
      </c>
      <c r="F17" s="117" t="n">
        <f aca="false">IF($K$9=0,0,E17/$K$9)</f>
        <v>0.0816704313581083</v>
      </c>
      <c r="G17" s="117" t="n">
        <f aca="false">G16+F17</f>
        <v>0.495033633338087</v>
      </c>
      <c r="H17" s="138"/>
      <c r="I17" s="42" t="s">
        <v>2933</v>
      </c>
      <c r="K17" s="45" t="n">
        <f aca="false">SUM(P5:P76)</f>
        <v>56654.6</v>
      </c>
      <c r="L17" s="45" t="n">
        <f aca="false">C17/IF(B17&lt;='VALOR POR PL'!$P$5,IFERROR(INDEX('"INCC-FGV"'!$B$2:$B$800,MATCH(B17,'"INCC-FGV"'!$A$2:$A$800,0)),$K$2),$K$2)</f>
        <v>11.1651648277384</v>
      </c>
      <c r="M17" s="139" t="n">
        <f aca="false">'CP RESUMO'!P16</f>
        <v>100</v>
      </c>
      <c r="N17" s="140" t="n">
        <f aca="false">MAX(0,M17-M16)</f>
        <v>0</v>
      </c>
      <c r="O17" s="139" t="n">
        <f aca="false">IF(B17&lt;='VALOR POR PL'!$P$5,'CP RESUMO'!P58,"")</f>
        <v>100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HISTORICOS'!Q16)</f>
        <v>9641.44</v>
      </c>
      <c r="D18" s="45" t="n">
        <f aca="false">IF(B18&lt;='VALOR POR PL'!$P$5,0,IF($K$17&gt;0,$K$18*P18/$K$17,0))</f>
        <v>0</v>
      </c>
      <c r="E18" s="45" t="n">
        <f aca="false">L18+D18/$K$2</f>
        <v>7.79398497699339</v>
      </c>
      <c r="F18" s="117" t="n">
        <f aca="false">IF($K$9=0,0,E18/$K$9)</f>
        <v>0.0570110808833087</v>
      </c>
      <c r="G18" s="117" t="n">
        <f aca="false">G17+F18</f>
        <v>0.552044714221396</v>
      </c>
      <c r="H18" s="138"/>
      <c r="I18" s="42" t="s">
        <v>2934</v>
      </c>
      <c r="K18" s="45" t="n">
        <f aca="false">MAX(0,K10)*$K$2</f>
        <v>55534.3951100531</v>
      </c>
      <c r="L18" s="45" t="n">
        <f aca="false">C18/IF(B18&lt;='VALOR POR PL'!$P$5,IFERROR(INDEX('"INCC-FGV"'!$B$2:$B$800,MATCH(B18,'"INCC-FGV"'!$A$2:$A$800,0)),$K$2),$K$2)</f>
        <v>7.79398497699339</v>
      </c>
      <c r="M18" s="139" t="n">
        <f aca="false">'CP RESUMO'!Q16</f>
        <v>100</v>
      </c>
      <c r="N18" s="140" t="n">
        <f aca="false">MAX(0,M18-M17)</f>
        <v>0</v>
      </c>
      <c r="O18" s="139" t="n">
        <f aca="false">IF(B18&lt;='VALOR POR PL'!$P$5,'CP RESUMO'!Q58,"")</f>
        <v>100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HISTORICOS'!R16)</f>
        <v>1604.07</v>
      </c>
      <c r="D19" s="45" t="n">
        <f aca="false">IF(B19&lt;='VALOR POR PL'!$P$5,0,IF($K$17&gt;0,$K$18*P19/$K$17,0))</f>
        <v>0</v>
      </c>
      <c r="E19" s="45" t="n">
        <f aca="false">L19+D19/$K$2</f>
        <v>1.29310323979166</v>
      </c>
      <c r="F19" s="117" t="n">
        <f aca="false">IF($K$9=0,0,E19/$K$9)</f>
        <v>0.00945873177993597</v>
      </c>
      <c r="G19" s="117" t="n">
        <f aca="false">G18+F19</f>
        <v>0.561503446001332</v>
      </c>
      <c r="H19" s="138"/>
      <c r="I19" s="42" t="s">
        <v>2935</v>
      </c>
      <c r="K19" s="142" t="n">
        <f aca="false">IF(AND(K16="PREVISÃO INFORMADA",K11&gt;0),K18/K11-1,"")</f>
        <v>-0.0197725319735191</v>
      </c>
      <c r="L19" s="45" t="n">
        <f aca="false">C19/IF(B19&lt;='VALOR POR PL'!$P$5,IFERROR(INDEX('"INCC-FGV"'!$B$2:$B$800,MATCH(B19,'"INCC-FGV"'!$A$2:$A$800,0)),$K$2),$K$2)</f>
        <v>1.29310323979166</v>
      </c>
      <c r="M19" s="139" t="n">
        <f aca="false">'CP RESUMO'!R16</f>
        <v>100</v>
      </c>
      <c r="N19" s="140" t="n">
        <f aca="false">MAX(0,M19-M18)</f>
        <v>0</v>
      </c>
      <c r="O19" s="139" t="n">
        <f aca="false">IF(B19&lt;='VALOR POR PL'!$P$5,'CP RESUMO'!R58,"")</f>
        <v>100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HISTORICOS'!S16)</f>
        <v>10302.97</v>
      </c>
      <c r="D20" s="45" t="n">
        <f aca="false">IF(B20&lt;='VALOR POR PL'!$P$5,0,IF($K$17&gt;0,$K$18*P20/$K$17,0))</f>
        <v>0</v>
      </c>
      <c r="E20" s="45" t="n">
        <f aca="false">L20+D20/$K$2</f>
        <v>8.26100622123012</v>
      </c>
      <c r="F20" s="117" t="n">
        <f aca="false">IF($K$9=0,0,E20/$K$9)</f>
        <v>0.0604272262836395</v>
      </c>
      <c r="G20" s="117" t="n">
        <f aca="false">G19+F20</f>
        <v>0.621930672284971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8.26100622123012</v>
      </c>
      <c r="M20" s="139" t="n">
        <f aca="false">'CP RESUMO'!S16</f>
        <v>100</v>
      </c>
      <c r="N20" s="140" t="n">
        <f aca="false">MAX(0,M20-M19)</f>
        <v>0</v>
      </c>
      <c r="O20" s="139" t="n">
        <f aca="false">IF(B20&lt;='VALOR POR PL'!$P$5,'CP RESUMO'!S58,"")</f>
        <v>100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HISTORICOS'!T16)</f>
        <v>3859.6</v>
      </c>
      <c r="D21" s="45" t="n">
        <f aca="false">IF(B21&lt;='VALOR POR PL'!$P$5,0,IF($K$17&gt;0,$K$18*P21/$K$17,0))</f>
        <v>0</v>
      </c>
      <c r="E21" s="45" t="n">
        <f aca="false">L21+D21/$K$2</f>
        <v>3.06402085655403</v>
      </c>
      <c r="F21" s="117" t="n">
        <f aca="false">IF($K$9=0,0,E21/$K$9)</f>
        <v>0.0224125580684058</v>
      </c>
      <c r="G21" s="117" t="n">
        <f aca="false">G20+F21</f>
        <v>0.644343230353377</v>
      </c>
      <c r="H21" s="138"/>
      <c r="K21" s="143"/>
      <c r="L21" s="45" t="n">
        <f aca="false">C21/IF(B21&lt;='VALOR POR PL'!$P$5,IFERROR(INDEX('"INCC-FGV"'!$B$2:$B$800,MATCH(B21,'"INCC-FGV"'!$A$2:$A$800,0)),$K$2),$K$2)</f>
        <v>3.06402085655403</v>
      </c>
      <c r="M21" s="139" t="n">
        <f aca="false">'CP RESUMO'!T16</f>
        <v>100</v>
      </c>
      <c r="N21" s="140" t="n">
        <f aca="false">MAX(0,M21-M20)</f>
        <v>0</v>
      </c>
      <c r="O21" s="139" t="n">
        <f aca="false">IF(B21&lt;='VALOR POR PL'!$P$5,'CP RESUMO'!T58,"")</f>
        <v>100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HISTORICOS'!U16)</f>
        <v>140.4</v>
      </c>
      <c r="D22" s="45" t="n">
        <f aca="false">IF(B22&lt;='VALOR POR PL'!$P$5,0,IF($K$17&gt;0,$K$18*P22/$K$17,0))</f>
        <v>0</v>
      </c>
      <c r="E22" s="45" t="n">
        <f aca="false">L22+D22/$K$2</f>
        <v>0.110490715710694</v>
      </c>
      <c r="F22" s="117" t="n">
        <f aca="false">IF($K$9=0,0,E22/$K$9)</f>
        <v>0.000808212377728627</v>
      </c>
      <c r="G22" s="117" t="n">
        <f aca="false">G21+F22</f>
        <v>0.645151442731106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0.110490715710694</v>
      </c>
      <c r="M22" s="139" t="n">
        <f aca="false">'CP RESUMO'!U16</f>
        <v>100</v>
      </c>
      <c r="N22" s="140" t="n">
        <f aca="false">MAX(0,M22-M21)</f>
        <v>0</v>
      </c>
      <c r="O22" s="139" t="n">
        <f aca="false">IF(B22&lt;='VALOR POR PL'!$P$5,'CP RESUMO'!U58,"")</f>
        <v>100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HISTORICOS'!V16)</f>
        <v>665</v>
      </c>
      <c r="D23" s="45" t="n">
        <f aca="false">IF(B23&lt;='VALOR POR PL'!$P$5,0,IF($K$17&gt;0,$K$18*P23/$K$17,0))</f>
        <v>0</v>
      </c>
      <c r="E23" s="45" t="n">
        <f aca="false">L23+D23/$K$2</f>
        <v>0.519271208715011</v>
      </c>
      <c r="F23" s="117" t="n">
        <f aca="false">IF($K$9=0,0,E23/$K$9)</f>
        <v>0.00379834102424009</v>
      </c>
      <c r="G23" s="117" t="n">
        <f aca="false">G22+F23</f>
        <v>0.648949783755346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0.519271208715011</v>
      </c>
      <c r="M23" s="139" t="n">
        <f aca="false">'CP RESUMO'!V16</f>
        <v>100</v>
      </c>
      <c r="N23" s="140" t="n">
        <f aca="false">MAX(0,M23-M22)</f>
        <v>0</v>
      </c>
      <c r="O23" s="139" t="n">
        <f aca="false">IF(B23&lt;='VALOR POR PL'!$P$5,'CP RESUMO'!V58,"")</f>
        <v>100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0.648949783755346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RESUMO'!W16</f>
        <v>100</v>
      </c>
      <c r="N24" s="140" t="n">
        <f aca="false">MAX(0,M24-M23)</f>
        <v>0</v>
      </c>
      <c r="O24" s="139" t="n">
        <f aca="false">IF(B24&lt;='VALOR POR PL'!$P$5,'CP RESUMO'!W58,"")</f>
        <v>100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0.648949783755346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RESUMO'!X16</f>
        <v>100</v>
      </c>
      <c r="N25" s="140" t="n">
        <f aca="false">MAX(0,M25-M24)</f>
        <v>0</v>
      </c>
      <c r="O25" s="139" t="n">
        <f aca="false">IF(B25&lt;='VALOR POR PL'!$P$5,'CP RESUMO'!X58,"")</f>
        <v>100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HISTORICOS'!Y16)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0.648949783755346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RESUMO'!Y16</f>
        <v>100</v>
      </c>
      <c r="N26" s="140" t="n">
        <f aca="false">MAX(0,M26-M25)</f>
        <v>0</v>
      </c>
      <c r="O26" s="139" t="str">
        <f aca="false">IF(B26&lt;='VALOR POR PL'!$P$5,'CP RESUMO'!Y58,"")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HISTORICOS'!Z16)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0.648949783755346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RESUMO'!Z16</f>
        <v>100</v>
      </c>
      <c r="N27" s="140" t="n">
        <f aca="false">MAX(0,M27-M26)</f>
        <v>0</v>
      </c>
      <c r="O27" s="139" t="str">
        <f aca="false">IF(B27&lt;='VALOR POR PL'!$P$5,'CP RESUMO'!Z58,"")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HISTORICOS'!AA16)</f>
        <v>3801</v>
      </c>
      <c r="D28" s="45" t="n">
        <f aca="false">IF(B28&lt;='VALOR POR PL'!$P$5,0,IF($K$17&gt;0,$K$18*P28/$K$17,0))</f>
        <v>0</v>
      </c>
      <c r="E28" s="45" t="n">
        <f aca="false">L28+D28/$K$2</f>
        <v>2.93085992710247</v>
      </c>
      <c r="F28" s="117" t="n">
        <f aca="false">IF($K$9=0,0,E28/$K$9)</f>
        <v>0.0214385186595708</v>
      </c>
      <c r="G28" s="117" t="n">
        <f aca="false">G27+F28</f>
        <v>0.670388302414916</v>
      </c>
      <c r="H28" s="138"/>
      <c r="L28" s="45" t="n">
        <f aca="false">C28/IF(B28&lt;='VALOR POR PL'!$P$5,IFERROR(INDEX('"INCC-FGV"'!$B$2:$B$800,MATCH(B28,'"INCC-FGV"'!$A$2:$A$800,0)),$K$2),$K$2)</f>
        <v>2.93085992710247</v>
      </c>
      <c r="M28" s="139" t="n">
        <f aca="false">'CP RESUMO'!AA16</f>
        <v>100</v>
      </c>
      <c r="N28" s="140" t="n">
        <f aca="false">MAX(0,M28-M27)</f>
        <v>0</v>
      </c>
      <c r="O28" s="139" t="str">
        <f aca="false">IF(B28&lt;='VALOR POR PL'!$P$5,'CP RESUMO'!AA58,"")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HISTORICOS'!AB16)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0.670388302414916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RESUMO'!AB16</f>
        <v>100</v>
      </c>
      <c r="N29" s="140" t="n">
        <f aca="false">MAX(0,M29-M28)</f>
        <v>0</v>
      </c>
      <c r="O29" s="139" t="str">
        <f aca="false">IF(B29&lt;='VALOR POR PL'!$P$5,'CP RESUMO'!AB58,"")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HISTORICOS'!AC16)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0.670388302414916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RESUMO'!AC16</f>
        <v>100</v>
      </c>
      <c r="N30" s="140" t="n">
        <f aca="false">MAX(0,M30-M29)</f>
        <v>0</v>
      </c>
      <c r="O30" s="139" t="str">
        <f aca="false">IF(B30&lt;='VALOR POR PL'!$P$5,'CP RESUMO'!AC58,"")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HISTORICOS'!AD16)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0.670388302414916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RESUMO'!AD16</f>
        <v>100</v>
      </c>
      <c r="N31" s="140" t="n">
        <f aca="false">MAX(0,M31-M30)</f>
        <v>0</v>
      </c>
      <c r="O31" s="139" t="str">
        <f aca="false">IF(B31&lt;='VALOR POR PL'!$P$5,'CP RESUMO'!AD58,"")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HISTORICOS'!AE16)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0.670388302414916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RESUMO'!AE16</f>
        <v>100</v>
      </c>
      <c r="N32" s="140" t="n">
        <f aca="false">MAX(0,M32-M31)</f>
        <v>0</v>
      </c>
      <c r="O32" s="139" t="str">
        <f aca="false">IF(B32&lt;='VALOR POR PL'!$P$5,'CP RESUMO'!AE58,"")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HISTORICOS'!AF16)</f>
        <v>0</v>
      </c>
      <c r="D33" s="45" t="n">
        <f aca="false">IF(B33&lt;='VALOR POR PL'!$P$5,0,IF($K$17&gt;0,$K$18*P33/$K$17,0))</f>
        <v>55534.3951100531</v>
      </c>
      <c r="E33" s="45" t="n">
        <f aca="false">L33+D33/$K$2</f>
        <v>42.8212399905104</v>
      </c>
      <c r="F33" s="117" t="n">
        <f aca="false">IF($K$9=0,0,E33/$K$9)</f>
        <v>0.313226826049684</v>
      </c>
      <c r="G33" s="117" t="n">
        <f aca="false">G32+F33</f>
        <v>0.983615128464601</v>
      </c>
      <c r="H33" s="138" t="n">
        <v>56654.6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RESUMO'!AF16</f>
        <v>100</v>
      </c>
      <c r="N33" s="140" t="n">
        <f aca="false">MAX(0,M33-M32)</f>
        <v>0</v>
      </c>
      <c r="O33" s="139" t="str">
        <f aca="false">IF(B33&lt;='VALOR POR PL'!$P$5,'CP RESUMO'!AF58,"")</f>
        <v/>
      </c>
      <c r="P33" s="66" t="n">
        <f aca="false">IF(B33&lt;='VALOR POR PL'!$P$5,0,IF(OR($K$16="CURVA PREVISION",$K$16="MDO PREVISION + MATERIAL PREMISSA"),N33,IF($K$16="PREVISÃO INFORMADA",MAX(0,H33),0)))</f>
        <v>56654.6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HISTORICOS'!AG16)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0.983615128464601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RESUMO'!AG16</f>
        <v>100</v>
      </c>
      <c r="N34" s="140" t="n">
        <f aca="false">MAX(0,M34-M33)</f>
        <v>0</v>
      </c>
      <c r="O34" s="139" t="str">
        <f aca="false">IF(B34&lt;='VALOR POR PL'!$P$5,'CP RESUMO'!AG58,"")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HISTORICOS'!AH16)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0.983615128464601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RESUMO'!AH16</f>
        <v>100</v>
      </c>
      <c r="N35" s="140" t="n">
        <f aca="false">MAX(0,M35-M34)</f>
        <v>0</v>
      </c>
      <c r="O35" s="139" t="str">
        <f aca="false">IF(B35&lt;='VALOR POR PL'!$P$5,'CP RESUMO'!AH58,"")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HISTORICOS'!AI16)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0.983615128464601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RESUMO'!AI16</f>
        <v>100</v>
      </c>
      <c r="N36" s="140" t="n">
        <f aca="false">MAX(0,M36-M35)</f>
        <v>0</v>
      </c>
      <c r="O36" s="139" t="str">
        <f aca="false">IF(B36&lt;='VALOR POR PL'!$P$5,'CP RESUMO'!AI58,"")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HISTORICOS'!AJ16)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0.983615128464601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RESUMO'!AJ16</f>
        <v>100</v>
      </c>
      <c r="N37" s="140" t="n">
        <f aca="false">MAX(0,M37-M36)</f>
        <v>0</v>
      </c>
      <c r="O37" s="139" t="str">
        <f aca="false">IF(B37&lt;='VALOR POR PL'!$P$5,'CP RESUMO'!AJ58,"")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HISTORICOS'!AK16)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0.983615128464601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RESUMO'!AK16</f>
        <v>100</v>
      </c>
      <c r="N38" s="140" t="n">
        <f aca="false">MAX(0,M38-M37)</f>
        <v>0</v>
      </c>
      <c r="O38" s="139" t="str">
        <f aca="false">IF(B38&lt;='VALOR POR PL'!$P$5,'CP RESUMO'!AK58,"")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HISTORICOS'!AL16)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0.983615128464601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RESUMO'!AL16</f>
        <v>100</v>
      </c>
      <c r="N39" s="140" t="n">
        <f aca="false">MAX(0,M39-M38)</f>
        <v>0</v>
      </c>
      <c r="O39" s="139" t="str">
        <f aca="false">IF(B39&lt;='VALOR POR PL'!$P$5,'CP RESUMO'!AL58,"")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HISTORICOS'!AM16)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0.983615128464601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RESUMO'!AM16</f>
        <v>100</v>
      </c>
      <c r="N40" s="140" t="n">
        <f aca="false">MAX(0,M40-M39)</f>
        <v>0</v>
      </c>
      <c r="O40" s="139" t="str">
        <f aca="false">IF(B40&lt;='VALOR POR PL'!$P$5,'CP RESUMO'!AM58,"")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HISTORICOS'!AN16)</f>
        <v>2905</v>
      </c>
      <c r="D41" s="45" t="n">
        <f aca="false">IF(B41&lt;='VALOR POR PL'!$P$5,0,IF($K$17&gt;0,$K$18*P41/$K$17,0))</f>
        <v>0</v>
      </c>
      <c r="E41" s="45" t="n">
        <f aca="false">L41+D41/$K$2</f>
        <v>2.23997581905622</v>
      </c>
      <c r="F41" s="117" t="n">
        <f aca="false">IF($K$9=0,0,E41/$K$9)</f>
        <v>0.0163848715353994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2.23997581905622</v>
      </c>
      <c r="M41" s="139" t="n">
        <f aca="false">'CP RESUMO'!AN16</f>
        <v>100</v>
      </c>
      <c r="N41" s="140" t="n">
        <f aca="false">MAX(0,M41-M40)</f>
        <v>0</v>
      </c>
      <c r="O41" s="139" t="str">
        <f aca="false">IF(B41&lt;='VALOR POR PL'!$P$5,'CP RESUMO'!AN58,"")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HISTORICOS'!AO16)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RESUMO'!AO16</f>
        <v>100</v>
      </c>
      <c r="N42" s="140" t="n">
        <f aca="false">MAX(0,M42-M41)</f>
        <v>0</v>
      </c>
      <c r="O42" s="139" t="str">
        <f aca="false">IF(B42&lt;='VALOR POR PL'!$P$5,'CP RESUMO'!AO58,"")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HISTORICOS'!AP16)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RESUMO'!AP16</f>
        <v>100</v>
      </c>
      <c r="N43" s="140" t="n">
        <f aca="false">MAX(0,M43-M42)</f>
        <v>0</v>
      </c>
      <c r="O43" s="139" t="str">
        <f aca="false">IF(B43&lt;='VALOR POR PL'!$P$5,'CP RESUMO'!AP58,"")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HISTORICOS'!AQ16)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RESUMO'!AQ16</f>
        <v>100</v>
      </c>
      <c r="N44" s="140" t="n">
        <f aca="false">MAX(0,M44-M43)</f>
        <v>0</v>
      </c>
      <c r="O44" s="139" t="str">
        <f aca="false">IF(B44&lt;='VALOR POR PL'!$P$5,'CP RESUMO'!AQ58,"")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HISTORICOS'!AR16)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RESUMO'!AR16</f>
        <v>100</v>
      </c>
      <c r="N45" s="140" t="n">
        <f aca="false">MAX(0,M45-M44)</f>
        <v>0</v>
      </c>
      <c r="O45" s="139" t="str">
        <f aca="false">IF(B45&lt;='VALOR POR PL'!$P$5,'CP RESUMO'!AR58,"")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HISTORICOS'!AS16)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RESUMO'!AS16</f>
        <v>100</v>
      </c>
      <c r="N46" s="140" t="n">
        <f aca="false">MAX(0,M46-M45)</f>
        <v>0</v>
      </c>
      <c r="O46" s="139" t="str">
        <f aca="false">IF(B46&lt;='VALOR POR PL'!$P$5,'CP RESUMO'!AS58,"")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HISTORICOS'!AT16)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RESUMO'!AT16</f>
        <v>100</v>
      </c>
      <c r="N47" s="140" t="n">
        <f aca="false">MAX(0,M47-M46)</f>
        <v>0</v>
      </c>
      <c r="O47" s="139" t="str">
        <f aca="false">IF(B47&lt;='VALOR POR PL'!$P$5,'CP RESUMO'!AT58,"")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HISTORICOS'!AU16)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RESUMO'!AU16</f>
        <v>100</v>
      </c>
      <c r="N48" s="140" t="n">
        <f aca="false">MAX(0,M48-M47)</f>
        <v>0</v>
      </c>
      <c r="O48" s="139" t="str">
        <f aca="false">IF(B48&lt;='VALOR POR PL'!$P$5,'CP RESUMO'!AU58,"")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HISTORICOS'!AV16)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RESUMO'!AV16</f>
        <v>100</v>
      </c>
      <c r="N49" s="140" t="n">
        <f aca="false">MAX(0,M49-M48)</f>
        <v>0</v>
      </c>
      <c r="O49" s="139" t="str">
        <f aca="false">IF(B49&lt;='VALOR POR PL'!$P$5,'CP RESUMO'!AV58,"")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HISTORICOS'!AW16)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RESUMO'!AW16</f>
        <v>100</v>
      </c>
      <c r="N50" s="140" t="n">
        <f aca="false">MAX(0,M50-M49)</f>
        <v>0</v>
      </c>
      <c r="O50" s="139" t="str">
        <f aca="false">IF(B50&lt;='VALOR POR PL'!$P$5,'CP RESUMO'!AW58,"")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HISTORICOS'!AX16)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RESUMO'!AX16</f>
        <v>100</v>
      </c>
      <c r="N51" s="140" t="n">
        <f aca="false">MAX(0,M51-M50)</f>
        <v>0</v>
      </c>
      <c r="O51" s="139" t="str">
        <f aca="false">IF(B51&lt;='VALOR POR PL'!$P$5,'CP RESUMO'!AX58,"")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HISTORICOS'!AY16)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RESUMO'!AY16</f>
        <v>100</v>
      </c>
      <c r="N52" s="140" t="n">
        <f aca="false">MAX(0,M52-M51)</f>
        <v>0</v>
      </c>
      <c r="O52" s="139" t="str">
        <f aca="false">IF(B52&lt;='VALOR POR PL'!$P$5,'CP RESUMO'!AY58,"")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HISTORICOS'!AZ16)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RESUMO'!AZ16</f>
        <v>100</v>
      </c>
      <c r="N53" s="140" t="n">
        <f aca="false">MAX(0,M53-M52)</f>
        <v>0</v>
      </c>
      <c r="O53" s="139" t="str">
        <f aca="false">IF(B53&lt;='VALOR POR PL'!$P$5,'CP RESUMO'!AZ58,"")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RESUMO'!BA16</f>
        <v>100</v>
      </c>
      <c r="N54" s="140" t="n">
        <f aca="false">MAX(0,M54-M53)</f>
        <v>0</v>
      </c>
      <c r="O54" s="139" t="str">
        <f aca="false">IF(B54&lt;='VALOR POR PL'!$P$5,'CP RESUMO'!BA58,"")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RESUMO'!BB16</f>
        <v>100</v>
      </c>
      <c r="N55" s="140" t="n">
        <f aca="false">MAX(0,M55-M54)</f>
        <v>0</v>
      </c>
      <c r="O55" s="139" t="str">
        <f aca="false">IF(B55&lt;='VALOR POR PL'!$P$5,'CP RESUMO'!BB58,"")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RESUMO'!BC16</f>
        <v>100</v>
      </c>
      <c r="N56" s="140" t="n">
        <f aca="false">MAX(0,M56-M55)</f>
        <v>0</v>
      </c>
      <c r="O56" s="139" t="str">
        <f aca="false">IF(B56&lt;='VALOR POR PL'!$P$5,'CP RESUMO'!BC58,"")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RESUMO'!BD16</f>
        <v>100</v>
      </c>
      <c r="N57" s="140" t="n">
        <f aca="false">MAX(0,M57-M56)</f>
        <v>0</v>
      </c>
      <c r="O57" s="139" t="str">
        <f aca="false">IF(B57&lt;='VALOR POR PL'!$P$5,'CP RESUMO'!BD58,"")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RESUMO'!BE16</f>
        <v>100</v>
      </c>
      <c r="N58" s="140" t="n">
        <f aca="false">MAX(0,M58-M57)</f>
        <v>0</v>
      </c>
      <c r="O58" s="139" t="str">
        <f aca="false">IF(B58&lt;='VALOR POR PL'!$P$5,'CP RESUMO'!BE58,"")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RESUMO'!BF16</f>
        <v>100</v>
      </c>
      <c r="N59" s="140" t="n">
        <f aca="false">MAX(0,M59-M58)</f>
        <v>0</v>
      </c>
      <c r="O59" s="139" t="str">
        <f aca="false">IF(B59&lt;='VALOR POR PL'!$P$5,'CP RESUMO'!BF58,"")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RESUMO'!BG16</f>
        <v>100</v>
      </c>
      <c r="N60" s="140" t="n">
        <f aca="false">MAX(0,M60-M59)</f>
        <v>0</v>
      </c>
      <c r="O60" s="139" t="str">
        <f aca="false">IF(B60&lt;='VALOR POR PL'!$P$5,'CP RESUMO'!BG58,"")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RESUMO'!BH16</f>
        <v>100</v>
      </c>
      <c r="N61" s="140" t="n">
        <f aca="false">MAX(0,M61-M60)</f>
        <v>0</v>
      </c>
      <c r="O61" s="139" t="str">
        <f aca="false">IF(B61&lt;='VALOR POR PL'!$P$5,'CP RESUMO'!BH58,"")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RESUMO'!BI16</f>
        <v>100</v>
      </c>
      <c r="N62" s="140" t="n">
        <f aca="false">MAX(0,M62-M61)</f>
        <v>0</v>
      </c>
      <c r="O62" s="139" t="str">
        <f aca="false">IF(B62&lt;='VALOR POR PL'!$P$5,'CP RESUMO'!BI58,"")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RESUMO'!BJ16</f>
        <v>100</v>
      </c>
      <c r="N63" s="140" t="n">
        <f aca="false">MAX(0,M63-M62)</f>
        <v>0</v>
      </c>
      <c r="O63" s="139" t="str">
        <f aca="false">IF(B63&lt;='VALOR POR PL'!$P$5,'CP RESUMO'!BJ58,"")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RESUMO'!BK16</f>
        <v>100</v>
      </c>
      <c r="N64" s="140" t="n">
        <f aca="false">MAX(0,M64-M63)</f>
        <v>0</v>
      </c>
      <c r="O64" s="139" t="str">
        <f aca="false">IF(B64&lt;='VALOR POR PL'!$P$5,'CP RESUMO'!BK58,"")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RESUMO'!BL16</f>
        <v>100</v>
      </c>
      <c r="N65" s="140" t="n">
        <f aca="false">MAX(0,M65-M64)</f>
        <v>0</v>
      </c>
      <c r="O65" s="139" t="str">
        <f aca="false">IF(B65&lt;='VALOR POR PL'!$P$5,'CP RESUMO'!BL58,"")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RESUMO'!BM16</f>
        <v>100</v>
      </c>
      <c r="N66" s="140" t="n">
        <f aca="false">MAX(0,M66-M65)</f>
        <v>0</v>
      </c>
      <c r="O66" s="139" t="str">
        <f aca="false">IF(B66&lt;='VALOR POR PL'!$P$5,'CP RESUMO'!BM58,"")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RESUMO'!BN16</f>
        <v>100</v>
      </c>
      <c r="N67" s="140" t="n">
        <f aca="false">MAX(0,M67-M66)</f>
        <v>0</v>
      </c>
      <c r="O67" s="139" t="str">
        <f aca="false">IF(B67&lt;='VALOR POR PL'!$P$5,'CP RESUMO'!BN58,"")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RESUMO'!BO16</f>
        <v>100</v>
      </c>
      <c r="N68" s="140" t="n">
        <f aca="false">MAX(0,M68-M67)</f>
        <v>0</v>
      </c>
      <c r="O68" s="139" t="str">
        <f aca="false">IF(B68&lt;='VALOR POR PL'!$P$5,'CP RESUMO'!BO58,"")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RESUMO'!BP16</f>
        <v>100</v>
      </c>
      <c r="N69" s="140" t="n">
        <f aca="false">MAX(0,M69-M68)</f>
        <v>0</v>
      </c>
      <c r="O69" s="139" t="str">
        <f aca="false">IF(B69&lt;='VALOR POR PL'!$P$5,'CP RESUMO'!BP58,"")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RESUMO'!BQ16</f>
        <v>100</v>
      </c>
      <c r="N70" s="140" t="n">
        <f aca="false">MAX(0,M70-M69)</f>
        <v>0</v>
      </c>
      <c r="O70" s="139" t="str">
        <f aca="false">IF(B70&lt;='VALOR POR PL'!$P$5,'CP RESUMO'!BQ58,"")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RESUMO'!BR16</f>
        <v>100</v>
      </c>
      <c r="N71" s="140" t="n">
        <f aca="false">MAX(0,M71-M70)</f>
        <v>0</v>
      </c>
      <c r="O71" s="139" t="str">
        <f aca="false">IF(B71&lt;='VALOR POR PL'!$P$5,'CP RESUMO'!BR58,"")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RESUMO'!BS16</f>
        <v>100</v>
      </c>
      <c r="N72" s="140" t="n">
        <f aca="false">MAX(0,M72-M71)</f>
        <v>0</v>
      </c>
      <c r="O72" s="139" t="str">
        <f aca="false">IF(B72&lt;='VALOR POR PL'!$P$5,'CP RESUMO'!BS58,"")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RESUMO'!BT16</f>
        <v>100</v>
      </c>
      <c r="N73" s="140" t="n">
        <f aca="false">MAX(0,M73-M72)</f>
        <v>0</v>
      </c>
      <c r="O73" s="139" t="str">
        <f aca="false">IF(B73&lt;='VALOR POR PL'!$P$5,'CP RESUMO'!BT58,"")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RESUMO'!BU16</f>
        <v>100</v>
      </c>
      <c r="N74" s="140" t="n">
        <f aca="false">MAX(0,M74-M73)</f>
        <v>0</v>
      </c>
      <c r="O74" s="139" t="str">
        <f aca="false">IF(B74&lt;='VALOR POR PL'!$P$5,'CP RESUMO'!BU58,"")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RESUMO'!BV16</f>
        <v>100</v>
      </c>
      <c r="N75" s="140" t="n">
        <f aca="false">MAX(0,M75-M74)</f>
        <v>0</v>
      </c>
      <c r="O75" s="139" t="str">
        <f aca="false">IF(B75&lt;='VALOR POR PL'!$P$5,'CP RESUMO'!BV58,"")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RESUMO'!BW16</f>
        <v>100</v>
      </c>
      <c r="N76" s="140" t="n">
        <f aca="false">MAX(0,M76-M75)</f>
        <v>0</v>
      </c>
      <c r="O76" s="139" t="str">
        <f aca="false">IF(B76&lt;='VALOR POR PL'!$P$5,'CP RESUMO'!BW58,"")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115071.04</v>
      </c>
      <c r="D78" s="61" t="n">
        <f aca="false">SUM(D5:D76)</f>
        <v>55534.3951100531</v>
      </c>
      <c r="E78" s="61" t="n">
        <f aca="false">SUM(E5:E76)</f>
        <v>136.710001919561</v>
      </c>
      <c r="F78" s="145" t="n">
        <f aca="false">SUM(F5:F76)</f>
        <v>1</v>
      </c>
      <c r="H78" s="61" t="n">
        <f aca="false">SUM(H5:H76)</f>
        <v>56654.6</v>
      </c>
      <c r="L78" s="61" t="n">
        <f aca="false">SUM(L5:L76)</f>
        <v>93.8887619290509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-1.4210854715202E-014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PL'!D23</f>
        <v>CONTENÇÃO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PL'!F23</f>
        <v>1644553.52</v>
      </c>
      <c r="K5" s="56" t="n">
        <f aca="false">'VALOR POR PL'!G23</f>
        <v>1351.644127</v>
      </c>
      <c r="L5" s="56" t="n">
        <f aca="false">'DADOS HISTORICOS'!$BZ$17</f>
        <v>0</v>
      </c>
      <c r="M5" s="139" t="n">
        <f aca="false">'CP RESUMO'!D17</f>
        <v>0</v>
      </c>
      <c r="N5" s="140" t="n">
        <v>0</v>
      </c>
      <c r="O5" s="139" t="n">
        <f aca="false">IF(B5&lt;='VALOR POR PL'!$P$5,'CP RESUMO'!D59,"")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PL'!H23</f>
        <v>1144.63052963836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RESUMO'!E17</f>
        <v>0</v>
      </c>
      <c r="N6" s="140" t="n">
        <f aca="false">MAX(0,M6-M5)</f>
        <v>0</v>
      </c>
      <c r="O6" s="139" t="n">
        <f aca="false">IF(B6&lt;='VALOR POR PL'!$P$5,'CP RESUMO'!E59,"")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1423010.61313945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RESUMO'!F17</f>
        <v>0</v>
      </c>
      <c r="N7" s="140" t="n">
        <f aca="false">MAX(0,M7-M6)</f>
        <v>0</v>
      </c>
      <c r="O7" s="139" t="n">
        <f aca="false">IF(B7&lt;='VALOR POR PL'!$P$5,'CP RESUMO'!F59,"")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893.594846681519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RESUMO'!G17</f>
        <v>0</v>
      </c>
      <c r="N8" s="140" t="n">
        <f aca="false">MAX(0,M8-M7)</f>
        <v>0</v>
      </c>
      <c r="O8" s="139" t="n">
        <f aca="false">IF(B8&lt;='VALOR POR PL'!$P$5,'CP RESUMO'!G59,"")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1423010.61313945</v>
      </c>
      <c r="K9" s="45" t="n">
        <f aca="false">E78</f>
        <v>1144.53125923452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RESUMO'!H17</f>
        <v>0</v>
      </c>
      <c r="N9" s="140" t="n">
        <f aca="false">MAX(0,M9-M8)</f>
        <v>0</v>
      </c>
      <c r="O9" s="139" t="n">
        <f aca="false">IF(B9&lt;='VALOR POR PL'!$P$5,'CP RESUMO'!H59,"")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250.936412553005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RESUMO'!I17</f>
        <v>0</v>
      </c>
      <c r="N10" s="140" t="n">
        <f aca="false">MAX(0,M10-M9)</f>
        <v>0</v>
      </c>
      <c r="O10" s="139" t="n">
        <f aca="false">IF(B10&lt;='VALOR POR PL'!$P$5,'CP RESUMO'!I59,"")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384571.25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RESUMO'!J17</f>
        <v>0</v>
      </c>
      <c r="N11" s="140" t="n">
        <f aca="false">MAX(0,M11-M10)</f>
        <v>0</v>
      </c>
      <c r="O11" s="139" t="n">
        <f aca="false">IF(B11&lt;='VALOR POR PL'!$P$5,'CP RESUMO'!J59,"")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HISTORICOS'!K17)</f>
        <v>12009.9</v>
      </c>
      <c r="D12" s="45" t="n">
        <f aca="false">IF(B12&lt;='VALOR POR PL'!$P$5,0,IF($K$17&gt;0,$K$18*P12/$K$17,0))</f>
        <v>0</v>
      </c>
      <c r="E12" s="45" t="n">
        <f aca="false">L12+D12/$K$2</f>
        <v>9.92167511654554</v>
      </c>
      <c r="F12" s="117" t="n">
        <f aca="false">IF($K$9=0,0,E12/$K$9)</f>
        <v>0.00866876726738007</v>
      </c>
      <c r="G12" s="117" t="n">
        <f aca="false">G11+F12</f>
        <v>0.00866876726738007</v>
      </c>
      <c r="H12" s="138"/>
      <c r="I12" s="42" t="s">
        <v>2927</v>
      </c>
      <c r="K12" s="139" t="n">
        <f aca="false">SUMPRODUCT((B5:B76&gt;'VALOR POR PL'!$P$5)*N5:N76)</f>
        <v>22.7</v>
      </c>
      <c r="L12" s="45" t="n">
        <f aca="false">C12/IF(B12&lt;='VALOR POR PL'!$P$5,IFERROR(INDEX('"INCC-FGV"'!$B$2:$B$800,MATCH(B12,'"INCC-FGV"'!$A$2:$A$800,0)),$K$2),$K$2)</f>
        <v>9.92167511654554</v>
      </c>
      <c r="M12" s="139" t="n">
        <f aca="false">'CP RESUMO'!K17</f>
        <v>32.58</v>
      </c>
      <c r="N12" s="140" t="n">
        <f aca="false">MAX(0,M12-M11)</f>
        <v>32.58</v>
      </c>
      <c r="O12" s="139" t="n">
        <f aca="false">IF(B12&lt;='VALOR POR PL'!$P$5,'CP RESUMO'!K59,"")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HISTORICOS'!L17)</f>
        <v>107813.99</v>
      </c>
      <c r="D13" s="45" t="n">
        <f aca="false">IF(B13&lt;='VALOR POR PL'!$P$5,0,IF($K$17&gt;0,$K$18*P13/$K$17,0))</f>
        <v>0</v>
      </c>
      <c r="E13" s="45" t="n">
        <f aca="false">L13+D13/$K$2</f>
        <v>88.6113736597009</v>
      </c>
      <c r="F13" s="117" t="n">
        <f aca="false">IF($K$9=0,0,E13/$K$9)</f>
        <v>0.0774215408664025</v>
      </c>
      <c r="G13" s="117" t="n">
        <f aca="false">G12+F13</f>
        <v>0.0860903081337826</v>
      </c>
      <c r="H13" s="138"/>
      <c r="I13" s="42" t="s">
        <v>2928</v>
      </c>
      <c r="K13" s="56" t="str">
        <f aca="false">'VALOR POR PL'!I23</f>
        <v>DIRETO</v>
      </c>
      <c r="L13" s="45" t="n">
        <f aca="false">C13/IF(B13&lt;='VALOR POR PL'!$P$5,IFERROR(INDEX('"INCC-FGV"'!$B$2:$B$800,MATCH(B13,'"INCC-FGV"'!$A$2:$A$800,0)),$K$2),$K$2)</f>
        <v>88.6113736597009</v>
      </c>
      <c r="M13" s="139" t="n">
        <f aca="false">'CP RESUMO'!L17</f>
        <v>68.78</v>
      </c>
      <c r="N13" s="140" t="n">
        <f aca="false">MAX(0,M13-M12)</f>
        <v>36.2</v>
      </c>
      <c r="O13" s="139" t="n">
        <f aca="false">IF(B13&lt;='VALOR POR PL'!$P$5,'CP RESUMO'!L59,"")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HISTORICOS'!M17)</f>
        <v>236848.02</v>
      </c>
      <c r="D14" s="45" t="n">
        <f aca="false">IF(B14&lt;='VALOR POR PL'!$P$5,0,IF($K$17&gt;0,$K$18*P14/$K$17,0))</f>
        <v>0</v>
      </c>
      <c r="E14" s="45" t="n">
        <f aca="false">L14+D14/$K$2</f>
        <v>194.337315291853</v>
      </c>
      <c r="F14" s="117" t="n">
        <f aca="false">IF($K$9=0,0,E14/$K$9)</f>
        <v>0.169796424277506</v>
      </c>
      <c r="G14" s="117" t="n">
        <f aca="false">G13+F14</f>
        <v>0.255886732411288</v>
      </c>
      <c r="H14" s="138"/>
      <c r="I14" s="42" t="s">
        <v>2929</v>
      </c>
      <c r="K14" s="58" t="n">
        <f aca="false">IFERROR(INDEX('CP RESUMO'!$D$59:$BW$59,MATCH('VALOR POR PL'!$P$5,'CP RESUMO'!$D$4:$BW$4,0))/100,0)</f>
        <v>0.7523</v>
      </c>
      <c r="L14" s="45" t="n">
        <f aca="false">C14/IF(B14&lt;='VALOR POR PL'!$P$5,IFERROR(INDEX('"INCC-FGV"'!$B$2:$B$800,MATCH(B14,'"INCC-FGV"'!$A$2:$A$800,0)),$K$2),$K$2)</f>
        <v>194.337315291853</v>
      </c>
      <c r="M14" s="139" t="n">
        <f aca="false">'CP RESUMO'!M17</f>
        <v>72.62</v>
      </c>
      <c r="N14" s="140" t="n">
        <f aca="false">MAX(0,M14-M13)</f>
        <v>3.84</v>
      </c>
      <c r="O14" s="139" t="n">
        <f aca="false">IF(B14&lt;='VALOR POR PL'!$P$5,'CP RESUMO'!M59,"")</f>
        <v>52.95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HISTORICOS'!N17)</f>
        <v>285810.89</v>
      </c>
      <c r="D15" s="45" t="n">
        <f aca="false">IF(B15&lt;='VALOR POR PL'!$P$5,0,IF($K$17&gt;0,$K$18*P15/$K$17,0))</f>
        <v>0</v>
      </c>
      <c r="E15" s="45" t="n">
        <f aca="false">L15+D15/$K$2</f>
        <v>233.81968100946</v>
      </c>
      <c r="F15" s="117" t="n">
        <f aca="false">IF($K$9=0,0,E15/$K$9)</f>
        <v>0.204292961964046</v>
      </c>
      <c r="G15" s="117" t="n">
        <f aca="false">G14+F15</f>
        <v>0.460179694375334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233.81968100946</v>
      </c>
      <c r="M15" s="139" t="n">
        <f aca="false">'CP RESUMO'!N17</f>
        <v>77.3</v>
      </c>
      <c r="N15" s="140" t="n">
        <f aca="false">MAX(0,M15-M14)</f>
        <v>4.67999999999999</v>
      </c>
      <c r="O15" s="139" t="n">
        <f aca="false">IF(B15&lt;='VALOR POR PL'!$P$5,'CP RESUMO'!N59,"")</f>
        <v>57.35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HISTORICOS'!O17)</f>
        <v>200940.58</v>
      </c>
      <c r="D16" s="45" t="n">
        <f aca="false">IF(B16&lt;='VALOR POR PL'!$P$5,0,IF($K$17&gt;0,$K$18*P16/$K$17,0))</f>
        <v>0</v>
      </c>
      <c r="E16" s="45" t="n">
        <f aca="false">L16+D16/$K$2</f>
        <v>163.948408699831</v>
      </c>
      <c r="F16" s="117" t="n">
        <f aca="false">IF($K$9=0,0,E16/$K$9)</f>
        <v>0.143245024875495</v>
      </c>
      <c r="G16" s="117" t="n">
        <f aca="false">G15+F16</f>
        <v>0.603424719250829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163.948408699831</v>
      </c>
      <c r="M16" s="139" t="n">
        <f aca="false">'CP RESUMO'!O17</f>
        <v>77.3</v>
      </c>
      <c r="N16" s="140" t="n">
        <f aca="false">MAX(0,M16-M15)</f>
        <v>0</v>
      </c>
      <c r="O16" s="139" t="n">
        <f aca="false">IF(B16&lt;='VALOR POR PL'!$P$5,'CP RESUMO'!O59,"")</f>
        <v>57.35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HISTORICOS'!P17)</f>
        <v>146047.49</v>
      </c>
      <c r="D17" s="45" t="n">
        <f aca="false">IF(B17&lt;='VALOR POR PL'!$P$5,0,IF($K$17&gt;0,$K$18*P17/$K$17,0))</f>
        <v>0</v>
      </c>
      <c r="E17" s="45" t="n">
        <f aca="false">L17+D17/$K$2</f>
        <v>118.915590057004</v>
      </c>
      <c r="F17" s="117" t="n">
        <f aca="false">IF($K$9=0,0,E17/$K$9)</f>
        <v>0.103898944740518</v>
      </c>
      <c r="G17" s="117" t="n">
        <f aca="false">G16+F17</f>
        <v>0.707323663991348</v>
      </c>
      <c r="H17" s="138"/>
      <c r="I17" s="42" t="s">
        <v>2933</v>
      </c>
      <c r="K17" s="45" t="n">
        <f aca="false">SUM(P5:P76)</f>
        <v>384571.25</v>
      </c>
      <c r="L17" s="45" t="n">
        <f aca="false">C17/IF(B17&lt;='VALOR POR PL'!$P$5,IFERROR(INDEX('"INCC-FGV"'!$B$2:$B$800,MATCH(B17,'"INCC-FGV"'!$A$2:$A$800,0)),$K$2),$K$2)</f>
        <v>118.915590057004</v>
      </c>
      <c r="M17" s="139" t="n">
        <f aca="false">'CP RESUMO'!P17</f>
        <v>77.3</v>
      </c>
      <c r="N17" s="140" t="n">
        <f aca="false">MAX(0,M17-M16)</f>
        <v>0</v>
      </c>
      <c r="O17" s="139" t="n">
        <f aca="false">IF(B17&lt;='VALOR POR PL'!$P$5,'CP RESUMO'!P59,"")</f>
        <v>57.35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HISTORICOS'!Q17)</f>
        <v>4650</v>
      </c>
      <c r="D18" s="45" t="n">
        <f aca="false">IF(B18&lt;='VALOR POR PL'!$P$5,0,IF($K$17&gt;0,$K$18*P18/$K$17,0))</f>
        <v>0</v>
      </c>
      <c r="E18" s="45" t="n">
        <f aca="false">L18+D18/$K$2</f>
        <v>3.75898518717321</v>
      </c>
      <c r="F18" s="117" t="n">
        <f aca="false">IF($K$9=0,0,E18/$K$9)</f>
        <v>0.00328430102440999</v>
      </c>
      <c r="G18" s="117" t="n">
        <f aca="false">G17+F18</f>
        <v>0.710607965015758</v>
      </c>
      <c r="H18" s="138"/>
      <c r="I18" s="42" t="s">
        <v>2934</v>
      </c>
      <c r="K18" s="45" t="n">
        <f aca="false">MAX(0,K10)*$K$2</f>
        <v>325436.673139455</v>
      </c>
      <c r="L18" s="45" t="n">
        <f aca="false">C18/IF(B18&lt;='VALOR POR PL'!$P$5,IFERROR(INDEX('"INCC-FGV"'!$B$2:$B$800,MATCH(B18,'"INCC-FGV"'!$A$2:$A$800,0)),$K$2),$K$2)</f>
        <v>3.75898518717321</v>
      </c>
      <c r="M18" s="139" t="n">
        <f aca="false">'CP RESUMO'!Q17</f>
        <v>77.3</v>
      </c>
      <c r="N18" s="140" t="n">
        <f aca="false">MAX(0,M18-M17)</f>
        <v>0</v>
      </c>
      <c r="O18" s="139" t="n">
        <f aca="false">IF(B18&lt;='VALOR POR PL'!$P$5,'CP RESUMO'!Q59,"")</f>
        <v>57.35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HISTORICOS'!R17)</f>
        <v>860</v>
      </c>
      <c r="D19" s="45" t="n">
        <f aca="false">IF(B19&lt;='VALOR POR PL'!$P$5,0,IF($K$17&gt;0,$K$18*P19/$K$17,0))</f>
        <v>0</v>
      </c>
      <c r="E19" s="45" t="n">
        <f aca="false">L19+D19/$K$2</f>
        <v>0.693279461757173</v>
      </c>
      <c r="F19" s="117" t="n">
        <f aca="false">IF($K$9=0,0,E19/$K$9)</f>
        <v>0.000605732221084854</v>
      </c>
      <c r="G19" s="117" t="n">
        <f aca="false">G18+F19</f>
        <v>0.711213697236843</v>
      </c>
      <c r="H19" s="138"/>
      <c r="I19" s="42" t="s">
        <v>2935</v>
      </c>
      <c r="K19" s="142" t="n">
        <f aca="false">IF(AND(K16="PREVISÃO INFORMADA",K11&gt;0),K18/K11-1,"")</f>
        <v>-0.153767544663168</v>
      </c>
      <c r="L19" s="45" t="n">
        <f aca="false">C19/IF(B19&lt;='VALOR POR PL'!$P$5,IFERROR(INDEX('"INCC-FGV"'!$B$2:$B$800,MATCH(B19,'"INCC-FGV"'!$A$2:$A$800,0)),$K$2),$K$2)</f>
        <v>0.693279461757173</v>
      </c>
      <c r="M19" s="139" t="n">
        <f aca="false">'CP RESUMO'!R17</f>
        <v>77.3</v>
      </c>
      <c r="N19" s="140" t="n">
        <f aca="false">MAX(0,M19-M18)</f>
        <v>0</v>
      </c>
      <c r="O19" s="139" t="n">
        <f aca="false">IF(B19&lt;='VALOR POR PL'!$P$5,'CP RESUMO'!R59,"")</f>
        <v>57.35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HISTORICOS'!S17)</f>
        <v>2632</v>
      </c>
      <c r="D20" s="45" t="n">
        <f aca="false">IF(B20&lt;='VALOR POR PL'!$P$5,0,IF($K$17&gt;0,$K$18*P20/$K$17,0))</f>
        <v>0</v>
      </c>
      <c r="E20" s="45" t="n">
        <f aca="false">L20+D20/$K$2</f>
        <v>2.11035928225334</v>
      </c>
      <c r="F20" s="117" t="n">
        <f aca="false">IF($K$9=0,0,E20/$K$9)</f>
        <v>0.00184386338531703</v>
      </c>
      <c r="G20" s="117" t="n">
        <f aca="false">G19+F20</f>
        <v>0.71305756062216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2.11035928225334</v>
      </c>
      <c r="M20" s="139" t="n">
        <f aca="false">'CP RESUMO'!S17</f>
        <v>77.3</v>
      </c>
      <c r="N20" s="140" t="n">
        <f aca="false">MAX(0,M20-M19)</f>
        <v>0</v>
      </c>
      <c r="O20" s="139" t="n">
        <f aca="false">IF(B20&lt;='VALOR POR PL'!$P$5,'CP RESUMO'!S59,"")</f>
        <v>57.35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HISTORICOS'!T17)</f>
        <v>346.94</v>
      </c>
      <c r="D21" s="45" t="n">
        <f aca="false">IF(B21&lt;='VALOR POR PL'!$P$5,0,IF($K$17&gt;0,$K$18*P21/$K$17,0))</f>
        <v>0</v>
      </c>
      <c r="E21" s="45" t="n">
        <f aca="false">L21+D21/$K$2</f>
        <v>0.275425276187391</v>
      </c>
      <c r="F21" s="117" t="n">
        <f aca="false">IF($K$9=0,0,E21/$K$9)</f>
        <v>0.000240644607969553</v>
      </c>
      <c r="G21" s="117" t="n">
        <f aca="false">G20+F21</f>
        <v>0.713298205230129</v>
      </c>
      <c r="H21" s="138"/>
      <c r="K21" s="143"/>
      <c r="L21" s="45" t="n">
        <f aca="false">C21/IF(B21&lt;='VALOR POR PL'!$P$5,IFERROR(INDEX('"INCC-FGV"'!$B$2:$B$800,MATCH(B21,'"INCC-FGV"'!$A$2:$A$800,0)),$K$2),$K$2)</f>
        <v>0.275425276187391</v>
      </c>
      <c r="M21" s="139" t="n">
        <f aca="false">'CP RESUMO'!T17</f>
        <v>77.3</v>
      </c>
      <c r="N21" s="140" t="n">
        <f aca="false">MAX(0,M21-M20)</f>
        <v>0</v>
      </c>
      <c r="O21" s="139" t="n">
        <f aca="false">IF(B21&lt;='VALOR POR PL'!$P$5,'CP RESUMO'!T59,"")</f>
        <v>57.35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HISTORICOS'!U17)</f>
        <v>4280</v>
      </c>
      <c r="D22" s="45" t="n">
        <f aca="false">IF(B22&lt;='VALOR POR PL'!$P$5,0,IF($K$17&gt;0,$K$18*P22/$K$17,0))</f>
        <v>0</v>
      </c>
      <c r="E22" s="45" t="n">
        <f aca="false">L22+D22/$K$2</f>
        <v>3.368235493175</v>
      </c>
      <c r="F22" s="117" t="n">
        <f aca="false">IF($K$9=0,0,E22/$K$9)</f>
        <v>0.0029428951511798</v>
      </c>
      <c r="G22" s="117" t="n">
        <f aca="false">G21+F22</f>
        <v>0.716241100381309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3.368235493175</v>
      </c>
      <c r="M22" s="139" t="n">
        <f aca="false">'CP RESUMO'!U17</f>
        <v>77.3</v>
      </c>
      <c r="N22" s="140" t="n">
        <f aca="false">MAX(0,M22-M21)</f>
        <v>0</v>
      </c>
      <c r="O22" s="139" t="n">
        <f aca="false">IF(B22&lt;='VALOR POR PL'!$P$5,'CP RESUMO'!U59,"")</f>
        <v>72.08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HISTORICOS'!V17)</f>
        <v>6148</v>
      </c>
      <c r="D23" s="45" t="n">
        <f aca="false">IF(B23&lt;='VALOR POR PL'!$P$5,0,IF($K$17&gt;0,$K$18*P23/$K$17,0))</f>
        <v>0</v>
      </c>
      <c r="E23" s="45" t="n">
        <f aca="false">L23+D23/$K$2</f>
        <v>4.80072088899231</v>
      </c>
      <c r="F23" s="117" t="n">
        <f aca="false">IF($K$9=0,0,E23/$K$9)</f>
        <v>0.00419448647667613</v>
      </c>
      <c r="G23" s="117" t="n">
        <f aca="false">G22+F23</f>
        <v>0.720435586857985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4.80072088899231</v>
      </c>
      <c r="M23" s="139" t="n">
        <f aca="false">'CP RESUMO'!V17</f>
        <v>77.3</v>
      </c>
      <c r="N23" s="140" t="n">
        <f aca="false">MAX(0,M23-M22)</f>
        <v>0</v>
      </c>
      <c r="O23" s="139" t="n">
        <f aca="false">IF(B23&lt;='VALOR POR PL'!$P$5,'CP RESUMO'!V59,"")</f>
        <v>75.43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HISTORICOS'!W17)</f>
        <v>52256.6</v>
      </c>
      <c r="D24" s="45" t="n">
        <f aca="false">IF(B24&lt;='VALOR POR PL'!$P$5,0,IF($K$17&gt;0,$K$18*P24/$K$17,0))</f>
        <v>0</v>
      </c>
      <c r="E24" s="45" t="n">
        <f aca="false">L24+D24/$K$2</f>
        <v>40.5583224868076</v>
      </c>
      <c r="F24" s="117" t="n">
        <f aca="false">IF($K$9=0,0,E24/$K$9)</f>
        <v>0.0354366227742294</v>
      </c>
      <c r="G24" s="117" t="n">
        <f aca="false">G23+F24</f>
        <v>0.755872209632215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40.5583224868076</v>
      </c>
      <c r="M24" s="139" t="n">
        <f aca="false">'CP RESUMO'!W17</f>
        <v>77.3</v>
      </c>
      <c r="N24" s="140" t="n">
        <f aca="false">MAX(0,M24-M23)</f>
        <v>0</v>
      </c>
      <c r="O24" s="139" t="n">
        <f aca="false">IF(B24&lt;='VALOR POR PL'!$P$5,'CP RESUMO'!W59,"")</f>
        <v>75.23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0.755872209632215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RESUMO'!X17</f>
        <v>77.3</v>
      </c>
      <c r="N25" s="140" t="n">
        <f aca="false">MAX(0,M25-M24)</f>
        <v>0</v>
      </c>
      <c r="O25" s="139" t="n">
        <f aca="false">IF(B25&lt;='VALOR POR PL'!$P$5,'CP RESUMO'!X59,"")</f>
        <v>75.23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0.755872209632215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RESUMO'!Y17</f>
        <v>77.3</v>
      </c>
      <c r="N26" s="140" t="n">
        <f aca="false">MAX(0,M26-M25)</f>
        <v>0</v>
      </c>
      <c r="O26" s="139" t="str">
        <f aca="false">IF(B26&lt;='VALOR POR PL'!$P$5,'CP RESUMO'!Y59,"")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HISTORICOS'!Z17)</f>
        <v>24240</v>
      </c>
      <c r="D27" s="45" t="n">
        <f aca="false">IF(B27&lt;='VALOR POR PL'!$P$5,0,IF($K$17&gt;0,$K$18*P27/$K$17,0))</f>
        <v>59236.2718735783</v>
      </c>
      <c r="E27" s="45" t="n">
        <f aca="false">L27+D27/$K$2</f>
        <v>64.3665509334864</v>
      </c>
      <c r="F27" s="117" t="n">
        <f aca="false">IF($K$9=0,0,E27/$K$9)</f>
        <v>0.0562383512150952</v>
      </c>
      <c r="G27" s="117" t="n">
        <f aca="false">G26+F27</f>
        <v>0.81211056084731</v>
      </c>
      <c r="H27" s="138" t="n">
        <v>70000</v>
      </c>
      <c r="L27" s="45" t="n">
        <f aca="false">C27/IF(B27&lt;='VALOR POR PL'!$P$5,IFERROR(INDEX('"INCC-FGV"'!$B$2:$B$800,MATCH(B27,'"INCC-FGV"'!$A$2:$A$800,0)),$K$2),$K$2)</f>
        <v>18.6908825658942</v>
      </c>
      <c r="M27" s="139" t="n">
        <f aca="false">'CP RESUMO'!Z17</f>
        <v>83.42</v>
      </c>
      <c r="N27" s="140" t="n">
        <f aca="false">MAX(0,M27-M26)</f>
        <v>6.12</v>
      </c>
      <c r="O27" s="139" t="str">
        <f aca="false">IF(B27&lt;='VALOR POR PL'!$P$5,'CP RESUMO'!Z59,"")</f>
        <v/>
      </c>
      <c r="P27" s="66" t="n">
        <f aca="false">IF(B27&lt;='VALOR POR PL'!$P$5,0,IF(OR($K$16="CURVA PREVISION",$K$16="MDO PREVISION + MATERIAL PREMISSA"),N27,IF($K$16="PREVISÃO INFORMADA",MAX(0,H27),0)))</f>
        <v>70000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HISTORICOS'!AA17)</f>
        <v>1528.38</v>
      </c>
      <c r="D28" s="45" t="n">
        <f aca="false">IF(B28&lt;='VALOR POR PL'!$P$5,0,IF($K$17&gt;0,$K$18*P28/$K$17,0))</f>
        <v>59236.2718735783</v>
      </c>
      <c r="E28" s="45" t="n">
        <f aca="false">L28+D28/$K$2</f>
        <v>46.8541655250205</v>
      </c>
      <c r="F28" s="117" t="n">
        <f aca="false">IF($K$9=0,0,E28/$K$9)</f>
        <v>0.0409374275686949</v>
      </c>
      <c r="G28" s="117" t="n">
        <f aca="false">G27+F28</f>
        <v>0.853047988416005</v>
      </c>
      <c r="H28" s="138" t="n">
        <v>70000</v>
      </c>
      <c r="L28" s="45" t="n">
        <f aca="false">C28/IF(B28&lt;='VALOR POR PL'!$P$5,IFERROR(INDEX('"INCC-FGV"'!$B$2:$B$800,MATCH(B28,'"INCC-FGV"'!$A$2:$A$800,0)),$K$2),$K$2)</f>
        <v>1.17849715742828</v>
      </c>
      <c r="M28" s="139" t="n">
        <f aca="false">'CP RESUMO'!AA17</f>
        <v>95.87</v>
      </c>
      <c r="N28" s="140" t="n">
        <f aca="false">MAX(0,M28-M27)</f>
        <v>12.45</v>
      </c>
      <c r="O28" s="139" t="str">
        <f aca="false">IF(B28&lt;='VALOR POR PL'!$P$5,'CP RESUMO'!AA59,"")</f>
        <v/>
      </c>
      <c r="P28" s="66" t="n">
        <f aca="false">IF(B28&lt;='VALOR POR PL'!$P$5,0,IF(OR($K$16="CURVA PREVISION",$K$16="MDO PREVISION + MATERIAL PREMISSA"),N28,IF($K$16="PREVISÃO INFORMADA",MAX(0,H28),0)))</f>
        <v>70000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HISTORICOS'!AB17)</f>
        <v>1803.27</v>
      </c>
      <c r="D29" s="45" t="n">
        <f aca="false">IF(B29&lt;='VALOR POR PL'!$P$5,0,IF($K$17&gt;0,$K$18*P29/$K$17,0))</f>
        <v>0</v>
      </c>
      <c r="E29" s="45" t="n">
        <f aca="false">L29+D29/$K$2</f>
        <v>1.39045824276403</v>
      </c>
      <c r="F29" s="117" t="n">
        <f aca="false">IF($K$9=0,0,E29/$K$9)</f>
        <v>0.00121487135588938</v>
      </c>
      <c r="G29" s="117" t="n">
        <f aca="false">G28+F29</f>
        <v>0.854262859771894</v>
      </c>
      <c r="H29" s="138"/>
      <c r="L29" s="45" t="n">
        <f aca="false">C29/IF(B29&lt;='VALOR POR PL'!$P$5,IFERROR(INDEX('"INCC-FGV"'!$B$2:$B$800,MATCH(B29,'"INCC-FGV"'!$A$2:$A$800,0)),$K$2),$K$2)</f>
        <v>1.39045824276403</v>
      </c>
      <c r="M29" s="139" t="n">
        <f aca="false">'CP RESUMO'!AB17</f>
        <v>97.07</v>
      </c>
      <c r="N29" s="140" t="n">
        <f aca="false">MAX(0,M29-M28)</f>
        <v>1.19999999999999</v>
      </c>
      <c r="O29" s="139" t="str">
        <f aca="false">IF(B29&lt;='VALOR POR PL'!$P$5,'CP RESUMO'!AB59,"")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HISTORICOS'!AC17)</f>
        <v>0</v>
      </c>
      <c r="D30" s="45" t="n">
        <f aca="false">IF(B30&lt;='VALOR POR PL'!$P$5,0,IF($K$17&gt;0,$K$18*P30/$K$17,0))</f>
        <v>110010.219193788</v>
      </c>
      <c r="E30" s="45" t="n">
        <f aca="false">L30+D30/$K$2</f>
        <v>84.8262412540998</v>
      </c>
      <c r="F30" s="117" t="n">
        <f aca="false">IF($K$9=0,0,E30/$K$9)</f>
        <v>0.0741143944909224</v>
      </c>
      <c r="G30" s="117" t="n">
        <f aca="false">G29+F30</f>
        <v>0.928377254262816</v>
      </c>
      <c r="H30" s="138" t="n">
        <v>130000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RESUMO'!AC17</f>
        <v>97.07</v>
      </c>
      <c r="N30" s="140" t="n">
        <f aca="false">MAX(0,M30-M29)</f>
        <v>0</v>
      </c>
      <c r="O30" s="139" t="str">
        <f aca="false">IF(B30&lt;='VALOR POR PL'!$P$5,'CP RESUMO'!AC59,"")</f>
        <v/>
      </c>
      <c r="P30" s="66" t="n">
        <f aca="false">IF(B30&lt;='VALOR POR PL'!$P$5,0,IF(OR($K$16="CURVA PREVISION",$K$16="MDO PREVISION + MATERIAL PREMISSA"),N30,IF($K$16="PREVISÃO INFORMADA",MAX(0,H30),0)))</f>
        <v>130000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HISTORICOS'!AD17)</f>
        <v>0</v>
      </c>
      <c r="D31" s="45" t="n">
        <f aca="false">IF(B31&lt;='VALOR POR PL'!$P$5,0,IF($K$17&gt;0,$K$18*P31/$K$17,0))</f>
        <v>96953.91019851</v>
      </c>
      <c r="E31" s="45" t="n">
        <f aca="false">L31+D31/$K$2</f>
        <v>74.7588345637214</v>
      </c>
      <c r="F31" s="117" t="n">
        <f aca="false">IF($K$9=0,0,E31/$K$9)</f>
        <v>0.0653182986139854</v>
      </c>
      <c r="G31" s="117" t="n">
        <f aca="false">G30+F31</f>
        <v>0.993695552876802</v>
      </c>
      <c r="H31" s="138" t="n">
        <v>114571.25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RESUMO'!AD17</f>
        <v>97.07</v>
      </c>
      <c r="N31" s="140" t="n">
        <f aca="false">MAX(0,M31-M30)</f>
        <v>0</v>
      </c>
      <c r="O31" s="139" t="str">
        <f aca="false">IF(B31&lt;='VALOR POR PL'!$P$5,'CP RESUMO'!AD59,"")</f>
        <v/>
      </c>
      <c r="P31" s="66" t="n">
        <f aca="false">IF(B31&lt;='VALOR POR PL'!$P$5,0,IF(OR($K$16="CURVA PREVISION",$K$16="MDO PREVISION + MATERIAL PREMISSA"),N31,IF($K$16="PREVISÃO INFORMADA",MAX(0,H31),0)))</f>
        <v>114571.25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HISTORICOS'!AE17)</f>
        <v>9357.88</v>
      </c>
      <c r="D32" s="45" t="n">
        <f aca="false">IF(B32&lt;='VALOR POR PL'!$P$5,0,IF($K$17&gt;0,$K$18*P32/$K$17,0))</f>
        <v>0</v>
      </c>
      <c r="E32" s="45" t="n">
        <f aca="false">L32+D32/$K$2</f>
        <v>7.21563680469184</v>
      </c>
      <c r="F32" s="117" t="n">
        <f aca="false">IF($K$9=0,0,E32/$K$9)</f>
        <v>0.00630444712319849</v>
      </c>
      <c r="G32" s="117" t="n">
        <f aca="false">G31+F32</f>
        <v>1</v>
      </c>
      <c r="H32" s="138"/>
      <c r="L32" s="45" t="n">
        <f aca="false">C32/IF(B32&lt;='VALOR POR PL'!$P$5,IFERROR(INDEX('"INCC-FGV"'!$B$2:$B$800,MATCH(B32,'"INCC-FGV"'!$A$2:$A$800,0)),$K$2),$K$2)</f>
        <v>7.21563680469184</v>
      </c>
      <c r="M32" s="139" t="n">
        <f aca="false">'CP RESUMO'!AE17</f>
        <v>97.07</v>
      </c>
      <c r="N32" s="140" t="n">
        <f aca="false">MAX(0,M32-M31)</f>
        <v>0</v>
      </c>
      <c r="O32" s="139" t="str">
        <f aca="false">IF(B32&lt;='VALOR POR PL'!$P$5,'CP RESUMO'!AE59,"")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RESUMO'!AF17</f>
        <v>99.07</v>
      </c>
      <c r="N33" s="140" t="n">
        <f aca="false">MAX(0,M33-M32)</f>
        <v>2</v>
      </c>
      <c r="O33" s="139" t="str">
        <f aca="false">IF(B33&lt;='VALOR POR PL'!$P$5,'CP RESUMO'!AF59,"")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RESUMO'!AG17</f>
        <v>100</v>
      </c>
      <c r="N34" s="140" t="n">
        <f aca="false">MAX(0,M34-M33)</f>
        <v>0.930000000000007</v>
      </c>
      <c r="O34" s="139" t="str">
        <f aca="false">IF(B34&lt;='VALOR POR PL'!$P$5,'CP RESUMO'!AG59,"")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HISTORICOS'!AH17)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RESUMO'!AH17</f>
        <v>100</v>
      </c>
      <c r="N35" s="140" t="n">
        <f aca="false">MAX(0,M35-M34)</f>
        <v>0</v>
      </c>
      <c r="O35" s="139" t="str">
        <f aca="false">IF(B35&lt;='VALOR POR PL'!$P$5,'CP RESUMO'!AH59,"")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RESUMO'!AI17</f>
        <v>100</v>
      </c>
      <c r="N36" s="140" t="n">
        <f aca="false">MAX(0,M36-M35)</f>
        <v>0</v>
      </c>
      <c r="O36" s="139" t="str">
        <f aca="false">IF(B36&lt;='VALOR POR PL'!$P$5,'CP RESUMO'!AI59,"")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RESUMO'!AJ17</f>
        <v>100</v>
      </c>
      <c r="N37" s="140" t="n">
        <f aca="false">MAX(0,M37-M36)</f>
        <v>0</v>
      </c>
      <c r="O37" s="139" t="str">
        <f aca="false">IF(B37&lt;='VALOR POR PL'!$P$5,'CP RESUMO'!AJ59,"")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HISTORICOS'!AK17)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RESUMO'!AK17</f>
        <v>100</v>
      </c>
      <c r="N38" s="140" t="n">
        <f aca="false">MAX(0,M38-M37)</f>
        <v>0</v>
      </c>
      <c r="O38" s="139" t="str">
        <f aca="false">IF(B38&lt;='VALOR POR PL'!$P$5,'CP RESUMO'!AK59,"")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HISTORICOS'!AL17)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RESUMO'!AL17</f>
        <v>100</v>
      </c>
      <c r="N39" s="140" t="n">
        <f aca="false">MAX(0,M39-M38)</f>
        <v>0</v>
      </c>
      <c r="O39" s="139" t="str">
        <f aca="false">IF(B39&lt;='VALOR POR PL'!$P$5,'CP RESUMO'!AL59,"")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HISTORICOS'!AM17)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RESUMO'!AM17</f>
        <v>100</v>
      </c>
      <c r="N40" s="140" t="n">
        <f aca="false">MAX(0,M40-M39)</f>
        <v>0</v>
      </c>
      <c r="O40" s="139" t="str">
        <f aca="false">IF(B40&lt;='VALOR POR PL'!$P$5,'CP RESUMO'!AM59,"")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HISTORICOS'!AN17)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RESUMO'!AN17</f>
        <v>100</v>
      </c>
      <c r="N41" s="140" t="n">
        <f aca="false">MAX(0,M41-M40)</f>
        <v>0</v>
      </c>
      <c r="O41" s="139" t="str">
        <f aca="false">IF(B41&lt;='VALOR POR PL'!$P$5,'CP RESUMO'!AN59,"")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HISTORICOS'!AO17)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RESUMO'!AO17</f>
        <v>100</v>
      </c>
      <c r="N42" s="140" t="n">
        <f aca="false">MAX(0,M42-M41)</f>
        <v>0</v>
      </c>
      <c r="O42" s="139" t="str">
        <f aca="false">IF(B42&lt;='VALOR POR PL'!$P$5,'CP RESUMO'!AO59,"")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HISTORICOS'!AP17)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RESUMO'!AP17</f>
        <v>100</v>
      </c>
      <c r="N43" s="140" t="n">
        <f aca="false">MAX(0,M43-M42)</f>
        <v>0</v>
      </c>
      <c r="O43" s="139" t="str">
        <f aca="false">IF(B43&lt;='VALOR POR PL'!$P$5,'CP RESUMO'!AP59,"")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HISTORICOS'!AQ17)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RESUMO'!AQ17</f>
        <v>100</v>
      </c>
      <c r="N44" s="140" t="n">
        <f aca="false">MAX(0,M44-M43)</f>
        <v>0</v>
      </c>
      <c r="O44" s="139" t="str">
        <f aca="false">IF(B44&lt;='VALOR POR PL'!$P$5,'CP RESUMO'!AQ59,"")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HISTORICOS'!AR17)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RESUMO'!AR17</f>
        <v>100</v>
      </c>
      <c r="N45" s="140" t="n">
        <f aca="false">MAX(0,M45-M44)</f>
        <v>0</v>
      </c>
      <c r="O45" s="139" t="str">
        <f aca="false">IF(B45&lt;='VALOR POR PL'!$P$5,'CP RESUMO'!AR59,"")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HISTORICOS'!AS17)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RESUMO'!AS17</f>
        <v>100</v>
      </c>
      <c r="N46" s="140" t="n">
        <f aca="false">MAX(0,M46-M45)</f>
        <v>0</v>
      </c>
      <c r="O46" s="139" t="str">
        <f aca="false">IF(B46&lt;='VALOR POR PL'!$P$5,'CP RESUMO'!AS59,"")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HISTORICOS'!AT17)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RESUMO'!AT17</f>
        <v>100</v>
      </c>
      <c r="N47" s="140" t="n">
        <f aca="false">MAX(0,M47-M46)</f>
        <v>0</v>
      </c>
      <c r="O47" s="139" t="str">
        <f aca="false">IF(B47&lt;='VALOR POR PL'!$P$5,'CP RESUMO'!AT59,"")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HISTORICOS'!AU17)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RESUMO'!AU17</f>
        <v>100</v>
      </c>
      <c r="N48" s="140" t="n">
        <f aca="false">MAX(0,M48-M47)</f>
        <v>0</v>
      </c>
      <c r="O48" s="139" t="str">
        <f aca="false">IF(B48&lt;='VALOR POR PL'!$P$5,'CP RESUMO'!AU59,"")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HISTORICOS'!AV17)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RESUMO'!AV17</f>
        <v>100</v>
      </c>
      <c r="N49" s="140" t="n">
        <f aca="false">MAX(0,M49-M48)</f>
        <v>0</v>
      </c>
      <c r="O49" s="139" t="str">
        <f aca="false">IF(B49&lt;='VALOR POR PL'!$P$5,'CP RESUMO'!AV59,"")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HISTORICOS'!AW17)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RESUMO'!AW17</f>
        <v>100</v>
      </c>
      <c r="N50" s="140" t="n">
        <f aca="false">MAX(0,M50-M49)</f>
        <v>0</v>
      </c>
      <c r="O50" s="139" t="str">
        <f aca="false">IF(B50&lt;='VALOR POR PL'!$P$5,'CP RESUMO'!AW59,"")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HISTORICOS'!AX17)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RESUMO'!AX17</f>
        <v>100</v>
      </c>
      <c r="N51" s="140" t="n">
        <f aca="false">MAX(0,M51-M50)</f>
        <v>0</v>
      </c>
      <c r="O51" s="139" t="str">
        <f aca="false">IF(B51&lt;='VALOR POR PL'!$P$5,'CP RESUMO'!AX59,"")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HISTORICOS'!AY17)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RESUMO'!AY17</f>
        <v>100</v>
      </c>
      <c r="N52" s="140" t="n">
        <f aca="false">MAX(0,M52-M51)</f>
        <v>0</v>
      </c>
      <c r="O52" s="139" t="str">
        <f aca="false">IF(B52&lt;='VALOR POR PL'!$P$5,'CP RESUMO'!AY59,"")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RESUMO'!AZ17</f>
        <v>100</v>
      </c>
      <c r="N53" s="140" t="n">
        <f aca="false">MAX(0,M53-M52)</f>
        <v>0</v>
      </c>
      <c r="O53" s="139" t="str">
        <f aca="false">IF(B53&lt;='VALOR POR PL'!$P$5,'CP RESUMO'!AZ59,"")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RESUMO'!BA17</f>
        <v>100</v>
      </c>
      <c r="N54" s="140" t="n">
        <f aca="false">MAX(0,M54-M53)</f>
        <v>0</v>
      </c>
      <c r="O54" s="139" t="str">
        <f aca="false">IF(B54&lt;='VALOR POR PL'!$P$5,'CP RESUMO'!BA59,"")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RESUMO'!BB17</f>
        <v>100</v>
      </c>
      <c r="N55" s="140" t="n">
        <f aca="false">MAX(0,M55-M54)</f>
        <v>0</v>
      </c>
      <c r="O55" s="139" t="str">
        <f aca="false">IF(B55&lt;='VALOR POR PL'!$P$5,'CP RESUMO'!BB59,"")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RESUMO'!BC17</f>
        <v>100</v>
      </c>
      <c r="N56" s="140" t="n">
        <f aca="false">MAX(0,M56-M55)</f>
        <v>0</v>
      </c>
      <c r="O56" s="139" t="str">
        <f aca="false">IF(B56&lt;='VALOR POR PL'!$P$5,'CP RESUMO'!BC59,"")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RESUMO'!BD17</f>
        <v>100</v>
      </c>
      <c r="N57" s="140" t="n">
        <f aca="false">MAX(0,M57-M56)</f>
        <v>0</v>
      </c>
      <c r="O57" s="139" t="str">
        <f aca="false">IF(B57&lt;='VALOR POR PL'!$P$5,'CP RESUMO'!BD59,"")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RESUMO'!BE17</f>
        <v>100</v>
      </c>
      <c r="N58" s="140" t="n">
        <f aca="false">MAX(0,M58-M57)</f>
        <v>0</v>
      </c>
      <c r="O58" s="139" t="str">
        <f aca="false">IF(B58&lt;='VALOR POR PL'!$P$5,'CP RESUMO'!BE59,"")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RESUMO'!BF17</f>
        <v>100</v>
      </c>
      <c r="N59" s="140" t="n">
        <f aca="false">MAX(0,M59-M58)</f>
        <v>0</v>
      </c>
      <c r="O59" s="139" t="str">
        <f aca="false">IF(B59&lt;='VALOR POR PL'!$P$5,'CP RESUMO'!BF59,"")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RESUMO'!BG17</f>
        <v>100</v>
      </c>
      <c r="N60" s="140" t="n">
        <f aca="false">MAX(0,M60-M59)</f>
        <v>0</v>
      </c>
      <c r="O60" s="139" t="str">
        <f aca="false">IF(B60&lt;='VALOR POR PL'!$P$5,'CP RESUMO'!BG59,"")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RESUMO'!BH17</f>
        <v>100</v>
      </c>
      <c r="N61" s="140" t="n">
        <f aca="false">MAX(0,M61-M60)</f>
        <v>0</v>
      </c>
      <c r="O61" s="139" t="str">
        <f aca="false">IF(B61&lt;='VALOR POR PL'!$P$5,'CP RESUMO'!BH59,"")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RESUMO'!BI17</f>
        <v>100</v>
      </c>
      <c r="N62" s="140" t="n">
        <f aca="false">MAX(0,M62-M61)</f>
        <v>0</v>
      </c>
      <c r="O62" s="139" t="str">
        <f aca="false">IF(B62&lt;='VALOR POR PL'!$P$5,'CP RESUMO'!BI59,"")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RESUMO'!BJ17</f>
        <v>100</v>
      </c>
      <c r="N63" s="140" t="n">
        <f aca="false">MAX(0,M63-M62)</f>
        <v>0</v>
      </c>
      <c r="O63" s="139" t="str">
        <f aca="false">IF(B63&lt;='VALOR POR PL'!$P$5,'CP RESUMO'!BJ59,"")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RESUMO'!BK17</f>
        <v>100</v>
      </c>
      <c r="N64" s="140" t="n">
        <f aca="false">MAX(0,M64-M63)</f>
        <v>0</v>
      </c>
      <c r="O64" s="139" t="str">
        <f aca="false">IF(B64&lt;='VALOR POR PL'!$P$5,'CP RESUMO'!BK59,"")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RESUMO'!BL17</f>
        <v>100</v>
      </c>
      <c r="N65" s="140" t="n">
        <f aca="false">MAX(0,M65-M64)</f>
        <v>0</v>
      </c>
      <c r="O65" s="139" t="str">
        <f aca="false">IF(B65&lt;='VALOR POR PL'!$P$5,'CP RESUMO'!BL59,"")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RESUMO'!BM17</f>
        <v>100</v>
      </c>
      <c r="N66" s="140" t="n">
        <f aca="false">MAX(0,M66-M65)</f>
        <v>0</v>
      </c>
      <c r="O66" s="139" t="str">
        <f aca="false">IF(B66&lt;='VALOR POR PL'!$P$5,'CP RESUMO'!BM59,"")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RESUMO'!BN17</f>
        <v>100</v>
      </c>
      <c r="N67" s="140" t="n">
        <f aca="false">MAX(0,M67-M66)</f>
        <v>0</v>
      </c>
      <c r="O67" s="139" t="str">
        <f aca="false">IF(B67&lt;='VALOR POR PL'!$P$5,'CP RESUMO'!BN59,"")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RESUMO'!BO17</f>
        <v>100</v>
      </c>
      <c r="N68" s="140" t="n">
        <f aca="false">MAX(0,M68-M67)</f>
        <v>0</v>
      </c>
      <c r="O68" s="139" t="str">
        <f aca="false">IF(B68&lt;='VALOR POR PL'!$P$5,'CP RESUMO'!BO59,"")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RESUMO'!BP17</f>
        <v>100</v>
      </c>
      <c r="N69" s="140" t="n">
        <f aca="false">MAX(0,M69-M68)</f>
        <v>0</v>
      </c>
      <c r="O69" s="139" t="str">
        <f aca="false">IF(B69&lt;='VALOR POR PL'!$P$5,'CP RESUMO'!BP59,"")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RESUMO'!BQ17</f>
        <v>100</v>
      </c>
      <c r="N70" s="140" t="n">
        <f aca="false">MAX(0,M70-M69)</f>
        <v>0</v>
      </c>
      <c r="O70" s="139" t="str">
        <f aca="false">IF(B70&lt;='VALOR POR PL'!$P$5,'CP RESUMO'!BQ59,"")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RESUMO'!BR17</f>
        <v>100</v>
      </c>
      <c r="N71" s="140" t="n">
        <f aca="false">MAX(0,M71-M70)</f>
        <v>0</v>
      </c>
      <c r="O71" s="139" t="str">
        <f aca="false">IF(B71&lt;='VALOR POR PL'!$P$5,'CP RESUMO'!BR59,"")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RESUMO'!BS17</f>
        <v>100</v>
      </c>
      <c r="N72" s="140" t="n">
        <f aca="false">MAX(0,M72-M71)</f>
        <v>0</v>
      </c>
      <c r="O72" s="139" t="str">
        <f aca="false">IF(B72&lt;='VALOR POR PL'!$P$5,'CP RESUMO'!BS59,"")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RESUMO'!BT17</f>
        <v>100</v>
      </c>
      <c r="N73" s="140" t="n">
        <f aca="false">MAX(0,M73-M72)</f>
        <v>0</v>
      </c>
      <c r="O73" s="139" t="str">
        <f aca="false">IF(B73&lt;='VALOR POR PL'!$P$5,'CP RESUMO'!BT59,"")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RESUMO'!BU17</f>
        <v>100</v>
      </c>
      <c r="N74" s="140" t="n">
        <f aca="false">MAX(0,M74-M73)</f>
        <v>0</v>
      </c>
      <c r="O74" s="139" t="str">
        <f aca="false">IF(B74&lt;='VALOR POR PL'!$P$5,'CP RESUMO'!BU59,"")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RESUMO'!BV17</f>
        <v>100</v>
      </c>
      <c r="N75" s="140" t="n">
        <f aca="false">MAX(0,M75-M74)</f>
        <v>0</v>
      </c>
      <c r="O75" s="139" t="str">
        <f aca="false">IF(B75&lt;='VALOR POR PL'!$P$5,'CP RESUMO'!BV59,"")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RESUMO'!BW17</f>
        <v>100</v>
      </c>
      <c r="N76" s="140" t="n">
        <f aca="false">MAX(0,M76-M75)</f>
        <v>0</v>
      </c>
      <c r="O76" s="139" t="str">
        <f aca="false">IF(B76&lt;='VALOR POR PL'!$P$5,'CP RESUMO'!BW59,"")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1097573.94</v>
      </c>
      <c r="D78" s="61" t="n">
        <f aca="false">SUM(D5:D76)</f>
        <v>325436.673139455</v>
      </c>
      <c r="E78" s="61" t="n">
        <f aca="false">SUM(E5:E76)</f>
        <v>1144.53125923452</v>
      </c>
      <c r="F78" s="145" t="n">
        <f aca="false">SUM(F5:F76)</f>
        <v>1</v>
      </c>
      <c r="H78" s="61" t="n">
        <f aca="false">SUM(H5:H76)</f>
        <v>384571.25</v>
      </c>
      <c r="L78" s="61" t="n">
        <f aca="false">SUM(L5:L76)</f>
        <v>893.594846681519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5.6843418860808E-014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PL'!D24</f>
        <v>TERRAPLENAGEM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HISTORICOS'!D18)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PL'!F24</f>
        <v>1259784.46</v>
      </c>
      <c r="K5" s="56" t="n">
        <f aca="false">'VALOR POR PL'!G24</f>
        <v>1035.405812</v>
      </c>
      <c r="L5" s="56" t="n">
        <f aca="false">'DADOS HISTORICOS'!$BZ$18</f>
        <v>0</v>
      </c>
      <c r="M5" s="139" t="n">
        <f aca="false">'CP RESUMO'!D18</f>
        <v>0</v>
      </c>
      <c r="N5" s="140" t="n">
        <v>0</v>
      </c>
      <c r="O5" s="139" t="n">
        <f aca="false">IF(B5&lt;='VALOR POR PL'!$P$5,'CP RESUMO'!D60,"")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HISTORICOS'!E18)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PL'!H24</f>
        <v>1001.69121786328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RESUMO'!E18</f>
        <v>0</v>
      </c>
      <c r="N6" s="140" t="n">
        <f aca="false">MAX(0,M6-M5)</f>
        <v>0</v>
      </c>
      <c r="O6" s="139" t="n">
        <f aca="false">IF(B6&lt;='VALOR POR PL'!$P$5,'CP RESUMO'!E60,"")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HISTORICOS'!F18)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1274343.65832616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RESUMO'!F18</f>
        <v>0</v>
      </c>
      <c r="N7" s="140" t="n">
        <f aca="false">MAX(0,M7-M6)</f>
        <v>0</v>
      </c>
      <c r="O7" s="139" t="n">
        <f aca="false">IF(B7&lt;='VALOR POR PL'!$P$5,'CP RESUMO'!F60,"")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HISTORICOS'!G18)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789.766694630012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RESUMO'!G18</f>
        <v>0</v>
      </c>
      <c r="N8" s="140" t="n">
        <f aca="false">MAX(0,M8-M7)</f>
        <v>0</v>
      </c>
      <c r="O8" s="139" t="n">
        <f aca="false">IF(B8&lt;='VALOR POR PL'!$P$5,'CP RESUMO'!G60,"")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HISTORICOS'!H18)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1274343.65832616</v>
      </c>
      <c r="K9" s="45" t="n">
        <f aca="false">E78</f>
        <v>1001.60741370941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RESUMO'!H18</f>
        <v>0</v>
      </c>
      <c r="N9" s="140" t="n">
        <f aca="false">MAX(0,M9-M8)</f>
        <v>0</v>
      </c>
      <c r="O9" s="139" t="n">
        <f aca="false">IF(B9&lt;='VALOR POR PL'!$P$5,'CP RESUMO'!H60,"")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HISTORICOS'!I18)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211.840719079394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RESUMO'!I18</f>
        <v>0</v>
      </c>
      <c r="N10" s="140" t="n">
        <f aca="false">MAX(0,M10-M9)</f>
        <v>0</v>
      </c>
      <c r="O10" s="139" t="n">
        <f aca="false">IF(B10&lt;='VALOR POR PL'!$P$5,'CP RESUMO'!I60,"")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HISTORICOS'!J18)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251741.15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RESUMO'!J18</f>
        <v>0</v>
      </c>
      <c r="N11" s="140" t="n">
        <f aca="false">MAX(0,M11-M10)</f>
        <v>0</v>
      </c>
      <c r="O11" s="139" t="n">
        <f aca="false">IF(B11&lt;='VALOR POR PL'!$P$5,'CP RESUMO'!J60,"")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HISTORICOS'!K18)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14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RESUMO'!K18</f>
        <v>0</v>
      </c>
      <c r="N12" s="140" t="n">
        <f aca="false">MAX(0,M12-M11)</f>
        <v>0</v>
      </c>
      <c r="O12" s="139" t="n">
        <f aca="false">IF(B12&lt;='VALOR POR PL'!$P$5,'CP RESUMO'!K60,"")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HISTORICOS'!L18)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PL'!I24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RESUMO'!L18</f>
        <v>0</v>
      </c>
      <c r="N13" s="140" t="n">
        <f aca="false">MAX(0,M13-M12)</f>
        <v>0</v>
      </c>
      <c r="O13" s="139" t="n">
        <f aca="false">IF(B13&lt;='VALOR POR PL'!$P$5,'CP RESUMO'!L60,"")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HISTORICOS'!M18)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RESUMO'!$D$60:$BW$60,MATCH('VALOR POR PL'!$P$5,'CP RESUMO'!$D$4:$BW$4,0))/100,0)</f>
        <v>0.86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RESUMO'!M18</f>
        <v>0</v>
      </c>
      <c r="N14" s="140" t="n">
        <f aca="false">MAX(0,M14-M13)</f>
        <v>0</v>
      </c>
      <c r="O14" s="139" t="n">
        <f aca="false">IF(B14&lt;='VALOR POR PL'!$P$5,'CP RESUMO'!M60,"")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HISTORICOS'!N18)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RESUMO'!N18</f>
        <v>0</v>
      </c>
      <c r="N15" s="140" t="n">
        <f aca="false">MAX(0,M15-M14)</f>
        <v>0</v>
      </c>
      <c r="O15" s="139" t="n">
        <f aca="false">IF(B15&lt;='VALOR POR PL'!$P$5,'CP RESUMO'!N60,"")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HISTORICOS'!O18)</f>
        <v>3866</v>
      </c>
      <c r="D16" s="45" t="n">
        <f aca="false">IF(B16&lt;='VALOR POR PL'!$P$5,0,IF($K$17&gt;0,$K$18*P16/$K$17,0))</f>
        <v>0</v>
      </c>
      <c r="E16" s="45" t="n">
        <f aca="false">L16+D16/$K$2</f>
        <v>3.154288437077</v>
      </c>
      <c r="F16" s="117" t="n">
        <f aca="false">IF($K$9=0,0,E16/$K$9)</f>
        <v>0.00314922632750415</v>
      </c>
      <c r="G16" s="117" t="n">
        <f aca="false">G15+F16</f>
        <v>0.00314922632750415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3.154288437077</v>
      </c>
      <c r="M16" s="139" t="n">
        <f aca="false">'CP RESUMO'!O18</f>
        <v>0</v>
      </c>
      <c r="N16" s="140" t="n">
        <f aca="false">MAX(0,M16-M15)</f>
        <v>0</v>
      </c>
      <c r="O16" s="139" t="n">
        <f aca="false">IF(B16&lt;='VALOR POR PL'!$P$5,'CP RESUMO'!O60,"")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HISTORICOS'!P18)</f>
        <v>58166.5</v>
      </c>
      <c r="D17" s="45" t="n">
        <f aca="false">IF(B17&lt;='VALOR POR PL'!$P$5,0,IF($K$17&gt;0,$K$18*P17/$K$17,0))</f>
        <v>0</v>
      </c>
      <c r="E17" s="45" t="n">
        <f aca="false">L17+D17/$K$2</f>
        <v>47.3606473418387</v>
      </c>
      <c r="F17" s="117" t="n">
        <f aca="false">IF($K$9=0,0,E17/$K$9)</f>
        <v>0.0472846413610706</v>
      </c>
      <c r="G17" s="117" t="n">
        <f aca="false">G16+F17</f>
        <v>0.0504338676885747</v>
      </c>
      <c r="H17" s="138"/>
      <c r="I17" s="42" t="s">
        <v>2933</v>
      </c>
      <c r="K17" s="45" t="n">
        <f aca="false">SUM(P5:P76)</f>
        <v>251741.15</v>
      </c>
      <c r="L17" s="45" t="n">
        <f aca="false">C17/IF(B17&lt;='VALOR POR PL'!$P$5,IFERROR(INDEX('"INCC-FGV"'!$B$2:$B$800,MATCH(B17,'"INCC-FGV"'!$A$2:$A$800,0)),$K$2),$K$2)</f>
        <v>47.3606473418387</v>
      </c>
      <c r="M17" s="139" t="n">
        <f aca="false">'CP RESUMO'!P18</f>
        <v>0</v>
      </c>
      <c r="N17" s="140" t="n">
        <f aca="false">MAX(0,M17-M16)</f>
        <v>0</v>
      </c>
      <c r="O17" s="139" t="n">
        <f aca="false">IF(B17&lt;='VALOR POR PL'!$P$5,'CP RESUMO'!P60,"")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HISTORICOS'!Q18)</f>
        <v>21398.48</v>
      </c>
      <c r="D18" s="45" t="n">
        <f aca="false">IF(B18&lt;='VALOR POR PL'!$P$5,0,IF($K$17&gt;0,$K$18*P18/$K$17,0))</f>
        <v>0</v>
      </c>
      <c r="E18" s="45" t="n">
        <f aca="false">L18+D18/$K$2</f>
        <v>17.2981869565639</v>
      </c>
      <c r="F18" s="117" t="n">
        <f aca="false">IF($K$9=0,0,E18/$K$9)</f>
        <v>0.0172704262366638</v>
      </c>
      <c r="G18" s="117" t="n">
        <f aca="false">G17+F18</f>
        <v>0.0677042939252386</v>
      </c>
      <c r="H18" s="138"/>
      <c r="I18" s="42" t="s">
        <v>2934</v>
      </c>
      <c r="K18" s="45" t="n">
        <f aca="false">MAX(0,K10)*$K$2</f>
        <v>274733.898326157</v>
      </c>
      <c r="L18" s="45" t="n">
        <f aca="false">C18/IF(B18&lt;='VALOR POR PL'!$P$5,IFERROR(INDEX('"INCC-FGV"'!$B$2:$B$800,MATCH(B18,'"INCC-FGV"'!$A$2:$A$800,0)),$K$2),$K$2)</f>
        <v>17.2981869565639</v>
      </c>
      <c r="M18" s="139" t="n">
        <f aca="false">'CP RESUMO'!Q18</f>
        <v>0</v>
      </c>
      <c r="N18" s="140" t="n">
        <f aca="false">MAX(0,M18-M17)</f>
        <v>0</v>
      </c>
      <c r="O18" s="139" t="n">
        <f aca="false">IF(B18&lt;='VALOR POR PL'!$P$5,'CP RESUMO'!Q60,"")</f>
        <v>14.87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HISTORICOS'!R18)</f>
        <v>104829.66</v>
      </c>
      <c r="D19" s="45" t="n">
        <f aca="false">IF(B19&lt;='VALOR POR PL'!$P$5,0,IF($K$17&gt;0,$K$18*P19/$K$17,0))</f>
        <v>0</v>
      </c>
      <c r="E19" s="45" t="n">
        <f aca="false">L19+D19/$K$2</f>
        <v>84.5072677453343</v>
      </c>
      <c r="F19" s="117" t="n">
        <f aca="false">IF($K$9=0,0,E19/$K$9)</f>
        <v>0.0843716476022932</v>
      </c>
      <c r="G19" s="117" t="n">
        <f aca="false">G18+F19</f>
        <v>0.152075941527532</v>
      </c>
      <c r="H19" s="138"/>
      <c r="I19" s="42" t="s">
        <v>2935</v>
      </c>
      <c r="K19" s="142" t="n">
        <f aca="false">IF(AND(K16="PREVISÃO INFORMADA",K11&gt;0),K18/K11-1,"")</f>
        <v>0.0913348823827831</v>
      </c>
      <c r="L19" s="45" t="n">
        <f aca="false">C19/IF(B19&lt;='VALOR POR PL'!$P$5,IFERROR(INDEX('"INCC-FGV"'!$B$2:$B$800,MATCH(B19,'"INCC-FGV"'!$A$2:$A$800,0)),$K$2),$K$2)</f>
        <v>84.5072677453343</v>
      </c>
      <c r="M19" s="139" t="n">
        <f aca="false">'CP RESUMO'!R18</f>
        <v>0</v>
      </c>
      <c r="N19" s="140" t="n">
        <f aca="false">MAX(0,M19-M18)</f>
        <v>0</v>
      </c>
      <c r="O19" s="139" t="n">
        <f aca="false">IF(B19&lt;='VALOR POR PL'!$P$5,'CP RESUMO'!R60,"")</f>
        <v>16.98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HISTORICOS'!S18)</f>
        <v>21701.49</v>
      </c>
      <c r="D20" s="45" t="n">
        <f aca="false">IF(B20&lt;='VALOR POR PL'!$P$5,0,IF($K$17&gt;0,$K$18*P20/$K$17,0))</f>
        <v>0</v>
      </c>
      <c r="E20" s="45" t="n">
        <f aca="false">L20+D20/$K$2</f>
        <v>17.4004334575334</v>
      </c>
      <c r="F20" s="117" t="n">
        <f aca="false">IF($K$9=0,0,E20/$K$9)</f>
        <v>0.0173725086489643</v>
      </c>
      <c r="G20" s="117" t="n">
        <f aca="false">G19+F20</f>
        <v>0.169448450176496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17.4004334575334</v>
      </c>
      <c r="M20" s="139" t="n">
        <f aca="false">'CP RESUMO'!S18</f>
        <v>47.53</v>
      </c>
      <c r="N20" s="140" t="n">
        <f aca="false">MAX(0,M20-M19)</f>
        <v>47.53</v>
      </c>
      <c r="O20" s="139" t="n">
        <f aca="false">IF(B20&lt;='VALOR POR PL'!$P$5,'CP RESUMO'!S60,"")</f>
        <v>41.31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HISTORICOS'!T18)</f>
        <v>203306.37</v>
      </c>
      <c r="D21" s="45" t="n">
        <f aca="false">IF(B21&lt;='VALOR POR PL'!$P$5,0,IF($K$17&gt;0,$K$18*P21/$K$17,0))</f>
        <v>0</v>
      </c>
      <c r="E21" s="45" t="n">
        <f aca="false">L21+D21/$K$2</f>
        <v>161.398838726886</v>
      </c>
      <c r="F21" s="117" t="n">
        <f aca="false">IF($K$9=0,0,E21/$K$9)</f>
        <v>0.161139820370492</v>
      </c>
      <c r="G21" s="117" t="n">
        <f aca="false">G20+F21</f>
        <v>0.330588270546988</v>
      </c>
      <c r="H21" s="138"/>
      <c r="K21" s="143"/>
      <c r="L21" s="45" t="n">
        <f aca="false">C21/IF(B21&lt;='VALOR POR PL'!$P$5,IFERROR(INDEX('"INCC-FGV"'!$B$2:$B$800,MATCH(B21,'"INCC-FGV"'!$A$2:$A$800,0)),$K$2),$K$2)</f>
        <v>161.398838726886</v>
      </c>
      <c r="M21" s="139" t="n">
        <f aca="false">'CP RESUMO'!T18</f>
        <v>86</v>
      </c>
      <c r="N21" s="140" t="n">
        <f aca="false">MAX(0,M21-M20)</f>
        <v>38.47</v>
      </c>
      <c r="O21" s="139" t="n">
        <f aca="false">IF(B21&lt;='VALOR POR PL'!$P$5,'CP RESUMO'!T60,"")</f>
        <v>86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HISTORICOS'!U18)</f>
        <v>269416.54</v>
      </c>
      <c r="D22" s="45" t="n">
        <f aca="false">IF(B22&lt;='VALOR POR PL'!$P$5,0,IF($K$17&gt;0,$K$18*P22/$K$17,0))</f>
        <v>0</v>
      </c>
      <c r="E22" s="45" t="n">
        <f aca="false">L22+D22/$K$2</f>
        <v>212.022979550561</v>
      </c>
      <c r="F22" s="117" t="n">
        <f aca="false">IF($K$9=0,0,E22/$K$9)</f>
        <v>0.211682717847848</v>
      </c>
      <c r="G22" s="117" t="n">
        <f aca="false">G21+F22</f>
        <v>0.542270988394836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212.022979550561</v>
      </c>
      <c r="M22" s="139" t="n">
        <f aca="false">'CP RESUMO'!U18</f>
        <v>86</v>
      </c>
      <c r="N22" s="140" t="n">
        <f aca="false">MAX(0,M22-M21)</f>
        <v>0</v>
      </c>
      <c r="O22" s="139" t="n">
        <f aca="false">IF(B22&lt;='VALOR POR PL'!$P$5,'CP RESUMO'!U60,"")</f>
        <v>86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HISTORICOS'!V18)</f>
        <v>202541.18</v>
      </c>
      <c r="D23" s="45" t="n">
        <f aca="false">IF(B23&lt;='VALOR POR PL'!$P$5,0,IF($K$17&gt;0,$K$18*P23/$K$17,0))</f>
        <v>0</v>
      </c>
      <c r="E23" s="45" t="n">
        <f aca="false">L23+D23/$K$2</f>
        <v>158.156095267917</v>
      </c>
      <c r="F23" s="117" t="n">
        <f aca="false">IF($K$9=0,0,E23/$K$9)</f>
        <v>0.157902280976728</v>
      </c>
      <c r="G23" s="117" t="n">
        <f aca="false">G22+F23</f>
        <v>0.700173269371564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158.156095267917</v>
      </c>
      <c r="M23" s="139" t="n">
        <f aca="false">'CP RESUMO'!V18</f>
        <v>86</v>
      </c>
      <c r="N23" s="140" t="n">
        <f aca="false">MAX(0,M23-M22)</f>
        <v>0</v>
      </c>
      <c r="O23" s="139" t="n">
        <f aca="false">IF(B23&lt;='VALOR POR PL'!$P$5,'CP RESUMO'!V60,"")</f>
        <v>86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HISTORICOS'!W18)</f>
        <v>53252.58</v>
      </c>
      <c r="D24" s="45" t="n">
        <f aca="false">IF(B24&lt;='VALOR POR PL'!$P$5,0,IF($K$17&gt;0,$K$18*P24/$K$17,0))</f>
        <v>0</v>
      </c>
      <c r="E24" s="45" t="n">
        <f aca="false">L24+D24/$K$2</f>
        <v>41.3313402114665</v>
      </c>
      <c r="F24" s="117" t="n">
        <f aca="false">IF($K$9=0,0,E24/$K$9)</f>
        <v>0.0412650102682425</v>
      </c>
      <c r="G24" s="117" t="n">
        <f aca="false">G23+F24</f>
        <v>0.741438279639806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41.3313402114665</v>
      </c>
      <c r="M24" s="139" t="n">
        <f aca="false">'CP RESUMO'!W18</f>
        <v>86</v>
      </c>
      <c r="N24" s="140" t="n">
        <f aca="false">MAX(0,M24-M23)</f>
        <v>0</v>
      </c>
      <c r="O24" s="139" t="n">
        <f aca="false">IF(B24&lt;='VALOR POR PL'!$P$5,'CP RESUMO'!W60,"")</f>
        <v>86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HISTORICOS'!X18)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0.741438279639806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RESUMO'!X18</f>
        <v>86</v>
      </c>
      <c r="N25" s="140" t="n">
        <f aca="false">MAX(0,M25-M24)</f>
        <v>0</v>
      </c>
      <c r="O25" s="139" t="n">
        <f aca="false">IF(B25&lt;='VALOR POR PL'!$P$5,'CP RESUMO'!X60,"")</f>
        <v>86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HISTORICOS'!Y18)</f>
        <v>58007.08</v>
      </c>
      <c r="D26" s="45" t="n">
        <f aca="false">IF(B26&lt;='VALOR POR PL'!$P$5,0,IF($K$17&gt;0,$K$18*P26/$K$17,0))</f>
        <v>54566.7441191392</v>
      </c>
      <c r="E26" s="45" t="n">
        <f aca="false">L26+D26/$K$2</f>
        <v>86.802975519986</v>
      </c>
      <c r="F26" s="117" t="n">
        <f aca="false">IF($K$9=0,0,E26/$K$9)</f>
        <v>0.0866636711468771</v>
      </c>
      <c r="G26" s="117" t="n">
        <f aca="false">G25+F26</f>
        <v>0.828101950786683</v>
      </c>
      <c r="H26" s="138" t="n">
        <v>50000</v>
      </c>
      <c r="L26" s="45" t="n">
        <f aca="false">C26/IF(B26&lt;='VALOR POR PL'!$P$5,IFERROR(INDEX('"INCC-FGV"'!$B$2:$B$800,MATCH(B26,'"INCC-FGV"'!$A$2:$A$800,0)),$K$2),$K$2)</f>
        <v>44.7278679979551</v>
      </c>
      <c r="M26" s="139" t="n">
        <f aca="false">'CP RESUMO'!Y18</f>
        <v>94.5</v>
      </c>
      <c r="N26" s="140" t="n">
        <f aca="false">MAX(0,M26-M25)</f>
        <v>8.5</v>
      </c>
      <c r="O26" s="139" t="str">
        <f aca="false">IF(B26&lt;='VALOR POR PL'!$P$5,'CP RESUMO'!Y60,"")</f>
        <v/>
      </c>
      <c r="P26" s="66" t="n">
        <f aca="false">IF(B26&lt;='VALOR POR PL'!$P$5,0,IF(OR($K$16="CURVA PREVISION",$K$16="MDO PREVISION + MATERIAL PREMISSA"),N26,IF($K$16="PREVISÃO INFORMADA",MAX(0,H26),0)))</f>
        <v>50000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HISTORICOS'!Z18)</f>
        <v>0</v>
      </c>
      <c r="D27" s="45" t="n">
        <f aca="false">IF(B27&lt;='VALOR POR PL'!$P$5,0,IF($K$17&gt;0,$K$18*P27/$K$17,0))</f>
        <v>81850.1161787087</v>
      </c>
      <c r="E27" s="45" t="n">
        <f aca="false">L27+D27/$K$2</f>
        <v>63.1126612830464</v>
      </c>
      <c r="F27" s="117" t="n">
        <f aca="false">IF($K$9=0,0,E27/$K$9)</f>
        <v>0.0630113759335223</v>
      </c>
      <c r="G27" s="117" t="n">
        <f aca="false">G26+F27</f>
        <v>0.891113326720206</v>
      </c>
      <c r="H27" s="138" t="n">
        <v>75000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RESUMO'!Z18</f>
        <v>100</v>
      </c>
      <c r="N27" s="140" t="n">
        <f aca="false">MAX(0,M27-M26)</f>
        <v>5.5</v>
      </c>
      <c r="O27" s="139" t="str">
        <f aca="false">IF(B27&lt;='VALOR POR PL'!$P$5,'CP RESUMO'!Z60,"")</f>
        <v/>
      </c>
      <c r="P27" s="66" t="n">
        <f aca="false">IF(B27&lt;='VALOR POR PL'!$P$5,0,IF(OR($K$16="CURVA PREVISION",$K$16="MDO PREVISION + MATERIAL PREMISSA"),N27,IF($K$16="PREVISÃO INFORMADA",MAX(0,H27),0)))</f>
        <v>75000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HISTORICOS'!AA18)</f>
        <v>0</v>
      </c>
      <c r="D28" s="45" t="n">
        <f aca="false">IF(B28&lt;='VALOR POR PL'!$P$5,0,IF($K$17&gt;0,$K$18*P28/$K$17,0))</f>
        <v>81850.1161787087</v>
      </c>
      <c r="E28" s="45" t="n">
        <f aca="false">L28+D28/$K$2</f>
        <v>63.1126612830464</v>
      </c>
      <c r="F28" s="117" t="n">
        <f aca="false">IF($K$9=0,0,E28/$K$9)</f>
        <v>0.0630113759335223</v>
      </c>
      <c r="G28" s="117" t="n">
        <f aca="false">G27+F28</f>
        <v>0.954124702653728</v>
      </c>
      <c r="H28" s="138" t="n">
        <v>75000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RESUMO'!AA18</f>
        <v>100</v>
      </c>
      <c r="N28" s="140" t="n">
        <f aca="false">MAX(0,M28-M27)</f>
        <v>0</v>
      </c>
      <c r="O28" s="139" t="str">
        <f aca="false">IF(B28&lt;='VALOR POR PL'!$P$5,'CP RESUMO'!AA60,"")</f>
        <v/>
      </c>
      <c r="P28" s="66" t="n">
        <f aca="false">IF(B28&lt;='VALOR POR PL'!$P$5,0,IF(OR($K$16="CURVA PREVISION",$K$16="MDO PREVISION + MATERIAL PREMISSA"),N28,IF($K$16="PREVISÃO INFORMADA",MAX(0,H28),0)))</f>
        <v>75000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HISTORICOS'!AB18)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0.954124702653728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RESUMO'!AB18</f>
        <v>100</v>
      </c>
      <c r="N29" s="140" t="n">
        <f aca="false">MAX(0,M29-M28)</f>
        <v>0</v>
      </c>
      <c r="O29" s="139" t="str">
        <f aca="false">IF(B29&lt;='VALOR POR PL'!$P$5,'CP RESUMO'!AB60,"")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HISTORICOS'!AC18)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0.954124702653728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RESUMO'!AC18</f>
        <v>100</v>
      </c>
      <c r="N30" s="140" t="n">
        <f aca="false">MAX(0,M30-M29)</f>
        <v>0</v>
      </c>
      <c r="O30" s="139" t="str">
        <f aca="false">IF(B30&lt;='VALOR POR PL'!$P$5,'CP RESUMO'!AC60,"")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HISTORICOS'!AD18)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0.954124702653728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RESUMO'!AD18</f>
        <v>100</v>
      </c>
      <c r="N31" s="140" t="n">
        <f aca="false">MAX(0,M31-M30)</f>
        <v>0</v>
      </c>
      <c r="O31" s="139" t="str">
        <f aca="false">IF(B31&lt;='VALOR POR PL'!$P$5,'CP RESUMO'!AD60,"")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HISTORICOS'!AE18)</f>
        <v>2100</v>
      </c>
      <c r="D32" s="45" t="n">
        <f aca="false">IF(B32&lt;='VALOR POR PL'!$P$5,0,IF($K$17&gt;0,$K$18*P32/$K$17,0))</f>
        <v>0</v>
      </c>
      <c r="E32" s="45" t="n">
        <f aca="false">L32+D32/$K$2</f>
        <v>1.61925962823341</v>
      </c>
      <c r="F32" s="117" t="n">
        <f aca="false">IF($K$9=0,0,E32/$K$9)</f>
        <v>0.00161666098520233</v>
      </c>
      <c r="G32" s="117" t="n">
        <f aca="false">G31+F32</f>
        <v>0.95574136363893</v>
      </c>
      <c r="H32" s="138"/>
      <c r="L32" s="45" t="n">
        <f aca="false">C32/IF(B32&lt;='VALOR POR PL'!$P$5,IFERROR(INDEX('"INCC-FGV"'!$B$2:$B$800,MATCH(B32,'"INCC-FGV"'!$A$2:$A$800,0)),$K$2),$K$2)</f>
        <v>1.61925962823341</v>
      </c>
      <c r="M32" s="139" t="n">
        <f aca="false">'CP RESUMO'!AE18</f>
        <v>100</v>
      </c>
      <c r="N32" s="140" t="n">
        <f aca="false">MAX(0,M32-M31)</f>
        <v>0</v>
      </c>
      <c r="O32" s="139" t="str">
        <f aca="false">IF(B32&lt;='VALOR POR PL'!$P$5,'CP RESUMO'!AE60,"")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HISTORICOS'!AF18)</f>
        <v>1023.88</v>
      </c>
      <c r="D33" s="45" t="n">
        <f aca="false">IF(B33&lt;='VALOR POR PL'!$P$5,0,IF($K$17&gt;0,$K$18*P33/$K$17,0))</f>
        <v>56466.9218495999</v>
      </c>
      <c r="E33" s="45" t="n">
        <f aca="false">L33+D33/$K$2</f>
        <v>44.3297782999161</v>
      </c>
      <c r="F33" s="117" t="n">
        <f aca="false">IF($K$9=0,0,E33/$K$9)</f>
        <v>0.0442586363610697</v>
      </c>
      <c r="G33" s="117" t="n">
        <f aca="false">G32+F33</f>
        <v>1</v>
      </c>
      <c r="H33" s="138" t="n">
        <v>51741.15</v>
      </c>
      <c r="L33" s="45" t="n">
        <f aca="false">C33/IF(B33&lt;='VALOR POR PL'!$P$5,IFERROR(INDEX('"INCC-FGV"'!$B$2:$B$800,MATCH(B33,'"INCC-FGV"'!$A$2:$A$800,0)),$K$2),$K$2)</f>
        <v>0.789489308645536</v>
      </c>
      <c r="M33" s="139" t="n">
        <f aca="false">'CP RESUMO'!AF18</f>
        <v>100</v>
      </c>
      <c r="N33" s="140" t="n">
        <f aca="false">MAX(0,M33-M32)</f>
        <v>0</v>
      </c>
      <c r="O33" s="139" t="str">
        <f aca="false">IF(B33&lt;='VALOR POR PL'!$P$5,'CP RESUMO'!AF60,"")</f>
        <v/>
      </c>
      <c r="P33" s="66" t="n">
        <f aca="false">IF(B33&lt;='VALOR POR PL'!$P$5,0,IF(OR($K$16="CURVA PREVISION",$K$16="MDO PREVISION + MATERIAL PREMISSA"),N33,IF($K$16="PREVISÃO INFORMADA",MAX(0,H33),0)))</f>
        <v>51741.15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HISTORICOS'!AG18)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RESUMO'!AG18</f>
        <v>100</v>
      </c>
      <c r="N34" s="140" t="n">
        <f aca="false">MAX(0,M34-M33)</f>
        <v>0</v>
      </c>
      <c r="O34" s="139" t="str">
        <f aca="false">IF(B34&lt;='VALOR POR PL'!$P$5,'CP RESUMO'!AG60,"")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HISTORICOS'!AH18)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RESUMO'!AH18</f>
        <v>100</v>
      </c>
      <c r="N35" s="140" t="n">
        <f aca="false">MAX(0,M35-M34)</f>
        <v>0</v>
      </c>
      <c r="O35" s="139" t="str">
        <f aca="false">IF(B35&lt;='VALOR POR PL'!$P$5,'CP RESUMO'!AH60,"")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HISTORICOS'!AI18)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RESUMO'!AI18</f>
        <v>100</v>
      </c>
      <c r="N36" s="140" t="n">
        <f aca="false">MAX(0,M36-M35)</f>
        <v>0</v>
      </c>
      <c r="O36" s="139" t="str">
        <f aca="false">IF(B36&lt;='VALOR POR PL'!$P$5,'CP RESUMO'!AI60,"")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HISTORICOS'!AJ18)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RESUMO'!AJ18</f>
        <v>100</v>
      </c>
      <c r="N37" s="140" t="n">
        <f aca="false">MAX(0,M37-M36)</f>
        <v>0</v>
      </c>
      <c r="O37" s="139" t="str">
        <f aca="false">IF(B37&lt;='VALOR POR PL'!$P$5,'CP RESUMO'!AJ60,"")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HISTORICOS'!AK18)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RESUMO'!AK18</f>
        <v>100</v>
      </c>
      <c r="N38" s="140" t="n">
        <f aca="false">MAX(0,M38-M37)</f>
        <v>0</v>
      </c>
      <c r="O38" s="139" t="str">
        <f aca="false">IF(B38&lt;='VALOR POR PL'!$P$5,'CP RESUMO'!AK60,"")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HISTORICOS'!AL18)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RESUMO'!AL18</f>
        <v>100</v>
      </c>
      <c r="N39" s="140" t="n">
        <f aca="false">MAX(0,M39-M38)</f>
        <v>0</v>
      </c>
      <c r="O39" s="139" t="str">
        <f aca="false">IF(B39&lt;='VALOR POR PL'!$P$5,'CP RESUMO'!AL60,"")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HISTORICOS'!AM18)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RESUMO'!AM18</f>
        <v>100</v>
      </c>
      <c r="N40" s="140" t="n">
        <f aca="false">MAX(0,M40-M39)</f>
        <v>0</v>
      </c>
      <c r="O40" s="139" t="str">
        <f aca="false">IF(B40&lt;='VALOR POR PL'!$P$5,'CP RESUMO'!AM60,"")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HISTORICOS'!AN18)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RESUMO'!AN18</f>
        <v>100</v>
      </c>
      <c r="N41" s="140" t="n">
        <f aca="false">MAX(0,M41-M40)</f>
        <v>0</v>
      </c>
      <c r="O41" s="139" t="str">
        <f aca="false">IF(B41&lt;='VALOR POR PL'!$P$5,'CP RESUMO'!AN60,"")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HISTORICOS'!AO18)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RESUMO'!AO18</f>
        <v>100</v>
      </c>
      <c r="N42" s="140" t="n">
        <f aca="false">MAX(0,M42-M41)</f>
        <v>0</v>
      </c>
      <c r="O42" s="139" t="str">
        <f aca="false">IF(B42&lt;='VALOR POR PL'!$P$5,'CP RESUMO'!AO60,"")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HISTORICOS'!AP18)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RESUMO'!AP18</f>
        <v>100</v>
      </c>
      <c r="N43" s="140" t="n">
        <f aca="false">MAX(0,M43-M42)</f>
        <v>0</v>
      </c>
      <c r="O43" s="139" t="str">
        <f aca="false">IF(B43&lt;='VALOR POR PL'!$P$5,'CP RESUMO'!AP60,"")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HISTORICOS'!AQ18)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RESUMO'!AQ18</f>
        <v>100</v>
      </c>
      <c r="N44" s="140" t="n">
        <f aca="false">MAX(0,M44-M43)</f>
        <v>0</v>
      </c>
      <c r="O44" s="139" t="str">
        <f aca="false">IF(B44&lt;='VALOR POR PL'!$P$5,'CP RESUMO'!AQ60,"")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HISTORICOS'!AR18)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RESUMO'!AR18</f>
        <v>100</v>
      </c>
      <c r="N45" s="140" t="n">
        <f aca="false">MAX(0,M45-M44)</f>
        <v>0</v>
      </c>
      <c r="O45" s="139" t="str">
        <f aca="false">IF(B45&lt;='VALOR POR PL'!$P$5,'CP RESUMO'!AR60,"")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HISTORICOS'!AS18)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RESUMO'!AS18</f>
        <v>100</v>
      </c>
      <c r="N46" s="140" t="n">
        <f aca="false">MAX(0,M46-M45)</f>
        <v>0</v>
      </c>
      <c r="O46" s="139" t="str">
        <f aca="false">IF(B46&lt;='VALOR POR PL'!$P$5,'CP RESUMO'!AS60,"")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HISTORICOS'!AT18)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RESUMO'!AT18</f>
        <v>100</v>
      </c>
      <c r="N47" s="140" t="n">
        <f aca="false">MAX(0,M47-M46)</f>
        <v>0</v>
      </c>
      <c r="O47" s="139" t="str">
        <f aca="false">IF(B47&lt;='VALOR POR PL'!$P$5,'CP RESUMO'!AT60,"")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HISTORICOS'!AU18)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RESUMO'!AU18</f>
        <v>100</v>
      </c>
      <c r="N48" s="140" t="n">
        <f aca="false">MAX(0,M48-M47)</f>
        <v>0</v>
      </c>
      <c r="O48" s="139" t="str">
        <f aca="false">IF(B48&lt;='VALOR POR PL'!$P$5,'CP RESUMO'!AU60,"")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RESUMO'!AV18</f>
        <v>100</v>
      </c>
      <c r="N49" s="140" t="n">
        <f aca="false">MAX(0,M49-M48)</f>
        <v>0</v>
      </c>
      <c r="O49" s="139" t="str">
        <f aca="false">IF(B49&lt;='VALOR POR PL'!$P$5,'CP RESUMO'!AV60,"")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RESUMO'!AW18</f>
        <v>100</v>
      </c>
      <c r="N50" s="140" t="n">
        <f aca="false">MAX(0,M50-M49)</f>
        <v>0</v>
      </c>
      <c r="O50" s="139" t="str">
        <f aca="false">IF(B50&lt;='VALOR POR PL'!$P$5,'CP RESUMO'!AW60,"")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RESUMO'!AX18</f>
        <v>100</v>
      </c>
      <c r="N51" s="140" t="n">
        <f aca="false">MAX(0,M51-M50)</f>
        <v>0</v>
      </c>
      <c r="O51" s="139" t="str">
        <f aca="false">IF(B51&lt;='VALOR POR PL'!$P$5,'CP RESUMO'!AX60,"")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RESUMO'!AY18</f>
        <v>100</v>
      </c>
      <c r="N52" s="140" t="n">
        <f aca="false">MAX(0,M52-M51)</f>
        <v>0</v>
      </c>
      <c r="O52" s="139" t="str">
        <f aca="false">IF(B52&lt;='VALOR POR PL'!$P$5,'CP RESUMO'!AY60,"")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RESUMO'!AZ18</f>
        <v>100</v>
      </c>
      <c r="N53" s="140" t="n">
        <f aca="false">MAX(0,M53-M52)</f>
        <v>0</v>
      </c>
      <c r="O53" s="139" t="str">
        <f aca="false">IF(B53&lt;='VALOR POR PL'!$P$5,'CP RESUMO'!AZ60,"")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RESUMO'!BA18</f>
        <v>100</v>
      </c>
      <c r="N54" s="140" t="n">
        <f aca="false">MAX(0,M54-M53)</f>
        <v>0</v>
      </c>
      <c r="O54" s="139" t="str">
        <f aca="false">IF(B54&lt;='VALOR POR PL'!$P$5,'CP RESUMO'!BA60,"")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RESUMO'!BB18</f>
        <v>100</v>
      </c>
      <c r="N55" s="140" t="n">
        <f aca="false">MAX(0,M55-M54)</f>
        <v>0</v>
      </c>
      <c r="O55" s="139" t="str">
        <f aca="false">IF(B55&lt;='VALOR POR PL'!$P$5,'CP RESUMO'!BB60,"")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RESUMO'!BC18</f>
        <v>100</v>
      </c>
      <c r="N56" s="140" t="n">
        <f aca="false">MAX(0,M56-M55)</f>
        <v>0</v>
      </c>
      <c r="O56" s="139" t="str">
        <f aca="false">IF(B56&lt;='VALOR POR PL'!$P$5,'CP RESUMO'!BC60,"")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RESUMO'!BD18</f>
        <v>100</v>
      </c>
      <c r="N57" s="140" t="n">
        <f aca="false">MAX(0,M57-M56)</f>
        <v>0</v>
      </c>
      <c r="O57" s="139" t="str">
        <f aca="false">IF(B57&lt;='VALOR POR PL'!$P$5,'CP RESUMO'!BD60,"")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RESUMO'!BE18</f>
        <v>100</v>
      </c>
      <c r="N58" s="140" t="n">
        <f aca="false">MAX(0,M58-M57)</f>
        <v>0</v>
      </c>
      <c r="O58" s="139" t="str">
        <f aca="false">IF(B58&lt;='VALOR POR PL'!$P$5,'CP RESUMO'!BE60,"")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RESUMO'!BF18</f>
        <v>100</v>
      </c>
      <c r="N59" s="140" t="n">
        <f aca="false">MAX(0,M59-M58)</f>
        <v>0</v>
      </c>
      <c r="O59" s="139" t="str">
        <f aca="false">IF(B59&lt;='VALOR POR PL'!$P$5,'CP RESUMO'!BF60,"")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RESUMO'!BG18</f>
        <v>100</v>
      </c>
      <c r="N60" s="140" t="n">
        <f aca="false">MAX(0,M60-M59)</f>
        <v>0</v>
      </c>
      <c r="O60" s="139" t="str">
        <f aca="false">IF(B60&lt;='VALOR POR PL'!$P$5,'CP RESUMO'!BG60,"")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RESUMO'!BH18</f>
        <v>100</v>
      </c>
      <c r="N61" s="140" t="n">
        <f aca="false">MAX(0,M61-M60)</f>
        <v>0</v>
      </c>
      <c r="O61" s="139" t="str">
        <f aca="false">IF(B61&lt;='VALOR POR PL'!$P$5,'CP RESUMO'!BH60,"")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RESUMO'!BI18</f>
        <v>100</v>
      </c>
      <c r="N62" s="140" t="n">
        <f aca="false">MAX(0,M62-M61)</f>
        <v>0</v>
      </c>
      <c r="O62" s="139" t="str">
        <f aca="false">IF(B62&lt;='VALOR POR PL'!$P$5,'CP RESUMO'!BI60,"")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RESUMO'!BJ18</f>
        <v>100</v>
      </c>
      <c r="N63" s="140" t="n">
        <f aca="false">MAX(0,M63-M62)</f>
        <v>0</v>
      </c>
      <c r="O63" s="139" t="str">
        <f aca="false">IF(B63&lt;='VALOR POR PL'!$P$5,'CP RESUMO'!BJ60,"")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RESUMO'!BK18</f>
        <v>100</v>
      </c>
      <c r="N64" s="140" t="n">
        <f aca="false">MAX(0,M64-M63)</f>
        <v>0</v>
      </c>
      <c r="O64" s="139" t="str">
        <f aca="false">IF(B64&lt;='VALOR POR PL'!$P$5,'CP RESUMO'!BK60,"")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RESUMO'!BL18</f>
        <v>100</v>
      </c>
      <c r="N65" s="140" t="n">
        <f aca="false">MAX(0,M65-M64)</f>
        <v>0</v>
      </c>
      <c r="O65" s="139" t="str">
        <f aca="false">IF(B65&lt;='VALOR POR PL'!$P$5,'CP RESUMO'!BL60,"")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RESUMO'!BM18</f>
        <v>100</v>
      </c>
      <c r="N66" s="140" t="n">
        <f aca="false">MAX(0,M66-M65)</f>
        <v>0</v>
      </c>
      <c r="O66" s="139" t="str">
        <f aca="false">IF(B66&lt;='VALOR POR PL'!$P$5,'CP RESUMO'!BM60,"")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RESUMO'!BN18</f>
        <v>100</v>
      </c>
      <c r="N67" s="140" t="n">
        <f aca="false">MAX(0,M67-M66)</f>
        <v>0</v>
      </c>
      <c r="O67" s="139" t="str">
        <f aca="false">IF(B67&lt;='VALOR POR PL'!$P$5,'CP RESUMO'!BN60,"")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RESUMO'!BO18</f>
        <v>100</v>
      </c>
      <c r="N68" s="140" t="n">
        <f aca="false">MAX(0,M68-M67)</f>
        <v>0</v>
      </c>
      <c r="O68" s="139" t="str">
        <f aca="false">IF(B68&lt;='VALOR POR PL'!$P$5,'CP RESUMO'!BO60,"")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RESUMO'!BP18</f>
        <v>100</v>
      </c>
      <c r="N69" s="140" t="n">
        <f aca="false">MAX(0,M69-M68)</f>
        <v>0</v>
      </c>
      <c r="O69" s="139" t="str">
        <f aca="false">IF(B69&lt;='VALOR POR PL'!$P$5,'CP RESUMO'!BP60,"")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RESUMO'!BQ18</f>
        <v>100</v>
      </c>
      <c r="N70" s="140" t="n">
        <f aca="false">MAX(0,M70-M69)</f>
        <v>0</v>
      </c>
      <c r="O70" s="139" t="str">
        <f aca="false">IF(B70&lt;='VALOR POR PL'!$P$5,'CP RESUMO'!BQ60,"")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RESUMO'!BR18</f>
        <v>100</v>
      </c>
      <c r="N71" s="140" t="n">
        <f aca="false">MAX(0,M71-M70)</f>
        <v>0</v>
      </c>
      <c r="O71" s="139" t="str">
        <f aca="false">IF(B71&lt;='VALOR POR PL'!$P$5,'CP RESUMO'!BR60,"")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RESUMO'!BS18</f>
        <v>100</v>
      </c>
      <c r="N72" s="140" t="n">
        <f aca="false">MAX(0,M72-M71)</f>
        <v>0</v>
      </c>
      <c r="O72" s="139" t="str">
        <f aca="false">IF(B72&lt;='VALOR POR PL'!$P$5,'CP RESUMO'!BS60,"")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RESUMO'!BT18</f>
        <v>100</v>
      </c>
      <c r="N73" s="140" t="n">
        <f aca="false">MAX(0,M73-M72)</f>
        <v>0</v>
      </c>
      <c r="O73" s="139" t="str">
        <f aca="false">IF(B73&lt;='VALOR POR PL'!$P$5,'CP RESUMO'!BT60,"")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RESUMO'!BU18</f>
        <v>100</v>
      </c>
      <c r="N74" s="140" t="n">
        <f aca="false">MAX(0,M74-M73)</f>
        <v>0</v>
      </c>
      <c r="O74" s="139" t="str">
        <f aca="false">IF(B74&lt;='VALOR POR PL'!$P$5,'CP RESUMO'!BU60,"")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RESUMO'!BV18</f>
        <v>100</v>
      </c>
      <c r="N75" s="140" t="n">
        <f aca="false">MAX(0,M75-M74)</f>
        <v>0</v>
      </c>
      <c r="O75" s="139" t="str">
        <f aca="false">IF(B75&lt;='VALOR POR PL'!$P$5,'CP RESUMO'!BV60,"")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RESUMO'!BW18</f>
        <v>100</v>
      </c>
      <c r="N76" s="140" t="n">
        <f aca="false">MAX(0,M76-M75)</f>
        <v>0</v>
      </c>
      <c r="O76" s="139" t="str">
        <f aca="false">IF(B76&lt;='VALOR POR PL'!$P$5,'CP RESUMO'!BW60,"")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999609.76</v>
      </c>
      <c r="D78" s="61" t="n">
        <f aca="false">SUM(D5:D76)</f>
        <v>274733.898326157</v>
      </c>
      <c r="E78" s="61" t="n">
        <f aca="false">SUM(E5:E76)</f>
        <v>1001.60741370941</v>
      </c>
      <c r="F78" s="145" t="n">
        <f aca="false">SUM(F5:F76)</f>
        <v>1</v>
      </c>
      <c r="H78" s="61" t="n">
        <f aca="false">SUM(H5:H76)</f>
        <v>251741.15</v>
      </c>
      <c r="L78" s="61" t="n">
        <f aca="false">SUM(L5:L76)</f>
        <v>789.766694630012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PL'!D25</f>
        <v>FUNDAÇÃO PROFUNDA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PL'!F25</f>
        <v>6226579.22</v>
      </c>
      <c r="K5" s="56" t="n">
        <f aca="false">'VALOR POR PL'!G25</f>
        <v>5117.570899</v>
      </c>
      <c r="L5" s="56" t="n">
        <f aca="false">'DADOS HISTORICOS'!$BZ$19</f>
        <v>0</v>
      </c>
      <c r="M5" s="139" t="n">
        <f aca="false">'CP RESUMO'!D19</f>
        <v>0</v>
      </c>
      <c r="N5" s="140" t="n">
        <v>0</v>
      </c>
      <c r="O5" s="139" t="n">
        <f aca="false">IF(B5&lt;='VALOR POR PL'!$P$5,'CP RESUMO'!D61,"")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PL'!H25</f>
        <v>5539.15691790596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RESUMO'!E19</f>
        <v>0</v>
      </c>
      <c r="N6" s="140" t="n">
        <f aca="false">MAX(0,M6-M5)</f>
        <v>0</v>
      </c>
      <c r="O6" s="139" t="n">
        <f aca="false">IF(B6&lt;='VALOR POR PL'!$P$5,'CP RESUMO'!E61,"")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6863872.54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RESUMO'!F19</f>
        <v>0</v>
      </c>
      <c r="N7" s="140" t="n">
        <f aca="false">MAX(0,M7-M6)</f>
        <v>0</v>
      </c>
      <c r="O7" s="139" t="n">
        <f aca="false">IF(B7&lt;='VALOR POR PL'!$P$5,'CP RESUMO'!F61,"")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5539.15691790596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RESUMO'!G19</f>
        <v>0</v>
      </c>
      <c r="N8" s="140" t="n">
        <f aca="false">MAX(0,M8-M7)</f>
        <v>0</v>
      </c>
      <c r="O8" s="139" t="n">
        <f aca="false">IF(B8&lt;='VALOR POR PL'!$P$5,'CP RESUMO'!G61,"")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6863872.54</v>
      </c>
      <c r="K9" s="45" t="n">
        <f aca="false">E78</f>
        <v>5539.15691790596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RESUMO'!H19</f>
        <v>0</v>
      </c>
      <c r="N9" s="140" t="n">
        <f aca="false">MAX(0,M9-M8)</f>
        <v>0</v>
      </c>
      <c r="O9" s="139" t="n">
        <f aca="false">IF(B9&lt;='VALOR POR PL'!$P$5,'CP RESUMO'!H61,"")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RESUMO'!I19</f>
        <v>0</v>
      </c>
      <c r="N10" s="140" t="n">
        <f aca="false">MAX(0,M10-M9)</f>
        <v>0</v>
      </c>
      <c r="O10" s="139" t="n">
        <f aca="false">IF(B10&lt;='VALOR POR PL'!$P$5,'CP RESUMO'!I61,"")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0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RESUMO'!J19</f>
        <v>0</v>
      </c>
      <c r="N11" s="140" t="n">
        <f aca="false">MAX(0,M11-M10)</f>
        <v>0</v>
      </c>
      <c r="O11" s="139" t="n">
        <f aca="false">IF(B11&lt;='VALOR POR PL'!$P$5,'CP RESUMO'!J61,"")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RESUMO'!K19</f>
        <v>0</v>
      </c>
      <c r="N12" s="140" t="n">
        <f aca="false">MAX(0,M12-M11)</f>
        <v>0</v>
      </c>
      <c r="O12" s="139" t="n">
        <f aca="false">IF(B12&lt;='VALOR POR PL'!$P$5,'CP RESUMO'!K61,"")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HISTORICOS'!L19)</f>
        <v>1930</v>
      </c>
      <c r="D13" s="45" t="n">
        <f aca="false">IF(B13&lt;='VALOR POR PL'!$P$5,0,IF($K$17&gt;0,$K$18*P13/$K$17,0))</f>
        <v>0</v>
      </c>
      <c r="E13" s="45" t="n">
        <f aca="false">L13+D13/$K$2</f>
        <v>1.58625008835331</v>
      </c>
      <c r="F13" s="117" t="n">
        <f aca="false">IF($K$9=0,0,E13/$K$9)</f>
        <v>0.000286370310836578</v>
      </c>
      <c r="G13" s="117" t="n">
        <f aca="false">G12+F13</f>
        <v>0.000286370310836578</v>
      </c>
      <c r="H13" s="138"/>
      <c r="I13" s="42" t="s">
        <v>2928</v>
      </c>
      <c r="K13" s="56" t="str">
        <f aca="false">'VALOR POR PL'!I25</f>
        <v>DIRETO</v>
      </c>
      <c r="L13" s="45" t="n">
        <f aca="false">C13/IF(B13&lt;='VALOR POR PL'!$P$5,IFERROR(INDEX('"INCC-FGV"'!$B$2:$B$800,MATCH(B13,'"INCC-FGV"'!$A$2:$A$800,0)),$K$2),$K$2)</f>
        <v>1.58625008835331</v>
      </c>
      <c r="M13" s="139" t="n">
        <f aca="false">'CP RESUMO'!L19</f>
        <v>0</v>
      </c>
      <c r="N13" s="140" t="n">
        <f aca="false">MAX(0,M13-M12)</f>
        <v>0</v>
      </c>
      <c r="O13" s="139" t="n">
        <f aca="false">IF(B13&lt;='VALOR POR PL'!$P$5,'CP RESUMO'!L61,"")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HISTORICOS'!M19)</f>
        <v>145877.57</v>
      </c>
      <c r="D14" s="45" t="n">
        <f aca="false">IF(B14&lt;='VALOR POR PL'!$P$5,0,IF($K$17&gt;0,$K$18*P14/$K$17,0))</f>
        <v>0</v>
      </c>
      <c r="E14" s="45" t="n">
        <f aca="false">L14+D14/$K$2</f>
        <v>119.694711043391</v>
      </c>
      <c r="F14" s="117" t="n">
        <f aca="false">IF($K$9=0,0,E14/$K$9)</f>
        <v>0.0216088319607745</v>
      </c>
      <c r="G14" s="117" t="n">
        <f aca="false">G13+F14</f>
        <v>0.0218952022716111</v>
      </c>
      <c r="H14" s="138"/>
      <c r="I14" s="42" t="s">
        <v>2929</v>
      </c>
      <c r="K14" s="58" t="n">
        <f aca="false">IFERROR(INDEX('CP RESUMO'!$D$61:$BW$61,MATCH('VALOR POR PL'!$P$5,'CP RESUMO'!$D$4:$BW$4,0))/100,0)</f>
        <v>0.9953</v>
      </c>
      <c r="L14" s="45" t="n">
        <f aca="false">C14/IF(B14&lt;='VALOR POR PL'!$P$5,IFERROR(INDEX('"INCC-FGV"'!$B$2:$B$800,MATCH(B14,'"INCC-FGV"'!$A$2:$A$800,0)),$K$2),$K$2)</f>
        <v>119.694711043391</v>
      </c>
      <c r="M14" s="139" t="n">
        <f aca="false">'CP RESUMO'!M19</f>
        <v>0</v>
      </c>
      <c r="N14" s="140" t="n">
        <f aca="false">MAX(0,M14-M13)</f>
        <v>0</v>
      </c>
      <c r="O14" s="139" t="n">
        <f aca="false">IF(B14&lt;='VALOR POR PL'!$P$5,'CP RESUMO'!M61,"")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HISTORICOS'!N19)</f>
        <v>521095.71</v>
      </c>
      <c r="D15" s="45" t="n">
        <f aca="false">IF(B15&lt;='VALOR POR PL'!$P$5,0,IF($K$17&gt;0,$K$18*P15/$K$17,0))</f>
        <v>0</v>
      </c>
      <c r="E15" s="45" t="n">
        <f aca="false">L15+D15/$K$2</f>
        <v>426.304374503009</v>
      </c>
      <c r="F15" s="117" t="n">
        <f aca="false">IF($K$9=0,0,E15/$K$9)</f>
        <v>0.0769619602443346</v>
      </c>
      <c r="G15" s="117" t="n">
        <f aca="false">G14+F15</f>
        <v>0.0988571625159456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426.304374503009</v>
      </c>
      <c r="M15" s="139" t="n">
        <f aca="false">'CP RESUMO'!N19</f>
        <v>17.44</v>
      </c>
      <c r="N15" s="140" t="n">
        <f aca="false">MAX(0,M15-M14)</f>
        <v>17.44</v>
      </c>
      <c r="O15" s="139" t="n">
        <f aca="false">IF(B15&lt;='VALOR POR PL'!$P$5,'CP RESUMO'!N61,"")</f>
        <v>21.06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HISTORICOS'!O19)</f>
        <v>1121245.4</v>
      </c>
      <c r="D16" s="45" t="n">
        <f aca="false">IF(B16&lt;='VALOR POR PL'!$P$5,0,IF($K$17&gt;0,$K$18*P16/$K$17,0))</f>
        <v>0</v>
      </c>
      <c r="E16" s="45" t="n">
        <f aca="false">L16+D16/$K$2</f>
        <v>914.829643131345</v>
      </c>
      <c r="F16" s="117" t="n">
        <f aca="false">IF($K$9=0,0,E16/$K$9)</f>
        <v>0.165156838249889</v>
      </c>
      <c r="G16" s="117" t="n">
        <f aca="false">G15+F16</f>
        <v>0.264014000765834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SEM CURVA</v>
      </c>
      <c r="L16" s="45" t="n">
        <f aca="false">C16/IF(B16&lt;='VALOR POR PL'!$P$5,IFERROR(INDEX('"INCC-FGV"'!$B$2:$B$800,MATCH(B16,'"INCC-FGV"'!$A$2:$A$800,0)),$K$2),$K$2)</f>
        <v>914.829643131345</v>
      </c>
      <c r="M16" s="139" t="n">
        <f aca="false">'CP RESUMO'!O19</f>
        <v>39.53</v>
      </c>
      <c r="N16" s="140" t="n">
        <f aca="false">MAX(0,M16-M15)</f>
        <v>22.09</v>
      </c>
      <c r="O16" s="139" t="n">
        <f aca="false">IF(B16&lt;='VALOR POR PL'!$P$5,'CP RESUMO'!O61,"")</f>
        <v>46.99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HISTORICOS'!P19)</f>
        <v>876284.06</v>
      </c>
      <c r="D17" s="45" t="n">
        <f aca="false">IF(B17&lt;='VALOR POR PL'!$P$5,0,IF($K$17&gt;0,$K$18*P17/$K$17,0))</f>
        <v>0</v>
      </c>
      <c r="E17" s="45" t="n">
        <f aca="false">L17+D17/$K$2</f>
        <v>713.492823823587</v>
      </c>
      <c r="F17" s="117" t="n">
        <f aca="false">IF($K$9=0,0,E17/$K$9)</f>
        <v>0.128808920635041</v>
      </c>
      <c r="G17" s="117" t="n">
        <f aca="false">G16+F17</f>
        <v>0.392822921400875</v>
      </c>
      <c r="H17" s="138"/>
      <c r="I17" s="42" t="s">
        <v>2933</v>
      </c>
      <c r="K17" s="45" t="n">
        <f aca="false">SUM(P5:P76)</f>
        <v>0</v>
      </c>
      <c r="L17" s="45" t="n">
        <f aca="false">C17/IF(B17&lt;='VALOR POR PL'!$P$5,IFERROR(INDEX('"INCC-FGV"'!$B$2:$B$800,MATCH(B17,'"INCC-FGV"'!$A$2:$A$800,0)),$K$2),$K$2)</f>
        <v>713.492823823587</v>
      </c>
      <c r="M17" s="139" t="n">
        <f aca="false">'CP RESUMO'!P19</f>
        <v>55.81</v>
      </c>
      <c r="N17" s="140" t="n">
        <f aca="false">MAX(0,M17-M16)</f>
        <v>16.28</v>
      </c>
      <c r="O17" s="139" t="n">
        <f aca="false">IF(B17&lt;='VALOR POR PL'!$P$5,'CP RESUMO'!P61,"")</f>
        <v>62.54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HISTORICOS'!Q19)</f>
        <v>1371139.53</v>
      </c>
      <c r="D18" s="45" t="n">
        <f aca="false">IF(B18&lt;='VALOR POR PL'!$P$5,0,IF($K$17&gt;0,$K$18*P18/$K$17,0))</f>
        <v>0</v>
      </c>
      <c r="E18" s="45" t="n">
        <f aca="false">L18+D18/$K$2</f>
        <v>1108.40713608981</v>
      </c>
      <c r="F18" s="117" t="n">
        <f aca="false">IF($K$9=0,0,E18/$K$9)</f>
        <v>0.200103942263625</v>
      </c>
      <c r="G18" s="117" t="n">
        <f aca="false">G17+F18</f>
        <v>0.592926863664501</v>
      </c>
      <c r="H18" s="138"/>
      <c r="I18" s="42" t="s">
        <v>2934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1108.40713608981</v>
      </c>
      <c r="M18" s="139" t="n">
        <f aca="false">'CP RESUMO'!Q19</f>
        <v>79.07</v>
      </c>
      <c r="N18" s="140" t="n">
        <f aca="false">MAX(0,M18-M17)</f>
        <v>23.26</v>
      </c>
      <c r="O18" s="139" t="n">
        <f aca="false">IF(B18&lt;='VALOR POR PL'!$P$5,'CP RESUMO'!Q61,"")</f>
        <v>80.98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HISTORICOS'!R19)</f>
        <v>644213.9</v>
      </c>
      <c r="D19" s="45" t="n">
        <f aca="false">IF(B19&lt;='VALOR POR PL'!$P$5,0,IF($K$17&gt;0,$K$18*P19/$K$17,0))</f>
        <v>0</v>
      </c>
      <c r="E19" s="45" t="n">
        <f aca="false">L19+D19/$K$2</f>
        <v>519.325890521499</v>
      </c>
      <c r="F19" s="117" t="n">
        <f aca="false">IF($K$9=0,0,E19/$K$9)</f>
        <v>0.0937554032532856</v>
      </c>
      <c r="G19" s="117" t="n">
        <f aca="false">G18+F19</f>
        <v>0.686682266917786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519.325890521499</v>
      </c>
      <c r="M19" s="139" t="n">
        <f aca="false">'CP RESUMO'!R19</f>
        <v>99.53</v>
      </c>
      <c r="N19" s="140" t="n">
        <f aca="false">MAX(0,M19-M18)</f>
        <v>20.46</v>
      </c>
      <c r="O19" s="139" t="n">
        <f aca="false">IF(B19&lt;='VALOR POR PL'!$P$5,'CP RESUMO'!R61,"")</f>
        <v>94.31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HISTORICOS'!S19)</f>
        <v>1233027.32</v>
      </c>
      <c r="D20" s="45" t="n">
        <f aca="false">IF(B20&lt;='VALOR POR PL'!$P$5,0,IF($K$17&gt;0,$K$18*P20/$K$17,0))</f>
        <v>0</v>
      </c>
      <c r="E20" s="45" t="n">
        <f aca="false">L20+D20/$K$2</f>
        <v>988.651462778859</v>
      </c>
      <c r="F20" s="117" t="n">
        <f aca="false">IF($K$9=0,0,E20/$K$9)</f>
        <v>0.178484104608579</v>
      </c>
      <c r="G20" s="117" t="n">
        <f aca="false">G19+F20</f>
        <v>0.865166371526365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Não há curva: preencha a coluna H ou revise o Prevision</v>
      </c>
      <c r="L20" s="45" t="n">
        <f aca="false">C20/IF(B20&lt;='VALOR POR PL'!$P$5,IFERROR(INDEX('"INCC-FGV"'!$B$2:$B$800,MATCH(B20,'"INCC-FGV"'!$A$2:$A$800,0)),$K$2),$K$2)</f>
        <v>988.651462778859</v>
      </c>
      <c r="M20" s="139" t="n">
        <f aca="false">'CP RESUMO'!S19</f>
        <v>100</v>
      </c>
      <c r="N20" s="140" t="n">
        <f aca="false">MAX(0,M20-M19)</f>
        <v>0.469999999999999</v>
      </c>
      <c r="O20" s="139" t="n">
        <f aca="false">IF(B20&lt;='VALOR POR PL'!$P$5,'CP RESUMO'!S61,"")</f>
        <v>99.53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HISTORICOS'!T19)</f>
        <v>606377.66</v>
      </c>
      <c r="D21" s="45" t="n">
        <f aca="false">IF(B21&lt;='VALOR POR PL'!$P$5,0,IF($K$17&gt;0,$K$18*P21/$K$17,0))</f>
        <v>0</v>
      </c>
      <c r="E21" s="45" t="n">
        <f aca="false">L21+D21/$K$2</f>
        <v>481.385065081467</v>
      </c>
      <c r="F21" s="117" t="n">
        <f aca="false">IF($K$9=0,0,E21/$K$9)</f>
        <v>0.0869058364324966</v>
      </c>
      <c r="G21" s="117" t="n">
        <f aca="false">G20+F21</f>
        <v>0.952072207958862</v>
      </c>
      <c r="H21" s="138"/>
      <c r="K21" s="143"/>
      <c r="L21" s="45" t="n">
        <f aca="false">C21/IF(B21&lt;='VALOR POR PL'!$P$5,IFERROR(INDEX('"INCC-FGV"'!$B$2:$B$800,MATCH(B21,'"INCC-FGV"'!$A$2:$A$800,0)),$K$2),$K$2)</f>
        <v>481.385065081467</v>
      </c>
      <c r="M21" s="139" t="n">
        <f aca="false">'CP RESUMO'!T19</f>
        <v>100</v>
      </c>
      <c r="N21" s="140" t="n">
        <f aca="false">MAX(0,M21-M20)</f>
        <v>0</v>
      </c>
      <c r="O21" s="139" t="n">
        <f aca="false">IF(B21&lt;='VALOR POR PL'!$P$5,'CP RESUMO'!T61,"")</f>
        <v>99.53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HISTORICOS'!U19)</f>
        <v>43774.24</v>
      </c>
      <c r="D22" s="45" t="n">
        <f aca="false">IF(B22&lt;='VALOR POR PL'!$P$5,0,IF($K$17&gt;0,$K$18*P22/$K$17,0))</f>
        <v>0</v>
      </c>
      <c r="E22" s="45" t="n">
        <f aca="false">L22+D22/$K$2</f>
        <v>34.4490534707385</v>
      </c>
      <c r="F22" s="117" t="n">
        <f aca="false">IF($K$9=0,0,E22/$K$9)</f>
        <v>0.00621918714008227</v>
      </c>
      <c r="G22" s="117" t="n">
        <f aca="false">G21+F22</f>
        <v>0.958291395098944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34.4490534707385</v>
      </c>
      <c r="M22" s="139" t="n">
        <f aca="false">'CP RESUMO'!U19</f>
        <v>100</v>
      </c>
      <c r="N22" s="140" t="n">
        <f aca="false">MAX(0,M22-M21)</f>
        <v>0</v>
      </c>
      <c r="O22" s="139" t="n">
        <f aca="false">IF(B22&lt;='VALOR POR PL'!$P$5,'CP RESUMO'!U61,"")</f>
        <v>99.53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HISTORICOS'!V19)</f>
        <v>15692.87</v>
      </c>
      <c r="D23" s="45" t="n">
        <f aca="false">IF(B23&lt;='VALOR POR PL'!$P$5,0,IF($K$17&gt;0,$K$18*P23/$K$17,0))</f>
        <v>0</v>
      </c>
      <c r="E23" s="45" t="n">
        <f aca="false">L23+D23/$K$2</f>
        <v>12.2539181550489</v>
      </c>
      <c r="F23" s="117" t="n">
        <f aca="false">IF($K$9=0,0,E23/$K$9)</f>
        <v>0.00221223524385755</v>
      </c>
      <c r="G23" s="117" t="n">
        <f aca="false">G22+F23</f>
        <v>0.960503630342801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12.2539181550489</v>
      </c>
      <c r="M23" s="139" t="n">
        <f aca="false">'CP RESUMO'!V19</f>
        <v>100</v>
      </c>
      <c r="N23" s="140" t="n">
        <f aca="false">MAX(0,M23-M22)</f>
        <v>0</v>
      </c>
      <c r="O23" s="139" t="n">
        <f aca="false">IF(B23&lt;='VALOR POR PL'!$P$5,'CP RESUMO'!V61,"")</f>
        <v>99.53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HISTORICOS'!W19)</f>
        <v>78401.44</v>
      </c>
      <c r="D24" s="45" t="n">
        <f aca="false">IF(B24&lt;='VALOR POR PL'!$P$5,0,IF($K$17&gt;0,$K$18*P24/$K$17,0))</f>
        <v>0</v>
      </c>
      <c r="E24" s="45" t="n">
        <f aca="false">L24+D24/$K$2</f>
        <v>60.8503210494004</v>
      </c>
      <c r="F24" s="117" t="n">
        <f aca="false">IF($K$9=0,0,E24/$K$9)</f>
        <v>0.0109854842444876</v>
      </c>
      <c r="G24" s="117" t="n">
        <f aca="false">G23+F24</f>
        <v>0.971489114587289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60.8503210494004</v>
      </c>
      <c r="M24" s="139" t="n">
        <f aca="false">'CP RESUMO'!W19</f>
        <v>100</v>
      </c>
      <c r="N24" s="140" t="n">
        <f aca="false">MAX(0,M24-M23)</f>
        <v>0</v>
      </c>
      <c r="O24" s="139" t="n">
        <f aca="false">IF(B24&lt;='VALOR POR PL'!$P$5,'CP RESUMO'!W61,"")</f>
        <v>99.53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HISTORICOS'!X19)</f>
        <v>37660.47</v>
      </c>
      <c r="D25" s="45" t="n">
        <f aca="false">IF(B25&lt;='VALOR POR PL'!$P$5,0,IF($K$17&gt;0,$K$18*P25/$K$17,0))</f>
        <v>0</v>
      </c>
      <c r="E25" s="45" t="n">
        <f aca="false">L25+D25/$K$2</f>
        <v>29.0390850720455</v>
      </c>
      <c r="F25" s="117" t="n">
        <f aca="false">IF($K$9=0,0,E25/$K$9)</f>
        <v>0.00524250991665778</v>
      </c>
      <c r="G25" s="117" t="n">
        <f aca="false">G24+F25</f>
        <v>0.976731624503947</v>
      </c>
      <c r="H25" s="138"/>
      <c r="L25" s="45" t="n">
        <f aca="false">C25/IF(B25&lt;='VALOR POR PL'!$P$5,IFERROR(INDEX('"INCC-FGV"'!$B$2:$B$800,MATCH(B25,'"INCC-FGV"'!$A$2:$A$800,0)),$K$2),$K$2)</f>
        <v>29.0390850720455</v>
      </c>
      <c r="M25" s="139" t="n">
        <f aca="false">'CP RESUMO'!X19</f>
        <v>100</v>
      </c>
      <c r="N25" s="140" t="n">
        <f aca="false">MAX(0,M25-M24)</f>
        <v>0</v>
      </c>
      <c r="O25" s="139" t="n">
        <f aca="false">IF(B25&lt;='VALOR POR PL'!$P$5,'CP RESUMO'!X61,"")</f>
        <v>99.53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HISTORICOS'!Y19)</f>
        <v>102068.64</v>
      </c>
      <c r="D26" s="45" t="n">
        <f aca="false">IF(B26&lt;='VALOR POR PL'!$P$5,0,IF($K$17&gt;0,$K$18*P26/$K$17,0))</f>
        <v>0</v>
      </c>
      <c r="E26" s="45" t="n">
        <f aca="false">L26+D26/$K$2</f>
        <v>78.7026800288999</v>
      </c>
      <c r="F26" s="117" t="n">
        <f aca="false">IF($K$9=0,0,E26/$K$9)</f>
        <v>0.014208422183254</v>
      </c>
      <c r="G26" s="117" t="n">
        <f aca="false">G25+F26</f>
        <v>0.990940046687201</v>
      </c>
      <c r="H26" s="138"/>
      <c r="L26" s="45" t="n">
        <f aca="false">C26/IF(B26&lt;='VALOR POR PL'!$P$5,IFERROR(INDEX('"INCC-FGV"'!$B$2:$B$800,MATCH(B26,'"INCC-FGV"'!$A$2:$A$800,0)),$K$2),$K$2)</f>
        <v>78.7026800288999</v>
      </c>
      <c r="M26" s="139" t="n">
        <f aca="false">'CP RESUMO'!Y19</f>
        <v>100</v>
      </c>
      <c r="N26" s="140" t="n">
        <f aca="false">MAX(0,M26-M25)</f>
        <v>0</v>
      </c>
      <c r="O26" s="139" t="str">
        <f aca="false">IF(B26&lt;='VALOR POR PL'!$P$5,'CP RESUMO'!Y61,"")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HISTORICOS'!Z19)</f>
        <v>34599.67</v>
      </c>
      <c r="D27" s="45" t="n">
        <f aca="false">IF(B27&lt;='VALOR POR PL'!$P$5,0,IF($K$17&gt;0,$K$18*P27/$K$17,0))</f>
        <v>0</v>
      </c>
      <c r="E27" s="45" t="n">
        <f aca="false">L27+D27/$K$2</f>
        <v>26.6789756100946</v>
      </c>
      <c r="F27" s="117" t="n">
        <f aca="false">IF($K$9=0,0,E27/$K$9)</f>
        <v>0.00481643253756755</v>
      </c>
      <c r="G27" s="117" t="n">
        <f aca="false">G26+F27</f>
        <v>0.995756479224768</v>
      </c>
      <c r="H27" s="138"/>
      <c r="L27" s="45" t="n">
        <f aca="false">C27/IF(B27&lt;='VALOR POR PL'!$P$5,IFERROR(INDEX('"INCC-FGV"'!$B$2:$B$800,MATCH(B27,'"INCC-FGV"'!$A$2:$A$800,0)),$K$2),$K$2)</f>
        <v>26.6789756100946</v>
      </c>
      <c r="M27" s="139" t="n">
        <f aca="false">'CP RESUMO'!Z19</f>
        <v>100</v>
      </c>
      <c r="N27" s="140" t="n">
        <f aca="false">MAX(0,M27-M26)</f>
        <v>0</v>
      </c>
      <c r="O27" s="139" t="str">
        <f aca="false">IF(B27&lt;='VALOR POR PL'!$P$5,'CP RESUMO'!Z61,"")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HISTORICOS'!AA19)</f>
        <v>10360.68</v>
      </c>
      <c r="D28" s="45" t="n">
        <f aca="false">IF(B28&lt;='VALOR POR PL'!$P$5,0,IF($K$17&gt;0,$K$18*P28/$K$17,0))</f>
        <v>0</v>
      </c>
      <c r="E28" s="45" t="n">
        <f aca="false">L28+D28/$K$2</f>
        <v>7.98887183097397</v>
      </c>
      <c r="F28" s="117" t="n">
        <f aca="false">IF($K$9=0,0,E28/$K$9)</f>
        <v>0.00144225411003415</v>
      </c>
      <c r="G28" s="117" t="n">
        <f aca="false">G27+F28</f>
        <v>0.997198733334803</v>
      </c>
      <c r="H28" s="138"/>
      <c r="L28" s="45" t="n">
        <f aca="false">C28/IF(B28&lt;='VALOR POR PL'!$P$5,IFERROR(INDEX('"INCC-FGV"'!$B$2:$B$800,MATCH(B28,'"INCC-FGV"'!$A$2:$A$800,0)),$K$2),$K$2)</f>
        <v>7.98887183097397</v>
      </c>
      <c r="M28" s="139" t="n">
        <f aca="false">'CP RESUMO'!AA19</f>
        <v>100</v>
      </c>
      <c r="N28" s="140" t="n">
        <f aca="false">MAX(0,M28-M27)</f>
        <v>0</v>
      </c>
      <c r="O28" s="139" t="str">
        <f aca="false">IF(B28&lt;='VALOR POR PL'!$P$5,'CP RESUMO'!AA61,"")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HISTORICOS'!AB19)</f>
        <v>5768</v>
      </c>
      <c r="D29" s="45" t="n">
        <f aca="false">IF(B29&lt;='VALOR POR PL'!$P$5,0,IF($K$17&gt;0,$K$18*P29/$K$17,0))</f>
        <v>0</v>
      </c>
      <c r="E29" s="45" t="n">
        <f aca="false">L29+D29/$K$2</f>
        <v>4.44756644554777</v>
      </c>
      <c r="F29" s="117" t="n">
        <f aca="false">IF($K$9=0,0,E29/$K$9)</f>
        <v>0.000802932018620109</v>
      </c>
      <c r="G29" s="117" t="n">
        <f aca="false">G28+F29</f>
        <v>0.998001665353423</v>
      </c>
      <c r="H29" s="138"/>
      <c r="L29" s="45" t="n">
        <f aca="false">C29/IF(B29&lt;='VALOR POR PL'!$P$5,IFERROR(INDEX('"INCC-FGV"'!$B$2:$B$800,MATCH(B29,'"INCC-FGV"'!$A$2:$A$800,0)),$K$2),$K$2)</f>
        <v>4.44756644554777</v>
      </c>
      <c r="M29" s="139" t="n">
        <f aca="false">'CP RESUMO'!AB19</f>
        <v>100</v>
      </c>
      <c r="N29" s="140" t="n">
        <f aca="false">MAX(0,M29-M28)</f>
        <v>0</v>
      </c>
      <c r="O29" s="139" t="str">
        <f aca="false">IF(B29&lt;='VALOR POR PL'!$P$5,'CP RESUMO'!AB61,"")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HISTORICOS'!AC19)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0.998001665353423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RESUMO'!AC19</f>
        <v>100</v>
      </c>
      <c r="N30" s="140" t="n">
        <f aca="false">MAX(0,M30-M29)</f>
        <v>0</v>
      </c>
      <c r="O30" s="139" t="str">
        <f aca="false">IF(B30&lt;='VALOR POR PL'!$P$5,'CP RESUMO'!AC61,"")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HISTORICOS'!AD19)</f>
        <v>2828</v>
      </c>
      <c r="D31" s="45" t="n">
        <f aca="false">IF(B31&lt;='VALOR POR PL'!$P$5,0,IF($K$17&gt;0,$K$18*P31/$K$17,0))</f>
        <v>0</v>
      </c>
      <c r="E31" s="45" t="n">
        <f aca="false">L31+D31/$K$2</f>
        <v>2.18060296602099</v>
      </c>
      <c r="F31" s="117" t="n">
        <f aca="false">IF($K$9=0,0,E31/$K$9)</f>
        <v>0.000393670552818597</v>
      </c>
      <c r="G31" s="117" t="n">
        <f aca="false">G30+F31</f>
        <v>0.998395335906241</v>
      </c>
      <c r="H31" s="138"/>
      <c r="L31" s="45" t="n">
        <f aca="false">C31/IF(B31&lt;='VALOR POR PL'!$P$5,IFERROR(INDEX('"INCC-FGV"'!$B$2:$B$800,MATCH(B31,'"INCC-FGV"'!$A$2:$A$800,0)),$K$2),$K$2)</f>
        <v>2.18060296602099</v>
      </c>
      <c r="M31" s="139" t="n">
        <f aca="false">'CP RESUMO'!AD19</f>
        <v>100</v>
      </c>
      <c r="N31" s="140" t="n">
        <f aca="false">MAX(0,M31-M30)</f>
        <v>0</v>
      </c>
      <c r="O31" s="139" t="str">
        <f aca="false">IF(B31&lt;='VALOR POR PL'!$P$5,'CP RESUMO'!AD61,"")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HISTORICOS'!AE19)</f>
        <v>9483.38</v>
      </c>
      <c r="D32" s="45" t="n">
        <f aca="false">IF(B32&lt;='VALOR POR PL'!$P$5,0,IF($K$17&gt;0,$K$18*P32/$K$17,0))</f>
        <v>0</v>
      </c>
      <c r="E32" s="45" t="n">
        <f aca="false">L32+D32/$K$2</f>
        <v>7.31240684437913</v>
      </c>
      <c r="F32" s="117" t="n">
        <f aca="false">IF($K$9=0,0,E32/$K$9)</f>
        <v>0.00132012993182066</v>
      </c>
      <c r="G32" s="117" t="n">
        <f aca="false">G31+F32</f>
        <v>0.999715465838062</v>
      </c>
      <c r="H32" s="138"/>
      <c r="L32" s="45" t="n">
        <f aca="false">C32/IF(B32&lt;='VALOR POR PL'!$P$5,IFERROR(INDEX('"INCC-FGV"'!$B$2:$B$800,MATCH(B32,'"INCC-FGV"'!$A$2:$A$800,0)),$K$2),$K$2)</f>
        <v>7.31240684437913</v>
      </c>
      <c r="M32" s="139" t="n">
        <f aca="false">'CP RESUMO'!AE19</f>
        <v>100</v>
      </c>
      <c r="N32" s="140" t="n">
        <f aca="false">MAX(0,M32-M31)</f>
        <v>0</v>
      </c>
      <c r="O32" s="139" t="str">
        <f aca="false">IF(B32&lt;='VALOR POR PL'!$P$5,'CP RESUMO'!AE61,"")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HISTORICOS'!AF19)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0.999715465838062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RESUMO'!AF19</f>
        <v>100</v>
      </c>
      <c r="N33" s="140" t="n">
        <f aca="false">MAX(0,M33-M32)</f>
        <v>0</v>
      </c>
      <c r="O33" s="139" t="str">
        <f aca="false">IF(B33&lt;='VALOR POR PL'!$P$5,'CP RESUMO'!AF61,"")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HISTORICOS'!AG19)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0.999715465838062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RESUMO'!AG19</f>
        <v>100</v>
      </c>
      <c r="N34" s="140" t="n">
        <f aca="false">MAX(0,M34-M33)</f>
        <v>0</v>
      </c>
      <c r="O34" s="139" t="str">
        <f aca="false">IF(B34&lt;='VALOR POR PL'!$P$5,'CP RESUMO'!AG61,"")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HISTORICOS'!AH19)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0.999715465838062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RESUMO'!AH19</f>
        <v>100</v>
      </c>
      <c r="N35" s="140" t="n">
        <f aca="false">MAX(0,M35-M34)</f>
        <v>0</v>
      </c>
      <c r="O35" s="139" t="str">
        <f aca="false">IF(B35&lt;='VALOR POR PL'!$P$5,'CP RESUMO'!AH61,"")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HISTORICOS'!AI19)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0.999715465838062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RESUMO'!AI19</f>
        <v>100</v>
      </c>
      <c r="N36" s="140" t="n">
        <f aca="false">MAX(0,M36-M35)</f>
        <v>0</v>
      </c>
      <c r="O36" s="139" t="str">
        <f aca="false">IF(B36&lt;='VALOR POR PL'!$P$5,'CP RESUMO'!AI61,"")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HISTORICOS'!AJ19)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0.999715465838062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RESUMO'!AJ19</f>
        <v>100</v>
      </c>
      <c r="N37" s="140" t="n">
        <f aca="false">MAX(0,M37-M36)</f>
        <v>0</v>
      </c>
      <c r="O37" s="139" t="str">
        <f aca="false">IF(B37&lt;='VALOR POR PL'!$P$5,'CP RESUMO'!AJ61,"")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HISTORICOS'!AK19)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0.999715465838062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RESUMO'!AK19</f>
        <v>100</v>
      </c>
      <c r="N38" s="140" t="n">
        <f aca="false">MAX(0,M38-M37)</f>
        <v>0</v>
      </c>
      <c r="O38" s="139" t="str">
        <f aca="false">IF(B38&lt;='VALOR POR PL'!$P$5,'CP RESUMO'!AK61,"")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HISTORICOS'!AL19)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0.999715465838062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RESUMO'!AL19</f>
        <v>100</v>
      </c>
      <c r="N39" s="140" t="n">
        <f aca="false">MAX(0,M39-M38)</f>
        <v>0</v>
      </c>
      <c r="O39" s="139" t="str">
        <f aca="false">IF(B39&lt;='VALOR POR PL'!$P$5,'CP RESUMO'!AL61,"")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HISTORICOS'!AM19)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0.999715465838062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RESUMO'!AM19</f>
        <v>100</v>
      </c>
      <c r="N40" s="140" t="n">
        <f aca="false">MAX(0,M40-M39)</f>
        <v>0</v>
      </c>
      <c r="O40" s="139" t="str">
        <f aca="false">IF(B40&lt;='VALOR POR PL'!$P$5,'CP RESUMO'!AM61,"")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HISTORICOS'!AN19)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0.999715465838062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RESUMO'!AN19</f>
        <v>100</v>
      </c>
      <c r="N41" s="140" t="n">
        <f aca="false">MAX(0,M41-M40)</f>
        <v>0</v>
      </c>
      <c r="O41" s="139" t="str">
        <f aca="false">IF(B41&lt;='VALOR POR PL'!$P$5,'CP RESUMO'!AN61,"")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HISTORICOS'!AO19)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0.999715465838062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RESUMO'!AO19</f>
        <v>100</v>
      </c>
      <c r="N42" s="140" t="n">
        <f aca="false">MAX(0,M42-M41)</f>
        <v>0</v>
      </c>
      <c r="O42" s="139" t="str">
        <f aca="false">IF(B42&lt;='VALOR POR PL'!$P$5,'CP RESUMO'!AO61,"")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HISTORICOS'!AP19)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0.999715465838062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RESUMO'!AP19</f>
        <v>100</v>
      </c>
      <c r="N43" s="140" t="n">
        <f aca="false">MAX(0,M43-M42)</f>
        <v>0</v>
      </c>
      <c r="O43" s="139" t="str">
        <f aca="false">IF(B43&lt;='VALOR POR PL'!$P$5,'CP RESUMO'!AP61,"")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HISTORICOS'!AQ19)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0.999715465838062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RESUMO'!AQ19</f>
        <v>100</v>
      </c>
      <c r="N44" s="140" t="n">
        <f aca="false">MAX(0,M44-M43)</f>
        <v>0</v>
      </c>
      <c r="O44" s="139" t="str">
        <f aca="false">IF(B44&lt;='VALOR POR PL'!$P$5,'CP RESUMO'!AQ61,"")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HISTORICOS'!AR19)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0.999715465838062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RESUMO'!AR19</f>
        <v>100</v>
      </c>
      <c r="N45" s="140" t="n">
        <f aca="false">MAX(0,M45-M44)</f>
        <v>0</v>
      </c>
      <c r="O45" s="139" t="str">
        <f aca="false">IF(B45&lt;='VALOR POR PL'!$P$5,'CP RESUMO'!AR61,"")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HISTORICOS'!AS19)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0.999715465838062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RESUMO'!AS19</f>
        <v>100</v>
      </c>
      <c r="N46" s="140" t="n">
        <f aca="false">MAX(0,M46-M45)</f>
        <v>0</v>
      </c>
      <c r="O46" s="139" t="str">
        <f aca="false">IF(B46&lt;='VALOR POR PL'!$P$5,'CP RESUMO'!AS61,"")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HISTORICOS'!AT19)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0.999715465838062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RESUMO'!AT19</f>
        <v>100</v>
      </c>
      <c r="N47" s="140" t="n">
        <f aca="false">MAX(0,M47-M46)</f>
        <v>0</v>
      </c>
      <c r="O47" s="139" t="str">
        <f aca="false">IF(B47&lt;='VALOR POR PL'!$P$5,'CP RESUMO'!AT61,"")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HISTORICOS'!AU19)</f>
        <v>2044</v>
      </c>
      <c r="D48" s="45" t="n">
        <f aca="false">IF(B48&lt;='VALOR POR PL'!$P$5,0,IF($K$17&gt;0,$K$18*P48/$K$17,0))</f>
        <v>0</v>
      </c>
      <c r="E48" s="45" t="n">
        <f aca="false">L48+D48/$K$2</f>
        <v>1.57607937148052</v>
      </c>
      <c r="F48" s="117" t="n">
        <f aca="false">IF($K$9=0,0,E48/$K$9)</f>
        <v>0.000284534161938194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1.57607937148052</v>
      </c>
      <c r="M48" s="139" t="n">
        <f aca="false">'CP RESUMO'!AU19</f>
        <v>100</v>
      </c>
      <c r="N48" s="140" t="n">
        <f aca="false">MAX(0,M48-M47)</f>
        <v>0</v>
      </c>
      <c r="O48" s="139" t="str">
        <f aca="false">IF(B48&lt;='VALOR POR PL'!$P$5,'CP RESUMO'!AU61,"")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HISTORICOS'!AV19)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RESUMO'!AV19</f>
        <v>100</v>
      </c>
      <c r="N49" s="140" t="n">
        <f aca="false">MAX(0,M49-M48)</f>
        <v>0</v>
      </c>
      <c r="O49" s="139" t="str">
        <f aca="false">IF(B49&lt;='VALOR POR PL'!$P$5,'CP RESUMO'!AV61,"")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HISTORICOS'!AW19)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RESUMO'!AW19</f>
        <v>100</v>
      </c>
      <c r="N50" s="140" t="n">
        <f aca="false">MAX(0,M50-M49)</f>
        <v>0</v>
      </c>
      <c r="O50" s="139" t="str">
        <f aca="false">IF(B50&lt;='VALOR POR PL'!$P$5,'CP RESUMO'!AW61,"")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HISTORICOS'!AX19)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RESUMO'!AX19</f>
        <v>100</v>
      </c>
      <c r="N51" s="140" t="n">
        <f aca="false">MAX(0,M51-M50)</f>
        <v>0</v>
      </c>
      <c r="O51" s="139" t="str">
        <f aca="false">IF(B51&lt;='VALOR POR PL'!$P$5,'CP RESUMO'!AX61,"")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HISTORICOS'!AY19)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RESUMO'!AY19</f>
        <v>100</v>
      </c>
      <c r="N52" s="140" t="n">
        <f aca="false">MAX(0,M52-M51)</f>
        <v>0</v>
      </c>
      <c r="O52" s="139" t="str">
        <f aca="false">IF(B52&lt;='VALOR POR PL'!$P$5,'CP RESUMO'!AY61,"")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HISTORICOS'!AZ19)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RESUMO'!AZ19</f>
        <v>100</v>
      </c>
      <c r="N53" s="140" t="n">
        <f aca="false">MAX(0,M53-M52)</f>
        <v>0</v>
      </c>
      <c r="O53" s="139" t="str">
        <f aca="false">IF(B53&lt;='VALOR POR PL'!$P$5,'CP RESUMO'!AZ61,"")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RESUMO'!BA19</f>
        <v>100</v>
      </c>
      <c r="N54" s="140" t="n">
        <f aca="false">MAX(0,M54-M53)</f>
        <v>0</v>
      </c>
      <c r="O54" s="139" t="str">
        <f aca="false">IF(B54&lt;='VALOR POR PL'!$P$5,'CP RESUMO'!BA61,"")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RESUMO'!BB19</f>
        <v>100</v>
      </c>
      <c r="N55" s="140" t="n">
        <f aca="false">MAX(0,M55-M54)</f>
        <v>0</v>
      </c>
      <c r="O55" s="139" t="str">
        <f aca="false">IF(B55&lt;='VALOR POR PL'!$P$5,'CP RESUMO'!BB61,"")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RESUMO'!BC19</f>
        <v>100</v>
      </c>
      <c r="N56" s="140" t="n">
        <f aca="false">MAX(0,M56-M55)</f>
        <v>0</v>
      </c>
      <c r="O56" s="139" t="str">
        <f aca="false">IF(B56&lt;='VALOR POR PL'!$P$5,'CP RESUMO'!BC61,"")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RESUMO'!BD19</f>
        <v>100</v>
      </c>
      <c r="N57" s="140" t="n">
        <f aca="false">MAX(0,M57-M56)</f>
        <v>0</v>
      </c>
      <c r="O57" s="139" t="str">
        <f aca="false">IF(B57&lt;='VALOR POR PL'!$P$5,'CP RESUMO'!BD61,"")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RESUMO'!BE19</f>
        <v>100</v>
      </c>
      <c r="N58" s="140" t="n">
        <f aca="false">MAX(0,M58-M57)</f>
        <v>0</v>
      </c>
      <c r="O58" s="139" t="str">
        <f aca="false">IF(B58&lt;='VALOR POR PL'!$P$5,'CP RESUMO'!BE61,"")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RESUMO'!BF19</f>
        <v>100</v>
      </c>
      <c r="N59" s="140" t="n">
        <f aca="false">MAX(0,M59-M58)</f>
        <v>0</v>
      </c>
      <c r="O59" s="139" t="str">
        <f aca="false">IF(B59&lt;='VALOR POR PL'!$P$5,'CP RESUMO'!BF61,"")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RESUMO'!BG19</f>
        <v>100</v>
      </c>
      <c r="N60" s="140" t="n">
        <f aca="false">MAX(0,M60-M59)</f>
        <v>0</v>
      </c>
      <c r="O60" s="139" t="str">
        <f aca="false">IF(B60&lt;='VALOR POR PL'!$P$5,'CP RESUMO'!BG61,"")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RESUMO'!BH19</f>
        <v>100</v>
      </c>
      <c r="N61" s="140" t="n">
        <f aca="false">MAX(0,M61-M60)</f>
        <v>0</v>
      </c>
      <c r="O61" s="139" t="str">
        <f aca="false">IF(B61&lt;='VALOR POR PL'!$P$5,'CP RESUMO'!BH61,"")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RESUMO'!BI19</f>
        <v>100</v>
      </c>
      <c r="N62" s="140" t="n">
        <f aca="false">MAX(0,M62-M61)</f>
        <v>0</v>
      </c>
      <c r="O62" s="139" t="str">
        <f aca="false">IF(B62&lt;='VALOR POR PL'!$P$5,'CP RESUMO'!BI61,"")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RESUMO'!BJ19</f>
        <v>100</v>
      </c>
      <c r="N63" s="140" t="n">
        <f aca="false">MAX(0,M63-M62)</f>
        <v>0</v>
      </c>
      <c r="O63" s="139" t="str">
        <f aca="false">IF(B63&lt;='VALOR POR PL'!$P$5,'CP RESUMO'!BJ61,"")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RESUMO'!BK19</f>
        <v>100</v>
      </c>
      <c r="N64" s="140" t="n">
        <f aca="false">MAX(0,M64-M63)</f>
        <v>0</v>
      </c>
      <c r="O64" s="139" t="str">
        <f aca="false">IF(B64&lt;='VALOR POR PL'!$P$5,'CP RESUMO'!BK61,"")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RESUMO'!BL19</f>
        <v>100</v>
      </c>
      <c r="N65" s="140" t="n">
        <f aca="false">MAX(0,M65-M64)</f>
        <v>0</v>
      </c>
      <c r="O65" s="139" t="str">
        <f aca="false">IF(B65&lt;='VALOR POR PL'!$P$5,'CP RESUMO'!BL61,"")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RESUMO'!BM19</f>
        <v>100</v>
      </c>
      <c r="N66" s="140" t="n">
        <f aca="false">MAX(0,M66-M65)</f>
        <v>0</v>
      </c>
      <c r="O66" s="139" t="str">
        <f aca="false">IF(B66&lt;='VALOR POR PL'!$P$5,'CP RESUMO'!BM61,"")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RESUMO'!BN19</f>
        <v>100</v>
      </c>
      <c r="N67" s="140" t="n">
        <f aca="false">MAX(0,M67-M66)</f>
        <v>0</v>
      </c>
      <c r="O67" s="139" t="str">
        <f aca="false">IF(B67&lt;='VALOR POR PL'!$P$5,'CP RESUMO'!BN61,"")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RESUMO'!BO19</f>
        <v>100</v>
      </c>
      <c r="N68" s="140" t="n">
        <f aca="false">MAX(0,M68-M67)</f>
        <v>0</v>
      </c>
      <c r="O68" s="139" t="str">
        <f aca="false">IF(B68&lt;='VALOR POR PL'!$P$5,'CP RESUMO'!BO61,"")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RESUMO'!BP19</f>
        <v>100</v>
      </c>
      <c r="N69" s="140" t="n">
        <f aca="false">MAX(0,M69-M68)</f>
        <v>0</v>
      </c>
      <c r="O69" s="139" t="str">
        <f aca="false">IF(B69&lt;='VALOR POR PL'!$P$5,'CP RESUMO'!BP61,"")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RESUMO'!BQ19</f>
        <v>100</v>
      </c>
      <c r="N70" s="140" t="n">
        <f aca="false">MAX(0,M70-M69)</f>
        <v>0</v>
      </c>
      <c r="O70" s="139" t="str">
        <f aca="false">IF(B70&lt;='VALOR POR PL'!$P$5,'CP RESUMO'!BQ61,"")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RESUMO'!BR19</f>
        <v>100</v>
      </c>
      <c r="N71" s="140" t="n">
        <f aca="false">MAX(0,M71-M70)</f>
        <v>0</v>
      </c>
      <c r="O71" s="139" t="str">
        <f aca="false">IF(B71&lt;='VALOR POR PL'!$P$5,'CP RESUMO'!BR61,"")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RESUMO'!BS19</f>
        <v>100</v>
      </c>
      <c r="N72" s="140" t="n">
        <f aca="false">MAX(0,M72-M71)</f>
        <v>0</v>
      </c>
      <c r="O72" s="139" t="str">
        <f aca="false">IF(B72&lt;='VALOR POR PL'!$P$5,'CP RESUMO'!BS61,"")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RESUMO'!BT19</f>
        <v>100</v>
      </c>
      <c r="N73" s="140" t="n">
        <f aca="false">MAX(0,M73-M72)</f>
        <v>0</v>
      </c>
      <c r="O73" s="139" t="str">
        <f aca="false">IF(B73&lt;='VALOR POR PL'!$P$5,'CP RESUMO'!BT61,"")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RESUMO'!BU19</f>
        <v>100</v>
      </c>
      <c r="N74" s="140" t="n">
        <f aca="false">MAX(0,M74-M73)</f>
        <v>0</v>
      </c>
      <c r="O74" s="139" t="str">
        <f aca="false">IF(B74&lt;='VALOR POR PL'!$P$5,'CP RESUMO'!BU61,"")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RESUMO'!BV19</f>
        <v>100</v>
      </c>
      <c r="N75" s="140" t="n">
        <f aca="false">MAX(0,M75-M74)</f>
        <v>0</v>
      </c>
      <c r="O75" s="139" t="str">
        <f aca="false">IF(B75&lt;='VALOR POR PL'!$P$5,'CP RESUMO'!BV61,"")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RESUMO'!BW19</f>
        <v>100</v>
      </c>
      <c r="N76" s="140" t="n">
        <f aca="false">MAX(0,M76-M75)</f>
        <v>0</v>
      </c>
      <c r="O76" s="139" t="str">
        <f aca="false">IF(B76&lt;='VALOR POR PL'!$P$5,'CP RESUMO'!BW61,"")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6863872.54</v>
      </c>
      <c r="D78" s="61" t="n">
        <f aca="false">SUM(D5:D76)</f>
        <v>0</v>
      </c>
      <c r="E78" s="61" t="n">
        <f aca="false">SUM(E5:E76)</f>
        <v>5539.15691790596</v>
      </c>
      <c r="F78" s="145" t="n">
        <f aca="false">SUM(F5:F76)</f>
        <v>1</v>
      </c>
      <c r="H78" s="61" t="n">
        <f aca="false">SUM(H5:H76)</f>
        <v>0</v>
      </c>
      <c r="L78" s="61" t="n">
        <f aca="false">SUM(L5:L76)</f>
        <v>5539.15691790596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PL'!D26</f>
        <v>FUNDAÇÃO SUPERFICIAL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PL'!F26</f>
        <v>4057797.91</v>
      </c>
      <c r="K5" s="56" t="n">
        <f aca="false">'VALOR POR PL'!G26</f>
        <v>3335.068547</v>
      </c>
      <c r="L5" s="56" t="n">
        <f aca="false">'DADOS HISTORICOS'!$BZ$20</f>
        <v>0</v>
      </c>
      <c r="M5" s="139" t="n">
        <f aca="false">'CP RESUMO'!D20</f>
        <v>0</v>
      </c>
      <c r="N5" s="140" t="n">
        <v>0</v>
      </c>
      <c r="O5" s="139" t="n">
        <f aca="false">IF(B5&lt;='VALOR POR PL'!$P$5,'CP RESUMO'!D62,"")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PL'!H26</f>
        <v>3370.8967881922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RESUMO'!E20</f>
        <v>0</v>
      </c>
      <c r="N6" s="140" t="n">
        <f aca="false">MAX(0,M6-M5)</f>
        <v>0</v>
      </c>
      <c r="O6" s="139" t="n">
        <f aca="false">IF(B6&lt;='VALOR POR PL'!$P$5,'CP RESUMO'!E62,"")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4345864.1654116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RESUMO'!F20</f>
        <v>0</v>
      </c>
      <c r="N7" s="140" t="n">
        <f aca="false">MAX(0,M7-M6)</f>
        <v>0</v>
      </c>
      <c r="O7" s="139" t="n">
        <f aca="false">IF(B7&lt;='VALOR POR PL'!$P$5,'CP RESUMO'!F62,"")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2387.98093335224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RESUMO'!G20</f>
        <v>0</v>
      </c>
      <c r="N8" s="140" t="n">
        <f aca="false">MAX(0,M8-M7)</f>
        <v>0</v>
      </c>
      <c r="O8" s="139" t="n">
        <f aca="false">IF(B8&lt;='VALOR POR PL'!$P$5,'CP RESUMO'!G62,"")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4345864.1654116</v>
      </c>
      <c r="K9" s="45" t="n">
        <f aca="false">E78</f>
        <v>3370.50810060526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RESUMO'!H20</f>
        <v>0</v>
      </c>
      <c r="N9" s="140" t="n">
        <f aca="false">MAX(0,M9-M8)</f>
        <v>0</v>
      </c>
      <c r="O9" s="139" t="n">
        <f aca="false">IF(B9&lt;='VALOR POR PL'!$P$5,'CP RESUMO'!H62,"")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982.527167253019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RESUMO'!I20</f>
        <v>0</v>
      </c>
      <c r="N10" s="140" t="n">
        <f aca="false">MAX(0,M10-M9)</f>
        <v>0</v>
      </c>
      <c r="O10" s="139" t="n">
        <f aca="false">IF(B10&lt;='VALOR POR PL'!$P$5,'CP RESUMO'!I62,"")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HISTORICOS'!J20)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1267966.05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RESUMO'!J20</f>
        <v>0</v>
      </c>
      <c r="N11" s="140" t="n">
        <f aca="false">MAX(0,M11-M10)</f>
        <v>0</v>
      </c>
      <c r="O11" s="139" t="n">
        <f aca="false">IF(B11&lt;='VALOR POR PL'!$P$5,'CP RESUMO'!J62,"")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22.56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RESUMO'!K20</f>
        <v>0</v>
      </c>
      <c r="N12" s="140" t="n">
        <f aca="false">MAX(0,M12-M11)</f>
        <v>0</v>
      </c>
      <c r="O12" s="139" t="n">
        <f aca="false">IF(B12&lt;='VALOR POR PL'!$P$5,'CP RESUMO'!K62,"")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PL'!I26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RESUMO'!L20</f>
        <v>0</v>
      </c>
      <c r="N13" s="140" t="n">
        <f aca="false">MAX(0,M13-M12)</f>
        <v>0</v>
      </c>
      <c r="O13" s="139" t="n">
        <f aca="false">IF(B13&lt;='VALOR POR PL'!$P$5,'CP RESUMO'!L62,"")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RESUMO'!$D$62:$BW$62,MATCH('VALOR POR PL'!$P$5,'CP RESUMO'!$D$4:$BW$4,0))/100,0)</f>
        <v>0.7666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RESUMO'!M20</f>
        <v>0</v>
      </c>
      <c r="N14" s="140" t="n">
        <f aca="false">MAX(0,M14-M13)</f>
        <v>0</v>
      </c>
      <c r="O14" s="139" t="n">
        <f aca="false">IF(B14&lt;='VALOR POR PL'!$P$5,'CP RESUMO'!M62,"")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RESUMO'!N20</f>
        <v>0</v>
      </c>
      <c r="N15" s="140" t="n">
        <f aca="false">MAX(0,M15-M14)</f>
        <v>0</v>
      </c>
      <c r="O15" s="139" t="n">
        <f aca="false">IF(B15&lt;='VALOR POR PL'!$P$5,'CP RESUMO'!N62,"")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HISTORICOS'!O20)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RESUMO'!O20</f>
        <v>0</v>
      </c>
      <c r="N16" s="140" t="n">
        <f aca="false">MAX(0,M16-M15)</f>
        <v>0</v>
      </c>
      <c r="O16" s="139" t="n">
        <f aca="false">IF(B16&lt;='VALOR POR PL'!$P$5,'CP RESUMO'!O62,"")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1267966.05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RESUMO'!P20</f>
        <v>0</v>
      </c>
      <c r="N17" s="140" t="n">
        <f aca="false">MAX(0,M17-M16)</f>
        <v>0</v>
      </c>
      <c r="O17" s="139" t="n">
        <f aca="false">IF(B17&lt;='VALOR POR PL'!$P$5,'CP RESUMO'!P62,"")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HISTORICOS'!Q20)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1274228.6754116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RESUMO'!Q20</f>
        <v>0</v>
      </c>
      <c r="N18" s="140" t="n">
        <f aca="false">MAX(0,M18-M17)</f>
        <v>0</v>
      </c>
      <c r="O18" s="139" t="n">
        <f aca="false">IF(B18&lt;='VALOR POR PL'!$P$5,'CP RESUMO'!Q62,"")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HISTORICOS'!R20)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0.00493911127320779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RESUMO'!R20</f>
        <v>0</v>
      </c>
      <c r="N19" s="140" t="n">
        <f aca="false">MAX(0,M19-M18)</f>
        <v>0</v>
      </c>
      <c r="O19" s="139" t="n">
        <f aca="false">IF(B19&lt;='VALOR POR PL'!$P$5,'CP RESUMO'!R62,"")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HISTORICOS'!S20)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RESUMO'!S20</f>
        <v>0</v>
      </c>
      <c r="N20" s="140" t="n">
        <f aca="false">MAX(0,M20-M19)</f>
        <v>0</v>
      </c>
      <c r="O20" s="139" t="n">
        <f aca="false">IF(B20&lt;='VALOR POR PL'!$P$5,'CP RESUMO'!S62,"")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HISTORICOS'!T20)</f>
        <v>20138.34</v>
      </c>
      <c r="D21" s="45" t="n">
        <f aca="false">IF(B21&lt;='VALOR POR PL'!$P$5,0,IF($K$17&gt;0,$K$18*P21/$K$17,0))</f>
        <v>0</v>
      </c>
      <c r="E21" s="45" t="n">
        <f aca="false">L21+D21/$K$2</f>
        <v>15.9872250431071</v>
      </c>
      <c r="F21" s="117" t="n">
        <f aca="false">IF($K$9=0,0,E21/$K$9)</f>
        <v>0.00474326854168848</v>
      </c>
      <c r="G21" s="117" t="n">
        <f aca="false">G20+F21</f>
        <v>0.00474326854168848</v>
      </c>
      <c r="H21" s="138"/>
      <c r="K21" s="143"/>
      <c r="L21" s="45" t="n">
        <f aca="false">C21/IF(B21&lt;='VALOR POR PL'!$P$5,IFERROR(INDEX('"INCC-FGV"'!$B$2:$B$800,MATCH(B21,'"INCC-FGV"'!$A$2:$A$800,0)),$K$2),$K$2)</f>
        <v>15.9872250431071</v>
      </c>
      <c r="M21" s="139" t="n">
        <f aca="false">'CP RESUMO'!T20</f>
        <v>12.28</v>
      </c>
      <c r="N21" s="140" t="n">
        <f aca="false">MAX(0,M21-M20)</f>
        <v>12.28</v>
      </c>
      <c r="O21" s="139" t="n">
        <f aca="false">IF(B21&lt;='VALOR POR PL'!$P$5,'CP RESUMO'!T62,"")</f>
        <v>9.03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HISTORICOS'!U20)</f>
        <v>304245.22</v>
      </c>
      <c r="D22" s="45" t="n">
        <f aca="false">IF(B22&lt;='VALOR POR PL'!$P$5,0,IF($K$17&gt;0,$K$18*P22/$K$17,0))</f>
        <v>0</v>
      </c>
      <c r="E22" s="45" t="n">
        <f aca="false">L22+D22/$K$2</f>
        <v>239.432137531036</v>
      </c>
      <c r="F22" s="117" t="n">
        <f aca="false">IF($K$9=0,0,E22/$K$9)</f>
        <v>0.0710374015977116</v>
      </c>
      <c r="G22" s="117" t="n">
        <f aca="false">G21+F22</f>
        <v>0.0757806701394001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239.432137531036</v>
      </c>
      <c r="M22" s="139" t="n">
        <f aca="false">'CP RESUMO'!U20</f>
        <v>31.16</v>
      </c>
      <c r="N22" s="140" t="n">
        <f aca="false">MAX(0,M22-M21)</f>
        <v>18.88</v>
      </c>
      <c r="O22" s="139" t="n">
        <f aca="false">IF(B22&lt;='VALOR POR PL'!$P$5,'CP RESUMO'!U62,"")</f>
        <v>36.07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HISTORICOS'!V20)</f>
        <v>700460.71</v>
      </c>
      <c r="D23" s="45" t="n">
        <f aca="false">IF(B23&lt;='VALOR POR PL'!$P$5,0,IF($K$17&gt;0,$K$18*P23/$K$17,0))</f>
        <v>0</v>
      </c>
      <c r="E23" s="45" t="n">
        <f aca="false">L23+D23/$K$2</f>
        <v>546.96102186327</v>
      </c>
      <c r="F23" s="117" t="n">
        <f aca="false">IF($K$9=0,0,E23/$K$9)</f>
        <v>0.162278506841461</v>
      </c>
      <c r="G23" s="117" t="n">
        <f aca="false">G22+F23</f>
        <v>0.238059176980861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546.96102186327</v>
      </c>
      <c r="M23" s="139" t="n">
        <f aca="false">'CP RESUMO'!V20</f>
        <v>50.99</v>
      </c>
      <c r="N23" s="140" t="n">
        <f aca="false">MAX(0,M23-M22)</f>
        <v>19.83</v>
      </c>
      <c r="O23" s="139" t="n">
        <f aca="false">IF(B23&lt;='VALOR POR PL'!$P$5,'CP RESUMO'!V62,"")</f>
        <v>66.15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HISTORICOS'!W20)</f>
        <v>1455797.59</v>
      </c>
      <c r="D24" s="45" t="n">
        <f aca="false">IF(B24&lt;='VALOR POR PL'!$P$5,0,IF($K$17&gt;0,$K$18*P24/$K$17,0))</f>
        <v>0</v>
      </c>
      <c r="E24" s="45" t="n">
        <f aca="false">L24+D24/$K$2</f>
        <v>1129.89953672335</v>
      </c>
      <c r="F24" s="117" t="n">
        <f aca="false">IF($K$9=0,0,E24/$K$9)</f>
        <v>0.335231218260667</v>
      </c>
      <c r="G24" s="117" t="n">
        <f aca="false">G23+F24</f>
        <v>0.573290395241528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1129.89953672335</v>
      </c>
      <c r="M24" s="139" t="n">
        <f aca="false">'CP RESUMO'!W20</f>
        <v>72.71</v>
      </c>
      <c r="N24" s="140" t="n">
        <f aca="false">MAX(0,M24-M23)</f>
        <v>21.72</v>
      </c>
      <c r="O24" s="139" t="n">
        <f aca="false">IF(B24&lt;='VALOR POR PL'!$P$5,'CP RESUMO'!W62,"")</f>
        <v>76.66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HISTORICOS'!X20)</f>
        <v>480698.83</v>
      </c>
      <c r="D25" s="45" t="n">
        <f aca="false">IF(B25&lt;='VALOR POR PL'!$P$5,0,IF($K$17&gt;0,$K$18*P25/$K$17,0))</f>
        <v>0</v>
      </c>
      <c r="E25" s="45" t="n">
        <f aca="false">L25+D25/$K$2</f>
        <v>370.655337503827</v>
      </c>
      <c r="F25" s="117" t="n">
        <f aca="false">IF($K$9=0,0,E25/$K$9)</f>
        <v>0.109970166645577</v>
      </c>
      <c r="G25" s="117" t="n">
        <f aca="false">G24+F25</f>
        <v>0.683260561887104</v>
      </c>
      <c r="H25" s="138"/>
      <c r="L25" s="45" t="n">
        <f aca="false">C25/IF(B25&lt;='VALOR POR PL'!$P$5,IFERROR(INDEX('"INCC-FGV"'!$B$2:$B$800,MATCH(B25,'"INCC-FGV"'!$A$2:$A$800,0)),$K$2),$K$2)</f>
        <v>370.655337503827</v>
      </c>
      <c r="M25" s="139" t="n">
        <f aca="false">'CP RESUMO'!X20</f>
        <v>77.44</v>
      </c>
      <c r="N25" s="140" t="n">
        <f aca="false">MAX(0,M25-M24)</f>
        <v>4.73</v>
      </c>
      <c r="O25" s="139" t="n">
        <f aca="false">IF(B25&lt;='VALOR POR PL'!$P$5,'CP RESUMO'!X62,"")</f>
        <v>76.66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HISTORICOS'!Y20)</f>
        <v>50605.81</v>
      </c>
      <c r="D26" s="45" t="n">
        <f aca="false">IF(B26&lt;='VALOR POR PL'!$P$5,0,IF($K$17&gt;0,$K$18*P26/$K$17,0))</f>
        <v>0</v>
      </c>
      <c r="E26" s="45" t="n">
        <f aca="false">L26+D26/$K$2</f>
        <v>39.0209262319289</v>
      </c>
      <c r="F26" s="117" t="n">
        <f aca="false">IF($K$9=0,0,E26/$K$9)</f>
        <v>0.0115771643524374</v>
      </c>
      <c r="G26" s="117" t="n">
        <f aca="false">G25+F26</f>
        <v>0.694837726239541</v>
      </c>
      <c r="H26" s="138"/>
      <c r="L26" s="45" t="n">
        <f aca="false">C26/IF(B26&lt;='VALOR POR PL'!$P$5,IFERROR(INDEX('"INCC-FGV"'!$B$2:$B$800,MATCH(B26,'"INCC-FGV"'!$A$2:$A$800,0)),$K$2),$K$2)</f>
        <v>39.0209262319289</v>
      </c>
      <c r="M26" s="139" t="n">
        <f aca="false">'CP RESUMO'!Y20</f>
        <v>77.44</v>
      </c>
      <c r="N26" s="140" t="n">
        <f aca="false">MAX(0,M26-M25)</f>
        <v>0</v>
      </c>
      <c r="O26" s="139" t="str">
        <f aca="false">IF(B26&lt;='VALOR POR PL'!$P$5,'CP RESUMO'!Y62,"")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HISTORICOS'!Z20)</f>
        <v>8834.66</v>
      </c>
      <c r="D27" s="45" t="n">
        <f aca="false">IF(B27&lt;='VALOR POR PL'!$P$5,0,IF($K$17&gt;0,$K$18*P27/$K$17,0))</f>
        <v>50246.9555636604</v>
      </c>
      <c r="E27" s="45" t="n">
        <f aca="false">L27+D27/$K$2</f>
        <v>45.5564165966867</v>
      </c>
      <c r="F27" s="117" t="n">
        <f aca="false">IF($K$9=0,0,E27/$K$9)</f>
        <v>0.0135161866510589</v>
      </c>
      <c r="G27" s="117" t="n">
        <f aca="false">G26+F27</f>
        <v>0.7083539128906</v>
      </c>
      <c r="H27" s="138" t="n">
        <v>50000</v>
      </c>
      <c r="L27" s="45" t="n">
        <f aca="false">C27/IF(B27&lt;='VALOR POR PL'!$P$5,IFERROR(INDEX('"INCC-FGV"'!$B$2:$B$800,MATCH(B27,'"INCC-FGV"'!$A$2:$A$800,0)),$K$2),$K$2)</f>
        <v>6.81219441293742</v>
      </c>
      <c r="M27" s="139" t="n">
        <f aca="false">'CP RESUMO'!Z20</f>
        <v>77.44</v>
      </c>
      <c r="N27" s="140" t="n">
        <f aca="false">MAX(0,M27-M26)</f>
        <v>0</v>
      </c>
      <c r="O27" s="139" t="str">
        <f aca="false">IF(B27&lt;='VALOR POR PL'!$P$5,'CP RESUMO'!Z62,"")</f>
        <v/>
      </c>
      <c r="P27" s="66" t="n">
        <f aca="false">IF(B27&lt;='VALOR POR PL'!$P$5,0,IF(OR($K$16="CURVA PREVISION",$K$16="MDO PREVISION + MATERIAL PREMISSA"),N27,IF($K$16="PREVISÃO INFORMADA",MAX(0,H27),0)))</f>
        <v>50000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HISTORICOS'!AA20)</f>
        <v>0</v>
      </c>
      <c r="D28" s="45" t="n">
        <f aca="false">IF(B28&lt;='VALOR POR PL'!$P$5,0,IF($K$17&gt;0,$K$18*P28/$K$17,0))</f>
        <v>50246.9555636604</v>
      </c>
      <c r="E28" s="45" t="n">
        <f aca="false">L28+D28/$K$2</f>
        <v>38.7442221837493</v>
      </c>
      <c r="F28" s="117" t="n">
        <f aca="false">IF($K$9=0,0,E28/$K$9)</f>
        <v>0.0114950687039713</v>
      </c>
      <c r="G28" s="117" t="n">
        <f aca="false">G27+F28</f>
        <v>0.719848981594572</v>
      </c>
      <c r="H28" s="138" t="n">
        <v>50000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RESUMO'!AA20</f>
        <v>77.44</v>
      </c>
      <c r="N28" s="140" t="n">
        <f aca="false">MAX(0,M28-M27)</f>
        <v>0</v>
      </c>
      <c r="O28" s="139" t="str">
        <f aca="false">IF(B28&lt;='VALOR POR PL'!$P$5,'CP RESUMO'!AA62,"")</f>
        <v/>
      </c>
      <c r="P28" s="66" t="n">
        <f aca="false">IF(B28&lt;='VALOR POR PL'!$P$5,0,IF(OR($K$16="CURVA PREVISION",$K$16="MDO PREVISION + MATERIAL PREMISSA"),N28,IF($K$16="PREVISÃO INFORMADA",MAX(0,H28),0)))</f>
        <v>50000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HISTORICOS'!AB20)</f>
        <v>19943.08</v>
      </c>
      <c r="D29" s="45" t="n">
        <f aca="false">IF(B29&lt;='VALOR POR PL'!$P$5,0,IF($K$17&gt;0,$K$18*P29/$K$17,0))</f>
        <v>0</v>
      </c>
      <c r="E29" s="45" t="n">
        <f aca="false">L29+D29/$K$2</f>
        <v>15.3776306222044</v>
      </c>
      <c r="F29" s="117" t="n">
        <f aca="false">IF($K$9=0,0,E29/$K$9)</f>
        <v>0.00456240725825371</v>
      </c>
      <c r="G29" s="117" t="n">
        <f aca="false">G28+F29</f>
        <v>0.724411388852825</v>
      </c>
      <c r="H29" s="138"/>
      <c r="L29" s="45" t="n">
        <f aca="false">C29/IF(B29&lt;='VALOR POR PL'!$P$5,IFERROR(INDEX('"INCC-FGV"'!$B$2:$B$800,MATCH(B29,'"INCC-FGV"'!$A$2:$A$800,0)),$K$2),$K$2)</f>
        <v>15.3776306222044</v>
      </c>
      <c r="M29" s="139" t="n">
        <f aca="false">'CP RESUMO'!AB20</f>
        <v>77.44</v>
      </c>
      <c r="N29" s="140" t="n">
        <f aca="false">MAX(0,M29-M28)</f>
        <v>0</v>
      </c>
      <c r="O29" s="139" t="str">
        <f aca="false">IF(B29&lt;='VALOR POR PL'!$P$5,'CP RESUMO'!AB62,"")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HISTORICOS'!AC20)</f>
        <v>22778.61</v>
      </c>
      <c r="D30" s="45" t="n">
        <f aca="false">IF(B30&lt;='VALOR POR PL'!$P$5,0,IF($K$17&gt;0,$K$18*P30/$K$17,0))</f>
        <v>0</v>
      </c>
      <c r="E30" s="45" t="n">
        <f aca="false">L30+D30/$K$2</f>
        <v>17.5640397906066</v>
      </c>
      <c r="F30" s="117" t="n">
        <f aca="false">IF($K$9=0,0,E30/$K$9)</f>
        <v>0.00521109555780403</v>
      </c>
      <c r="G30" s="117" t="n">
        <f aca="false">G29+F30</f>
        <v>0.72962248441063</v>
      </c>
      <c r="H30" s="138"/>
      <c r="L30" s="45" t="n">
        <f aca="false">C30/IF(B30&lt;='VALOR POR PL'!$P$5,IFERROR(INDEX('"INCC-FGV"'!$B$2:$B$800,MATCH(B30,'"INCC-FGV"'!$A$2:$A$800,0)),$K$2),$K$2)</f>
        <v>17.5640397906066</v>
      </c>
      <c r="M30" s="139" t="n">
        <f aca="false">'CP RESUMO'!AC20</f>
        <v>77.44</v>
      </c>
      <c r="N30" s="140" t="n">
        <f aca="false">MAX(0,M30-M29)</f>
        <v>0</v>
      </c>
      <c r="O30" s="139" t="str">
        <f aca="false">IF(B30&lt;='VALOR POR PL'!$P$5,'CP RESUMO'!AC62,"")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HISTORICOS'!AD20)</f>
        <v>2356.48</v>
      </c>
      <c r="D31" s="45" t="n">
        <f aca="false">IF(B31&lt;='VALOR POR PL'!$P$5,0,IF($K$17&gt;0,$K$18*P31/$K$17,0))</f>
        <v>0</v>
      </c>
      <c r="E31" s="45" t="n">
        <f aca="false">L31+D31/$K$2</f>
        <v>1.81702520416165</v>
      </c>
      <c r="F31" s="117" t="n">
        <f aca="false">IF($K$9=0,0,E31/$K$9)</f>
        <v>0.000539095338128799</v>
      </c>
      <c r="G31" s="117" t="n">
        <f aca="false">G30+F31</f>
        <v>0.730161579748758</v>
      </c>
      <c r="H31" s="138"/>
      <c r="L31" s="45" t="n">
        <f aca="false">C31/IF(B31&lt;='VALOR POR PL'!$P$5,IFERROR(INDEX('"INCC-FGV"'!$B$2:$B$800,MATCH(B31,'"INCC-FGV"'!$A$2:$A$800,0)),$K$2),$K$2)</f>
        <v>1.81702520416165</v>
      </c>
      <c r="M31" s="139" t="n">
        <f aca="false">'CP RESUMO'!AD20</f>
        <v>86.22</v>
      </c>
      <c r="N31" s="140" t="n">
        <f aca="false">MAX(0,M31-M30)</f>
        <v>8.78</v>
      </c>
      <c r="O31" s="139" t="str">
        <f aca="false">IF(B31&lt;='VALOR POR PL'!$P$5,'CP RESUMO'!AD62,"")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HISTORICOS'!AE20)</f>
        <v>2007.28</v>
      </c>
      <c r="D32" s="45" t="n">
        <f aca="false">IF(B32&lt;='VALOR POR PL'!$P$5,0,IF($K$17&gt;0,$K$18*P32/$K$17,0))</f>
        <v>0</v>
      </c>
      <c r="E32" s="45" t="n">
        <f aca="false">L32+D32/$K$2</f>
        <v>1.54776546026684</v>
      </c>
      <c r="F32" s="117" t="n">
        <f aca="false">IF($K$9=0,0,E32/$K$9)</f>
        <v>0.000459208349028711</v>
      </c>
      <c r="G32" s="117" t="n">
        <f aca="false">G31+F32</f>
        <v>0.730620788097787</v>
      </c>
      <c r="H32" s="138"/>
      <c r="L32" s="45" t="n">
        <f aca="false">C32/IF(B32&lt;='VALOR POR PL'!$P$5,IFERROR(INDEX('"INCC-FGV"'!$B$2:$B$800,MATCH(B32,'"INCC-FGV"'!$A$2:$A$800,0)),$K$2),$K$2)</f>
        <v>1.54776546026684</v>
      </c>
      <c r="M32" s="139" t="n">
        <f aca="false">'CP RESUMO'!AE20</f>
        <v>91.37</v>
      </c>
      <c r="N32" s="140" t="n">
        <f aca="false">MAX(0,M32-M31)</f>
        <v>5.15000000000001</v>
      </c>
      <c r="O32" s="139" t="str">
        <f aca="false">IF(B32&lt;='VALOR POR PL'!$P$5,'CP RESUMO'!AE62,"")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HISTORICOS'!AF20)</f>
        <v>0</v>
      </c>
      <c r="D33" s="45" t="n">
        <f aca="false">IF(B33&lt;='VALOR POR PL'!$P$5,0,IF($K$17&gt;0,$K$18*P33/$K$17,0))</f>
        <v>251234.777818302</v>
      </c>
      <c r="E33" s="45" t="n">
        <f aca="false">L33+D33/$K$2</f>
        <v>193.721110918746</v>
      </c>
      <c r="F33" s="117" t="n">
        <f aca="false">IF($K$9=0,0,E33/$K$9)</f>
        <v>0.0574753435198564</v>
      </c>
      <c r="G33" s="117" t="n">
        <f aca="false">G32+F33</f>
        <v>0.788096131617643</v>
      </c>
      <c r="H33" s="138" t="n">
        <v>250000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RESUMO'!AF20</f>
        <v>93.84</v>
      </c>
      <c r="N33" s="140" t="n">
        <f aca="false">MAX(0,M33-M32)</f>
        <v>2.47</v>
      </c>
      <c r="O33" s="139" t="str">
        <f aca="false">IF(B33&lt;='VALOR POR PL'!$P$5,'CP RESUMO'!AF62,"")</f>
        <v/>
      </c>
      <c r="P33" s="66" t="n">
        <f aca="false">IF(B33&lt;='VALOR POR PL'!$P$5,0,IF(OR($K$16="CURVA PREVISION",$K$16="MDO PREVISION + MATERIAL PREMISSA"),N33,IF($K$16="PREVISÃO INFORMADA",MAX(0,H33),0)))</f>
        <v>250000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HISTORICOS'!AG20)</f>
        <v>0</v>
      </c>
      <c r="D34" s="45" t="n">
        <f aca="false">IF(B34&lt;='VALOR POR PL'!$P$5,0,IF($K$17&gt;0,$K$18*P34/$K$17,0))</f>
        <v>251234.777818302</v>
      </c>
      <c r="E34" s="45" t="n">
        <f aca="false">L34+D34/$K$2</f>
        <v>193.721110918746</v>
      </c>
      <c r="F34" s="117" t="n">
        <f aca="false">IF($K$9=0,0,E34/$K$9)</f>
        <v>0.0574753435198564</v>
      </c>
      <c r="G34" s="117" t="n">
        <f aca="false">G33+F34</f>
        <v>0.8455714751375</v>
      </c>
      <c r="H34" s="138" t="n">
        <v>250000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RESUMO'!AG20</f>
        <v>93.84</v>
      </c>
      <c r="N34" s="140" t="n">
        <f aca="false">MAX(0,M34-M33)</f>
        <v>0</v>
      </c>
      <c r="O34" s="139" t="str">
        <f aca="false">IF(B34&lt;='VALOR POR PL'!$P$5,'CP RESUMO'!AG62,"")</f>
        <v/>
      </c>
      <c r="P34" s="66" t="n">
        <f aca="false">IF(B34&lt;='VALOR POR PL'!$P$5,0,IF(OR($K$16="CURVA PREVISION",$K$16="MDO PREVISION + MATERIAL PREMISSA"),N34,IF($K$16="PREVISÃO INFORMADA",MAX(0,H34),0)))</f>
        <v>250000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HISTORICOS'!AH20)</f>
        <v>0</v>
      </c>
      <c r="D35" s="45" t="n">
        <f aca="false">IF(B35&lt;='VALOR POR PL'!$P$5,0,IF($K$17&gt;0,$K$18*P35/$K$17,0))</f>
        <v>200987.822254642</v>
      </c>
      <c r="E35" s="45" t="n">
        <f aca="false">L35+D35/$K$2</f>
        <v>154.976888734997</v>
      </c>
      <c r="F35" s="117" t="n">
        <f aca="false">IF($K$9=0,0,E35/$K$9)</f>
        <v>0.0459802748158851</v>
      </c>
      <c r="G35" s="117" t="n">
        <f aca="false">G34+F35</f>
        <v>0.891551749953385</v>
      </c>
      <c r="H35" s="138" t="n">
        <v>200000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RESUMO'!AH20</f>
        <v>93.84</v>
      </c>
      <c r="N35" s="140" t="n">
        <f aca="false">MAX(0,M35-M34)</f>
        <v>0</v>
      </c>
      <c r="O35" s="139" t="str">
        <f aca="false">IF(B35&lt;='VALOR POR PL'!$P$5,'CP RESUMO'!AH62,"")</f>
        <v/>
      </c>
      <c r="P35" s="66" t="n">
        <f aca="false">IF(B35&lt;='VALOR POR PL'!$P$5,0,IF(OR($K$16="CURVA PREVISION",$K$16="MDO PREVISION + MATERIAL PREMISSA"),N35,IF($K$16="PREVISÃO INFORMADA",MAX(0,H35),0)))</f>
        <v>200000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HISTORICOS'!AI20)</f>
        <v>0</v>
      </c>
      <c r="D36" s="45" t="n">
        <f aca="false">IF(B36&lt;='VALOR POR PL'!$P$5,0,IF($K$17&gt;0,$K$18*P36/$K$17,0))</f>
        <v>125617.388909151</v>
      </c>
      <c r="E36" s="45" t="n">
        <f aca="false">L36+D36/$K$2</f>
        <v>96.8605554593732</v>
      </c>
      <c r="F36" s="117" t="n">
        <f aca="false">IF($K$9=0,0,E36/$K$9)</f>
        <v>0.0287376717599282</v>
      </c>
      <c r="G36" s="117" t="n">
        <f aca="false">G35+F36</f>
        <v>0.920289421713313</v>
      </c>
      <c r="H36" s="138" t="n">
        <v>125000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RESUMO'!AI20</f>
        <v>93.84</v>
      </c>
      <c r="N36" s="140" t="n">
        <f aca="false">MAX(0,M36-M35)</f>
        <v>0</v>
      </c>
      <c r="O36" s="139" t="str">
        <f aca="false">IF(B36&lt;='VALOR POR PL'!$P$5,'CP RESUMO'!AI62,"")</f>
        <v/>
      </c>
      <c r="P36" s="66" t="n">
        <f aca="false">IF(B36&lt;='VALOR POR PL'!$P$5,0,IF(OR($K$16="CURVA PREVISION",$K$16="MDO PREVISION + MATERIAL PREMISSA"),N36,IF($K$16="PREVISÃO INFORMADA",MAX(0,H36),0)))</f>
        <v>125000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HISTORICOS'!AJ20)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0.920289421713313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RESUMO'!AJ20</f>
        <v>93.84</v>
      </c>
      <c r="N37" s="140" t="n">
        <f aca="false">MAX(0,M37-M36)</f>
        <v>0</v>
      </c>
      <c r="O37" s="139" t="str">
        <f aca="false">IF(B37&lt;='VALOR POR PL'!$P$5,'CP RESUMO'!AJ62,"")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HISTORICOS'!AK20)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0.920289421713313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RESUMO'!AK20</f>
        <v>93.84</v>
      </c>
      <c r="N38" s="140" t="n">
        <f aca="false">MAX(0,M38-M37)</f>
        <v>0</v>
      </c>
      <c r="O38" s="139" t="str">
        <f aca="false">IF(B38&lt;='VALOR POR PL'!$P$5,'CP RESUMO'!AK62,"")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HISTORICOS'!AL20)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0.920289421713313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RESUMO'!AL20</f>
        <v>95.52</v>
      </c>
      <c r="N39" s="140" t="n">
        <f aca="false">MAX(0,M39-M38)</f>
        <v>1.67999999999999</v>
      </c>
      <c r="O39" s="139" t="str">
        <f aca="false">IF(B39&lt;='VALOR POR PL'!$P$5,'CP RESUMO'!AL62,"")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HISTORICOS'!AM20)</f>
        <v>0</v>
      </c>
      <c r="D40" s="45" t="n">
        <f aca="false">IF(B40&lt;='VALOR POR PL'!$P$5,0,IF($K$17&gt;0,$K$18*P40/$K$17,0))</f>
        <v>93430.5659416526</v>
      </c>
      <c r="E40" s="45" t="n">
        <f aca="false">L40+D40/$K$2</f>
        <v>72.0420683201512</v>
      </c>
      <c r="F40" s="117" t="n">
        <f aca="false">IF($K$9=0,0,E40/$K$9)</f>
        <v>0.0213742457130467</v>
      </c>
      <c r="G40" s="117" t="n">
        <f aca="false">G39+F40</f>
        <v>0.94166366742636</v>
      </c>
      <c r="H40" s="138" t="n">
        <v>92971.37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RESUMO'!AM20</f>
        <v>99.25</v>
      </c>
      <c r="N40" s="140" t="n">
        <f aca="false">MAX(0,M40-M39)</f>
        <v>3.73</v>
      </c>
      <c r="O40" s="139" t="str">
        <f aca="false">IF(B40&lt;='VALOR POR PL'!$P$5,'CP RESUMO'!AM62,"")</f>
        <v/>
      </c>
      <c r="P40" s="66" t="n">
        <f aca="false">IF(B40&lt;='VALOR POR PL'!$P$5,0,IF(OR($K$16="CURVA PREVISION",$K$16="MDO PREVISION + MATERIAL PREMISSA"),N40,IF($K$16="PREVISÃO INFORMADA",MAX(0,H40),0)))</f>
        <v>92971.37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HISTORICOS'!AN20)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0.94166366742636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RESUMO'!AN20</f>
        <v>100</v>
      </c>
      <c r="N41" s="140" t="n">
        <f aca="false">MAX(0,M41-M40)</f>
        <v>0.75</v>
      </c>
      <c r="O41" s="139" t="str">
        <f aca="false">IF(B41&lt;='VALOR POR PL'!$P$5,'CP RESUMO'!AN62,"")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HISTORICOS'!AO20)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0.94166366742636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RESUMO'!AO20</f>
        <v>100</v>
      </c>
      <c r="N42" s="140" t="n">
        <f aca="false">MAX(0,M42-M41)</f>
        <v>0</v>
      </c>
      <c r="O42" s="139" t="str">
        <f aca="false">IF(B42&lt;='VALOR POR PL'!$P$5,'CP RESUMO'!AO62,"")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HISTORICOS'!AP20)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0.94166366742636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RESUMO'!AP20</f>
        <v>100</v>
      </c>
      <c r="N43" s="140" t="n">
        <f aca="false">MAX(0,M43-M42)</f>
        <v>0</v>
      </c>
      <c r="O43" s="139" t="str">
        <f aca="false">IF(B43&lt;='VALOR POR PL'!$P$5,'CP RESUMO'!AP62,"")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HISTORICOS'!AQ20)</f>
        <v>0</v>
      </c>
      <c r="D44" s="45" t="n">
        <f aca="false">IF(B44&lt;='VALOR POR PL'!$P$5,0,IF($K$17&gt;0,$K$18*P44/$K$17,0))</f>
        <v>125617.388909151</v>
      </c>
      <c r="E44" s="45" t="n">
        <f aca="false">L44+D44/$K$2</f>
        <v>96.8605554593732</v>
      </c>
      <c r="F44" s="117" t="n">
        <f aca="false">IF($K$9=0,0,E44/$K$9)</f>
        <v>0.0287376717599282</v>
      </c>
      <c r="G44" s="117" t="n">
        <f aca="false">G43+F44</f>
        <v>0.970401339186288</v>
      </c>
      <c r="H44" s="138" t="n">
        <v>125000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RESUMO'!AQ20</f>
        <v>100</v>
      </c>
      <c r="N44" s="140" t="n">
        <f aca="false">MAX(0,M44-M43)</f>
        <v>0</v>
      </c>
      <c r="O44" s="139" t="str">
        <f aca="false">IF(B44&lt;='VALOR POR PL'!$P$5,'CP RESUMO'!AQ62,"")</f>
        <v/>
      </c>
      <c r="P44" s="66" t="n">
        <f aca="false">IF(B44&lt;='VALOR POR PL'!$P$5,0,IF(OR($K$16="CURVA PREVISION",$K$16="MDO PREVISION + MATERIAL PREMISSA"),N44,IF($K$16="PREVISÃO INFORMADA",MAX(0,H44),0)))</f>
        <v>125000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HISTORICOS'!AR20)</f>
        <v>0</v>
      </c>
      <c r="D45" s="45" t="n">
        <f aca="false">IF(B45&lt;='VALOR POR PL'!$P$5,0,IF($K$17&gt;0,$K$18*P45/$K$17,0))</f>
        <v>125612.042633079</v>
      </c>
      <c r="E45" s="45" t="n">
        <f aca="false">L45+D45/$K$2</f>
        <v>96.8564330741328</v>
      </c>
      <c r="F45" s="117" t="n">
        <f aca="false">IF($K$9=0,0,E45/$K$9)</f>
        <v>0.0287364486846181</v>
      </c>
      <c r="G45" s="117" t="n">
        <f aca="false">G44+F45</f>
        <v>0.999137787870906</v>
      </c>
      <c r="H45" s="138" t="n">
        <v>124994.68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RESUMO'!AR20</f>
        <v>100</v>
      </c>
      <c r="N45" s="140" t="n">
        <f aca="false">MAX(0,M45-M44)</f>
        <v>0</v>
      </c>
      <c r="O45" s="139" t="str">
        <f aca="false">IF(B45&lt;='VALOR POR PL'!$P$5,'CP RESUMO'!AR62,"")</f>
        <v/>
      </c>
      <c r="P45" s="66" t="n">
        <f aca="false">IF(B45&lt;='VALOR POR PL'!$P$5,0,IF(OR($K$16="CURVA PREVISION",$K$16="MDO PREVISION + MATERIAL PREMISSA"),N45,IF($K$16="PREVISÃO INFORMADA",MAX(0,H45),0)))</f>
        <v>124994.68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HISTORICOS'!AS20)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0.999137787870906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RESUMO'!AS20</f>
        <v>100</v>
      </c>
      <c r="N46" s="140" t="n">
        <f aca="false">MAX(0,M46-M45)</f>
        <v>0</v>
      </c>
      <c r="O46" s="139" t="str">
        <f aca="false">IF(B46&lt;='VALOR POR PL'!$P$5,'CP RESUMO'!AS62,"")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HISTORICOS'!AT20)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0.999137787870906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RESUMO'!AT20</f>
        <v>100</v>
      </c>
      <c r="N47" s="140" t="n">
        <f aca="false">MAX(0,M47-M46)</f>
        <v>0</v>
      </c>
      <c r="O47" s="139" t="str">
        <f aca="false">IF(B47&lt;='VALOR POR PL'!$P$5,'CP RESUMO'!AT62,"")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HISTORICOS'!AU20)</f>
        <v>3768.88</v>
      </c>
      <c r="D48" s="45" t="n">
        <f aca="false">IF(B48&lt;='VALOR POR PL'!$P$5,0,IF($K$17&gt;0,$K$18*P48/$K$17,0))</f>
        <v>0</v>
      </c>
      <c r="E48" s="45" t="n">
        <f aca="false">L48+D48/$K$2</f>
        <v>2.90609296555064</v>
      </c>
      <c r="F48" s="117" t="n">
        <f aca="false">IF($K$9=0,0,E48/$K$9)</f>
        <v>0.000862212129093763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2.90609296555064</v>
      </c>
      <c r="M48" s="139" t="n">
        <f aca="false">'CP RESUMO'!AU20</f>
        <v>100</v>
      </c>
      <c r="N48" s="140" t="n">
        <f aca="false">MAX(0,M48-M47)</f>
        <v>0</v>
      </c>
      <c r="O48" s="139" t="str">
        <f aca="false">IF(B48&lt;='VALOR POR PL'!$P$5,'CP RESUMO'!AU62,"")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HISTORICOS'!AV20)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RESUMO'!AV20</f>
        <v>100</v>
      </c>
      <c r="N49" s="140" t="n">
        <f aca="false">MAX(0,M49-M48)</f>
        <v>0</v>
      </c>
      <c r="O49" s="139" t="str">
        <f aca="false">IF(B49&lt;='VALOR POR PL'!$P$5,'CP RESUMO'!AV62,"")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HISTORICOS'!AW20)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RESUMO'!AW20</f>
        <v>100</v>
      </c>
      <c r="N50" s="140" t="n">
        <f aca="false">MAX(0,M50-M49)</f>
        <v>0</v>
      </c>
      <c r="O50" s="139" t="str">
        <f aca="false">IF(B50&lt;='VALOR POR PL'!$P$5,'CP RESUMO'!AW62,"")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HISTORICOS'!AX20)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RESUMO'!AX20</f>
        <v>100</v>
      </c>
      <c r="N51" s="140" t="n">
        <f aca="false">MAX(0,M51-M50)</f>
        <v>0</v>
      </c>
      <c r="O51" s="139" t="str">
        <f aca="false">IF(B51&lt;='VALOR POR PL'!$P$5,'CP RESUMO'!AX62,"")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HISTORICOS'!AY20)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RESUMO'!AY20</f>
        <v>100</v>
      </c>
      <c r="N52" s="140" t="n">
        <f aca="false">MAX(0,M52-M51)</f>
        <v>0</v>
      </c>
      <c r="O52" s="139" t="str">
        <f aca="false">IF(B52&lt;='VALOR POR PL'!$P$5,'CP RESUMO'!AY62,"")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HISTORICOS'!AZ20)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RESUMO'!AZ20</f>
        <v>100</v>
      </c>
      <c r="N53" s="140" t="n">
        <f aca="false">MAX(0,M53-M52)</f>
        <v>0</v>
      </c>
      <c r="O53" s="139" t="str">
        <f aca="false">IF(B53&lt;='VALOR POR PL'!$P$5,'CP RESUMO'!AZ62,"")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RESUMO'!BA20</f>
        <v>100</v>
      </c>
      <c r="N54" s="140" t="n">
        <f aca="false">MAX(0,M54-M53)</f>
        <v>0</v>
      </c>
      <c r="O54" s="139" t="str">
        <f aca="false">IF(B54&lt;='VALOR POR PL'!$P$5,'CP RESUMO'!BA62,"")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RESUMO'!BB20</f>
        <v>100</v>
      </c>
      <c r="N55" s="140" t="n">
        <f aca="false">MAX(0,M55-M54)</f>
        <v>0</v>
      </c>
      <c r="O55" s="139" t="str">
        <f aca="false">IF(B55&lt;='VALOR POR PL'!$P$5,'CP RESUMO'!BB62,"")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RESUMO'!BC20</f>
        <v>100</v>
      </c>
      <c r="N56" s="140" t="n">
        <f aca="false">MAX(0,M56-M55)</f>
        <v>0</v>
      </c>
      <c r="O56" s="139" t="str">
        <f aca="false">IF(B56&lt;='VALOR POR PL'!$P$5,'CP RESUMO'!BC62,"")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RESUMO'!BD20</f>
        <v>100</v>
      </c>
      <c r="N57" s="140" t="n">
        <f aca="false">MAX(0,M57-M56)</f>
        <v>0</v>
      </c>
      <c r="O57" s="139" t="str">
        <f aca="false">IF(B57&lt;='VALOR POR PL'!$P$5,'CP RESUMO'!BD62,"")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RESUMO'!BE20</f>
        <v>100</v>
      </c>
      <c r="N58" s="140" t="n">
        <f aca="false">MAX(0,M58-M57)</f>
        <v>0</v>
      </c>
      <c r="O58" s="139" t="str">
        <f aca="false">IF(B58&lt;='VALOR POR PL'!$P$5,'CP RESUMO'!BE62,"")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RESUMO'!BF20</f>
        <v>100</v>
      </c>
      <c r="N59" s="140" t="n">
        <f aca="false">MAX(0,M59-M58)</f>
        <v>0</v>
      </c>
      <c r="O59" s="139" t="str">
        <f aca="false">IF(B59&lt;='VALOR POR PL'!$P$5,'CP RESUMO'!BF62,"")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RESUMO'!BG20</f>
        <v>100</v>
      </c>
      <c r="N60" s="140" t="n">
        <f aca="false">MAX(0,M60-M59)</f>
        <v>0</v>
      </c>
      <c r="O60" s="139" t="str">
        <f aca="false">IF(B60&lt;='VALOR POR PL'!$P$5,'CP RESUMO'!BG62,"")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RESUMO'!BH20</f>
        <v>100</v>
      </c>
      <c r="N61" s="140" t="n">
        <f aca="false">MAX(0,M61-M60)</f>
        <v>0</v>
      </c>
      <c r="O61" s="139" t="str">
        <f aca="false">IF(B61&lt;='VALOR POR PL'!$P$5,'CP RESUMO'!BH62,"")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RESUMO'!BI20</f>
        <v>100</v>
      </c>
      <c r="N62" s="140" t="n">
        <f aca="false">MAX(0,M62-M61)</f>
        <v>0</v>
      </c>
      <c r="O62" s="139" t="str">
        <f aca="false">IF(B62&lt;='VALOR POR PL'!$P$5,'CP RESUMO'!BI62,"")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RESUMO'!BJ20</f>
        <v>100</v>
      </c>
      <c r="N63" s="140" t="n">
        <f aca="false">MAX(0,M63-M62)</f>
        <v>0</v>
      </c>
      <c r="O63" s="139" t="str">
        <f aca="false">IF(B63&lt;='VALOR POR PL'!$P$5,'CP RESUMO'!BJ62,"")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RESUMO'!BK20</f>
        <v>100</v>
      </c>
      <c r="N64" s="140" t="n">
        <f aca="false">MAX(0,M64-M63)</f>
        <v>0</v>
      </c>
      <c r="O64" s="139" t="str">
        <f aca="false">IF(B64&lt;='VALOR POR PL'!$P$5,'CP RESUMO'!BK62,"")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RESUMO'!BL20</f>
        <v>100</v>
      </c>
      <c r="N65" s="140" t="n">
        <f aca="false">MAX(0,M65-M64)</f>
        <v>0</v>
      </c>
      <c r="O65" s="139" t="str">
        <f aca="false">IF(B65&lt;='VALOR POR PL'!$P$5,'CP RESUMO'!BL62,"")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RESUMO'!BM20</f>
        <v>100</v>
      </c>
      <c r="N66" s="140" t="n">
        <f aca="false">MAX(0,M66-M65)</f>
        <v>0</v>
      </c>
      <c r="O66" s="139" t="str">
        <f aca="false">IF(B66&lt;='VALOR POR PL'!$P$5,'CP RESUMO'!BM62,"")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RESUMO'!BN20</f>
        <v>100</v>
      </c>
      <c r="N67" s="140" t="n">
        <f aca="false">MAX(0,M67-M66)</f>
        <v>0</v>
      </c>
      <c r="O67" s="139" t="str">
        <f aca="false">IF(B67&lt;='VALOR POR PL'!$P$5,'CP RESUMO'!BN62,"")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RESUMO'!BO20</f>
        <v>100</v>
      </c>
      <c r="N68" s="140" t="n">
        <f aca="false">MAX(0,M68-M67)</f>
        <v>0</v>
      </c>
      <c r="O68" s="139" t="str">
        <f aca="false">IF(B68&lt;='VALOR POR PL'!$P$5,'CP RESUMO'!BO62,"")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RESUMO'!BP20</f>
        <v>100</v>
      </c>
      <c r="N69" s="140" t="n">
        <f aca="false">MAX(0,M69-M68)</f>
        <v>0</v>
      </c>
      <c r="O69" s="139" t="str">
        <f aca="false">IF(B69&lt;='VALOR POR PL'!$P$5,'CP RESUMO'!BP62,"")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RESUMO'!BQ20</f>
        <v>100</v>
      </c>
      <c r="N70" s="140" t="n">
        <f aca="false">MAX(0,M70-M69)</f>
        <v>0</v>
      </c>
      <c r="O70" s="139" t="str">
        <f aca="false">IF(B70&lt;='VALOR POR PL'!$P$5,'CP RESUMO'!BQ62,"")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RESUMO'!BR20</f>
        <v>100</v>
      </c>
      <c r="N71" s="140" t="n">
        <f aca="false">MAX(0,M71-M70)</f>
        <v>0</v>
      </c>
      <c r="O71" s="139" t="str">
        <f aca="false">IF(B71&lt;='VALOR POR PL'!$P$5,'CP RESUMO'!BR62,"")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RESUMO'!BS20</f>
        <v>100</v>
      </c>
      <c r="N72" s="140" t="n">
        <f aca="false">MAX(0,M72-M71)</f>
        <v>0</v>
      </c>
      <c r="O72" s="139" t="str">
        <f aca="false">IF(B72&lt;='VALOR POR PL'!$P$5,'CP RESUMO'!BS62,"")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RESUMO'!BT20</f>
        <v>100</v>
      </c>
      <c r="N73" s="140" t="n">
        <f aca="false">MAX(0,M73-M72)</f>
        <v>0</v>
      </c>
      <c r="O73" s="139" t="str">
        <f aca="false">IF(B73&lt;='VALOR POR PL'!$P$5,'CP RESUMO'!BT62,"")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RESUMO'!BU20</f>
        <v>100</v>
      </c>
      <c r="N74" s="140" t="n">
        <f aca="false">MAX(0,M74-M73)</f>
        <v>0</v>
      </c>
      <c r="O74" s="139" t="str">
        <f aca="false">IF(B74&lt;='VALOR POR PL'!$P$5,'CP RESUMO'!BU62,"")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RESUMO'!BV20</f>
        <v>100</v>
      </c>
      <c r="N75" s="140" t="n">
        <f aca="false">MAX(0,M75-M74)</f>
        <v>0</v>
      </c>
      <c r="O75" s="139" t="str">
        <f aca="false">IF(B75&lt;='VALOR POR PL'!$P$5,'CP RESUMO'!BV62,"")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RESUMO'!BW20</f>
        <v>100</v>
      </c>
      <c r="N76" s="140" t="n">
        <f aca="false">MAX(0,M76-M75)</f>
        <v>0</v>
      </c>
      <c r="O76" s="139" t="str">
        <f aca="false">IF(B76&lt;='VALOR POR PL'!$P$5,'CP RESUMO'!BW62,"")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3071635.49</v>
      </c>
      <c r="D78" s="61" t="n">
        <f aca="false">SUM(D5:D76)</f>
        <v>1274228.6754116</v>
      </c>
      <c r="E78" s="61" t="n">
        <f aca="false">SUM(E5:E76)</f>
        <v>3370.50810060526</v>
      </c>
      <c r="F78" s="145" t="n">
        <f aca="false">SUM(F5:F76)</f>
        <v>1</v>
      </c>
      <c r="H78" s="61" t="n">
        <f aca="false">SUM(H5:H76)</f>
        <v>1267966.05</v>
      </c>
      <c r="L78" s="61" t="n">
        <f aca="false">SUM(L5:L76)</f>
        <v>2387.98093335224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PL'!D27</f>
        <v>ESTRUTURA EM CONCRETO ARMADO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46" t="n">
        <f aca="false">'AUX.ESTRUTURA'!BD41</f>
        <v>0</v>
      </c>
      <c r="I5" s="42" t="s">
        <v>2920</v>
      </c>
      <c r="J5" s="56" t="n">
        <f aca="false">'VALOR POR PL'!F27</f>
        <v>25651081.59</v>
      </c>
      <c r="K5" s="56" t="n">
        <f aca="false">'VALOR POR PL'!G27</f>
        <v>21082.399193</v>
      </c>
      <c r="L5" s="56" t="n">
        <f aca="false">'DADOS HISTORICOS'!$BZ$21</f>
        <v>0</v>
      </c>
      <c r="M5" s="139" t="n">
        <f aca="false">'CP RESUMO'!D21</f>
        <v>0</v>
      </c>
      <c r="N5" s="140" t="n">
        <v>0</v>
      </c>
      <c r="O5" s="139" t="n">
        <f aca="false">IF(B5&lt;='VALOR POR PL'!$P$5,'CP RESUMO'!D63,"")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46" t="n">
        <f aca="false">'AUX.ESTRUTURA'!BE41</f>
        <v>0</v>
      </c>
      <c r="I6" s="42" t="s">
        <v>2921</v>
      </c>
      <c r="K6" s="52" t="n">
        <f aca="false">'VALOR POR PL'!H27</f>
        <v>20961.9611386582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RESUMO'!E21</f>
        <v>0</v>
      </c>
      <c r="N6" s="140" t="n">
        <f aca="false">MAX(0,M6-M5)</f>
        <v>0</v>
      </c>
      <c r="O6" s="139" t="n">
        <f aca="false">IF(B6&lt;='VALOR POR PL'!$P$5,'CP RESUMO'!E63,"")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46" t="n">
        <f aca="false">'AUX.ESTRUTURA'!BF41</f>
        <v>0</v>
      </c>
      <c r="I7" s="42" t="s">
        <v>2922</v>
      </c>
      <c r="J7" s="45" t="n">
        <f aca="false">C78+D78</f>
        <v>27173442.6676606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RESUMO'!F21</f>
        <v>0</v>
      </c>
      <c r="N7" s="140" t="n">
        <f aca="false">MAX(0,M7-M6)</f>
        <v>0</v>
      </c>
      <c r="O7" s="139" t="n">
        <f aca="false">IF(B7&lt;='VALOR POR PL'!$P$5,'CP RESUMO'!F63,"")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46" t="n">
        <f aca="false">'AUX.ESTRUTURA'!BG41</f>
        <v>0</v>
      </c>
      <c r="I8" s="42" t="s">
        <v>2923</v>
      </c>
      <c r="K8" s="66" t="n">
        <f aca="false">SUM(L5:L76)</f>
        <v>3345.3138248171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RESUMO'!G21</f>
        <v>0</v>
      </c>
      <c r="N8" s="140" t="n">
        <f aca="false">MAX(0,M8-M7)</f>
        <v>0</v>
      </c>
      <c r="O8" s="139" t="n">
        <f aca="false">IF(B8&lt;='VALOR POR PL'!$P$5,'CP RESUMO'!G63,"")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46" t="n">
        <f aca="false">'AUX.ESTRUTURA'!BH41</f>
        <v>0</v>
      </c>
      <c r="I9" s="42" t="s">
        <v>2924</v>
      </c>
      <c r="J9" s="45" t="n">
        <f aca="false">C78+D78</f>
        <v>27173442.6676606</v>
      </c>
      <c r="K9" s="45" t="n">
        <f aca="false">E78</f>
        <v>20954.9947517589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RESUMO'!H21</f>
        <v>0</v>
      </c>
      <c r="N9" s="140" t="n">
        <f aca="false">MAX(0,M9-M8)</f>
        <v>0</v>
      </c>
      <c r="O9" s="139" t="n">
        <f aca="false">IF(B9&lt;='VALOR POR PL'!$P$5,'CP RESUMO'!H63,"")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46" t="n">
        <f aca="false">'AUX.ESTRUTURA'!BI41</f>
        <v>0</v>
      </c>
      <c r="I10" s="42" t="s">
        <v>2925</v>
      </c>
      <c r="K10" s="52" t="n">
        <f aca="false">IF(K6-K8&gt;0,(K6-K8)*'VALOR POR PL'!$G$65,K6-K8)</f>
        <v>17609.6809269418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RESUMO'!I21</f>
        <v>0</v>
      </c>
      <c r="N10" s="140" t="n">
        <f aca="false">MAX(0,M10-M9)</f>
        <v>0</v>
      </c>
      <c r="O10" s="139" t="n">
        <f aca="false">IF(B10&lt;='VALOR POR PL'!$P$5,'CP RESUMO'!I63,"")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46" t="n">
        <f aca="false">'AUX.ESTRUTURA'!BJ41</f>
        <v>0</v>
      </c>
      <c r="I11" s="42" t="s">
        <v>2926</v>
      </c>
      <c r="K11" s="56" t="n">
        <f aca="false">SUMPRODUCT((B5:B76&gt;'VALOR POR PL'!$P$5)*H5:H76)</f>
        <v>22121376.3262338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RESUMO'!J21</f>
        <v>0</v>
      </c>
      <c r="N11" s="140" t="n">
        <f aca="false">MAX(0,M11-M10)</f>
        <v>0</v>
      </c>
      <c r="O11" s="139" t="n">
        <f aca="false">IF(B11&lt;='VALOR POR PL'!$P$5,'CP RESUMO'!J63,"")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46" t="n">
        <f aca="false">'AUX.ESTRUTURA'!BK41</f>
        <v>0</v>
      </c>
      <c r="I12" s="42" t="s">
        <v>2927</v>
      </c>
      <c r="K12" s="139" t="n">
        <f aca="false">SUMPRODUCT((B5:B76&gt;'VALOR POR PL'!$P$5)*N5:N76)</f>
        <v>90.25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RESUMO'!K21</f>
        <v>0</v>
      </c>
      <c r="N12" s="140" t="n">
        <f aca="false">MAX(0,M12-M11)</f>
        <v>0</v>
      </c>
      <c r="O12" s="139" t="n">
        <f aca="false">IF(B12&lt;='VALOR POR PL'!$P$5,'CP RESUMO'!K63,"")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46" t="n">
        <f aca="false">'AUX.ESTRUTURA'!BL41</f>
        <v>0</v>
      </c>
      <c r="I13" s="42" t="s">
        <v>2928</v>
      </c>
      <c r="K13" s="56" t="str">
        <f aca="false">'VALOR POR PL'!I27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RESUMO'!L21</f>
        <v>0</v>
      </c>
      <c r="N13" s="140" t="n">
        <f aca="false">MAX(0,M13-M12)</f>
        <v>0</v>
      </c>
      <c r="O13" s="139" t="n">
        <f aca="false">IF(B13&lt;='VALOR POR PL'!$P$5,'CP RESUMO'!L63,"")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46" t="n">
        <f aca="false">'AUX.ESTRUTURA'!BM41</f>
        <v>0</v>
      </c>
      <c r="I14" s="42" t="s">
        <v>2929</v>
      </c>
      <c r="K14" s="58" t="n">
        <f aca="false">IFERROR(INDEX('CP RESUMO'!$D$63:$BW$63,MATCH('VALOR POR PL'!$P$5,'CP RESUMO'!$D$4:$BW$4,0))/100,0)</f>
        <v>0.0807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RESUMO'!M21</f>
        <v>0</v>
      </c>
      <c r="N14" s="140" t="n">
        <f aca="false">MAX(0,M14-M13)</f>
        <v>0</v>
      </c>
      <c r="O14" s="139" t="n">
        <f aca="false">IF(B14&lt;='VALOR POR PL'!$P$5,'CP RESUMO'!M63,"")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46" t="n">
        <f aca="false">'AUX.ESTRUTURA'!BN41</f>
        <v>0</v>
      </c>
      <c r="I15" s="42" t="s">
        <v>2930</v>
      </c>
      <c r="K15" s="67" t="s">
        <v>2941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RESUMO'!N21</f>
        <v>0</v>
      </c>
      <c r="N15" s="140" t="n">
        <f aca="false">MAX(0,M15-M14)</f>
        <v>0</v>
      </c>
      <c r="O15" s="139" t="n">
        <f aca="false">IF(B15&lt;='VALOR POR PL'!$P$5,'CP RESUMO'!N63,"")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46" t="n">
        <f aca="false">'AUX.ESTRUTURA'!BO41</f>
        <v>0</v>
      </c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RESUMO'!O21</f>
        <v>0</v>
      </c>
      <c r="N16" s="140" t="n">
        <f aca="false">MAX(0,M16-M15)</f>
        <v>0</v>
      </c>
      <c r="O16" s="139" t="n">
        <f aca="false">IF(B16&lt;='VALOR POR PL'!$P$5,'CP RESUMO'!O63,"")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46" t="n">
        <f aca="false">'AUX.ESTRUTURA'!BP41</f>
        <v>0</v>
      </c>
      <c r="I17" s="42" t="s">
        <v>2933</v>
      </c>
      <c r="K17" s="45" t="n">
        <f aca="false">SUM(P5:P76)</f>
        <v>22121376.3262338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RESUMO'!P21</f>
        <v>0</v>
      </c>
      <c r="N17" s="140" t="n">
        <f aca="false">MAX(0,M17-M16)</f>
        <v>0</v>
      </c>
      <c r="O17" s="139" t="n">
        <f aca="false">IF(B17&lt;='VALOR POR PL'!$P$5,'CP RESUMO'!P63,"")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46" t="n">
        <f aca="false">'AUX.ESTRUTURA'!BQ41</f>
        <v>0</v>
      </c>
      <c r="I18" s="42" t="s">
        <v>2934</v>
      </c>
      <c r="K18" s="45" t="n">
        <f aca="false">MAX(0,K10)*$K$2</f>
        <v>22837801.4876606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RESUMO'!Q21</f>
        <v>0</v>
      </c>
      <c r="N18" s="140" t="n">
        <f aca="false">MAX(0,M18-M17)</f>
        <v>0</v>
      </c>
      <c r="O18" s="139" t="n">
        <f aca="false">IF(B18&lt;='VALOR POR PL'!$P$5,'CP RESUMO'!Q63,"")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46" t="n">
        <f aca="false">'AUX.ESTRUTURA'!BR41</f>
        <v>0</v>
      </c>
      <c r="I19" s="42" t="s">
        <v>2935</v>
      </c>
      <c r="K19" s="142" t="n">
        <f aca="false">IF(AND(K16="PREVISÃO INFORMADA",K11&gt;0),K18/K11-1,"")</f>
        <v>0.0323861025128533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RESUMO'!R21</f>
        <v>0</v>
      </c>
      <c r="N19" s="140" t="n">
        <f aca="false">MAX(0,M19-M18)</f>
        <v>0</v>
      </c>
      <c r="O19" s="139" t="n">
        <f aca="false">IF(B19&lt;='VALOR POR PL'!$P$5,'CP RESUMO'!R63,"")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46" t="n">
        <f aca="false">'AUX.ESTRUTURA'!BS41</f>
        <v>0</v>
      </c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RESUMO'!S21</f>
        <v>0</v>
      </c>
      <c r="N20" s="140" t="n">
        <f aca="false">MAX(0,M20-M19)</f>
        <v>0</v>
      </c>
      <c r="O20" s="139" t="n">
        <f aca="false">IF(B20&lt;='VALOR POR PL'!$P$5,'CP RESUMO'!S63,"")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46" t="n">
        <f aca="false">'AUX.ESTRUTURA'!BT41</f>
        <v>0</v>
      </c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RESUMO'!T21</f>
        <v>0</v>
      </c>
      <c r="N21" s="140" t="n">
        <f aca="false">MAX(0,M21-M20)</f>
        <v>0</v>
      </c>
      <c r="O21" s="139" t="n">
        <f aca="false">IF(B21&lt;='VALOR POR PL'!$P$5,'CP RESUMO'!T63,"")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HISTORICOS'!U21)</f>
        <v>22233.82</v>
      </c>
      <c r="D22" s="45" t="n">
        <f aca="false">IF(B22&lt;='VALOR POR PL'!$P$5,0,IF($K$17&gt;0,$K$18*P22/$K$17,0))</f>
        <v>0</v>
      </c>
      <c r="E22" s="45" t="n">
        <f aca="false">L22+D22/$K$2</f>
        <v>17.4973695497346</v>
      </c>
      <c r="F22" s="117" t="n">
        <f aca="false">IF($K$9=0,0,E22/$K$9)</f>
        <v>0.000834997562968415</v>
      </c>
      <c r="G22" s="117" t="n">
        <f aca="false">G21+F22</f>
        <v>0.000834997562968415</v>
      </c>
      <c r="H22" s="146" t="n">
        <f aca="false">'AUX.ESTRUTURA'!BU41</f>
        <v>0</v>
      </c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17.4973695497346</v>
      </c>
      <c r="M22" s="139" t="n">
        <f aca="false">'CP RESUMO'!U21</f>
        <v>0</v>
      </c>
      <c r="N22" s="140" t="n">
        <f aca="false">MAX(0,M22-M21)</f>
        <v>0</v>
      </c>
      <c r="O22" s="139" t="n">
        <f aca="false">IF(B22&lt;='VALOR POR PL'!$P$5,'CP RESUMO'!U63,"")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HISTORICOS'!V21)</f>
        <v>49774.54</v>
      </c>
      <c r="D23" s="45" t="n">
        <f aca="false">IF(B23&lt;='VALOR POR PL'!$P$5,0,IF($K$17&gt;0,$K$18*P23/$K$17,0))</f>
        <v>0</v>
      </c>
      <c r="E23" s="45" t="n">
        <f aca="false">L23+D23/$K$2</f>
        <v>38.8668955624566</v>
      </c>
      <c r="F23" s="117" t="n">
        <f aca="false">IF($K$9=0,0,E23/$K$9)</f>
        <v>0.00185477954172211</v>
      </c>
      <c r="G23" s="117" t="n">
        <f aca="false">G22+F23</f>
        <v>0.00268977710469053</v>
      </c>
      <c r="H23" s="146" t="n">
        <f aca="false">'AUX.ESTRUTURA'!BV41</f>
        <v>498754.503596669</v>
      </c>
      <c r="I23" s="3" t="s">
        <v>2938</v>
      </c>
      <c r="L23" s="45" t="n">
        <f aca="false">C23/IF(B23&lt;='VALOR POR PL'!$P$5,IFERROR(INDEX('"INCC-FGV"'!$B$2:$B$800,MATCH(B23,'"INCC-FGV"'!$A$2:$A$800,0)),$K$2),$K$2)</f>
        <v>38.8668955624566</v>
      </c>
      <c r="M23" s="139" t="n">
        <f aca="false">'CP RESUMO'!V21</f>
        <v>0.81</v>
      </c>
      <c r="N23" s="140" t="n">
        <f aca="false">MAX(0,M23-M22)</f>
        <v>0.81</v>
      </c>
      <c r="O23" s="139" t="n">
        <f aca="false">IF(B23&lt;='VALOR POR PL'!$P$5,'CP RESUMO'!V63,"")</f>
        <v>0.7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HISTORICOS'!W21)</f>
        <v>269581.19</v>
      </c>
      <c r="D24" s="45" t="n">
        <f aca="false">IF(B24&lt;='VALOR POR PL'!$P$5,0,IF($K$17&gt;0,$K$18*P24/$K$17,0))</f>
        <v>0</v>
      </c>
      <c r="E24" s="45" t="n">
        <f aca="false">L24+D24/$K$2</f>
        <v>209.23215135308</v>
      </c>
      <c r="F24" s="117" t="n">
        <f aca="false">IF($K$9=0,0,E24/$K$9)</f>
        <v>0.00998483434769257</v>
      </c>
      <c r="G24" s="117" t="n">
        <f aca="false">G23+F24</f>
        <v>0.0126746114523831</v>
      </c>
      <c r="H24" s="146" t="n">
        <f aca="false">'AUX.ESTRUTURA'!BW41</f>
        <v>966336.850718547</v>
      </c>
      <c r="I24" s="144"/>
      <c r="J24" s="144"/>
      <c r="K24" s="144"/>
      <c r="L24" s="45" t="n">
        <f aca="false">C24/IF(B24&lt;='VALOR POR PL'!$P$5,IFERROR(INDEX('"INCC-FGV"'!$B$2:$B$800,MATCH(B24,'"INCC-FGV"'!$A$2:$A$800,0)),$K$2),$K$2)</f>
        <v>209.23215135308</v>
      </c>
      <c r="M24" s="139" t="n">
        <f aca="false">'CP RESUMO'!W21</f>
        <v>2.36</v>
      </c>
      <c r="N24" s="140" t="n">
        <f aca="false">MAX(0,M24-M23)</f>
        <v>1.55</v>
      </c>
      <c r="O24" s="139" t="n">
        <f aca="false">IF(B24&lt;='VALOR POR PL'!$P$5,'CP RESUMO'!W63,"")</f>
        <v>3.16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HISTORICOS'!X21)</f>
        <v>650557.02</v>
      </c>
      <c r="D25" s="45" t="n">
        <f aca="false">IF(B25&lt;='VALOR POR PL'!$P$5,0,IF($K$17&gt;0,$K$18*P25/$K$17,0))</f>
        <v>0</v>
      </c>
      <c r="E25" s="45" t="n">
        <f aca="false">L25+D25/$K$2</f>
        <v>501.628913499922</v>
      </c>
      <c r="F25" s="117" t="n">
        <f aca="false">IF($K$9=0,0,E25/$K$9)</f>
        <v>0.0239383936594791</v>
      </c>
      <c r="G25" s="117" t="n">
        <f aca="false">G24+F25</f>
        <v>0.0366130051118622</v>
      </c>
      <c r="H25" s="146" t="n">
        <f aca="false">'AUX.ESTRUTURA'!BX41</f>
        <v>1511805.20847823</v>
      </c>
      <c r="L25" s="45" t="n">
        <f aca="false">C25/IF(B25&lt;='VALOR POR PL'!$P$5,IFERROR(INDEX('"INCC-FGV"'!$B$2:$B$800,MATCH(B25,'"INCC-FGV"'!$A$2:$A$800,0)),$K$2),$K$2)</f>
        <v>501.628913499922</v>
      </c>
      <c r="M25" s="139" t="n">
        <f aca="false">'CP RESUMO'!X21</f>
        <v>9.75</v>
      </c>
      <c r="N25" s="140" t="n">
        <f aca="false">MAX(0,M25-M24)</f>
        <v>7.39</v>
      </c>
      <c r="O25" s="139" t="n">
        <f aca="false">IF(B25&lt;='VALOR POR PL'!$P$5,'CP RESUMO'!X63,"")</f>
        <v>8.07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HISTORICOS'!Y21)</f>
        <v>1415388.68</v>
      </c>
      <c r="D26" s="45" t="n">
        <f aca="false">IF(B26&lt;='VALOR POR PL'!$P$5,0,IF($K$17&gt;0,$K$18*P26/$K$17,0))</f>
        <v>1584258.52661158</v>
      </c>
      <c r="E26" s="45" t="n">
        <f aca="false">L26+D26/$K$2</f>
        <v>2312.95600981393</v>
      </c>
      <c r="F26" s="117" t="n">
        <f aca="false">IF($K$9=0,0,E26/$K$9)</f>
        <v>0.110377312770255</v>
      </c>
      <c r="G26" s="117" t="n">
        <f aca="false">G25+F26</f>
        <v>0.146990317882117</v>
      </c>
      <c r="H26" s="146" t="n">
        <f aca="false">'AUX.ESTRUTURA'!BY41</f>
        <v>1534560.10571574</v>
      </c>
      <c r="L26" s="45" t="n">
        <f aca="false">C26/IF(B26&lt;='VALOR POR PL'!$P$5,IFERROR(INDEX('"INCC-FGV"'!$B$2:$B$800,MATCH(B26,'"INCC-FGV"'!$A$2:$A$800,0)),$K$2),$K$2)</f>
        <v>1091.37226084885</v>
      </c>
      <c r="M26" s="139" t="n">
        <f aca="false">'CP RESUMO'!Y21</f>
        <v>14.82</v>
      </c>
      <c r="N26" s="140" t="n">
        <f aca="false">MAX(0,M26-M25)</f>
        <v>5.07</v>
      </c>
      <c r="O26" s="139" t="str">
        <f aca="false">IF(B26&lt;='VALOR POR PL'!$P$5,'CP RESUMO'!Y63,"")</f>
        <v/>
      </c>
      <c r="P26" s="66" t="n">
        <f aca="false">IF(B26&lt;='VALOR POR PL'!$P$5,0,IF(OR($K$16="CURVA PREVISION",$K$16="MDO PREVISION + MATERIAL PREMISSA"),N26,IF($K$16="PREVISÃO INFORMADA",MAX(0,H26),0)))</f>
        <v>1534560.10571574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HISTORICOS'!Z21)</f>
        <v>1153768.07</v>
      </c>
      <c r="D27" s="45" t="n">
        <f aca="false">IF(B27&lt;='VALOR POR PL'!$P$5,0,IF($K$17&gt;0,$K$18*P27/$K$17,0))</f>
        <v>1776741.24845518</v>
      </c>
      <c r="E27" s="45" t="n">
        <f aca="false">L27+D27/$K$2</f>
        <v>2259.64544263632</v>
      </c>
      <c r="F27" s="117" t="n">
        <f aca="false">IF($K$9=0,0,E27/$K$9)</f>
        <v>0.107833262160405</v>
      </c>
      <c r="G27" s="117" t="n">
        <f aca="false">G26+F27</f>
        <v>0.254823580042522</v>
      </c>
      <c r="H27" s="146" t="n">
        <f aca="false">'AUX.ESTRUTURA'!BZ41</f>
        <v>1721004.61651948</v>
      </c>
      <c r="L27" s="45" t="n">
        <f aca="false">C27/IF(B27&lt;='VALOR POR PL'!$P$5,IFERROR(INDEX('"INCC-FGV"'!$B$2:$B$800,MATCH(B27,'"INCC-FGV"'!$A$2:$A$800,0)),$K$2),$K$2)</f>
        <v>889.642883855133</v>
      </c>
      <c r="M27" s="139" t="n">
        <f aca="false">'CP RESUMO'!Z21</f>
        <v>20.19</v>
      </c>
      <c r="N27" s="140" t="n">
        <f aca="false">MAX(0,M27-M26)</f>
        <v>5.37</v>
      </c>
      <c r="O27" s="139" t="str">
        <f aca="false">IF(B27&lt;='VALOR POR PL'!$P$5,'CP RESUMO'!Z63,"")</f>
        <v/>
      </c>
      <c r="P27" s="66" t="n">
        <f aca="false">IF(B27&lt;='VALOR POR PL'!$P$5,0,IF(OR($K$16="CURVA PREVISION",$K$16="MDO PREVISION + MATERIAL PREMISSA"),N27,IF($K$16="PREVISÃO INFORMADA",MAX(0,H27),0)))</f>
        <v>1721004.61651948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HISTORICOS'!AA21)</f>
        <v>184443.09</v>
      </c>
      <c r="D28" s="45" t="n">
        <f aca="false">IF(B28&lt;='VALOR POR PL'!$P$5,0,IF($K$17&gt;0,$K$18*P28/$K$17,0))</f>
        <v>1659837.21666312</v>
      </c>
      <c r="E28" s="45" t="n">
        <f aca="false">L28+D28/$K$2</f>
        <v>1422.08030653597</v>
      </c>
      <c r="F28" s="117" t="n">
        <f aca="false">IF($K$9=0,0,E28/$K$9)</f>
        <v>0.0678635486852891</v>
      </c>
      <c r="G28" s="117" t="n">
        <f aca="false">G27+F28</f>
        <v>0.322687128727811</v>
      </c>
      <c r="H28" s="146" t="n">
        <f aca="false">'AUX.ESTRUTURA'!CA41</f>
        <v>1607767.88124427</v>
      </c>
      <c r="L28" s="45" t="n">
        <f aca="false">C28/IF(B28&lt;='VALOR POR PL'!$P$5,IFERROR(INDEX('"INCC-FGV"'!$B$2:$B$800,MATCH(B28,'"INCC-FGV"'!$A$2:$A$800,0)),$K$2),$K$2)</f>
        <v>142.219642544582</v>
      </c>
      <c r="M28" s="139" t="n">
        <f aca="false">'CP RESUMO'!AA21</f>
        <v>25.29</v>
      </c>
      <c r="N28" s="140" t="n">
        <f aca="false">MAX(0,M28-M27)</f>
        <v>5.1</v>
      </c>
      <c r="O28" s="139" t="str">
        <f aca="false">IF(B28&lt;='VALOR POR PL'!$P$5,'CP RESUMO'!AA63,"")</f>
        <v/>
      </c>
      <c r="P28" s="66" t="n">
        <f aca="false">IF(B28&lt;='VALOR POR PL'!$P$5,0,IF(OR($K$16="CURVA PREVISION",$K$16="MDO PREVISION + MATERIAL PREMISSA"),N28,IF($K$16="PREVISÃO INFORMADA",MAX(0,H28),0)))</f>
        <v>1607767.88124427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HISTORICOS'!AB21)</f>
        <v>23141.5</v>
      </c>
      <c r="D29" s="45" t="n">
        <f aca="false">IF(B29&lt;='VALOR POR PL'!$P$5,0,IF($K$17&gt;0,$K$18*P29/$K$17,0))</f>
        <v>1271354.76429777</v>
      </c>
      <c r="E29" s="45" t="n">
        <f aca="false">L29+D29/$K$2</f>
        <v>998.155018893502</v>
      </c>
      <c r="F29" s="117" t="n">
        <f aca="false">IF($K$9=0,0,E29/$K$9)</f>
        <v>0.0476332745828877</v>
      </c>
      <c r="G29" s="117" t="n">
        <f aca="false">G28+F29</f>
        <v>0.370320403310698</v>
      </c>
      <c r="H29" s="146" t="n">
        <f aca="false">'AUX.ESTRUTURA'!CB41</f>
        <v>1231472.18003348</v>
      </c>
      <c r="L29" s="45" t="n">
        <f aca="false">C29/IF(B29&lt;='VALOR POR PL'!$P$5,IFERROR(INDEX('"INCC-FGV"'!$B$2:$B$800,MATCH(B29,'"INCC-FGV"'!$A$2:$A$800,0)),$K$2),$K$2)</f>
        <v>17.8438555651255</v>
      </c>
      <c r="M29" s="139" t="n">
        <f aca="false">'CP RESUMO'!AB21</f>
        <v>29.8</v>
      </c>
      <c r="N29" s="140" t="n">
        <f aca="false">MAX(0,M29-M28)</f>
        <v>4.51</v>
      </c>
      <c r="O29" s="139" t="str">
        <f aca="false">IF(B29&lt;='VALOR POR PL'!$P$5,'CP RESUMO'!AB63,"")</f>
        <v/>
      </c>
      <c r="P29" s="66" t="n">
        <f aca="false">IF(B29&lt;='VALOR POR PL'!$P$5,0,IF(OR($K$16="CURVA PREVISION",$K$16="MDO PREVISION + MATERIAL PREMISSA"),N29,IF($K$16="PREVISÃO INFORMADA",MAX(0,H29),0)))</f>
        <v>1231472.18003348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HISTORICOS'!AC21)</f>
        <v>529800</v>
      </c>
      <c r="D30" s="45" t="n">
        <f aca="false">IF(B30&lt;='VALOR POR PL'!$P$5,0,IF($K$17&gt;0,$K$18*P30/$K$17,0))</f>
        <v>2044729.71286914</v>
      </c>
      <c r="E30" s="45" t="n">
        <f aca="false">L30+D30/$K$2</f>
        <v>1985.1581074935</v>
      </c>
      <c r="F30" s="117" t="n">
        <f aca="false">IF($K$9=0,0,E30/$K$9)</f>
        <v>0.0947343643370214</v>
      </c>
      <c r="G30" s="117" t="n">
        <f aca="false">G29+F30</f>
        <v>0.46505476764772</v>
      </c>
      <c r="H30" s="146" t="n">
        <f aca="false">'AUX.ESTRUTURA'!CC41</f>
        <v>1980586.2437437</v>
      </c>
      <c r="L30" s="45" t="n">
        <f aca="false">C30/IF(B30&lt;='VALOR POR PL'!$P$5,IFERROR(INDEX('"INCC-FGV"'!$B$2:$B$800,MATCH(B30,'"INCC-FGV"'!$A$2:$A$800,0)),$K$2),$K$2)</f>
        <v>408.516071922886</v>
      </c>
      <c r="M30" s="139" t="n">
        <f aca="false">'CP RESUMO'!AC21</f>
        <v>36.05</v>
      </c>
      <c r="N30" s="140" t="n">
        <f aca="false">MAX(0,M30-M29)</f>
        <v>6.25</v>
      </c>
      <c r="O30" s="139" t="str">
        <f aca="false">IF(B30&lt;='VALOR POR PL'!$P$5,'CP RESUMO'!AC63,"")</f>
        <v/>
      </c>
      <c r="P30" s="66" t="n">
        <f aca="false">IF(B30&lt;='VALOR POR PL'!$P$5,0,IF(OR($K$16="CURVA PREVISION",$K$16="MDO PREVISION + MATERIAL PREMISSA"),N30,IF($K$16="PREVISÃO INFORMADA",MAX(0,H30),0)))</f>
        <v>1980586.2437437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HISTORICOS'!AD21)</f>
        <v>0</v>
      </c>
      <c r="D31" s="45" t="n">
        <f aca="false">IF(B31&lt;='VALOR POR PL'!$P$5,0,IF($K$17&gt;0,$K$18*P31/$K$17,0))</f>
        <v>1202730.72711026</v>
      </c>
      <c r="E31" s="45" t="n">
        <f aca="false">L31+D31/$K$2</f>
        <v>927.396814307361</v>
      </c>
      <c r="F31" s="117" t="n">
        <f aca="false">IF($K$9=0,0,E31/$K$9)</f>
        <v>0.0442565996934701</v>
      </c>
      <c r="G31" s="117" t="n">
        <f aca="false">G30+F31</f>
        <v>0.50931136734119</v>
      </c>
      <c r="H31" s="146" t="n">
        <f aca="false">'AUX.ESTRUTURA'!CD41</f>
        <v>1165000.88889494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RESUMO'!AD21</f>
        <v>40.96</v>
      </c>
      <c r="N31" s="140" t="n">
        <f aca="false">MAX(0,M31-M30)</f>
        <v>4.91</v>
      </c>
      <c r="O31" s="139" t="str">
        <f aca="false">IF(B31&lt;='VALOR POR PL'!$P$5,'CP RESUMO'!AD63,"")</f>
        <v/>
      </c>
      <c r="P31" s="66" t="n">
        <f aca="false">IF(B31&lt;='VALOR POR PL'!$P$5,0,IF(OR($K$16="CURVA PREVISION",$K$16="MDO PREVISION + MATERIAL PREMISSA"),N31,IF($K$16="PREVISÃO INFORMADA",MAX(0,H31),0)))</f>
        <v>1165000.88889494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HISTORICOS'!AE21)</f>
        <v>8355.27</v>
      </c>
      <c r="D32" s="45" t="n">
        <f aca="false">IF(B32&lt;='VALOR POR PL'!$P$5,0,IF($K$17&gt;0,$K$18*P32/$K$17,0))</f>
        <v>1314379.17386973</v>
      </c>
      <c r="E32" s="45" t="n">
        <f aca="false">L32+D32/$K$2</f>
        <v>1019.92880182478</v>
      </c>
      <c r="F32" s="117" t="n">
        <f aca="false">IF($K$9=0,0,E32/$K$9)</f>
        <v>0.0486723482352181</v>
      </c>
      <c r="G32" s="117" t="n">
        <f aca="false">G31+F32</f>
        <v>0.557983715576408</v>
      </c>
      <c r="H32" s="146" t="n">
        <f aca="false">'AUX.ESTRUTURA'!CE41</f>
        <v>1273146.90760608</v>
      </c>
      <c r="L32" s="45" t="n">
        <f aca="false">C32/IF(B32&lt;='VALOR POR PL'!$P$5,IFERROR(INDEX('"INCC-FGV"'!$B$2:$B$800,MATCH(B32,'"INCC-FGV"'!$A$2:$A$800,0)),$K$2),$K$2)</f>
        <v>6.44254828285227</v>
      </c>
      <c r="M32" s="139" t="n">
        <f aca="false">'CP RESUMO'!AE21</f>
        <v>46.13</v>
      </c>
      <c r="N32" s="140" t="n">
        <f aca="false">MAX(0,M32-M31)</f>
        <v>5.17</v>
      </c>
      <c r="O32" s="139" t="str">
        <f aca="false">IF(B32&lt;='VALOR POR PL'!$P$5,'CP RESUMO'!AE63,"")</f>
        <v/>
      </c>
      <c r="P32" s="66" t="n">
        <f aca="false">IF(B32&lt;='VALOR POR PL'!$P$5,0,IF(OR($K$16="CURVA PREVISION",$K$16="MDO PREVISION + MATERIAL PREMISSA"),N32,IF($K$16="PREVISÃO INFORMADA",MAX(0,H32),0)))</f>
        <v>1273146.90760608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HISTORICOS'!AF21)</f>
        <v>0</v>
      </c>
      <c r="D33" s="45" t="n">
        <f aca="false">IF(B33&lt;='VALOR POR PL'!$P$5,0,IF($K$17&gt;0,$K$18*P33/$K$17,0))</f>
        <v>1408373.9481276</v>
      </c>
      <c r="E33" s="45" t="n">
        <f aca="false">L33+D33/$K$2</f>
        <v>1085.9633693613</v>
      </c>
      <c r="F33" s="117" t="n">
        <f aca="false">IF($K$9=0,0,E33/$K$9)</f>
        <v>0.0518236049317141</v>
      </c>
      <c r="G33" s="117" t="n">
        <f aca="false">G32+F33</f>
        <v>0.609807320508122</v>
      </c>
      <c r="H33" s="146" t="n">
        <f aca="false">'AUX.ESTRUTURA'!CF41</f>
        <v>1364193.05209513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RESUMO'!AF21</f>
        <v>52.15</v>
      </c>
      <c r="N33" s="140" t="n">
        <f aca="false">MAX(0,M33-M32)</f>
        <v>6.02</v>
      </c>
      <c r="O33" s="139" t="str">
        <f aca="false">IF(B33&lt;='VALOR POR PL'!$P$5,'CP RESUMO'!AF63,"")</f>
        <v/>
      </c>
      <c r="P33" s="66" t="n">
        <f aca="false">IF(B33&lt;='VALOR POR PL'!$P$5,0,IF(OR($K$16="CURVA PREVISION",$K$16="MDO PREVISION + MATERIAL PREMISSA"),N33,IF($K$16="PREVISÃO INFORMADA",MAX(0,H33),0)))</f>
        <v>1364193.05209513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HISTORICOS'!AG21)</f>
        <v>0</v>
      </c>
      <c r="D34" s="45" t="n">
        <f aca="false">IF(B34&lt;='VALOR POR PL'!$P$5,0,IF($K$17&gt;0,$K$18*P34/$K$17,0))</f>
        <v>1466658.09649004</v>
      </c>
      <c r="E34" s="45" t="n">
        <f aca="false">L34+D34/$K$2</f>
        <v>1130.90487812761</v>
      </c>
      <c r="F34" s="117" t="n">
        <f aca="false">IF($K$9=0,0,E34/$K$9)</f>
        <v>0.0539682730310723</v>
      </c>
      <c r="G34" s="117" t="n">
        <f aca="false">G33+F34</f>
        <v>0.663775593539195</v>
      </c>
      <c r="H34" s="146" t="n">
        <f aca="false">'AUX.ESTRUTURA'!CG41</f>
        <v>1420648.81822814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RESUMO'!AG21</f>
        <v>58.09</v>
      </c>
      <c r="N34" s="140" t="n">
        <f aca="false">MAX(0,M34-M33)</f>
        <v>5.94000000000001</v>
      </c>
      <c r="O34" s="139" t="str">
        <f aca="false">IF(B34&lt;='VALOR POR PL'!$P$5,'CP RESUMO'!AG63,"")</f>
        <v/>
      </c>
      <c r="P34" s="66" t="n">
        <f aca="false">IF(B34&lt;='VALOR POR PL'!$P$5,0,IF(OR($K$16="CURVA PREVISION",$K$16="MDO PREVISION + MATERIAL PREMISSA"),N34,IF($K$16="PREVISÃO INFORMADA",MAX(0,H34),0)))</f>
        <v>1420648.81822814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HISTORICOS'!AH21)</f>
        <v>0</v>
      </c>
      <c r="D35" s="45" t="n">
        <f aca="false">IF(B35&lt;='VALOR POR PL'!$P$5,0,IF($K$17&gt;0,$K$18*P35/$K$17,0))</f>
        <v>1343077.96957538</v>
      </c>
      <c r="E35" s="45" t="n">
        <f aca="false">L35+D35/$K$2</f>
        <v>1035.61520652529</v>
      </c>
      <c r="F35" s="117" t="n">
        <f aca="false">IF($K$9=0,0,E35/$K$9)</f>
        <v>0.0494209241659852</v>
      </c>
      <c r="G35" s="117" t="n">
        <f aca="false">G34+F35</f>
        <v>0.71319651770518</v>
      </c>
      <c r="H35" s="146" t="n">
        <f aca="false">'AUX.ESTRUTURA'!CH41</f>
        <v>1300945.41790741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RESUMO'!AH21</f>
        <v>64.66</v>
      </c>
      <c r="N35" s="140" t="n">
        <f aca="false">MAX(0,M35-M34)</f>
        <v>6.56999999999999</v>
      </c>
      <c r="O35" s="139" t="str">
        <f aca="false">IF(B35&lt;='VALOR POR PL'!$P$5,'CP RESUMO'!AH63,"")</f>
        <v/>
      </c>
      <c r="P35" s="66" t="n">
        <f aca="false">IF(B35&lt;='VALOR POR PL'!$P$5,0,IF(OR($K$16="CURVA PREVISION",$K$16="MDO PREVISION + MATERIAL PREMISSA"),N35,IF($K$16="PREVISÃO INFORMADA",MAX(0,H35),0)))</f>
        <v>1300945.41790741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HISTORICOS'!AI21)</f>
        <v>0</v>
      </c>
      <c r="D36" s="45" t="n">
        <f aca="false">IF(B36&lt;='VALOR POR PL'!$P$5,0,IF($K$17&gt;0,$K$18*P36/$K$17,0))</f>
        <v>1414866.55187003</v>
      </c>
      <c r="E36" s="45" t="n">
        <f aca="false">L36+D36/$K$2</f>
        <v>1090.96966037188</v>
      </c>
      <c r="F36" s="117" t="n">
        <f aca="false">IF($K$9=0,0,E36/$K$9)</f>
        <v>0.0520625117446193</v>
      </c>
      <c r="G36" s="117" t="n">
        <f aca="false">G35+F36</f>
        <v>0.765259029449799</v>
      </c>
      <c r="H36" s="146" t="n">
        <f aca="false">'AUX.ESTRUTURA'!CI41</f>
        <v>1370481.98191182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RESUMO'!AI21</f>
        <v>70.45</v>
      </c>
      <c r="N36" s="140" t="n">
        <f aca="false">MAX(0,M36-M35)</f>
        <v>5.79000000000001</v>
      </c>
      <c r="O36" s="139" t="str">
        <f aca="false">IF(B36&lt;='VALOR POR PL'!$P$5,'CP RESUMO'!AI63,"")</f>
        <v/>
      </c>
      <c r="P36" s="66" t="n">
        <f aca="false">IF(B36&lt;='VALOR POR PL'!$P$5,0,IF(OR($K$16="CURVA PREVISION",$K$16="MDO PREVISION + MATERIAL PREMISSA"),N36,IF($K$16="PREVISÃO INFORMADA",MAX(0,H36),0)))</f>
        <v>1370481.98191182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HISTORICOS'!AJ21)</f>
        <v>0</v>
      </c>
      <c r="D37" s="45" t="n">
        <f aca="false">IF(B37&lt;='VALOR POR PL'!$P$5,0,IF($K$17&gt;0,$K$18*P37/$K$17,0))</f>
        <v>1391313.33495964</v>
      </c>
      <c r="E37" s="45" t="n">
        <f aca="false">L37+D37/$K$2</f>
        <v>1072.80833977283</v>
      </c>
      <c r="F37" s="117" t="n">
        <f aca="false">IF($K$9=0,0,E37/$K$9)</f>
        <v>0.0511958295614834</v>
      </c>
      <c r="G37" s="117" t="n">
        <f aca="false">G36+F37</f>
        <v>0.816454859011282</v>
      </c>
      <c r="H37" s="146" t="n">
        <f aca="false">'AUX.ESTRUTURA'!CJ41</f>
        <v>1347667.63284894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RESUMO'!AJ21</f>
        <v>76.94</v>
      </c>
      <c r="N37" s="140" t="n">
        <f aca="false">MAX(0,M37-M36)</f>
        <v>6.49</v>
      </c>
      <c r="O37" s="139" t="str">
        <f aca="false">IF(B37&lt;='VALOR POR PL'!$P$5,'CP RESUMO'!AJ63,"")</f>
        <v/>
      </c>
      <c r="P37" s="66" t="n">
        <f aca="false">IF(B37&lt;='VALOR POR PL'!$P$5,0,IF(OR($K$16="CURVA PREVISION",$K$16="MDO PREVISION + MATERIAL PREMISSA"),N37,IF($K$16="PREVISÃO INFORMADA",MAX(0,H37),0)))</f>
        <v>1347667.63284894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HISTORICOS'!AK21)</f>
        <v>0</v>
      </c>
      <c r="D38" s="45" t="n">
        <f aca="false">IF(B38&lt;='VALOR POR PL'!$P$5,0,IF($K$17&gt;0,$K$18*P38/$K$17,0))</f>
        <v>1203145.95040639</v>
      </c>
      <c r="E38" s="45" t="n">
        <f aca="false">L38+D38/$K$2</f>
        <v>927.716983031229</v>
      </c>
      <c r="F38" s="117" t="n">
        <f aca="false">IF($K$9=0,0,E38/$K$9)</f>
        <v>0.0442718785674408</v>
      </c>
      <c r="G38" s="117" t="n">
        <f aca="false">G37+F38</f>
        <v>0.860726737578723</v>
      </c>
      <c r="H38" s="146" t="n">
        <f aca="false">'AUX.ESTRUTURA'!CK41</f>
        <v>1165403.08657575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RESUMO'!AK21</f>
        <v>82.63</v>
      </c>
      <c r="N38" s="140" t="n">
        <f aca="false">MAX(0,M38-M37)</f>
        <v>5.69</v>
      </c>
      <c r="O38" s="139" t="str">
        <f aca="false">IF(B38&lt;='VALOR POR PL'!$P$5,'CP RESUMO'!AK63,"")</f>
        <v/>
      </c>
      <c r="P38" s="66" t="n">
        <f aca="false">IF(B38&lt;='VALOR POR PL'!$P$5,0,IF(OR($K$16="CURVA PREVISION",$K$16="MDO PREVISION + MATERIAL PREMISSA"),N38,IF($K$16="PREVISÃO INFORMADA",MAX(0,H38),0)))</f>
        <v>1165403.08657575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HISTORICOS'!AL21)</f>
        <v>0</v>
      </c>
      <c r="D39" s="45" t="n">
        <f aca="false">IF(B39&lt;='VALOR POR PL'!$P$5,0,IF($K$17&gt;0,$K$18*P39/$K$17,0))</f>
        <v>1215567.10733417</v>
      </c>
      <c r="E39" s="45" t="n">
        <f aca="false">L39+D39/$K$2</f>
        <v>937.294639197471</v>
      </c>
      <c r="F39" s="117" t="n">
        <f aca="false">IF($K$9=0,0,E39/$K$9)</f>
        <v>0.0447289369575622</v>
      </c>
      <c r="G39" s="117" t="n">
        <f aca="false">G38+F39</f>
        <v>0.905455674536285</v>
      </c>
      <c r="H39" s="146" t="n">
        <f aca="false">'AUX.ESTRUTURA'!CL41</f>
        <v>1177434.59000024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RESUMO'!AL21</f>
        <v>88.36</v>
      </c>
      <c r="N39" s="140" t="n">
        <f aca="false">MAX(0,M39-M38)</f>
        <v>5.73</v>
      </c>
      <c r="O39" s="139" t="str">
        <f aca="false">IF(B39&lt;='VALOR POR PL'!$P$5,'CP RESUMO'!AL63,"")</f>
        <v/>
      </c>
      <c r="P39" s="66" t="n">
        <f aca="false">IF(B39&lt;='VALOR POR PL'!$P$5,0,IF(OR($K$16="CURVA PREVISION",$K$16="MDO PREVISION + MATERIAL PREMISSA"),N39,IF($K$16="PREVISÃO INFORMADA",MAX(0,H39),0)))</f>
        <v>1177434.59000024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HISTORICOS'!AM21)</f>
        <v>0</v>
      </c>
      <c r="D40" s="45" t="n">
        <f aca="false">IF(B40&lt;='VALOR POR PL'!$P$5,0,IF($K$17&gt;0,$K$18*P40/$K$17,0))</f>
        <v>1106908.10031764</v>
      </c>
      <c r="E40" s="45" t="n">
        <f aca="false">L40+D40/$K$2</f>
        <v>853.510285242328</v>
      </c>
      <c r="F40" s="117" t="n">
        <f aca="false">IF($K$9=0,0,E40/$K$9)</f>
        <v>0.0407306370320464</v>
      </c>
      <c r="G40" s="117" t="n">
        <f aca="false">G39+F40</f>
        <v>0.946186311568332</v>
      </c>
      <c r="H40" s="146" t="n">
        <f aca="false">'AUX.ESTRUTURA'!CM41</f>
        <v>1072184.23187158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RESUMO'!AM21</f>
        <v>93.31</v>
      </c>
      <c r="N40" s="140" t="n">
        <f aca="false">MAX(0,M40-M39)</f>
        <v>4.95</v>
      </c>
      <c r="O40" s="139" t="str">
        <f aca="false">IF(B40&lt;='VALOR POR PL'!$P$5,'CP RESUMO'!AM63,"")</f>
        <v/>
      </c>
      <c r="P40" s="66" t="n">
        <f aca="false">IF(B40&lt;='VALOR POR PL'!$P$5,0,IF(OR($K$16="CURVA PREVISION",$K$16="MDO PREVISION + MATERIAL PREMISSA"),N40,IF($K$16="PREVISÃO INFORMADA",MAX(0,H40),0)))</f>
        <v>1072184.23187158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HISTORICOS'!AN21)</f>
        <v>0</v>
      </c>
      <c r="D41" s="45" t="n">
        <f aca="false">IF(B41&lt;='VALOR POR PL'!$P$5,0,IF($K$17&gt;0,$K$18*P41/$K$17,0))</f>
        <v>755902.494877336</v>
      </c>
      <c r="E41" s="45" t="n">
        <f aca="false">L41+D41/$K$2</f>
        <v>582.858282302754</v>
      </c>
      <c r="F41" s="117" t="n">
        <f aca="false">IF($K$9=0,0,E41/$K$9)</f>
        <v>0.0278147663221834</v>
      </c>
      <c r="G41" s="117" t="n">
        <f aca="false">G40+F41</f>
        <v>0.974001077890515</v>
      </c>
      <c r="H41" s="146" t="n">
        <f aca="false">'AUX.ESTRUTURA'!CN41</f>
        <v>732189.723435302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RESUMO'!AN21</f>
        <v>96.62</v>
      </c>
      <c r="N41" s="140" t="n">
        <f aca="false">MAX(0,M41-M40)</f>
        <v>3.31</v>
      </c>
      <c r="O41" s="139" t="str">
        <f aca="false">IF(B41&lt;='VALOR POR PL'!$P$5,'CP RESUMO'!AN63,"")</f>
        <v/>
      </c>
      <c r="P41" s="66" t="n">
        <f aca="false">IF(B41&lt;='VALOR POR PL'!$P$5,0,IF(OR($K$16="CURVA PREVISION",$K$16="MDO PREVISION + MATERIAL PREMISSA"),N41,IF($K$16="PREVISÃO INFORMADA",MAX(0,H41),0)))</f>
        <v>732189.723435302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HISTORICOS'!AO21)</f>
        <v>0</v>
      </c>
      <c r="D42" s="45" t="n">
        <f aca="false">IF(B42&lt;='VALOR POR PL'!$P$5,0,IF($K$17&gt;0,$K$18*P42/$K$17,0))</f>
        <v>464085.887258874</v>
      </c>
      <c r="E42" s="45" t="n">
        <f aca="false">L42+D42/$K$2</f>
        <v>357.845495843417</v>
      </c>
      <c r="F42" s="117" t="n">
        <f aca="false">IF($K$9=0,0,E42/$K$9)</f>
        <v>0.0170768592444234</v>
      </c>
      <c r="G42" s="117" t="n">
        <f aca="false">G41+F42</f>
        <v>0.991077937134938</v>
      </c>
      <c r="H42" s="146" t="n">
        <f aca="false">'AUX.ESTRUTURA'!CO41</f>
        <v>449527.44533201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RESUMO'!AO21</f>
        <v>99.08</v>
      </c>
      <c r="N42" s="140" t="n">
        <f aca="false">MAX(0,M42-M41)</f>
        <v>2.45999999999999</v>
      </c>
      <c r="O42" s="139" t="str">
        <f aca="false">IF(B42&lt;='VALOR POR PL'!$P$5,'CP RESUMO'!AO63,"")</f>
        <v/>
      </c>
      <c r="P42" s="66" t="n">
        <f aca="false">IF(B42&lt;='VALOR POR PL'!$P$5,0,IF(OR($K$16="CURVA PREVISION",$K$16="MDO PREVISION + MATERIAL PREMISSA"),N42,IF($K$16="PREVISÃO INFORMADA",MAX(0,H42),0)))</f>
        <v>449527.44533201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HISTORICOS'!AP21)</f>
        <v>0</v>
      </c>
      <c r="D43" s="45" t="n">
        <f aca="false">IF(B43&lt;='VALOR POR PL'!$P$5,0,IF($K$17&gt;0,$K$18*P43/$K$17,0))</f>
        <v>213870.676566724</v>
      </c>
      <c r="E43" s="45" t="n">
        <f aca="false">L43+D43/$K$2</f>
        <v>164.910548679743</v>
      </c>
      <c r="F43" s="117" t="n">
        <f aca="false">IF($K$9=0,0,E43/$K$9)</f>
        <v>0.00786974898506722</v>
      </c>
      <c r="G43" s="117" t="n">
        <f aca="false">G42+F43</f>
        <v>0.998947686120006</v>
      </c>
      <c r="H43" s="146" t="n">
        <f aca="false">'AUX.ESTRUTURA'!CP41</f>
        <v>207161.522269776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RESUMO'!AP21</f>
        <v>100</v>
      </c>
      <c r="N43" s="140" t="n">
        <f aca="false">MAX(0,M43-M42)</f>
        <v>0.920000000000002</v>
      </c>
      <c r="O43" s="139" t="str">
        <f aca="false">IF(B43&lt;='VALOR POR PL'!$P$5,'CP RESUMO'!AP63,"")</f>
        <v/>
      </c>
      <c r="P43" s="66" t="n">
        <f aca="false">IF(B43&lt;='VALOR POR PL'!$P$5,0,IF(OR($K$16="CURVA PREVISION",$K$16="MDO PREVISION + MATERIAL PREMISSA"),N43,IF($K$16="PREVISÃO INFORMADA",MAX(0,H43),0)))</f>
        <v>207161.522269776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HISTORICOS'!AQ21)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0.998947686120006</v>
      </c>
      <c r="H44" s="146" t="n">
        <f aca="false">'AUX.ESTRUTURA'!CQ41</f>
        <v>0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RESUMO'!AQ21</f>
        <v>100</v>
      </c>
      <c r="N44" s="140" t="n">
        <f aca="false">MAX(0,M44-M43)</f>
        <v>0</v>
      </c>
      <c r="O44" s="139" t="str">
        <f aca="false">IF(B44&lt;='VALOR POR PL'!$P$5,'CP RESUMO'!AQ63,"")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HISTORICOS'!AR21)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0.998947686120006</v>
      </c>
      <c r="H45" s="146" t="n">
        <f aca="false">'AUX.ESTRUTURA'!CR41</f>
        <v>0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RESUMO'!AR21</f>
        <v>100</v>
      </c>
      <c r="N45" s="140" t="n">
        <f aca="false">MAX(0,M45-M44)</f>
        <v>0</v>
      </c>
      <c r="O45" s="139" t="str">
        <f aca="false">IF(B45&lt;='VALOR POR PL'!$P$5,'CP RESUMO'!AR63,"")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HISTORICOS'!AS21)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0.998947686120006</v>
      </c>
      <c r="H46" s="146" t="n">
        <f aca="false">'AUX.ESTRUTURA'!CS41</f>
        <v>0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RESUMO'!AS21</f>
        <v>100</v>
      </c>
      <c r="N46" s="140" t="n">
        <f aca="false">MAX(0,M46-M45)</f>
        <v>0</v>
      </c>
      <c r="O46" s="139" t="str">
        <f aca="false">IF(B46&lt;='VALOR POR PL'!$P$5,'CP RESUMO'!AS63,"")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HISTORICOS'!AT21)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0.998947686120006</v>
      </c>
      <c r="H47" s="146" t="n">
        <f aca="false">'AUX.ESTRUTURA'!CT41</f>
        <v>0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RESUMO'!AT21</f>
        <v>100</v>
      </c>
      <c r="N47" s="140" t="n">
        <f aca="false">MAX(0,M47-M46)</f>
        <v>0</v>
      </c>
      <c r="O47" s="139" t="str">
        <f aca="false">IF(B47&lt;='VALOR POR PL'!$P$5,'CP RESUMO'!AT63,"")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HISTORICOS'!AU21)</f>
        <v>23975.79</v>
      </c>
      <c r="D48" s="45" t="n">
        <f aca="false">IF(B48&lt;='VALOR POR PL'!$P$5,0,IF($K$17&gt;0,$K$18*P48/$K$17,0))</f>
        <v>0</v>
      </c>
      <c r="E48" s="45" t="n">
        <f aca="false">L48+D48/$K$2</f>
        <v>18.4871565723821</v>
      </c>
      <c r="F48" s="117" t="n">
        <f aca="false">IF($K$9=0,0,E48/$K$9)</f>
        <v>0.000882231505728739</v>
      </c>
      <c r="G48" s="117" t="n">
        <f aca="false">G47+F48</f>
        <v>0.999829917625734</v>
      </c>
      <c r="H48" s="146" t="n">
        <f aca="false">'AUX.ESTRUTURA'!CU41</f>
        <v>0</v>
      </c>
      <c r="L48" s="45" t="n">
        <f aca="false">C48/IF(B48&lt;='VALOR POR PL'!$P$5,IFERROR(INDEX('"INCC-FGV"'!$B$2:$B$800,MATCH(B48,'"INCC-FGV"'!$A$2:$A$800,0)),$K$2),$K$2)</f>
        <v>18.4871565723821</v>
      </c>
      <c r="M48" s="139" t="n">
        <f aca="false">'CP RESUMO'!AU21</f>
        <v>100</v>
      </c>
      <c r="N48" s="140" t="n">
        <f aca="false">MAX(0,M48-M47)</f>
        <v>0</v>
      </c>
      <c r="O48" s="139" t="str">
        <f aca="false">IF(B48&lt;='VALOR POR PL'!$P$5,'CP RESUMO'!AU63,"")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HISTORICOS'!AV21)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0.999829917625734</v>
      </c>
      <c r="H49" s="146" t="n">
        <f aca="false">'AUX.ESTRUTURA'!CV41</f>
        <v>0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RESUMO'!AV21</f>
        <v>100</v>
      </c>
      <c r="N49" s="140" t="n">
        <f aca="false">MAX(0,M49-M48)</f>
        <v>0</v>
      </c>
      <c r="O49" s="139" t="str">
        <f aca="false">IF(B49&lt;='VALOR POR PL'!$P$5,'CP RESUMO'!AV63,"")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HISTORICOS'!AW21)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0.999829917625734</v>
      </c>
      <c r="H50" s="146" t="n">
        <f aca="false">'AUX.ESTRUTURA'!CW41</f>
        <v>0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RESUMO'!AW21</f>
        <v>100</v>
      </c>
      <c r="N50" s="140" t="n">
        <f aca="false">MAX(0,M50-M49)</f>
        <v>0</v>
      </c>
      <c r="O50" s="139" t="str">
        <f aca="false">IF(B50&lt;='VALOR POR PL'!$P$5,'CP RESUMO'!AW63,"")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HISTORICOS'!AX21)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0.999829917625734</v>
      </c>
      <c r="H51" s="146" t="n">
        <f aca="false">'AUX.ESTRUTURA'!CX41</f>
        <v>0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RESUMO'!AX21</f>
        <v>100</v>
      </c>
      <c r="N51" s="140" t="n">
        <f aca="false">MAX(0,M51-M50)</f>
        <v>0</v>
      </c>
      <c r="O51" s="139" t="str">
        <f aca="false">IF(B51&lt;='VALOR POR PL'!$P$5,'CP RESUMO'!AX63,"")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HISTORICOS'!AY21)</f>
        <v>227.52</v>
      </c>
      <c r="D52" s="45" t="n">
        <f aca="false">IF(B52&lt;='VALOR POR PL'!$P$5,0,IF($K$17&gt;0,$K$18*P52/$K$17,0))</f>
        <v>0</v>
      </c>
      <c r="E52" s="45" t="n">
        <f aca="false">L52+D52/$K$2</f>
        <v>0.175435214578888</v>
      </c>
      <c r="F52" s="117" t="n">
        <f aca="false">IF($K$9=0,0,E52/$K$9)</f>
        <v>8.37199992923706E-006</v>
      </c>
      <c r="G52" s="117" t="n">
        <f aca="false">G51+F52</f>
        <v>0.999838289625664</v>
      </c>
      <c r="H52" s="146" t="n">
        <f aca="false">'AUX.ESTRUTURA'!CY41</f>
        <v>0</v>
      </c>
      <c r="L52" s="45" t="n">
        <f aca="false">C52/IF(B52&lt;='VALOR POR PL'!$P$5,IFERROR(INDEX('"INCC-FGV"'!$B$2:$B$800,MATCH(B52,'"INCC-FGV"'!$A$2:$A$800,0)),$K$2),$K$2)</f>
        <v>0.175435214578888</v>
      </c>
      <c r="M52" s="139" t="n">
        <f aca="false">'CP RESUMO'!AY21</f>
        <v>100</v>
      </c>
      <c r="N52" s="140" t="n">
        <f aca="false">MAX(0,M52-M51)</f>
        <v>0</v>
      </c>
      <c r="O52" s="139" t="str">
        <f aca="false">IF(B52&lt;='VALOR POR PL'!$P$5,'CP RESUMO'!AY63,"")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HISTORICOS'!AZ21)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0.999838289625664</v>
      </c>
      <c r="H53" s="146" t="n">
        <f aca="false">'AUX.ESTRUTURA'!CZ41</f>
        <v>0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RESUMO'!AZ21</f>
        <v>100</v>
      </c>
      <c r="N53" s="140" t="n">
        <f aca="false">MAX(0,M53-M52)</f>
        <v>0</v>
      </c>
      <c r="O53" s="139" t="str">
        <f aca="false">IF(B53&lt;='VALOR POR PL'!$P$5,'CP RESUMO'!AZ63,"")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0.999838289625664</v>
      </c>
      <c r="H54" s="146" t="n">
        <f aca="false">'AUX.ESTRUTURA'!DA41</f>
        <v>0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RESUMO'!BA21</f>
        <v>100</v>
      </c>
      <c r="N54" s="140" t="n">
        <f aca="false">MAX(0,M54-M53)</f>
        <v>0</v>
      </c>
      <c r="O54" s="139" t="str">
        <f aca="false">IF(B54&lt;='VALOR POR PL'!$P$5,'CP RESUMO'!BA63,"")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HISTORICOS'!BB21)</f>
        <v>4394.69</v>
      </c>
      <c r="D55" s="45" t="n">
        <f aca="false">IF(B55&lt;='VALOR POR PL'!$P$5,0,IF($K$17&gt;0,$K$18*P55/$K$17,0))</f>
        <v>0</v>
      </c>
      <c r="E55" s="45" t="n">
        <f aca="false">L55+D55/$K$2</f>
        <v>3.38864004552433</v>
      </c>
      <c r="F55" s="117" t="n">
        <f aca="false">IF($K$9=0,0,E55/$K$9)</f>
        <v>0.000161710374336405</v>
      </c>
      <c r="G55" s="117" t="n">
        <f aca="false">G54+F55</f>
        <v>1</v>
      </c>
      <c r="H55" s="146" t="n">
        <f aca="false">'AUX.ESTRUTURA'!DB41</f>
        <v>0</v>
      </c>
      <c r="L55" s="45" t="n">
        <f aca="false">C55/IF(B55&lt;='VALOR POR PL'!$P$5,IFERROR(INDEX('"INCC-FGV"'!$B$2:$B$800,MATCH(B55,'"INCC-FGV"'!$A$2:$A$800,0)),$K$2),$K$2)</f>
        <v>3.38864004552433</v>
      </c>
      <c r="M55" s="139" t="n">
        <f aca="false">'CP RESUMO'!BB21</f>
        <v>100</v>
      </c>
      <c r="N55" s="140" t="n">
        <f aca="false">MAX(0,M55-M54)</f>
        <v>0</v>
      </c>
      <c r="O55" s="139" t="str">
        <f aca="false">IF(B55&lt;='VALOR POR PL'!$P$5,'CP RESUMO'!BB63,"")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46" t="n">
        <f aca="false">'AUX.ESTRUTURA'!DC41</f>
        <v>0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RESUMO'!BC21</f>
        <v>100</v>
      </c>
      <c r="N56" s="140" t="n">
        <f aca="false">MAX(0,M56-M55)</f>
        <v>0</v>
      </c>
      <c r="O56" s="139" t="str">
        <f aca="false">IF(B56&lt;='VALOR POR PL'!$P$5,'CP RESUMO'!BC63,"")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46" t="n">
        <f aca="false">'AUX.ESTRUTURA'!DD41</f>
        <v>0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RESUMO'!BD21</f>
        <v>100</v>
      </c>
      <c r="N57" s="140" t="n">
        <f aca="false">MAX(0,M57-M56)</f>
        <v>0</v>
      </c>
      <c r="O57" s="139" t="str">
        <f aca="false">IF(B57&lt;='VALOR POR PL'!$P$5,'CP RESUMO'!BD63,"")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46" t="n">
        <f aca="false">'AUX.ESTRUTURA'!DE41</f>
        <v>0</v>
      </c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RESUMO'!BE21</f>
        <v>100</v>
      </c>
      <c r="N58" s="140" t="n">
        <f aca="false">MAX(0,M58-M57)</f>
        <v>0</v>
      </c>
      <c r="O58" s="139" t="str">
        <f aca="false">IF(B58&lt;='VALOR POR PL'!$P$5,'CP RESUMO'!BE63,"")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46" t="n">
        <f aca="false">'AUX.ESTRUTURA'!DF41</f>
        <v>0</v>
      </c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RESUMO'!BF21</f>
        <v>100</v>
      </c>
      <c r="N59" s="140" t="n">
        <f aca="false">MAX(0,M59-M58)</f>
        <v>0</v>
      </c>
      <c r="O59" s="139" t="str">
        <f aca="false">IF(B59&lt;='VALOR POR PL'!$P$5,'CP RESUMO'!BF63,"")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46" t="n">
        <f aca="false">'AUX.ESTRUTURA'!DG41</f>
        <v>0</v>
      </c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RESUMO'!BG21</f>
        <v>100</v>
      </c>
      <c r="N60" s="140" t="n">
        <f aca="false">MAX(0,M60-M59)</f>
        <v>0</v>
      </c>
      <c r="O60" s="139" t="str">
        <f aca="false">IF(B60&lt;='VALOR POR PL'!$P$5,'CP RESUMO'!BG63,"")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46" t="n">
        <f aca="false">'AUX.ESTRUTURA'!DH41</f>
        <v>0</v>
      </c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RESUMO'!BH21</f>
        <v>100</v>
      </c>
      <c r="N61" s="140" t="n">
        <f aca="false">MAX(0,M61-M60)</f>
        <v>0</v>
      </c>
      <c r="O61" s="139" t="str">
        <f aca="false">IF(B61&lt;='VALOR POR PL'!$P$5,'CP RESUMO'!BH63,"")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46" t="n">
        <f aca="false">'AUX.ESTRUTURA'!DI41</f>
        <v>0</v>
      </c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RESUMO'!BI21</f>
        <v>100</v>
      </c>
      <c r="N62" s="140" t="n">
        <f aca="false">MAX(0,M62-M61)</f>
        <v>0</v>
      </c>
      <c r="O62" s="139" t="str">
        <f aca="false">IF(B62&lt;='VALOR POR PL'!$P$5,'CP RESUMO'!BI63,"")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46" t="n">
        <f aca="false">'AUX.ESTRUTURA'!DJ41</f>
        <v>0</v>
      </c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RESUMO'!BJ21</f>
        <v>100</v>
      </c>
      <c r="N63" s="140" t="n">
        <f aca="false">MAX(0,M63-M62)</f>
        <v>0</v>
      </c>
      <c r="O63" s="139" t="str">
        <f aca="false">IF(B63&lt;='VALOR POR PL'!$P$5,'CP RESUMO'!BJ63,"")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46" t="n">
        <f aca="false">'AUX.ESTRUTURA'!DK41</f>
        <v>0</v>
      </c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RESUMO'!BK21</f>
        <v>100</v>
      </c>
      <c r="N64" s="140" t="n">
        <f aca="false">MAX(0,M64-M63)</f>
        <v>0</v>
      </c>
      <c r="O64" s="139" t="str">
        <f aca="false">IF(B64&lt;='VALOR POR PL'!$P$5,'CP RESUMO'!BK63,"")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46" t="n">
        <f aca="false">'AUX.ESTRUTURA'!DL41</f>
        <v>0</v>
      </c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RESUMO'!BL21</f>
        <v>100</v>
      </c>
      <c r="N65" s="140" t="n">
        <f aca="false">MAX(0,M65-M64)</f>
        <v>0</v>
      </c>
      <c r="O65" s="139" t="str">
        <f aca="false">IF(B65&lt;='VALOR POR PL'!$P$5,'CP RESUMO'!BL63,"")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46" t="n">
        <f aca="false">'AUX.ESTRUTURA'!DM41</f>
        <v>0</v>
      </c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RESUMO'!BM21</f>
        <v>100</v>
      </c>
      <c r="N66" s="140" t="n">
        <f aca="false">MAX(0,M66-M65)</f>
        <v>0</v>
      </c>
      <c r="O66" s="139" t="str">
        <f aca="false">IF(B66&lt;='VALOR POR PL'!$P$5,'CP RESUMO'!BM63,"")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46" t="n">
        <f aca="false">'AUX.ESTRUTURA'!DN41</f>
        <v>0</v>
      </c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RESUMO'!BN21</f>
        <v>100</v>
      </c>
      <c r="N67" s="140" t="n">
        <f aca="false">MAX(0,M67-M66)</f>
        <v>0</v>
      </c>
      <c r="O67" s="139" t="str">
        <f aca="false">IF(B67&lt;='VALOR POR PL'!$P$5,'CP RESUMO'!BN63,"")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46" t="n">
        <f aca="false">'AUX.ESTRUTURA'!DO41</f>
        <v>0</v>
      </c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RESUMO'!BO21</f>
        <v>100</v>
      </c>
      <c r="N68" s="140" t="n">
        <f aca="false">MAX(0,M68-M67)</f>
        <v>0</v>
      </c>
      <c r="O68" s="139" t="str">
        <f aca="false">IF(B68&lt;='VALOR POR PL'!$P$5,'CP RESUMO'!BO63,"")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46" t="n">
        <f aca="false">'AUX.ESTRUTURA'!DP41</f>
        <v>0</v>
      </c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RESUMO'!BP21</f>
        <v>100</v>
      </c>
      <c r="N69" s="140" t="n">
        <f aca="false">MAX(0,M69-M68)</f>
        <v>0</v>
      </c>
      <c r="O69" s="139" t="str">
        <f aca="false">IF(B69&lt;='VALOR POR PL'!$P$5,'CP RESUMO'!BP63,"")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46" t="n">
        <f aca="false">'AUX.ESTRUTURA'!DQ41</f>
        <v>0</v>
      </c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RESUMO'!BQ21</f>
        <v>100</v>
      </c>
      <c r="N70" s="140" t="n">
        <f aca="false">MAX(0,M70-M69)</f>
        <v>0</v>
      </c>
      <c r="O70" s="139" t="str">
        <f aca="false">IF(B70&lt;='VALOR POR PL'!$P$5,'CP RESUMO'!BQ63,"")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46" t="n">
        <f aca="false">'AUX.ESTRUTURA'!DR41</f>
        <v>0</v>
      </c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RESUMO'!BR21</f>
        <v>100</v>
      </c>
      <c r="N71" s="140" t="n">
        <f aca="false">MAX(0,M71-M70)</f>
        <v>0</v>
      </c>
      <c r="O71" s="139" t="str">
        <f aca="false">IF(B71&lt;='VALOR POR PL'!$P$5,'CP RESUMO'!BR63,"")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46" t="n">
        <f aca="false">'AUX.ESTRUTURA'!DS41</f>
        <v>0</v>
      </c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RESUMO'!BS21</f>
        <v>100</v>
      </c>
      <c r="N72" s="140" t="n">
        <f aca="false">MAX(0,M72-M71)</f>
        <v>0</v>
      </c>
      <c r="O72" s="139" t="str">
        <f aca="false">IF(B72&lt;='VALOR POR PL'!$P$5,'CP RESUMO'!BS63,"")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46" t="n">
        <f aca="false">'AUX.ESTRUTURA'!DT41</f>
        <v>0</v>
      </c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RESUMO'!BT21</f>
        <v>100</v>
      </c>
      <c r="N73" s="140" t="n">
        <f aca="false">MAX(0,M73-M72)</f>
        <v>0</v>
      </c>
      <c r="O73" s="139" t="str">
        <f aca="false">IF(B73&lt;='VALOR POR PL'!$P$5,'CP RESUMO'!BT63,"")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46" t="n">
        <f aca="false">'AUX.ESTRUTURA'!DU41</f>
        <v>0</v>
      </c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RESUMO'!BU21</f>
        <v>100</v>
      </c>
      <c r="N74" s="140" t="n">
        <f aca="false">MAX(0,M74-M73)</f>
        <v>0</v>
      </c>
      <c r="O74" s="139" t="str">
        <f aca="false">IF(B74&lt;='VALOR POR PL'!$P$5,'CP RESUMO'!BU63,"")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46" t="n">
        <f aca="false">'AUX.ESTRUTURA'!DV41</f>
        <v>0</v>
      </c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RESUMO'!BV21</f>
        <v>100</v>
      </c>
      <c r="N75" s="140" t="n">
        <f aca="false">MAX(0,M75-M74)</f>
        <v>0</v>
      </c>
      <c r="O75" s="139" t="str">
        <f aca="false">IF(B75&lt;='VALOR POR PL'!$P$5,'CP RESUMO'!BV63,"")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46" t="n">
        <f aca="false">'AUX.ESTRUTURA'!DW41</f>
        <v>0</v>
      </c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RESUMO'!BW21</f>
        <v>100</v>
      </c>
      <c r="N76" s="140" t="n">
        <f aca="false">MAX(0,M76-M75)</f>
        <v>0</v>
      </c>
      <c r="O76" s="139" t="str">
        <f aca="false">IF(B76&lt;='VALOR POR PL'!$P$5,'CP RESUMO'!BW63,"")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4335641.18</v>
      </c>
      <c r="D78" s="61" t="n">
        <f aca="false">SUM(D5:D76)</f>
        <v>22837801.4876606</v>
      </c>
      <c r="E78" s="61" t="n">
        <f aca="false">SUM(E5:E76)</f>
        <v>20954.9947517589</v>
      </c>
      <c r="F78" s="145" t="n">
        <f aca="false">SUM(F5:F76)</f>
        <v>1</v>
      </c>
      <c r="H78" s="61" t="n">
        <f aca="false">SUM(H5:H76)</f>
        <v>25098272.8890272</v>
      </c>
      <c r="L78" s="61" t="n">
        <f aca="false">SUM(L5:L76)</f>
        <v>3345.3138248171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A062"/>
    <pageSetUpPr fitToPage="false"/>
  </sheetPr>
  <dimension ref="A1:DW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.67"/>
    <col collapsed="false" customWidth="true" hidden="false" outlineLevel="0" max="2" min="2" style="0" width="8"/>
    <col collapsed="false" customWidth="true" hidden="false" outlineLevel="0" max="7" min="7" style="0" width="3.22"/>
    <col collapsed="false" customWidth="true" hidden="false" outlineLevel="0" max="8" min="8" style="0" width="27.88"/>
    <col collapsed="false" customWidth="true" hidden="false" outlineLevel="0" max="9" min="9" style="0" width="2.89"/>
    <col collapsed="false" customWidth="true" hidden="false" outlineLevel="0" max="10" min="10" style="0" width="19.66"/>
    <col collapsed="false" customWidth="true" hidden="false" outlineLevel="0" max="12" min="11" style="0" width="17.78"/>
    <col collapsed="false" customWidth="true" hidden="false" outlineLevel="0" max="14" min="13" style="0" width="19.66"/>
    <col collapsed="false" customWidth="true" hidden="false" outlineLevel="0" max="15" min="15" style="0" width="23"/>
    <col collapsed="false" customWidth="true" hidden="false" outlineLevel="0" max="16" min="16" style="0" width="17.78"/>
    <col collapsed="false" customWidth="true" hidden="false" outlineLevel="0" max="18" min="18" style="0" width="2.56"/>
    <col collapsed="false" customWidth="true" hidden="false" outlineLevel="0" max="19" min="19" style="0" width="19.33"/>
    <col collapsed="false" customWidth="true" hidden="false" outlineLevel="0" max="20" min="20" style="0" width="18.78"/>
    <col collapsed="false" customWidth="true" hidden="false" outlineLevel="0" max="21" min="21" style="0" width="19.22"/>
    <col collapsed="false" customWidth="true" hidden="false" outlineLevel="0" max="22" min="22" style="0" width="22.22"/>
    <col collapsed="false" customWidth="true" hidden="false" outlineLevel="0" max="24" min="24" style="0" width="16.56"/>
    <col collapsed="false" customWidth="true" hidden="false" outlineLevel="0" max="26" min="26" style="0" width="2.56"/>
    <col collapsed="false" customWidth="true" hidden="false" outlineLevel="0" max="27" min="27" style="0" width="26"/>
    <col collapsed="false" customWidth="true" hidden="false" outlineLevel="0" max="28" min="28" style="0" width="1.44"/>
    <col collapsed="false" customWidth="true" hidden="false" outlineLevel="0" max="29" min="29" style="0" width="17"/>
    <col collapsed="false" customWidth="true" hidden="false" outlineLevel="0" max="33" min="33" style="0" width="18.44"/>
    <col collapsed="false" customWidth="true" hidden="false" outlineLevel="0" max="34" min="34" style="0" width="18.89"/>
    <col collapsed="false" customWidth="true" hidden="false" outlineLevel="0" max="36" min="36" style="0" width="18.44"/>
    <col collapsed="false" customWidth="true" hidden="false" outlineLevel="0" max="37" min="37" style="0" width="17"/>
    <col collapsed="false" customWidth="true" hidden="false" outlineLevel="0" max="51" min="51" style="0" width="8.88"/>
    <col collapsed="false" customWidth="true" hidden="false" outlineLevel="0" max="52" min="52" style="0" width="26"/>
    <col collapsed="false" customWidth="true" hidden="false" outlineLevel="0" max="54" min="53" style="0" width="10"/>
    <col collapsed="false" customWidth="true" hidden="false" outlineLevel="0" max="127" min="56" style="0" width="10"/>
  </cols>
  <sheetData>
    <row r="1" customFormat="false" ht="15" hidden="false" customHeight="false" outlineLevel="0" collapsed="false">
      <c r="J1" s="147" t="n">
        <f aca="false">SUM(I4:J40)</f>
        <v>31139.1758</v>
      </c>
      <c r="K1" s="147" t="n">
        <f aca="false">SUM(K4:K40)</f>
        <v>10452</v>
      </c>
      <c r="L1" s="147" t="n">
        <f aca="false">SUM(L4:L40)</f>
        <v>48906.6288298535</v>
      </c>
      <c r="M1" s="147" t="n">
        <f aca="false">SUM(M4:M47)</f>
        <v>11385.4721142</v>
      </c>
      <c r="N1" s="147" t="n">
        <f aca="false">SUM(N4:N47)</f>
        <v>42054</v>
      </c>
      <c r="O1" s="147" t="n">
        <f aca="false">SUM(O4:O38)</f>
        <v>997552</v>
      </c>
      <c r="P1" s="147" t="n">
        <f aca="false">SUM(P4:P47)</f>
        <v>18198.6211</v>
      </c>
      <c r="Q1" s="147" t="n">
        <f aca="false">SUM(Q4:Q47)</f>
        <v>10103.4725</v>
      </c>
      <c r="X1" s="148" t="n">
        <v>22.98</v>
      </c>
      <c r="Y1" s="148" t="n">
        <v>12.5</v>
      </c>
      <c r="AA1" s="149" t="n">
        <f aca="false">SUM(AA4:AA40)</f>
        <v>25098272.8890272</v>
      </c>
      <c r="AZ1" s="123" t="s">
        <v>2943</v>
      </c>
    </row>
    <row r="2" customFormat="false" ht="42" hidden="false" customHeight="true" outlineLevel="0" collapsed="false">
      <c r="B2" s="150" t="s">
        <v>2944</v>
      </c>
      <c r="H2" s="150" t="s">
        <v>2945</v>
      </c>
      <c r="J2" s="151" t="s">
        <v>2946</v>
      </c>
      <c r="K2" s="152" t="s">
        <v>2947</v>
      </c>
      <c r="L2" s="153" t="s">
        <v>2948</v>
      </c>
      <c r="M2" s="154" t="s">
        <v>2949</v>
      </c>
      <c r="N2" s="155" t="s">
        <v>2950</v>
      </c>
      <c r="O2" s="155" t="s">
        <v>2951</v>
      </c>
      <c r="P2" s="155" t="s">
        <v>2952</v>
      </c>
      <c r="Q2" s="155" t="s">
        <v>2953</v>
      </c>
      <c r="S2" s="156" t="s">
        <v>2954</v>
      </c>
      <c r="T2" s="153" t="s">
        <v>2948</v>
      </c>
      <c r="U2" s="154" t="s">
        <v>2949</v>
      </c>
      <c r="V2" s="156" t="s">
        <v>2955</v>
      </c>
      <c r="W2" s="156" t="s">
        <v>2956</v>
      </c>
      <c r="X2" s="156" t="s">
        <v>2957</v>
      </c>
      <c r="Y2" s="148" t="s">
        <v>2958</v>
      </c>
      <c r="AA2" s="148" t="s">
        <v>47</v>
      </c>
      <c r="AC2" s="157" t="n">
        <v>46174</v>
      </c>
      <c r="AD2" s="157" t="n">
        <v>46204</v>
      </c>
      <c r="AE2" s="157" t="n">
        <v>46235</v>
      </c>
      <c r="AF2" s="157" t="n">
        <v>46266</v>
      </c>
      <c r="AG2" s="157" t="n">
        <v>46296</v>
      </c>
      <c r="AH2" s="157" t="n">
        <v>46327</v>
      </c>
      <c r="AI2" s="157" t="n">
        <v>46357</v>
      </c>
      <c r="AJ2" s="157" t="n">
        <v>46388</v>
      </c>
      <c r="AK2" s="157" t="n">
        <v>46419</v>
      </c>
      <c r="AL2" s="157" t="n">
        <v>46447</v>
      </c>
      <c r="AM2" s="157" t="n">
        <v>46478</v>
      </c>
      <c r="AN2" s="157" t="n">
        <v>46508</v>
      </c>
      <c r="AO2" s="157" t="n">
        <v>46539</v>
      </c>
      <c r="AP2" s="157" t="n">
        <v>46569</v>
      </c>
      <c r="AQ2" s="157" t="n">
        <v>46600</v>
      </c>
      <c r="AR2" s="157" t="n">
        <v>46631</v>
      </c>
      <c r="AS2" s="157" t="n">
        <v>46661</v>
      </c>
      <c r="AT2" s="157" t="n">
        <v>46692</v>
      </c>
      <c r="AU2" s="157" t="n">
        <v>46722</v>
      </c>
      <c r="AV2" s="157" t="n">
        <v>46753</v>
      </c>
      <c r="AW2" s="157" t="n">
        <v>46784</v>
      </c>
      <c r="AX2" s="157" t="n">
        <v>46813</v>
      </c>
      <c r="AZ2" s="158" t="s">
        <v>2959</v>
      </c>
      <c r="BA2" s="158" t="s">
        <v>2960</v>
      </c>
      <c r="BB2" s="158" t="s">
        <v>2961</v>
      </c>
      <c r="BD2" s="159" t="s">
        <v>2962</v>
      </c>
    </row>
    <row r="3" customFormat="false" ht="15" hidden="false" customHeight="false" outlineLevel="0" collapsed="false">
      <c r="BD3" s="160" t="n">
        <f aca="false">ESTRUTURA!$B$5</f>
        <v>45627</v>
      </c>
      <c r="BE3" s="160" t="n">
        <f aca="false">ESTRUTURA!$B$6</f>
        <v>45658</v>
      </c>
      <c r="BF3" s="160" t="n">
        <f aca="false">ESTRUTURA!$B$7</f>
        <v>45689</v>
      </c>
      <c r="BG3" s="160" t="n">
        <f aca="false">ESTRUTURA!$B$8</f>
        <v>45717</v>
      </c>
      <c r="BH3" s="160" t="n">
        <f aca="false">ESTRUTURA!$B$9</f>
        <v>45748</v>
      </c>
      <c r="BI3" s="160" t="n">
        <f aca="false">ESTRUTURA!$B$10</f>
        <v>45778</v>
      </c>
      <c r="BJ3" s="160" t="n">
        <f aca="false">ESTRUTURA!$B$11</f>
        <v>45809</v>
      </c>
      <c r="BK3" s="160" t="n">
        <f aca="false">ESTRUTURA!$B$12</f>
        <v>45839</v>
      </c>
      <c r="BL3" s="160" t="n">
        <f aca="false">ESTRUTURA!$B$13</f>
        <v>45870</v>
      </c>
      <c r="BM3" s="160" t="n">
        <f aca="false">ESTRUTURA!$B$14</f>
        <v>45901</v>
      </c>
      <c r="BN3" s="160" t="n">
        <f aca="false">ESTRUTURA!$B$15</f>
        <v>45931</v>
      </c>
      <c r="BO3" s="160" t="n">
        <f aca="false">ESTRUTURA!$B$16</f>
        <v>45962</v>
      </c>
      <c r="BP3" s="160" t="n">
        <f aca="false">ESTRUTURA!$B$17</f>
        <v>45992</v>
      </c>
      <c r="BQ3" s="160" t="n">
        <f aca="false">ESTRUTURA!$B$18</f>
        <v>46023</v>
      </c>
      <c r="BR3" s="160" t="n">
        <f aca="false">ESTRUTURA!$B$19</f>
        <v>46054</v>
      </c>
      <c r="BS3" s="160" t="n">
        <f aca="false">ESTRUTURA!$B$20</f>
        <v>46082</v>
      </c>
      <c r="BT3" s="160" t="n">
        <f aca="false">ESTRUTURA!$B$21</f>
        <v>46113</v>
      </c>
      <c r="BU3" s="160" t="n">
        <f aca="false">ESTRUTURA!$B$22</f>
        <v>46143</v>
      </c>
      <c r="BV3" s="160" t="n">
        <f aca="false">ESTRUTURA!$B$23</f>
        <v>46174</v>
      </c>
      <c r="BW3" s="160" t="n">
        <f aca="false">ESTRUTURA!$B$24</f>
        <v>46204</v>
      </c>
      <c r="BX3" s="160" t="n">
        <f aca="false">ESTRUTURA!$B$25</f>
        <v>46235</v>
      </c>
      <c r="BY3" s="160" t="n">
        <f aca="false">ESTRUTURA!$B$26</f>
        <v>46266</v>
      </c>
      <c r="BZ3" s="160" t="n">
        <f aca="false">ESTRUTURA!$B$27</f>
        <v>46296</v>
      </c>
      <c r="CA3" s="160" t="n">
        <f aca="false">ESTRUTURA!$B$28</f>
        <v>46327</v>
      </c>
      <c r="CB3" s="160" t="n">
        <f aca="false">ESTRUTURA!$B$29</f>
        <v>46357</v>
      </c>
      <c r="CC3" s="160" t="n">
        <f aca="false">ESTRUTURA!$B$30</f>
        <v>46388</v>
      </c>
      <c r="CD3" s="160" t="n">
        <f aca="false">ESTRUTURA!$B$31</f>
        <v>46419</v>
      </c>
      <c r="CE3" s="160" t="n">
        <f aca="false">ESTRUTURA!$B$32</f>
        <v>46447</v>
      </c>
      <c r="CF3" s="160" t="n">
        <f aca="false">ESTRUTURA!$B$33</f>
        <v>46478</v>
      </c>
      <c r="CG3" s="160" t="n">
        <f aca="false">ESTRUTURA!$B$34</f>
        <v>46508</v>
      </c>
      <c r="CH3" s="160" t="n">
        <f aca="false">ESTRUTURA!$B$35</f>
        <v>46539</v>
      </c>
      <c r="CI3" s="160" t="n">
        <f aca="false">ESTRUTURA!$B$36</f>
        <v>46569</v>
      </c>
      <c r="CJ3" s="160" t="n">
        <f aca="false">ESTRUTURA!$B$37</f>
        <v>46600</v>
      </c>
      <c r="CK3" s="160" t="n">
        <f aca="false">ESTRUTURA!$B$38</f>
        <v>46631</v>
      </c>
      <c r="CL3" s="160" t="n">
        <f aca="false">ESTRUTURA!$B$39</f>
        <v>46661</v>
      </c>
      <c r="CM3" s="160" t="n">
        <f aca="false">ESTRUTURA!$B$40</f>
        <v>46692</v>
      </c>
      <c r="CN3" s="160" t="n">
        <f aca="false">ESTRUTURA!$B$41</f>
        <v>46722</v>
      </c>
      <c r="CO3" s="160" t="n">
        <f aca="false">ESTRUTURA!$B$42</f>
        <v>46753</v>
      </c>
      <c r="CP3" s="160" t="n">
        <f aca="false">ESTRUTURA!$B$43</f>
        <v>46784</v>
      </c>
      <c r="CQ3" s="160" t="n">
        <f aca="false">ESTRUTURA!$B$44</f>
        <v>46813</v>
      </c>
      <c r="CR3" s="160" t="n">
        <f aca="false">ESTRUTURA!$B$45</f>
        <v>46844</v>
      </c>
      <c r="CS3" s="160" t="n">
        <f aca="false">ESTRUTURA!$B$46</f>
        <v>46874</v>
      </c>
      <c r="CT3" s="160" t="n">
        <f aca="false">ESTRUTURA!$B$47</f>
        <v>46905</v>
      </c>
      <c r="CU3" s="160" t="n">
        <f aca="false">ESTRUTURA!$B$48</f>
        <v>46935</v>
      </c>
      <c r="CV3" s="160" t="n">
        <f aca="false">ESTRUTURA!$B$49</f>
        <v>46966</v>
      </c>
      <c r="CW3" s="160" t="n">
        <f aca="false">ESTRUTURA!$B$50</f>
        <v>46997</v>
      </c>
      <c r="CX3" s="160" t="n">
        <f aca="false">ESTRUTURA!$B$51</f>
        <v>47027</v>
      </c>
      <c r="CY3" s="160" t="n">
        <f aca="false">ESTRUTURA!$B$52</f>
        <v>47058</v>
      </c>
      <c r="CZ3" s="160" t="n">
        <f aca="false">ESTRUTURA!$B$53</f>
        <v>47088</v>
      </c>
      <c r="DA3" s="160" t="n">
        <f aca="false">ESTRUTURA!$B$54</f>
        <v>47119</v>
      </c>
      <c r="DB3" s="160" t="n">
        <f aca="false">ESTRUTURA!$B$55</f>
        <v>47150</v>
      </c>
      <c r="DC3" s="160" t="n">
        <f aca="false">ESTRUTURA!$B$56</f>
        <v>47178</v>
      </c>
      <c r="DD3" s="160" t="n">
        <f aca="false">ESTRUTURA!$B$57</f>
        <v>47209</v>
      </c>
      <c r="DE3" s="160" t="n">
        <f aca="false">ESTRUTURA!$B$58</f>
        <v>47239</v>
      </c>
      <c r="DF3" s="160" t="n">
        <f aca="false">ESTRUTURA!$B$59</f>
        <v>47270</v>
      </c>
      <c r="DG3" s="160" t="n">
        <f aca="false">ESTRUTURA!$B$60</f>
        <v>47300</v>
      </c>
      <c r="DH3" s="160" t="n">
        <f aca="false">ESTRUTURA!$B$61</f>
        <v>47331</v>
      </c>
      <c r="DI3" s="160" t="n">
        <f aca="false">ESTRUTURA!$B$62</f>
        <v>47362</v>
      </c>
      <c r="DJ3" s="160" t="n">
        <f aca="false">ESTRUTURA!$B$63</f>
        <v>47392</v>
      </c>
      <c r="DK3" s="160" t="n">
        <f aca="false">ESTRUTURA!$B$64</f>
        <v>47423</v>
      </c>
      <c r="DL3" s="160" t="n">
        <f aca="false">ESTRUTURA!$B$65</f>
        <v>47453</v>
      </c>
      <c r="DM3" s="160" t="n">
        <f aca="false">ESTRUTURA!$B$66</f>
        <v>47484</v>
      </c>
      <c r="DN3" s="160" t="n">
        <f aca="false">ESTRUTURA!$B$67</f>
        <v>47515</v>
      </c>
      <c r="DO3" s="160" t="n">
        <f aca="false">ESTRUTURA!$B$68</f>
        <v>47543</v>
      </c>
      <c r="DP3" s="160" t="n">
        <f aca="false">ESTRUTURA!$B$69</f>
        <v>47574</v>
      </c>
      <c r="DQ3" s="160" t="n">
        <f aca="false">ESTRUTURA!$B$70</f>
        <v>47604</v>
      </c>
      <c r="DR3" s="160" t="n">
        <f aca="false">ESTRUTURA!$B$71</f>
        <v>47635</v>
      </c>
      <c r="DS3" s="160" t="n">
        <f aca="false">ESTRUTURA!$B$72</f>
        <v>47665</v>
      </c>
      <c r="DT3" s="160" t="n">
        <f aca="false">ESTRUTURA!$B$73</f>
        <v>47696</v>
      </c>
      <c r="DU3" s="160" t="n">
        <f aca="false">ESTRUTURA!$B$74</f>
        <v>47727</v>
      </c>
      <c r="DV3" s="160" t="n">
        <f aca="false">ESTRUTURA!$B$75</f>
        <v>47757</v>
      </c>
      <c r="DW3" s="160" t="n">
        <f aca="false">ESTRUTURA!$B$76</f>
        <v>47788</v>
      </c>
    </row>
    <row r="4" customFormat="false" ht="15" hidden="false" customHeight="false" outlineLevel="0" collapsed="false">
      <c r="H4" s="151" t="s">
        <v>2963</v>
      </c>
      <c r="J4" s="152" t="n">
        <v>116.3548</v>
      </c>
      <c r="K4" s="152" t="n">
        <v>83.2</v>
      </c>
      <c r="L4" s="152" t="n">
        <v>1285.2918049</v>
      </c>
      <c r="O4" s="152" t="n">
        <v>11693</v>
      </c>
      <c r="P4" s="152" t="n">
        <v>116.3548</v>
      </c>
      <c r="S4" s="149" t="n">
        <f aca="false">K4*($D$55+$D$57)</f>
        <v>48276.8</v>
      </c>
      <c r="T4" s="149" t="n">
        <f aca="false">L4*$E$47</f>
        <v>184179.102412658</v>
      </c>
      <c r="V4" s="149" t="n">
        <f aca="false">O4*($E$54)</f>
        <v>71710.45330075</v>
      </c>
      <c r="W4" s="149" t="n">
        <f aca="false">O4*($E$49)</f>
        <v>35133.080125</v>
      </c>
      <c r="Y4" s="149" t="n">
        <f aca="false">SUM(P4:Q4)*($E$50+$E$52)</f>
        <v>1699.8751241115</v>
      </c>
      <c r="AA4" s="149" t="n">
        <f aca="false">SUM(S4:Y4)</f>
        <v>340999.310962519</v>
      </c>
      <c r="AX4" s="161" t="n">
        <f aca="false">AA4</f>
        <v>340999.310962519</v>
      </c>
      <c r="AZ4" s="162" t="s">
        <v>2844</v>
      </c>
      <c r="BA4" s="163" t="n">
        <f aca="false">IF(AZ4="",0,SUMPRODUCT(('CRONOGRAMA ATIVIDADES'!$C$5:$C$6004="ESTRUTURA")*('CRONOGRAMA ATIVIDADES'!$E$5:$E$6004=AZ4)*('CRONOGRAMA ATIVIDADES'!$D$5:$D$6004="-")*'CRONOGRAMA ATIVIDADES'!$F$5:$F$6004))</f>
        <v>46737</v>
      </c>
      <c r="BB4" s="163" t="n">
        <f aca="false">IF(AZ4="",0,SUMPRODUCT(('CRONOGRAMA ATIVIDADES'!$C$5:$C$6004="ESTRUTURA")*('CRONOGRAMA ATIVIDADES'!$E$5:$E$6004=AZ4)*('CRONOGRAMA ATIVIDADES'!$D$5:$D$6004="-")*'CRONOGRAMA ATIVIDADES'!$G$5:$G$6004))</f>
        <v>46757</v>
      </c>
      <c r="BD4" s="164" t="n">
        <f aca="false">IF(AND($BA4&gt;0,$BB4&gt;=$BA4),$AA4*MAX(0,MIN($BB4,EOMONTH(BD$3,0))-MAX($BA4,BD$3)+1)/($BB4-$BA4+1),SUMPRODUCT((YEAR($AC$2:$AX$2)=YEAR(BD$3))*(MONTH($AC$2:$AX$2)=MONTH(BD$3))*$AC4:$AX4))</f>
        <v>0</v>
      </c>
      <c r="BE4" s="164" t="n">
        <f aca="false">IF(AND($BA4&gt;0,$BB4&gt;=$BA4),$AA4*MAX(0,MIN($BB4,EOMONTH(BE$3,0))-MAX($BA4,BE$3)+1)/($BB4-$BA4+1),SUMPRODUCT((YEAR($AC$2:$AX$2)=YEAR(BE$3))*(MONTH($AC$2:$AX$2)=MONTH(BE$3))*$AC4:$AX4))</f>
        <v>0</v>
      </c>
      <c r="BF4" s="164" t="n">
        <f aca="false">IF(AND($BA4&gt;0,$BB4&gt;=$BA4),$AA4*MAX(0,MIN($BB4,EOMONTH(BF$3,0))-MAX($BA4,BF$3)+1)/($BB4-$BA4+1),SUMPRODUCT((YEAR($AC$2:$AX$2)=YEAR(BF$3))*(MONTH($AC$2:$AX$2)=MONTH(BF$3))*$AC4:$AX4))</f>
        <v>0</v>
      </c>
      <c r="BG4" s="164" t="n">
        <f aca="false">IF(AND($BA4&gt;0,$BB4&gt;=$BA4),$AA4*MAX(0,MIN($BB4,EOMONTH(BG$3,0))-MAX($BA4,BG$3)+1)/($BB4-$BA4+1),SUMPRODUCT((YEAR($AC$2:$AX$2)=YEAR(BG$3))*(MONTH($AC$2:$AX$2)=MONTH(BG$3))*$AC4:$AX4))</f>
        <v>0</v>
      </c>
      <c r="BH4" s="164" t="n">
        <f aca="false">IF(AND($BA4&gt;0,$BB4&gt;=$BA4),$AA4*MAX(0,MIN($BB4,EOMONTH(BH$3,0))-MAX($BA4,BH$3)+1)/($BB4-$BA4+1),SUMPRODUCT((YEAR($AC$2:$AX$2)=YEAR(BH$3))*(MONTH($AC$2:$AX$2)=MONTH(BH$3))*$AC4:$AX4))</f>
        <v>0</v>
      </c>
      <c r="BI4" s="164" t="n">
        <f aca="false">IF(AND($BA4&gt;0,$BB4&gt;=$BA4),$AA4*MAX(0,MIN($BB4,EOMONTH(BI$3,0))-MAX($BA4,BI$3)+1)/($BB4-$BA4+1),SUMPRODUCT((YEAR($AC$2:$AX$2)=YEAR(BI$3))*(MONTH($AC$2:$AX$2)=MONTH(BI$3))*$AC4:$AX4))</f>
        <v>0</v>
      </c>
      <c r="BJ4" s="164" t="n">
        <f aca="false">IF(AND($BA4&gt;0,$BB4&gt;=$BA4),$AA4*MAX(0,MIN($BB4,EOMONTH(BJ$3,0))-MAX($BA4,BJ$3)+1)/($BB4-$BA4+1),SUMPRODUCT((YEAR($AC$2:$AX$2)=YEAR(BJ$3))*(MONTH($AC$2:$AX$2)=MONTH(BJ$3))*$AC4:$AX4))</f>
        <v>0</v>
      </c>
      <c r="BK4" s="164" t="n">
        <f aca="false">IF(AND($BA4&gt;0,$BB4&gt;=$BA4),$AA4*MAX(0,MIN($BB4,EOMONTH(BK$3,0))-MAX($BA4,BK$3)+1)/($BB4-$BA4+1),SUMPRODUCT((YEAR($AC$2:$AX$2)=YEAR(BK$3))*(MONTH($AC$2:$AX$2)=MONTH(BK$3))*$AC4:$AX4))</f>
        <v>0</v>
      </c>
      <c r="BL4" s="164" t="n">
        <f aca="false">IF(AND($BA4&gt;0,$BB4&gt;=$BA4),$AA4*MAX(0,MIN($BB4,EOMONTH(BL$3,0))-MAX($BA4,BL$3)+1)/($BB4-$BA4+1),SUMPRODUCT((YEAR($AC$2:$AX$2)=YEAR(BL$3))*(MONTH($AC$2:$AX$2)=MONTH(BL$3))*$AC4:$AX4))</f>
        <v>0</v>
      </c>
      <c r="BM4" s="164" t="n">
        <f aca="false">IF(AND($BA4&gt;0,$BB4&gt;=$BA4),$AA4*MAX(0,MIN($BB4,EOMONTH(BM$3,0))-MAX($BA4,BM$3)+1)/($BB4-$BA4+1),SUMPRODUCT((YEAR($AC$2:$AX$2)=YEAR(BM$3))*(MONTH($AC$2:$AX$2)=MONTH(BM$3))*$AC4:$AX4))</f>
        <v>0</v>
      </c>
      <c r="BN4" s="164" t="n">
        <f aca="false">IF(AND($BA4&gt;0,$BB4&gt;=$BA4),$AA4*MAX(0,MIN($BB4,EOMONTH(BN$3,0))-MAX($BA4,BN$3)+1)/($BB4-$BA4+1),SUMPRODUCT((YEAR($AC$2:$AX$2)=YEAR(BN$3))*(MONTH($AC$2:$AX$2)=MONTH(BN$3))*$AC4:$AX4))</f>
        <v>0</v>
      </c>
      <c r="BO4" s="164" t="n">
        <f aca="false">IF(AND($BA4&gt;0,$BB4&gt;=$BA4),$AA4*MAX(0,MIN($BB4,EOMONTH(BO$3,0))-MAX($BA4,BO$3)+1)/($BB4-$BA4+1),SUMPRODUCT((YEAR($AC$2:$AX$2)=YEAR(BO$3))*(MONTH($AC$2:$AX$2)=MONTH(BO$3))*$AC4:$AX4))</f>
        <v>0</v>
      </c>
      <c r="BP4" s="164" t="n">
        <f aca="false">IF(AND($BA4&gt;0,$BB4&gt;=$BA4),$AA4*MAX(0,MIN($BB4,EOMONTH(BP$3,0))-MAX($BA4,BP$3)+1)/($BB4-$BA4+1),SUMPRODUCT((YEAR($AC$2:$AX$2)=YEAR(BP$3))*(MONTH($AC$2:$AX$2)=MONTH(BP$3))*$AC4:$AX4))</f>
        <v>0</v>
      </c>
      <c r="BQ4" s="164" t="n">
        <f aca="false">IF(AND($BA4&gt;0,$BB4&gt;=$BA4),$AA4*MAX(0,MIN($BB4,EOMONTH(BQ$3,0))-MAX($BA4,BQ$3)+1)/($BB4-$BA4+1),SUMPRODUCT((YEAR($AC$2:$AX$2)=YEAR(BQ$3))*(MONTH($AC$2:$AX$2)=MONTH(BQ$3))*$AC4:$AX4))</f>
        <v>0</v>
      </c>
      <c r="BR4" s="164" t="n">
        <f aca="false">IF(AND($BA4&gt;0,$BB4&gt;=$BA4),$AA4*MAX(0,MIN($BB4,EOMONTH(BR$3,0))-MAX($BA4,BR$3)+1)/($BB4-$BA4+1),SUMPRODUCT((YEAR($AC$2:$AX$2)=YEAR(BR$3))*(MONTH($AC$2:$AX$2)=MONTH(BR$3))*$AC4:$AX4))</f>
        <v>0</v>
      </c>
      <c r="BS4" s="164" t="n">
        <f aca="false">IF(AND($BA4&gt;0,$BB4&gt;=$BA4),$AA4*MAX(0,MIN($BB4,EOMONTH(BS$3,0))-MAX($BA4,BS$3)+1)/($BB4-$BA4+1),SUMPRODUCT((YEAR($AC$2:$AX$2)=YEAR(BS$3))*(MONTH($AC$2:$AX$2)=MONTH(BS$3))*$AC4:$AX4))</f>
        <v>0</v>
      </c>
      <c r="BT4" s="164" t="n">
        <f aca="false">IF(AND($BA4&gt;0,$BB4&gt;=$BA4),$AA4*MAX(0,MIN($BB4,EOMONTH(BT$3,0))-MAX($BA4,BT$3)+1)/($BB4-$BA4+1),SUMPRODUCT((YEAR($AC$2:$AX$2)=YEAR(BT$3))*(MONTH($AC$2:$AX$2)=MONTH(BT$3))*$AC4:$AX4))</f>
        <v>0</v>
      </c>
      <c r="BU4" s="164" t="n">
        <f aca="false">IF(AND($BA4&gt;0,$BB4&gt;=$BA4),$AA4*MAX(0,MIN($BB4,EOMONTH(BU$3,0))-MAX($BA4,BU$3)+1)/($BB4-$BA4+1),SUMPRODUCT((YEAR($AC$2:$AX$2)=YEAR(BU$3))*(MONTH($AC$2:$AX$2)=MONTH(BU$3))*$AC4:$AX4))</f>
        <v>0</v>
      </c>
      <c r="BV4" s="164" t="n">
        <f aca="false">IF(AND($BA4&gt;0,$BB4&gt;=$BA4),$AA4*MAX(0,MIN($BB4,EOMONTH(BV$3,0))-MAX($BA4,BV$3)+1)/($BB4-$BA4+1),SUMPRODUCT((YEAR($AC$2:$AX$2)=YEAR(BV$3))*(MONTH($AC$2:$AX$2)=MONTH(BV$3))*$AC4:$AX4))</f>
        <v>0</v>
      </c>
      <c r="BW4" s="164" t="n">
        <f aca="false">IF(AND($BA4&gt;0,$BB4&gt;=$BA4),$AA4*MAX(0,MIN($BB4,EOMONTH(BW$3,0))-MAX($BA4,BW$3)+1)/($BB4-$BA4+1),SUMPRODUCT((YEAR($AC$2:$AX$2)=YEAR(BW$3))*(MONTH($AC$2:$AX$2)=MONTH(BW$3))*$AC4:$AX4))</f>
        <v>0</v>
      </c>
      <c r="BX4" s="164" t="n">
        <f aca="false">IF(AND($BA4&gt;0,$BB4&gt;=$BA4),$AA4*MAX(0,MIN($BB4,EOMONTH(BX$3,0))-MAX($BA4,BX$3)+1)/($BB4-$BA4+1),SUMPRODUCT((YEAR($AC$2:$AX$2)=YEAR(BX$3))*(MONTH($AC$2:$AX$2)=MONTH(BX$3))*$AC4:$AX4))</f>
        <v>0</v>
      </c>
      <c r="BY4" s="164" t="n">
        <f aca="false">IF(AND($BA4&gt;0,$BB4&gt;=$BA4),$AA4*MAX(0,MIN($BB4,EOMONTH(BY$3,0))-MAX($BA4,BY$3)+1)/($BB4-$BA4+1),SUMPRODUCT((YEAR($AC$2:$AX$2)=YEAR(BY$3))*(MONTH($AC$2:$AX$2)=MONTH(BY$3))*$AC4:$AX4))</f>
        <v>0</v>
      </c>
      <c r="BZ4" s="164" t="n">
        <f aca="false">IF(AND($BA4&gt;0,$BB4&gt;=$BA4),$AA4*MAX(0,MIN($BB4,EOMONTH(BZ$3,0))-MAX($BA4,BZ$3)+1)/($BB4-$BA4+1),SUMPRODUCT((YEAR($AC$2:$AX$2)=YEAR(BZ$3))*(MONTH($AC$2:$AX$2)=MONTH(BZ$3))*$AC4:$AX4))</f>
        <v>0</v>
      </c>
      <c r="CA4" s="164" t="n">
        <f aca="false">IF(AND($BA4&gt;0,$BB4&gt;=$BA4),$AA4*MAX(0,MIN($BB4,EOMONTH(CA$3,0))-MAX($BA4,CA$3)+1)/($BB4-$BA4+1),SUMPRODUCT((YEAR($AC$2:$AX$2)=YEAR(CA$3))*(MONTH($AC$2:$AX$2)=MONTH(CA$3))*$AC4:$AX4))</f>
        <v>0</v>
      </c>
      <c r="CB4" s="164" t="n">
        <f aca="false">IF(AND($BA4&gt;0,$BB4&gt;=$BA4),$AA4*MAX(0,MIN($BB4,EOMONTH(CB$3,0))-MAX($BA4,CB$3)+1)/($BB4-$BA4+1),SUMPRODUCT((YEAR($AC$2:$AX$2)=YEAR(CB$3))*(MONTH($AC$2:$AX$2)=MONTH(CB$3))*$AC4:$AX4))</f>
        <v>0</v>
      </c>
      <c r="CC4" s="164" t="n">
        <f aca="false">IF(AND($BA4&gt;0,$BB4&gt;=$BA4),$AA4*MAX(0,MIN($BB4,EOMONTH(CC$3,0))-MAX($BA4,CC$3)+1)/($BB4-$BA4+1),SUMPRODUCT((YEAR($AC$2:$AX$2)=YEAR(CC$3))*(MONTH($AC$2:$AX$2)=MONTH(CC$3))*$AC4:$AX4))</f>
        <v>0</v>
      </c>
      <c r="CD4" s="164" t="n">
        <f aca="false">IF(AND($BA4&gt;0,$BB4&gt;=$BA4),$AA4*MAX(0,MIN($BB4,EOMONTH(CD$3,0))-MAX($BA4,CD$3)+1)/($BB4-$BA4+1),SUMPRODUCT((YEAR($AC$2:$AX$2)=YEAR(CD$3))*(MONTH($AC$2:$AX$2)=MONTH(CD$3))*$AC4:$AX4))</f>
        <v>0</v>
      </c>
      <c r="CE4" s="164" t="n">
        <f aca="false">IF(AND($BA4&gt;0,$BB4&gt;=$BA4),$AA4*MAX(0,MIN($BB4,EOMONTH(CE$3,0))-MAX($BA4,CE$3)+1)/($BB4-$BA4+1),SUMPRODUCT((YEAR($AC$2:$AX$2)=YEAR(CE$3))*(MONTH($AC$2:$AX$2)=MONTH(CE$3))*$AC4:$AX4))</f>
        <v>0</v>
      </c>
      <c r="CF4" s="164" t="n">
        <f aca="false">IF(AND($BA4&gt;0,$BB4&gt;=$BA4),$AA4*MAX(0,MIN($BB4,EOMONTH(CF$3,0))-MAX($BA4,CF$3)+1)/($BB4-$BA4+1),SUMPRODUCT((YEAR($AC$2:$AX$2)=YEAR(CF$3))*(MONTH($AC$2:$AX$2)=MONTH(CF$3))*$AC4:$AX4))</f>
        <v>0</v>
      </c>
      <c r="CG4" s="164" t="n">
        <f aca="false">IF(AND($BA4&gt;0,$BB4&gt;=$BA4),$AA4*MAX(0,MIN($BB4,EOMONTH(CG$3,0))-MAX($BA4,CG$3)+1)/($BB4-$BA4+1),SUMPRODUCT((YEAR($AC$2:$AX$2)=YEAR(CG$3))*(MONTH($AC$2:$AX$2)=MONTH(CG$3))*$AC4:$AX4))</f>
        <v>0</v>
      </c>
      <c r="CH4" s="164" t="n">
        <f aca="false">IF(AND($BA4&gt;0,$BB4&gt;=$BA4),$AA4*MAX(0,MIN($BB4,EOMONTH(CH$3,0))-MAX($BA4,CH$3)+1)/($BB4-$BA4+1),SUMPRODUCT((YEAR($AC$2:$AX$2)=YEAR(CH$3))*(MONTH($AC$2:$AX$2)=MONTH(CH$3))*$AC4:$AX4))</f>
        <v>0</v>
      </c>
      <c r="CI4" s="164" t="n">
        <f aca="false">IF(AND($BA4&gt;0,$BB4&gt;=$BA4),$AA4*MAX(0,MIN($BB4,EOMONTH(CI$3,0))-MAX($BA4,CI$3)+1)/($BB4-$BA4+1),SUMPRODUCT((YEAR($AC$2:$AX$2)=YEAR(CI$3))*(MONTH($AC$2:$AX$2)=MONTH(CI$3))*$AC4:$AX4))</f>
        <v>0</v>
      </c>
      <c r="CJ4" s="164" t="n">
        <f aca="false">IF(AND($BA4&gt;0,$BB4&gt;=$BA4),$AA4*MAX(0,MIN($BB4,EOMONTH(CJ$3,0))-MAX($BA4,CJ$3)+1)/($BB4-$BA4+1),SUMPRODUCT((YEAR($AC$2:$AX$2)=YEAR(CJ$3))*(MONTH($AC$2:$AX$2)=MONTH(CJ$3))*$AC4:$AX4))</f>
        <v>0</v>
      </c>
      <c r="CK4" s="164" t="n">
        <f aca="false">IF(AND($BA4&gt;0,$BB4&gt;=$BA4),$AA4*MAX(0,MIN($BB4,EOMONTH(CK$3,0))-MAX($BA4,CK$3)+1)/($BB4-$BA4+1),SUMPRODUCT((YEAR($AC$2:$AX$2)=YEAR(CK$3))*(MONTH($AC$2:$AX$2)=MONTH(CK$3))*$AC4:$AX4))</f>
        <v>0</v>
      </c>
      <c r="CL4" s="164" t="n">
        <f aca="false">IF(AND($BA4&gt;0,$BB4&gt;=$BA4),$AA4*MAX(0,MIN($BB4,EOMONTH(CL$3,0))-MAX($BA4,CL$3)+1)/($BB4-$BA4+1),SUMPRODUCT((YEAR($AC$2:$AX$2)=YEAR(CL$3))*(MONTH($AC$2:$AX$2)=MONTH(CL$3))*$AC4:$AX4))</f>
        <v>0</v>
      </c>
      <c r="CM4" s="164" t="n">
        <f aca="false">IF(AND($BA4&gt;0,$BB4&gt;=$BA4),$AA4*MAX(0,MIN($BB4,EOMONTH(CM$3,0))-MAX($BA4,CM$3)+1)/($BB4-$BA4+1),SUMPRODUCT((YEAR($AC$2:$AX$2)=YEAR(CM$3))*(MONTH($AC$2:$AX$2)=MONTH(CM$3))*$AC4:$AX4))</f>
        <v>0</v>
      </c>
      <c r="CN4" s="164" t="n">
        <f aca="false">IF(AND($BA4&gt;0,$BB4&gt;=$BA4),$AA4*MAX(0,MIN($BB4,EOMONTH(CN$3,0))-MAX($BA4,CN$3)+1)/($BB4-$BA4+1),SUMPRODUCT((YEAR($AC$2:$AX$2)=YEAR(CN$3))*(MONTH($AC$2:$AX$2)=MONTH(CN$3))*$AC4:$AX4))</f>
        <v>259808.998828586</v>
      </c>
      <c r="CO4" s="164" t="n">
        <f aca="false">IF(AND($BA4&gt;0,$BB4&gt;=$BA4),$AA4*MAX(0,MIN($BB4,EOMONTH(CO$3,0))-MAX($BA4,CO$3)+1)/($BB4-$BA4+1),SUMPRODUCT((YEAR($AC$2:$AX$2)=YEAR(CO$3))*(MONTH($AC$2:$AX$2)=MONTH(CO$3))*$AC4:$AX4))</f>
        <v>81190.3121339331</v>
      </c>
      <c r="CP4" s="164" t="n">
        <f aca="false">IF(AND($BA4&gt;0,$BB4&gt;=$BA4),$AA4*MAX(0,MIN($BB4,EOMONTH(CP$3,0))-MAX($BA4,CP$3)+1)/($BB4-$BA4+1),SUMPRODUCT((YEAR($AC$2:$AX$2)=YEAR(CP$3))*(MONTH($AC$2:$AX$2)=MONTH(CP$3))*$AC4:$AX4))</f>
        <v>0</v>
      </c>
      <c r="CQ4" s="164" t="n">
        <f aca="false">IF(AND($BA4&gt;0,$BB4&gt;=$BA4),$AA4*MAX(0,MIN($BB4,EOMONTH(CQ$3,0))-MAX($BA4,CQ$3)+1)/($BB4-$BA4+1),SUMPRODUCT((YEAR($AC$2:$AX$2)=YEAR(CQ$3))*(MONTH($AC$2:$AX$2)=MONTH(CQ$3))*$AC4:$AX4))</f>
        <v>0</v>
      </c>
      <c r="CR4" s="164" t="n">
        <f aca="false">IF(AND($BA4&gt;0,$BB4&gt;=$BA4),$AA4*MAX(0,MIN($BB4,EOMONTH(CR$3,0))-MAX($BA4,CR$3)+1)/($BB4-$BA4+1),SUMPRODUCT((YEAR($AC$2:$AX$2)=YEAR(CR$3))*(MONTH($AC$2:$AX$2)=MONTH(CR$3))*$AC4:$AX4))</f>
        <v>0</v>
      </c>
      <c r="CS4" s="164" t="n">
        <f aca="false">IF(AND($BA4&gt;0,$BB4&gt;=$BA4),$AA4*MAX(0,MIN($BB4,EOMONTH(CS$3,0))-MAX($BA4,CS$3)+1)/($BB4-$BA4+1),SUMPRODUCT((YEAR($AC$2:$AX$2)=YEAR(CS$3))*(MONTH($AC$2:$AX$2)=MONTH(CS$3))*$AC4:$AX4))</f>
        <v>0</v>
      </c>
      <c r="CT4" s="164" t="n">
        <f aca="false">IF(AND($BA4&gt;0,$BB4&gt;=$BA4),$AA4*MAX(0,MIN($BB4,EOMONTH(CT$3,0))-MAX($BA4,CT$3)+1)/($BB4-$BA4+1),SUMPRODUCT((YEAR($AC$2:$AX$2)=YEAR(CT$3))*(MONTH($AC$2:$AX$2)=MONTH(CT$3))*$AC4:$AX4))</f>
        <v>0</v>
      </c>
      <c r="CU4" s="164" t="n">
        <f aca="false">IF(AND($BA4&gt;0,$BB4&gt;=$BA4),$AA4*MAX(0,MIN($BB4,EOMONTH(CU$3,0))-MAX($BA4,CU$3)+1)/($BB4-$BA4+1),SUMPRODUCT((YEAR($AC$2:$AX$2)=YEAR(CU$3))*(MONTH($AC$2:$AX$2)=MONTH(CU$3))*$AC4:$AX4))</f>
        <v>0</v>
      </c>
      <c r="CV4" s="164" t="n">
        <f aca="false">IF(AND($BA4&gt;0,$BB4&gt;=$BA4),$AA4*MAX(0,MIN($BB4,EOMONTH(CV$3,0))-MAX($BA4,CV$3)+1)/($BB4-$BA4+1),SUMPRODUCT((YEAR($AC$2:$AX$2)=YEAR(CV$3))*(MONTH($AC$2:$AX$2)=MONTH(CV$3))*$AC4:$AX4))</f>
        <v>0</v>
      </c>
      <c r="CW4" s="164" t="n">
        <f aca="false">IF(AND($BA4&gt;0,$BB4&gt;=$BA4),$AA4*MAX(0,MIN($BB4,EOMONTH(CW$3,0))-MAX($BA4,CW$3)+1)/($BB4-$BA4+1),SUMPRODUCT((YEAR($AC$2:$AX$2)=YEAR(CW$3))*(MONTH($AC$2:$AX$2)=MONTH(CW$3))*$AC4:$AX4))</f>
        <v>0</v>
      </c>
      <c r="CX4" s="164" t="n">
        <f aca="false">IF(AND($BA4&gt;0,$BB4&gt;=$BA4),$AA4*MAX(0,MIN($BB4,EOMONTH(CX$3,0))-MAX($BA4,CX$3)+1)/($BB4-$BA4+1),SUMPRODUCT((YEAR($AC$2:$AX$2)=YEAR(CX$3))*(MONTH($AC$2:$AX$2)=MONTH(CX$3))*$AC4:$AX4))</f>
        <v>0</v>
      </c>
      <c r="CY4" s="164" t="n">
        <f aca="false">IF(AND($BA4&gt;0,$BB4&gt;=$BA4),$AA4*MAX(0,MIN($BB4,EOMONTH(CY$3,0))-MAX($BA4,CY$3)+1)/($BB4-$BA4+1),SUMPRODUCT((YEAR($AC$2:$AX$2)=YEAR(CY$3))*(MONTH($AC$2:$AX$2)=MONTH(CY$3))*$AC4:$AX4))</f>
        <v>0</v>
      </c>
      <c r="CZ4" s="164" t="n">
        <f aca="false">IF(AND($BA4&gt;0,$BB4&gt;=$BA4),$AA4*MAX(0,MIN($BB4,EOMONTH(CZ$3,0))-MAX($BA4,CZ$3)+1)/($BB4-$BA4+1),SUMPRODUCT((YEAR($AC$2:$AX$2)=YEAR(CZ$3))*(MONTH($AC$2:$AX$2)=MONTH(CZ$3))*$AC4:$AX4))</f>
        <v>0</v>
      </c>
      <c r="DA4" s="164" t="n">
        <f aca="false">IF(AND($BA4&gt;0,$BB4&gt;=$BA4),$AA4*MAX(0,MIN($BB4,EOMONTH(DA$3,0))-MAX($BA4,DA$3)+1)/($BB4-$BA4+1),SUMPRODUCT((YEAR($AC$2:$AX$2)=YEAR(DA$3))*(MONTH($AC$2:$AX$2)=MONTH(DA$3))*$AC4:$AX4))</f>
        <v>0</v>
      </c>
      <c r="DB4" s="164" t="n">
        <f aca="false">IF(AND($BA4&gt;0,$BB4&gt;=$BA4),$AA4*MAX(0,MIN($BB4,EOMONTH(DB$3,0))-MAX($BA4,DB$3)+1)/($BB4-$BA4+1),SUMPRODUCT((YEAR($AC$2:$AX$2)=YEAR(DB$3))*(MONTH($AC$2:$AX$2)=MONTH(DB$3))*$AC4:$AX4))</f>
        <v>0</v>
      </c>
      <c r="DC4" s="164" t="n">
        <f aca="false">IF(AND($BA4&gt;0,$BB4&gt;=$BA4),$AA4*MAX(0,MIN($BB4,EOMONTH(DC$3,0))-MAX($BA4,DC$3)+1)/($BB4-$BA4+1),SUMPRODUCT((YEAR($AC$2:$AX$2)=YEAR(DC$3))*(MONTH($AC$2:$AX$2)=MONTH(DC$3))*$AC4:$AX4))</f>
        <v>0</v>
      </c>
      <c r="DD4" s="164" t="n">
        <f aca="false">IF(AND($BA4&gt;0,$BB4&gt;=$BA4),$AA4*MAX(0,MIN($BB4,EOMONTH(DD$3,0))-MAX($BA4,DD$3)+1)/($BB4-$BA4+1),SUMPRODUCT((YEAR($AC$2:$AX$2)=YEAR(DD$3))*(MONTH($AC$2:$AX$2)=MONTH(DD$3))*$AC4:$AX4))</f>
        <v>0</v>
      </c>
      <c r="DE4" s="164" t="n">
        <f aca="false">IF(AND($BA4&gt;0,$BB4&gt;=$BA4),$AA4*MAX(0,MIN($BB4,EOMONTH(DE$3,0))-MAX($BA4,DE$3)+1)/($BB4-$BA4+1),SUMPRODUCT((YEAR($AC$2:$AX$2)=YEAR(DE$3))*(MONTH($AC$2:$AX$2)=MONTH(DE$3))*$AC4:$AX4))</f>
        <v>0</v>
      </c>
      <c r="DF4" s="164" t="n">
        <f aca="false">IF(AND($BA4&gt;0,$BB4&gt;=$BA4),$AA4*MAX(0,MIN($BB4,EOMONTH(DF$3,0))-MAX($BA4,DF$3)+1)/($BB4-$BA4+1),SUMPRODUCT((YEAR($AC$2:$AX$2)=YEAR(DF$3))*(MONTH($AC$2:$AX$2)=MONTH(DF$3))*$AC4:$AX4))</f>
        <v>0</v>
      </c>
      <c r="DG4" s="164" t="n">
        <f aca="false">IF(AND($BA4&gt;0,$BB4&gt;=$BA4),$AA4*MAX(0,MIN($BB4,EOMONTH(DG$3,0))-MAX($BA4,DG$3)+1)/($BB4-$BA4+1),SUMPRODUCT((YEAR($AC$2:$AX$2)=YEAR(DG$3))*(MONTH($AC$2:$AX$2)=MONTH(DG$3))*$AC4:$AX4))</f>
        <v>0</v>
      </c>
      <c r="DH4" s="164" t="n">
        <f aca="false">IF(AND($BA4&gt;0,$BB4&gt;=$BA4),$AA4*MAX(0,MIN($BB4,EOMONTH(DH$3,0))-MAX($BA4,DH$3)+1)/($BB4-$BA4+1),SUMPRODUCT((YEAR($AC$2:$AX$2)=YEAR(DH$3))*(MONTH($AC$2:$AX$2)=MONTH(DH$3))*$AC4:$AX4))</f>
        <v>0</v>
      </c>
      <c r="DI4" s="164" t="n">
        <f aca="false">IF(AND($BA4&gt;0,$BB4&gt;=$BA4),$AA4*MAX(0,MIN($BB4,EOMONTH(DI$3,0))-MAX($BA4,DI$3)+1)/($BB4-$BA4+1),SUMPRODUCT((YEAR($AC$2:$AX$2)=YEAR(DI$3))*(MONTH($AC$2:$AX$2)=MONTH(DI$3))*$AC4:$AX4))</f>
        <v>0</v>
      </c>
      <c r="DJ4" s="164" t="n">
        <f aca="false">IF(AND($BA4&gt;0,$BB4&gt;=$BA4),$AA4*MAX(0,MIN($BB4,EOMONTH(DJ$3,0))-MAX($BA4,DJ$3)+1)/($BB4-$BA4+1),SUMPRODUCT((YEAR($AC$2:$AX$2)=YEAR(DJ$3))*(MONTH($AC$2:$AX$2)=MONTH(DJ$3))*$AC4:$AX4))</f>
        <v>0</v>
      </c>
      <c r="DK4" s="164" t="n">
        <f aca="false">IF(AND($BA4&gt;0,$BB4&gt;=$BA4),$AA4*MAX(0,MIN($BB4,EOMONTH(DK$3,0))-MAX($BA4,DK$3)+1)/($BB4-$BA4+1),SUMPRODUCT((YEAR($AC$2:$AX$2)=YEAR(DK$3))*(MONTH($AC$2:$AX$2)=MONTH(DK$3))*$AC4:$AX4))</f>
        <v>0</v>
      </c>
      <c r="DL4" s="164" t="n">
        <f aca="false">IF(AND($BA4&gt;0,$BB4&gt;=$BA4),$AA4*MAX(0,MIN($BB4,EOMONTH(DL$3,0))-MAX($BA4,DL$3)+1)/($BB4-$BA4+1),SUMPRODUCT((YEAR($AC$2:$AX$2)=YEAR(DL$3))*(MONTH($AC$2:$AX$2)=MONTH(DL$3))*$AC4:$AX4))</f>
        <v>0</v>
      </c>
      <c r="DM4" s="164" t="n">
        <f aca="false">IF(AND($BA4&gt;0,$BB4&gt;=$BA4),$AA4*MAX(0,MIN($BB4,EOMONTH(DM$3,0))-MAX($BA4,DM$3)+1)/($BB4-$BA4+1),SUMPRODUCT((YEAR($AC$2:$AX$2)=YEAR(DM$3))*(MONTH($AC$2:$AX$2)=MONTH(DM$3))*$AC4:$AX4))</f>
        <v>0</v>
      </c>
      <c r="DN4" s="164" t="n">
        <f aca="false">IF(AND($BA4&gt;0,$BB4&gt;=$BA4),$AA4*MAX(0,MIN($BB4,EOMONTH(DN$3,0))-MAX($BA4,DN$3)+1)/($BB4-$BA4+1),SUMPRODUCT((YEAR($AC$2:$AX$2)=YEAR(DN$3))*(MONTH($AC$2:$AX$2)=MONTH(DN$3))*$AC4:$AX4))</f>
        <v>0</v>
      </c>
      <c r="DO4" s="164" t="n">
        <f aca="false">IF(AND($BA4&gt;0,$BB4&gt;=$BA4),$AA4*MAX(0,MIN($BB4,EOMONTH(DO$3,0))-MAX($BA4,DO$3)+1)/($BB4-$BA4+1),SUMPRODUCT((YEAR($AC$2:$AX$2)=YEAR(DO$3))*(MONTH($AC$2:$AX$2)=MONTH(DO$3))*$AC4:$AX4))</f>
        <v>0</v>
      </c>
      <c r="DP4" s="164" t="n">
        <f aca="false">IF(AND($BA4&gt;0,$BB4&gt;=$BA4),$AA4*MAX(0,MIN($BB4,EOMONTH(DP$3,0))-MAX($BA4,DP$3)+1)/($BB4-$BA4+1),SUMPRODUCT((YEAR($AC$2:$AX$2)=YEAR(DP$3))*(MONTH($AC$2:$AX$2)=MONTH(DP$3))*$AC4:$AX4))</f>
        <v>0</v>
      </c>
      <c r="DQ4" s="164" t="n">
        <f aca="false">IF(AND($BA4&gt;0,$BB4&gt;=$BA4),$AA4*MAX(0,MIN($BB4,EOMONTH(DQ$3,0))-MAX($BA4,DQ$3)+1)/($BB4-$BA4+1),SUMPRODUCT((YEAR($AC$2:$AX$2)=YEAR(DQ$3))*(MONTH($AC$2:$AX$2)=MONTH(DQ$3))*$AC4:$AX4))</f>
        <v>0</v>
      </c>
      <c r="DR4" s="164" t="n">
        <f aca="false">IF(AND($BA4&gt;0,$BB4&gt;=$BA4),$AA4*MAX(0,MIN($BB4,EOMONTH(DR$3,0))-MAX($BA4,DR$3)+1)/($BB4-$BA4+1),SUMPRODUCT((YEAR($AC$2:$AX$2)=YEAR(DR$3))*(MONTH($AC$2:$AX$2)=MONTH(DR$3))*$AC4:$AX4))</f>
        <v>0</v>
      </c>
      <c r="DS4" s="164" t="n">
        <f aca="false">IF(AND($BA4&gt;0,$BB4&gt;=$BA4),$AA4*MAX(0,MIN($BB4,EOMONTH(DS$3,0))-MAX($BA4,DS$3)+1)/($BB4-$BA4+1),SUMPRODUCT((YEAR($AC$2:$AX$2)=YEAR(DS$3))*(MONTH($AC$2:$AX$2)=MONTH(DS$3))*$AC4:$AX4))</f>
        <v>0</v>
      </c>
      <c r="DT4" s="164" t="n">
        <f aca="false">IF(AND($BA4&gt;0,$BB4&gt;=$BA4),$AA4*MAX(0,MIN($BB4,EOMONTH(DT$3,0))-MAX($BA4,DT$3)+1)/($BB4-$BA4+1),SUMPRODUCT((YEAR($AC$2:$AX$2)=YEAR(DT$3))*(MONTH($AC$2:$AX$2)=MONTH(DT$3))*$AC4:$AX4))</f>
        <v>0</v>
      </c>
      <c r="DU4" s="164" t="n">
        <f aca="false">IF(AND($BA4&gt;0,$BB4&gt;=$BA4),$AA4*MAX(0,MIN($BB4,EOMONTH(DU$3,0))-MAX($BA4,DU$3)+1)/($BB4-$BA4+1),SUMPRODUCT((YEAR($AC$2:$AX$2)=YEAR(DU$3))*(MONTH($AC$2:$AX$2)=MONTH(DU$3))*$AC4:$AX4))</f>
        <v>0</v>
      </c>
      <c r="DV4" s="164" t="n">
        <f aca="false">IF(AND($BA4&gt;0,$BB4&gt;=$BA4),$AA4*MAX(0,MIN($BB4,EOMONTH(DV$3,0))-MAX($BA4,DV$3)+1)/($BB4-$BA4+1),SUMPRODUCT((YEAR($AC$2:$AX$2)=YEAR(DV$3))*(MONTH($AC$2:$AX$2)=MONTH(DV$3))*$AC4:$AX4))</f>
        <v>0</v>
      </c>
      <c r="DW4" s="164" t="n">
        <f aca="false">IF(AND($BA4&gt;0,$BB4&gt;=$BA4),$AA4*MAX(0,MIN($BB4,EOMONTH(DW$3,0))-MAX($BA4,DW$3)+1)/($BB4-$BA4+1),SUMPRODUCT((YEAR($AC$2:$AX$2)=YEAR(DW$3))*(MONTH($AC$2:$AX$2)=MONTH(DW$3))*$AC4:$AX4))</f>
        <v>0</v>
      </c>
    </row>
    <row r="5" customFormat="false" ht="15" hidden="false" customHeight="false" outlineLevel="0" collapsed="false">
      <c r="H5" s="151" t="s">
        <v>2964</v>
      </c>
      <c r="J5" s="152" t="n">
        <v>116.3548</v>
      </c>
      <c r="K5" s="152" t="n">
        <v>193.3</v>
      </c>
      <c r="L5" s="152" t="n">
        <v>1183.97366043</v>
      </c>
      <c r="O5" s="152" t="n">
        <v>18437</v>
      </c>
      <c r="P5" s="152" t="n">
        <v>116.3548</v>
      </c>
      <c r="S5" s="149" t="n">
        <f aca="false">K5*($D$55+$D$57)</f>
        <v>112162.325</v>
      </c>
      <c r="T5" s="149" t="n">
        <f aca="false">L5*$E$47</f>
        <v>169660.465605468</v>
      </c>
      <c r="V5" s="149" t="n">
        <f aca="false">O5*($E$54)</f>
        <v>113069.83900675</v>
      </c>
      <c r="W5" s="149" t="n">
        <f aca="false">O5*($E$49)</f>
        <v>55396.271125</v>
      </c>
      <c r="Y5" s="149" t="n">
        <f aca="false">SUM(P5:Q5)*($E$50+$E$52)</f>
        <v>1699.8751241115</v>
      </c>
      <c r="AA5" s="149" t="n">
        <f aca="false">SUM(S5:Y5)</f>
        <v>451988.775861329</v>
      </c>
      <c r="AV5" s="161" t="n">
        <f aca="false">AA5*0.2</f>
        <v>90397.7551722659</v>
      </c>
      <c r="AW5" s="161" t="n">
        <f aca="false">AA5*0.8</f>
        <v>361591.020689064</v>
      </c>
      <c r="AZ5" s="162" t="s">
        <v>2853</v>
      </c>
      <c r="BA5" s="163" t="n">
        <f aca="false">IF(AZ5="",0,SUMPRODUCT(('CRONOGRAMA ATIVIDADES'!$C$5:$C$6004="ESTRUTURA")*('CRONOGRAMA ATIVIDADES'!$E$5:$E$6004=AZ5)*('CRONOGRAMA ATIVIDADES'!$D$5:$D$6004="-")*'CRONOGRAMA ATIVIDADES'!$F$5:$F$6004))</f>
        <v>46771</v>
      </c>
      <c r="BB5" s="163" t="n">
        <f aca="false">IF(AZ5="",0,SUMPRODUCT(('CRONOGRAMA ATIVIDADES'!$C$5:$C$6004="ESTRUTURA")*('CRONOGRAMA ATIVIDADES'!$E$5:$E$6004=AZ5)*('CRONOGRAMA ATIVIDADES'!$D$5:$D$6004="-")*'CRONOGRAMA ATIVIDADES'!$G$5:$G$6004))</f>
        <v>46794</v>
      </c>
      <c r="BD5" s="164" t="n">
        <f aca="false">IF(AND($BA5&gt;0,$BB5&gt;=$BA5),$AA5*MAX(0,MIN($BB5,EOMONTH(BD$3,0))-MAX($BA5,BD$3)+1)/($BB5-$BA5+1),SUMPRODUCT((YEAR($AC$2:$AX$2)=YEAR(BD$3))*(MONTH($AC$2:$AX$2)=MONTH(BD$3))*$AC5:$AX5))</f>
        <v>0</v>
      </c>
      <c r="BE5" s="164" t="n">
        <f aca="false">IF(AND($BA5&gt;0,$BB5&gt;=$BA5),$AA5*MAX(0,MIN($BB5,EOMONTH(BE$3,0))-MAX($BA5,BE$3)+1)/($BB5-$BA5+1),SUMPRODUCT((YEAR($AC$2:$AX$2)=YEAR(BE$3))*(MONTH($AC$2:$AX$2)=MONTH(BE$3))*$AC5:$AX5))</f>
        <v>0</v>
      </c>
      <c r="BF5" s="164" t="n">
        <f aca="false">IF(AND($BA5&gt;0,$BB5&gt;=$BA5),$AA5*MAX(0,MIN($BB5,EOMONTH(BF$3,0))-MAX($BA5,BF$3)+1)/($BB5-$BA5+1),SUMPRODUCT((YEAR($AC$2:$AX$2)=YEAR(BF$3))*(MONTH($AC$2:$AX$2)=MONTH(BF$3))*$AC5:$AX5))</f>
        <v>0</v>
      </c>
      <c r="BG5" s="164" t="n">
        <f aca="false">IF(AND($BA5&gt;0,$BB5&gt;=$BA5),$AA5*MAX(0,MIN($BB5,EOMONTH(BG$3,0))-MAX($BA5,BG$3)+1)/($BB5-$BA5+1),SUMPRODUCT((YEAR($AC$2:$AX$2)=YEAR(BG$3))*(MONTH($AC$2:$AX$2)=MONTH(BG$3))*$AC5:$AX5))</f>
        <v>0</v>
      </c>
      <c r="BH5" s="164" t="n">
        <f aca="false">IF(AND($BA5&gt;0,$BB5&gt;=$BA5),$AA5*MAX(0,MIN($BB5,EOMONTH(BH$3,0))-MAX($BA5,BH$3)+1)/($BB5-$BA5+1),SUMPRODUCT((YEAR($AC$2:$AX$2)=YEAR(BH$3))*(MONTH($AC$2:$AX$2)=MONTH(BH$3))*$AC5:$AX5))</f>
        <v>0</v>
      </c>
      <c r="BI5" s="164" t="n">
        <f aca="false">IF(AND($BA5&gt;0,$BB5&gt;=$BA5),$AA5*MAX(0,MIN($BB5,EOMONTH(BI$3,0))-MAX($BA5,BI$3)+1)/($BB5-$BA5+1),SUMPRODUCT((YEAR($AC$2:$AX$2)=YEAR(BI$3))*(MONTH($AC$2:$AX$2)=MONTH(BI$3))*$AC5:$AX5))</f>
        <v>0</v>
      </c>
      <c r="BJ5" s="164" t="n">
        <f aca="false">IF(AND($BA5&gt;0,$BB5&gt;=$BA5),$AA5*MAX(0,MIN($BB5,EOMONTH(BJ$3,0))-MAX($BA5,BJ$3)+1)/($BB5-$BA5+1),SUMPRODUCT((YEAR($AC$2:$AX$2)=YEAR(BJ$3))*(MONTH($AC$2:$AX$2)=MONTH(BJ$3))*$AC5:$AX5))</f>
        <v>0</v>
      </c>
      <c r="BK5" s="164" t="n">
        <f aca="false">IF(AND($BA5&gt;0,$BB5&gt;=$BA5),$AA5*MAX(0,MIN($BB5,EOMONTH(BK$3,0))-MAX($BA5,BK$3)+1)/($BB5-$BA5+1),SUMPRODUCT((YEAR($AC$2:$AX$2)=YEAR(BK$3))*(MONTH($AC$2:$AX$2)=MONTH(BK$3))*$AC5:$AX5))</f>
        <v>0</v>
      </c>
      <c r="BL5" s="164" t="n">
        <f aca="false">IF(AND($BA5&gt;0,$BB5&gt;=$BA5),$AA5*MAX(0,MIN($BB5,EOMONTH(BL$3,0))-MAX($BA5,BL$3)+1)/($BB5-$BA5+1),SUMPRODUCT((YEAR($AC$2:$AX$2)=YEAR(BL$3))*(MONTH($AC$2:$AX$2)=MONTH(BL$3))*$AC5:$AX5))</f>
        <v>0</v>
      </c>
      <c r="BM5" s="164" t="n">
        <f aca="false">IF(AND($BA5&gt;0,$BB5&gt;=$BA5),$AA5*MAX(0,MIN($BB5,EOMONTH(BM$3,0))-MAX($BA5,BM$3)+1)/($BB5-$BA5+1),SUMPRODUCT((YEAR($AC$2:$AX$2)=YEAR(BM$3))*(MONTH($AC$2:$AX$2)=MONTH(BM$3))*$AC5:$AX5))</f>
        <v>0</v>
      </c>
      <c r="BN5" s="164" t="n">
        <f aca="false">IF(AND($BA5&gt;0,$BB5&gt;=$BA5),$AA5*MAX(0,MIN($BB5,EOMONTH(BN$3,0))-MAX($BA5,BN$3)+1)/($BB5-$BA5+1),SUMPRODUCT((YEAR($AC$2:$AX$2)=YEAR(BN$3))*(MONTH($AC$2:$AX$2)=MONTH(BN$3))*$AC5:$AX5))</f>
        <v>0</v>
      </c>
      <c r="BO5" s="164" t="n">
        <f aca="false">IF(AND($BA5&gt;0,$BB5&gt;=$BA5),$AA5*MAX(0,MIN($BB5,EOMONTH(BO$3,0))-MAX($BA5,BO$3)+1)/($BB5-$BA5+1),SUMPRODUCT((YEAR($AC$2:$AX$2)=YEAR(BO$3))*(MONTH($AC$2:$AX$2)=MONTH(BO$3))*$AC5:$AX5))</f>
        <v>0</v>
      </c>
      <c r="BP5" s="164" t="n">
        <f aca="false">IF(AND($BA5&gt;0,$BB5&gt;=$BA5),$AA5*MAX(0,MIN($BB5,EOMONTH(BP$3,0))-MAX($BA5,BP$3)+1)/($BB5-$BA5+1),SUMPRODUCT((YEAR($AC$2:$AX$2)=YEAR(BP$3))*(MONTH($AC$2:$AX$2)=MONTH(BP$3))*$AC5:$AX5))</f>
        <v>0</v>
      </c>
      <c r="BQ5" s="164" t="n">
        <f aca="false">IF(AND($BA5&gt;0,$BB5&gt;=$BA5),$AA5*MAX(0,MIN($BB5,EOMONTH(BQ$3,0))-MAX($BA5,BQ$3)+1)/($BB5-$BA5+1),SUMPRODUCT((YEAR($AC$2:$AX$2)=YEAR(BQ$3))*(MONTH($AC$2:$AX$2)=MONTH(BQ$3))*$AC5:$AX5))</f>
        <v>0</v>
      </c>
      <c r="BR5" s="164" t="n">
        <f aca="false">IF(AND($BA5&gt;0,$BB5&gt;=$BA5),$AA5*MAX(0,MIN($BB5,EOMONTH(BR$3,0))-MAX($BA5,BR$3)+1)/($BB5-$BA5+1),SUMPRODUCT((YEAR($AC$2:$AX$2)=YEAR(BR$3))*(MONTH($AC$2:$AX$2)=MONTH(BR$3))*$AC5:$AX5))</f>
        <v>0</v>
      </c>
      <c r="BS5" s="164" t="n">
        <f aca="false">IF(AND($BA5&gt;0,$BB5&gt;=$BA5),$AA5*MAX(0,MIN($BB5,EOMONTH(BS$3,0))-MAX($BA5,BS$3)+1)/($BB5-$BA5+1),SUMPRODUCT((YEAR($AC$2:$AX$2)=YEAR(BS$3))*(MONTH($AC$2:$AX$2)=MONTH(BS$3))*$AC5:$AX5))</f>
        <v>0</v>
      </c>
      <c r="BT5" s="164" t="n">
        <f aca="false">IF(AND($BA5&gt;0,$BB5&gt;=$BA5),$AA5*MAX(0,MIN($BB5,EOMONTH(BT$3,0))-MAX($BA5,BT$3)+1)/($BB5-$BA5+1),SUMPRODUCT((YEAR($AC$2:$AX$2)=YEAR(BT$3))*(MONTH($AC$2:$AX$2)=MONTH(BT$3))*$AC5:$AX5))</f>
        <v>0</v>
      </c>
      <c r="BU5" s="164" t="n">
        <f aca="false">IF(AND($BA5&gt;0,$BB5&gt;=$BA5),$AA5*MAX(0,MIN($BB5,EOMONTH(BU$3,0))-MAX($BA5,BU$3)+1)/($BB5-$BA5+1),SUMPRODUCT((YEAR($AC$2:$AX$2)=YEAR(BU$3))*(MONTH($AC$2:$AX$2)=MONTH(BU$3))*$AC5:$AX5))</f>
        <v>0</v>
      </c>
      <c r="BV5" s="164" t="n">
        <f aca="false">IF(AND($BA5&gt;0,$BB5&gt;=$BA5),$AA5*MAX(0,MIN($BB5,EOMONTH(BV$3,0))-MAX($BA5,BV$3)+1)/($BB5-$BA5+1),SUMPRODUCT((YEAR($AC$2:$AX$2)=YEAR(BV$3))*(MONTH($AC$2:$AX$2)=MONTH(BV$3))*$AC5:$AX5))</f>
        <v>0</v>
      </c>
      <c r="BW5" s="164" t="n">
        <f aca="false">IF(AND($BA5&gt;0,$BB5&gt;=$BA5),$AA5*MAX(0,MIN($BB5,EOMONTH(BW$3,0))-MAX($BA5,BW$3)+1)/($BB5-$BA5+1),SUMPRODUCT((YEAR($AC$2:$AX$2)=YEAR(BW$3))*(MONTH($AC$2:$AX$2)=MONTH(BW$3))*$AC5:$AX5))</f>
        <v>0</v>
      </c>
      <c r="BX5" s="164" t="n">
        <f aca="false">IF(AND($BA5&gt;0,$BB5&gt;=$BA5),$AA5*MAX(0,MIN($BB5,EOMONTH(BX$3,0))-MAX($BA5,BX$3)+1)/($BB5-$BA5+1),SUMPRODUCT((YEAR($AC$2:$AX$2)=YEAR(BX$3))*(MONTH($AC$2:$AX$2)=MONTH(BX$3))*$AC5:$AX5))</f>
        <v>0</v>
      </c>
      <c r="BY5" s="164" t="n">
        <f aca="false">IF(AND($BA5&gt;0,$BB5&gt;=$BA5),$AA5*MAX(0,MIN($BB5,EOMONTH(BY$3,0))-MAX($BA5,BY$3)+1)/($BB5-$BA5+1),SUMPRODUCT((YEAR($AC$2:$AX$2)=YEAR(BY$3))*(MONTH($AC$2:$AX$2)=MONTH(BY$3))*$AC5:$AX5))</f>
        <v>0</v>
      </c>
      <c r="BZ5" s="164" t="n">
        <f aca="false">IF(AND($BA5&gt;0,$BB5&gt;=$BA5),$AA5*MAX(0,MIN($BB5,EOMONTH(BZ$3,0))-MAX($BA5,BZ$3)+1)/($BB5-$BA5+1),SUMPRODUCT((YEAR($AC$2:$AX$2)=YEAR(BZ$3))*(MONTH($AC$2:$AX$2)=MONTH(BZ$3))*$AC5:$AX5))</f>
        <v>0</v>
      </c>
      <c r="CA5" s="164" t="n">
        <f aca="false">IF(AND($BA5&gt;0,$BB5&gt;=$BA5),$AA5*MAX(0,MIN($BB5,EOMONTH(CA$3,0))-MAX($BA5,CA$3)+1)/($BB5-$BA5+1),SUMPRODUCT((YEAR($AC$2:$AX$2)=YEAR(CA$3))*(MONTH($AC$2:$AX$2)=MONTH(CA$3))*$AC5:$AX5))</f>
        <v>0</v>
      </c>
      <c r="CB5" s="164" t="n">
        <f aca="false">IF(AND($BA5&gt;0,$BB5&gt;=$BA5),$AA5*MAX(0,MIN($BB5,EOMONTH(CB$3,0))-MAX($BA5,CB$3)+1)/($BB5-$BA5+1),SUMPRODUCT((YEAR($AC$2:$AX$2)=YEAR(CB$3))*(MONTH($AC$2:$AX$2)=MONTH(CB$3))*$AC5:$AX5))</f>
        <v>0</v>
      </c>
      <c r="CC5" s="164" t="n">
        <f aca="false">IF(AND($BA5&gt;0,$BB5&gt;=$BA5),$AA5*MAX(0,MIN($BB5,EOMONTH(CC$3,0))-MAX($BA5,CC$3)+1)/($BB5-$BA5+1),SUMPRODUCT((YEAR($AC$2:$AX$2)=YEAR(CC$3))*(MONTH($AC$2:$AX$2)=MONTH(CC$3))*$AC5:$AX5))</f>
        <v>0</v>
      </c>
      <c r="CD5" s="164" t="n">
        <f aca="false">IF(AND($BA5&gt;0,$BB5&gt;=$BA5),$AA5*MAX(0,MIN($BB5,EOMONTH(CD$3,0))-MAX($BA5,CD$3)+1)/($BB5-$BA5+1),SUMPRODUCT((YEAR($AC$2:$AX$2)=YEAR(CD$3))*(MONTH($AC$2:$AX$2)=MONTH(CD$3))*$AC5:$AX5))</f>
        <v>0</v>
      </c>
      <c r="CE5" s="164" t="n">
        <f aca="false">IF(AND($BA5&gt;0,$BB5&gt;=$BA5),$AA5*MAX(0,MIN($BB5,EOMONTH(CE$3,0))-MAX($BA5,CE$3)+1)/($BB5-$BA5+1),SUMPRODUCT((YEAR($AC$2:$AX$2)=YEAR(CE$3))*(MONTH($AC$2:$AX$2)=MONTH(CE$3))*$AC5:$AX5))</f>
        <v>0</v>
      </c>
      <c r="CF5" s="164" t="n">
        <f aca="false">IF(AND($BA5&gt;0,$BB5&gt;=$BA5),$AA5*MAX(0,MIN($BB5,EOMONTH(CF$3,0))-MAX($BA5,CF$3)+1)/($BB5-$BA5+1),SUMPRODUCT((YEAR($AC$2:$AX$2)=YEAR(CF$3))*(MONTH($AC$2:$AX$2)=MONTH(CF$3))*$AC5:$AX5))</f>
        <v>0</v>
      </c>
      <c r="CG5" s="164" t="n">
        <f aca="false">IF(AND($BA5&gt;0,$BB5&gt;=$BA5),$AA5*MAX(0,MIN($BB5,EOMONTH(CG$3,0))-MAX($BA5,CG$3)+1)/($BB5-$BA5+1),SUMPRODUCT((YEAR($AC$2:$AX$2)=YEAR(CG$3))*(MONTH($AC$2:$AX$2)=MONTH(CG$3))*$AC5:$AX5))</f>
        <v>0</v>
      </c>
      <c r="CH5" s="164" t="n">
        <f aca="false">IF(AND($BA5&gt;0,$BB5&gt;=$BA5),$AA5*MAX(0,MIN($BB5,EOMONTH(CH$3,0))-MAX($BA5,CH$3)+1)/($BB5-$BA5+1),SUMPRODUCT((YEAR($AC$2:$AX$2)=YEAR(CH$3))*(MONTH($AC$2:$AX$2)=MONTH(CH$3))*$AC5:$AX5))</f>
        <v>0</v>
      </c>
      <c r="CI5" s="164" t="n">
        <f aca="false">IF(AND($BA5&gt;0,$BB5&gt;=$BA5),$AA5*MAX(0,MIN($BB5,EOMONTH(CI$3,0))-MAX($BA5,CI$3)+1)/($BB5-$BA5+1),SUMPRODUCT((YEAR($AC$2:$AX$2)=YEAR(CI$3))*(MONTH($AC$2:$AX$2)=MONTH(CI$3))*$AC5:$AX5))</f>
        <v>0</v>
      </c>
      <c r="CJ5" s="164" t="n">
        <f aca="false">IF(AND($BA5&gt;0,$BB5&gt;=$BA5),$AA5*MAX(0,MIN($BB5,EOMONTH(CJ$3,0))-MAX($BA5,CJ$3)+1)/($BB5-$BA5+1),SUMPRODUCT((YEAR($AC$2:$AX$2)=YEAR(CJ$3))*(MONTH($AC$2:$AX$2)=MONTH(CJ$3))*$AC5:$AX5))</f>
        <v>0</v>
      </c>
      <c r="CK5" s="164" t="n">
        <f aca="false">IF(AND($BA5&gt;0,$BB5&gt;=$BA5),$AA5*MAX(0,MIN($BB5,EOMONTH(CK$3,0))-MAX($BA5,CK$3)+1)/($BB5-$BA5+1),SUMPRODUCT((YEAR($AC$2:$AX$2)=YEAR(CK$3))*(MONTH($AC$2:$AX$2)=MONTH(CK$3))*$AC5:$AX5))</f>
        <v>0</v>
      </c>
      <c r="CL5" s="164" t="n">
        <f aca="false">IF(AND($BA5&gt;0,$BB5&gt;=$BA5),$AA5*MAX(0,MIN($BB5,EOMONTH(CL$3,0))-MAX($BA5,CL$3)+1)/($BB5-$BA5+1),SUMPRODUCT((YEAR($AC$2:$AX$2)=YEAR(CL$3))*(MONTH($AC$2:$AX$2)=MONTH(CL$3))*$AC5:$AX5))</f>
        <v>0</v>
      </c>
      <c r="CM5" s="164" t="n">
        <f aca="false">IF(AND($BA5&gt;0,$BB5&gt;=$BA5),$AA5*MAX(0,MIN($BB5,EOMONTH(CM$3,0))-MAX($BA5,CM$3)+1)/($BB5-$BA5+1),SUMPRODUCT((YEAR($AC$2:$AX$2)=YEAR(CM$3))*(MONTH($AC$2:$AX$2)=MONTH(CM$3))*$AC5:$AX5))</f>
        <v>0</v>
      </c>
      <c r="CN5" s="164" t="n">
        <f aca="false">IF(AND($BA5&gt;0,$BB5&gt;=$BA5),$AA5*MAX(0,MIN($BB5,EOMONTH(CN$3,0))-MAX($BA5,CN$3)+1)/($BB5-$BA5+1),SUMPRODUCT((YEAR($AC$2:$AX$2)=YEAR(CN$3))*(MONTH($AC$2:$AX$2)=MONTH(CN$3))*$AC5:$AX5))</f>
        <v>0</v>
      </c>
      <c r="CO5" s="164" t="n">
        <f aca="false">IF(AND($BA5&gt;0,$BB5&gt;=$BA5),$AA5*MAX(0,MIN($BB5,EOMONTH(CO$3,0))-MAX($BA5,CO$3)+1)/($BB5-$BA5+1),SUMPRODUCT((YEAR($AC$2:$AX$2)=YEAR(CO$3))*(MONTH($AC$2:$AX$2)=MONTH(CO$3))*$AC5:$AX5))</f>
        <v>244827.253591553</v>
      </c>
      <c r="CP5" s="164" t="n">
        <f aca="false">IF(AND($BA5&gt;0,$BB5&gt;=$BA5),$AA5*MAX(0,MIN($BB5,EOMONTH(CP$3,0))-MAX($BA5,CP$3)+1)/($BB5-$BA5+1),SUMPRODUCT((YEAR($AC$2:$AX$2)=YEAR(CP$3))*(MONTH($AC$2:$AX$2)=MONTH(CP$3))*$AC5:$AX5))</f>
        <v>207161.522269776</v>
      </c>
      <c r="CQ5" s="164" t="n">
        <f aca="false">IF(AND($BA5&gt;0,$BB5&gt;=$BA5),$AA5*MAX(0,MIN($BB5,EOMONTH(CQ$3,0))-MAX($BA5,CQ$3)+1)/($BB5-$BA5+1),SUMPRODUCT((YEAR($AC$2:$AX$2)=YEAR(CQ$3))*(MONTH($AC$2:$AX$2)=MONTH(CQ$3))*$AC5:$AX5))</f>
        <v>0</v>
      </c>
      <c r="CR5" s="164" t="n">
        <f aca="false">IF(AND($BA5&gt;0,$BB5&gt;=$BA5),$AA5*MAX(0,MIN($BB5,EOMONTH(CR$3,0))-MAX($BA5,CR$3)+1)/($BB5-$BA5+1),SUMPRODUCT((YEAR($AC$2:$AX$2)=YEAR(CR$3))*(MONTH($AC$2:$AX$2)=MONTH(CR$3))*$AC5:$AX5))</f>
        <v>0</v>
      </c>
      <c r="CS5" s="164" t="n">
        <f aca="false">IF(AND($BA5&gt;0,$BB5&gt;=$BA5),$AA5*MAX(0,MIN($BB5,EOMONTH(CS$3,0))-MAX($BA5,CS$3)+1)/($BB5-$BA5+1),SUMPRODUCT((YEAR($AC$2:$AX$2)=YEAR(CS$3))*(MONTH($AC$2:$AX$2)=MONTH(CS$3))*$AC5:$AX5))</f>
        <v>0</v>
      </c>
      <c r="CT5" s="164" t="n">
        <f aca="false">IF(AND($BA5&gt;0,$BB5&gt;=$BA5),$AA5*MAX(0,MIN($BB5,EOMONTH(CT$3,0))-MAX($BA5,CT$3)+1)/($BB5-$BA5+1),SUMPRODUCT((YEAR($AC$2:$AX$2)=YEAR(CT$3))*(MONTH($AC$2:$AX$2)=MONTH(CT$3))*$AC5:$AX5))</f>
        <v>0</v>
      </c>
      <c r="CU5" s="164" t="n">
        <f aca="false">IF(AND($BA5&gt;0,$BB5&gt;=$BA5),$AA5*MAX(0,MIN($BB5,EOMONTH(CU$3,0))-MAX($BA5,CU$3)+1)/($BB5-$BA5+1),SUMPRODUCT((YEAR($AC$2:$AX$2)=YEAR(CU$3))*(MONTH($AC$2:$AX$2)=MONTH(CU$3))*$AC5:$AX5))</f>
        <v>0</v>
      </c>
      <c r="CV5" s="164" t="n">
        <f aca="false">IF(AND($BA5&gt;0,$BB5&gt;=$BA5),$AA5*MAX(0,MIN($BB5,EOMONTH(CV$3,0))-MAX($BA5,CV$3)+1)/($BB5-$BA5+1),SUMPRODUCT((YEAR($AC$2:$AX$2)=YEAR(CV$3))*(MONTH($AC$2:$AX$2)=MONTH(CV$3))*$AC5:$AX5))</f>
        <v>0</v>
      </c>
      <c r="CW5" s="164" t="n">
        <f aca="false">IF(AND($BA5&gt;0,$BB5&gt;=$BA5),$AA5*MAX(0,MIN($BB5,EOMONTH(CW$3,0))-MAX($BA5,CW$3)+1)/($BB5-$BA5+1),SUMPRODUCT((YEAR($AC$2:$AX$2)=YEAR(CW$3))*(MONTH($AC$2:$AX$2)=MONTH(CW$3))*$AC5:$AX5))</f>
        <v>0</v>
      </c>
      <c r="CX5" s="164" t="n">
        <f aca="false">IF(AND($BA5&gt;0,$BB5&gt;=$BA5),$AA5*MAX(0,MIN($BB5,EOMONTH(CX$3,0))-MAX($BA5,CX$3)+1)/($BB5-$BA5+1),SUMPRODUCT((YEAR($AC$2:$AX$2)=YEAR(CX$3))*(MONTH($AC$2:$AX$2)=MONTH(CX$3))*$AC5:$AX5))</f>
        <v>0</v>
      </c>
      <c r="CY5" s="164" t="n">
        <f aca="false">IF(AND($BA5&gt;0,$BB5&gt;=$BA5),$AA5*MAX(0,MIN($BB5,EOMONTH(CY$3,0))-MAX($BA5,CY$3)+1)/($BB5-$BA5+1),SUMPRODUCT((YEAR($AC$2:$AX$2)=YEAR(CY$3))*(MONTH($AC$2:$AX$2)=MONTH(CY$3))*$AC5:$AX5))</f>
        <v>0</v>
      </c>
      <c r="CZ5" s="164" t="n">
        <f aca="false">IF(AND($BA5&gt;0,$BB5&gt;=$BA5),$AA5*MAX(0,MIN($BB5,EOMONTH(CZ$3,0))-MAX($BA5,CZ$3)+1)/($BB5-$BA5+1),SUMPRODUCT((YEAR($AC$2:$AX$2)=YEAR(CZ$3))*(MONTH($AC$2:$AX$2)=MONTH(CZ$3))*$AC5:$AX5))</f>
        <v>0</v>
      </c>
      <c r="DA5" s="164" t="n">
        <f aca="false">IF(AND($BA5&gt;0,$BB5&gt;=$BA5),$AA5*MAX(0,MIN($BB5,EOMONTH(DA$3,0))-MAX($BA5,DA$3)+1)/($BB5-$BA5+1),SUMPRODUCT((YEAR($AC$2:$AX$2)=YEAR(DA$3))*(MONTH($AC$2:$AX$2)=MONTH(DA$3))*$AC5:$AX5))</f>
        <v>0</v>
      </c>
      <c r="DB5" s="164" t="n">
        <f aca="false">IF(AND($BA5&gt;0,$BB5&gt;=$BA5),$AA5*MAX(0,MIN($BB5,EOMONTH(DB$3,0))-MAX($BA5,DB$3)+1)/($BB5-$BA5+1),SUMPRODUCT((YEAR($AC$2:$AX$2)=YEAR(DB$3))*(MONTH($AC$2:$AX$2)=MONTH(DB$3))*$AC5:$AX5))</f>
        <v>0</v>
      </c>
      <c r="DC5" s="164" t="n">
        <f aca="false">IF(AND($BA5&gt;0,$BB5&gt;=$BA5),$AA5*MAX(0,MIN($BB5,EOMONTH(DC$3,0))-MAX($BA5,DC$3)+1)/($BB5-$BA5+1),SUMPRODUCT((YEAR($AC$2:$AX$2)=YEAR(DC$3))*(MONTH($AC$2:$AX$2)=MONTH(DC$3))*$AC5:$AX5))</f>
        <v>0</v>
      </c>
      <c r="DD5" s="164" t="n">
        <f aca="false">IF(AND($BA5&gt;0,$BB5&gt;=$BA5),$AA5*MAX(0,MIN($BB5,EOMONTH(DD$3,0))-MAX($BA5,DD$3)+1)/($BB5-$BA5+1),SUMPRODUCT((YEAR($AC$2:$AX$2)=YEAR(DD$3))*(MONTH($AC$2:$AX$2)=MONTH(DD$3))*$AC5:$AX5))</f>
        <v>0</v>
      </c>
      <c r="DE5" s="164" t="n">
        <f aca="false">IF(AND($BA5&gt;0,$BB5&gt;=$BA5),$AA5*MAX(0,MIN($BB5,EOMONTH(DE$3,0))-MAX($BA5,DE$3)+1)/($BB5-$BA5+1),SUMPRODUCT((YEAR($AC$2:$AX$2)=YEAR(DE$3))*(MONTH($AC$2:$AX$2)=MONTH(DE$3))*$AC5:$AX5))</f>
        <v>0</v>
      </c>
      <c r="DF5" s="164" t="n">
        <f aca="false">IF(AND($BA5&gt;0,$BB5&gt;=$BA5),$AA5*MAX(0,MIN($BB5,EOMONTH(DF$3,0))-MAX($BA5,DF$3)+1)/($BB5-$BA5+1),SUMPRODUCT((YEAR($AC$2:$AX$2)=YEAR(DF$3))*(MONTH($AC$2:$AX$2)=MONTH(DF$3))*$AC5:$AX5))</f>
        <v>0</v>
      </c>
      <c r="DG5" s="164" t="n">
        <f aca="false">IF(AND($BA5&gt;0,$BB5&gt;=$BA5),$AA5*MAX(0,MIN($BB5,EOMONTH(DG$3,0))-MAX($BA5,DG$3)+1)/($BB5-$BA5+1),SUMPRODUCT((YEAR($AC$2:$AX$2)=YEAR(DG$3))*(MONTH($AC$2:$AX$2)=MONTH(DG$3))*$AC5:$AX5))</f>
        <v>0</v>
      </c>
      <c r="DH5" s="164" t="n">
        <f aca="false">IF(AND($BA5&gt;0,$BB5&gt;=$BA5),$AA5*MAX(0,MIN($BB5,EOMONTH(DH$3,0))-MAX($BA5,DH$3)+1)/($BB5-$BA5+1),SUMPRODUCT((YEAR($AC$2:$AX$2)=YEAR(DH$3))*(MONTH($AC$2:$AX$2)=MONTH(DH$3))*$AC5:$AX5))</f>
        <v>0</v>
      </c>
      <c r="DI5" s="164" t="n">
        <f aca="false">IF(AND($BA5&gt;0,$BB5&gt;=$BA5),$AA5*MAX(0,MIN($BB5,EOMONTH(DI$3,0))-MAX($BA5,DI$3)+1)/($BB5-$BA5+1),SUMPRODUCT((YEAR($AC$2:$AX$2)=YEAR(DI$3))*(MONTH($AC$2:$AX$2)=MONTH(DI$3))*$AC5:$AX5))</f>
        <v>0</v>
      </c>
      <c r="DJ5" s="164" t="n">
        <f aca="false">IF(AND($BA5&gt;0,$BB5&gt;=$BA5),$AA5*MAX(0,MIN($BB5,EOMONTH(DJ$3,0))-MAX($BA5,DJ$3)+1)/($BB5-$BA5+1),SUMPRODUCT((YEAR($AC$2:$AX$2)=YEAR(DJ$3))*(MONTH($AC$2:$AX$2)=MONTH(DJ$3))*$AC5:$AX5))</f>
        <v>0</v>
      </c>
      <c r="DK5" s="164" t="n">
        <f aca="false">IF(AND($BA5&gt;0,$BB5&gt;=$BA5),$AA5*MAX(0,MIN($BB5,EOMONTH(DK$3,0))-MAX($BA5,DK$3)+1)/($BB5-$BA5+1),SUMPRODUCT((YEAR($AC$2:$AX$2)=YEAR(DK$3))*(MONTH($AC$2:$AX$2)=MONTH(DK$3))*$AC5:$AX5))</f>
        <v>0</v>
      </c>
      <c r="DL5" s="164" t="n">
        <f aca="false">IF(AND($BA5&gt;0,$BB5&gt;=$BA5),$AA5*MAX(0,MIN($BB5,EOMONTH(DL$3,0))-MAX($BA5,DL$3)+1)/($BB5-$BA5+1),SUMPRODUCT((YEAR($AC$2:$AX$2)=YEAR(DL$3))*(MONTH($AC$2:$AX$2)=MONTH(DL$3))*$AC5:$AX5))</f>
        <v>0</v>
      </c>
      <c r="DM5" s="164" t="n">
        <f aca="false">IF(AND($BA5&gt;0,$BB5&gt;=$BA5),$AA5*MAX(0,MIN($BB5,EOMONTH(DM$3,0))-MAX($BA5,DM$3)+1)/($BB5-$BA5+1),SUMPRODUCT((YEAR($AC$2:$AX$2)=YEAR(DM$3))*(MONTH($AC$2:$AX$2)=MONTH(DM$3))*$AC5:$AX5))</f>
        <v>0</v>
      </c>
      <c r="DN5" s="164" t="n">
        <f aca="false">IF(AND($BA5&gt;0,$BB5&gt;=$BA5),$AA5*MAX(0,MIN($BB5,EOMONTH(DN$3,0))-MAX($BA5,DN$3)+1)/($BB5-$BA5+1),SUMPRODUCT((YEAR($AC$2:$AX$2)=YEAR(DN$3))*(MONTH($AC$2:$AX$2)=MONTH(DN$3))*$AC5:$AX5))</f>
        <v>0</v>
      </c>
      <c r="DO5" s="164" t="n">
        <f aca="false">IF(AND($BA5&gt;0,$BB5&gt;=$BA5),$AA5*MAX(0,MIN($BB5,EOMONTH(DO$3,0))-MAX($BA5,DO$3)+1)/($BB5-$BA5+1),SUMPRODUCT((YEAR($AC$2:$AX$2)=YEAR(DO$3))*(MONTH($AC$2:$AX$2)=MONTH(DO$3))*$AC5:$AX5))</f>
        <v>0</v>
      </c>
      <c r="DP5" s="164" t="n">
        <f aca="false">IF(AND($BA5&gt;0,$BB5&gt;=$BA5),$AA5*MAX(0,MIN($BB5,EOMONTH(DP$3,0))-MAX($BA5,DP$3)+1)/($BB5-$BA5+1),SUMPRODUCT((YEAR($AC$2:$AX$2)=YEAR(DP$3))*(MONTH($AC$2:$AX$2)=MONTH(DP$3))*$AC5:$AX5))</f>
        <v>0</v>
      </c>
      <c r="DQ5" s="164" t="n">
        <f aca="false">IF(AND($BA5&gt;0,$BB5&gt;=$BA5),$AA5*MAX(0,MIN($BB5,EOMONTH(DQ$3,0))-MAX($BA5,DQ$3)+1)/($BB5-$BA5+1),SUMPRODUCT((YEAR($AC$2:$AX$2)=YEAR(DQ$3))*(MONTH($AC$2:$AX$2)=MONTH(DQ$3))*$AC5:$AX5))</f>
        <v>0</v>
      </c>
      <c r="DR5" s="164" t="n">
        <f aca="false">IF(AND($BA5&gt;0,$BB5&gt;=$BA5),$AA5*MAX(0,MIN($BB5,EOMONTH(DR$3,0))-MAX($BA5,DR$3)+1)/($BB5-$BA5+1),SUMPRODUCT((YEAR($AC$2:$AX$2)=YEAR(DR$3))*(MONTH($AC$2:$AX$2)=MONTH(DR$3))*$AC5:$AX5))</f>
        <v>0</v>
      </c>
      <c r="DS5" s="164" t="n">
        <f aca="false">IF(AND($BA5&gt;0,$BB5&gt;=$BA5),$AA5*MAX(0,MIN($BB5,EOMONTH(DS$3,0))-MAX($BA5,DS$3)+1)/($BB5-$BA5+1),SUMPRODUCT((YEAR($AC$2:$AX$2)=YEAR(DS$3))*(MONTH($AC$2:$AX$2)=MONTH(DS$3))*$AC5:$AX5))</f>
        <v>0</v>
      </c>
      <c r="DT5" s="164" t="n">
        <f aca="false">IF(AND($BA5&gt;0,$BB5&gt;=$BA5),$AA5*MAX(0,MIN($BB5,EOMONTH(DT$3,0))-MAX($BA5,DT$3)+1)/($BB5-$BA5+1),SUMPRODUCT((YEAR($AC$2:$AX$2)=YEAR(DT$3))*(MONTH($AC$2:$AX$2)=MONTH(DT$3))*$AC5:$AX5))</f>
        <v>0</v>
      </c>
      <c r="DU5" s="164" t="n">
        <f aca="false">IF(AND($BA5&gt;0,$BB5&gt;=$BA5),$AA5*MAX(0,MIN($BB5,EOMONTH(DU$3,0))-MAX($BA5,DU$3)+1)/($BB5-$BA5+1),SUMPRODUCT((YEAR($AC$2:$AX$2)=YEAR(DU$3))*(MONTH($AC$2:$AX$2)=MONTH(DU$3))*$AC5:$AX5))</f>
        <v>0</v>
      </c>
      <c r="DV5" s="164" t="n">
        <f aca="false">IF(AND($BA5&gt;0,$BB5&gt;=$BA5),$AA5*MAX(0,MIN($BB5,EOMONTH(DV$3,0))-MAX($BA5,DV$3)+1)/($BB5-$BA5+1),SUMPRODUCT((YEAR($AC$2:$AX$2)=YEAR(DV$3))*(MONTH($AC$2:$AX$2)=MONTH(DV$3))*$AC5:$AX5))</f>
        <v>0</v>
      </c>
      <c r="DW5" s="164" t="n">
        <f aca="false">IF(AND($BA5&gt;0,$BB5&gt;=$BA5),$AA5*MAX(0,MIN($BB5,EOMONTH(DW$3,0))-MAX($BA5,DW$3)+1)/($BB5-$BA5+1),SUMPRODUCT((YEAR($AC$2:$AX$2)=YEAR(DW$3))*(MONTH($AC$2:$AX$2)=MONTH(DW$3))*$AC5:$AX5))</f>
        <v>0</v>
      </c>
    </row>
    <row r="6" customFormat="false" ht="15" hidden="false" customHeight="false" outlineLevel="0" collapsed="false">
      <c r="H6" s="151" t="s">
        <v>1204</v>
      </c>
      <c r="J6" s="152" t="n">
        <v>560.3472</v>
      </c>
      <c r="K6" s="152" t="n">
        <v>50.7</v>
      </c>
      <c r="L6" s="152" t="n">
        <v>317.899025</v>
      </c>
      <c r="O6" s="152" t="n">
        <v>4416</v>
      </c>
      <c r="P6" s="152" t="n">
        <v>560.3472</v>
      </c>
      <c r="S6" s="149" t="n">
        <f aca="false">K6*($D$55+$D$57)</f>
        <v>29418.675</v>
      </c>
      <c r="T6" s="149" t="n">
        <f aca="false">L6*$E$47</f>
        <v>45554.1355349375</v>
      </c>
      <c r="V6" s="149" t="n">
        <f aca="false">O6*($E$54)</f>
        <v>27082.302384</v>
      </c>
      <c r="W6" s="149" t="n">
        <f aca="false">O6*($E$49)</f>
        <v>13268.424</v>
      </c>
      <c r="Y6" s="149" t="n">
        <f aca="false">SUM(P6:Q6)*($E$50+$E$52)</f>
        <v>8186.342687586</v>
      </c>
      <c r="AA6" s="149" t="n">
        <f aca="false">SUM(S6:Y6)</f>
        <v>123509.879606523</v>
      </c>
      <c r="AV6" s="161" t="n">
        <f aca="false">AA6</f>
        <v>123509.879606523</v>
      </c>
      <c r="AZ6" s="162" t="s">
        <v>2852</v>
      </c>
      <c r="BA6" s="163" t="n">
        <f aca="false">IF(AZ6="",0,SUMPRODUCT(('CRONOGRAMA ATIVIDADES'!$C$5:$C$6004="ESTRUTURA")*('CRONOGRAMA ATIVIDADES'!$E$5:$E$6004=AZ6)*('CRONOGRAMA ATIVIDADES'!$D$5:$D$6004="-")*'CRONOGRAMA ATIVIDADES'!$F$5:$F$6004))</f>
        <v>46758</v>
      </c>
      <c r="BB6" s="163" t="n">
        <f aca="false">IF(AZ6="",0,SUMPRODUCT(('CRONOGRAMA ATIVIDADES'!$C$5:$C$6004="ESTRUTURA")*('CRONOGRAMA ATIVIDADES'!$E$5:$E$6004=AZ6)*('CRONOGRAMA ATIVIDADES'!$D$5:$D$6004="-")*'CRONOGRAMA ATIVIDADES'!$G$5:$G$6004))</f>
        <v>46770</v>
      </c>
      <c r="BD6" s="164" t="n">
        <f aca="false">IF(AND($BA6&gt;0,$BB6&gt;=$BA6),$AA6*MAX(0,MIN($BB6,EOMONTH(BD$3,0))-MAX($BA6,BD$3)+1)/($BB6-$BA6+1),SUMPRODUCT((YEAR($AC$2:$AX$2)=YEAR(BD$3))*(MONTH($AC$2:$AX$2)=MONTH(BD$3))*$AC6:$AX6))</f>
        <v>0</v>
      </c>
      <c r="BE6" s="164" t="n">
        <f aca="false">IF(AND($BA6&gt;0,$BB6&gt;=$BA6),$AA6*MAX(0,MIN($BB6,EOMONTH(BE$3,0))-MAX($BA6,BE$3)+1)/($BB6-$BA6+1),SUMPRODUCT((YEAR($AC$2:$AX$2)=YEAR(BE$3))*(MONTH($AC$2:$AX$2)=MONTH(BE$3))*$AC6:$AX6))</f>
        <v>0</v>
      </c>
      <c r="BF6" s="164" t="n">
        <f aca="false">IF(AND($BA6&gt;0,$BB6&gt;=$BA6),$AA6*MAX(0,MIN($BB6,EOMONTH(BF$3,0))-MAX($BA6,BF$3)+1)/($BB6-$BA6+1),SUMPRODUCT((YEAR($AC$2:$AX$2)=YEAR(BF$3))*(MONTH($AC$2:$AX$2)=MONTH(BF$3))*$AC6:$AX6))</f>
        <v>0</v>
      </c>
      <c r="BG6" s="164" t="n">
        <f aca="false">IF(AND($BA6&gt;0,$BB6&gt;=$BA6),$AA6*MAX(0,MIN($BB6,EOMONTH(BG$3,0))-MAX($BA6,BG$3)+1)/($BB6-$BA6+1),SUMPRODUCT((YEAR($AC$2:$AX$2)=YEAR(BG$3))*(MONTH($AC$2:$AX$2)=MONTH(BG$3))*$AC6:$AX6))</f>
        <v>0</v>
      </c>
      <c r="BH6" s="164" t="n">
        <f aca="false">IF(AND($BA6&gt;0,$BB6&gt;=$BA6),$AA6*MAX(0,MIN($BB6,EOMONTH(BH$3,0))-MAX($BA6,BH$3)+1)/($BB6-$BA6+1),SUMPRODUCT((YEAR($AC$2:$AX$2)=YEAR(BH$3))*(MONTH($AC$2:$AX$2)=MONTH(BH$3))*$AC6:$AX6))</f>
        <v>0</v>
      </c>
      <c r="BI6" s="164" t="n">
        <f aca="false">IF(AND($BA6&gt;0,$BB6&gt;=$BA6),$AA6*MAX(0,MIN($BB6,EOMONTH(BI$3,0))-MAX($BA6,BI$3)+1)/($BB6-$BA6+1),SUMPRODUCT((YEAR($AC$2:$AX$2)=YEAR(BI$3))*(MONTH($AC$2:$AX$2)=MONTH(BI$3))*$AC6:$AX6))</f>
        <v>0</v>
      </c>
      <c r="BJ6" s="164" t="n">
        <f aca="false">IF(AND($BA6&gt;0,$BB6&gt;=$BA6),$AA6*MAX(0,MIN($BB6,EOMONTH(BJ$3,0))-MAX($BA6,BJ$3)+1)/($BB6-$BA6+1),SUMPRODUCT((YEAR($AC$2:$AX$2)=YEAR(BJ$3))*(MONTH($AC$2:$AX$2)=MONTH(BJ$3))*$AC6:$AX6))</f>
        <v>0</v>
      </c>
      <c r="BK6" s="164" t="n">
        <f aca="false">IF(AND($BA6&gt;0,$BB6&gt;=$BA6),$AA6*MAX(0,MIN($BB6,EOMONTH(BK$3,0))-MAX($BA6,BK$3)+1)/($BB6-$BA6+1),SUMPRODUCT((YEAR($AC$2:$AX$2)=YEAR(BK$3))*(MONTH($AC$2:$AX$2)=MONTH(BK$3))*$AC6:$AX6))</f>
        <v>0</v>
      </c>
      <c r="BL6" s="164" t="n">
        <f aca="false">IF(AND($BA6&gt;0,$BB6&gt;=$BA6),$AA6*MAX(0,MIN($BB6,EOMONTH(BL$3,0))-MAX($BA6,BL$3)+1)/($BB6-$BA6+1),SUMPRODUCT((YEAR($AC$2:$AX$2)=YEAR(BL$3))*(MONTH($AC$2:$AX$2)=MONTH(BL$3))*$AC6:$AX6))</f>
        <v>0</v>
      </c>
      <c r="BM6" s="164" t="n">
        <f aca="false">IF(AND($BA6&gt;0,$BB6&gt;=$BA6),$AA6*MAX(0,MIN($BB6,EOMONTH(BM$3,0))-MAX($BA6,BM$3)+1)/($BB6-$BA6+1),SUMPRODUCT((YEAR($AC$2:$AX$2)=YEAR(BM$3))*(MONTH($AC$2:$AX$2)=MONTH(BM$3))*$AC6:$AX6))</f>
        <v>0</v>
      </c>
      <c r="BN6" s="164" t="n">
        <f aca="false">IF(AND($BA6&gt;0,$BB6&gt;=$BA6),$AA6*MAX(0,MIN($BB6,EOMONTH(BN$3,0))-MAX($BA6,BN$3)+1)/($BB6-$BA6+1),SUMPRODUCT((YEAR($AC$2:$AX$2)=YEAR(BN$3))*(MONTH($AC$2:$AX$2)=MONTH(BN$3))*$AC6:$AX6))</f>
        <v>0</v>
      </c>
      <c r="BO6" s="164" t="n">
        <f aca="false">IF(AND($BA6&gt;0,$BB6&gt;=$BA6),$AA6*MAX(0,MIN($BB6,EOMONTH(BO$3,0))-MAX($BA6,BO$3)+1)/($BB6-$BA6+1),SUMPRODUCT((YEAR($AC$2:$AX$2)=YEAR(BO$3))*(MONTH($AC$2:$AX$2)=MONTH(BO$3))*$AC6:$AX6))</f>
        <v>0</v>
      </c>
      <c r="BP6" s="164" t="n">
        <f aca="false">IF(AND($BA6&gt;0,$BB6&gt;=$BA6),$AA6*MAX(0,MIN($BB6,EOMONTH(BP$3,0))-MAX($BA6,BP$3)+1)/($BB6-$BA6+1),SUMPRODUCT((YEAR($AC$2:$AX$2)=YEAR(BP$3))*(MONTH($AC$2:$AX$2)=MONTH(BP$3))*$AC6:$AX6))</f>
        <v>0</v>
      </c>
      <c r="BQ6" s="164" t="n">
        <f aca="false">IF(AND($BA6&gt;0,$BB6&gt;=$BA6),$AA6*MAX(0,MIN($BB6,EOMONTH(BQ$3,0))-MAX($BA6,BQ$3)+1)/($BB6-$BA6+1),SUMPRODUCT((YEAR($AC$2:$AX$2)=YEAR(BQ$3))*(MONTH($AC$2:$AX$2)=MONTH(BQ$3))*$AC6:$AX6))</f>
        <v>0</v>
      </c>
      <c r="BR6" s="164" t="n">
        <f aca="false">IF(AND($BA6&gt;0,$BB6&gt;=$BA6),$AA6*MAX(0,MIN($BB6,EOMONTH(BR$3,0))-MAX($BA6,BR$3)+1)/($BB6-$BA6+1),SUMPRODUCT((YEAR($AC$2:$AX$2)=YEAR(BR$3))*(MONTH($AC$2:$AX$2)=MONTH(BR$3))*$AC6:$AX6))</f>
        <v>0</v>
      </c>
      <c r="BS6" s="164" t="n">
        <f aca="false">IF(AND($BA6&gt;0,$BB6&gt;=$BA6),$AA6*MAX(0,MIN($BB6,EOMONTH(BS$3,0))-MAX($BA6,BS$3)+1)/($BB6-$BA6+1),SUMPRODUCT((YEAR($AC$2:$AX$2)=YEAR(BS$3))*(MONTH($AC$2:$AX$2)=MONTH(BS$3))*$AC6:$AX6))</f>
        <v>0</v>
      </c>
      <c r="BT6" s="164" t="n">
        <f aca="false">IF(AND($BA6&gt;0,$BB6&gt;=$BA6),$AA6*MAX(0,MIN($BB6,EOMONTH(BT$3,0))-MAX($BA6,BT$3)+1)/($BB6-$BA6+1),SUMPRODUCT((YEAR($AC$2:$AX$2)=YEAR(BT$3))*(MONTH($AC$2:$AX$2)=MONTH(BT$3))*$AC6:$AX6))</f>
        <v>0</v>
      </c>
      <c r="BU6" s="164" t="n">
        <f aca="false">IF(AND($BA6&gt;0,$BB6&gt;=$BA6),$AA6*MAX(0,MIN($BB6,EOMONTH(BU$3,0))-MAX($BA6,BU$3)+1)/($BB6-$BA6+1),SUMPRODUCT((YEAR($AC$2:$AX$2)=YEAR(BU$3))*(MONTH($AC$2:$AX$2)=MONTH(BU$3))*$AC6:$AX6))</f>
        <v>0</v>
      </c>
      <c r="BV6" s="164" t="n">
        <f aca="false">IF(AND($BA6&gt;0,$BB6&gt;=$BA6),$AA6*MAX(0,MIN($BB6,EOMONTH(BV$3,0))-MAX($BA6,BV$3)+1)/($BB6-$BA6+1),SUMPRODUCT((YEAR($AC$2:$AX$2)=YEAR(BV$3))*(MONTH($AC$2:$AX$2)=MONTH(BV$3))*$AC6:$AX6))</f>
        <v>0</v>
      </c>
      <c r="BW6" s="164" t="n">
        <f aca="false">IF(AND($BA6&gt;0,$BB6&gt;=$BA6),$AA6*MAX(0,MIN($BB6,EOMONTH(BW$3,0))-MAX($BA6,BW$3)+1)/($BB6-$BA6+1),SUMPRODUCT((YEAR($AC$2:$AX$2)=YEAR(BW$3))*(MONTH($AC$2:$AX$2)=MONTH(BW$3))*$AC6:$AX6))</f>
        <v>0</v>
      </c>
      <c r="BX6" s="164" t="n">
        <f aca="false">IF(AND($BA6&gt;0,$BB6&gt;=$BA6),$AA6*MAX(0,MIN($BB6,EOMONTH(BX$3,0))-MAX($BA6,BX$3)+1)/($BB6-$BA6+1),SUMPRODUCT((YEAR($AC$2:$AX$2)=YEAR(BX$3))*(MONTH($AC$2:$AX$2)=MONTH(BX$3))*$AC6:$AX6))</f>
        <v>0</v>
      </c>
      <c r="BY6" s="164" t="n">
        <f aca="false">IF(AND($BA6&gt;0,$BB6&gt;=$BA6),$AA6*MAX(0,MIN($BB6,EOMONTH(BY$3,0))-MAX($BA6,BY$3)+1)/($BB6-$BA6+1),SUMPRODUCT((YEAR($AC$2:$AX$2)=YEAR(BY$3))*(MONTH($AC$2:$AX$2)=MONTH(BY$3))*$AC6:$AX6))</f>
        <v>0</v>
      </c>
      <c r="BZ6" s="164" t="n">
        <f aca="false">IF(AND($BA6&gt;0,$BB6&gt;=$BA6),$AA6*MAX(0,MIN($BB6,EOMONTH(BZ$3,0))-MAX($BA6,BZ$3)+1)/($BB6-$BA6+1),SUMPRODUCT((YEAR($AC$2:$AX$2)=YEAR(BZ$3))*(MONTH($AC$2:$AX$2)=MONTH(BZ$3))*$AC6:$AX6))</f>
        <v>0</v>
      </c>
      <c r="CA6" s="164" t="n">
        <f aca="false">IF(AND($BA6&gt;0,$BB6&gt;=$BA6),$AA6*MAX(0,MIN($BB6,EOMONTH(CA$3,0))-MAX($BA6,CA$3)+1)/($BB6-$BA6+1),SUMPRODUCT((YEAR($AC$2:$AX$2)=YEAR(CA$3))*(MONTH($AC$2:$AX$2)=MONTH(CA$3))*$AC6:$AX6))</f>
        <v>0</v>
      </c>
      <c r="CB6" s="164" t="n">
        <f aca="false">IF(AND($BA6&gt;0,$BB6&gt;=$BA6),$AA6*MAX(0,MIN($BB6,EOMONTH(CB$3,0))-MAX($BA6,CB$3)+1)/($BB6-$BA6+1),SUMPRODUCT((YEAR($AC$2:$AX$2)=YEAR(CB$3))*(MONTH($AC$2:$AX$2)=MONTH(CB$3))*$AC6:$AX6))</f>
        <v>0</v>
      </c>
      <c r="CC6" s="164" t="n">
        <f aca="false">IF(AND($BA6&gt;0,$BB6&gt;=$BA6),$AA6*MAX(0,MIN($BB6,EOMONTH(CC$3,0))-MAX($BA6,CC$3)+1)/($BB6-$BA6+1),SUMPRODUCT((YEAR($AC$2:$AX$2)=YEAR(CC$3))*(MONTH($AC$2:$AX$2)=MONTH(CC$3))*$AC6:$AX6))</f>
        <v>0</v>
      </c>
      <c r="CD6" s="164" t="n">
        <f aca="false">IF(AND($BA6&gt;0,$BB6&gt;=$BA6),$AA6*MAX(0,MIN($BB6,EOMONTH(CD$3,0))-MAX($BA6,CD$3)+1)/($BB6-$BA6+1),SUMPRODUCT((YEAR($AC$2:$AX$2)=YEAR(CD$3))*(MONTH($AC$2:$AX$2)=MONTH(CD$3))*$AC6:$AX6))</f>
        <v>0</v>
      </c>
      <c r="CE6" s="164" t="n">
        <f aca="false">IF(AND($BA6&gt;0,$BB6&gt;=$BA6),$AA6*MAX(0,MIN($BB6,EOMONTH(CE$3,0))-MAX($BA6,CE$3)+1)/($BB6-$BA6+1),SUMPRODUCT((YEAR($AC$2:$AX$2)=YEAR(CE$3))*(MONTH($AC$2:$AX$2)=MONTH(CE$3))*$AC6:$AX6))</f>
        <v>0</v>
      </c>
      <c r="CF6" s="164" t="n">
        <f aca="false">IF(AND($BA6&gt;0,$BB6&gt;=$BA6),$AA6*MAX(0,MIN($BB6,EOMONTH(CF$3,0))-MAX($BA6,CF$3)+1)/($BB6-$BA6+1),SUMPRODUCT((YEAR($AC$2:$AX$2)=YEAR(CF$3))*(MONTH($AC$2:$AX$2)=MONTH(CF$3))*$AC6:$AX6))</f>
        <v>0</v>
      </c>
      <c r="CG6" s="164" t="n">
        <f aca="false">IF(AND($BA6&gt;0,$BB6&gt;=$BA6),$AA6*MAX(0,MIN($BB6,EOMONTH(CG$3,0))-MAX($BA6,CG$3)+1)/($BB6-$BA6+1),SUMPRODUCT((YEAR($AC$2:$AX$2)=YEAR(CG$3))*(MONTH($AC$2:$AX$2)=MONTH(CG$3))*$AC6:$AX6))</f>
        <v>0</v>
      </c>
      <c r="CH6" s="164" t="n">
        <f aca="false">IF(AND($BA6&gt;0,$BB6&gt;=$BA6),$AA6*MAX(0,MIN($BB6,EOMONTH(CH$3,0))-MAX($BA6,CH$3)+1)/($BB6-$BA6+1),SUMPRODUCT((YEAR($AC$2:$AX$2)=YEAR(CH$3))*(MONTH($AC$2:$AX$2)=MONTH(CH$3))*$AC6:$AX6))</f>
        <v>0</v>
      </c>
      <c r="CI6" s="164" t="n">
        <f aca="false">IF(AND($BA6&gt;0,$BB6&gt;=$BA6),$AA6*MAX(0,MIN($BB6,EOMONTH(CI$3,0))-MAX($BA6,CI$3)+1)/($BB6-$BA6+1),SUMPRODUCT((YEAR($AC$2:$AX$2)=YEAR(CI$3))*(MONTH($AC$2:$AX$2)=MONTH(CI$3))*$AC6:$AX6))</f>
        <v>0</v>
      </c>
      <c r="CJ6" s="164" t="n">
        <f aca="false">IF(AND($BA6&gt;0,$BB6&gt;=$BA6),$AA6*MAX(0,MIN($BB6,EOMONTH(CJ$3,0))-MAX($BA6,CJ$3)+1)/($BB6-$BA6+1),SUMPRODUCT((YEAR($AC$2:$AX$2)=YEAR(CJ$3))*(MONTH($AC$2:$AX$2)=MONTH(CJ$3))*$AC6:$AX6))</f>
        <v>0</v>
      </c>
      <c r="CK6" s="164" t="n">
        <f aca="false">IF(AND($BA6&gt;0,$BB6&gt;=$BA6),$AA6*MAX(0,MIN($BB6,EOMONTH(CK$3,0))-MAX($BA6,CK$3)+1)/($BB6-$BA6+1),SUMPRODUCT((YEAR($AC$2:$AX$2)=YEAR(CK$3))*(MONTH($AC$2:$AX$2)=MONTH(CK$3))*$AC6:$AX6))</f>
        <v>0</v>
      </c>
      <c r="CL6" s="164" t="n">
        <f aca="false">IF(AND($BA6&gt;0,$BB6&gt;=$BA6),$AA6*MAX(0,MIN($BB6,EOMONTH(CL$3,0))-MAX($BA6,CL$3)+1)/($BB6-$BA6+1),SUMPRODUCT((YEAR($AC$2:$AX$2)=YEAR(CL$3))*(MONTH($AC$2:$AX$2)=MONTH(CL$3))*$AC6:$AX6))</f>
        <v>0</v>
      </c>
      <c r="CM6" s="164" t="n">
        <f aca="false">IF(AND($BA6&gt;0,$BB6&gt;=$BA6),$AA6*MAX(0,MIN($BB6,EOMONTH(CM$3,0))-MAX($BA6,CM$3)+1)/($BB6-$BA6+1),SUMPRODUCT((YEAR($AC$2:$AX$2)=YEAR(CM$3))*(MONTH($AC$2:$AX$2)=MONTH(CM$3))*$AC6:$AX6))</f>
        <v>0</v>
      </c>
      <c r="CN6" s="164" t="n">
        <f aca="false">IF(AND($BA6&gt;0,$BB6&gt;=$BA6),$AA6*MAX(0,MIN($BB6,EOMONTH(CN$3,0))-MAX($BA6,CN$3)+1)/($BB6-$BA6+1),SUMPRODUCT((YEAR($AC$2:$AX$2)=YEAR(CN$3))*(MONTH($AC$2:$AX$2)=MONTH(CN$3))*$AC6:$AX6))</f>
        <v>0</v>
      </c>
      <c r="CO6" s="164" t="n">
        <f aca="false">IF(AND($BA6&gt;0,$BB6&gt;=$BA6),$AA6*MAX(0,MIN($BB6,EOMONTH(CO$3,0))-MAX($BA6,CO$3)+1)/($BB6-$BA6+1),SUMPRODUCT((YEAR($AC$2:$AX$2)=YEAR(CO$3))*(MONTH($AC$2:$AX$2)=MONTH(CO$3))*$AC6:$AX6))</f>
        <v>123509.879606523</v>
      </c>
      <c r="CP6" s="164" t="n">
        <f aca="false">IF(AND($BA6&gt;0,$BB6&gt;=$BA6),$AA6*MAX(0,MIN($BB6,EOMONTH(CP$3,0))-MAX($BA6,CP$3)+1)/($BB6-$BA6+1),SUMPRODUCT((YEAR($AC$2:$AX$2)=YEAR(CP$3))*(MONTH($AC$2:$AX$2)=MONTH(CP$3))*$AC6:$AX6))</f>
        <v>0</v>
      </c>
      <c r="CQ6" s="164" t="n">
        <f aca="false">IF(AND($BA6&gt;0,$BB6&gt;=$BA6),$AA6*MAX(0,MIN($BB6,EOMONTH(CQ$3,0))-MAX($BA6,CQ$3)+1)/($BB6-$BA6+1),SUMPRODUCT((YEAR($AC$2:$AX$2)=YEAR(CQ$3))*(MONTH($AC$2:$AX$2)=MONTH(CQ$3))*$AC6:$AX6))</f>
        <v>0</v>
      </c>
      <c r="CR6" s="164" t="n">
        <f aca="false">IF(AND($BA6&gt;0,$BB6&gt;=$BA6),$AA6*MAX(0,MIN($BB6,EOMONTH(CR$3,0))-MAX($BA6,CR$3)+1)/($BB6-$BA6+1),SUMPRODUCT((YEAR($AC$2:$AX$2)=YEAR(CR$3))*(MONTH($AC$2:$AX$2)=MONTH(CR$3))*$AC6:$AX6))</f>
        <v>0</v>
      </c>
      <c r="CS6" s="164" t="n">
        <f aca="false">IF(AND($BA6&gt;0,$BB6&gt;=$BA6),$AA6*MAX(0,MIN($BB6,EOMONTH(CS$3,0))-MAX($BA6,CS$3)+1)/($BB6-$BA6+1),SUMPRODUCT((YEAR($AC$2:$AX$2)=YEAR(CS$3))*(MONTH($AC$2:$AX$2)=MONTH(CS$3))*$AC6:$AX6))</f>
        <v>0</v>
      </c>
      <c r="CT6" s="164" t="n">
        <f aca="false">IF(AND($BA6&gt;0,$BB6&gt;=$BA6),$AA6*MAX(0,MIN($BB6,EOMONTH(CT$3,0))-MAX($BA6,CT$3)+1)/($BB6-$BA6+1),SUMPRODUCT((YEAR($AC$2:$AX$2)=YEAR(CT$3))*(MONTH($AC$2:$AX$2)=MONTH(CT$3))*$AC6:$AX6))</f>
        <v>0</v>
      </c>
      <c r="CU6" s="164" t="n">
        <f aca="false">IF(AND($BA6&gt;0,$BB6&gt;=$BA6),$AA6*MAX(0,MIN($BB6,EOMONTH(CU$3,0))-MAX($BA6,CU$3)+1)/($BB6-$BA6+1),SUMPRODUCT((YEAR($AC$2:$AX$2)=YEAR(CU$3))*(MONTH($AC$2:$AX$2)=MONTH(CU$3))*$AC6:$AX6))</f>
        <v>0</v>
      </c>
      <c r="CV6" s="164" t="n">
        <f aca="false">IF(AND($BA6&gt;0,$BB6&gt;=$BA6),$AA6*MAX(0,MIN($BB6,EOMONTH(CV$3,0))-MAX($BA6,CV$3)+1)/($BB6-$BA6+1),SUMPRODUCT((YEAR($AC$2:$AX$2)=YEAR(CV$3))*(MONTH($AC$2:$AX$2)=MONTH(CV$3))*$AC6:$AX6))</f>
        <v>0</v>
      </c>
      <c r="CW6" s="164" t="n">
        <f aca="false">IF(AND($BA6&gt;0,$BB6&gt;=$BA6),$AA6*MAX(0,MIN($BB6,EOMONTH(CW$3,0))-MAX($BA6,CW$3)+1)/($BB6-$BA6+1),SUMPRODUCT((YEAR($AC$2:$AX$2)=YEAR(CW$3))*(MONTH($AC$2:$AX$2)=MONTH(CW$3))*$AC6:$AX6))</f>
        <v>0</v>
      </c>
      <c r="CX6" s="164" t="n">
        <f aca="false">IF(AND($BA6&gt;0,$BB6&gt;=$BA6),$AA6*MAX(0,MIN($BB6,EOMONTH(CX$3,0))-MAX($BA6,CX$3)+1)/($BB6-$BA6+1),SUMPRODUCT((YEAR($AC$2:$AX$2)=YEAR(CX$3))*(MONTH($AC$2:$AX$2)=MONTH(CX$3))*$AC6:$AX6))</f>
        <v>0</v>
      </c>
      <c r="CY6" s="164" t="n">
        <f aca="false">IF(AND($BA6&gt;0,$BB6&gt;=$BA6),$AA6*MAX(0,MIN($BB6,EOMONTH(CY$3,0))-MAX($BA6,CY$3)+1)/($BB6-$BA6+1),SUMPRODUCT((YEAR($AC$2:$AX$2)=YEAR(CY$3))*(MONTH($AC$2:$AX$2)=MONTH(CY$3))*$AC6:$AX6))</f>
        <v>0</v>
      </c>
      <c r="CZ6" s="164" t="n">
        <f aca="false">IF(AND($BA6&gt;0,$BB6&gt;=$BA6),$AA6*MAX(0,MIN($BB6,EOMONTH(CZ$3,0))-MAX($BA6,CZ$3)+1)/($BB6-$BA6+1),SUMPRODUCT((YEAR($AC$2:$AX$2)=YEAR(CZ$3))*(MONTH($AC$2:$AX$2)=MONTH(CZ$3))*$AC6:$AX6))</f>
        <v>0</v>
      </c>
      <c r="DA6" s="164" t="n">
        <f aca="false">IF(AND($BA6&gt;0,$BB6&gt;=$BA6),$AA6*MAX(0,MIN($BB6,EOMONTH(DA$3,0))-MAX($BA6,DA$3)+1)/($BB6-$BA6+1),SUMPRODUCT((YEAR($AC$2:$AX$2)=YEAR(DA$3))*(MONTH($AC$2:$AX$2)=MONTH(DA$3))*$AC6:$AX6))</f>
        <v>0</v>
      </c>
      <c r="DB6" s="164" t="n">
        <f aca="false">IF(AND($BA6&gt;0,$BB6&gt;=$BA6),$AA6*MAX(0,MIN($BB6,EOMONTH(DB$3,0))-MAX($BA6,DB$3)+1)/($BB6-$BA6+1),SUMPRODUCT((YEAR($AC$2:$AX$2)=YEAR(DB$3))*(MONTH($AC$2:$AX$2)=MONTH(DB$3))*$AC6:$AX6))</f>
        <v>0</v>
      </c>
      <c r="DC6" s="164" t="n">
        <f aca="false">IF(AND($BA6&gt;0,$BB6&gt;=$BA6),$AA6*MAX(0,MIN($BB6,EOMONTH(DC$3,0))-MAX($BA6,DC$3)+1)/($BB6-$BA6+1),SUMPRODUCT((YEAR($AC$2:$AX$2)=YEAR(DC$3))*(MONTH($AC$2:$AX$2)=MONTH(DC$3))*$AC6:$AX6))</f>
        <v>0</v>
      </c>
      <c r="DD6" s="164" t="n">
        <f aca="false">IF(AND($BA6&gt;0,$BB6&gt;=$BA6),$AA6*MAX(0,MIN($BB6,EOMONTH(DD$3,0))-MAX($BA6,DD$3)+1)/($BB6-$BA6+1),SUMPRODUCT((YEAR($AC$2:$AX$2)=YEAR(DD$3))*(MONTH($AC$2:$AX$2)=MONTH(DD$3))*$AC6:$AX6))</f>
        <v>0</v>
      </c>
      <c r="DE6" s="164" t="n">
        <f aca="false">IF(AND($BA6&gt;0,$BB6&gt;=$BA6),$AA6*MAX(0,MIN($BB6,EOMONTH(DE$3,0))-MAX($BA6,DE$3)+1)/($BB6-$BA6+1),SUMPRODUCT((YEAR($AC$2:$AX$2)=YEAR(DE$3))*(MONTH($AC$2:$AX$2)=MONTH(DE$3))*$AC6:$AX6))</f>
        <v>0</v>
      </c>
      <c r="DF6" s="164" t="n">
        <f aca="false">IF(AND($BA6&gt;0,$BB6&gt;=$BA6),$AA6*MAX(0,MIN($BB6,EOMONTH(DF$3,0))-MAX($BA6,DF$3)+1)/($BB6-$BA6+1),SUMPRODUCT((YEAR($AC$2:$AX$2)=YEAR(DF$3))*(MONTH($AC$2:$AX$2)=MONTH(DF$3))*$AC6:$AX6))</f>
        <v>0</v>
      </c>
      <c r="DG6" s="164" t="n">
        <f aca="false">IF(AND($BA6&gt;0,$BB6&gt;=$BA6),$AA6*MAX(0,MIN($BB6,EOMONTH(DG$3,0))-MAX($BA6,DG$3)+1)/($BB6-$BA6+1),SUMPRODUCT((YEAR($AC$2:$AX$2)=YEAR(DG$3))*(MONTH($AC$2:$AX$2)=MONTH(DG$3))*$AC6:$AX6))</f>
        <v>0</v>
      </c>
      <c r="DH6" s="164" t="n">
        <f aca="false">IF(AND($BA6&gt;0,$BB6&gt;=$BA6),$AA6*MAX(0,MIN($BB6,EOMONTH(DH$3,0))-MAX($BA6,DH$3)+1)/($BB6-$BA6+1),SUMPRODUCT((YEAR($AC$2:$AX$2)=YEAR(DH$3))*(MONTH($AC$2:$AX$2)=MONTH(DH$3))*$AC6:$AX6))</f>
        <v>0</v>
      </c>
      <c r="DI6" s="164" t="n">
        <f aca="false">IF(AND($BA6&gt;0,$BB6&gt;=$BA6),$AA6*MAX(0,MIN($BB6,EOMONTH(DI$3,0))-MAX($BA6,DI$3)+1)/($BB6-$BA6+1),SUMPRODUCT((YEAR($AC$2:$AX$2)=YEAR(DI$3))*(MONTH($AC$2:$AX$2)=MONTH(DI$3))*$AC6:$AX6))</f>
        <v>0</v>
      </c>
      <c r="DJ6" s="164" t="n">
        <f aca="false">IF(AND($BA6&gt;0,$BB6&gt;=$BA6),$AA6*MAX(0,MIN($BB6,EOMONTH(DJ$3,0))-MAX($BA6,DJ$3)+1)/($BB6-$BA6+1),SUMPRODUCT((YEAR($AC$2:$AX$2)=YEAR(DJ$3))*(MONTH($AC$2:$AX$2)=MONTH(DJ$3))*$AC6:$AX6))</f>
        <v>0</v>
      </c>
      <c r="DK6" s="164" t="n">
        <f aca="false">IF(AND($BA6&gt;0,$BB6&gt;=$BA6),$AA6*MAX(0,MIN($BB6,EOMONTH(DK$3,0))-MAX($BA6,DK$3)+1)/($BB6-$BA6+1),SUMPRODUCT((YEAR($AC$2:$AX$2)=YEAR(DK$3))*(MONTH($AC$2:$AX$2)=MONTH(DK$3))*$AC6:$AX6))</f>
        <v>0</v>
      </c>
      <c r="DL6" s="164" t="n">
        <f aca="false">IF(AND($BA6&gt;0,$BB6&gt;=$BA6),$AA6*MAX(0,MIN($BB6,EOMONTH(DL$3,0))-MAX($BA6,DL$3)+1)/($BB6-$BA6+1),SUMPRODUCT((YEAR($AC$2:$AX$2)=YEAR(DL$3))*(MONTH($AC$2:$AX$2)=MONTH(DL$3))*$AC6:$AX6))</f>
        <v>0</v>
      </c>
      <c r="DM6" s="164" t="n">
        <f aca="false">IF(AND($BA6&gt;0,$BB6&gt;=$BA6),$AA6*MAX(0,MIN($BB6,EOMONTH(DM$3,0))-MAX($BA6,DM$3)+1)/($BB6-$BA6+1),SUMPRODUCT((YEAR($AC$2:$AX$2)=YEAR(DM$3))*(MONTH($AC$2:$AX$2)=MONTH(DM$3))*$AC6:$AX6))</f>
        <v>0</v>
      </c>
      <c r="DN6" s="164" t="n">
        <f aca="false">IF(AND($BA6&gt;0,$BB6&gt;=$BA6),$AA6*MAX(0,MIN($BB6,EOMONTH(DN$3,0))-MAX($BA6,DN$3)+1)/($BB6-$BA6+1),SUMPRODUCT((YEAR($AC$2:$AX$2)=YEAR(DN$3))*(MONTH($AC$2:$AX$2)=MONTH(DN$3))*$AC6:$AX6))</f>
        <v>0</v>
      </c>
      <c r="DO6" s="164" t="n">
        <f aca="false">IF(AND($BA6&gt;0,$BB6&gt;=$BA6),$AA6*MAX(0,MIN($BB6,EOMONTH(DO$3,0))-MAX($BA6,DO$3)+1)/($BB6-$BA6+1),SUMPRODUCT((YEAR($AC$2:$AX$2)=YEAR(DO$3))*(MONTH($AC$2:$AX$2)=MONTH(DO$3))*$AC6:$AX6))</f>
        <v>0</v>
      </c>
      <c r="DP6" s="164" t="n">
        <f aca="false">IF(AND($BA6&gt;0,$BB6&gt;=$BA6),$AA6*MAX(0,MIN($BB6,EOMONTH(DP$3,0))-MAX($BA6,DP$3)+1)/($BB6-$BA6+1),SUMPRODUCT((YEAR($AC$2:$AX$2)=YEAR(DP$3))*(MONTH($AC$2:$AX$2)=MONTH(DP$3))*$AC6:$AX6))</f>
        <v>0</v>
      </c>
      <c r="DQ6" s="164" t="n">
        <f aca="false">IF(AND($BA6&gt;0,$BB6&gt;=$BA6),$AA6*MAX(0,MIN($BB6,EOMONTH(DQ$3,0))-MAX($BA6,DQ$3)+1)/($BB6-$BA6+1),SUMPRODUCT((YEAR($AC$2:$AX$2)=YEAR(DQ$3))*(MONTH($AC$2:$AX$2)=MONTH(DQ$3))*$AC6:$AX6))</f>
        <v>0</v>
      </c>
      <c r="DR6" s="164" t="n">
        <f aca="false">IF(AND($BA6&gt;0,$BB6&gt;=$BA6),$AA6*MAX(0,MIN($BB6,EOMONTH(DR$3,0))-MAX($BA6,DR$3)+1)/($BB6-$BA6+1),SUMPRODUCT((YEAR($AC$2:$AX$2)=YEAR(DR$3))*(MONTH($AC$2:$AX$2)=MONTH(DR$3))*$AC6:$AX6))</f>
        <v>0</v>
      </c>
      <c r="DS6" s="164" t="n">
        <f aca="false">IF(AND($BA6&gt;0,$BB6&gt;=$BA6),$AA6*MAX(0,MIN($BB6,EOMONTH(DS$3,0))-MAX($BA6,DS$3)+1)/($BB6-$BA6+1),SUMPRODUCT((YEAR($AC$2:$AX$2)=YEAR(DS$3))*(MONTH($AC$2:$AX$2)=MONTH(DS$3))*$AC6:$AX6))</f>
        <v>0</v>
      </c>
      <c r="DT6" s="164" t="n">
        <f aca="false">IF(AND($BA6&gt;0,$BB6&gt;=$BA6),$AA6*MAX(0,MIN($BB6,EOMONTH(DT$3,0))-MAX($BA6,DT$3)+1)/($BB6-$BA6+1),SUMPRODUCT((YEAR($AC$2:$AX$2)=YEAR(DT$3))*(MONTH($AC$2:$AX$2)=MONTH(DT$3))*$AC6:$AX6))</f>
        <v>0</v>
      </c>
      <c r="DU6" s="164" t="n">
        <f aca="false">IF(AND($BA6&gt;0,$BB6&gt;=$BA6),$AA6*MAX(0,MIN($BB6,EOMONTH(DU$3,0))-MAX($BA6,DU$3)+1)/($BB6-$BA6+1),SUMPRODUCT((YEAR($AC$2:$AX$2)=YEAR(DU$3))*(MONTH($AC$2:$AX$2)=MONTH(DU$3))*$AC6:$AX6))</f>
        <v>0</v>
      </c>
      <c r="DV6" s="164" t="n">
        <f aca="false">IF(AND($BA6&gt;0,$BB6&gt;=$BA6),$AA6*MAX(0,MIN($BB6,EOMONTH(DV$3,0))-MAX($BA6,DV$3)+1)/($BB6-$BA6+1),SUMPRODUCT((YEAR($AC$2:$AX$2)=YEAR(DV$3))*(MONTH($AC$2:$AX$2)=MONTH(DV$3))*$AC6:$AX6))</f>
        <v>0</v>
      </c>
      <c r="DW6" s="164" t="n">
        <f aca="false">IF(AND($BA6&gt;0,$BB6&gt;=$BA6),$AA6*MAX(0,MIN($BB6,EOMONTH(DW$3,0))-MAX($BA6,DW$3)+1)/($BB6-$BA6+1),SUMPRODUCT((YEAR($AC$2:$AX$2)=YEAR(DW$3))*(MONTH($AC$2:$AX$2)=MONTH(DW$3))*$AC6:$AX6))</f>
        <v>0</v>
      </c>
    </row>
    <row r="7" customFormat="false" ht="15" hidden="false" customHeight="false" outlineLevel="0" collapsed="false">
      <c r="H7" s="151" t="s">
        <v>2965</v>
      </c>
      <c r="J7" s="152" t="n">
        <v>590.5763</v>
      </c>
      <c r="K7" s="152" t="n">
        <v>245.9</v>
      </c>
      <c r="L7" s="152" t="n">
        <v>1362.038475</v>
      </c>
      <c r="O7" s="152" t="n">
        <v>21909</v>
      </c>
      <c r="P7" s="152" t="n">
        <v>590.5763</v>
      </c>
      <c r="S7" s="149" t="n">
        <f aca="false">K7*($D$58+$D$57)</f>
        <v>157185.30455</v>
      </c>
      <c r="T7" s="149" t="n">
        <f aca="false">L7*$D$47</f>
        <v>181559.7287175</v>
      </c>
      <c r="V7" s="149" t="n">
        <f aca="false">O7*($D$54)</f>
        <v>127358.11245</v>
      </c>
      <c r="W7" s="149" t="n">
        <f aca="false">O7*($D$49)</f>
        <v>61235.655</v>
      </c>
      <c r="Y7" s="149" t="n">
        <f aca="false">SUM(P7:Q7)*($D$50+$D$52)</f>
        <v>8026.020503445</v>
      </c>
      <c r="AA7" s="149" t="n">
        <f aca="false">SUM(S7:Y7)</f>
        <v>535364.821220945</v>
      </c>
      <c r="AU7" s="161" t="n">
        <f aca="false">AA7*0.7</f>
        <v>374755.374854661</v>
      </c>
      <c r="AV7" s="161" t="n">
        <f aca="false">AA7*0.3</f>
        <v>160609.446366283</v>
      </c>
      <c r="AZ7" s="162" t="s">
        <v>2843</v>
      </c>
      <c r="BA7" s="163" t="n">
        <f aca="false">IF(AZ7="",0,SUMPRODUCT(('CRONOGRAMA ATIVIDADES'!$C$5:$C$6004="ESTRUTURA")*('CRONOGRAMA ATIVIDADES'!$E$5:$E$6004=AZ7)*('CRONOGRAMA ATIVIDADES'!$D$5:$D$6004="-")*'CRONOGRAMA ATIVIDADES'!$F$5:$F$6004))</f>
        <v>46720</v>
      </c>
      <c r="BB7" s="163" t="n">
        <f aca="false">IF(AZ7="",0,SUMPRODUCT(('CRONOGRAMA ATIVIDADES'!$C$5:$C$6004="ESTRUTURA")*('CRONOGRAMA ATIVIDADES'!$E$5:$E$6004=AZ7)*('CRONOGRAMA ATIVIDADES'!$D$5:$D$6004="-")*'CRONOGRAMA ATIVIDADES'!$G$5:$G$6004))</f>
        <v>46736</v>
      </c>
      <c r="BD7" s="164" t="n">
        <f aca="false">IF(AND($BA7&gt;0,$BB7&gt;=$BA7),$AA7*MAX(0,MIN($BB7,EOMONTH(BD$3,0))-MAX($BA7,BD$3)+1)/($BB7-$BA7+1),SUMPRODUCT((YEAR($AC$2:$AX$2)=YEAR(BD$3))*(MONTH($AC$2:$AX$2)=MONTH(BD$3))*$AC7:$AX7))</f>
        <v>0</v>
      </c>
      <c r="BE7" s="164" t="n">
        <f aca="false">IF(AND($BA7&gt;0,$BB7&gt;=$BA7),$AA7*MAX(0,MIN($BB7,EOMONTH(BE$3,0))-MAX($BA7,BE$3)+1)/($BB7-$BA7+1),SUMPRODUCT((YEAR($AC$2:$AX$2)=YEAR(BE$3))*(MONTH($AC$2:$AX$2)=MONTH(BE$3))*$AC7:$AX7))</f>
        <v>0</v>
      </c>
      <c r="BF7" s="164" t="n">
        <f aca="false">IF(AND($BA7&gt;0,$BB7&gt;=$BA7),$AA7*MAX(0,MIN($BB7,EOMONTH(BF$3,0))-MAX($BA7,BF$3)+1)/($BB7-$BA7+1),SUMPRODUCT((YEAR($AC$2:$AX$2)=YEAR(BF$3))*(MONTH($AC$2:$AX$2)=MONTH(BF$3))*$AC7:$AX7))</f>
        <v>0</v>
      </c>
      <c r="BG7" s="164" t="n">
        <f aca="false">IF(AND($BA7&gt;0,$BB7&gt;=$BA7),$AA7*MAX(0,MIN($BB7,EOMONTH(BG$3,0))-MAX($BA7,BG$3)+1)/($BB7-$BA7+1),SUMPRODUCT((YEAR($AC$2:$AX$2)=YEAR(BG$3))*(MONTH($AC$2:$AX$2)=MONTH(BG$3))*$AC7:$AX7))</f>
        <v>0</v>
      </c>
      <c r="BH7" s="164" t="n">
        <f aca="false">IF(AND($BA7&gt;0,$BB7&gt;=$BA7),$AA7*MAX(0,MIN($BB7,EOMONTH(BH$3,0))-MAX($BA7,BH$3)+1)/($BB7-$BA7+1),SUMPRODUCT((YEAR($AC$2:$AX$2)=YEAR(BH$3))*(MONTH($AC$2:$AX$2)=MONTH(BH$3))*$AC7:$AX7))</f>
        <v>0</v>
      </c>
      <c r="BI7" s="164" t="n">
        <f aca="false">IF(AND($BA7&gt;0,$BB7&gt;=$BA7),$AA7*MAX(0,MIN($BB7,EOMONTH(BI$3,0))-MAX($BA7,BI$3)+1)/($BB7-$BA7+1),SUMPRODUCT((YEAR($AC$2:$AX$2)=YEAR(BI$3))*(MONTH($AC$2:$AX$2)=MONTH(BI$3))*$AC7:$AX7))</f>
        <v>0</v>
      </c>
      <c r="BJ7" s="164" t="n">
        <f aca="false">IF(AND($BA7&gt;0,$BB7&gt;=$BA7),$AA7*MAX(0,MIN($BB7,EOMONTH(BJ$3,0))-MAX($BA7,BJ$3)+1)/($BB7-$BA7+1),SUMPRODUCT((YEAR($AC$2:$AX$2)=YEAR(BJ$3))*(MONTH($AC$2:$AX$2)=MONTH(BJ$3))*$AC7:$AX7))</f>
        <v>0</v>
      </c>
      <c r="BK7" s="164" t="n">
        <f aca="false">IF(AND($BA7&gt;0,$BB7&gt;=$BA7),$AA7*MAX(0,MIN($BB7,EOMONTH(BK$3,0))-MAX($BA7,BK$3)+1)/($BB7-$BA7+1),SUMPRODUCT((YEAR($AC$2:$AX$2)=YEAR(BK$3))*(MONTH($AC$2:$AX$2)=MONTH(BK$3))*$AC7:$AX7))</f>
        <v>0</v>
      </c>
      <c r="BL7" s="164" t="n">
        <f aca="false">IF(AND($BA7&gt;0,$BB7&gt;=$BA7),$AA7*MAX(0,MIN($BB7,EOMONTH(BL$3,0))-MAX($BA7,BL$3)+1)/($BB7-$BA7+1),SUMPRODUCT((YEAR($AC$2:$AX$2)=YEAR(BL$3))*(MONTH($AC$2:$AX$2)=MONTH(BL$3))*$AC7:$AX7))</f>
        <v>0</v>
      </c>
      <c r="BM7" s="164" t="n">
        <f aca="false">IF(AND($BA7&gt;0,$BB7&gt;=$BA7),$AA7*MAX(0,MIN($BB7,EOMONTH(BM$3,0))-MAX($BA7,BM$3)+1)/($BB7-$BA7+1),SUMPRODUCT((YEAR($AC$2:$AX$2)=YEAR(BM$3))*(MONTH($AC$2:$AX$2)=MONTH(BM$3))*$AC7:$AX7))</f>
        <v>0</v>
      </c>
      <c r="BN7" s="164" t="n">
        <f aca="false">IF(AND($BA7&gt;0,$BB7&gt;=$BA7),$AA7*MAX(0,MIN($BB7,EOMONTH(BN$3,0))-MAX($BA7,BN$3)+1)/($BB7-$BA7+1),SUMPRODUCT((YEAR($AC$2:$AX$2)=YEAR(BN$3))*(MONTH($AC$2:$AX$2)=MONTH(BN$3))*$AC7:$AX7))</f>
        <v>0</v>
      </c>
      <c r="BO7" s="164" t="n">
        <f aca="false">IF(AND($BA7&gt;0,$BB7&gt;=$BA7),$AA7*MAX(0,MIN($BB7,EOMONTH(BO$3,0))-MAX($BA7,BO$3)+1)/($BB7-$BA7+1),SUMPRODUCT((YEAR($AC$2:$AX$2)=YEAR(BO$3))*(MONTH($AC$2:$AX$2)=MONTH(BO$3))*$AC7:$AX7))</f>
        <v>0</v>
      </c>
      <c r="BP7" s="164" t="n">
        <f aca="false">IF(AND($BA7&gt;0,$BB7&gt;=$BA7),$AA7*MAX(0,MIN($BB7,EOMONTH(BP$3,0))-MAX($BA7,BP$3)+1)/($BB7-$BA7+1),SUMPRODUCT((YEAR($AC$2:$AX$2)=YEAR(BP$3))*(MONTH($AC$2:$AX$2)=MONTH(BP$3))*$AC7:$AX7))</f>
        <v>0</v>
      </c>
      <c r="BQ7" s="164" t="n">
        <f aca="false">IF(AND($BA7&gt;0,$BB7&gt;=$BA7),$AA7*MAX(0,MIN($BB7,EOMONTH(BQ$3,0))-MAX($BA7,BQ$3)+1)/($BB7-$BA7+1),SUMPRODUCT((YEAR($AC$2:$AX$2)=YEAR(BQ$3))*(MONTH($AC$2:$AX$2)=MONTH(BQ$3))*$AC7:$AX7))</f>
        <v>0</v>
      </c>
      <c r="BR7" s="164" t="n">
        <f aca="false">IF(AND($BA7&gt;0,$BB7&gt;=$BA7),$AA7*MAX(0,MIN($BB7,EOMONTH(BR$3,0))-MAX($BA7,BR$3)+1)/($BB7-$BA7+1),SUMPRODUCT((YEAR($AC$2:$AX$2)=YEAR(BR$3))*(MONTH($AC$2:$AX$2)=MONTH(BR$3))*$AC7:$AX7))</f>
        <v>0</v>
      </c>
      <c r="BS7" s="164" t="n">
        <f aca="false">IF(AND($BA7&gt;0,$BB7&gt;=$BA7),$AA7*MAX(0,MIN($BB7,EOMONTH(BS$3,0))-MAX($BA7,BS$3)+1)/($BB7-$BA7+1),SUMPRODUCT((YEAR($AC$2:$AX$2)=YEAR(BS$3))*(MONTH($AC$2:$AX$2)=MONTH(BS$3))*$AC7:$AX7))</f>
        <v>0</v>
      </c>
      <c r="BT7" s="164" t="n">
        <f aca="false">IF(AND($BA7&gt;0,$BB7&gt;=$BA7),$AA7*MAX(0,MIN($BB7,EOMONTH(BT$3,0))-MAX($BA7,BT$3)+1)/($BB7-$BA7+1),SUMPRODUCT((YEAR($AC$2:$AX$2)=YEAR(BT$3))*(MONTH($AC$2:$AX$2)=MONTH(BT$3))*$AC7:$AX7))</f>
        <v>0</v>
      </c>
      <c r="BU7" s="164" t="n">
        <f aca="false">IF(AND($BA7&gt;0,$BB7&gt;=$BA7),$AA7*MAX(0,MIN($BB7,EOMONTH(BU$3,0))-MAX($BA7,BU$3)+1)/($BB7-$BA7+1),SUMPRODUCT((YEAR($AC$2:$AX$2)=YEAR(BU$3))*(MONTH($AC$2:$AX$2)=MONTH(BU$3))*$AC7:$AX7))</f>
        <v>0</v>
      </c>
      <c r="BV7" s="164" t="n">
        <f aca="false">IF(AND($BA7&gt;0,$BB7&gt;=$BA7),$AA7*MAX(0,MIN($BB7,EOMONTH(BV$3,0))-MAX($BA7,BV$3)+1)/($BB7-$BA7+1),SUMPRODUCT((YEAR($AC$2:$AX$2)=YEAR(BV$3))*(MONTH($AC$2:$AX$2)=MONTH(BV$3))*$AC7:$AX7))</f>
        <v>0</v>
      </c>
      <c r="BW7" s="164" t="n">
        <f aca="false">IF(AND($BA7&gt;0,$BB7&gt;=$BA7),$AA7*MAX(0,MIN($BB7,EOMONTH(BW$3,0))-MAX($BA7,BW$3)+1)/($BB7-$BA7+1),SUMPRODUCT((YEAR($AC$2:$AX$2)=YEAR(BW$3))*(MONTH($AC$2:$AX$2)=MONTH(BW$3))*$AC7:$AX7))</f>
        <v>0</v>
      </c>
      <c r="BX7" s="164" t="n">
        <f aca="false">IF(AND($BA7&gt;0,$BB7&gt;=$BA7),$AA7*MAX(0,MIN($BB7,EOMONTH(BX$3,0))-MAX($BA7,BX$3)+1)/($BB7-$BA7+1),SUMPRODUCT((YEAR($AC$2:$AX$2)=YEAR(BX$3))*(MONTH($AC$2:$AX$2)=MONTH(BX$3))*$AC7:$AX7))</f>
        <v>0</v>
      </c>
      <c r="BY7" s="164" t="n">
        <f aca="false">IF(AND($BA7&gt;0,$BB7&gt;=$BA7),$AA7*MAX(0,MIN($BB7,EOMONTH(BY$3,0))-MAX($BA7,BY$3)+1)/($BB7-$BA7+1),SUMPRODUCT((YEAR($AC$2:$AX$2)=YEAR(BY$3))*(MONTH($AC$2:$AX$2)=MONTH(BY$3))*$AC7:$AX7))</f>
        <v>0</v>
      </c>
      <c r="BZ7" s="164" t="n">
        <f aca="false">IF(AND($BA7&gt;0,$BB7&gt;=$BA7),$AA7*MAX(0,MIN($BB7,EOMONTH(BZ$3,0))-MAX($BA7,BZ$3)+1)/($BB7-$BA7+1),SUMPRODUCT((YEAR($AC$2:$AX$2)=YEAR(BZ$3))*(MONTH($AC$2:$AX$2)=MONTH(BZ$3))*$AC7:$AX7))</f>
        <v>0</v>
      </c>
      <c r="CA7" s="164" t="n">
        <f aca="false">IF(AND($BA7&gt;0,$BB7&gt;=$BA7),$AA7*MAX(0,MIN($BB7,EOMONTH(CA$3,0))-MAX($BA7,CA$3)+1)/($BB7-$BA7+1),SUMPRODUCT((YEAR($AC$2:$AX$2)=YEAR(CA$3))*(MONTH($AC$2:$AX$2)=MONTH(CA$3))*$AC7:$AX7))</f>
        <v>0</v>
      </c>
      <c r="CB7" s="164" t="n">
        <f aca="false">IF(AND($BA7&gt;0,$BB7&gt;=$BA7),$AA7*MAX(0,MIN($BB7,EOMONTH(CB$3,0))-MAX($BA7,CB$3)+1)/($BB7-$BA7+1),SUMPRODUCT((YEAR($AC$2:$AX$2)=YEAR(CB$3))*(MONTH($AC$2:$AX$2)=MONTH(CB$3))*$AC7:$AX7))</f>
        <v>0</v>
      </c>
      <c r="CC7" s="164" t="n">
        <f aca="false">IF(AND($BA7&gt;0,$BB7&gt;=$BA7),$AA7*MAX(0,MIN($BB7,EOMONTH(CC$3,0))-MAX($BA7,CC$3)+1)/($BB7-$BA7+1),SUMPRODUCT((YEAR($AC$2:$AX$2)=YEAR(CC$3))*(MONTH($AC$2:$AX$2)=MONTH(CC$3))*$AC7:$AX7))</f>
        <v>0</v>
      </c>
      <c r="CD7" s="164" t="n">
        <f aca="false">IF(AND($BA7&gt;0,$BB7&gt;=$BA7),$AA7*MAX(0,MIN($BB7,EOMONTH(CD$3,0))-MAX($BA7,CD$3)+1)/($BB7-$BA7+1),SUMPRODUCT((YEAR($AC$2:$AX$2)=YEAR(CD$3))*(MONTH($AC$2:$AX$2)=MONTH(CD$3))*$AC7:$AX7))</f>
        <v>0</v>
      </c>
      <c r="CE7" s="164" t="n">
        <f aca="false">IF(AND($BA7&gt;0,$BB7&gt;=$BA7),$AA7*MAX(0,MIN($BB7,EOMONTH(CE$3,0))-MAX($BA7,CE$3)+1)/($BB7-$BA7+1),SUMPRODUCT((YEAR($AC$2:$AX$2)=YEAR(CE$3))*(MONTH($AC$2:$AX$2)=MONTH(CE$3))*$AC7:$AX7))</f>
        <v>0</v>
      </c>
      <c r="CF7" s="164" t="n">
        <f aca="false">IF(AND($BA7&gt;0,$BB7&gt;=$BA7),$AA7*MAX(0,MIN($BB7,EOMONTH(CF$3,0))-MAX($BA7,CF$3)+1)/($BB7-$BA7+1),SUMPRODUCT((YEAR($AC$2:$AX$2)=YEAR(CF$3))*(MONTH($AC$2:$AX$2)=MONTH(CF$3))*$AC7:$AX7))</f>
        <v>0</v>
      </c>
      <c r="CG7" s="164" t="n">
        <f aca="false">IF(AND($BA7&gt;0,$BB7&gt;=$BA7),$AA7*MAX(0,MIN($BB7,EOMONTH(CG$3,0))-MAX($BA7,CG$3)+1)/($BB7-$BA7+1),SUMPRODUCT((YEAR($AC$2:$AX$2)=YEAR(CG$3))*(MONTH($AC$2:$AX$2)=MONTH(CG$3))*$AC7:$AX7))</f>
        <v>0</v>
      </c>
      <c r="CH7" s="164" t="n">
        <f aca="false">IF(AND($BA7&gt;0,$BB7&gt;=$BA7),$AA7*MAX(0,MIN($BB7,EOMONTH(CH$3,0))-MAX($BA7,CH$3)+1)/($BB7-$BA7+1),SUMPRODUCT((YEAR($AC$2:$AX$2)=YEAR(CH$3))*(MONTH($AC$2:$AX$2)=MONTH(CH$3))*$AC7:$AX7))</f>
        <v>0</v>
      </c>
      <c r="CI7" s="164" t="n">
        <f aca="false">IF(AND($BA7&gt;0,$BB7&gt;=$BA7),$AA7*MAX(0,MIN($BB7,EOMONTH(CI$3,0))-MAX($BA7,CI$3)+1)/($BB7-$BA7+1),SUMPRODUCT((YEAR($AC$2:$AX$2)=YEAR(CI$3))*(MONTH($AC$2:$AX$2)=MONTH(CI$3))*$AC7:$AX7))</f>
        <v>0</v>
      </c>
      <c r="CJ7" s="164" t="n">
        <f aca="false">IF(AND($BA7&gt;0,$BB7&gt;=$BA7),$AA7*MAX(0,MIN($BB7,EOMONTH(CJ$3,0))-MAX($BA7,CJ$3)+1)/($BB7-$BA7+1),SUMPRODUCT((YEAR($AC$2:$AX$2)=YEAR(CJ$3))*(MONTH($AC$2:$AX$2)=MONTH(CJ$3))*$AC7:$AX7))</f>
        <v>0</v>
      </c>
      <c r="CK7" s="164" t="n">
        <f aca="false">IF(AND($BA7&gt;0,$BB7&gt;=$BA7),$AA7*MAX(0,MIN($BB7,EOMONTH(CK$3,0))-MAX($BA7,CK$3)+1)/($BB7-$BA7+1),SUMPRODUCT((YEAR($AC$2:$AX$2)=YEAR(CK$3))*(MONTH($AC$2:$AX$2)=MONTH(CK$3))*$AC7:$AX7))</f>
        <v>0</v>
      </c>
      <c r="CL7" s="164" t="n">
        <f aca="false">IF(AND($BA7&gt;0,$BB7&gt;=$BA7),$AA7*MAX(0,MIN($BB7,EOMONTH(CL$3,0))-MAX($BA7,CL$3)+1)/($BB7-$BA7+1),SUMPRODUCT((YEAR($AC$2:$AX$2)=YEAR(CL$3))*(MONTH($AC$2:$AX$2)=MONTH(CL$3))*$AC7:$AX7))</f>
        <v>0</v>
      </c>
      <c r="CM7" s="164" t="n">
        <f aca="false">IF(AND($BA7&gt;0,$BB7&gt;=$BA7),$AA7*MAX(0,MIN($BB7,EOMONTH(CM$3,0))-MAX($BA7,CM$3)+1)/($BB7-$BA7+1),SUMPRODUCT((YEAR($AC$2:$AX$2)=YEAR(CM$3))*(MONTH($AC$2:$AX$2)=MONTH(CM$3))*$AC7:$AX7))</f>
        <v>62984.0966142288</v>
      </c>
      <c r="CN7" s="164" t="n">
        <f aca="false">IF(AND($BA7&gt;0,$BB7&gt;=$BA7),$AA7*MAX(0,MIN($BB7,EOMONTH(CN$3,0))-MAX($BA7,CN$3)+1)/($BB7-$BA7+1),SUMPRODUCT((YEAR($AC$2:$AX$2)=YEAR(CN$3))*(MONTH($AC$2:$AX$2)=MONTH(CN$3))*$AC7:$AX7))</f>
        <v>472380.724606716</v>
      </c>
      <c r="CO7" s="164" t="n">
        <f aca="false">IF(AND($BA7&gt;0,$BB7&gt;=$BA7),$AA7*MAX(0,MIN($BB7,EOMONTH(CO$3,0))-MAX($BA7,CO$3)+1)/($BB7-$BA7+1),SUMPRODUCT((YEAR($AC$2:$AX$2)=YEAR(CO$3))*(MONTH($AC$2:$AX$2)=MONTH(CO$3))*$AC7:$AX7))</f>
        <v>0</v>
      </c>
      <c r="CP7" s="164" t="n">
        <f aca="false">IF(AND($BA7&gt;0,$BB7&gt;=$BA7),$AA7*MAX(0,MIN($BB7,EOMONTH(CP$3,0))-MAX($BA7,CP$3)+1)/($BB7-$BA7+1),SUMPRODUCT((YEAR($AC$2:$AX$2)=YEAR(CP$3))*(MONTH($AC$2:$AX$2)=MONTH(CP$3))*$AC7:$AX7))</f>
        <v>0</v>
      </c>
      <c r="CQ7" s="164" t="n">
        <f aca="false">IF(AND($BA7&gt;0,$BB7&gt;=$BA7),$AA7*MAX(0,MIN($BB7,EOMONTH(CQ$3,0))-MAX($BA7,CQ$3)+1)/($BB7-$BA7+1),SUMPRODUCT((YEAR($AC$2:$AX$2)=YEAR(CQ$3))*(MONTH($AC$2:$AX$2)=MONTH(CQ$3))*$AC7:$AX7))</f>
        <v>0</v>
      </c>
      <c r="CR7" s="164" t="n">
        <f aca="false">IF(AND($BA7&gt;0,$BB7&gt;=$BA7),$AA7*MAX(0,MIN($BB7,EOMONTH(CR$3,0))-MAX($BA7,CR$3)+1)/($BB7-$BA7+1),SUMPRODUCT((YEAR($AC$2:$AX$2)=YEAR(CR$3))*(MONTH($AC$2:$AX$2)=MONTH(CR$3))*$AC7:$AX7))</f>
        <v>0</v>
      </c>
      <c r="CS7" s="164" t="n">
        <f aca="false">IF(AND($BA7&gt;0,$BB7&gt;=$BA7),$AA7*MAX(0,MIN($BB7,EOMONTH(CS$3,0))-MAX($BA7,CS$3)+1)/($BB7-$BA7+1),SUMPRODUCT((YEAR($AC$2:$AX$2)=YEAR(CS$3))*(MONTH($AC$2:$AX$2)=MONTH(CS$3))*$AC7:$AX7))</f>
        <v>0</v>
      </c>
      <c r="CT7" s="164" t="n">
        <f aca="false">IF(AND($BA7&gt;0,$BB7&gt;=$BA7),$AA7*MAX(0,MIN($BB7,EOMONTH(CT$3,0))-MAX($BA7,CT$3)+1)/($BB7-$BA7+1),SUMPRODUCT((YEAR($AC$2:$AX$2)=YEAR(CT$3))*(MONTH($AC$2:$AX$2)=MONTH(CT$3))*$AC7:$AX7))</f>
        <v>0</v>
      </c>
      <c r="CU7" s="164" t="n">
        <f aca="false">IF(AND($BA7&gt;0,$BB7&gt;=$BA7),$AA7*MAX(0,MIN($BB7,EOMONTH(CU$3,0))-MAX($BA7,CU$3)+1)/($BB7-$BA7+1),SUMPRODUCT((YEAR($AC$2:$AX$2)=YEAR(CU$3))*(MONTH($AC$2:$AX$2)=MONTH(CU$3))*$AC7:$AX7))</f>
        <v>0</v>
      </c>
      <c r="CV7" s="164" t="n">
        <f aca="false">IF(AND($BA7&gt;0,$BB7&gt;=$BA7),$AA7*MAX(0,MIN($BB7,EOMONTH(CV$3,0))-MAX($BA7,CV$3)+1)/($BB7-$BA7+1),SUMPRODUCT((YEAR($AC$2:$AX$2)=YEAR(CV$3))*(MONTH($AC$2:$AX$2)=MONTH(CV$3))*$AC7:$AX7))</f>
        <v>0</v>
      </c>
      <c r="CW7" s="164" t="n">
        <f aca="false">IF(AND($BA7&gt;0,$BB7&gt;=$BA7),$AA7*MAX(0,MIN($BB7,EOMONTH(CW$3,0))-MAX($BA7,CW$3)+1)/($BB7-$BA7+1),SUMPRODUCT((YEAR($AC$2:$AX$2)=YEAR(CW$3))*(MONTH($AC$2:$AX$2)=MONTH(CW$3))*$AC7:$AX7))</f>
        <v>0</v>
      </c>
      <c r="CX7" s="164" t="n">
        <f aca="false">IF(AND($BA7&gt;0,$BB7&gt;=$BA7),$AA7*MAX(0,MIN($BB7,EOMONTH(CX$3,0))-MAX($BA7,CX$3)+1)/($BB7-$BA7+1),SUMPRODUCT((YEAR($AC$2:$AX$2)=YEAR(CX$3))*(MONTH($AC$2:$AX$2)=MONTH(CX$3))*$AC7:$AX7))</f>
        <v>0</v>
      </c>
      <c r="CY7" s="164" t="n">
        <f aca="false">IF(AND($BA7&gt;0,$BB7&gt;=$BA7),$AA7*MAX(0,MIN($BB7,EOMONTH(CY$3,0))-MAX($BA7,CY$3)+1)/($BB7-$BA7+1),SUMPRODUCT((YEAR($AC$2:$AX$2)=YEAR(CY$3))*(MONTH($AC$2:$AX$2)=MONTH(CY$3))*$AC7:$AX7))</f>
        <v>0</v>
      </c>
      <c r="CZ7" s="164" t="n">
        <f aca="false">IF(AND($BA7&gt;0,$BB7&gt;=$BA7),$AA7*MAX(0,MIN($BB7,EOMONTH(CZ$3,0))-MAX($BA7,CZ$3)+1)/($BB7-$BA7+1),SUMPRODUCT((YEAR($AC$2:$AX$2)=YEAR(CZ$3))*(MONTH($AC$2:$AX$2)=MONTH(CZ$3))*$AC7:$AX7))</f>
        <v>0</v>
      </c>
      <c r="DA7" s="164" t="n">
        <f aca="false">IF(AND($BA7&gt;0,$BB7&gt;=$BA7),$AA7*MAX(0,MIN($BB7,EOMONTH(DA$3,0))-MAX($BA7,DA$3)+1)/($BB7-$BA7+1),SUMPRODUCT((YEAR($AC$2:$AX$2)=YEAR(DA$3))*(MONTH($AC$2:$AX$2)=MONTH(DA$3))*$AC7:$AX7))</f>
        <v>0</v>
      </c>
      <c r="DB7" s="164" t="n">
        <f aca="false">IF(AND($BA7&gt;0,$BB7&gt;=$BA7),$AA7*MAX(0,MIN($BB7,EOMONTH(DB$3,0))-MAX($BA7,DB$3)+1)/($BB7-$BA7+1),SUMPRODUCT((YEAR($AC$2:$AX$2)=YEAR(DB$3))*(MONTH($AC$2:$AX$2)=MONTH(DB$3))*$AC7:$AX7))</f>
        <v>0</v>
      </c>
      <c r="DC7" s="164" t="n">
        <f aca="false">IF(AND($BA7&gt;0,$BB7&gt;=$BA7),$AA7*MAX(0,MIN($BB7,EOMONTH(DC$3,0))-MAX($BA7,DC$3)+1)/($BB7-$BA7+1),SUMPRODUCT((YEAR($AC$2:$AX$2)=YEAR(DC$3))*(MONTH($AC$2:$AX$2)=MONTH(DC$3))*$AC7:$AX7))</f>
        <v>0</v>
      </c>
      <c r="DD7" s="164" t="n">
        <f aca="false">IF(AND($BA7&gt;0,$BB7&gt;=$BA7),$AA7*MAX(0,MIN($BB7,EOMONTH(DD$3,0))-MAX($BA7,DD$3)+1)/($BB7-$BA7+1),SUMPRODUCT((YEAR($AC$2:$AX$2)=YEAR(DD$3))*(MONTH($AC$2:$AX$2)=MONTH(DD$3))*$AC7:$AX7))</f>
        <v>0</v>
      </c>
      <c r="DE7" s="164" t="n">
        <f aca="false">IF(AND($BA7&gt;0,$BB7&gt;=$BA7),$AA7*MAX(0,MIN($BB7,EOMONTH(DE$3,0))-MAX($BA7,DE$3)+1)/($BB7-$BA7+1),SUMPRODUCT((YEAR($AC$2:$AX$2)=YEAR(DE$3))*(MONTH($AC$2:$AX$2)=MONTH(DE$3))*$AC7:$AX7))</f>
        <v>0</v>
      </c>
      <c r="DF7" s="164" t="n">
        <f aca="false">IF(AND($BA7&gt;0,$BB7&gt;=$BA7),$AA7*MAX(0,MIN($BB7,EOMONTH(DF$3,0))-MAX($BA7,DF$3)+1)/($BB7-$BA7+1),SUMPRODUCT((YEAR($AC$2:$AX$2)=YEAR(DF$3))*(MONTH($AC$2:$AX$2)=MONTH(DF$3))*$AC7:$AX7))</f>
        <v>0</v>
      </c>
      <c r="DG7" s="164" t="n">
        <f aca="false">IF(AND($BA7&gt;0,$BB7&gt;=$BA7),$AA7*MAX(0,MIN($BB7,EOMONTH(DG$3,0))-MAX($BA7,DG$3)+1)/($BB7-$BA7+1),SUMPRODUCT((YEAR($AC$2:$AX$2)=YEAR(DG$3))*(MONTH($AC$2:$AX$2)=MONTH(DG$3))*$AC7:$AX7))</f>
        <v>0</v>
      </c>
      <c r="DH7" s="164" t="n">
        <f aca="false">IF(AND($BA7&gt;0,$BB7&gt;=$BA7),$AA7*MAX(0,MIN($BB7,EOMONTH(DH$3,0))-MAX($BA7,DH$3)+1)/($BB7-$BA7+1),SUMPRODUCT((YEAR($AC$2:$AX$2)=YEAR(DH$3))*(MONTH($AC$2:$AX$2)=MONTH(DH$3))*$AC7:$AX7))</f>
        <v>0</v>
      </c>
      <c r="DI7" s="164" t="n">
        <f aca="false">IF(AND($BA7&gt;0,$BB7&gt;=$BA7),$AA7*MAX(0,MIN($BB7,EOMONTH(DI$3,0))-MAX($BA7,DI$3)+1)/($BB7-$BA7+1),SUMPRODUCT((YEAR($AC$2:$AX$2)=YEAR(DI$3))*(MONTH($AC$2:$AX$2)=MONTH(DI$3))*$AC7:$AX7))</f>
        <v>0</v>
      </c>
      <c r="DJ7" s="164" t="n">
        <f aca="false">IF(AND($BA7&gt;0,$BB7&gt;=$BA7),$AA7*MAX(0,MIN($BB7,EOMONTH(DJ$3,0))-MAX($BA7,DJ$3)+1)/($BB7-$BA7+1),SUMPRODUCT((YEAR($AC$2:$AX$2)=YEAR(DJ$3))*(MONTH($AC$2:$AX$2)=MONTH(DJ$3))*$AC7:$AX7))</f>
        <v>0</v>
      </c>
      <c r="DK7" s="164" t="n">
        <f aca="false">IF(AND($BA7&gt;0,$BB7&gt;=$BA7),$AA7*MAX(0,MIN($BB7,EOMONTH(DK$3,0))-MAX($BA7,DK$3)+1)/($BB7-$BA7+1),SUMPRODUCT((YEAR($AC$2:$AX$2)=YEAR(DK$3))*(MONTH($AC$2:$AX$2)=MONTH(DK$3))*$AC7:$AX7))</f>
        <v>0</v>
      </c>
      <c r="DL7" s="164" t="n">
        <f aca="false">IF(AND($BA7&gt;0,$BB7&gt;=$BA7),$AA7*MAX(0,MIN($BB7,EOMONTH(DL$3,0))-MAX($BA7,DL$3)+1)/($BB7-$BA7+1),SUMPRODUCT((YEAR($AC$2:$AX$2)=YEAR(DL$3))*(MONTH($AC$2:$AX$2)=MONTH(DL$3))*$AC7:$AX7))</f>
        <v>0</v>
      </c>
      <c r="DM7" s="164" t="n">
        <f aca="false">IF(AND($BA7&gt;0,$BB7&gt;=$BA7),$AA7*MAX(0,MIN($BB7,EOMONTH(DM$3,0))-MAX($BA7,DM$3)+1)/($BB7-$BA7+1),SUMPRODUCT((YEAR($AC$2:$AX$2)=YEAR(DM$3))*(MONTH($AC$2:$AX$2)=MONTH(DM$3))*$AC7:$AX7))</f>
        <v>0</v>
      </c>
      <c r="DN7" s="164" t="n">
        <f aca="false">IF(AND($BA7&gt;0,$BB7&gt;=$BA7),$AA7*MAX(0,MIN($BB7,EOMONTH(DN$3,0))-MAX($BA7,DN$3)+1)/($BB7-$BA7+1),SUMPRODUCT((YEAR($AC$2:$AX$2)=YEAR(DN$3))*(MONTH($AC$2:$AX$2)=MONTH(DN$3))*$AC7:$AX7))</f>
        <v>0</v>
      </c>
      <c r="DO7" s="164" t="n">
        <f aca="false">IF(AND($BA7&gt;0,$BB7&gt;=$BA7),$AA7*MAX(0,MIN($BB7,EOMONTH(DO$3,0))-MAX($BA7,DO$3)+1)/($BB7-$BA7+1),SUMPRODUCT((YEAR($AC$2:$AX$2)=YEAR(DO$3))*(MONTH($AC$2:$AX$2)=MONTH(DO$3))*$AC7:$AX7))</f>
        <v>0</v>
      </c>
      <c r="DP7" s="164" t="n">
        <f aca="false">IF(AND($BA7&gt;0,$BB7&gt;=$BA7),$AA7*MAX(0,MIN($BB7,EOMONTH(DP$3,0))-MAX($BA7,DP$3)+1)/($BB7-$BA7+1),SUMPRODUCT((YEAR($AC$2:$AX$2)=YEAR(DP$3))*(MONTH($AC$2:$AX$2)=MONTH(DP$3))*$AC7:$AX7))</f>
        <v>0</v>
      </c>
      <c r="DQ7" s="164" t="n">
        <f aca="false">IF(AND($BA7&gt;0,$BB7&gt;=$BA7),$AA7*MAX(0,MIN($BB7,EOMONTH(DQ$3,0))-MAX($BA7,DQ$3)+1)/($BB7-$BA7+1),SUMPRODUCT((YEAR($AC$2:$AX$2)=YEAR(DQ$3))*(MONTH($AC$2:$AX$2)=MONTH(DQ$3))*$AC7:$AX7))</f>
        <v>0</v>
      </c>
      <c r="DR7" s="164" t="n">
        <f aca="false">IF(AND($BA7&gt;0,$BB7&gt;=$BA7),$AA7*MAX(0,MIN($BB7,EOMONTH(DR$3,0))-MAX($BA7,DR$3)+1)/($BB7-$BA7+1),SUMPRODUCT((YEAR($AC$2:$AX$2)=YEAR(DR$3))*(MONTH($AC$2:$AX$2)=MONTH(DR$3))*$AC7:$AX7))</f>
        <v>0</v>
      </c>
      <c r="DS7" s="164" t="n">
        <f aca="false">IF(AND($BA7&gt;0,$BB7&gt;=$BA7),$AA7*MAX(0,MIN($BB7,EOMONTH(DS$3,0))-MAX($BA7,DS$3)+1)/($BB7-$BA7+1),SUMPRODUCT((YEAR($AC$2:$AX$2)=YEAR(DS$3))*(MONTH($AC$2:$AX$2)=MONTH(DS$3))*$AC7:$AX7))</f>
        <v>0</v>
      </c>
      <c r="DT7" s="164" t="n">
        <f aca="false">IF(AND($BA7&gt;0,$BB7&gt;=$BA7),$AA7*MAX(0,MIN($BB7,EOMONTH(DT$3,0))-MAX($BA7,DT$3)+1)/($BB7-$BA7+1),SUMPRODUCT((YEAR($AC$2:$AX$2)=YEAR(DT$3))*(MONTH($AC$2:$AX$2)=MONTH(DT$3))*$AC7:$AX7))</f>
        <v>0</v>
      </c>
      <c r="DU7" s="164" t="n">
        <f aca="false">IF(AND($BA7&gt;0,$BB7&gt;=$BA7),$AA7*MAX(0,MIN($BB7,EOMONTH(DU$3,0))-MAX($BA7,DU$3)+1)/($BB7-$BA7+1),SUMPRODUCT((YEAR($AC$2:$AX$2)=YEAR(DU$3))*(MONTH($AC$2:$AX$2)=MONTH(DU$3))*$AC7:$AX7))</f>
        <v>0</v>
      </c>
      <c r="DV7" s="164" t="n">
        <f aca="false">IF(AND($BA7&gt;0,$BB7&gt;=$BA7),$AA7*MAX(0,MIN($BB7,EOMONTH(DV$3,0))-MAX($BA7,DV$3)+1)/($BB7-$BA7+1),SUMPRODUCT((YEAR($AC$2:$AX$2)=YEAR(DV$3))*(MONTH($AC$2:$AX$2)=MONTH(DV$3))*$AC7:$AX7))</f>
        <v>0</v>
      </c>
      <c r="DW7" s="164" t="n">
        <f aca="false">IF(AND($BA7&gt;0,$BB7&gt;=$BA7),$AA7*MAX(0,MIN($BB7,EOMONTH(DW$3,0))-MAX($BA7,DW$3)+1)/($BB7-$BA7+1),SUMPRODUCT((YEAR($AC$2:$AX$2)=YEAR(DW$3))*(MONTH($AC$2:$AX$2)=MONTH(DW$3))*$AC7:$AX7))</f>
        <v>0</v>
      </c>
    </row>
    <row r="8" customFormat="false" ht="15" hidden="false" customHeight="false" outlineLevel="0" collapsed="false">
      <c r="H8" s="150" t="s">
        <v>2966</v>
      </c>
      <c r="J8" s="152" t="n">
        <v>700.6245</v>
      </c>
      <c r="K8" s="152" t="n">
        <v>242.8</v>
      </c>
      <c r="L8" s="152" t="n">
        <v>1353.789475</v>
      </c>
      <c r="O8" s="152" t="n">
        <v>18519.25</v>
      </c>
      <c r="P8" s="152" t="n">
        <v>700.6245</v>
      </c>
      <c r="S8" s="149" t="n">
        <f aca="false">K8*($D$58+$D$57)</f>
        <v>155203.7086</v>
      </c>
      <c r="T8" s="149" t="n">
        <f aca="false">L8*$D$47</f>
        <v>180460.1370175</v>
      </c>
      <c r="V8" s="149" t="n">
        <f aca="false">O8*($D$54)</f>
        <v>107653.3262125</v>
      </c>
      <c r="W8" s="149" t="n">
        <f aca="false">O8*($D$49)</f>
        <v>51761.30375</v>
      </c>
      <c r="Y8" s="149" t="n">
        <f aca="false">SUM(P8:Q8)*($D$50+$D$52)</f>
        <v>9521.592048675</v>
      </c>
      <c r="AA8" s="149" t="n">
        <f aca="false">SUM(S8:Y8)</f>
        <v>504600.067628675</v>
      </c>
      <c r="AT8" s="149" t="n">
        <f aca="false">AA8</f>
        <v>504600.067628675</v>
      </c>
      <c r="AZ8" s="162" t="s">
        <v>2842</v>
      </c>
      <c r="BA8" s="163" t="n">
        <f aca="false">IF(AZ8="",0,SUMPRODUCT(('CRONOGRAMA ATIVIDADES'!$C$5:$C$6004="ESTRUTURA")*('CRONOGRAMA ATIVIDADES'!$E$5:$E$6004=AZ8)*('CRONOGRAMA ATIVIDADES'!$D$5:$D$6004="-")*'CRONOGRAMA ATIVIDADES'!$F$5:$F$6004))</f>
        <v>46707</v>
      </c>
      <c r="BB8" s="163" t="n">
        <f aca="false">IF(AZ8="",0,SUMPRODUCT(('CRONOGRAMA ATIVIDADES'!$C$5:$C$6004="ESTRUTURA")*('CRONOGRAMA ATIVIDADES'!$E$5:$E$6004=AZ8)*('CRONOGRAMA ATIVIDADES'!$D$5:$D$6004="-")*'CRONOGRAMA ATIVIDADES'!$G$5:$G$6004))</f>
        <v>46717</v>
      </c>
      <c r="BD8" s="164" t="n">
        <f aca="false">IF(AND($BA8&gt;0,$BB8&gt;=$BA8),$AA8*MAX(0,MIN($BB8,EOMONTH(BD$3,0))-MAX($BA8,BD$3)+1)/($BB8-$BA8+1),SUMPRODUCT((YEAR($AC$2:$AX$2)=YEAR(BD$3))*(MONTH($AC$2:$AX$2)=MONTH(BD$3))*$AC8:$AX8))</f>
        <v>0</v>
      </c>
      <c r="BE8" s="164" t="n">
        <f aca="false">IF(AND($BA8&gt;0,$BB8&gt;=$BA8),$AA8*MAX(0,MIN($BB8,EOMONTH(BE$3,0))-MAX($BA8,BE$3)+1)/($BB8-$BA8+1),SUMPRODUCT((YEAR($AC$2:$AX$2)=YEAR(BE$3))*(MONTH($AC$2:$AX$2)=MONTH(BE$3))*$AC8:$AX8))</f>
        <v>0</v>
      </c>
      <c r="BF8" s="164" t="n">
        <f aca="false">IF(AND($BA8&gt;0,$BB8&gt;=$BA8),$AA8*MAX(0,MIN($BB8,EOMONTH(BF$3,0))-MAX($BA8,BF$3)+1)/($BB8-$BA8+1),SUMPRODUCT((YEAR($AC$2:$AX$2)=YEAR(BF$3))*(MONTH($AC$2:$AX$2)=MONTH(BF$3))*$AC8:$AX8))</f>
        <v>0</v>
      </c>
      <c r="BG8" s="164" t="n">
        <f aca="false">IF(AND($BA8&gt;0,$BB8&gt;=$BA8),$AA8*MAX(0,MIN($BB8,EOMONTH(BG$3,0))-MAX($BA8,BG$3)+1)/($BB8-$BA8+1),SUMPRODUCT((YEAR($AC$2:$AX$2)=YEAR(BG$3))*(MONTH($AC$2:$AX$2)=MONTH(BG$3))*$AC8:$AX8))</f>
        <v>0</v>
      </c>
      <c r="BH8" s="164" t="n">
        <f aca="false">IF(AND($BA8&gt;0,$BB8&gt;=$BA8),$AA8*MAX(0,MIN($BB8,EOMONTH(BH$3,0))-MAX($BA8,BH$3)+1)/($BB8-$BA8+1),SUMPRODUCT((YEAR($AC$2:$AX$2)=YEAR(BH$3))*(MONTH($AC$2:$AX$2)=MONTH(BH$3))*$AC8:$AX8))</f>
        <v>0</v>
      </c>
      <c r="BI8" s="164" t="n">
        <f aca="false">IF(AND($BA8&gt;0,$BB8&gt;=$BA8),$AA8*MAX(0,MIN($BB8,EOMONTH(BI$3,0))-MAX($BA8,BI$3)+1)/($BB8-$BA8+1),SUMPRODUCT((YEAR($AC$2:$AX$2)=YEAR(BI$3))*(MONTH($AC$2:$AX$2)=MONTH(BI$3))*$AC8:$AX8))</f>
        <v>0</v>
      </c>
      <c r="BJ8" s="164" t="n">
        <f aca="false">IF(AND($BA8&gt;0,$BB8&gt;=$BA8),$AA8*MAX(0,MIN($BB8,EOMONTH(BJ$3,0))-MAX($BA8,BJ$3)+1)/($BB8-$BA8+1),SUMPRODUCT((YEAR($AC$2:$AX$2)=YEAR(BJ$3))*(MONTH($AC$2:$AX$2)=MONTH(BJ$3))*$AC8:$AX8))</f>
        <v>0</v>
      </c>
      <c r="BK8" s="164" t="n">
        <f aca="false">IF(AND($BA8&gt;0,$BB8&gt;=$BA8),$AA8*MAX(0,MIN($BB8,EOMONTH(BK$3,0))-MAX($BA8,BK$3)+1)/($BB8-$BA8+1),SUMPRODUCT((YEAR($AC$2:$AX$2)=YEAR(BK$3))*(MONTH($AC$2:$AX$2)=MONTH(BK$3))*$AC8:$AX8))</f>
        <v>0</v>
      </c>
      <c r="BL8" s="164" t="n">
        <f aca="false">IF(AND($BA8&gt;0,$BB8&gt;=$BA8),$AA8*MAX(0,MIN($BB8,EOMONTH(BL$3,0))-MAX($BA8,BL$3)+1)/($BB8-$BA8+1),SUMPRODUCT((YEAR($AC$2:$AX$2)=YEAR(BL$3))*(MONTH($AC$2:$AX$2)=MONTH(BL$3))*$AC8:$AX8))</f>
        <v>0</v>
      </c>
      <c r="BM8" s="164" t="n">
        <f aca="false">IF(AND($BA8&gt;0,$BB8&gt;=$BA8),$AA8*MAX(0,MIN($BB8,EOMONTH(BM$3,0))-MAX($BA8,BM$3)+1)/($BB8-$BA8+1),SUMPRODUCT((YEAR($AC$2:$AX$2)=YEAR(BM$3))*(MONTH($AC$2:$AX$2)=MONTH(BM$3))*$AC8:$AX8))</f>
        <v>0</v>
      </c>
      <c r="BN8" s="164" t="n">
        <f aca="false">IF(AND($BA8&gt;0,$BB8&gt;=$BA8),$AA8*MAX(0,MIN($BB8,EOMONTH(BN$3,0))-MAX($BA8,BN$3)+1)/($BB8-$BA8+1),SUMPRODUCT((YEAR($AC$2:$AX$2)=YEAR(BN$3))*(MONTH($AC$2:$AX$2)=MONTH(BN$3))*$AC8:$AX8))</f>
        <v>0</v>
      </c>
      <c r="BO8" s="164" t="n">
        <f aca="false">IF(AND($BA8&gt;0,$BB8&gt;=$BA8),$AA8*MAX(0,MIN($BB8,EOMONTH(BO$3,0))-MAX($BA8,BO$3)+1)/($BB8-$BA8+1),SUMPRODUCT((YEAR($AC$2:$AX$2)=YEAR(BO$3))*(MONTH($AC$2:$AX$2)=MONTH(BO$3))*$AC8:$AX8))</f>
        <v>0</v>
      </c>
      <c r="BP8" s="164" t="n">
        <f aca="false">IF(AND($BA8&gt;0,$BB8&gt;=$BA8),$AA8*MAX(0,MIN($BB8,EOMONTH(BP$3,0))-MAX($BA8,BP$3)+1)/($BB8-$BA8+1),SUMPRODUCT((YEAR($AC$2:$AX$2)=YEAR(BP$3))*(MONTH($AC$2:$AX$2)=MONTH(BP$3))*$AC8:$AX8))</f>
        <v>0</v>
      </c>
      <c r="BQ8" s="164" t="n">
        <f aca="false">IF(AND($BA8&gt;0,$BB8&gt;=$BA8),$AA8*MAX(0,MIN($BB8,EOMONTH(BQ$3,0))-MAX($BA8,BQ$3)+1)/($BB8-$BA8+1),SUMPRODUCT((YEAR($AC$2:$AX$2)=YEAR(BQ$3))*(MONTH($AC$2:$AX$2)=MONTH(BQ$3))*$AC8:$AX8))</f>
        <v>0</v>
      </c>
      <c r="BR8" s="164" t="n">
        <f aca="false">IF(AND($BA8&gt;0,$BB8&gt;=$BA8),$AA8*MAX(0,MIN($BB8,EOMONTH(BR$3,0))-MAX($BA8,BR$3)+1)/($BB8-$BA8+1),SUMPRODUCT((YEAR($AC$2:$AX$2)=YEAR(BR$3))*(MONTH($AC$2:$AX$2)=MONTH(BR$3))*$AC8:$AX8))</f>
        <v>0</v>
      </c>
      <c r="BS8" s="164" t="n">
        <f aca="false">IF(AND($BA8&gt;0,$BB8&gt;=$BA8),$AA8*MAX(0,MIN($BB8,EOMONTH(BS$3,0))-MAX($BA8,BS$3)+1)/($BB8-$BA8+1),SUMPRODUCT((YEAR($AC$2:$AX$2)=YEAR(BS$3))*(MONTH($AC$2:$AX$2)=MONTH(BS$3))*$AC8:$AX8))</f>
        <v>0</v>
      </c>
      <c r="BT8" s="164" t="n">
        <f aca="false">IF(AND($BA8&gt;0,$BB8&gt;=$BA8),$AA8*MAX(0,MIN($BB8,EOMONTH(BT$3,0))-MAX($BA8,BT$3)+1)/($BB8-$BA8+1),SUMPRODUCT((YEAR($AC$2:$AX$2)=YEAR(BT$3))*(MONTH($AC$2:$AX$2)=MONTH(BT$3))*$AC8:$AX8))</f>
        <v>0</v>
      </c>
      <c r="BU8" s="164" t="n">
        <f aca="false">IF(AND($BA8&gt;0,$BB8&gt;=$BA8),$AA8*MAX(0,MIN($BB8,EOMONTH(BU$3,0))-MAX($BA8,BU$3)+1)/($BB8-$BA8+1),SUMPRODUCT((YEAR($AC$2:$AX$2)=YEAR(BU$3))*(MONTH($AC$2:$AX$2)=MONTH(BU$3))*$AC8:$AX8))</f>
        <v>0</v>
      </c>
      <c r="BV8" s="164" t="n">
        <f aca="false">IF(AND($BA8&gt;0,$BB8&gt;=$BA8),$AA8*MAX(0,MIN($BB8,EOMONTH(BV$3,0))-MAX($BA8,BV$3)+1)/($BB8-$BA8+1),SUMPRODUCT((YEAR($AC$2:$AX$2)=YEAR(BV$3))*(MONTH($AC$2:$AX$2)=MONTH(BV$3))*$AC8:$AX8))</f>
        <v>0</v>
      </c>
      <c r="BW8" s="164" t="n">
        <f aca="false">IF(AND($BA8&gt;0,$BB8&gt;=$BA8),$AA8*MAX(0,MIN($BB8,EOMONTH(BW$3,0))-MAX($BA8,BW$3)+1)/($BB8-$BA8+1),SUMPRODUCT((YEAR($AC$2:$AX$2)=YEAR(BW$3))*(MONTH($AC$2:$AX$2)=MONTH(BW$3))*$AC8:$AX8))</f>
        <v>0</v>
      </c>
      <c r="BX8" s="164" t="n">
        <f aca="false">IF(AND($BA8&gt;0,$BB8&gt;=$BA8),$AA8*MAX(0,MIN($BB8,EOMONTH(BX$3,0))-MAX($BA8,BX$3)+1)/($BB8-$BA8+1),SUMPRODUCT((YEAR($AC$2:$AX$2)=YEAR(BX$3))*(MONTH($AC$2:$AX$2)=MONTH(BX$3))*$AC8:$AX8))</f>
        <v>0</v>
      </c>
      <c r="BY8" s="164" t="n">
        <f aca="false">IF(AND($BA8&gt;0,$BB8&gt;=$BA8),$AA8*MAX(0,MIN($BB8,EOMONTH(BY$3,0))-MAX($BA8,BY$3)+1)/($BB8-$BA8+1),SUMPRODUCT((YEAR($AC$2:$AX$2)=YEAR(BY$3))*(MONTH($AC$2:$AX$2)=MONTH(BY$3))*$AC8:$AX8))</f>
        <v>0</v>
      </c>
      <c r="BZ8" s="164" t="n">
        <f aca="false">IF(AND($BA8&gt;0,$BB8&gt;=$BA8),$AA8*MAX(0,MIN($BB8,EOMONTH(BZ$3,0))-MAX($BA8,BZ$3)+1)/($BB8-$BA8+1),SUMPRODUCT((YEAR($AC$2:$AX$2)=YEAR(BZ$3))*(MONTH($AC$2:$AX$2)=MONTH(BZ$3))*$AC8:$AX8))</f>
        <v>0</v>
      </c>
      <c r="CA8" s="164" t="n">
        <f aca="false">IF(AND($BA8&gt;0,$BB8&gt;=$BA8),$AA8*MAX(0,MIN($BB8,EOMONTH(CA$3,0))-MAX($BA8,CA$3)+1)/($BB8-$BA8+1),SUMPRODUCT((YEAR($AC$2:$AX$2)=YEAR(CA$3))*(MONTH($AC$2:$AX$2)=MONTH(CA$3))*$AC8:$AX8))</f>
        <v>0</v>
      </c>
      <c r="CB8" s="164" t="n">
        <f aca="false">IF(AND($BA8&gt;0,$BB8&gt;=$BA8),$AA8*MAX(0,MIN($BB8,EOMONTH(CB$3,0))-MAX($BA8,CB$3)+1)/($BB8-$BA8+1),SUMPRODUCT((YEAR($AC$2:$AX$2)=YEAR(CB$3))*(MONTH($AC$2:$AX$2)=MONTH(CB$3))*$AC8:$AX8))</f>
        <v>0</v>
      </c>
      <c r="CC8" s="164" t="n">
        <f aca="false">IF(AND($BA8&gt;0,$BB8&gt;=$BA8),$AA8*MAX(0,MIN($BB8,EOMONTH(CC$3,0))-MAX($BA8,CC$3)+1)/($BB8-$BA8+1),SUMPRODUCT((YEAR($AC$2:$AX$2)=YEAR(CC$3))*(MONTH($AC$2:$AX$2)=MONTH(CC$3))*$AC8:$AX8))</f>
        <v>0</v>
      </c>
      <c r="CD8" s="164" t="n">
        <f aca="false">IF(AND($BA8&gt;0,$BB8&gt;=$BA8),$AA8*MAX(0,MIN($BB8,EOMONTH(CD$3,0))-MAX($BA8,CD$3)+1)/($BB8-$BA8+1),SUMPRODUCT((YEAR($AC$2:$AX$2)=YEAR(CD$3))*(MONTH($AC$2:$AX$2)=MONTH(CD$3))*$AC8:$AX8))</f>
        <v>0</v>
      </c>
      <c r="CE8" s="164" t="n">
        <f aca="false">IF(AND($BA8&gt;0,$BB8&gt;=$BA8),$AA8*MAX(0,MIN($BB8,EOMONTH(CE$3,0))-MAX($BA8,CE$3)+1)/($BB8-$BA8+1),SUMPRODUCT((YEAR($AC$2:$AX$2)=YEAR(CE$3))*(MONTH($AC$2:$AX$2)=MONTH(CE$3))*$AC8:$AX8))</f>
        <v>0</v>
      </c>
      <c r="CF8" s="164" t="n">
        <f aca="false">IF(AND($BA8&gt;0,$BB8&gt;=$BA8),$AA8*MAX(0,MIN($BB8,EOMONTH(CF$3,0))-MAX($BA8,CF$3)+1)/($BB8-$BA8+1),SUMPRODUCT((YEAR($AC$2:$AX$2)=YEAR(CF$3))*(MONTH($AC$2:$AX$2)=MONTH(CF$3))*$AC8:$AX8))</f>
        <v>0</v>
      </c>
      <c r="CG8" s="164" t="n">
        <f aca="false">IF(AND($BA8&gt;0,$BB8&gt;=$BA8),$AA8*MAX(0,MIN($BB8,EOMONTH(CG$3,0))-MAX($BA8,CG$3)+1)/($BB8-$BA8+1),SUMPRODUCT((YEAR($AC$2:$AX$2)=YEAR(CG$3))*(MONTH($AC$2:$AX$2)=MONTH(CG$3))*$AC8:$AX8))</f>
        <v>0</v>
      </c>
      <c r="CH8" s="164" t="n">
        <f aca="false">IF(AND($BA8&gt;0,$BB8&gt;=$BA8),$AA8*MAX(0,MIN($BB8,EOMONTH(CH$3,0))-MAX($BA8,CH$3)+1)/($BB8-$BA8+1),SUMPRODUCT((YEAR($AC$2:$AX$2)=YEAR(CH$3))*(MONTH($AC$2:$AX$2)=MONTH(CH$3))*$AC8:$AX8))</f>
        <v>0</v>
      </c>
      <c r="CI8" s="164" t="n">
        <f aca="false">IF(AND($BA8&gt;0,$BB8&gt;=$BA8),$AA8*MAX(0,MIN($BB8,EOMONTH(CI$3,0))-MAX($BA8,CI$3)+1)/($BB8-$BA8+1),SUMPRODUCT((YEAR($AC$2:$AX$2)=YEAR(CI$3))*(MONTH($AC$2:$AX$2)=MONTH(CI$3))*$AC8:$AX8))</f>
        <v>0</v>
      </c>
      <c r="CJ8" s="164" t="n">
        <f aca="false">IF(AND($BA8&gt;0,$BB8&gt;=$BA8),$AA8*MAX(0,MIN($BB8,EOMONTH(CJ$3,0))-MAX($BA8,CJ$3)+1)/($BB8-$BA8+1),SUMPRODUCT((YEAR($AC$2:$AX$2)=YEAR(CJ$3))*(MONTH($AC$2:$AX$2)=MONTH(CJ$3))*$AC8:$AX8))</f>
        <v>0</v>
      </c>
      <c r="CK8" s="164" t="n">
        <f aca="false">IF(AND($BA8&gt;0,$BB8&gt;=$BA8),$AA8*MAX(0,MIN($BB8,EOMONTH(CK$3,0))-MAX($BA8,CK$3)+1)/($BB8-$BA8+1),SUMPRODUCT((YEAR($AC$2:$AX$2)=YEAR(CK$3))*(MONTH($AC$2:$AX$2)=MONTH(CK$3))*$AC8:$AX8))</f>
        <v>0</v>
      </c>
      <c r="CL8" s="164" t="n">
        <f aca="false">IF(AND($BA8&gt;0,$BB8&gt;=$BA8),$AA8*MAX(0,MIN($BB8,EOMONTH(CL$3,0))-MAX($BA8,CL$3)+1)/($BB8-$BA8+1),SUMPRODUCT((YEAR($AC$2:$AX$2)=YEAR(CL$3))*(MONTH($AC$2:$AX$2)=MONTH(CL$3))*$AC8:$AX8))</f>
        <v>0</v>
      </c>
      <c r="CM8" s="164" t="n">
        <f aca="false">IF(AND($BA8&gt;0,$BB8&gt;=$BA8),$AA8*MAX(0,MIN($BB8,EOMONTH(CM$3,0))-MAX($BA8,CM$3)+1)/($BB8-$BA8+1),SUMPRODUCT((YEAR($AC$2:$AX$2)=YEAR(CM$3))*(MONTH($AC$2:$AX$2)=MONTH(CM$3))*$AC8:$AX8))</f>
        <v>504600.067628675</v>
      </c>
      <c r="CN8" s="164" t="n">
        <f aca="false">IF(AND($BA8&gt;0,$BB8&gt;=$BA8),$AA8*MAX(0,MIN($BB8,EOMONTH(CN$3,0))-MAX($BA8,CN$3)+1)/($BB8-$BA8+1),SUMPRODUCT((YEAR($AC$2:$AX$2)=YEAR(CN$3))*(MONTH($AC$2:$AX$2)=MONTH(CN$3))*$AC8:$AX8))</f>
        <v>0</v>
      </c>
      <c r="CO8" s="164" t="n">
        <f aca="false">IF(AND($BA8&gt;0,$BB8&gt;=$BA8),$AA8*MAX(0,MIN($BB8,EOMONTH(CO$3,0))-MAX($BA8,CO$3)+1)/($BB8-$BA8+1),SUMPRODUCT((YEAR($AC$2:$AX$2)=YEAR(CO$3))*(MONTH($AC$2:$AX$2)=MONTH(CO$3))*$AC8:$AX8))</f>
        <v>0</v>
      </c>
      <c r="CP8" s="164" t="n">
        <f aca="false">IF(AND($BA8&gt;0,$BB8&gt;=$BA8),$AA8*MAX(0,MIN($BB8,EOMONTH(CP$3,0))-MAX($BA8,CP$3)+1)/($BB8-$BA8+1),SUMPRODUCT((YEAR($AC$2:$AX$2)=YEAR(CP$3))*(MONTH($AC$2:$AX$2)=MONTH(CP$3))*$AC8:$AX8))</f>
        <v>0</v>
      </c>
      <c r="CQ8" s="164" t="n">
        <f aca="false">IF(AND($BA8&gt;0,$BB8&gt;=$BA8),$AA8*MAX(0,MIN($BB8,EOMONTH(CQ$3,0))-MAX($BA8,CQ$3)+1)/($BB8-$BA8+1),SUMPRODUCT((YEAR($AC$2:$AX$2)=YEAR(CQ$3))*(MONTH($AC$2:$AX$2)=MONTH(CQ$3))*$AC8:$AX8))</f>
        <v>0</v>
      </c>
      <c r="CR8" s="164" t="n">
        <f aca="false">IF(AND($BA8&gt;0,$BB8&gt;=$BA8),$AA8*MAX(0,MIN($BB8,EOMONTH(CR$3,0))-MAX($BA8,CR$3)+1)/($BB8-$BA8+1),SUMPRODUCT((YEAR($AC$2:$AX$2)=YEAR(CR$3))*(MONTH($AC$2:$AX$2)=MONTH(CR$3))*$AC8:$AX8))</f>
        <v>0</v>
      </c>
      <c r="CS8" s="164" t="n">
        <f aca="false">IF(AND($BA8&gt;0,$BB8&gt;=$BA8),$AA8*MAX(0,MIN($BB8,EOMONTH(CS$3,0))-MAX($BA8,CS$3)+1)/($BB8-$BA8+1),SUMPRODUCT((YEAR($AC$2:$AX$2)=YEAR(CS$3))*(MONTH($AC$2:$AX$2)=MONTH(CS$3))*$AC8:$AX8))</f>
        <v>0</v>
      </c>
      <c r="CT8" s="164" t="n">
        <f aca="false">IF(AND($BA8&gt;0,$BB8&gt;=$BA8),$AA8*MAX(0,MIN($BB8,EOMONTH(CT$3,0))-MAX($BA8,CT$3)+1)/($BB8-$BA8+1),SUMPRODUCT((YEAR($AC$2:$AX$2)=YEAR(CT$3))*(MONTH($AC$2:$AX$2)=MONTH(CT$3))*$AC8:$AX8))</f>
        <v>0</v>
      </c>
      <c r="CU8" s="164" t="n">
        <f aca="false">IF(AND($BA8&gt;0,$BB8&gt;=$BA8),$AA8*MAX(0,MIN($BB8,EOMONTH(CU$3,0))-MAX($BA8,CU$3)+1)/($BB8-$BA8+1),SUMPRODUCT((YEAR($AC$2:$AX$2)=YEAR(CU$3))*(MONTH($AC$2:$AX$2)=MONTH(CU$3))*$AC8:$AX8))</f>
        <v>0</v>
      </c>
      <c r="CV8" s="164" t="n">
        <f aca="false">IF(AND($BA8&gt;0,$BB8&gt;=$BA8),$AA8*MAX(0,MIN($BB8,EOMONTH(CV$3,0))-MAX($BA8,CV$3)+1)/($BB8-$BA8+1),SUMPRODUCT((YEAR($AC$2:$AX$2)=YEAR(CV$3))*(MONTH($AC$2:$AX$2)=MONTH(CV$3))*$AC8:$AX8))</f>
        <v>0</v>
      </c>
      <c r="CW8" s="164" t="n">
        <f aca="false">IF(AND($BA8&gt;0,$BB8&gt;=$BA8),$AA8*MAX(0,MIN($BB8,EOMONTH(CW$3,0))-MAX($BA8,CW$3)+1)/($BB8-$BA8+1),SUMPRODUCT((YEAR($AC$2:$AX$2)=YEAR(CW$3))*(MONTH($AC$2:$AX$2)=MONTH(CW$3))*$AC8:$AX8))</f>
        <v>0</v>
      </c>
      <c r="CX8" s="164" t="n">
        <f aca="false">IF(AND($BA8&gt;0,$BB8&gt;=$BA8),$AA8*MAX(0,MIN($BB8,EOMONTH(CX$3,0))-MAX($BA8,CX$3)+1)/($BB8-$BA8+1),SUMPRODUCT((YEAR($AC$2:$AX$2)=YEAR(CX$3))*(MONTH($AC$2:$AX$2)=MONTH(CX$3))*$AC8:$AX8))</f>
        <v>0</v>
      </c>
      <c r="CY8" s="164" t="n">
        <f aca="false">IF(AND($BA8&gt;0,$BB8&gt;=$BA8),$AA8*MAX(0,MIN($BB8,EOMONTH(CY$3,0))-MAX($BA8,CY$3)+1)/($BB8-$BA8+1),SUMPRODUCT((YEAR($AC$2:$AX$2)=YEAR(CY$3))*(MONTH($AC$2:$AX$2)=MONTH(CY$3))*$AC8:$AX8))</f>
        <v>0</v>
      </c>
      <c r="CZ8" s="164" t="n">
        <f aca="false">IF(AND($BA8&gt;0,$BB8&gt;=$BA8),$AA8*MAX(0,MIN($BB8,EOMONTH(CZ$3,0))-MAX($BA8,CZ$3)+1)/($BB8-$BA8+1),SUMPRODUCT((YEAR($AC$2:$AX$2)=YEAR(CZ$3))*(MONTH($AC$2:$AX$2)=MONTH(CZ$3))*$AC8:$AX8))</f>
        <v>0</v>
      </c>
      <c r="DA8" s="164" t="n">
        <f aca="false">IF(AND($BA8&gt;0,$BB8&gt;=$BA8),$AA8*MAX(0,MIN($BB8,EOMONTH(DA$3,0))-MAX($BA8,DA$3)+1)/($BB8-$BA8+1),SUMPRODUCT((YEAR($AC$2:$AX$2)=YEAR(DA$3))*(MONTH($AC$2:$AX$2)=MONTH(DA$3))*$AC8:$AX8))</f>
        <v>0</v>
      </c>
      <c r="DB8" s="164" t="n">
        <f aca="false">IF(AND($BA8&gt;0,$BB8&gt;=$BA8),$AA8*MAX(0,MIN($BB8,EOMONTH(DB$3,0))-MAX($BA8,DB$3)+1)/($BB8-$BA8+1),SUMPRODUCT((YEAR($AC$2:$AX$2)=YEAR(DB$3))*(MONTH($AC$2:$AX$2)=MONTH(DB$3))*$AC8:$AX8))</f>
        <v>0</v>
      </c>
      <c r="DC8" s="164" t="n">
        <f aca="false">IF(AND($BA8&gt;0,$BB8&gt;=$BA8),$AA8*MAX(0,MIN($BB8,EOMONTH(DC$3,0))-MAX($BA8,DC$3)+1)/($BB8-$BA8+1),SUMPRODUCT((YEAR($AC$2:$AX$2)=YEAR(DC$3))*(MONTH($AC$2:$AX$2)=MONTH(DC$3))*$AC8:$AX8))</f>
        <v>0</v>
      </c>
      <c r="DD8" s="164" t="n">
        <f aca="false">IF(AND($BA8&gt;0,$BB8&gt;=$BA8),$AA8*MAX(0,MIN($BB8,EOMONTH(DD$3,0))-MAX($BA8,DD$3)+1)/($BB8-$BA8+1),SUMPRODUCT((YEAR($AC$2:$AX$2)=YEAR(DD$3))*(MONTH($AC$2:$AX$2)=MONTH(DD$3))*$AC8:$AX8))</f>
        <v>0</v>
      </c>
      <c r="DE8" s="164" t="n">
        <f aca="false">IF(AND($BA8&gt;0,$BB8&gt;=$BA8),$AA8*MAX(0,MIN($BB8,EOMONTH(DE$3,0))-MAX($BA8,DE$3)+1)/($BB8-$BA8+1),SUMPRODUCT((YEAR($AC$2:$AX$2)=YEAR(DE$3))*(MONTH($AC$2:$AX$2)=MONTH(DE$3))*$AC8:$AX8))</f>
        <v>0</v>
      </c>
      <c r="DF8" s="164" t="n">
        <f aca="false">IF(AND($BA8&gt;0,$BB8&gt;=$BA8),$AA8*MAX(0,MIN($BB8,EOMONTH(DF$3,0))-MAX($BA8,DF$3)+1)/($BB8-$BA8+1),SUMPRODUCT((YEAR($AC$2:$AX$2)=YEAR(DF$3))*(MONTH($AC$2:$AX$2)=MONTH(DF$3))*$AC8:$AX8))</f>
        <v>0</v>
      </c>
      <c r="DG8" s="164" t="n">
        <f aca="false">IF(AND($BA8&gt;0,$BB8&gt;=$BA8),$AA8*MAX(0,MIN($BB8,EOMONTH(DG$3,0))-MAX($BA8,DG$3)+1)/($BB8-$BA8+1),SUMPRODUCT((YEAR($AC$2:$AX$2)=YEAR(DG$3))*(MONTH($AC$2:$AX$2)=MONTH(DG$3))*$AC8:$AX8))</f>
        <v>0</v>
      </c>
      <c r="DH8" s="164" t="n">
        <f aca="false">IF(AND($BA8&gt;0,$BB8&gt;=$BA8),$AA8*MAX(0,MIN($BB8,EOMONTH(DH$3,0))-MAX($BA8,DH$3)+1)/($BB8-$BA8+1),SUMPRODUCT((YEAR($AC$2:$AX$2)=YEAR(DH$3))*(MONTH($AC$2:$AX$2)=MONTH(DH$3))*$AC8:$AX8))</f>
        <v>0</v>
      </c>
      <c r="DI8" s="164" t="n">
        <f aca="false">IF(AND($BA8&gt;0,$BB8&gt;=$BA8),$AA8*MAX(0,MIN($BB8,EOMONTH(DI$3,0))-MAX($BA8,DI$3)+1)/($BB8-$BA8+1),SUMPRODUCT((YEAR($AC$2:$AX$2)=YEAR(DI$3))*(MONTH($AC$2:$AX$2)=MONTH(DI$3))*$AC8:$AX8))</f>
        <v>0</v>
      </c>
      <c r="DJ8" s="164" t="n">
        <f aca="false">IF(AND($BA8&gt;0,$BB8&gt;=$BA8),$AA8*MAX(0,MIN($BB8,EOMONTH(DJ$3,0))-MAX($BA8,DJ$3)+1)/($BB8-$BA8+1),SUMPRODUCT((YEAR($AC$2:$AX$2)=YEAR(DJ$3))*(MONTH($AC$2:$AX$2)=MONTH(DJ$3))*$AC8:$AX8))</f>
        <v>0</v>
      </c>
      <c r="DK8" s="164" t="n">
        <f aca="false">IF(AND($BA8&gt;0,$BB8&gt;=$BA8),$AA8*MAX(0,MIN($BB8,EOMONTH(DK$3,0))-MAX($BA8,DK$3)+1)/($BB8-$BA8+1),SUMPRODUCT((YEAR($AC$2:$AX$2)=YEAR(DK$3))*(MONTH($AC$2:$AX$2)=MONTH(DK$3))*$AC8:$AX8))</f>
        <v>0</v>
      </c>
      <c r="DL8" s="164" t="n">
        <f aca="false">IF(AND($BA8&gt;0,$BB8&gt;=$BA8),$AA8*MAX(0,MIN($BB8,EOMONTH(DL$3,0))-MAX($BA8,DL$3)+1)/($BB8-$BA8+1),SUMPRODUCT((YEAR($AC$2:$AX$2)=YEAR(DL$3))*(MONTH($AC$2:$AX$2)=MONTH(DL$3))*$AC8:$AX8))</f>
        <v>0</v>
      </c>
      <c r="DM8" s="164" t="n">
        <f aca="false">IF(AND($BA8&gt;0,$BB8&gt;=$BA8),$AA8*MAX(0,MIN($BB8,EOMONTH(DM$3,0))-MAX($BA8,DM$3)+1)/($BB8-$BA8+1),SUMPRODUCT((YEAR($AC$2:$AX$2)=YEAR(DM$3))*(MONTH($AC$2:$AX$2)=MONTH(DM$3))*$AC8:$AX8))</f>
        <v>0</v>
      </c>
      <c r="DN8" s="164" t="n">
        <f aca="false">IF(AND($BA8&gt;0,$BB8&gt;=$BA8),$AA8*MAX(0,MIN($BB8,EOMONTH(DN$3,0))-MAX($BA8,DN$3)+1)/($BB8-$BA8+1),SUMPRODUCT((YEAR($AC$2:$AX$2)=YEAR(DN$3))*(MONTH($AC$2:$AX$2)=MONTH(DN$3))*$AC8:$AX8))</f>
        <v>0</v>
      </c>
      <c r="DO8" s="164" t="n">
        <f aca="false">IF(AND($BA8&gt;0,$BB8&gt;=$BA8),$AA8*MAX(0,MIN($BB8,EOMONTH(DO$3,0))-MAX($BA8,DO$3)+1)/($BB8-$BA8+1),SUMPRODUCT((YEAR($AC$2:$AX$2)=YEAR(DO$3))*(MONTH($AC$2:$AX$2)=MONTH(DO$3))*$AC8:$AX8))</f>
        <v>0</v>
      </c>
      <c r="DP8" s="164" t="n">
        <f aca="false">IF(AND($BA8&gt;0,$BB8&gt;=$BA8),$AA8*MAX(0,MIN($BB8,EOMONTH(DP$3,0))-MAX($BA8,DP$3)+1)/($BB8-$BA8+1),SUMPRODUCT((YEAR($AC$2:$AX$2)=YEAR(DP$3))*(MONTH($AC$2:$AX$2)=MONTH(DP$3))*$AC8:$AX8))</f>
        <v>0</v>
      </c>
      <c r="DQ8" s="164" t="n">
        <f aca="false">IF(AND($BA8&gt;0,$BB8&gt;=$BA8),$AA8*MAX(0,MIN($BB8,EOMONTH(DQ$3,0))-MAX($BA8,DQ$3)+1)/($BB8-$BA8+1),SUMPRODUCT((YEAR($AC$2:$AX$2)=YEAR(DQ$3))*(MONTH($AC$2:$AX$2)=MONTH(DQ$3))*$AC8:$AX8))</f>
        <v>0</v>
      </c>
      <c r="DR8" s="164" t="n">
        <f aca="false">IF(AND($BA8&gt;0,$BB8&gt;=$BA8),$AA8*MAX(0,MIN($BB8,EOMONTH(DR$3,0))-MAX($BA8,DR$3)+1)/($BB8-$BA8+1),SUMPRODUCT((YEAR($AC$2:$AX$2)=YEAR(DR$3))*(MONTH($AC$2:$AX$2)=MONTH(DR$3))*$AC8:$AX8))</f>
        <v>0</v>
      </c>
      <c r="DS8" s="164" t="n">
        <f aca="false">IF(AND($BA8&gt;0,$BB8&gt;=$BA8),$AA8*MAX(0,MIN($BB8,EOMONTH(DS$3,0))-MAX($BA8,DS$3)+1)/($BB8-$BA8+1),SUMPRODUCT((YEAR($AC$2:$AX$2)=YEAR(DS$3))*(MONTH($AC$2:$AX$2)=MONTH(DS$3))*$AC8:$AX8))</f>
        <v>0</v>
      </c>
      <c r="DT8" s="164" t="n">
        <f aca="false">IF(AND($BA8&gt;0,$BB8&gt;=$BA8),$AA8*MAX(0,MIN($BB8,EOMONTH(DT$3,0))-MAX($BA8,DT$3)+1)/($BB8-$BA8+1),SUMPRODUCT((YEAR($AC$2:$AX$2)=YEAR(DT$3))*(MONTH($AC$2:$AX$2)=MONTH(DT$3))*$AC8:$AX8))</f>
        <v>0</v>
      </c>
      <c r="DU8" s="164" t="n">
        <f aca="false">IF(AND($BA8&gt;0,$BB8&gt;=$BA8),$AA8*MAX(0,MIN($BB8,EOMONTH(DU$3,0))-MAX($BA8,DU$3)+1)/($BB8-$BA8+1),SUMPRODUCT((YEAR($AC$2:$AX$2)=YEAR(DU$3))*(MONTH($AC$2:$AX$2)=MONTH(DU$3))*$AC8:$AX8))</f>
        <v>0</v>
      </c>
      <c r="DV8" s="164" t="n">
        <f aca="false">IF(AND($BA8&gt;0,$BB8&gt;=$BA8),$AA8*MAX(0,MIN($BB8,EOMONTH(DV$3,0))-MAX($BA8,DV$3)+1)/($BB8-$BA8+1),SUMPRODUCT((YEAR($AC$2:$AX$2)=YEAR(DV$3))*(MONTH($AC$2:$AX$2)=MONTH(DV$3))*$AC8:$AX8))</f>
        <v>0</v>
      </c>
      <c r="DW8" s="164" t="n">
        <f aca="false">IF(AND($BA8&gt;0,$BB8&gt;=$BA8),$AA8*MAX(0,MIN($BB8,EOMONTH(DW$3,0))-MAX($BA8,DW$3)+1)/($BB8-$BA8+1),SUMPRODUCT((YEAR($AC$2:$AX$2)=YEAR(DW$3))*(MONTH($AC$2:$AX$2)=MONTH(DW$3))*$AC8:$AX8))</f>
        <v>0</v>
      </c>
    </row>
    <row r="9" customFormat="false" ht="15" hidden="false" customHeight="false" outlineLevel="0" collapsed="false">
      <c r="H9" s="150" t="s">
        <v>2967</v>
      </c>
      <c r="J9" s="152" t="n">
        <v>700.6245</v>
      </c>
      <c r="K9" s="152" t="n">
        <v>242.8</v>
      </c>
      <c r="L9" s="152" t="n">
        <v>1353.789475</v>
      </c>
      <c r="O9" s="152" t="n">
        <v>18519.25</v>
      </c>
      <c r="P9" s="152" t="n">
        <v>700.6245</v>
      </c>
      <c r="S9" s="149" t="n">
        <f aca="false">K9*($D$58+$D$57)</f>
        <v>155203.7086</v>
      </c>
      <c r="T9" s="149" t="n">
        <f aca="false">L9*$D$47</f>
        <v>180460.1370175</v>
      </c>
      <c r="V9" s="149" t="n">
        <f aca="false">O9*($D$54)</f>
        <v>107653.3262125</v>
      </c>
      <c r="W9" s="149" t="n">
        <f aca="false">O9*($D$49)</f>
        <v>51761.30375</v>
      </c>
      <c r="Y9" s="149" t="n">
        <f aca="false">SUM(P9:Q9)*($D$50+$D$52)</f>
        <v>9521.592048675</v>
      </c>
      <c r="AA9" s="149" t="n">
        <f aca="false">SUM(S9:Y9)</f>
        <v>504600.067628675</v>
      </c>
      <c r="AT9" s="149" t="n">
        <f aca="false">AA9</f>
        <v>504600.067628675</v>
      </c>
      <c r="AZ9" s="162" t="s">
        <v>2841</v>
      </c>
      <c r="BA9" s="163" t="n">
        <f aca="false">IF(AZ9="",0,SUMPRODUCT(('CRONOGRAMA ATIVIDADES'!$C$5:$C$6004="ESTRUTURA")*('CRONOGRAMA ATIVIDADES'!$E$5:$E$6004=AZ9)*('CRONOGRAMA ATIVIDADES'!$D$5:$D$6004="-")*'CRONOGRAMA ATIVIDADES'!$F$5:$F$6004))</f>
        <v>46692</v>
      </c>
      <c r="BB9" s="163" t="n">
        <f aca="false">IF(AZ9="",0,SUMPRODUCT(('CRONOGRAMA ATIVIDADES'!$C$5:$C$6004="ESTRUTURA")*('CRONOGRAMA ATIVIDADES'!$E$5:$E$6004=AZ9)*('CRONOGRAMA ATIVIDADES'!$D$5:$D$6004="-")*'CRONOGRAMA ATIVIDADES'!$G$5:$G$6004))</f>
        <v>46703</v>
      </c>
      <c r="BD9" s="164" t="n">
        <f aca="false">IF(AND($BA9&gt;0,$BB9&gt;=$BA9),$AA9*MAX(0,MIN($BB9,EOMONTH(BD$3,0))-MAX($BA9,BD$3)+1)/($BB9-$BA9+1),SUMPRODUCT((YEAR($AC$2:$AX$2)=YEAR(BD$3))*(MONTH($AC$2:$AX$2)=MONTH(BD$3))*$AC9:$AX9))</f>
        <v>0</v>
      </c>
      <c r="BE9" s="164" t="n">
        <f aca="false">IF(AND($BA9&gt;0,$BB9&gt;=$BA9),$AA9*MAX(0,MIN($BB9,EOMONTH(BE$3,0))-MAX($BA9,BE$3)+1)/($BB9-$BA9+1),SUMPRODUCT((YEAR($AC$2:$AX$2)=YEAR(BE$3))*(MONTH($AC$2:$AX$2)=MONTH(BE$3))*$AC9:$AX9))</f>
        <v>0</v>
      </c>
      <c r="BF9" s="164" t="n">
        <f aca="false">IF(AND($BA9&gt;0,$BB9&gt;=$BA9),$AA9*MAX(0,MIN($BB9,EOMONTH(BF$3,0))-MAX($BA9,BF$3)+1)/($BB9-$BA9+1),SUMPRODUCT((YEAR($AC$2:$AX$2)=YEAR(BF$3))*(MONTH($AC$2:$AX$2)=MONTH(BF$3))*$AC9:$AX9))</f>
        <v>0</v>
      </c>
      <c r="BG9" s="164" t="n">
        <f aca="false">IF(AND($BA9&gt;0,$BB9&gt;=$BA9),$AA9*MAX(0,MIN($BB9,EOMONTH(BG$3,0))-MAX($BA9,BG$3)+1)/($BB9-$BA9+1),SUMPRODUCT((YEAR($AC$2:$AX$2)=YEAR(BG$3))*(MONTH($AC$2:$AX$2)=MONTH(BG$3))*$AC9:$AX9))</f>
        <v>0</v>
      </c>
      <c r="BH9" s="164" t="n">
        <f aca="false">IF(AND($BA9&gt;0,$BB9&gt;=$BA9),$AA9*MAX(0,MIN($BB9,EOMONTH(BH$3,0))-MAX($BA9,BH$3)+1)/($BB9-$BA9+1),SUMPRODUCT((YEAR($AC$2:$AX$2)=YEAR(BH$3))*(MONTH($AC$2:$AX$2)=MONTH(BH$3))*$AC9:$AX9))</f>
        <v>0</v>
      </c>
      <c r="BI9" s="164" t="n">
        <f aca="false">IF(AND($BA9&gt;0,$BB9&gt;=$BA9),$AA9*MAX(0,MIN($BB9,EOMONTH(BI$3,0))-MAX($BA9,BI$3)+1)/($BB9-$BA9+1),SUMPRODUCT((YEAR($AC$2:$AX$2)=YEAR(BI$3))*(MONTH($AC$2:$AX$2)=MONTH(BI$3))*$AC9:$AX9))</f>
        <v>0</v>
      </c>
      <c r="BJ9" s="164" t="n">
        <f aca="false">IF(AND($BA9&gt;0,$BB9&gt;=$BA9),$AA9*MAX(0,MIN($BB9,EOMONTH(BJ$3,0))-MAX($BA9,BJ$3)+1)/($BB9-$BA9+1),SUMPRODUCT((YEAR($AC$2:$AX$2)=YEAR(BJ$3))*(MONTH($AC$2:$AX$2)=MONTH(BJ$3))*$AC9:$AX9))</f>
        <v>0</v>
      </c>
      <c r="BK9" s="164" t="n">
        <f aca="false">IF(AND($BA9&gt;0,$BB9&gt;=$BA9),$AA9*MAX(0,MIN($BB9,EOMONTH(BK$3,0))-MAX($BA9,BK$3)+1)/($BB9-$BA9+1),SUMPRODUCT((YEAR($AC$2:$AX$2)=YEAR(BK$3))*(MONTH($AC$2:$AX$2)=MONTH(BK$3))*$AC9:$AX9))</f>
        <v>0</v>
      </c>
      <c r="BL9" s="164" t="n">
        <f aca="false">IF(AND($BA9&gt;0,$BB9&gt;=$BA9),$AA9*MAX(0,MIN($BB9,EOMONTH(BL$3,0))-MAX($BA9,BL$3)+1)/($BB9-$BA9+1),SUMPRODUCT((YEAR($AC$2:$AX$2)=YEAR(BL$3))*(MONTH($AC$2:$AX$2)=MONTH(BL$3))*$AC9:$AX9))</f>
        <v>0</v>
      </c>
      <c r="BM9" s="164" t="n">
        <f aca="false">IF(AND($BA9&gt;0,$BB9&gt;=$BA9),$AA9*MAX(0,MIN($BB9,EOMONTH(BM$3,0))-MAX($BA9,BM$3)+1)/($BB9-$BA9+1),SUMPRODUCT((YEAR($AC$2:$AX$2)=YEAR(BM$3))*(MONTH($AC$2:$AX$2)=MONTH(BM$3))*$AC9:$AX9))</f>
        <v>0</v>
      </c>
      <c r="BN9" s="164" t="n">
        <f aca="false">IF(AND($BA9&gt;0,$BB9&gt;=$BA9),$AA9*MAX(0,MIN($BB9,EOMONTH(BN$3,0))-MAX($BA9,BN$3)+1)/($BB9-$BA9+1),SUMPRODUCT((YEAR($AC$2:$AX$2)=YEAR(BN$3))*(MONTH($AC$2:$AX$2)=MONTH(BN$3))*$AC9:$AX9))</f>
        <v>0</v>
      </c>
      <c r="BO9" s="164" t="n">
        <f aca="false">IF(AND($BA9&gt;0,$BB9&gt;=$BA9),$AA9*MAX(0,MIN($BB9,EOMONTH(BO$3,0))-MAX($BA9,BO$3)+1)/($BB9-$BA9+1),SUMPRODUCT((YEAR($AC$2:$AX$2)=YEAR(BO$3))*(MONTH($AC$2:$AX$2)=MONTH(BO$3))*$AC9:$AX9))</f>
        <v>0</v>
      </c>
      <c r="BP9" s="164" t="n">
        <f aca="false">IF(AND($BA9&gt;0,$BB9&gt;=$BA9),$AA9*MAX(0,MIN($BB9,EOMONTH(BP$3,0))-MAX($BA9,BP$3)+1)/($BB9-$BA9+1),SUMPRODUCT((YEAR($AC$2:$AX$2)=YEAR(BP$3))*(MONTH($AC$2:$AX$2)=MONTH(BP$3))*$AC9:$AX9))</f>
        <v>0</v>
      </c>
      <c r="BQ9" s="164" t="n">
        <f aca="false">IF(AND($BA9&gt;0,$BB9&gt;=$BA9),$AA9*MAX(0,MIN($BB9,EOMONTH(BQ$3,0))-MAX($BA9,BQ$3)+1)/($BB9-$BA9+1),SUMPRODUCT((YEAR($AC$2:$AX$2)=YEAR(BQ$3))*(MONTH($AC$2:$AX$2)=MONTH(BQ$3))*$AC9:$AX9))</f>
        <v>0</v>
      </c>
      <c r="BR9" s="164" t="n">
        <f aca="false">IF(AND($BA9&gt;0,$BB9&gt;=$BA9),$AA9*MAX(0,MIN($BB9,EOMONTH(BR$3,0))-MAX($BA9,BR$3)+1)/($BB9-$BA9+1),SUMPRODUCT((YEAR($AC$2:$AX$2)=YEAR(BR$3))*(MONTH($AC$2:$AX$2)=MONTH(BR$3))*$AC9:$AX9))</f>
        <v>0</v>
      </c>
      <c r="BS9" s="164" t="n">
        <f aca="false">IF(AND($BA9&gt;0,$BB9&gt;=$BA9),$AA9*MAX(0,MIN($BB9,EOMONTH(BS$3,0))-MAX($BA9,BS$3)+1)/($BB9-$BA9+1),SUMPRODUCT((YEAR($AC$2:$AX$2)=YEAR(BS$3))*(MONTH($AC$2:$AX$2)=MONTH(BS$3))*$AC9:$AX9))</f>
        <v>0</v>
      </c>
      <c r="BT9" s="164" t="n">
        <f aca="false">IF(AND($BA9&gt;0,$BB9&gt;=$BA9),$AA9*MAX(0,MIN($BB9,EOMONTH(BT$3,0))-MAX($BA9,BT$3)+1)/($BB9-$BA9+1),SUMPRODUCT((YEAR($AC$2:$AX$2)=YEAR(BT$3))*(MONTH($AC$2:$AX$2)=MONTH(BT$3))*$AC9:$AX9))</f>
        <v>0</v>
      </c>
      <c r="BU9" s="164" t="n">
        <f aca="false">IF(AND($BA9&gt;0,$BB9&gt;=$BA9),$AA9*MAX(0,MIN($BB9,EOMONTH(BU$3,0))-MAX($BA9,BU$3)+1)/($BB9-$BA9+1),SUMPRODUCT((YEAR($AC$2:$AX$2)=YEAR(BU$3))*(MONTH($AC$2:$AX$2)=MONTH(BU$3))*$AC9:$AX9))</f>
        <v>0</v>
      </c>
      <c r="BV9" s="164" t="n">
        <f aca="false">IF(AND($BA9&gt;0,$BB9&gt;=$BA9),$AA9*MAX(0,MIN($BB9,EOMONTH(BV$3,0))-MAX($BA9,BV$3)+1)/($BB9-$BA9+1),SUMPRODUCT((YEAR($AC$2:$AX$2)=YEAR(BV$3))*(MONTH($AC$2:$AX$2)=MONTH(BV$3))*$AC9:$AX9))</f>
        <v>0</v>
      </c>
      <c r="BW9" s="164" t="n">
        <f aca="false">IF(AND($BA9&gt;0,$BB9&gt;=$BA9),$AA9*MAX(0,MIN($BB9,EOMONTH(BW$3,0))-MAX($BA9,BW$3)+1)/($BB9-$BA9+1),SUMPRODUCT((YEAR($AC$2:$AX$2)=YEAR(BW$3))*(MONTH($AC$2:$AX$2)=MONTH(BW$3))*$AC9:$AX9))</f>
        <v>0</v>
      </c>
      <c r="BX9" s="164" t="n">
        <f aca="false">IF(AND($BA9&gt;0,$BB9&gt;=$BA9),$AA9*MAX(0,MIN($BB9,EOMONTH(BX$3,0))-MAX($BA9,BX$3)+1)/($BB9-$BA9+1),SUMPRODUCT((YEAR($AC$2:$AX$2)=YEAR(BX$3))*(MONTH($AC$2:$AX$2)=MONTH(BX$3))*$AC9:$AX9))</f>
        <v>0</v>
      </c>
      <c r="BY9" s="164" t="n">
        <f aca="false">IF(AND($BA9&gt;0,$BB9&gt;=$BA9),$AA9*MAX(0,MIN($BB9,EOMONTH(BY$3,0))-MAX($BA9,BY$3)+1)/($BB9-$BA9+1),SUMPRODUCT((YEAR($AC$2:$AX$2)=YEAR(BY$3))*(MONTH($AC$2:$AX$2)=MONTH(BY$3))*$AC9:$AX9))</f>
        <v>0</v>
      </c>
      <c r="BZ9" s="164" t="n">
        <f aca="false">IF(AND($BA9&gt;0,$BB9&gt;=$BA9),$AA9*MAX(0,MIN($BB9,EOMONTH(BZ$3,0))-MAX($BA9,BZ$3)+1)/($BB9-$BA9+1),SUMPRODUCT((YEAR($AC$2:$AX$2)=YEAR(BZ$3))*(MONTH($AC$2:$AX$2)=MONTH(BZ$3))*$AC9:$AX9))</f>
        <v>0</v>
      </c>
      <c r="CA9" s="164" t="n">
        <f aca="false">IF(AND($BA9&gt;0,$BB9&gt;=$BA9),$AA9*MAX(0,MIN($BB9,EOMONTH(CA$3,0))-MAX($BA9,CA$3)+1)/($BB9-$BA9+1),SUMPRODUCT((YEAR($AC$2:$AX$2)=YEAR(CA$3))*(MONTH($AC$2:$AX$2)=MONTH(CA$3))*$AC9:$AX9))</f>
        <v>0</v>
      </c>
      <c r="CB9" s="164" t="n">
        <f aca="false">IF(AND($BA9&gt;0,$BB9&gt;=$BA9),$AA9*MAX(0,MIN($BB9,EOMONTH(CB$3,0))-MAX($BA9,CB$3)+1)/($BB9-$BA9+1),SUMPRODUCT((YEAR($AC$2:$AX$2)=YEAR(CB$3))*(MONTH($AC$2:$AX$2)=MONTH(CB$3))*$AC9:$AX9))</f>
        <v>0</v>
      </c>
      <c r="CC9" s="164" t="n">
        <f aca="false">IF(AND($BA9&gt;0,$BB9&gt;=$BA9),$AA9*MAX(0,MIN($BB9,EOMONTH(CC$3,0))-MAX($BA9,CC$3)+1)/($BB9-$BA9+1),SUMPRODUCT((YEAR($AC$2:$AX$2)=YEAR(CC$3))*(MONTH($AC$2:$AX$2)=MONTH(CC$3))*$AC9:$AX9))</f>
        <v>0</v>
      </c>
      <c r="CD9" s="164" t="n">
        <f aca="false">IF(AND($BA9&gt;0,$BB9&gt;=$BA9),$AA9*MAX(0,MIN($BB9,EOMONTH(CD$3,0))-MAX($BA9,CD$3)+1)/($BB9-$BA9+1),SUMPRODUCT((YEAR($AC$2:$AX$2)=YEAR(CD$3))*(MONTH($AC$2:$AX$2)=MONTH(CD$3))*$AC9:$AX9))</f>
        <v>0</v>
      </c>
      <c r="CE9" s="164" t="n">
        <f aca="false">IF(AND($BA9&gt;0,$BB9&gt;=$BA9),$AA9*MAX(0,MIN($BB9,EOMONTH(CE$3,0))-MAX($BA9,CE$3)+1)/($BB9-$BA9+1),SUMPRODUCT((YEAR($AC$2:$AX$2)=YEAR(CE$3))*(MONTH($AC$2:$AX$2)=MONTH(CE$3))*$AC9:$AX9))</f>
        <v>0</v>
      </c>
      <c r="CF9" s="164" t="n">
        <f aca="false">IF(AND($BA9&gt;0,$BB9&gt;=$BA9),$AA9*MAX(0,MIN($BB9,EOMONTH(CF$3,0))-MAX($BA9,CF$3)+1)/($BB9-$BA9+1),SUMPRODUCT((YEAR($AC$2:$AX$2)=YEAR(CF$3))*(MONTH($AC$2:$AX$2)=MONTH(CF$3))*$AC9:$AX9))</f>
        <v>0</v>
      </c>
      <c r="CG9" s="164" t="n">
        <f aca="false">IF(AND($BA9&gt;0,$BB9&gt;=$BA9),$AA9*MAX(0,MIN($BB9,EOMONTH(CG$3,0))-MAX($BA9,CG$3)+1)/($BB9-$BA9+1),SUMPRODUCT((YEAR($AC$2:$AX$2)=YEAR(CG$3))*(MONTH($AC$2:$AX$2)=MONTH(CG$3))*$AC9:$AX9))</f>
        <v>0</v>
      </c>
      <c r="CH9" s="164" t="n">
        <f aca="false">IF(AND($BA9&gt;0,$BB9&gt;=$BA9),$AA9*MAX(0,MIN($BB9,EOMONTH(CH$3,0))-MAX($BA9,CH$3)+1)/($BB9-$BA9+1),SUMPRODUCT((YEAR($AC$2:$AX$2)=YEAR(CH$3))*(MONTH($AC$2:$AX$2)=MONTH(CH$3))*$AC9:$AX9))</f>
        <v>0</v>
      </c>
      <c r="CI9" s="164" t="n">
        <f aca="false">IF(AND($BA9&gt;0,$BB9&gt;=$BA9),$AA9*MAX(0,MIN($BB9,EOMONTH(CI$3,0))-MAX($BA9,CI$3)+1)/($BB9-$BA9+1),SUMPRODUCT((YEAR($AC$2:$AX$2)=YEAR(CI$3))*(MONTH($AC$2:$AX$2)=MONTH(CI$3))*$AC9:$AX9))</f>
        <v>0</v>
      </c>
      <c r="CJ9" s="164" t="n">
        <f aca="false">IF(AND($BA9&gt;0,$BB9&gt;=$BA9),$AA9*MAX(0,MIN($BB9,EOMONTH(CJ$3,0))-MAX($BA9,CJ$3)+1)/($BB9-$BA9+1),SUMPRODUCT((YEAR($AC$2:$AX$2)=YEAR(CJ$3))*(MONTH($AC$2:$AX$2)=MONTH(CJ$3))*$AC9:$AX9))</f>
        <v>0</v>
      </c>
      <c r="CK9" s="164" t="n">
        <f aca="false">IF(AND($BA9&gt;0,$BB9&gt;=$BA9),$AA9*MAX(0,MIN($BB9,EOMONTH(CK$3,0))-MAX($BA9,CK$3)+1)/($BB9-$BA9+1),SUMPRODUCT((YEAR($AC$2:$AX$2)=YEAR(CK$3))*(MONTH($AC$2:$AX$2)=MONTH(CK$3))*$AC9:$AX9))</f>
        <v>0</v>
      </c>
      <c r="CL9" s="164" t="n">
        <f aca="false">IF(AND($BA9&gt;0,$BB9&gt;=$BA9),$AA9*MAX(0,MIN($BB9,EOMONTH(CL$3,0))-MAX($BA9,CL$3)+1)/($BB9-$BA9+1),SUMPRODUCT((YEAR($AC$2:$AX$2)=YEAR(CL$3))*(MONTH($AC$2:$AX$2)=MONTH(CL$3))*$AC9:$AX9))</f>
        <v>0</v>
      </c>
      <c r="CM9" s="164" t="n">
        <f aca="false">IF(AND($BA9&gt;0,$BB9&gt;=$BA9),$AA9*MAX(0,MIN($BB9,EOMONTH(CM$3,0))-MAX($BA9,CM$3)+1)/($BB9-$BA9+1),SUMPRODUCT((YEAR($AC$2:$AX$2)=YEAR(CM$3))*(MONTH($AC$2:$AX$2)=MONTH(CM$3))*$AC9:$AX9))</f>
        <v>504600.067628675</v>
      </c>
      <c r="CN9" s="164" t="n">
        <f aca="false">IF(AND($BA9&gt;0,$BB9&gt;=$BA9),$AA9*MAX(0,MIN($BB9,EOMONTH(CN$3,0))-MAX($BA9,CN$3)+1)/($BB9-$BA9+1),SUMPRODUCT((YEAR($AC$2:$AX$2)=YEAR(CN$3))*(MONTH($AC$2:$AX$2)=MONTH(CN$3))*$AC9:$AX9))</f>
        <v>0</v>
      </c>
      <c r="CO9" s="164" t="n">
        <f aca="false">IF(AND($BA9&gt;0,$BB9&gt;=$BA9),$AA9*MAX(0,MIN($BB9,EOMONTH(CO$3,0))-MAX($BA9,CO$3)+1)/($BB9-$BA9+1),SUMPRODUCT((YEAR($AC$2:$AX$2)=YEAR(CO$3))*(MONTH($AC$2:$AX$2)=MONTH(CO$3))*$AC9:$AX9))</f>
        <v>0</v>
      </c>
      <c r="CP9" s="164" t="n">
        <f aca="false">IF(AND($BA9&gt;0,$BB9&gt;=$BA9),$AA9*MAX(0,MIN($BB9,EOMONTH(CP$3,0))-MAX($BA9,CP$3)+1)/($BB9-$BA9+1),SUMPRODUCT((YEAR($AC$2:$AX$2)=YEAR(CP$3))*(MONTH($AC$2:$AX$2)=MONTH(CP$3))*$AC9:$AX9))</f>
        <v>0</v>
      </c>
      <c r="CQ9" s="164" t="n">
        <f aca="false">IF(AND($BA9&gt;0,$BB9&gt;=$BA9),$AA9*MAX(0,MIN($BB9,EOMONTH(CQ$3,0))-MAX($BA9,CQ$3)+1)/($BB9-$BA9+1),SUMPRODUCT((YEAR($AC$2:$AX$2)=YEAR(CQ$3))*(MONTH($AC$2:$AX$2)=MONTH(CQ$3))*$AC9:$AX9))</f>
        <v>0</v>
      </c>
      <c r="CR9" s="164" t="n">
        <f aca="false">IF(AND($BA9&gt;0,$BB9&gt;=$BA9),$AA9*MAX(0,MIN($BB9,EOMONTH(CR$3,0))-MAX($BA9,CR$3)+1)/($BB9-$BA9+1),SUMPRODUCT((YEAR($AC$2:$AX$2)=YEAR(CR$3))*(MONTH($AC$2:$AX$2)=MONTH(CR$3))*$AC9:$AX9))</f>
        <v>0</v>
      </c>
      <c r="CS9" s="164" t="n">
        <f aca="false">IF(AND($BA9&gt;0,$BB9&gt;=$BA9),$AA9*MAX(0,MIN($BB9,EOMONTH(CS$3,0))-MAX($BA9,CS$3)+1)/($BB9-$BA9+1),SUMPRODUCT((YEAR($AC$2:$AX$2)=YEAR(CS$3))*(MONTH($AC$2:$AX$2)=MONTH(CS$3))*$AC9:$AX9))</f>
        <v>0</v>
      </c>
      <c r="CT9" s="164" t="n">
        <f aca="false">IF(AND($BA9&gt;0,$BB9&gt;=$BA9),$AA9*MAX(0,MIN($BB9,EOMONTH(CT$3,0))-MAX($BA9,CT$3)+1)/($BB9-$BA9+1),SUMPRODUCT((YEAR($AC$2:$AX$2)=YEAR(CT$3))*(MONTH($AC$2:$AX$2)=MONTH(CT$3))*$AC9:$AX9))</f>
        <v>0</v>
      </c>
      <c r="CU9" s="164" t="n">
        <f aca="false">IF(AND($BA9&gt;0,$BB9&gt;=$BA9),$AA9*MAX(0,MIN($BB9,EOMONTH(CU$3,0))-MAX($BA9,CU$3)+1)/($BB9-$BA9+1),SUMPRODUCT((YEAR($AC$2:$AX$2)=YEAR(CU$3))*(MONTH($AC$2:$AX$2)=MONTH(CU$3))*$AC9:$AX9))</f>
        <v>0</v>
      </c>
      <c r="CV9" s="164" t="n">
        <f aca="false">IF(AND($BA9&gt;0,$BB9&gt;=$BA9),$AA9*MAX(0,MIN($BB9,EOMONTH(CV$3,0))-MAX($BA9,CV$3)+1)/($BB9-$BA9+1),SUMPRODUCT((YEAR($AC$2:$AX$2)=YEAR(CV$3))*(MONTH($AC$2:$AX$2)=MONTH(CV$3))*$AC9:$AX9))</f>
        <v>0</v>
      </c>
      <c r="CW9" s="164" t="n">
        <f aca="false">IF(AND($BA9&gt;0,$BB9&gt;=$BA9),$AA9*MAX(0,MIN($BB9,EOMONTH(CW$3,0))-MAX($BA9,CW$3)+1)/($BB9-$BA9+1),SUMPRODUCT((YEAR($AC$2:$AX$2)=YEAR(CW$3))*(MONTH($AC$2:$AX$2)=MONTH(CW$3))*$AC9:$AX9))</f>
        <v>0</v>
      </c>
      <c r="CX9" s="164" t="n">
        <f aca="false">IF(AND($BA9&gt;0,$BB9&gt;=$BA9),$AA9*MAX(0,MIN($BB9,EOMONTH(CX$3,0))-MAX($BA9,CX$3)+1)/($BB9-$BA9+1),SUMPRODUCT((YEAR($AC$2:$AX$2)=YEAR(CX$3))*(MONTH($AC$2:$AX$2)=MONTH(CX$3))*$AC9:$AX9))</f>
        <v>0</v>
      </c>
      <c r="CY9" s="164" t="n">
        <f aca="false">IF(AND($BA9&gt;0,$BB9&gt;=$BA9),$AA9*MAX(0,MIN($BB9,EOMONTH(CY$3,0))-MAX($BA9,CY$3)+1)/($BB9-$BA9+1),SUMPRODUCT((YEAR($AC$2:$AX$2)=YEAR(CY$3))*(MONTH($AC$2:$AX$2)=MONTH(CY$3))*$AC9:$AX9))</f>
        <v>0</v>
      </c>
      <c r="CZ9" s="164" t="n">
        <f aca="false">IF(AND($BA9&gt;0,$BB9&gt;=$BA9),$AA9*MAX(0,MIN($BB9,EOMONTH(CZ$3,0))-MAX($BA9,CZ$3)+1)/($BB9-$BA9+1),SUMPRODUCT((YEAR($AC$2:$AX$2)=YEAR(CZ$3))*(MONTH($AC$2:$AX$2)=MONTH(CZ$3))*$AC9:$AX9))</f>
        <v>0</v>
      </c>
      <c r="DA9" s="164" t="n">
        <f aca="false">IF(AND($BA9&gt;0,$BB9&gt;=$BA9),$AA9*MAX(0,MIN($BB9,EOMONTH(DA$3,0))-MAX($BA9,DA$3)+1)/($BB9-$BA9+1),SUMPRODUCT((YEAR($AC$2:$AX$2)=YEAR(DA$3))*(MONTH($AC$2:$AX$2)=MONTH(DA$3))*$AC9:$AX9))</f>
        <v>0</v>
      </c>
      <c r="DB9" s="164" t="n">
        <f aca="false">IF(AND($BA9&gt;0,$BB9&gt;=$BA9),$AA9*MAX(0,MIN($BB9,EOMONTH(DB$3,0))-MAX($BA9,DB$3)+1)/($BB9-$BA9+1),SUMPRODUCT((YEAR($AC$2:$AX$2)=YEAR(DB$3))*(MONTH($AC$2:$AX$2)=MONTH(DB$3))*$AC9:$AX9))</f>
        <v>0</v>
      </c>
      <c r="DC9" s="164" t="n">
        <f aca="false">IF(AND($BA9&gt;0,$BB9&gt;=$BA9),$AA9*MAX(0,MIN($BB9,EOMONTH(DC$3,0))-MAX($BA9,DC$3)+1)/($BB9-$BA9+1),SUMPRODUCT((YEAR($AC$2:$AX$2)=YEAR(DC$3))*(MONTH($AC$2:$AX$2)=MONTH(DC$3))*$AC9:$AX9))</f>
        <v>0</v>
      </c>
      <c r="DD9" s="164" t="n">
        <f aca="false">IF(AND($BA9&gt;0,$BB9&gt;=$BA9),$AA9*MAX(0,MIN($BB9,EOMONTH(DD$3,0))-MAX($BA9,DD$3)+1)/($BB9-$BA9+1),SUMPRODUCT((YEAR($AC$2:$AX$2)=YEAR(DD$3))*(MONTH($AC$2:$AX$2)=MONTH(DD$3))*$AC9:$AX9))</f>
        <v>0</v>
      </c>
      <c r="DE9" s="164" t="n">
        <f aca="false">IF(AND($BA9&gt;0,$BB9&gt;=$BA9),$AA9*MAX(0,MIN($BB9,EOMONTH(DE$3,0))-MAX($BA9,DE$3)+1)/($BB9-$BA9+1),SUMPRODUCT((YEAR($AC$2:$AX$2)=YEAR(DE$3))*(MONTH($AC$2:$AX$2)=MONTH(DE$3))*$AC9:$AX9))</f>
        <v>0</v>
      </c>
      <c r="DF9" s="164" t="n">
        <f aca="false">IF(AND($BA9&gt;0,$BB9&gt;=$BA9),$AA9*MAX(0,MIN($BB9,EOMONTH(DF$3,0))-MAX($BA9,DF$3)+1)/($BB9-$BA9+1),SUMPRODUCT((YEAR($AC$2:$AX$2)=YEAR(DF$3))*(MONTH($AC$2:$AX$2)=MONTH(DF$3))*$AC9:$AX9))</f>
        <v>0</v>
      </c>
      <c r="DG9" s="164" t="n">
        <f aca="false">IF(AND($BA9&gt;0,$BB9&gt;=$BA9),$AA9*MAX(0,MIN($BB9,EOMONTH(DG$3,0))-MAX($BA9,DG$3)+1)/($BB9-$BA9+1),SUMPRODUCT((YEAR($AC$2:$AX$2)=YEAR(DG$3))*(MONTH($AC$2:$AX$2)=MONTH(DG$3))*$AC9:$AX9))</f>
        <v>0</v>
      </c>
      <c r="DH9" s="164" t="n">
        <f aca="false">IF(AND($BA9&gt;0,$BB9&gt;=$BA9),$AA9*MAX(0,MIN($BB9,EOMONTH(DH$3,0))-MAX($BA9,DH$3)+1)/($BB9-$BA9+1),SUMPRODUCT((YEAR($AC$2:$AX$2)=YEAR(DH$3))*(MONTH($AC$2:$AX$2)=MONTH(DH$3))*$AC9:$AX9))</f>
        <v>0</v>
      </c>
      <c r="DI9" s="164" t="n">
        <f aca="false">IF(AND($BA9&gt;0,$BB9&gt;=$BA9),$AA9*MAX(0,MIN($BB9,EOMONTH(DI$3,0))-MAX($BA9,DI$3)+1)/($BB9-$BA9+1),SUMPRODUCT((YEAR($AC$2:$AX$2)=YEAR(DI$3))*(MONTH($AC$2:$AX$2)=MONTH(DI$3))*$AC9:$AX9))</f>
        <v>0</v>
      </c>
      <c r="DJ9" s="164" t="n">
        <f aca="false">IF(AND($BA9&gt;0,$BB9&gt;=$BA9),$AA9*MAX(0,MIN($BB9,EOMONTH(DJ$3,0))-MAX($BA9,DJ$3)+1)/($BB9-$BA9+1),SUMPRODUCT((YEAR($AC$2:$AX$2)=YEAR(DJ$3))*(MONTH($AC$2:$AX$2)=MONTH(DJ$3))*$AC9:$AX9))</f>
        <v>0</v>
      </c>
      <c r="DK9" s="164" t="n">
        <f aca="false">IF(AND($BA9&gt;0,$BB9&gt;=$BA9),$AA9*MAX(0,MIN($BB9,EOMONTH(DK$3,0))-MAX($BA9,DK$3)+1)/($BB9-$BA9+1),SUMPRODUCT((YEAR($AC$2:$AX$2)=YEAR(DK$3))*(MONTH($AC$2:$AX$2)=MONTH(DK$3))*$AC9:$AX9))</f>
        <v>0</v>
      </c>
      <c r="DL9" s="164" t="n">
        <f aca="false">IF(AND($BA9&gt;0,$BB9&gt;=$BA9),$AA9*MAX(0,MIN($BB9,EOMONTH(DL$3,0))-MAX($BA9,DL$3)+1)/($BB9-$BA9+1),SUMPRODUCT((YEAR($AC$2:$AX$2)=YEAR(DL$3))*(MONTH($AC$2:$AX$2)=MONTH(DL$3))*$AC9:$AX9))</f>
        <v>0</v>
      </c>
      <c r="DM9" s="164" t="n">
        <f aca="false">IF(AND($BA9&gt;0,$BB9&gt;=$BA9),$AA9*MAX(0,MIN($BB9,EOMONTH(DM$3,0))-MAX($BA9,DM$3)+1)/($BB9-$BA9+1),SUMPRODUCT((YEAR($AC$2:$AX$2)=YEAR(DM$3))*(MONTH($AC$2:$AX$2)=MONTH(DM$3))*$AC9:$AX9))</f>
        <v>0</v>
      </c>
      <c r="DN9" s="164" t="n">
        <f aca="false">IF(AND($BA9&gt;0,$BB9&gt;=$BA9),$AA9*MAX(0,MIN($BB9,EOMONTH(DN$3,0))-MAX($BA9,DN$3)+1)/($BB9-$BA9+1),SUMPRODUCT((YEAR($AC$2:$AX$2)=YEAR(DN$3))*(MONTH($AC$2:$AX$2)=MONTH(DN$3))*$AC9:$AX9))</f>
        <v>0</v>
      </c>
      <c r="DO9" s="164" t="n">
        <f aca="false">IF(AND($BA9&gt;0,$BB9&gt;=$BA9),$AA9*MAX(0,MIN($BB9,EOMONTH(DO$3,0))-MAX($BA9,DO$3)+1)/($BB9-$BA9+1),SUMPRODUCT((YEAR($AC$2:$AX$2)=YEAR(DO$3))*(MONTH($AC$2:$AX$2)=MONTH(DO$3))*$AC9:$AX9))</f>
        <v>0</v>
      </c>
      <c r="DP9" s="164" t="n">
        <f aca="false">IF(AND($BA9&gt;0,$BB9&gt;=$BA9),$AA9*MAX(0,MIN($BB9,EOMONTH(DP$3,0))-MAX($BA9,DP$3)+1)/($BB9-$BA9+1),SUMPRODUCT((YEAR($AC$2:$AX$2)=YEAR(DP$3))*(MONTH($AC$2:$AX$2)=MONTH(DP$3))*$AC9:$AX9))</f>
        <v>0</v>
      </c>
      <c r="DQ9" s="164" t="n">
        <f aca="false">IF(AND($BA9&gt;0,$BB9&gt;=$BA9),$AA9*MAX(0,MIN($BB9,EOMONTH(DQ$3,0))-MAX($BA9,DQ$3)+1)/($BB9-$BA9+1),SUMPRODUCT((YEAR($AC$2:$AX$2)=YEAR(DQ$3))*(MONTH($AC$2:$AX$2)=MONTH(DQ$3))*$AC9:$AX9))</f>
        <v>0</v>
      </c>
      <c r="DR9" s="164" t="n">
        <f aca="false">IF(AND($BA9&gt;0,$BB9&gt;=$BA9),$AA9*MAX(0,MIN($BB9,EOMONTH(DR$3,0))-MAX($BA9,DR$3)+1)/($BB9-$BA9+1),SUMPRODUCT((YEAR($AC$2:$AX$2)=YEAR(DR$3))*(MONTH($AC$2:$AX$2)=MONTH(DR$3))*$AC9:$AX9))</f>
        <v>0</v>
      </c>
      <c r="DS9" s="164" t="n">
        <f aca="false">IF(AND($BA9&gt;0,$BB9&gt;=$BA9),$AA9*MAX(0,MIN($BB9,EOMONTH(DS$3,0))-MAX($BA9,DS$3)+1)/($BB9-$BA9+1),SUMPRODUCT((YEAR($AC$2:$AX$2)=YEAR(DS$3))*(MONTH($AC$2:$AX$2)=MONTH(DS$3))*$AC9:$AX9))</f>
        <v>0</v>
      </c>
      <c r="DT9" s="164" t="n">
        <f aca="false">IF(AND($BA9&gt;0,$BB9&gt;=$BA9),$AA9*MAX(0,MIN($BB9,EOMONTH(DT$3,0))-MAX($BA9,DT$3)+1)/($BB9-$BA9+1),SUMPRODUCT((YEAR($AC$2:$AX$2)=YEAR(DT$3))*(MONTH($AC$2:$AX$2)=MONTH(DT$3))*$AC9:$AX9))</f>
        <v>0</v>
      </c>
      <c r="DU9" s="164" t="n">
        <f aca="false">IF(AND($BA9&gt;0,$BB9&gt;=$BA9),$AA9*MAX(0,MIN($BB9,EOMONTH(DU$3,0))-MAX($BA9,DU$3)+1)/($BB9-$BA9+1),SUMPRODUCT((YEAR($AC$2:$AX$2)=YEAR(DU$3))*(MONTH($AC$2:$AX$2)=MONTH(DU$3))*$AC9:$AX9))</f>
        <v>0</v>
      </c>
      <c r="DV9" s="164" t="n">
        <f aca="false">IF(AND($BA9&gt;0,$BB9&gt;=$BA9),$AA9*MAX(0,MIN($BB9,EOMONTH(DV$3,0))-MAX($BA9,DV$3)+1)/($BB9-$BA9+1),SUMPRODUCT((YEAR($AC$2:$AX$2)=YEAR(DV$3))*(MONTH($AC$2:$AX$2)=MONTH(DV$3))*$AC9:$AX9))</f>
        <v>0</v>
      </c>
      <c r="DW9" s="164" t="n">
        <f aca="false">IF(AND($BA9&gt;0,$BB9&gt;=$BA9),$AA9*MAX(0,MIN($BB9,EOMONTH(DW$3,0))-MAX($BA9,DW$3)+1)/($BB9-$BA9+1),SUMPRODUCT((YEAR($AC$2:$AX$2)=YEAR(DW$3))*(MONTH($AC$2:$AX$2)=MONTH(DW$3))*$AC9:$AX9))</f>
        <v>0</v>
      </c>
    </row>
    <row r="10" customFormat="false" ht="15" hidden="false" customHeight="false" outlineLevel="0" collapsed="false">
      <c r="H10" s="150" t="s">
        <v>2968</v>
      </c>
      <c r="J10" s="152" t="n">
        <v>700.6245</v>
      </c>
      <c r="K10" s="152" t="n">
        <v>242.8</v>
      </c>
      <c r="L10" s="152" t="n">
        <v>1353.789475</v>
      </c>
      <c r="O10" s="152" t="n">
        <v>18519.25</v>
      </c>
      <c r="P10" s="152" t="n">
        <v>700.6245</v>
      </c>
      <c r="S10" s="149" t="n">
        <f aca="false">K10*($D$58+$D$57)</f>
        <v>155203.7086</v>
      </c>
      <c r="T10" s="149" t="n">
        <f aca="false">L10*$D$47</f>
        <v>180460.1370175</v>
      </c>
      <c r="V10" s="149" t="n">
        <f aca="false">O10*($D$54)</f>
        <v>107653.3262125</v>
      </c>
      <c r="W10" s="149" t="n">
        <f aca="false">O10*($D$49)</f>
        <v>51761.30375</v>
      </c>
      <c r="Y10" s="149" t="n">
        <f aca="false">SUM(P10:Q10)*($D$50+$D$52)</f>
        <v>9521.592048675</v>
      </c>
      <c r="AA10" s="149" t="n">
        <f aca="false">SUM(S10:Y10)</f>
        <v>504600.067628675</v>
      </c>
      <c r="AS10" s="149" t="n">
        <f aca="false">AA10*0.5</f>
        <v>252300.033814337</v>
      </c>
      <c r="AT10" s="149" t="n">
        <f aca="false">AA10*0.5</f>
        <v>252300.033814337</v>
      </c>
      <c r="AZ10" s="162" t="s">
        <v>2840</v>
      </c>
      <c r="BA10" s="163" t="n">
        <f aca="false">IF(AZ10="",0,SUMPRODUCT(('CRONOGRAMA ATIVIDADES'!$C$5:$C$6004="ESTRUTURA")*('CRONOGRAMA ATIVIDADES'!$E$5:$E$6004=AZ10)*('CRONOGRAMA ATIVIDADES'!$D$5:$D$6004="-")*'CRONOGRAMA ATIVIDADES'!$F$5:$F$6004))</f>
        <v>46679</v>
      </c>
      <c r="BB10" s="163" t="n">
        <f aca="false">IF(AZ10="",0,SUMPRODUCT(('CRONOGRAMA ATIVIDADES'!$C$5:$C$6004="ESTRUTURA")*('CRONOGRAMA ATIVIDADES'!$E$5:$E$6004=AZ10)*('CRONOGRAMA ATIVIDADES'!$D$5:$D$6004="-")*'CRONOGRAMA ATIVIDADES'!$G$5:$G$6004))</f>
        <v>46689</v>
      </c>
      <c r="BD10" s="164" t="n">
        <f aca="false">IF(AND($BA10&gt;0,$BB10&gt;=$BA10),$AA10*MAX(0,MIN($BB10,EOMONTH(BD$3,0))-MAX($BA10,BD$3)+1)/($BB10-$BA10+1),SUMPRODUCT((YEAR($AC$2:$AX$2)=YEAR(BD$3))*(MONTH($AC$2:$AX$2)=MONTH(BD$3))*$AC10:$AX10))</f>
        <v>0</v>
      </c>
      <c r="BE10" s="164" t="n">
        <f aca="false">IF(AND($BA10&gt;0,$BB10&gt;=$BA10),$AA10*MAX(0,MIN($BB10,EOMONTH(BE$3,0))-MAX($BA10,BE$3)+1)/($BB10-$BA10+1),SUMPRODUCT((YEAR($AC$2:$AX$2)=YEAR(BE$3))*(MONTH($AC$2:$AX$2)=MONTH(BE$3))*$AC10:$AX10))</f>
        <v>0</v>
      </c>
      <c r="BF10" s="164" t="n">
        <f aca="false">IF(AND($BA10&gt;0,$BB10&gt;=$BA10),$AA10*MAX(0,MIN($BB10,EOMONTH(BF$3,0))-MAX($BA10,BF$3)+1)/($BB10-$BA10+1),SUMPRODUCT((YEAR($AC$2:$AX$2)=YEAR(BF$3))*(MONTH($AC$2:$AX$2)=MONTH(BF$3))*$AC10:$AX10))</f>
        <v>0</v>
      </c>
      <c r="BG10" s="164" t="n">
        <f aca="false">IF(AND($BA10&gt;0,$BB10&gt;=$BA10),$AA10*MAX(0,MIN($BB10,EOMONTH(BG$3,0))-MAX($BA10,BG$3)+1)/($BB10-$BA10+1),SUMPRODUCT((YEAR($AC$2:$AX$2)=YEAR(BG$3))*(MONTH($AC$2:$AX$2)=MONTH(BG$3))*$AC10:$AX10))</f>
        <v>0</v>
      </c>
      <c r="BH10" s="164" t="n">
        <f aca="false">IF(AND($BA10&gt;0,$BB10&gt;=$BA10),$AA10*MAX(0,MIN($BB10,EOMONTH(BH$3,0))-MAX($BA10,BH$3)+1)/($BB10-$BA10+1),SUMPRODUCT((YEAR($AC$2:$AX$2)=YEAR(BH$3))*(MONTH($AC$2:$AX$2)=MONTH(BH$3))*$AC10:$AX10))</f>
        <v>0</v>
      </c>
      <c r="BI10" s="164" t="n">
        <f aca="false">IF(AND($BA10&gt;0,$BB10&gt;=$BA10),$AA10*MAX(0,MIN($BB10,EOMONTH(BI$3,0))-MAX($BA10,BI$3)+1)/($BB10-$BA10+1),SUMPRODUCT((YEAR($AC$2:$AX$2)=YEAR(BI$3))*(MONTH($AC$2:$AX$2)=MONTH(BI$3))*$AC10:$AX10))</f>
        <v>0</v>
      </c>
      <c r="BJ10" s="164" t="n">
        <f aca="false">IF(AND($BA10&gt;0,$BB10&gt;=$BA10),$AA10*MAX(0,MIN($BB10,EOMONTH(BJ$3,0))-MAX($BA10,BJ$3)+1)/($BB10-$BA10+1),SUMPRODUCT((YEAR($AC$2:$AX$2)=YEAR(BJ$3))*(MONTH($AC$2:$AX$2)=MONTH(BJ$3))*$AC10:$AX10))</f>
        <v>0</v>
      </c>
      <c r="BK10" s="164" t="n">
        <f aca="false">IF(AND($BA10&gt;0,$BB10&gt;=$BA10),$AA10*MAX(0,MIN($BB10,EOMONTH(BK$3,0))-MAX($BA10,BK$3)+1)/($BB10-$BA10+1),SUMPRODUCT((YEAR($AC$2:$AX$2)=YEAR(BK$3))*(MONTH($AC$2:$AX$2)=MONTH(BK$3))*$AC10:$AX10))</f>
        <v>0</v>
      </c>
      <c r="BL10" s="164" t="n">
        <f aca="false">IF(AND($BA10&gt;0,$BB10&gt;=$BA10),$AA10*MAX(0,MIN($BB10,EOMONTH(BL$3,0))-MAX($BA10,BL$3)+1)/($BB10-$BA10+1),SUMPRODUCT((YEAR($AC$2:$AX$2)=YEAR(BL$3))*(MONTH($AC$2:$AX$2)=MONTH(BL$3))*$AC10:$AX10))</f>
        <v>0</v>
      </c>
      <c r="BM10" s="164" t="n">
        <f aca="false">IF(AND($BA10&gt;0,$BB10&gt;=$BA10),$AA10*MAX(0,MIN($BB10,EOMONTH(BM$3,0))-MAX($BA10,BM$3)+1)/($BB10-$BA10+1),SUMPRODUCT((YEAR($AC$2:$AX$2)=YEAR(BM$3))*(MONTH($AC$2:$AX$2)=MONTH(BM$3))*$AC10:$AX10))</f>
        <v>0</v>
      </c>
      <c r="BN10" s="164" t="n">
        <f aca="false">IF(AND($BA10&gt;0,$BB10&gt;=$BA10),$AA10*MAX(0,MIN($BB10,EOMONTH(BN$3,0))-MAX($BA10,BN$3)+1)/($BB10-$BA10+1),SUMPRODUCT((YEAR($AC$2:$AX$2)=YEAR(BN$3))*(MONTH($AC$2:$AX$2)=MONTH(BN$3))*$AC10:$AX10))</f>
        <v>0</v>
      </c>
      <c r="BO10" s="164" t="n">
        <f aca="false">IF(AND($BA10&gt;0,$BB10&gt;=$BA10),$AA10*MAX(0,MIN($BB10,EOMONTH(BO$3,0))-MAX($BA10,BO$3)+1)/($BB10-$BA10+1),SUMPRODUCT((YEAR($AC$2:$AX$2)=YEAR(BO$3))*(MONTH($AC$2:$AX$2)=MONTH(BO$3))*$AC10:$AX10))</f>
        <v>0</v>
      </c>
      <c r="BP10" s="164" t="n">
        <f aca="false">IF(AND($BA10&gt;0,$BB10&gt;=$BA10),$AA10*MAX(0,MIN($BB10,EOMONTH(BP$3,0))-MAX($BA10,BP$3)+1)/($BB10-$BA10+1),SUMPRODUCT((YEAR($AC$2:$AX$2)=YEAR(BP$3))*(MONTH($AC$2:$AX$2)=MONTH(BP$3))*$AC10:$AX10))</f>
        <v>0</v>
      </c>
      <c r="BQ10" s="164" t="n">
        <f aca="false">IF(AND($BA10&gt;0,$BB10&gt;=$BA10),$AA10*MAX(0,MIN($BB10,EOMONTH(BQ$3,0))-MAX($BA10,BQ$3)+1)/($BB10-$BA10+1),SUMPRODUCT((YEAR($AC$2:$AX$2)=YEAR(BQ$3))*(MONTH($AC$2:$AX$2)=MONTH(BQ$3))*$AC10:$AX10))</f>
        <v>0</v>
      </c>
      <c r="BR10" s="164" t="n">
        <f aca="false">IF(AND($BA10&gt;0,$BB10&gt;=$BA10),$AA10*MAX(0,MIN($BB10,EOMONTH(BR$3,0))-MAX($BA10,BR$3)+1)/($BB10-$BA10+1),SUMPRODUCT((YEAR($AC$2:$AX$2)=YEAR(BR$3))*(MONTH($AC$2:$AX$2)=MONTH(BR$3))*$AC10:$AX10))</f>
        <v>0</v>
      </c>
      <c r="BS10" s="164" t="n">
        <f aca="false">IF(AND($BA10&gt;0,$BB10&gt;=$BA10),$AA10*MAX(0,MIN($BB10,EOMONTH(BS$3,0))-MAX($BA10,BS$3)+1)/($BB10-$BA10+1),SUMPRODUCT((YEAR($AC$2:$AX$2)=YEAR(BS$3))*(MONTH($AC$2:$AX$2)=MONTH(BS$3))*$AC10:$AX10))</f>
        <v>0</v>
      </c>
      <c r="BT10" s="164" t="n">
        <f aca="false">IF(AND($BA10&gt;0,$BB10&gt;=$BA10),$AA10*MAX(0,MIN($BB10,EOMONTH(BT$3,0))-MAX($BA10,BT$3)+1)/($BB10-$BA10+1),SUMPRODUCT((YEAR($AC$2:$AX$2)=YEAR(BT$3))*(MONTH($AC$2:$AX$2)=MONTH(BT$3))*$AC10:$AX10))</f>
        <v>0</v>
      </c>
      <c r="BU10" s="164" t="n">
        <f aca="false">IF(AND($BA10&gt;0,$BB10&gt;=$BA10),$AA10*MAX(0,MIN($BB10,EOMONTH(BU$3,0))-MAX($BA10,BU$3)+1)/($BB10-$BA10+1),SUMPRODUCT((YEAR($AC$2:$AX$2)=YEAR(BU$3))*(MONTH($AC$2:$AX$2)=MONTH(BU$3))*$AC10:$AX10))</f>
        <v>0</v>
      </c>
      <c r="BV10" s="164" t="n">
        <f aca="false">IF(AND($BA10&gt;0,$BB10&gt;=$BA10),$AA10*MAX(0,MIN($BB10,EOMONTH(BV$3,0))-MAX($BA10,BV$3)+1)/($BB10-$BA10+1),SUMPRODUCT((YEAR($AC$2:$AX$2)=YEAR(BV$3))*(MONTH($AC$2:$AX$2)=MONTH(BV$3))*$AC10:$AX10))</f>
        <v>0</v>
      </c>
      <c r="BW10" s="164" t="n">
        <f aca="false">IF(AND($BA10&gt;0,$BB10&gt;=$BA10),$AA10*MAX(0,MIN($BB10,EOMONTH(BW$3,0))-MAX($BA10,BW$3)+1)/($BB10-$BA10+1),SUMPRODUCT((YEAR($AC$2:$AX$2)=YEAR(BW$3))*(MONTH($AC$2:$AX$2)=MONTH(BW$3))*$AC10:$AX10))</f>
        <v>0</v>
      </c>
      <c r="BX10" s="164" t="n">
        <f aca="false">IF(AND($BA10&gt;0,$BB10&gt;=$BA10),$AA10*MAX(0,MIN($BB10,EOMONTH(BX$3,0))-MAX($BA10,BX$3)+1)/($BB10-$BA10+1),SUMPRODUCT((YEAR($AC$2:$AX$2)=YEAR(BX$3))*(MONTH($AC$2:$AX$2)=MONTH(BX$3))*$AC10:$AX10))</f>
        <v>0</v>
      </c>
      <c r="BY10" s="164" t="n">
        <f aca="false">IF(AND($BA10&gt;0,$BB10&gt;=$BA10),$AA10*MAX(0,MIN($BB10,EOMONTH(BY$3,0))-MAX($BA10,BY$3)+1)/($BB10-$BA10+1),SUMPRODUCT((YEAR($AC$2:$AX$2)=YEAR(BY$3))*(MONTH($AC$2:$AX$2)=MONTH(BY$3))*$AC10:$AX10))</f>
        <v>0</v>
      </c>
      <c r="BZ10" s="164" t="n">
        <f aca="false">IF(AND($BA10&gt;0,$BB10&gt;=$BA10),$AA10*MAX(0,MIN($BB10,EOMONTH(BZ$3,0))-MAX($BA10,BZ$3)+1)/($BB10-$BA10+1),SUMPRODUCT((YEAR($AC$2:$AX$2)=YEAR(BZ$3))*(MONTH($AC$2:$AX$2)=MONTH(BZ$3))*$AC10:$AX10))</f>
        <v>0</v>
      </c>
      <c r="CA10" s="164" t="n">
        <f aca="false">IF(AND($BA10&gt;0,$BB10&gt;=$BA10),$AA10*MAX(0,MIN($BB10,EOMONTH(CA$3,0))-MAX($BA10,CA$3)+1)/($BB10-$BA10+1),SUMPRODUCT((YEAR($AC$2:$AX$2)=YEAR(CA$3))*(MONTH($AC$2:$AX$2)=MONTH(CA$3))*$AC10:$AX10))</f>
        <v>0</v>
      </c>
      <c r="CB10" s="164" t="n">
        <f aca="false">IF(AND($BA10&gt;0,$BB10&gt;=$BA10),$AA10*MAX(0,MIN($BB10,EOMONTH(CB$3,0))-MAX($BA10,CB$3)+1)/($BB10-$BA10+1),SUMPRODUCT((YEAR($AC$2:$AX$2)=YEAR(CB$3))*(MONTH($AC$2:$AX$2)=MONTH(CB$3))*$AC10:$AX10))</f>
        <v>0</v>
      </c>
      <c r="CC10" s="164" t="n">
        <f aca="false">IF(AND($BA10&gt;0,$BB10&gt;=$BA10),$AA10*MAX(0,MIN($BB10,EOMONTH(CC$3,0))-MAX($BA10,CC$3)+1)/($BB10-$BA10+1),SUMPRODUCT((YEAR($AC$2:$AX$2)=YEAR(CC$3))*(MONTH($AC$2:$AX$2)=MONTH(CC$3))*$AC10:$AX10))</f>
        <v>0</v>
      </c>
      <c r="CD10" s="164" t="n">
        <f aca="false">IF(AND($BA10&gt;0,$BB10&gt;=$BA10),$AA10*MAX(0,MIN($BB10,EOMONTH(CD$3,0))-MAX($BA10,CD$3)+1)/($BB10-$BA10+1),SUMPRODUCT((YEAR($AC$2:$AX$2)=YEAR(CD$3))*(MONTH($AC$2:$AX$2)=MONTH(CD$3))*$AC10:$AX10))</f>
        <v>0</v>
      </c>
      <c r="CE10" s="164" t="n">
        <f aca="false">IF(AND($BA10&gt;0,$BB10&gt;=$BA10),$AA10*MAX(0,MIN($BB10,EOMONTH(CE$3,0))-MAX($BA10,CE$3)+1)/($BB10-$BA10+1),SUMPRODUCT((YEAR($AC$2:$AX$2)=YEAR(CE$3))*(MONTH($AC$2:$AX$2)=MONTH(CE$3))*$AC10:$AX10))</f>
        <v>0</v>
      </c>
      <c r="CF10" s="164" t="n">
        <f aca="false">IF(AND($BA10&gt;0,$BB10&gt;=$BA10),$AA10*MAX(0,MIN($BB10,EOMONTH(CF$3,0))-MAX($BA10,CF$3)+1)/($BB10-$BA10+1),SUMPRODUCT((YEAR($AC$2:$AX$2)=YEAR(CF$3))*(MONTH($AC$2:$AX$2)=MONTH(CF$3))*$AC10:$AX10))</f>
        <v>0</v>
      </c>
      <c r="CG10" s="164" t="n">
        <f aca="false">IF(AND($BA10&gt;0,$BB10&gt;=$BA10),$AA10*MAX(0,MIN($BB10,EOMONTH(CG$3,0))-MAX($BA10,CG$3)+1)/($BB10-$BA10+1),SUMPRODUCT((YEAR($AC$2:$AX$2)=YEAR(CG$3))*(MONTH($AC$2:$AX$2)=MONTH(CG$3))*$AC10:$AX10))</f>
        <v>0</v>
      </c>
      <c r="CH10" s="164" t="n">
        <f aca="false">IF(AND($BA10&gt;0,$BB10&gt;=$BA10),$AA10*MAX(0,MIN($BB10,EOMONTH(CH$3,0))-MAX($BA10,CH$3)+1)/($BB10-$BA10+1),SUMPRODUCT((YEAR($AC$2:$AX$2)=YEAR(CH$3))*(MONTH($AC$2:$AX$2)=MONTH(CH$3))*$AC10:$AX10))</f>
        <v>0</v>
      </c>
      <c r="CI10" s="164" t="n">
        <f aca="false">IF(AND($BA10&gt;0,$BB10&gt;=$BA10),$AA10*MAX(0,MIN($BB10,EOMONTH(CI$3,0))-MAX($BA10,CI$3)+1)/($BB10-$BA10+1),SUMPRODUCT((YEAR($AC$2:$AX$2)=YEAR(CI$3))*(MONTH($AC$2:$AX$2)=MONTH(CI$3))*$AC10:$AX10))</f>
        <v>0</v>
      </c>
      <c r="CJ10" s="164" t="n">
        <f aca="false">IF(AND($BA10&gt;0,$BB10&gt;=$BA10),$AA10*MAX(0,MIN($BB10,EOMONTH(CJ$3,0))-MAX($BA10,CJ$3)+1)/($BB10-$BA10+1),SUMPRODUCT((YEAR($AC$2:$AX$2)=YEAR(CJ$3))*(MONTH($AC$2:$AX$2)=MONTH(CJ$3))*$AC10:$AX10))</f>
        <v>0</v>
      </c>
      <c r="CK10" s="164" t="n">
        <f aca="false">IF(AND($BA10&gt;0,$BB10&gt;=$BA10),$AA10*MAX(0,MIN($BB10,EOMONTH(CK$3,0))-MAX($BA10,CK$3)+1)/($BB10-$BA10+1),SUMPRODUCT((YEAR($AC$2:$AX$2)=YEAR(CK$3))*(MONTH($AC$2:$AX$2)=MONTH(CK$3))*$AC10:$AX10))</f>
        <v>0</v>
      </c>
      <c r="CL10" s="164" t="n">
        <f aca="false">IF(AND($BA10&gt;0,$BB10&gt;=$BA10),$AA10*MAX(0,MIN($BB10,EOMONTH(CL$3,0))-MAX($BA10,CL$3)+1)/($BB10-$BA10+1),SUMPRODUCT((YEAR($AC$2:$AX$2)=YEAR(CL$3))*(MONTH($AC$2:$AX$2)=MONTH(CL$3))*$AC10:$AX10))</f>
        <v>504600.067628675</v>
      </c>
      <c r="CM10" s="164" t="n">
        <f aca="false">IF(AND($BA10&gt;0,$BB10&gt;=$BA10),$AA10*MAX(0,MIN($BB10,EOMONTH(CM$3,0))-MAX($BA10,CM$3)+1)/($BB10-$BA10+1),SUMPRODUCT((YEAR($AC$2:$AX$2)=YEAR(CM$3))*(MONTH($AC$2:$AX$2)=MONTH(CM$3))*$AC10:$AX10))</f>
        <v>0</v>
      </c>
      <c r="CN10" s="164" t="n">
        <f aca="false">IF(AND($BA10&gt;0,$BB10&gt;=$BA10),$AA10*MAX(0,MIN($BB10,EOMONTH(CN$3,0))-MAX($BA10,CN$3)+1)/($BB10-$BA10+1),SUMPRODUCT((YEAR($AC$2:$AX$2)=YEAR(CN$3))*(MONTH($AC$2:$AX$2)=MONTH(CN$3))*$AC10:$AX10))</f>
        <v>0</v>
      </c>
      <c r="CO10" s="164" t="n">
        <f aca="false">IF(AND($BA10&gt;0,$BB10&gt;=$BA10),$AA10*MAX(0,MIN($BB10,EOMONTH(CO$3,0))-MAX($BA10,CO$3)+1)/($BB10-$BA10+1),SUMPRODUCT((YEAR($AC$2:$AX$2)=YEAR(CO$3))*(MONTH($AC$2:$AX$2)=MONTH(CO$3))*$AC10:$AX10))</f>
        <v>0</v>
      </c>
      <c r="CP10" s="164" t="n">
        <f aca="false">IF(AND($BA10&gt;0,$BB10&gt;=$BA10),$AA10*MAX(0,MIN($BB10,EOMONTH(CP$3,0))-MAX($BA10,CP$3)+1)/($BB10-$BA10+1),SUMPRODUCT((YEAR($AC$2:$AX$2)=YEAR(CP$3))*(MONTH($AC$2:$AX$2)=MONTH(CP$3))*$AC10:$AX10))</f>
        <v>0</v>
      </c>
      <c r="CQ10" s="164" t="n">
        <f aca="false">IF(AND($BA10&gt;0,$BB10&gt;=$BA10),$AA10*MAX(0,MIN($BB10,EOMONTH(CQ$3,0))-MAX($BA10,CQ$3)+1)/($BB10-$BA10+1),SUMPRODUCT((YEAR($AC$2:$AX$2)=YEAR(CQ$3))*(MONTH($AC$2:$AX$2)=MONTH(CQ$3))*$AC10:$AX10))</f>
        <v>0</v>
      </c>
      <c r="CR10" s="164" t="n">
        <f aca="false">IF(AND($BA10&gt;0,$BB10&gt;=$BA10),$AA10*MAX(0,MIN($BB10,EOMONTH(CR$3,0))-MAX($BA10,CR$3)+1)/($BB10-$BA10+1),SUMPRODUCT((YEAR($AC$2:$AX$2)=YEAR(CR$3))*(MONTH($AC$2:$AX$2)=MONTH(CR$3))*$AC10:$AX10))</f>
        <v>0</v>
      </c>
      <c r="CS10" s="164" t="n">
        <f aca="false">IF(AND($BA10&gt;0,$BB10&gt;=$BA10),$AA10*MAX(0,MIN($BB10,EOMONTH(CS$3,0))-MAX($BA10,CS$3)+1)/($BB10-$BA10+1),SUMPRODUCT((YEAR($AC$2:$AX$2)=YEAR(CS$3))*(MONTH($AC$2:$AX$2)=MONTH(CS$3))*$AC10:$AX10))</f>
        <v>0</v>
      </c>
      <c r="CT10" s="164" t="n">
        <f aca="false">IF(AND($BA10&gt;0,$BB10&gt;=$BA10),$AA10*MAX(0,MIN($BB10,EOMONTH(CT$3,0))-MAX($BA10,CT$3)+1)/($BB10-$BA10+1),SUMPRODUCT((YEAR($AC$2:$AX$2)=YEAR(CT$3))*(MONTH($AC$2:$AX$2)=MONTH(CT$3))*$AC10:$AX10))</f>
        <v>0</v>
      </c>
      <c r="CU10" s="164" t="n">
        <f aca="false">IF(AND($BA10&gt;0,$BB10&gt;=$BA10),$AA10*MAX(0,MIN($BB10,EOMONTH(CU$3,0))-MAX($BA10,CU$3)+1)/($BB10-$BA10+1),SUMPRODUCT((YEAR($AC$2:$AX$2)=YEAR(CU$3))*(MONTH($AC$2:$AX$2)=MONTH(CU$3))*$AC10:$AX10))</f>
        <v>0</v>
      </c>
      <c r="CV10" s="164" t="n">
        <f aca="false">IF(AND($BA10&gt;0,$BB10&gt;=$BA10),$AA10*MAX(0,MIN($BB10,EOMONTH(CV$3,0))-MAX($BA10,CV$3)+1)/($BB10-$BA10+1),SUMPRODUCT((YEAR($AC$2:$AX$2)=YEAR(CV$3))*(MONTH($AC$2:$AX$2)=MONTH(CV$3))*$AC10:$AX10))</f>
        <v>0</v>
      </c>
      <c r="CW10" s="164" t="n">
        <f aca="false">IF(AND($BA10&gt;0,$BB10&gt;=$BA10),$AA10*MAX(0,MIN($BB10,EOMONTH(CW$3,0))-MAX($BA10,CW$3)+1)/($BB10-$BA10+1),SUMPRODUCT((YEAR($AC$2:$AX$2)=YEAR(CW$3))*(MONTH($AC$2:$AX$2)=MONTH(CW$3))*$AC10:$AX10))</f>
        <v>0</v>
      </c>
      <c r="CX10" s="164" t="n">
        <f aca="false">IF(AND($BA10&gt;0,$BB10&gt;=$BA10),$AA10*MAX(0,MIN($BB10,EOMONTH(CX$3,0))-MAX($BA10,CX$3)+1)/($BB10-$BA10+1),SUMPRODUCT((YEAR($AC$2:$AX$2)=YEAR(CX$3))*(MONTH($AC$2:$AX$2)=MONTH(CX$3))*$AC10:$AX10))</f>
        <v>0</v>
      </c>
      <c r="CY10" s="164" t="n">
        <f aca="false">IF(AND($BA10&gt;0,$BB10&gt;=$BA10),$AA10*MAX(0,MIN($BB10,EOMONTH(CY$3,0))-MAX($BA10,CY$3)+1)/($BB10-$BA10+1),SUMPRODUCT((YEAR($AC$2:$AX$2)=YEAR(CY$3))*(MONTH($AC$2:$AX$2)=MONTH(CY$3))*$AC10:$AX10))</f>
        <v>0</v>
      </c>
      <c r="CZ10" s="164" t="n">
        <f aca="false">IF(AND($BA10&gt;0,$BB10&gt;=$BA10),$AA10*MAX(0,MIN($BB10,EOMONTH(CZ$3,0))-MAX($BA10,CZ$3)+1)/($BB10-$BA10+1),SUMPRODUCT((YEAR($AC$2:$AX$2)=YEAR(CZ$3))*(MONTH($AC$2:$AX$2)=MONTH(CZ$3))*$AC10:$AX10))</f>
        <v>0</v>
      </c>
      <c r="DA10" s="164" t="n">
        <f aca="false">IF(AND($BA10&gt;0,$BB10&gt;=$BA10),$AA10*MAX(0,MIN($BB10,EOMONTH(DA$3,0))-MAX($BA10,DA$3)+1)/($BB10-$BA10+1),SUMPRODUCT((YEAR($AC$2:$AX$2)=YEAR(DA$3))*(MONTH($AC$2:$AX$2)=MONTH(DA$3))*$AC10:$AX10))</f>
        <v>0</v>
      </c>
      <c r="DB10" s="164" t="n">
        <f aca="false">IF(AND($BA10&gt;0,$BB10&gt;=$BA10),$AA10*MAX(0,MIN($BB10,EOMONTH(DB$3,0))-MAX($BA10,DB$3)+1)/($BB10-$BA10+1),SUMPRODUCT((YEAR($AC$2:$AX$2)=YEAR(DB$3))*(MONTH($AC$2:$AX$2)=MONTH(DB$3))*$AC10:$AX10))</f>
        <v>0</v>
      </c>
      <c r="DC10" s="164" t="n">
        <f aca="false">IF(AND($BA10&gt;0,$BB10&gt;=$BA10),$AA10*MAX(0,MIN($BB10,EOMONTH(DC$3,0))-MAX($BA10,DC$3)+1)/($BB10-$BA10+1),SUMPRODUCT((YEAR($AC$2:$AX$2)=YEAR(DC$3))*(MONTH($AC$2:$AX$2)=MONTH(DC$3))*$AC10:$AX10))</f>
        <v>0</v>
      </c>
      <c r="DD10" s="164" t="n">
        <f aca="false">IF(AND($BA10&gt;0,$BB10&gt;=$BA10),$AA10*MAX(0,MIN($BB10,EOMONTH(DD$3,0))-MAX($BA10,DD$3)+1)/($BB10-$BA10+1),SUMPRODUCT((YEAR($AC$2:$AX$2)=YEAR(DD$3))*(MONTH($AC$2:$AX$2)=MONTH(DD$3))*$AC10:$AX10))</f>
        <v>0</v>
      </c>
      <c r="DE10" s="164" t="n">
        <f aca="false">IF(AND($BA10&gt;0,$BB10&gt;=$BA10),$AA10*MAX(0,MIN($BB10,EOMONTH(DE$3,0))-MAX($BA10,DE$3)+1)/($BB10-$BA10+1),SUMPRODUCT((YEAR($AC$2:$AX$2)=YEAR(DE$3))*(MONTH($AC$2:$AX$2)=MONTH(DE$3))*$AC10:$AX10))</f>
        <v>0</v>
      </c>
      <c r="DF10" s="164" t="n">
        <f aca="false">IF(AND($BA10&gt;0,$BB10&gt;=$BA10),$AA10*MAX(0,MIN($BB10,EOMONTH(DF$3,0))-MAX($BA10,DF$3)+1)/($BB10-$BA10+1),SUMPRODUCT((YEAR($AC$2:$AX$2)=YEAR(DF$3))*(MONTH($AC$2:$AX$2)=MONTH(DF$3))*$AC10:$AX10))</f>
        <v>0</v>
      </c>
      <c r="DG10" s="164" t="n">
        <f aca="false">IF(AND($BA10&gt;0,$BB10&gt;=$BA10),$AA10*MAX(0,MIN($BB10,EOMONTH(DG$3,0))-MAX($BA10,DG$3)+1)/($BB10-$BA10+1),SUMPRODUCT((YEAR($AC$2:$AX$2)=YEAR(DG$3))*(MONTH($AC$2:$AX$2)=MONTH(DG$3))*$AC10:$AX10))</f>
        <v>0</v>
      </c>
      <c r="DH10" s="164" t="n">
        <f aca="false">IF(AND($BA10&gt;0,$BB10&gt;=$BA10),$AA10*MAX(0,MIN($BB10,EOMONTH(DH$3,0))-MAX($BA10,DH$3)+1)/($BB10-$BA10+1),SUMPRODUCT((YEAR($AC$2:$AX$2)=YEAR(DH$3))*(MONTH($AC$2:$AX$2)=MONTH(DH$3))*$AC10:$AX10))</f>
        <v>0</v>
      </c>
      <c r="DI10" s="164" t="n">
        <f aca="false">IF(AND($BA10&gt;0,$BB10&gt;=$BA10),$AA10*MAX(0,MIN($BB10,EOMONTH(DI$3,0))-MAX($BA10,DI$3)+1)/($BB10-$BA10+1),SUMPRODUCT((YEAR($AC$2:$AX$2)=YEAR(DI$3))*(MONTH($AC$2:$AX$2)=MONTH(DI$3))*$AC10:$AX10))</f>
        <v>0</v>
      </c>
      <c r="DJ10" s="164" t="n">
        <f aca="false">IF(AND($BA10&gt;0,$BB10&gt;=$BA10),$AA10*MAX(0,MIN($BB10,EOMONTH(DJ$3,0))-MAX($BA10,DJ$3)+1)/($BB10-$BA10+1),SUMPRODUCT((YEAR($AC$2:$AX$2)=YEAR(DJ$3))*(MONTH($AC$2:$AX$2)=MONTH(DJ$3))*$AC10:$AX10))</f>
        <v>0</v>
      </c>
      <c r="DK10" s="164" t="n">
        <f aca="false">IF(AND($BA10&gt;0,$BB10&gt;=$BA10),$AA10*MAX(0,MIN($BB10,EOMONTH(DK$3,0))-MAX($BA10,DK$3)+1)/($BB10-$BA10+1),SUMPRODUCT((YEAR($AC$2:$AX$2)=YEAR(DK$3))*(MONTH($AC$2:$AX$2)=MONTH(DK$3))*$AC10:$AX10))</f>
        <v>0</v>
      </c>
      <c r="DL10" s="164" t="n">
        <f aca="false">IF(AND($BA10&gt;0,$BB10&gt;=$BA10),$AA10*MAX(0,MIN($BB10,EOMONTH(DL$3,0))-MAX($BA10,DL$3)+1)/($BB10-$BA10+1),SUMPRODUCT((YEAR($AC$2:$AX$2)=YEAR(DL$3))*(MONTH($AC$2:$AX$2)=MONTH(DL$3))*$AC10:$AX10))</f>
        <v>0</v>
      </c>
      <c r="DM10" s="164" t="n">
        <f aca="false">IF(AND($BA10&gt;0,$BB10&gt;=$BA10),$AA10*MAX(0,MIN($BB10,EOMONTH(DM$3,0))-MAX($BA10,DM$3)+1)/($BB10-$BA10+1),SUMPRODUCT((YEAR($AC$2:$AX$2)=YEAR(DM$3))*(MONTH($AC$2:$AX$2)=MONTH(DM$3))*$AC10:$AX10))</f>
        <v>0</v>
      </c>
      <c r="DN10" s="164" t="n">
        <f aca="false">IF(AND($BA10&gt;0,$BB10&gt;=$BA10),$AA10*MAX(0,MIN($BB10,EOMONTH(DN$3,0))-MAX($BA10,DN$3)+1)/($BB10-$BA10+1),SUMPRODUCT((YEAR($AC$2:$AX$2)=YEAR(DN$3))*(MONTH($AC$2:$AX$2)=MONTH(DN$3))*$AC10:$AX10))</f>
        <v>0</v>
      </c>
      <c r="DO10" s="164" t="n">
        <f aca="false">IF(AND($BA10&gt;0,$BB10&gt;=$BA10),$AA10*MAX(0,MIN($BB10,EOMONTH(DO$3,0))-MAX($BA10,DO$3)+1)/($BB10-$BA10+1),SUMPRODUCT((YEAR($AC$2:$AX$2)=YEAR(DO$3))*(MONTH($AC$2:$AX$2)=MONTH(DO$3))*$AC10:$AX10))</f>
        <v>0</v>
      </c>
      <c r="DP10" s="164" t="n">
        <f aca="false">IF(AND($BA10&gt;0,$BB10&gt;=$BA10),$AA10*MAX(0,MIN($BB10,EOMONTH(DP$3,0))-MAX($BA10,DP$3)+1)/($BB10-$BA10+1),SUMPRODUCT((YEAR($AC$2:$AX$2)=YEAR(DP$3))*(MONTH($AC$2:$AX$2)=MONTH(DP$3))*$AC10:$AX10))</f>
        <v>0</v>
      </c>
      <c r="DQ10" s="164" t="n">
        <f aca="false">IF(AND($BA10&gt;0,$BB10&gt;=$BA10),$AA10*MAX(0,MIN($BB10,EOMONTH(DQ$3,0))-MAX($BA10,DQ$3)+1)/($BB10-$BA10+1),SUMPRODUCT((YEAR($AC$2:$AX$2)=YEAR(DQ$3))*(MONTH($AC$2:$AX$2)=MONTH(DQ$3))*$AC10:$AX10))</f>
        <v>0</v>
      </c>
      <c r="DR10" s="164" t="n">
        <f aca="false">IF(AND($BA10&gt;0,$BB10&gt;=$BA10),$AA10*MAX(0,MIN($BB10,EOMONTH(DR$3,0))-MAX($BA10,DR$3)+1)/($BB10-$BA10+1),SUMPRODUCT((YEAR($AC$2:$AX$2)=YEAR(DR$3))*(MONTH($AC$2:$AX$2)=MONTH(DR$3))*$AC10:$AX10))</f>
        <v>0</v>
      </c>
      <c r="DS10" s="164" t="n">
        <f aca="false">IF(AND($BA10&gt;0,$BB10&gt;=$BA10),$AA10*MAX(0,MIN($BB10,EOMONTH(DS$3,0))-MAX($BA10,DS$3)+1)/($BB10-$BA10+1),SUMPRODUCT((YEAR($AC$2:$AX$2)=YEAR(DS$3))*(MONTH($AC$2:$AX$2)=MONTH(DS$3))*$AC10:$AX10))</f>
        <v>0</v>
      </c>
      <c r="DT10" s="164" t="n">
        <f aca="false">IF(AND($BA10&gt;0,$BB10&gt;=$BA10),$AA10*MAX(0,MIN($BB10,EOMONTH(DT$3,0))-MAX($BA10,DT$3)+1)/($BB10-$BA10+1),SUMPRODUCT((YEAR($AC$2:$AX$2)=YEAR(DT$3))*(MONTH($AC$2:$AX$2)=MONTH(DT$3))*$AC10:$AX10))</f>
        <v>0</v>
      </c>
      <c r="DU10" s="164" t="n">
        <f aca="false">IF(AND($BA10&gt;0,$BB10&gt;=$BA10),$AA10*MAX(0,MIN($BB10,EOMONTH(DU$3,0))-MAX($BA10,DU$3)+1)/($BB10-$BA10+1),SUMPRODUCT((YEAR($AC$2:$AX$2)=YEAR(DU$3))*(MONTH($AC$2:$AX$2)=MONTH(DU$3))*$AC10:$AX10))</f>
        <v>0</v>
      </c>
      <c r="DV10" s="164" t="n">
        <f aca="false">IF(AND($BA10&gt;0,$BB10&gt;=$BA10),$AA10*MAX(0,MIN($BB10,EOMONTH(DV$3,0))-MAX($BA10,DV$3)+1)/($BB10-$BA10+1),SUMPRODUCT((YEAR($AC$2:$AX$2)=YEAR(DV$3))*(MONTH($AC$2:$AX$2)=MONTH(DV$3))*$AC10:$AX10))</f>
        <v>0</v>
      </c>
      <c r="DW10" s="164" t="n">
        <f aca="false">IF(AND($BA10&gt;0,$BB10&gt;=$BA10),$AA10*MAX(0,MIN($BB10,EOMONTH(DW$3,0))-MAX($BA10,DW$3)+1)/($BB10-$BA10+1),SUMPRODUCT((YEAR($AC$2:$AX$2)=YEAR(DW$3))*(MONTH($AC$2:$AX$2)=MONTH(DW$3))*$AC10:$AX10))</f>
        <v>0</v>
      </c>
    </row>
    <row r="11" customFormat="false" ht="15" hidden="false" customHeight="false" outlineLevel="0" collapsed="false">
      <c r="H11" s="150" t="s">
        <v>2969</v>
      </c>
      <c r="J11" s="152" t="n">
        <v>700.6245</v>
      </c>
      <c r="K11" s="152" t="n">
        <v>242.8</v>
      </c>
      <c r="L11" s="152" t="n">
        <v>1353.789475</v>
      </c>
      <c r="O11" s="152" t="n">
        <v>18522.25</v>
      </c>
      <c r="P11" s="152" t="n">
        <v>700.6245</v>
      </c>
      <c r="S11" s="149" t="n">
        <f aca="false">K11*($D$58+$D$57)</f>
        <v>155203.7086</v>
      </c>
      <c r="T11" s="149" t="n">
        <f aca="false">L11*$D$47</f>
        <v>180460.1370175</v>
      </c>
      <c r="V11" s="149" t="n">
        <f aca="false">O11*($D$54)</f>
        <v>107670.7653625</v>
      </c>
      <c r="W11" s="149" t="n">
        <f aca="false">O11*($D$49)</f>
        <v>51769.68875</v>
      </c>
      <c r="Y11" s="149" t="n">
        <f aca="false">SUM(P11:Q11)*($D$50+$D$52)</f>
        <v>9521.592048675</v>
      </c>
      <c r="AA11" s="149" t="n">
        <f aca="false">SUM(S11:Y11)</f>
        <v>504625.891778675</v>
      </c>
      <c r="AS11" s="149" t="n">
        <f aca="false">AA11</f>
        <v>504625.891778675</v>
      </c>
      <c r="AZ11" s="162" t="s">
        <v>2838</v>
      </c>
      <c r="BA11" s="163" t="n">
        <f aca="false">IF(AZ11="",0,SUMPRODUCT(('CRONOGRAMA ATIVIDADES'!$C$5:$C$6004="ESTRUTURA")*('CRONOGRAMA ATIVIDADES'!$E$5:$E$6004=AZ11)*('CRONOGRAMA ATIVIDADES'!$D$5:$D$6004="-")*'CRONOGRAMA ATIVIDADES'!$F$5:$F$6004))</f>
        <v>46665</v>
      </c>
      <c r="BB11" s="163" t="n">
        <f aca="false">IF(AZ11="",0,SUMPRODUCT(('CRONOGRAMA ATIVIDADES'!$C$5:$C$6004="ESTRUTURA")*('CRONOGRAMA ATIVIDADES'!$E$5:$E$6004=AZ11)*('CRONOGRAMA ATIVIDADES'!$D$5:$D$6004="-")*'CRONOGRAMA ATIVIDADES'!$G$5:$G$6004))</f>
        <v>46678</v>
      </c>
      <c r="BD11" s="164" t="n">
        <f aca="false">IF(AND($BA11&gt;0,$BB11&gt;=$BA11),$AA11*MAX(0,MIN($BB11,EOMONTH(BD$3,0))-MAX($BA11,BD$3)+1)/($BB11-$BA11+1),SUMPRODUCT((YEAR($AC$2:$AX$2)=YEAR(BD$3))*(MONTH($AC$2:$AX$2)=MONTH(BD$3))*$AC11:$AX11))</f>
        <v>0</v>
      </c>
      <c r="BE11" s="164" t="n">
        <f aca="false">IF(AND($BA11&gt;0,$BB11&gt;=$BA11),$AA11*MAX(0,MIN($BB11,EOMONTH(BE$3,0))-MAX($BA11,BE$3)+1)/($BB11-$BA11+1),SUMPRODUCT((YEAR($AC$2:$AX$2)=YEAR(BE$3))*(MONTH($AC$2:$AX$2)=MONTH(BE$3))*$AC11:$AX11))</f>
        <v>0</v>
      </c>
      <c r="BF11" s="164" t="n">
        <f aca="false">IF(AND($BA11&gt;0,$BB11&gt;=$BA11),$AA11*MAX(0,MIN($BB11,EOMONTH(BF$3,0))-MAX($BA11,BF$3)+1)/($BB11-$BA11+1),SUMPRODUCT((YEAR($AC$2:$AX$2)=YEAR(BF$3))*(MONTH($AC$2:$AX$2)=MONTH(BF$3))*$AC11:$AX11))</f>
        <v>0</v>
      </c>
      <c r="BG11" s="164" t="n">
        <f aca="false">IF(AND($BA11&gt;0,$BB11&gt;=$BA11),$AA11*MAX(0,MIN($BB11,EOMONTH(BG$3,0))-MAX($BA11,BG$3)+1)/($BB11-$BA11+1),SUMPRODUCT((YEAR($AC$2:$AX$2)=YEAR(BG$3))*(MONTH($AC$2:$AX$2)=MONTH(BG$3))*$AC11:$AX11))</f>
        <v>0</v>
      </c>
      <c r="BH11" s="164" t="n">
        <f aca="false">IF(AND($BA11&gt;0,$BB11&gt;=$BA11),$AA11*MAX(0,MIN($BB11,EOMONTH(BH$3,0))-MAX($BA11,BH$3)+1)/($BB11-$BA11+1),SUMPRODUCT((YEAR($AC$2:$AX$2)=YEAR(BH$3))*(MONTH($AC$2:$AX$2)=MONTH(BH$3))*$AC11:$AX11))</f>
        <v>0</v>
      </c>
      <c r="BI11" s="164" t="n">
        <f aca="false">IF(AND($BA11&gt;0,$BB11&gt;=$BA11),$AA11*MAX(0,MIN($BB11,EOMONTH(BI$3,0))-MAX($BA11,BI$3)+1)/($BB11-$BA11+1),SUMPRODUCT((YEAR($AC$2:$AX$2)=YEAR(BI$3))*(MONTH($AC$2:$AX$2)=MONTH(BI$3))*$AC11:$AX11))</f>
        <v>0</v>
      </c>
      <c r="BJ11" s="164" t="n">
        <f aca="false">IF(AND($BA11&gt;0,$BB11&gt;=$BA11),$AA11*MAX(0,MIN($BB11,EOMONTH(BJ$3,0))-MAX($BA11,BJ$3)+1)/($BB11-$BA11+1),SUMPRODUCT((YEAR($AC$2:$AX$2)=YEAR(BJ$3))*(MONTH($AC$2:$AX$2)=MONTH(BJ$3))*$AC11:$AX11))</f>
        <v>0</v>
      </c>
      <c r="BK11" s="164" t="n">
        <f aca="false">IF(AND($BA11&gt;0,$BB11&gt;=$BA11),$AA11*MAX(0,MIN($BB11,EOMONTH(BK$3,0))-MAX($BA11,BK$3)+1)/($BB11-$BA11+1),SUMPRODUCT((YEAR($AC$2:$AX$2)=YEAR(BK$3))*(MONTH($AC$2:$AX$2)=MONTH(BK$3))*$AC11:$AX11))</f>
        <v>0</v>
      </c>
      <c r="BL11" s="164" t="n">
        <f aca="false">IF(AND($BA11&gt;0,$BB11&gt;=$BA11),$AA11*MAX(0,MIN($BB11,EOMONTH(BL$3,0))-MAX($BA11,BL$3)+1)/($BB11-$BA11+1),SUMPRODUCT((YEAR($AC$2:$AX$2)=YEAR(BL$3))*(MONTH($AC$2:$AX$2)=MONTH(BL$3))*$AC11:$AX11))</f>
        <v>0</v>
      </c>
      <c r="BM11" s="164" t="n">
        <f aca="false">IF(AND($BA11&gt;0,$BB11&gt;=$BA11),$AA11*MAX(0,MIN($BB11,EOMONTH(BM$3,0))-MAX($BA11,BM$3)+1)/($BB11-$BA11+1),SUMPRODUCT((YEAR($AC$2:$AX$2)=YEAR(BM$3))*(MONTH($AC$2:$AX$2)=MONTH(BM$3))*$AC11:$AX11))</f>
        <v>0</v>
      </c>
      <c r="BN11" s="164" t="n">
        <f aca="false">IF(AND($BA11&gt;0,$BB11&gt;=$BA11),$AA11*MAX(0,MIN($BB11,EOMONTH(BN$3,0))-MAX($BA11,BN$3)+1)/($BB11-$BA11+1),SUMPRODUCT((YEAR($AC$2:$AX$2)=YEAR(BN$3))*(MONTH($AC$2:$AX$2)=MONTH(BN$3))*$AC11:$AX11))</f>
        <v>0</v>
      </c>
      <c r="BO11" s="164" t="n">
        <f aca="false">IF(AND($BA11&gt;0,$BB11&gt;=$BA11),$AA11*MAX(0,MIN($BB11,EOMONTH(BO$3,0))-MAX($BA11,BO$3)+1)/($BB11-$BA11+1),SUMPRODUCT((YEAR($AC$2:$AX$2)=YEAR(BO$3))*(MONTH($AC$2:$AX$2)=MONTH(BO$3))*$AC11:$AX11))</f>
        <v>0</v>
      </c>
      <c r="BP11" s="164" t="n">
        <f aca="false">IF(AND($BA11&gt;0,$BB11&gt;=$BA11),$AA11*MAX(0,MIN($BB11,EOMONTH(BP$3,0))-MAX($BA11,BP$3)+1)/($BB11-$BA11+1),SUMPRODUCT((YEAR($AC$2:$AX$2)=YEAR(BP$3))*(MONTH($AC$2:$AX$2)=MONTH(BP$3))*$AC11:$AX11))</f>
        <v>0</v>
      </c>
      <c r="BQ11" s="164" t="n">
        <f aca="false">IF(AND($BA11&gt;0,$BB11&gt;=$BA11),$AA11*MAX(0,MIN($BB11,EOMONTH(BQ$3,0))-MAX($BA11,BQ$3)+1)/($BB11-$BA11+1),SUMPRODUCT((YEAR($AC$2:$AX$2)=YEAR(BQ$3))*(MONTH($AC$2:$AX$2)=MONTH(BQ$3))*$AC11:$AX11))</f>
        <v>0</v>
      </c>
      <c r="BR11" s="164" t="n">
        <f aca="false">IF(AND($BA11&gt;0,$BB11&gt;=$BA11),$AA11*MAX(0,MIN($BB11,EOMONTH(BR$3,0))-MAX($BA11,BR$3)+1)/($BB11-$BA11+1),SUMPRODUCT((YEAR($AC$2:$AX$2)=YEAR(BR$3))*(MONTH($AC$2:$AX$2)=MONTH(BR$3))*$AC11:$AX11))</f>
        <v>0</v>
      </c>
      <c r="BS11" s="164" t="n">
        <f aca="false">IF(AND($BA11&gt;0,$BB11&gt;=$BA11),$AA11*MAX(0,MIN($BB11,EOMONTH(BS$3,0))-MAX($BA11,BS$3)+1)/($BB11-$BA11+1),SUMPRODUCT((YEAR($AC$2:$AX$2)=YEAR(BS$3))*(MONTH($AC$2:$AX$2)=MONTH(BS$3))*$AC11:$AX11))</f>
        <v>0</v>
      </c>
      <c r="BT11" s="164" t="n">
        <f aca="false">IF(AND($BA11&gt;0,$BB11&gt;=$BA11),$AA11*MAX(0,MIN($BB11,EOMONTH(BT$3,0))-MAX($BA11,BT$3)+1)/($BB11-$BA11+1),SUMPRODUCT((YEAR($AC$2:$AX$2)=YEAR(BT$3))*(MONTH($AC$2:$AX$2)=MONTH(BT$3))*$AC11:$AX11))</f>
        <v>0</v>
      </c>
      <c r="BU11" s="164" t="n">
        <f aca="false">IF(AND($BA11&gt;0,$BB11&gt;=$BA11),$AA11*MAX(0,MIN($BB11,EOMONTH(BU$3,0))-MAX($BA11,BU$3)+1)/($BB11-$BA11+1),SUMPRODUCT((YEAR($AC$2:$AX$2)=YEAR(BU$3))*(MONTH($AC$2:$AX$2)=MONTH(BU$3))*$AC11:$AX11))</f>
        <v>0</v>
      </c>
      <c r="BV11" s="164" t="n">
        <f aca="false">IF(AND($BA11&gt;0,$BB11&gt;=$BA11),$AA11*MAX(0,MIN($BB11,EOMONTH(BV$3,0))-MAX($BA11,BV$3)+1)/($BB11-$BA11+1),SUMPRODUCT((YEAR($AC$2:$AX$2)=YEAR(BV$3))*(MONTH($AC$2:$AX$2)=MONTH(BV$3))*$AC11:$AX11))</f>
        <v>0</v>
      </c>
      <c r="BW11" s="164" t="n">
        <f aca="false">IF(AND($BA11&gt;0,$BB11&gt;=$BA11),$AA11*MAX(0,MIN($BB11,EOMONTH(BW$3,0))-MAX($BA11,BW$3)+1)/($BB11-$BA11+1),SUMPRODUCT((YEAR($AC$2:$AX$2)=YEAR(BW$3))*(MONTH($AC$2:$AX$2)=MONTH(BW$3))*$AC11:$AX11))</f>
        <v>0</v>
      </c>
      <c r="BX11" s="164" t="n">
        <f aca="false">IF(AND($BA11&gt;0,$BB11&gt;=$BA11),$AA11*MAX(0,MIN($BB11,EOMONTH(BX$3,0))-MAX($BA11,BX$3)+1)/($BB11-$BA11+1),SUMPRODUCT((YEAR($AC$2:$AX$2)=YEAR(BX$3))*(MONTH($AC$2:$AX$2)=MONTH(BX$3))*$AC11:$AX11))</f>
        <v>0</v>
      </c>
      <c r="BY11" s="164" t="n">
        <f aca="false">IF(AND($BA11&gt;0,$BB11&gt;=$BA11),$AA11*MAX(0,MIN($BB11,EOMONTH(BY$3,0))-MAX($BA11,BY$3)+1)/($BB11-$BA11+1),SUMPRODUCT((YEAR($AC$2:$AX$2)=YEAR(BY$3))*(MONTH($AC$2:$AX$2)=MONTH(BY$3))*$AC11:$AX11))</f>
        <v>0</v>
      </c>
      <c r="BZ11" s="164" t="n">
        <f aca="false">IF(AND($BA11&gt;0,$BB11&gt;=$BA11),$AA11*MAX(0,MIN($BB11,EOMONTH(BZ$3,0))-MAX($BA11,BZ$3)+1)/($BB11-$BA11+1),SUMPRODUCT((YEAR($AC$2:$AX$2)=YEAR(BZ$3))*(MONTH($AC$2:$AX$2)=MONTH(BZ$3))*$AC11:$AX11))</f>
        <v>0</v>
      </c>
      <c r="CA11" s="164" t="n">
        <f aca="false">IF(AND($BA11&gt;0,$BB11&gt;=$BA11),$AA11*MAX(0,MIN($BB11,EOMONTH(CA$3,0))-MAX($BA11,CA$3)+1)/($BB11-$BA11+1),SUMPRODUCT((YEAR($AC$2:$AX$2)=YEAR(CA$3))*(MONTH($AC$2:$AX$2)=MONTH(CA$3))*$AC11:$AX11))</f>
        <v>0</v>
      </c>
      <c r="CB11" s="164" t="n">
        <f aca="false">IF(AND($BA11&gt;0,$BB11&gt;=$BA11),$AA11*MAX(0,MIN($BB11,EOMONTH(CB$3,0))-MAX($BA11,CB$3)+1)/($BB11-$BA11+1),SUMPRODUCT((YEAR($AC$2:$AX$2)=YEAR(CB$3))*(MONTH($AC$2:$AX$2)=MONTH(CB$3))*$AC11:$AX11))</f>
        <v>0</v>
      </c>
      <c r="CC11" s="164" t="n">
        <f aca="false">IF(AND($BA11&gt;0,$BB11&gt;=$BA11),$AA11*MAX(0,MIN($BB11,EOMONTH(CC$3,0))-MAX($BA11,CC$3)+1)/($BB11-$BA11+1),SUMPRODUCT((YEAR($AC$2:$AX$2)=YEAR(CC$3))*(MONTH($AC$2:$AX$2)=MONTH(CC$3))*$AC11:$AX11))</f>
        <v>0</v>
      </c>
      <c r="CD11" s="164" t="n">
        <f aca="false">IF(AND($BA11&gt;0,$BB11&gt;=$BA11),$AA11*MAX(0,MIN($BB11,EOMONTH(CD$3,0))-MAX($BA11,CD$3)+1)/($BB11-$BA11+1),SUMPRODUCT((YEAR($AC$2:$AX$2)=YEAR(CD$3))*(MONTH($AC$2:$AX$2)=MONTH(CD$3))*$AC11:$AX11))</f>
        <v>0</v>
      </c>
      <c r="CE11" s="164" t="n">
        <f aca="false">IF(AND($BA11&gt;0,$BB11&gt;=$BA11),$AA11*MAX(0,MIN($BB11,EOMONTH(CE$3,0))-MAX($BA11,CE$3)+1)/($BB11-$BA11+1),SUMPRODUCT((YEAR($AC$2:$AX$2)=YEAR(CE$3))*(MONTH($AC$2:$AX$2)=MONTH(CE$3))*$AC11:$AX11))</f>
        <v>0</v>
      </c>
      <c r="CF11" s="164" t="n">
        <f aca="false">IF(AND($BA11&gt;0,$BB11&gt;=$BA11),$AA11*MAX(0,MIN($BB11,EOMONTH(CF$3,0))-MAX($BA11,CF$3)+1)/($BB11-$BA11+1),SUMPRODUCT((YEAR($AC$2:$AX$2)=YEAR(CF$3))*(MONTH($AC$2:$AX$2)=MONTH(CF$3))*$AC11:$AX11))</f>
        <v>0</v>
      </c>
      <c r="CG11" s="164" t="n">
        <f aca="false">IF(AND($BA11&gt;0,$BB11&gt;=$BA11),$AA11*MAX(0,MIN($BB11,EOMONTH(CG$3,0))-MAX($BA11,CG$3)+1)/($BB11-$BA11+1),SUMPRODUCT((YEAR($AC$2:$AX$2)=YEAR(CG$3))*(MONTH($AC$2:$AX$2)=MONTH(CG$3))*$AC11:$AX11))</f>
        <v>0</v>
      </c>
      <c r="CH11" s="164" t="n">
        <f aca="false">IF(AND($BA11&gt;0,$BB11&gt;=$BA11),$AA11*MAX(0,MIN($BB11,EOMONTH(CH$3,0))-MAX($BA11,CH$3)+1)/($BB11-$BA11+1),SUMPRODUCT((YEAR($AC$2:$AX$2)=YEAR(CH$3))*(MONTH($AC$2:$AX$2)=MONTH(CH$3))*$AC11:$AX11))</f>
        <v>0</v>
      </c>
      <c r="CI11" s="164" t="n">
        <f aca="false">IF(AND($BA11&gt;0,$BB11&gt;=$BA11),$AA11*MAX(0,MIN($BB11,EOMONTH(CI$3,0))-MAX($BA11,CI$3)+1)/($BB11-$BA11+1),SUMPRODUCT((YEAR($AC$2:$AX$2)=YEAR(CI$3))*(MONTH($AC$2:$AX$2)=MONTH(CI$3))*$AC11:$AX11))</f>
        <v>0</v>
      </c>
      <c r="CJ11" s="164" t="n">
        <f aca="false">IF(AND($BA11&gt;0,$BB11&gt;=$BA11),$AA11*MAX(0,MIN($BB11,EOMONTH(CJ$3,0))-MAX($BA11,CJ$3)+1)/($BB11-$BA11+1),SUMPRODUCT((YEAR($AC$2:$AX$2)=YEAR(CJ$3))*(MONTH($AC$2:$AX$2)=MONTH(CJ$3))*$AC11:$AX11))</f>
        <v>0</v>
      </c>
      <c r="CK11" s="164" t="n">
        <f aca="false">IF(AND($BA11&gt;0,$BB11&gt;=$BA11),$AA11*MAX(0,MIN($BB11,EOMONTH(CK$3,0))-MAX($BA11,CK$3)+1)/($BB11-$BA11+1),SUMPRODUCT((YEAR($AC$2:$AX$2)=YEAR(CK$3))*(MONTH($AC$2:$AX$2)=MONTH(CK$3))*$AC11:$AX11))</f>
        <v>0</v>
      </c>
      <c r="CL11" s="164" t="n">
        <f aca="false">IF(AND($BA11&gt;0,$BB11&gt;=$BA11),$AA11*MAX(0,MIN($BB11,EOMONTH(CL$3,0))-MAX($BA11,CL$3)+1)/($BB11-$BA11+1),SUMPRODUCT((YEAR($AC$2:$AX$2)=YEAR(CL$3))*(MONTH($AC$2:$AX$2)=MONTH(CL$3))*$AC11:$AX11))</f>
        <v>504625.891778675</v>
      </c>
      <c r="CM11" s="164" t="n">
        <f aca="false">IF(AND($BA11&gt;0,$BB11&gt;=$BA11),$AA11*MAX(0,MIN($BB11,EOMONTH(CM$3,0))-MAX($BA11,CM$3)+1)/($BB11-$BA11+1),SUMPRODUCT((YEAR($AC$2:$AX$2)=YEAR(CM$3))*(MONTH($AC$2:$AX$2)=MONTH(CM$3))*$AC11:$AX11))</f>
        <v>0</v>
      </c>
      <c r="CN11" s="164" t="n">
        <f aca="false">IF(AND($BA11&gt;0,$BB11&gt;=$BA11),$AA11*MAX(0,MIN($BB11,EOMONTH(CN$3,0))-MAX($BA11,CN$3)+1)/($BB11-$BA11+1),SUMPRODUCT((YEAR($AC$2:$AX$2)=YEAR(CN$3))*(MONTH($AC$2:$AX$2)=MONTH(CN$3))*$AC11:$AX11))</f>
        <v>0</v>
      </c>
      <c r="CO11" s="164" t="n">
        <f aca="false">IF(AND($BA11&gt;0,$BB11&gt;=$BA11),$AA11*MAX(0,MIN($BB11,EOMONTH(CO$3,0))-MAX($BA11,CO$3)+1)/($BB11-$BA11+1),SUMPRODUCT((YEAR($AC$2:$AX$2)=YEAR(CO$3))*(MONTH($AC$2:$AX$2)=MONTH(CO$3))*$AC11:$AX11))</f>
        <v>0</v>
      </c>
      <c r="CP11" s="164" t="n">
        <f aca="false">IF(AND($BA11&gt;0,$BB11&gt;=$BA11),$AA11*MAX(0,MIN($BB11,EOMONTH(CP$3,0))-MAX($BA11,CP$3)+1)/($BB11-$BA11+1),SUMPRODUCT((YEAR($AC$2:$AX$2)=YEAR(CP$3))*(MONTH($AC$2:$AX$2)=MONTH(CP$3))*$AC11:$AX11))</f>
        <v>0</v>
      </c>
      <c r="CQ11" s="164" t="n">
        <f aca="false">IF(AND($BA11&gt;0,$BB11&gt;=$BA11),$AA11*MAX(0,MIN($BB11,EOMONTH(CQ$3,0))-MAX($BA11,CQ$3)+1)/($BB11-$BA11+1),SUMPRODUCT((YEAR($AC$2:$AX$2)=YEAR(CQ$3))*(MONTH($AC$2:$AX$2)=MONTH(CQ$3))*$AC11:$AX11))</f>
        <v>0</v>
      </c>
      <c r="CR11" s="164" t="n">
        <f aca="false">IF(AND($BA11&gt;0,$BB11&gt;=$BA11),$AA11*MAX(0,MIN($BB11,EOMONTH(CR$3,0))-MAX($BA11,CR$3)+1)/($BB11-$BA11+1),SUMPRODUCT((YEAR($AC$2:$AX$2)=YEAR(CR$3))*(MONTH($AC$2:$AX$2)=MONTH(CR$3))*$AC11:$AX11))</f>
        <v>0</v>
      </c>
      <c r="CS11" s="164" t="n">
        <f aca="false">IF(AND($BA11&gt;0,$BB11&gt;=$BA11),$AA11*MAX(0,MIN($BB11,EOMONTH(CS$3,0))-MAX($BA11,CS$3)+1)/($BB11-$BA11+1),SUMPRODUCT((YEAR($AC$2:$AX$2)=YEAR(CS$3))*(MONTH($AC$2:$AX$2)=MONTH(CS$3))*$AC11:$AX11))</f>
        <v>0</v>
      </c>
      <c r="CT11" s="164" t="n">
        <f aca="false">IF(AND($BA11&gt;0,$BB11&gt;=$BA11),$AA11*MAX(0,MIN($BB11,EOMONTH(CT$3,0))-MAX($BA11,CT$3)+1)/($BB11-$BA11+1),SUMPRODUCT((YEAR($AC$2:$AX$2)=YEAR(CT$3))*(MONTH($AC$2:$AX$2)=MONTH(CT$3))*$AC11:$AX11))</f>
        <v>0</v>
      </c>
      <c r="CU11" s="164" t="n">
        <f aca="false">IF(AND($BA11&gt;0,$BB11&gt;=$BA11),$AA11*MAX(0,MIN($BB11,EOMONTH(CU$3,0))-MAX($BA11,CU$3)+1)/($BB11-$BA11+1),SUMPRODUCT((YEAR($AC$2:$AX$2)=YEAR(CU$3))*(MONTH($AC$2:$AX$2)=MONTH(CU$3))*$AC11:$AX11))</f>
        <v>0</v>
      </c>
      <c r="CV11" s="164" t="n">
        <f aca="false">IF(AND($BA11&gt;0,$BB11&gt;=$BA11),$AA11*MAX(0,MIN($BB11,EOMONTH(CV$3,0))-MAX($BA11,CV$3)+1)/($BB11-$BA11+1),SUMPRODUCT((YEAR($AC$2:$AX$2)=YEAR(CV$3))*(MONTH($AC$2:$AX$2)=MONTH(CV$3))*$AC11:$AX11))</f>
        <v>0</v>
      </c>
      <c r="CW11" s="164" t="n">
        <f aca="false">IF(AND($BA11&gt;0,$BB11&gt;=$BA11),$AA11*MAX(0,MIN($BB11,EOMONTH(CW$3,0))-MAX($BA11,CW$3)+1)/($BB11-$BA11+1),SUMPRODUCT((YEAR($AC$2:$AX$2)=YEAR(CW$3))*(MONTH($AC$2:$AX$2)=MONTH(CW$3))*$AC11:$AX11))</f>
        <v>0</v>
      </c>
      <c r="CX11" s="164" t="n">
        <f aca="false">IF(AND($BA11&gt;0,$BB11&gt;=$BA11),$AA11*MAX(0,MIN($BB11,EOMONTH(CX$3,0))-MAX($BA11,CX$3)+1)/($BB11-$BA11+1),SUMPRODUCT((YEAR($AC$2:$AX$2)=YEAR(CX$3))*(MONTH($AC$2:$AX$2)=MONTH(CX$3))*$AC11:$AX11))</f>
        <v>0</v>
      </c>
      <c r="CY11" s="164" t="n">
        <f aca="false">IF(AND($BA11&gt;0,$BB11&gt;=$BA11),$AA11*MAX(0,MIN($BB11,EOMONTH(CY$3,0))-MAX($BA11,CY$3)+1)/($BB11-$BA11+1),SUMPRODUCT((YEAR($AC$2:$AX$2)=YEAR(CY$3))*(MONTH($AC$2:$AX$2)=MONTH(CY$3))*$AC11:$AX11))</f>
        <v>0</v>
      </c>
      <c r="CZ11" s="164" t="n">
        <f aca="false">IF(AND($BA11&gt;0,$BB11&gt;=$BA11),$AA11*MAX(0,MIN($BB11,EOMONTH(CZ$3,0))-MAX($BA11,CZ$3)+1)/($BB11-$BA11+1),SUMPRODUCT((YEAR($AC$2:$AX$2)=YEAR(CZ$3))*(MONTH($AC$2:$AX$2)=MONTH(CZ$3))*$AC11:$AX11))</f>
        <v>0</v>
      </c>
      <c r="DA11" s="164" t="n">
        <f aca="false">IF(AND($BA11&gt;0,$BB11&gt;=$BA11),$AA11*MAX(0,MIN($BB11,EOMONTH(DA$3,0))-MAX($BA11,DA$3)+1)/($BB11-$BA11+1),SUMPRODUCT((YEAR($AC$2:$AX$2)=YEAR(DA$3))*(MONTH($AC$2:$AX$2)=MONTH(DA$3))*$AC11:$AX11))</f>
        <v>0</v>
      </c>
      <c r="DB11" s="164" t="n">
        <f aca="false">IF(AND($BA11&gt;0,$BB11&gt;=$BA11),$AA11*MAX(0,MIN($BB11,EOMONTH(DB$3,0))-MAX($BA11,DB$3)+1)/($BB11-$BA11+1),SUMPRODUCT((YEAR($AC$2:$AX$2)=YEAR(DB$3))*(MONTH($AC$2:$AX$2)=MONTH(DB$3))*$AC11:$AX11))</f>
        <v>0</v>
      </c>
      <c r="DC11" s="164" t="n">
        <f aca="false">IF(AND($BA11&gt;0,$BB11&gt;=$BA11),$AA11*MAX(0,MIN($BB11,EOMONTH(DC$3,0))-MAX($BA11,DC$3)+1)/($BB11-$BA11+1),SUMPRODUCT((YEAR($AC$2:$AX$2)=YEAR(DC$3))*(MONTH($AC$2:$AX$2)=MONTH(DC$3))*$AC11:$AX11))</f>
        <v>0</v>
      </c>
      <c r="DD11" s="164" t="n">
        <f aca="false">IF(AND($BA11&gt;0,$BB11&gt;=$BA11),$AA11*MAX(0,MIN($BB11,EOMONTH(DD$3,0))-MAX($BA11,DD$3)+1)/($BB11-$BA11+1),SUMPRODUCT((YEAR($AC$2:$AX$2)=YEAR(DD$3))*(MONTH($AC$2:$AX$2)=MONTH(DD$3))*$AC11:$AX11))</f>
        <v>0</v>
      </c>
      <c r="DE11" s="164" t="n">
        <f aca="false">IF(AND($BA11&gt;0,$BB11&gt;=$BA11),$AA11*MAX(0,MIN($BB11,EOMONTH(DE$3,0))-MAX($BA11,DE$3)+1)/($BB11-$BA11+1),SUMPRODUCT((YEAR($AC$2:$AX$2)=YEAR(DE$3))*(MONTH($AC$2:$AX$2)=MONTH(DE$3))*$AC11:$AX11))</f>
        <v>0</v>
      </c>
      <c r="DF11" s="164" t="n">
        <f aca="false">IF(AND($BA11&gt;0,$BB11&gt;=$BA11),$AA11*MAX(0,MIN($BB11,EOMONTH(DF$3,0))-MAX($BA11,DF$3)+1)/($BB11-$BA11+1),SUMPRODUCT((YEAR($AC$2:$AX$2)=YEAR(DF$3))*(MONTH($AC$2:$AX$2)=MONTH(DF$3))*$AC11:$AX11))</f>
        <v>0</v>
      </c>
      <c r="DG11" s="164" t="n">
        <f aca="false">IF(AND($BA11&gt;0,$BB11&gt;=$BA11),$AA11*MAX(0,MIN($BB11,EOMONTH(DG$3,0))-MAX($BA11,DG$3)+1)/($BB11-$BA11+1),SUMPRODUCT((YEAR($AC$2:$AX$2)=YEAR(DG$3))*(MONTH($AC$2:$AX$2)=MONTH(DG$3))*$AC11:$AX11))</f>
        <v>0</v>
      </c>
      <c r="DH11" s="164" t="n">
        <f aca="false">IF(AND($BA11&gt;0,$BB11&gt;=$BA11),$AA11*MAX(0,MIN($BB11,EOMONTH(DH$3,0))-MAX($BA11,DH$3)+1)/($BB11-$BA11+1),SUMPRODUCT((YEAR($AC$2:$AX$2)=YEAR(DH$3))*(MONTH($AC$2:$AX$2)=MONTH(DH$3))*$AC11:$AX11))</f>
        <v>0</v>
      </c>
      <c r="DI11" s="164" t="n">
        <f aca="false">IF(AND($BA11&gt;0,$BB11&gt;=$BA11),$AA11*MAX(0,MIN($BB11,EOMONTH(DI$3,0))-MAX($BA11,DI$3)+1)/($BB11-$BA11+1),SUMPRODUCT((YEAR($AC$2:$AX$2)=YEAR(DI$3))*(MONTH($AC$2:$AX$2)=MONTH(DI$3))*$AC11:$AX11))</f>
        <v>0</v>
      </c>
      <c r="DJ11" s="164" t="n">
        <f aca="false">IF(AND($BA11&gt;0,$BB11&gt;=$BA11),$AA11*MAX(0,MIN($BB11,EOMONTH(DJ$3,0))-MAX($BA11,DJ$3)+1)/($BB11-$BA11+1),SUMPRODUCT((YEAR($AC$2:$AX$2)=YEAR(DJ$3))*(MONTH($AC$2:$AX$2)=MONTH(DJ$3))*$AC11:$AX11))</f>
        <v>0</v>
      </c>
      <c r="DK11" s="164" t="n">
        <f aca="false">IF(AND($BA11&gt;0,$BB11&gt;=$BA11),$AA11*MAX(0,MIN($BB11,EOMONTH(DK$3,0))-MAX($BA11,DK$3)+1)/($BB11-$BA11+1),SUMPRODUCT((YEAR($AC$2:$AX$2)=YEAR(DK$3))*(MONTH($AC$2:$AX$2)=MONTH(DK$3))*$AC11:$AX11))</f>
        <v>0</v>
      </c>
      <c r="DL11" s="164" t="n">
        <f aca="false">IF(AND($BA11&gt;0,$BB11&gt;=$BA11),$AA11*MAX(0,MIN($BB11,EOMONTH(DL$3,0))-MAX($BA11,DL$3)+1)/($BB11-$BA11+1),SUMPRODUCT((YEAR($AC$2:$AX$2)=YEAR(DL$3))*(MONTH($AC$2:$AX$2)=MONTH(DL$3))*$AC11:$AX11))</f>
        <v>0</v>
      </c>
      <c r="DM11" s="164" t="n">
        <f aca="false">IF(AND($BA11&gt;0,$BB11&gt;=$BA11),$AA11*MAX(0,MIN($BB11,EOMONTH(DM$3,0))-MAX($BA11,DM$3)+1)/($BB11-$BA11+1),SUMPRODUCT((YEAR($AC$2:$AX$2)=YEAR(DM$3))*(MONTH($AC$2:$AX$2)=MONTH(DM$3))*$AC11:$AX11))</f>
        <v>0</v>
      </c>
      <c r="DN11" s="164" t="n">
        <f aca="false">IF(AND($BA11&gt;0,$BB11&gt;=$BA11),$AA11*MAX(0,MIN($BB11,EOMONTH(DN$3,0))-MAX($BA11,DN$3)+1)/($BB11-$BA11+1),SUMPRODUCT((YEAR($AC$2:$AX$2)=YEAR(DN$3))*(MONTH($AC$2:$AX$2)=MONTH(DN$3))*$AC11:$AX11))</f>
        <v>0</v>
      </c>
      <c r="DO11" s="164" t="n">
        <f aca="false">IF(AND($BA11&gt;0,$BB11&gt;=$BA11),$AA11*MAX(0,MIN($BB11,EOMONTH(DO$3,0))-MAX($BA11,DO$3)+1)/($BB11-$BA11+1),SUMPRODUCT((YEAR($AC$2:$AX$2)=YEAR(DO$3))*(MONTH($AC$2:$AX$2)=MONTH(DO$3))*$AC11:$AX11))</f>
        <v>0</v>
      </c>
      <c r="DP11" s="164" t="n">
        <f aca="false">IF(AND($BA11&gt;0,$BB11&gt;=$BA11),$AA11*MAX(0,MIN($BB11,EOMONTH(DP$3,0))-MAX($BA11,DP$3)+1)/($BB11-$BA11+1),SUMPRODUCT((YEAR($AC$2:$AX$2)=YEAR(DP$3))*(MONTH($AC$2:$AX$2)=MONTH(DP$3))*$AC11:$AX11))</f>
        <v>0</v>
      </c>
      <c r="DQ11" s="164" t="n">
        <f aca="false">IF(AND($BA11&gt;0,$BB11&gt;=$BA11),$AA11*MAX(0,MIN($BB11,EOMONTH(DQ$3,0))-MAX($BA11,DQ$3)+1)/($BB11-$BA11+1),SUMPRODUCT((YEAR($AC$2:$AX$2)=YEAR(DQ$3))*(MONTH($AC$2:$AX$2)=MONTH(DQ$3))*$AC11:$AX11))</f>
        <v>0</v>
      </c>
      <c r="DR11" s="164" t="n">
        <f aca="false">IF(AND($BA11&gt;0,$BB11&gt;=$BA11),$AA11*MAX(0,MIN($BB11,EOMONTH(DR$3,0))-MAX($BA11,DR$3)+1)/($BB11-$BA11+1),SUMPRODUCT((YEAR($AC$2:$AX$2)=YEAR(DR$3))*(MONTH($AC$2:$AX$2)=MONTH(DR$3))*$AC11:$AX11))</f>
        <v>0</v>
      </c>
      <c r="DS11" s="164" t="n">
        <f aca="false">IF(AND($BA11&gt;0,$BB11&gt;=$BA11),$AA11*MAX(0,MIN($BB11,EOMONTH(DS$3,0))-MAX($BA11,DS$3)+1)/($BB11-$BA11+1),SUMPRODUCT((YEAR($AC$2:$AX$2)=YEAR(DS$3))*(MONTH($AC$2:$AX$2)=MONTH(DS$3))*$AC11:$AX11))</f>
        <v>0</v>
      </c>
      <c r="DT11" s="164" t="n">
        <f aca="false">IF(AND($BA11&gt;0,$BB11&gt;=$BA11),$AA11*MAX(0,MIN($BB11,EOMONTH(DT$3,0))-MAX($BA11,DT$3)+1)/($BB11-$BA11+1),SUMPRODUCT((YEAR($AC$2:$AX$2)=YEAR(DT$3))*(MONTH($AC$2:$AX$2)=MONTH(DT$3))*$AC11:$AX11))</f>
        <v>0</v>
      </c>
      <c r="DU11" s="164" t="n">
        <f aca="false">IF(AND($BA11&gt;0,$BB11&gt;=$BA11),$AA11*MAX(0,MIN($BB11,EOMONTH(DU$3,0))-MAX($BA11,DU$3)+1)/($BB11-$BA11+1),SUMPRODUCT((YEAR($AC$2:$AX$2)=YEAR(DU$3))*(MONTH($AC$2:$AX$2)=MONTH(DU$3))*$AC11:$AX11))</f>
        <v>0</v>
      </c>
      <c r="DV11" s="164" t="n">
        <f aca="false">IF(AND($BA11&gt;0,$BB11&gt;=$BA11),$AA11*MAX(0,MIN($BB11,EOMONTH(DV$3,0))-MAX($BA11,DV$3)+1)/($BB11-$BA11+1),SUMPRODUCT((YEAR($AC$2:$AX$2)=YEAR(DV$3))*(MONTH($AC$2:$AX$2)=MONTH(DV$3))*$AC11:$AX11))</f>
        <v>0</v>
      </c>
      <c r="DW11" s="164" t="n">
        <f aca="false">IF(AND($BA11&gt;0,$BB11&gt;=$BA11),$AA11*MAX(0,MIN($BB11,EOMONTH(DW$3,0))-MAX($BA11,DW$3)+1)/($BB11-$BA11+1),SUMPRODUCT((YEAR($AC$2:$AX$2)=YEAR(DW$3))*(MONTH($AC$2:$AX$2)=MONTH(DW$3))*$AC11:$AX11))</f>
        <v>0</v>
      </c>
    </row>
    <row r="12" customFormat="false" ht="15" hidden="false" customHeight="false" outlineLevel="0" collapsed="false">
      <c r="H12" s="150" t="s">
        <v>2970</v>
      </c>
      <c r="J12" s="152" t="n">
        <v>700.6245</v>
      </c>
      <c r="K12" s="152" t="n">
        <v>242.8</v>
      </c>
      <c r="L12" s="152" t="n">
        <v>1353.789475</v>
      </c>
      <c r="O12" s="152" t="n">
        <v>18522.25</v>
      </c>
      <c r="P12" s="152" t="n">
        <v>700.6245</v>
      </c>
      <c r="S12" s="149" t="n">
        <f aca="false">K12*($D$58+$D$57)</f>
        <v>155203.7086</v>
      </c>
      <c r="T12" s="149" t="n">
        <f aca="false">L12*$D$47</f>
        <v>180460.1370175</v>
      </c>
      <c r="V12" s="149" t="n">
        <f aca="false">O12*($D$54)</f>
        <v>107670.7653625</v>
      </c>
      <c r="W12" s="149" t="n">
        <f aca="false">O12*($D$49)</f>
        <v>51769.68875</v>
      </c>
      <c r="Y12" s="149" t="n">
        <f aca="false">SUM(P12:Q12)*($D$50+$D$52)</f>
        <v>9521.592048675</v>
      </c>
      <c r="AA12" s="149" t="n">
        <f aca="false">SUM(S12:Y12)</f>
        <v>504625.891778675</v>
      </c>
      <c r="AS12" s="149" t="n">
        <f aca="false">AA12</f>
        <v>504625.891778675</v>
      </c>
      <c r="AZ12" s="162" t="s">
        <v>2834</v>
      </c>
      <c r="BA12" s="163" t="n">
        <f aca="false">IF(AZ12="",0,SUMPRODUCT(('CRONOGRAMA ATIVIDADES'!$C$5:$C$6004="ESTRUTURA")*('CRONOGRAMA ATIVIDADES'!$E$5:$E$6004=AZ12)*('CRONOGRAMA ATIVIDADES'!$D$5:$D$6004="-")*'CRONOGRAMA ATIVIDADES'!$F$5:$F$6004))</f>
        <v>46653</v>
      </c>
      <c r="BB12" s="163" t="n">
        <f aca="false">IF(AZ12="",0,SUMPRODUCT(('CRONOGRAMA ATIVIDADES'!$C$5:$C$6004="ESTRUTURA")*('CRONOGRAMA ATIVIDADES'!$E$5:$E$6004=AZ12)*('CRONOGRAMA ATIVIDADES'!$D$5:$D$6004="-")*'CRONOGRAMA ATIVIDADES'!$G$5:$G$6004))</f>
        <v>46664</v>
      </c>
      <c r="BD12" s="164" t="n">
        <f aca="false">IF(AND($BA12&gt;0,$BB12&gt;=$BA12),$AA12*MAX(0,MIN($BB12,EOMONTH(BD$3,0))-MAX($BA12,BD$3)+1)/($BB12-$BA12+1),SUMPRODUCT((YEAR($AC$2:$AX$2)=YEAR(BD$3))*(MONTH($AC$2:$AX$2)=MONTH(BD$3))*$AC12:$AX12))</f>
        <v>0</v>
      </c>
      <c r="BE12" s="164" t="n">
        <f aca="false">IF(AND($BA12&gt;0,$BB12&gt;=$BA12),$AA12*MAX(0,MIN($BB12,EOMONTH(BE$3,0))-MAX($BA12,BE$3)+1)/($BB12-$BA12+1),SUMPRODUCT((YEAR($AC$2:$AX$2)=YEAR(BE$3))*(MONTH($AC$2:$AX$2)=MONTH(BE$3))*$AC12:$AX12))</f>
        <v>0</v>
      </c>
      <c r="BF12" s="164" t="n">
        <f aca="false">IF(AND($BA12&gt;0,$BB12&gt;=$BA12),$AA12*MAX(0,MIN($BB12,EOMONTH(BF$3,0))-MAX($BA12,BF$3)+1)/($BB12-$BA12+1),SUMPRODUCT((YEAR($AC$2:$AX$2)=YEAR(BF$3))*(MONTH($AC$2:$AX$2)=MONTH(BF$3))*$AC12:$AX12))</f>
        <v>0</v>
      </c>
      <c r="BG12" s="164" t="n">
        <f aca="false">IF(AND($BA12&gt;0,$BB12&gt;=$BA12),$AA12*MAX(0,MIN($BB12,EOMONTH(BG$3,0))-MAX($BA12,BG$3)+1)/($BB12-$BA12+1),SUMPRODUCT((YEAR($AC$2:$AX$2)=YEAR(BG$3))*(MONTH($AC$2:$AX$2)=MONTH(BG$3))*$AC12:$AX12))</f>
        <v>0</v>
      </c>
      <c r="BH12" s="164" t="n">
        <f aca="false">IF(AND($BA12&gt;0,$BB12&gt;=$BA12),$AA12*MAX(0,MIN($BB12,EOMONTH(BH$3,0))-MAX($BA12,BH$3)+1)/($BB12-$BA12+1),SUMPRODUCT((YEAR($AC$2:$AX$2)=YEAR(BH$3))*(MONTH($AC$2:$AX$2)=MONTH(BH$3))*$AC12:$AX12))</f>
        <v>0</v>
      </c>
      <c r="BI12" s="164" t="n">
        <f aca="false">IF(AND($BA12&gt;0,$BB12&gt;=$BA12),$AA12*MAX(0,MIN($BB12,EOMONTH(BI$3,0))-MAX($BA12,BI$3)+1)/($BB12-$BA12+1),SUMPRODUCT((YEAR($AC$2:$AX$2)=YEAR(BI$3))*(MONTH($AC$2:$AX$2)=MONTH(BI$3))*$AC12:$AX12))</f>
        <v>0</v>
      </c>
      <c r="BJ12" s="164" t="n">
        <f aca="false">IF(AND($BA12&gt;0,$BB12&gt;=$BA12),$AA12*MAX(0,MIN($BB12,EOMONTH(BJ$3,0))-MAX($BA12,BJ$3)+1)/($BB12-$BA12+1),SUMPRODUCT((YEAR($AC$2:$AX$2)=YEAR(BJ$3))*(MONTH($AC$2:$AX$2)=MONTH(BJ$3))*$AC12:$AX12))</f>
        <v>0</v>
      </c>
      <c r="BK12" s="164" t="n">
        <f aca="false">IF(AND($BA12&gt;0,$BB12&gt;=$BA12),$AA12*MAX(0,MIN($BB12,EOMONTH(BK$3,0))-MAX($BA12,BK$3)+1)/($BB12-$BA12+1),SUMPRODUCT((YEAR($AC$2:$AX$2)=YEAR(BK$3))*(MONTH($AC$2:$AX$2)=MONTH(BK$3))*$AC12:$AX12))</f>
        <v>0</v>
      </c>
      <c r="BL12" s="164" t="n">
        <f aca="false">IF(AND($BA12&gt;0,$BB12&gt;=$BA12),$AA12*MAX(0,MIN($BB12,EOMONTH(BL$3,0))-MAX($BA12,BL$3)+1)/($BB12-$BA12+1),SUMPRODUCT((YEAR($AC$2:$AX$2)=YEAR(BL$3))*(MONTH($AC$2:$AX$2)=MONTH(BL$3))*$AC12:$AX12))</f>
        <v>0</v>
      </c>
      <c r="BM12" s="164" t="n">
        <f aca="false">IF(AND($BA12&gt;0,$BB12&gt;=$BA12),$AA12*MAX(0,MIN($BB12,EOMONTH(BM$3,0))-MAX($BA12,BM$3)+1)/($BB12-$BA12+1),SUMPRODUCT((YEAR($AC$2:$AX$2)=YEAR(BM$3))*(MONTH($AC$2:$AX$2)=MONTH(BM$3))*$AC12:$AX12))</f>
        <v>0</v>
      </c>
      <c r="BN12" s="164" t="n">
        <f aca="false">IF(AND($BA12&gt;0,$BB12&gt;=$BA12),$AA12*MAX(0,MIN($BB12,EOMONTH(BN$3,0))-MAX($BA12,BN$3)+1)/($BB12-$BA12+1),SUMPRODUCT((YEAR($AC$2:$AX$2)=YEAR(BN$3))*(MONTH($AC$2:$AX$2)=MONTH(BN$3))*$AC12:$AX12))</f>
        <v>0</v>
      </c>
      <c r="BO12" s="164" t="n">
        <f aca="false">IF(AND($BA12&gt;0,$BB12&gt;=$BA12),$AA12*MAX(0,MIN($BB12,EOMONTH(BO$3,0))-MAX($BA12,BO$3)+1)/($BB12-$BA12+1),SUMPRODUCT((YEAR($AC$2:$AX$2)=YEAR(BO$3))*(MONTH($AC$2:$AX$2)=MONTH(BO$3))*$AC12:$AX12))</f>
        <v>0</v>
      </c>
      <c r="BP12" s="164" t="n">
        <f aca="false">IF(AND($BA12&gt;0,$BB12&gt;=$BA12),$AA12*MAX(0,MIN($BB12,EOMONTH(BP$3,0))-MAX($BA12,BP$3)+1)/($BB12-$BA12+1),SUMPRODUCT((YEAR($AC$2:$AX$2)=YEAR(BP$3))*(MONTH($AC$2:$AX$2)=MONTH(BP$3))*$AC12:$AX12))</f>
        <v>0</v>
      </c>
      <c r="BQ12" s="164" t="n">
        <f aca="false">IF(AND($BA12&gt;0,$BB12&gt;=$BA12),$AA12*MAX(0,MIN($BB12,EOMONTH(BQ$3,0))-MAX($BA12,BQ$3)+1)/($BB12-$BA12+1),SUMPRODUCT((YEAR($AC$2:$AX$2)=YEAR(BQ$3))*(MONTH($AC$2:$AX$2)=MONTH(BQ$3))*$AC12:$AX12))</f>
        <v>0</v>
      </c>
      <c r="BR12" s="164" t="n">
        <f aca="false">IF(AND($BA12&gt;0,$BB12&gt;=$BA12),$AA12*MAX(0,MIN($BB12,EOMONTH(BR$3,0))-MAX($BA12,BR$3)+1)/($BB12-$BA12+1),SUMPRODUCT((YEAR($AC$2:$AX$2)=YEAR(BR$3))*(MONTH($AC$2:$AX$2)=MONTH(BR$3))*$AC12:$AX12))</f>
        <v>0</v>
      </c>
      <c r="BS12" s="164" t="n">
        <f aca="false">IF(AND($BA12&gt;0,$BB12&gt;=$BA12),$AA12*MAX(0,MIN($BB12,EOMONTH(BS$3,0))-MAX($BA12,BS$3)+1)/($BB12-$BA12+1),SUMPRODUCT((YEAR($AC$2:$AX$2)=YEAR(BS$3))*(MONTH($AC$2:$AX$2)=MONTH(BS$3))*$AC12:$AX12))</f>
        <v>0</v>
      </c>
      <c r="BT12" s="164" t="n">
        <f aca="false">IF(AND($BA12&gt;0,$BB12&gt;=$BA12),$AA12*MAX(0,MIN($BB12,EOMONTH(BT$3,0))-MAX($BA12,BT$3)+1)/($BB12-$BA12+1),SUMPRODUCT((YEAR($AC$2:$AX$2)=YEAR(BT$3))*(MONTH($AC$2:$AX$2)=MONTH(BT$3))*$AC12:$AX12))</f>
        <v>0</v>
      </c>
      <c r="BU12" s="164" t="n">
        <f aca="false">IF(AND($BA12&gt;0,$BB12&gt;=$BA12),$AA12*MAX(0,MIN($BB12,EOMONTH(BU$3,0))-MAX($BA12,BU$3)+1)/($BB12-$BA12+1),SUMPRODUCT((YEAR($AC$2:$AX$2)=YEAR(BU$3))*(MONTH($AC$2:$AX$2)=MONTH(BU$3))*$AC12:$AX12))</f>
        <v>0</v>
      </c>
      <c r="BV12" s="164" t="n">
        <f aca="false">IF(AND($BA12&gt;0,$BB12&gt;=$BA12),$AA12*MAX(0,MIN($BB12,EOMONTH(BV$3,0))-MAX($BA12,BV$3)+1)/($BB12-$BA12+1),SUMPRODUCT((YEAR($AC$2:$AX$2)=YEAR(BV$3))*(MONTH($AC$2:$AX$2)=MONTH(BV$3))*$AC12:$AX12))</f>
        <v>0</v>
      </c>
      <c r="BW12" s="164" t="n">
        <f aca="false">IF(AND($BA12&gt;0,$BB12&gt;=$BA12),$AA12*MAX(0,MIN($BB12,EOMONTH(BW$3,0))-MAX($BA12,BW$3)+1)/($BB12-$BA12+1),SUMPRODUCT((YEAR($AC$2:$AX$2)=YEAR(BW$3))*(MONTH($AC$2:$AX$2)=MONTH(BW$3))*$AC12:$AX12))</f>
        <v>0</v>
      </c>
      <c r="BX12" s="164" t="n">
        <f aca="false">IF(AND($BA12&gt;0,$BB12&gt;=$BA12),$AA12*MAX(0,MIN($BB12,EOMONTH(BX$3,0))-MAX($BA12,BX$3)+1)/($BB12-$BA12+1),SUMPRODUCT((YEAR($AC$2:$AX$2)=YEAR(BX$3))*(MONTH($AC$2:$AX$2)=MONTH(BX$3))*$AC12:$AX12))</f>
        <v>0</v>
      </c>
      <c r="BY12" s="164" t="n">
        <f aca="false">IF(AND($BA12&gt;0,$BB12&gt;=$BA12),$AA12*MAX(0,MIN($BB12,EOMONTH(BY$3,0))-MAX($BA12,BY$3)+1)/($BB12-$BA12+1),SUMPRODUCT((YEAR($AC$2:$AX$2)=YEAR(BY$3))*(MONTH($AC$2:$AX$2)=MONTH(BY$3))*$AC12:$AX12))</f>
        <v>0</v>
      </c>
      <c r="BZ12" s="164" t="n">
        <f aca="false">IF(AND($BA12&gt;0,$BB12&gt;=$BA12),$AA12*MAX(0,MIN($BB12,EOMONTH(BZ$3,0))-MAX($BA12,BZ$3)+1)/($BB12-$BA12+1),SUMPRODUCT((YEAR($AC$2:$AX$2)=YEAR(BZ$3))*(MONTH($AC$2:$AX$2)=MONTH(BZ$3))*$AC12:$AX12))</f>
        <v>0</v>
      </c>
      <c r="CA12" s="164" t="n">
        <f aca="false">IF(AND($BA12&gt;0,$BB12&gt;=$BA12),$AA12*MAX(0,MIN($BB12,EOMONTH(CA$3,0))-MAX($BA12,CA$3)+1)/($BB12-$BA12+1),SUMPRODUCT((YEAR($AC$2:$AX$2)=YEAR(CA$3))*(MONTH($AC$2:$AX$2)=MONTH(CA$3))*$AC12:$AX12))</f>
        <v>0</v>
      </c>
      <c r="CB12" s="164" t="n">
        <f aca="false">IF(AND($BA12&gt;0,$BB12&gt;=$BA12),$AA12*MAX(0,MIN($BB12,EOMONTH(CB$3,0))-MAX($BA12,CB$3)+1)/($BB12-$BA12+1),SUMPRODUCT((YEAR($AC$2:$AX$2)=YEAR(CB$3))*(MONTH($AC$2:$AX$2)=MONTH(CB$3))*$AC12:$AX12))</f>
        <v>0</v>
      </c>
      <c r="CC12" s="164" t="n">
        <f aca="false">IF(AND($BA12&gt;0,$BB12&gt;=$BA12),$AA12*MAX(0,MIN($BB12,EOMONTH(CC$3,0))-MAX($BA12,CC$3)+1)/($BB12-$BA12+1),SUMPRODUCT((YEAR($AC$2:$AX$2)=YEAR(CC$3))*(MONTH($AC$2:$AX$2)=MONTH(CC$3))*$AC12:$AX12))</f>
        <v>0</v>
      </c>
      <c r="CD12" s="164" t="n">
        <f aca="false">IF(AND($BA12&gt;0,$BB12&gt;=$BA12),$AA12*MAX(0,MIN($BB12,EOMONTH(CD$3,0))-MAX($BA12,CD$3)+1)/($BB12-$BA12+1),SUMPRODUCT((YEAR($AC$2:$AX$2)=YEAR(CD$3))*(MONTH($AC$2:$AX$2)=MONTH(CD$3))*$AC12:$AX12))</f>
        <v>0</v>
      </c>
      <c r="CE12" s="164" t="n">
        <f aca="false">IF(AND($BA12&gt;0,$BB12&gt;=$BA12),$AA12*MAX(0,MIN($BB12,EOMONTH(CE$3,0))-MAX($BA12,CE$3)+1)/($BB12-$BA12+1),SUMPRODUCT((YEAR($AC$2:$AX$2)=YEAR(CE$3))*(MONTH($AC$2:$AX$2)=MONTH(CE$3))*$AC12:$AX12))</f>
        <v>0</v>
      </c>
      <c r="CF12" s="164" t="n">
        <f aca="false">IF(AND($BA12&gt;0,$BB12&gt;=$BA12),$AA12*MAX(0,MIN($BB12,EOMONTH(CF$3,0))-MAX($BA12,CF$3)+1)/($BB12-$BA12+1),SUMPRODUCT((YEAR($AC$2:$AX$2)=YEAR(CF$3))*(MONTH($AC$2:$AX$2)=MONTH(CF$3))*$AC12:$AX12))</f>
        <v>0</v>
      </c>
      <c r="CG12" s="164" t="n">
        <f aca="false">IF(AND($BA12&gt;0,$BB12&gt;=$BA12),$AA12*MAX(0,MIN($BB12,EOMONTH(CG$3,0))-MAX($BA12,CG$3)+1)/($BB12-$BA12+1),SUMPRODUCT((YEAR($AC$2:$AX$2)=YEAR(CG$3))*(MONTH($AC$2:$AX$2)=MONTH(CG$3))*$AC12:$AX12))</f>
        <v>0</v>
      </c>
      <c r="CH12" s="164" t="n">
        <f aca="false">IF(AND($BA12&gt;0,$BB12&gt;=$BA12),$AA12*MAX(0,MIN($BB12,EOMONTH(CH$3,0))-MAX($BA12,CH$3)+1)/($BB12-$BA12+1),SUMPRODUCT((YEAR($AC$2:$AX$2)=YEAR(CH$3))*(MONTH($AC$2:$AX$2)=MONTH(CH$3))*$AC12:$AX12))</f>
        <v>0</v>
      </c>
      <c r="CI12" s="164" t="n">
        <f aca="false">IF(AND($BA12&gt;0,$BB12&gt;=$BA12),$AA12*MAX(0,MIN($BB12,EOMONTH(CI$3,0))-MAX($BA12,CI$3)+1)/($BB12-$BA12+1),SUMPRODUCT((YEAR($AC$2:$AX$2)=YEAR(CI$3))*(MONTH($AC$2:$AX$2)=MONTH(CI$3))*$AC12:$AX12))</f>
        <v>0</v>
      </c>
      <c r="CJ12" s="164" t="n">
        <f aca="false">IF(AND($BA12&gt;0,$BB12&gt;=$BA12),$AA12*MAX(0,MIN($BB12,EOMONTH(CJ$3,0))-MAX($BA12,CJ$3)+1)/($BB12-$BA12+1),SUMPRODUCT((YEAR($AC$2:$AX$2)=YEAR(CJ$3))*(MONTH($AC$2:$AX$2)=MONTH(CJ$3))*$AC12:$AX12))</f>
        <v>0</v>
      </c>
      <c r="CK12" s="164" t="n">
        <f aca="false">IF(AND($BA12&gt;0,$BB12&gt;=$BA12),$AA12*MAX(0,MIN($BB12,EOMONTH(CK$3,0))-MAX($BA12,CK$3)+1)/($BB12-$BA12+1),SUMPRODUCT((YEAR($AC$2:$AX$2)=YEAR(CK$3))*(MONTH($AC$2:$AX$2)=MONTH(CK$3))*$AC12:$AX12))</f>
        <v>336417.261185783</v>
      </c>
      <c r="CL12" s="164" t="n">
        <f aca="false">IF(AND($BA12&gt;0,$BB12&gt;=$BA12),$AA12*MAX(0,MIN($BB12,EOMONTH(CL$3,0))-MAX($BA12,CL$3)+1)/($BB12-$BA12+1),SUMPRODUCT((YEAR($AC$2:$AX$2)=YEAR(CL$3))*(MONTH($AC$2:$AX$2)=MONTH(CL$3))*$AC12:$AX12))</f>
        <v>168208.630592892</v>
      </c>
      <c r="CM12" s="164" t="n">
        <f aca="false">IF(AND($BA12&gt;0,$BB12&gt;=$BA12),$AA12*MAX(0,MIN($BB12,EOMONTH(CM$3,0))-MAX($BA12,CM$3)+1)/($BB12-$BA12+1),SUMPRODUCT((YEAR($AC$2:$AX$2)=YEAR(CM$3))*(MONTH($AC$2:$AX$2)=MONTH(CM$3))*$AC12:$AX12))</f>
        <v>0</v>
      </c>
      <c r="CN12" s="164" t="n">
        <f aca="false">IF(AND($BA12&gt;0,$BB12&gt;=$BA12),$AA12*MAX(0,MIN($BB12,EOMONTH(CN$3,0))-MAX($BA12,CN$3)+1)/($BB12-$BA12+1),SUMPRODUCT((YEAR($AC$2:$AX$2)=YEAR(CN$3))*(MONTH($AC$2:$AX$2)=MONTH(CN$3))*$AC12:$AX12))</f>
        <v>0</v>
      </c>
      <c r="CO12" s="164" t="n">
        <f aca="false">IF(AND($BA12&gt;0,$BB12&gt;=$BA12),$AA12*MAX(0,MIN($BB12,EOMONTH(CO$3,0))-MAX($BA12,CO$3)+1)/($BB12-$BA12+1),SUMPRODUCT((YEAR($AC$2:$AX$2)=YEAR(CO$3))*(MONTH($AC$2:$AX$2)=MONTH(CO$3))*$AC12:$AX12))</f>
        <v>0</v>
      </c>
      <c r="CP12" s="164" t="n">
        <f aca="false">IF(AND($BA12&gt;0,$BB12&gt;=$BA12),$AA12*MAX(0,MIN($BB12,EOMONTH(CP$3,0))-MAX($BA12,CP$3)+1)/($BB12-$BA12+1),SUMPRODUCT((YEAR($AC$2:$AX$2)=YEAR(CP$3))*(MONTH($AC$2:$AX$2)=MONTH(CP$3))*$AC12:$AX12))</f>
        <v>0</v>
      </c>
      <c r="CQ12" s="164" t="n">
        <f aca="false">IF(AND($BA12&gt;0,$BB12&gt;=$BA12),$AA12*MAX(0,MIN($BB12,EOMONTH(CQ$3,0))-MAX($BA12,CQ$3)+1)/($BB12-$BA12+1),SUMPRODUCT((YEAR($AC$2:$AX$2)=YEAR(CQ$3))*(MONTH($AC$2:$AX$2)=MONTH(CQ$3))*$AC12:$AX12))</f>
        <v>0</v>
      </c>
      <c r="CR12" s="164" t="n">
        <f aca="false">IF(AND($BA12&gt;0,$BB12&gt;=$BA12),$AA12*MAX(0,MIN($BB12,EOMONTH(CR$3,0))-MAX($BA12,CR$3)+1)/($BB12-$BA12+1),SUMPRODUCT((YEAR($AC$2:$AX$2)=YEAR(CR$3))*(MONTH($AC$2:$AX$2)=MONTH(CR$3))*$AC12:$AX12))</f>
        <v>0</v>
      </c>
      <c r="CS12" s="164" t="n">
        <f aca="false">IF(AND($BA12&gt;0,$BB12&gt;=$BA12),$AA12*MAX(0,MIN($BB12,EOMONTH(CS$3,0))-MAX($BA12,CS$3)+1)/($BB12-$BA12+1),SUMPRODUCT((YEAR($AC$2:$AX$2)=YEAR(CS$3))*(MONTH($AC$2:$AX$2)=MONTH(CS$3))*$AC12:$AX12))</f>
        <v>0</v>
      </c>
      <c r="CT12" s="164" t="n">
        <f aca="false">IF(AND($BA12&gt;0,$BB12&gt;=$BA12),$AA12*MAX(0,MIN($BB12,EOMONTH(CT$3,0))-MAX($BA12,CT$3)+1)/($BB12-$BA12+1),SUMPRODUCT((YEAR($AC$2:$AX$2)=YEAR(CT$3))*(MONTH($AC$2:$AX$2)=MONTH(CT$3))*$AC12:$AX12))</f>
        <v>0</v>
      </c>
      <c r="CU12" s="164" t="n">
        <f aca="false">IF(AND($BA12&gt;0,$BB12&gt;=$BA12),$AA12*MAX(0,MIN($BB12,EOMONTH(CU$3,0))-MAX($BA12,CU$3)+1)/($BB12-$BA12+1),SUMPRODUCT((YEAR($AC$2:$AX$2)=YEAR(CU$3))*(MONTH($AC$2:$AX$2)=MONTH(CU$3))*$AC12:$AX12))</f>
        <v>0</v>
      </c>
      <c r="CV12" s="164" t="n">
        <f aca="false">IF(AND($BA12&gt;0,$BB12&gt;=$BA12),$AA12*MAX(0,MIN($BB12,EOMONTH(CV$3,0))-MAX($BA12,CV$3)+1)/($BB12-$BA12+1),SUMPRODUCT((YEAR($AC$2:$AX$2)=YEAR(CV$3))*(MONTH($AC$2:$AX$2)=MONTH(CV$3))*$AC12:$AX12))</f>
        <v>0</v>
      </c>
      <c r="CW12" s="164" t="n">
        <f aca="false">IF(AND($BA12&gt;0,$BB12&gt;=$BA12),$AA12*MAX(0,MIN($BB12,EOMONTH(CW$3,0))-MAX($BA12,CW$3)+1)/($BB12-$BA12+1),SUMPRODUCT((YEAR($AC$2:$AX$2)=YEAR(CW$3))*(MONTH($AC$2:$AX$2)=MONTH(CW$3))*$AC12:$AX12))</f>
        <v>0</v>
      </c>
      <c r="CX12" s="164" t="n">
        <f aca="false">IF(AND($BA12&gt;0,$BB12&gt;=$BA12),$AA12*MAX(0,MIN($BB12,EOMONTH(CX$3,0))-MAX($BA12,CX$3)+1)/($BB12-$BA12+1),SUMPRODUCT((YEAR($AC$2:$AX$2)=YEAR(CX$3))*(MONTH($AC$2:$AX$2)=MONTH(CX$3))*$AC12:$AX12))</f>
        <v>0</v>
      </c>
      <c r="CY12" s="164" t="n">
        <f aca="false">IF(AND($BA12&gt;0,$BB12&gt;=$BA12),$AA12*MAX(0,MIN($BB12,EOMONTH(CY$3,0))-MAX($BA12,CY$3)+1)/($BB12-$BA12+1),SUMPRODUCT((YEAR($AC$2:$AX$2)=YEAR(CY$3))*(MONTH($AC$2:$AX$2)=MONTH(CY$3))*$AC12:$AX12))</f>
        <v>0</v>
      </c>
      <c r="CZ12" s="164" t="n">
        <f aca="false">IF(AND($BA12&gt;0,$BB12&gt;=$BA12),$AA12*MAX(0,MIN($BB12,EOMONTH(CZ$3,0))-MAX($BA12,CZ$3)+1)/($BB12-$BA12+1),SUMPRODUCT((YEAR($AC$2:$AX$2)=YEAR(CZ$3))*(MONTH($AC$2:$AX$2)=MONTH(CZ$3))*$AC12:$AX12))</f>
        <v>0</v>
      </c>
      <c r="DA12" s="164" t="n">
        <f aca="false">IF(AND($BA12&gt;0,$BB12&gt;=$BA12),$AA12*MAX(0,MIN($BB12,EOMONTH(DA$3,0))-MAX($BA12,DA$3)+1)/($BB12-$BA12+1),SUMPRODUCT((YEAR($AC$2:$AX$2)=YEAR(DA$3))*(MONTH($AC$2:$AX$2)=MONTH(DA$3))*$AC12:$AX12))</f>
        <v>0</v>
      </c>
      <c r="DB12" s="164" t="n">
        <f aca="false">IF(AND($BA12&gt;0,$BB12&gt;=$BA12),$AA12*MAX(0,MIN($BB12,EOMONTH(DB$3,0))-MAX($BA12,DB$3)+1)/($BB12-$BA12+1),SUMPRODUCT((YEAR($AC$2:$AX$2)=YEAR(DB$3))*(MONTH($AC$2:$AX$2)=MONTH(DB$3))*$AC12:$AX12))</f>
        <v>0</v>
      </c>
      <c r="DC12" s="164" t="n">
        <f aca="false">IF(AND($BA12&gt;0,$BB12&gt;=$BA12),$AA12*MAX(0,MIN($BB12,EOMONTH(DC$3,0))-MAX($BA12,DC$3)+1)/($BB12-$BA12+1),SUMPRODUCT((YEAR($AC$2:$AX$2)=YEAR(DC$3))*(MONTH($AC$2:$AX$2)=MONTH(DC$3))*$AC12:$AX12))</f>
        <v>0</v>
      </c>
      <c r="DD12" s="164" t="n">
        <f aca="false">IF(AND($BA12&gt;0,$BB12&gt;=$BA12),$AA12*MAX(0,MIN($BB12,EOMONTH(DD$3,0))-MAX($BA12,DD$3)+1)/($BB12-$BA12+1),SUMPRODUCT((YEAR($AC$2:$AX$2)=YEAR(DD$3))*(MONTH($AC$2:$AX$2)=MONTH(DD$3))*$AC12:$AX12))</f>
        <v>0</v>
      </c>
      <c r="DE12" s="164" t="n">
        <f aca="false">IF(AND($BA12&gt;0,$BB12&gt;=$BA12),$AA12*MAX(0,MIN($BB12,EOMONTH(DE$3,0))-MAX($BA12,DE$3)+1)/($BB12-$BA12+1),SUMPRODUCT((YEAR($AC$2:$AX$2)=YEAR(DE$3))*(MONTH($AC$2:$AX$2)=MONTH(DE$3))*$AC12:$AX12))</f>
        <v>0</v>
      </c>
      <c r="DF12" s="164" t="n">
        <f aca="false">IF(AND($BA12&gt;0,$BB12&gt;=$BA12),$AA12*MAX(0,MIN($BB12,EOMONTH(DF$3,0))-MAX($BA12,DF$3)+1)/($BB12-$BA12+1),SUMPRODUCT((YEAR($AC$2:$AX$2)=YEAR(DF$3))*(MONTH($AC$2:$AX$2)=MONTH(DF$3))*$AC12:$AX12))</f>
        <v>0</v>
      </c>
      <c r="DG12" s="164" t="n">
        <f aca="false">IF(AND($BA12&gt;0,$BB12&gt;=$BA12),$AA12*MAX(0,MIN($BB12,EOMONTH(DG$3,0))-MAX($BA12,DG$3)+1)/($BB12-$BA12+1),SUMPRODUCT((YEAR($AC$2:$AX$2)=YEAR(DG$3))*(MONTH($AC$2:$AX$2)=MONTH(DG$3))*$AC12:$AX12))</f>
        <v>0</v>
      </c>
      <c r="DH12" s="164" t="n">
        <f aca="false">IF(AND($BA12&gt;0,$BB12&gt;=$BA12),$AA12*MAX(0,MIN($BB12,EOMONTH(DH$3,0))-MAX($BA12,DH$3)+1)/($BB12-$BA12+1),SUMPRODUCT((YEAR($AC$2:$AX$2)=YEAR(DH$3))*(MONTH($AC$2:$AX$2)=MONTH(DH$3))*$AC12:$AX12))</f>
        <v>0</v>
      </c>
      <c r="DI12" s="164" t="n">
        <f aca="false">IF(AND($BA12&gt;0,$BB12&gt;=$BA12),$AA12*MAX(0,MIN($BB12,EOMONTH(DI$3,0))-MAX($BA12,DI$3)+1)/($BB12-$BA12+1),SUMPRODUCT((YEAR($AC$2:$AX$2)=YEAR(DI$3))*(MONTH($AC$2:$AX$2)=MONTH(DI$3))*$AC12:$AX12))</f>
        <v>0</v>
      </c>
      <c r="DJ12" s="164" t="n">
        <f aca="false">IF(AND($BA12&gt;0,$BB12&gt;=$BA12),$AA12*MAX(0,MIN($BB12,EOMONTH(DJ$3,0))-MAX($BA12,DJ$3)+1)/($BB12-$BA12+1),SUMPRODUCT((YEAR($AC$2:$AX$2)=YEAR(DJ$3))*(MONTH($AC$2:$AX$2)=MONTH(DJ$3))*$AC12:$AX12))</f>
        <v>0</v>
      </c>
      <c r="DK12" s="164" t="n">
        <f aca="false">IF(AND($BA12&gt;0,$BB12&gt;=$BA12),$AA12*MAX(0,MIN($BB12,EOMONTH(DK$3,0))-MAX($BA12,DK$3)+1)/($BB12-$BA12+1),SUMPRODUCT((YEAR($AC$2:$AX$2)=YEAR(DK$3))*(MONTH($AC$2:$AX$2)=MONTH(DK$3))*$AC12:$AX12))</f>
        <v>0</v>
      </c>
      <c r="DL12" s="164" t="n">
        <f aca="false">IF(AND($BA12&gt;0,$BB12&gt;=$BA12),$AA12*MAX(0,MIN($BB12,EOMONTH(DL$3,0))-MAX($BA12,DL$3)+1)/($BB12-$BA12+1),SUMPRODUCT((YEAR($AC$2:$AX$2)=YEAR(DL$3))*(MONTH($AC$2:$AX$2)=MONTH(DL$3))*$AC12:$AX12))</f>
        <v>0</v>
      </c>
      <c r="DM12" s="164" t="n">
        <f aca="false">IF(AND($BA12&gt;0,$BB12&gt;=$BA12),$AA12*MAX(0,MIN($BB12,EOMONTH(DM$3,0))-MAX($BA12,DM$3)+1)/($BB12-$BA12+1),SUMPRODUCT((YEAR($AC$2:$AX$2)=YEAR(DM$3))*(MONTH($AC$2:$AX$2)=MONTH(DM$3))*$AC12:$AX12))</f>
        <v>0</v>
      </c>
      <c r="DN12" s="164" t="n">
        <f aca="false">IF(AND($BA12&gt;0,$BB12&gt;=$BA12),$AA12*MAX(0,MIN($BB12,EOMONTH(DN$3,0))-MAX($BA12,DN$3)+1)/($BB12-$BA12+1),SUMPRODUCT((YEAR($AC$2:$AX$2)=YEAR(DN$3))*(MONTH($AC$2:$AX$2)=MONTH(DN$3))*$AC12:$AX12))</f>
        <v>0</v>
      </c>
      <c r="DO12" s="164" t="n">
        <f aca="false">IF(AND($BA12&gt;0,$BB12&gt;=$BA12),$AA12*MAX(0,MIN($BB12,EOMONTH(DO$3,0))-MAX($BA12,DO$3)+1)/($BB12-$BA12+1),SUMPRODUCT((YEAR($AC$2:$AX$2)=YEAR(DO$3))*(MONTH($AC$2:$AX$2)=MONTH(DO$3))*$AC12:$AX12))</f>
        <v>0</v>
      </c>
      <c r="DP12" s="164" t="n">
        <f aca="false">IF(AND($BA12&gt;0,$BB12&gt;=$BA12),$AA12*MAX(0,MIN($BB12,EOMONTH(DP$3,0))-MAX($BA12,DP$3)+1)/($BB12-$BA12+1),SUMPRODUCT((YEAR($AC$2:$AX$2)=YEAR(DP$3))*(MONTH($AC$2:$AX$2)=MONTH(DP$3))*$AC12:$AX12))</f>
        <v>0</v>
      </c>
      <c r="DQ12" s="164" t="n">
        <f aca="false">IF(AND($BA12&gt;0,$BB12&gt;=$BA12),$AA12*MAX(0,MIN($BB12,EOMONTH(DQ$3,0))-MAX($BA12,DQ$3)+1)/($BB12-$BA12+1),SUMPRODUCT((YEAR($AC$2:$AX$2)=YEAR(DQ$3))*(MONTH($AC$2:$AX$2)=MONTH(DQ$3))*$AC12:$AX12))</f>
        <v>0</v>
      </c>
      <c r="DR12" s="164" t="n">
        <f aca="false">IF(AND($BA12&gt;0,$BB12&gt;=$BA12),$AA12*MAX(0,MIN($BB12,EOMONTH(DR$3,0))-MAX($BA12,DR$3)+1)/($BB12-$BA12+1),SUMPRODUCT((YEAR($AC$2:$AX$2)=YEAR(DR$3))*(MONTH($AC$2:$AX$2)=MONTH(DR$3))*$AC12:$AX12))</f>
        <v>0</v>
      </c>
      <c r="DS12" s="164" t="n">
        <f aca="false">IF(AND($BA12&gt;0,$BB12&gt;=$BA12),$AA12*MAX(0,MIN($BB12,EOMONTH(DS$3,0))-MAX($BA12,DS$3)+1)/($BB12-$BA12+1),SUMPRODUCT((YEAR($AC$2:$AX$2)=YEAR(DS$3))*(MONTH($AC$2:$AX$2)=MONTH(DS$3))*$AC12:$AX12))</f>
        <v>0</v>
      </c>
      <c r="DT12" s="164" t="n">
        <f aca="false">IF(AND($BA12&gt;0,$BB12&gt;=$BA12),$AA12*MAX(0,MIN($BB12,EOMONTH(DT$3,0))-MAX($BA12,DT$3)+1)/($BB12-$BA12+1),SUMPRODUCT((YEAR($AC$2:$AX$2)=YEAR(DT$3))*(MONTH($AC$2:$AX$2)=MONTH(DT$3))*$AC12:$AX12))</f>
        <v>0</v>
      </c>
      <c r="DU12" s="164" t="n">
        <f aca="false">IF(AND($BA12&gt;0,$BB12&gt;=$BA12),$AA12*MAX(0,MIN($BB12,EOMONTH(DU$3,0))-MAX($BA12,DU$3)+1)/($BB12-$BA12+1),SUMPRODUCT((YEAR($AC$2:$AX$2)=YEAR(DU$3))*(MONTH($AC$2:$AX$2)=MONTH(DU$3))*$AC12:$AX12))</f>
        <v>0</v>
      </c>
      <c r="DV12" s="164" t="n">
        <f aca="false">IF(AND($BA12&gt;0,$BB12&gt;=$BA12),$AA12*MAX(0,MIN($BB12,EOMONTH(DV$3,0))-MAX($BA12,DV$3)+1)/($BB12-$BA12+1),SUMPRODUCT((YEAR($AC$2:$AX$2)=YEAR(DV$3))*(MONTH($AC$2:$AX$2)=MONTH(DV$3))*$AC12:$AX12))</f>
        <v>0</v>
      </c>
      <c r="DW12" s="164" t="n">
        <f aca="false">IF(AND($BA12&gt;0,$BB12&gt;=$BA12),$AA12*MAX(0,MIN($BB12,EOMONTH(DW$3,0))-MAX($BA12,DW$3)+1)/($BB12-$BA12+1),SUMPRODUCT((YEAR($AC$2:$AX$2)=YEAR(DW$3))*(MONTH($AC$2:$AX$2)=MONTH(DW$3))*$AC12:$AX12))</f>
        <v>0</v>
      </c>
    </row>
    <row r="13" customFormat="false" ht="15" hidden="false" customHeight="false" outlineLevel="0" collapsed="false">
      <c r="H13" s="150" t="s">
        <v>2971</v>
      </c>
      <c r="J13" s="152" t="n">
        <v>700.6245</v>
      </c>
      <c r="K13" s="152" t="n">
        <v>242.8</v>
      </c>
      <c r="L13" s="152" t="n">
        <v>1353.789475</v>
      </c>
      <c r="O13" s="152" t="n">
        <v>18519.25</v>
      </c>
      <c r="P13" s="152" t="n">
        <v>700.6245</v>
      </c>
      <c r="S13" s="149" t="n">
        <f aca="false">K13*($D$58+$D$57)</f>
        <v>155203.7086</v>
      </c>
      <c r="T13" s="149" t="n">
        <f aca="false">L13*$D$47</f>
        <v>180460.1370175</v>
      </c>
      <c r="V13" s="149" t="n">
        <f aca="false">O13*($D$54)</f>
        <v>107653.3262125</v>
      </c>
      <c r="W13" s="149" t="n">
        <f aca="false">O13*($D$49)</f>
        <v>51761.30375</v>
      </c>
      <c r="Y13" s="149" t="n">
        <f aca="false">SUM(P13:Q13)*($D$50+$D$52)</f>
        <v>9521.592048675</v>
      </c>
      <c r="AA13" s="149" t="n">
        <f aca="false">SUM(S13:Y13)</f>
        <v>504600.067628675</v>
      </c>
      <c r="AR13" s="149" t="n">
        <f aca="false">AA13</f>
        <v>504600.067628675</v>
      </c>
      <c r="AZ13" s="162" t="s">
        <v>2833</v>
      </c>
      <c r="BA13" s="163" t="n">
        <f aca="false">IF(AZ13="",0,SUMPRODUCT(('CRONOGRAMA ATIVIDADES'!$C$5:$C$6004="ESTRUTURA")*('CRONOGRAMA ATIVIDADES'!$E$5:$E$6004=AZ13)*('CRONOGRAMA ATIVIDADES'!$D$5:$D$6004="-")*'CRONOGRAMA ATIVIDADES'!$F$5:$F$6004))</f>
        <v>46640</v>
      </c>
      <c r="BB13" s="163" t="n">
        <f aca="false">IF(AZ13="",0,SUMPRODUCT(('CRONOGRAMA ATIVIDADES'!$C$5:$C$6004="ESTRUTURA")*('CRONOGRAMA ATIVIDADES'!$E$5:$E$6004=AZ13)*('CRONOGRAMA ATIVIDADES'!$D$5:$D$6004="-")*'CRONOGRAMA ATIVIDADES'!$G$5:$G$6004))</f>
        <v>46652</v>
      </c>
      <c r="BD13" s="164" t="n">
        <f aca="false">IF(AND($BA13&gt;0,$BB13&gt;=$BA13),$AA13*MAX(0,MIN($BB13,EOMONTH(BD$3,0))-MAX($BA13,BD$3)+1)/($BB13-$BA13+1),SUMPRODUCT((YEAR($AC$2:$AX$2)=YEAR(BD$3))*(MONTH($AC$2:$AX$2)=MONTH(BD$3))*$AC13:$AX13))</f>
        <v>0</v>
      </c>
      <c r="BE13" s="164" t="n">
        <f aca="false">IF(AND($BA13&gt;0,$BB13&gt;=$BA13),$AA13*MAX(0,MIN($BB13,EOMONTH(BE$3,0))-MAX($BA13,BE$3)+1)/($BB13-$BA13+1),SUMPRODUCT((YEAR($AC$2:$AX$2)=YEAR(BE$3))*(MONTH($AC$2:$AX$2)=MONTH(BE$3))*$AC13:$AX13))</f>
        <v>0</v>
      </c>
      <c r="BF13" s="164" t="n">
        <f aca="false">IF(AND($BA13&gt;0,$BB13&gt;=$BA13),$AA13*MAX(0,MIN($BB13,EOMONTH(BF$3,0))-MAX($BA13,BF$3)+1)/($BB13-$BA13+1),SUMPRODUCT((YEAR($AC$2:$AX$2)=YEAR(BF$3))*(MONTH($AC$2:$AX$2)=MONTH(BF$3))*$AC13:$AX13))</f>
        <v>0</v>
      </c>
      <c r="BG13" s="164" t="n">
        <f aca="false">IF(AND($BA13&gt;0,$BB13&gt;=$BA13),$AA13*MAX(0,MIN($BB13,EOMONTH(BG$3,0))-MAX($BA13,BG$3)+1)/($BB13-$BA13+1),SUMPRODUCT((YEAR($AC$2:$AX$2)=YEAR(BG$3))*(MONTH($AC$2:$AX$2)=MONTH(BG$3))*$AC13:$AX13))</f>
        <v>0</v>
      </c>
      <c r="BH13" s="164" t="n">
        <f aca="false">IF(AND($BA13&gt;0,$BB13&gt;=$BA13),$AA13*MAX(0,MIN($BB13,EOMONTH(BH$3,0))-MAX($BA13,BH$3)+1)/($BB13-$BA13+1),SUMPRODUCT((YEAR($AC$2:$AX$2)=YEAR(BH$3))*(MONTH($AC$2:$AX$2)=MONTH(BH$3))*$AC13:$AX13))</f>
        <v>0</v>
      </c>
      <c r="BI13" s="164" t="n">
        <f aca="false">IF(AND($BA13&gt;0,$BB13&gt;=$BA13),$AA13*MAX(0,MIN($BB13,EOMONTH(BI$3,0))-MAX($BA13,BI$3)+1)/($BB13-$BA13+1),SUMPRODUCT((YEAR($AC$2:$AX$2)=YEAR(BI$3))*(MONTH($AC$2:$AX$2)=MONTH(BI$3))*$AC13:$AX13))</f>
        <v>0</v>
      </c>
      <c r="BJ13" s="164" t="n">
        <f aca="false">IF(AND($BA13&gt;0,$BB13&gt;=$BA13),$AA13*MAX(0,MIN($BB13,EOMONTH(BJ$3,0))-MAX($BA13,BJ$3)+1)/($BB13-$BA13+1),SUMPRODUCT((YEAR($AC$2:$AX$2)=YEAR(BJ$3))*(MONTH($AC$2:$AX$2)=MONTH(BJ$3))*$AC13:$AX13))</f>
        <v>0</v>
      </c>
      <c r="BK13" s="164" t="n">
        <f aca="false">IF(AND($BA13&gt;0,$BB13&gt;=$BA13),$AA13*MAX(0,MIN($BB13,EOMONTH(BK$3,0))-MAX($BA13,BK$3)+1)/($BB13-$BA13+1),SUMPRODUCT((YEAR($AC$2:$AX$2)=YEAR(BK$3))*(MONTH($AC$2:$AX$2)=MONTH(BK$3))*$AC13:$AX13))</f>
        <v>0</v>
      </c>
      <c r="BL13" s="164" t="n">
        <f aca="false">IF(AND($BA13&gt;0,$BB13&gt;=$BA13),$AA13*MAX(0,MIN($BB13,EOMONTH(BL$3,0))-MAX($BA13,BL$3)+1)/($BB13-$BA13+1),SUMPRODUCT((YEAR($AC$2:$AX$2)=YEAR(BL$3))*(MONTH($AC$2:$AX$2)=MONTH(BL$3))*$AC13:$AX13))</f>
        <v>0</v>
      </c>
      <c r="BM13" s="164" t="n">
        <f aca="false">IF(AND($BA13&gt;0,$BB13&gt;=$BA13),$AA13*MAX(0,MIN($BB13,EOMONTH(BM$3,0))-MAX($BA13,BM$3)+1)/($BB13-$BA13+1),SUMPRODUCT((YEAR($AC$2:$AX$2)=YEAR(BM$3))*(MONTH($AC$2:$AX$2)=MONTH(BM$3))*$AC13:$AX13))</f>
        <v>0</v>
      </c>
      <c r="BN13" s="164" t="n">
        <f aca="false">IF(AND($BA13&gt;0,$BB13&gt;=$BA13),$AA13*MAX(0,MIN($BB13,EOMONTH(BN$3,0))-MAX($BA13,BN$3)+1)/($BB13-$BA13+1),SUMPRODUCT((YEAR($AC$2:$AX$2)=YEAR(BN$3))*(MONTH($AC$2:$AX$2)=MONTH(BN$3))*$AC13:$AX13))</f>
        <v>0</v>
      </c>
      <c r="BO13" s="164" t="n">
        <f aca="false">IF(AND($BA13&gt;0,$BB13&gt;=$BA13),$AA13*MAX(0,MIN($BB13,EOMONTH(BO$3,0))-MAX($BA13,BO$3)+1)/($BB13-$BA13+1),SUMPRODUCT((YEAR($AC$2:$AX$2)=YEAR(BO$3))*(MONTH($AC$2:$AX$2)=MONTH(BO$3))*$AC13:$AX13))</f>
        <v>0</v>
      </c>
      <c r="BP13" s="164" t="n">
        <f aca="false">IF(AND($BA13&gt;0,$BB13&gt;=$BA13),$AA13*MAX(0,MIN($BB13,EOMONTH(BP$3,0))-MAX($BA13,BP$3)+1)/($BB13-$BA13+1),SUMPRODUCT((YEAR($AC$2:$AX$2)=YEAR(BP$3))*(MONTH($AC$2:$AX$2)=MONTH(BP$3))*$AC13:$AX13))</f>
        <v>0</v>
      </c>
      <c r="BQ13" s="164" t="n">
        <f aca="false">IF(AND($BA13&gt;0,$BB13&gt;=$BA13),$AA13*MAX(0,MIN($BB13,EOMONTH(BQ$3,0))-MAX($BA13,BQ$3)+1)/($BB13-$BA13+1),SUMPRODUCT((YEAR($AC$2:$AX$2)=YEAR(BQ$3))*(MONTH($AC$2:$AX$2)=MONTH(BQ$3))*$AC13:$AX13))</f>
        <v>0</v>
      </c>
      <c r="BR13" s="164" t="n">
        <f aca="false">IF(AND($BA13&gt;0,$BB13&gt;=$BA13),$AA13*MAX(0,MIN($BB13,EOMONTH(BR$3,0))-MAX($BA13,BR$3)+1)/($BB13-$BA13+1),SUMPRODUCT((YEAR($AC$2:$AX$2)=YEAR(BR$3))*(MONTH($AC$2:$AX$2)=MONTH(BR$3))*$AC13:$AX13))</f>
        <v>0</v>
      </c>
      <c r="BS13" s="164" t="n">
        <f aca="false">IF(AND($BA13&gt;0,$BB13&gt;=$BA13),$AA13*MAX(0,MIN($BB13,EOMONTH(BS$3,0))-MAX($BA13,BS$3)+1)/($BB13-$BA13+1),SUMPRODUCT((YEAR($AC$2:$AX$2)=YEAR(BS$3))*(MONTH($AC$2:$AX$2)=MONTH(BS$3))*$AC13:$AX13))</f>
        <v>0</v>
      </c>
      <c r="BT13" s="164" t="n">
        <f aca="false">IF(AND($BA13&gt;0,$BB13&gt;=$BA13),$AA13*MAX(0,MIN($BB13,EOMONTH(BT$3,0))-MAX($BA13,BT$3)+1)/($BB13-$BA13+1),SUMPRODUCT((YEAR($AC$2:$AX$2)=YEAR(BT$3))*(MONTH($AC$2:$AX$2)=MONTH(BT$3))*$AC13:$AX13))</f>
        <v>0</v>
      </c>
      <c r="BU13" s="164" t="n">
        <f aca="false">IF(AND($BA13&gt;0,$BB13&gt;=$BA13),$AA13*MAX(0,MIN($BB13,EOMONTH(BU$3,0))-MAX($BA13,BU$3)+1)/($BB13-$BA13+1),SUMPRODUCT((YEAR($AC$2:$AX$2)=YEAR(BU$3))*(MONTH($AC$2:$AX$2)=MONTH(BU$3))*$AC13:$AX13))</f>
        <v>0</v>
      </c>
      <c r="BV13" s="164" t="n">
        <f aca="false">IF(AND($BA13&gt;0,$BB13&gt;=$BA13),$AA13*MAX(0,MIN($BB13,EOMONTH(BV$3,0))-MAX($BA13,BV$3)+1)/($BB13-$BA13+1),SUMPRODUCT((YEAR($AC$2:$AX$2)=YEAR(BV$3))*(MONTH($AC$2:$AX$2)=MONTH(BV$3))*$AC13:$AX13))</f>
        <v>0</v>
      </c>
      <c r="BW13" s="164" t="n">
        <f aca="false">IF(AND($BA13&gt;0,$BB13&gt;=$BA13),$AA13*MAX(0,MIN($BB13,EOMONTH(BW$3,0))-MAX($BA13,BW$3)+1)/($BB13-$BA13+1),SUMPRODUCT((YEAR($AC$2:$AX$2)=YEAR(BW$3))*(MONTH($AC$2:$AX$2)=MONTH(BW$3))*$AC13:$AX13))</f>
        <v>0</v>
      </c>
      <c r="BX13" s="164" t="n">
        <f aca="false">IF(AND($BA13&gt;0,$BB13&gt;=$BA13),$AA13*MAX(0,MIN($BB13,EOMONTH(BX$3,0))-MAX($BA13,BX$3)+1)/($BB13-$BA13+1),SUMPRODUCT((YEAR($AC$2:$AX$2)=YEAR(BX$3))*(MONTH($AC$2:$AX$2)=MONTH(BX$3))*$AC13:$AX13))</f>
        <v>0</v>
      </c>
      <c r="BY13" s="164" t="n">
        <f aca="false">IF(AND($BA13&gt;0,$BB13&gt;=$BA13),$AA13*MAX(0,MIN($BB13,EOMONTH(BY$3,0))-MAX($BA13,BY$3)+1)/($BB13-$BA13+1),SUMPRODUCT((YEAR($AC$2:$AX$2)=YEAR(BY$3))*(MONTH($AC$2:$AX$2)=MONTH(BY$3))*$AC13:$AX13))</f>
        <v>0</v>
      </c>
      <c r="BZ13" s="164" t="n">
        <f aca="false">IF(AND($BA13&gt;0,$BB13&gt;=$BA13),$AA13*MAX(0,MIN($BB13,EOMONTH(BZ$3,0))-MAX($BA13,BZ$3)+1)/($BB13-$BA13+1),SUMPRODUCT((YEAR($AC$2:$AX$2)=YEAR(BZ$3))*(MONTH($AC$2:$AX$2)=MONTH(BZ$3))*$AC13:$AX13))</f>
        <v>0</v>
      </c>
      <c r="CA13" s="164" t="n">
        <f aca="false">IF(AND($BA13&gt;0,$BB13&gt;=$BA13),$AA13*MAX(0,MIN($BB13,EOMONTH(CA$3,0))-MAX($BA13,CA$3)+1)/($BB13-$BA13+1),SUMPRODUCT((YEAR($AC$2:$AX$2)=YEAR(CA$3))*(MONTH($AC$2:$AX$2)=MONTH(CA$3))*$AC13:$AX13))</f>
        <v>0</v>
      </c>
      <c r="CB13" s="164" t="n">
        <f aca="false">IF(AND($BA13&gt;0,$BB13&gt;=$BA13),$AA13*MAX(0,MIN($BB13,EOMONTH(CB$3,0))-MAX($BA13,CB$3)+1)/($BB13-$BA13+1),SUMPRODUCT((YEAR($AC$2:$AX$2)=YEAR(CB$3))*(MONTH($AC$2:$AX$2)=MONTH(CB$3))*$AC13:$AX13))</f>
        <v>0</v>
      </c>
      <c r="CC13" s="164" t="n">
        <f aca="false">IF(AND($BA13&gt;0,$BB13&gt;=$BA13),$AA13*MAX(0,MIN($BB13,EOMONTH(CC$3,0))-MAX($BA13,CC$3)+1)/($BB13-$BA13+1),SUMPRODUCT((YEAR($AC$2:$AX$2)=YEAR(CC$3))*(MONTH($AC$2:$AX$2)=MONTH(CC$3))*$AC13:$AX13))</f>
        <v>0</v>
      </c>
      <c r="CD13" s="164" t="n">
        <f aca="false">IF(AND($BA13&gt;0,$BB13&gt;=$BA13),$AA13*MAX(0,MIN($BB13,EOMONTH(CD$3,0))-MAX($BA13,CD$3)+1)/($BB13-$BA13+1),SUMPRODUCT((YEAR($AC$2:$AX$2)=YEAR(CD$3))*(MONTH($AC$2:$AX$2)=MONTH(CD$3))*$AC13:$AX13))</f>
        <v>0</v>
      </c>
      <c r="CE13" s="164" t="n">
        <f aca="false">IF(AND($BA13&gt;0,$BB13&gt;=$BA13),$AA13*MAX(0,MIN($BB13,EOMONTH(CE$3,0))-MAX($BA13,CE$3)+1)/($BB13-$BA13+1),SUMPRODUCT((YEAR($AC$2:$AX$2)=YEAR(CE$3))*(MONTH($AC$2:$AX$2)=MONTH(CE$3))*$AC13:$AX13))</f>
        <v>0</v>
      </c>
      <c r="CF13" s="164" t="n">
        <f aca="false">IF(AND($BA13&gt;0,$BB13&gt;=$BA13),$AA13*MAX(0,MIN($BB13,EOMONTH(CF$3,0))-MAX($BA13,CF$3)+1)/($BB13-$BA13+1),SUMPRODUCT((YEAR($AC$2:$AX$2)=YEAR(CF$3))*(MONTH($AC$2:$AX$2)=MONTH(CF$3))*$AC13:$AX13))</f>
        <v>0</v>
      </c>
      <c r="CG13" s="164" t="n">
        <f aca="false">IF(AND($BA13&gt;0,$BB13&gt;=$BA13),$AA13*MAX(0,MIN($BB13,EOMONTH(CG$3,0))-MAX($BA13,CG$3)+1)/($BB13-$BA13+1),SUMPRODUCT((YEAR($AC$2:$AX$2)=YEAR(CG$3))*(MONTH($AC$2:$AX$2)=MONTH(CG$3))*$AC13:$AX13))</f>
        <v>0</v>
      </c>
      <c r="CH13" s="164" t="n">
        <f aca="false">IF(AND($BA13&gt;0,$BB13&gt;=$BA13),$AA13*MAX(0,MIN($BB13,EOMONTH(CH$3,0))-MAX($BA13,CH$3)+1)/($BB13-$BA13+1),SUMPRODUCT((YEAR($AC$2:$AX$2)=YEAR(CH$3))*(MONTH($AC$2:$AX$2)=MONTH(CH$3))*$AC13:$AX13))</f>
        <v>0</v>
      </c>
      <c r="CI13" s="164" t="n">
        <f aca="false">IF(AND($BA13&gt;0,$BB13&gt;=$BA13),$AA13*MAX(0,MIN($BB13,EOMONTH(CI$3,0))-MAX($BA13,CI$3)+1)/($BB13-$BA13+1),SUMPRODUCT((YEAR($AC$2:$AX$2)=YEAR(CI$3))*(MONTH($AC$2:$AX$2)=MONTH(CI$3))*$AC13:$AX13))</f>
        <v>0</v>
      </c>
      <c r="CJ13" s="164" t="n">
        <f aca="false">IF(AND($BA13&gt;0,$BB13&gt;=$BA13),$AA13*MAX(0,MIN($BB13,EOMONTH(CJ$3,0))-MAX($BA13,CJ$3)+1)/($BB13-$BA13+1),SUMPRODUCT((YEAR($AC$2:$AX$2)=YEAR(CJ$3))*(MONTH($AC$2:$AX$2)=MONTH(CJ$3))*$AC13:$AX13))</f>
        <v>0</v>
      </c>
      <c r="CK13" s="164" t="n">
        <f aca="false">IF(AND($BA13&gt;0,$BB13&gt;=$BA13),$AA13*MAX(0,MIN($BB13,EOMONTH(CK$3,0))-MAX($BA13,CK$3)+1)/($BB13-$BA13+1),SUMPRODUCT((YEAR($AC$2:$AX$2)=YEAR(CK$3))*(MONTH($AC$2:$AX$2)=MONTH(CK$3))*$AC13:$AX13))</f>
        <v>504600.067628675</v>
      </c>
      <c r="CL13" s="164" t="n">
        <f aca="false">IF(AND($BA13&gt;0,$BB13&gt;=$BA13),$AA13*MAX(0,MIN($BB13,EOMONTH(CL$3,0))-MAX($BA13,CL$3)+1)/($BB13-$BA13+1),SUMPRODUCT((YEAR($AC$2:$AX$2)=YEAR(CL$3))*(MONTH($AC$2:$AX$2)=MONTH(CL$3))*$AC13:$AX13))</f>
        <v>0</v>
      </c>
      <c r="CM13" s="164" t="n">
        <f aca="false">IF(AND($BA13&gt;0,$BB13&gt;=$BA13),$AA13*MAX(0,MIN($BB13,EOMONTH(CM$3,0))-MAX($BA13,CM$3)+1)/($BB13-$BA13+1),SUMPRODUCT((YEAR($AC$2:$AX$2)=YEAR(CM$3))*(MONTH($AC$2:$AX$2)=MONTH(CM$3))*$AC13:$AX13))</f>
        <v>0</v>
      </c>
      <c r="CN13" s="164" t="n">
        <f aca="false">IF(AND($BA13&gt;0,$BB13&gt;=$BA13),$AA13*MAX(0,MIN($BB13,EOMONTH(CN$3,0))-MAX($BA13,CN$3)+1)/($BB13-$BA13+1),SUMPRODUCT((YEAR($AC$2:$AX$2)=YEAR(CN$3))*(MONTH($AC$2:$AX$2)=MONTH(CN$3))*$AC13:$AX13))</f>
        <v>0</v>
      </c>
      <c r="CO13" s="164" t="n">
        <f aca="false">IF(AND($BA13&gt;0,$BB13&gt;=$BA13),$AA13*MAX(0,MIN($BB13,EOMONTH(CO$3,0))-MAX($BA13,CO$3)+1)/($BB13-$BA13+1),SUMPRODUCT((YEAR($AC$2:$AX$2)=YEAR(CO$3))*(MONTH($AC$2:$AX$2)=MONTH(CO$3))*$AC13:$AX13))</f>
        <v>0</v>
      </c>
      <c r="CP13" s="164" t="n">
        <f aca="false">IF(AND($BA13&gt;0,$BB13&gt;=$BA13),$AA13*MAX(0,MIN($BB13,EOMONTH(CP$3,0))-MAX($BA13,CP$3)+1)/($BB13-$BA13+1),SUMPRODUCT((YEAR($AC$2:$AX$2)=YEAR(CP$3))*(MONTH($AC$2:$AX$2)=MONTH(CP$3))*$AC13:$AX13))</f>
        <v>0</v>
      </c>
      <c r="CQ13" s="164" t="n">
        <f aca="false">IF(AND($BA13&gt;0,$BB13&gt;=$BA13),$AA13*MAX(0,MIN($BB13,EOMONTH(CQ$3,0))-MAX($BA13,CQ$3)+1)/($BB13-$BA13+1),SUMPRODUCT((YEAR($AC$2:$AX$2)=YEAR(CQ$3))*(MONTH($AC$2:$AX$2)=MONTH(CQ$3))*$AC13:$AX13))</f>
        <v>0</v>
      </c>
      <c r="CR13" s="164" t="n">
        <f aca="false">IF(AND($BA13&gt;0,$BB13&gt;=$BA13),$AA13*MAX(0,MIN($BB13,EOMONTH(CR$3,0))-MAX($BA13,CR$3)+1)/($BB13-$BA13+1),SUMPRODUCT((YEAR($AC$2:$AX$2)=YEAR(CR$3))*(MONTH($AC$2:$AX$2)=MONTH(CR$3))*$AC13:$AX13))</f>
        <v>0</v>
      </c>
      <c r="CS13" s="164" t="n">
        <f aca="false">IF(AND($BA13&gt;0,$BB13&gt;=$BA13),$AA13*MAX(0,MIN($BB13,EOMONTH(CS$3,0))-MAX($BA13,CS$3)+1)/($BB13-$BA13+1),SUMPRODUCT((YEAR($AC$2:$AX$2)=YEAR(CS$3))*(MONTH($AC$2:$AX$2)=MONTH(CS$3))*$AC13:$AX13))</f>
        <v>0</v>
      </c>
      <c r="CT13" s="164" t="n">
        <f aca="false">IF(AND($BA13&gt;0,$BB13&gt;=$BA13),$AA13*MAX(0,MIN($BB13,EOMONTH(CT$3,0))-MAX($BA13,CT$3)+1)/($BB13-$BA13+1),SUMPRODUCT((YEAR($AC$2:$AX$2)=YEAR(CT$3))*(MONTH($AC$2:$AX$2)=MONTH(CT$3))*$AC13:$AX13))</f>
        <v>0</v>
      </c>
      <c r="CU13" s="164" t="n">
        <f aca="false">IF(AND($BA13&gt;0,$BB13&gt;=$BA13),$AA13*MAX(0,MIN($BB13,EOMONTH(CU$3,0))-MAX($BA13,CU$3)+1)/($BB13-$BA13+1),SUMPRODUCT((YEAR($AC$2:$AX$2)=YEAR(CU$3))*(MONTH($AC$2:$AX$2)=MONTH(CU$3))*$AC13:$AX13))</f>
        <v>0</v>
      </c>
      <c r="CV13" s="164" t="n">
        <f aca="false">IF(AND($BA13&gt;0,$BB13&gt;=$BA13),$AA13*MAX(0,MIN($BB13,EOMONTH(CV$3,0))-MAX($BA13,CV$3)+1)/($BB13-$BA13+1),SUMPRODUCT((YEAR($AC$2:$AX$2)=YEAR(CV$3))*(MONTH($AC$2:$AX$2)=MONTH(CV$3))*$AC13:$AX13))</f>
        <v>0</v>
      </c>
      <c r="CW13" s="164" t="n">
        <f aca="false">IF(AND($BA13&gt;0,$BB13&gt;=$BA13),$AA13*MAX(0,MIN($BB13,EOMONTH(CW$3,0))-MAX($BA13,CW$3)+1)/($BB13-$BA13+1),SUMPRODUCT((YEAR($AC$2:$AX$2)=YEAR(CW$3))*(MONTH($AC$2:$AX$2)=MONTH(CW$3))*$AC13:$AX13))</f>
        <v>0</v>
      </c>
      <c r="CX13" s="164" t="n">
        <f aca="false">IF(AND($BA13&gt;0,$BB13&gt;=$BA13),$AA13*MAX(0,MIN($BB13,EOMONTH(CX$3,0))-MAX($BA13,CX$3)+1)/($BB13-$BA13+1),SUMPRODUCT((YEAR($AC$2:$AX$2)=YEAR(CX$3))*(MONTH($AC$2:$AX$2)=MONTH(CX$3))*$AC13:$AX13))</f>
        <v>0</v>
      </c>
      <c r="CY13" s="164" t="n">
        <f aca="false">IF(AND($BA13&gt;0,$BB13&gt;=$BA13),$AA13*MAX(0,MIN($BB13,EOMONTH(CY$3,0))-MAX($BA13,CY$3)+1)/($BB13-$BA13+1),SUMPRODUCT((YEAR($AC$2:$AX$2)=YEAR(CY$3))*(MONTH($AC$2:$AX$2)=MONTH(CY$3))*$AC13:$AX13))</f>
        <v>0</v>
      </c>
      <c r="CZ13" s="164" t="n">
        <f aca="false">IF(AND($BA13&gt;0,$BB13&gt;=$BA13),$AA13*MAX(0,MIN($BB13,EOMONTH(CZ$3,0))-MAX($BA13,CZ$3)+1)/($BB13-$BA13+1),SUMPRODUCT((YEAR($AC$2:$AX$2)=YEAR(CZ$3))*(MONTH($AC$2:$AX$2)=MONTH(CZ$3))*$AC13:$AX13))</f>
        <v>0</v>
      </c>
      <c r="DA13" s="164" t="n">
        <f aca="false">IF(AND($BA13&gt;0,$BB13&gt;=$BA13),$AA13*MAX(0,MIN($BB13,EOMONTH(DA$3,0))-MAX($BA13,DA$3)+1)/($BB13-$BA13+1),SUMPRODUCT((YEAR($AC$2:$AX$2)=YEAR(DA$3))*(MONTH($AC$2:$AX$2)=MONTH(DA$3))*$AC13:$AX13))</f>
        <v>0</v>
      </c>
      <c r="DB13" s="164" t="n">
        <f aca="false">IF(AND($BA13&gt;0,$BB13&gt;=$BA13),$AA13*MAX(0,MIN($BB13,EOMONTH(DB$3,0))-MAX($BA13,DB$3)+1)/($BB13-$BA13+1),SUMPRODUCT((YEAR($AC$2:$AX$2)=YEAR(DB$3))*(MONTH($AC$2:$AX$2)=MONTH(DB$3))*$AC13:$AX13))</f>
        <v>0</v>
      </c>
      <c r="DC13" s="164" t="n">
        <f aca="false">IF(AND($BA13&gt;0,$BB13&gt;=$BA13),$AA13*MAX(0,MIN($BB13,EOMONTH(DC$3,0))-MAX($BA13,DC$3)+1)/($BB13-$BA13+1),SUMPRODUCT((YEAR($AC$2:$AX$2)=YEAR(DC$3))*(MONTH($AC$2:$AX$2)=MONTH(DC$3))*$AC13:$AX13))</f>
        <v>0</v>
      </c>
      <c r="DD13" s="164" t="n">
        <f aca="false">IF(AND($BA13&gt;0,$BB13&gt;=$BA13),$AA13*MAX(0,MIN($BB13,EOMONTH(DD$3,0))-MAX($BA13,DD$3)+1)/($BB13-$BA13+1),SUMPRODUCT((YEAR($AC$2:$AX$2)=YEAR(DD$3))*(MONTH($AC$2:$AX$2)=MONTH(DD$3))*$AC13:$AX13))</f>
        <v>0</v>
      </c>
      <c r="DE13" s="164" t="n">
        <f aca="false">IF(AND($BA13&gt;0,$BB13&gt;=$BA13),$AA13*MAX(0,MIN($BB13,EOMONTH(DE$3,0))-MAX($BA13,DE$3)+1)/($BB13-$BA13+1),SUMPRODUCT((YEAR($AC$2:$AX$2)=YEAR(DE$3))*(MONTH($AC$2:$AX$2)=MONTH(DE$3))*$AC13:$AX13))</f>
        <v>0</v>
      </c>
      <c r="DF13" s="164" t="n">
        <f aca="false">IF(AND($BA13&gt;0,$BB13&gt;=$BA13),$AA13*MAX(0,MIN($BB13,EOMONTH(DF$3,0))-MAX($BA13,DF$3)+1)/($BB13-$BA13+1),SUMPRODUCT((YEAR($AC$2:$AX$2)=YEAR(DF$3))*(MONTH($AC$2:$AX$2)=MONTH(DF$3))*$AC13:$AX13))</f>
        <v>0</v>
      </c>
      <c r="DG13" s="164" t="n">
        <f aca="false">IF(AND($BA13&gt;0,$BB13&gt;=$BA13),$AA13*MAX(0,MIN($BB13,EOMONTH(DG$3,0))-MAX($BA13,DG$3)+1)/($BB13-$BA13+1),SUMPRODUCT((YEAR($AC$2:$AX$2)=YEAR(DG$3))*(MONTH($AC$2:$AX$2)=MONTH(DG$3))*$AC13:$AX13))</f>
        <v>0</v>
      </c>
      <c r="DH13" s="164" t="n">
        <f aca="false">IF(AND($BA13&gt;0,$BB13&gt;=$BA13),$AA13*MAX(0,MIN($BB13,EOMONTH(DH$3,0))-MAX($BA13,DH$3)+1)/($BB13-$BA13+1),SUMPRODUCT((YEAR($AC$2:$AX$2)=YEAR(DH$3))*(MONTH($AC$2:$AX$2)=MONTH(DH$3))*$AC13:$AX13))</f>
        <v>0</v>
      </c>
      <c r="DI13" s="164" t="n">
        <f aca="false">IF(AND($BA13&gt;0,$BB13&gt;=$BA13),$AA13*MAX(0,MIN($BB13,EOMONTH(DI$3,0))-MAX($BA13,DI$3)+1)/($BB13-$BA13+1),SUMPRODUCT((YEAR($AC$2:$AX$2)=YEAR(DI$3))*(MONTH($AC$2:$AX$2)=MONTH(DI$3))*$AC13:$AX13))</f>
        <v>0</v>
      </c>
      <c r="DJ13" s="164" t="n">
        <f aca="false">IF(AND($BA13&gt;0,$BB13&gt;=$BA13),$AA13*MAX(0,MIN($BB13,EOMONTH(DJ$3,0))-MAX($BA13,DJ$3)+1)/($BB13-$BA13+1),SUMPRODUCT((YEAR($AC$2:$AX$2)=YEAR(DJ$3))*(MONTH($AC$2:$AX$2)=MONTH(DJ$3))*$AC13:$AX13))</f>
        <v>0</v>
      </c>
      <c r="DK13" s="164" t="n">
        <f aca="false">IF(AND($BA13&gt;0,$BB13&gt;=$BA13),$AA13*MAX(0,MIN($BB13,EOMONTH(DK$3,0))-MAX($BA13,DK$3)+1)/($BB13-$BA13+1),SUMPRODUCT((YEAR($AC$2:$AX$2)=YEAR(DK$3))*(MONTH($AC$2:$AX$2)=MONTH(DK$3))*$AC13:$AX13))</f>
        <v>0</v>
      </c>
      <c r="DL13" s="164" t="n">
        <f aca="false">IF(AND($BA13&gt;0,$BB13&gt;=$BA13),$AA13*MAX(0,MIN($BB13,EOMONTH(DL$3,0))-MAX($BA13,DL$3)+1)/($BB13-$BA13+1),SUMPRODUCT((YEAR($AC$2:$AX$2)=YEAR(DL$3))*(MONTH($AC$2:$AX$2)=MONTH(DL$3))*$AC13:$AX13))</f>
        <v>0</v>
      </c>
      <c r="DM13" s="164" t="n">
        <f aca="false">IF(AND($BA13&gt;0,$BB13&gt;=$BA13),$AA13*MAX(0,MIN($BB13,EOMONTH(DM$3,0))-MAX($BA13,DM$3)+1)/($BB13-$BA13+1),SUMPRODUCT((YEAR($AC$2:$AX$2)=YEAR(DM$3))*(MONTH($AC$2:$AX$2)=MONTH(DM$3))*$AC13:$AX13))</f>
        <v>0</v>
      </c>
      <c r="DN13" s="164" t="n">
        <f aca="false">IF(AND($BA13&gt;0,$BB13&gt;=$BA13),$AA13*MAX(0,MIN($BB13,EOMONTH(DN$3,0))-MAX($BA13,DN$3)+1)/($BB13-$BA13+1),SUMPRODUCT((YEAR($AC$2:$AX$2)=YEAR(DN$3))*(MONTH($AC$2:$AX$2)=MONTH(DN$3))*$AC13:$AX13))</f>
        <v>0</v>
      </c>
      <c r="DO13" s="164" t="n">
        <f aca="false">IF(AND($BA13&gt;0,$BB13&gt;=$BA13),$AA13*MAX(0,MIN($BB13,EOMONTH(DO$3,0))-MAX($BA13,DO$3)+1)/($BB13-$BA13+1),SUMPRODUCT((YEAR($AC$2:$AX$2)=YEAR(DO$3))*(MONTH($AC$2:$AX$2)=MONTH(DO$3))*$AC13:$AX13))</f>
        <v>0</v>
      </c>
      <c r="DP13" s="164" t="n">
        <f aca="false">IF(AND($BA13&gt;0,$BB13&gt;=$BA13),$AA13*MAX(0,MIN($BB13,EOMONTH(DP$3,0))-MAX($BA13,DP$3)+1)/($BB13-$BA13+1),SUMPRODUCT((YEAR($AC$2:$AX$2)=YEAR(DP$3))*(MONTH($AC$2:$AX$2)=MONTH(DP$3))*$AC13:$AX13))</f>
        <v>0</v>
      </c>
      <c r="DQ13" s="164" t="n">
        <f aca="false">IF(AND($BA13&gt;0,$BB13&gt;=$BA13),$AA13*MAX(0,MIN($BB13,EOMONTH(DQ$3,0))-MAX($BA13,DQ$3)+1)/($BB13-$BA13+1),SUMPRODUCT((YEAR($AC$2:$AX$2)=YEAR(DQ$3))*(MONTH($AC$2:$AX$2)=MONTH(DQ$3))*$AC13:$AX13))</f>
        <v>0</v>
      </c>
      <c r="DR13" s="164" t="n">
        <f aca="false">IF(AND($BA13&gt;0,$BB13&gt;=$BA13),$AA13*MAX(0,MIN($BB13,EOMONTH(DR$3,0))-MAX($BA13,DR$3)+1)/($BB13-$BA13+1),SUMPRODUCT((YEAR($AC$2:$AX$2)=YEAR(DR$3))*(MONTH($AC$2:$AX$2)=MONTH(DR$3))*$AC13:$AX13))</f>
        <v>0</v>
      </c>
      <c r="DS13" s="164" t="n">
        <f aca="false">IF(AND($BA13&gt;0,$BB13&gt;=$BA13),$AA13*MAX(0,MIN($BB13,EOMONTH(DS$3,0))-MAX($BA13,DS$3)+1)/($BB13-$BA13+1),SUMPRODUCT((YEAR($AC$2:$AX$2)=YEAR(DS$3))*(MONTH($AC$2:$AX$2)=MONTH(DS$3))*$AC13:$AX13))</f>
        <v>0</v>
      </c>
      <c r="DT13" s="164" t="n">
        <f aca="false">IF(AND($BA13&gt;0,$BB13&gt;=$BA13),$AA13*MAX(0,MIN($BB13,EOMONTH(DT$3,0))-MAX($BA13,DT$3)+1)/($BB13-$BA13+1),SUMPRODUCT((YEAR($AC$2:$AX$2)=YEAR(DT$3))*(MONTH($AC$2:$AX$2)=MONTH(DT$3))*$AC13:$AX13))</f>
        <v>0</v>
      </c>
      <c r="DU13" s="164" t="n">
        <f aca="false">IF(AND($BA13&gt;0,$BB13&gt;=$BA13),$AA13*MAX(0,MIN($BB13,EOMONTH(DU$3,0))-MAX($BA13,DU$3)+1)/($BB13-$BA13+1),SUMPRODUCT((YEAR($AC$2:$AX$2)=YEAR(DU$3))*(MONTH($AC$2:$AX$2)=MONTH(DU$3))*$AC13:$AX13))</f>
        <v>0</v>
      </c>
      <c r="DV13" s="164" t="n">
        <f aca="false">IF(AND($BA13&gt;0,$BB13&gt;=$BA13),$AA13*MAX(0,MIN($BB13,EOMONTH(DV$3,0))-MAX($BA13,DV$3)+1)/($BB13-$BA13+1),SUMPRODUCT((YEAR($AC$2:$AX$2)=YEAR(DV$3))*(MONTH($AC$2:$AX$2)=MONTH(DV$3))*$AC13:$AX13))</f>
        <v>0</v>
      </c>
      <c r="DW13" s="164" t="n">
        <f aca="false">IF(AND($BA13&gt;0,$BB13&gt;=$BA13),$AA13*MAX(0,MIN($BB13,EOMONTH(DW$3,0))-MAX($BA13,DW$3)+1)/($BB13-$BA13+1),SUMPRODUCT((YEAR($AC$2:$AX$2)=YEAR(DW$3))*(MONTH($AC$2:$AX$2)=MONTH(DW$3))*$AC13:$AX13))</f>
        <v>0</v>
      </c>
    </row>
    <row r="14" customFormat="false" ht="15" hidden="false" customHeight="false" outlineLevel="0" collapsed="false">
      <c r="H14" s="150" t="s">
        <v>2972</v>
      </c>
      <c r="J14" s="152" t="n">
        <v>700.6245</v>
      </c>
      <c r="K14" s="152" t="n">
        <v>242.8</v>
      </c>
      <c r="L14" s="152" t="n">
        <v>1353.789475</v>
      </c>
      <c r="O14" s="152" t="n">
        <v>18519.25</v>
      </c>
      <c r="P14" s="152" t="n">
        <v>700.6245</v>
      </c>
      <c r="S14" s="149" t="n">
        <f aca="false">K14*($D$58+$D$57)</f>
        <v>155203.7086</v>
      </c>
      <c r="T14" s="149" t="n">
        <f aca="false">L14*$D$47</f>
        <v>180460.1370175</v>
      </c>
      <c r="V14" s="149" t="n">
        <f aca="false">O14*($D$54)</f>
        <v>107653.3262125</v>
      </c>
      <c r="W14" s="149" t="n">
        <f aca="false">O14*($D$49)</f>
        <v>51761.30375</v>
      </c>
      <c r="Y14" s="149" t="n">
        <f aca="false">SUM(P14:Q14)*($D$50+$D$52)</f>
        <v>9521.592048675</v>
      </c>
      <c r="AA14" s="149" t="n">
        <f aca="false">SUM(S14:Y14)</f>
        <v>504600.067628675</v>
      </c>
      <c r="AR14" s="149" t="n">
        <f aca="false">AA14</f>
        <v>504600.067628675</v>
      </c>
      <c r="AZ14" s="162" t="s">
        <v>2831</v>
      </c>
      <c r="BA14" s="163" t="n">
        <f aca="false">IF(AZ14="",0,SUMPRODUCT(('CRONOGRAMA ATIVIDADES'!$C$5:$C$6004="ESTRUTURA")*('CRONOGRAMA ATIVIDADES'!$E$5:$E$6004=AZ14)*('CRONOGRAMA ATIVIDADES'!$D$5:$D$6004="-")*'CRONOGRAMA ATIVIDADES'!$F$5:$F$6004))</f>
        <v>46626</v>
      </c>
      <c r="BB14" s="163" t="n">
        <f aca="false">IF(AZ14="",0,SUMPRODUCT(('CRONOGRAMA ATIVIDADES'!$C$5:$C$6004="ESTRUTURA")*('CRONOGRAMA ATIVIDADES'!$E$5:$E$6004=AZ14)*('CRONOGRAMA ATIVIDADES'!$D$5:$D$6004="-")*'CRONOGRAMA ATIVIDADES'!$G$5:$G$6004))</f>
        <v>46639</v>
      </c>
      <c r="BD14" s="164" t="n">
        <f aca="false">IF(AND($BA14&gt;0,$BB14&gt;=$BA14),$AA14*MAX(0,MIN($BB14,EOMONTH(BD$3,0))-MAX($BA14,BD$3)+1)/($BB14-$BA14+1),SUMPRODUCT((YEAR($AC$2:$AX$2)=YEAR(BD$3))*(MONTH($AC$2:$AX$2)=MONTH(BD$3))*$AC14:$AX14))</f>
        <v>0</v>
      </c>
      <c r="BE14" s="164" t="n">
        <f aca="false">IF(AND($BA14&gt;0,$BB14&gt;=$BA14),$AA14*MAX(0,MIN($BB14,EOMONTH(BE$3,0))-MAX($BA14,BE$3)+1)/($BB14-$BA14+1),SUMPRODUCT((YEAR($AC$2:$AX$2)=YEAR(BE$3))*(MONTH($AC$2:$AX$2)=MONTH(BE$3))*$AC14:$AX14))</f>
        <v>0</v>
      </c>
      <c r="BF14" s="164" t="n">
        <f aca="false">IF(AND($BA14&gt;0,$BB14&gt;=$BA14),$AA14*MAX(0,MIN($BB14,EOMONTH(BF$3,0))-MAX($BA14,BF$3)+1)/($BB14-$BA14+1),SUMPRODUCT((YEAR($AC$2:$AX$2)=YEAR(BF$3))*(MONTH($AC$2:$AX$2)=MONTH(BF$3))*$AC14:$AX14))</f>
        <v>0</v>
      </c>
      <c r="BG14" s="164" t="n">
        <f aca="false">IF(AND($BA14&gt;0,$BB14&gt;=$BA14),$AA14*MAX(0,MIN($BB14,EOMONTH(BG$3,0))-MAX($BA14,BG$3)+1)/($BB14-$BA14+1),SUMPRODUCT((YEAR($AC$2:$AX$2)=YEAR(BG$3))*(MONTH($AC$2:$AX$2)=MONTH(BG$3))*$AC14:$AX14))</f>
        <v>0</v>
      </c>
      <c r="BH14" s="164" t="n">
        <f aca="false">IF(AND($BA14&gt;0,$BB14&gt;=$BA14),$AA14*MAX(0,MIN($BB14,EOMONTH(BH$3,0))-MAX($BA14,BH$3)+1)/($BB14-$BA14+1),SUMPRODUCT((YEAR($AC$2:$AX$2)=YEAR(BH$3))*(MONTH($AC$2:$AX$2)=MONTH(BH$3))*$AC14:$AX14))</f>
        <v>0</v>
      </c>
      <c r="BI14" s="164" t="n">
        <f aca="false">IF(AND($BA14&gt;0,$BB14&gt;=$BA14),$AA14*MAX(0,MIN($BB14,EOMONTH(BI$3,0))-MAX($BA14,BI$3)+1)/($BB14-$BA14+1),SUMPRODUCT((YEAR($AC$2:$AX$2)=YEAR(BI$3))*(MONTH($AC$2:$AX$2)=MONTH(BI$3))*$AC14:$AX14))</f>
        <v>0</v>
      </c>
      <c r="BJ14" s="164" t="n">
        <f aca="false">IF(AND($BA14&gt;0,$BB14&gt;=$BA14),$AA14*MAX(0,MIN($BB14,EOMONTH(BJ$3,0))-MAX($BA14,BJ$3)+1)/($BB14-$BA14+1),SUMPRODUCT((YEAR($AC$2:$AX$2)=YEAR(BJ$3))*(MONTH($AC$2:$AX$2)=MONTH(BJ$3))*$AC14:$AX14))</f>
        <v>0</v>
      </c>
      <c r="BK14" s="164" t="n">
        <f aca="false">IF(AND($BA14&gt;0,$BB14&gt;=$BA14),$AA14*MAX(0,MIN($BB14,EOMONTH(BK$3,0))-MAX($BA14,BK$3)+1)/($BB14-$BA14+1),SUMPRODUCT((YEAR($AC$2:$AX$2)=YEAR(BK$3))*(MONTH($AC$2:$AX$2)=MONTH(BK$3))*$AC14:$AX14))</f>
        <v>0</v>
      </c>
      <c r="BL14" s="164" t="n">
        <f aca="false">IF(AND($BA14&gt;0,$BB14&gt;=$BA14),$AA14*MAX(0,MIN($BB14,EOMONTH(BL$3,0))-MAX($BA14,BL$3)+1)/($BB14-$BA14+1),SUMPRODUCT((YEAR($AC$2:$AX$2)=YEAR(BL$3))*(MONTH($AC$2:$AX$2)=MONTH(BL$3))*$AC14:$AX14))</f>
        <v>0</v>
      </c>
      <c r="BM14" s="164" t="n">
        <f aca="false">IF(AND($BA14&gt;0,$BB14&gt;=$BA14),$AA14*MAX(0,MIN($BB14,EOMONTH(BM$3,0))-MAX($BA14,BM$3)+1)/($BB14-$BA14+1),SUMPRODUCT((YEAR($AC$2:$AX$2)=YEAR(BM$3))*(MONTH($AC$2:$AX$2)=MONTH(BM$3))*$AC14:$AX14))</f>
        <v>0</v>
      </c>
      <c r="BN14" s="164" t="n">
        <f aca="false">IF(AND($BA14&gt;0,$BB14&gt;=$BA14),$AA14*MAX(0,MIN($BB14,EOMONTH(BN$3,0))-MAX($BA14,BN$3)+1)/($BB14-$BA14+1),SUMPRODUCT((YEAR($AC$2:$AX$2)=YEAR(BN$3))*(MONTH($AC$2:$AX$2)=MONTH(BN$3))*$AC14:$AX14))</f>
        <v>0</v>
      </c>
      <c r="BO14" s="164" t="n">
        <f aca="false">IF(AND($BA14&gt;0,$BB14&gt;=$BA14),$AA14*MAX(0,MIN($BB14,EOMONTH(BO$3,0))-MAX($BA14,BO$3)+1)/($BB14-$BA14+1),SUMPRODUCT((YEAR($AC$2:$AX$2)=YEAR(BO$3))*(MONTH($AC$2:$AX$2)=MONTH(BO$3))*$AC14:$AX14))</f>
        <v>0</v>
      </c>
      <c r="BP14" s="164" t="n">
        <f aca="false">IF(AND($BA14&gt;0,$BB14&gt;=$BA14),$AA14*MAX(0,MIN($BB14,EOMONTH(BP$3,0))-MAX($BA14,BP$3)+1)/($BB14-$BA14+1),SUMPRODUCT((YEAR($AC$2:$AX$2)=YEAR(BP$3))*(MONTH($AC$2:$AX$2)=MONTH(BP$3))*$AC14:$AX14))</f>
        <v>0</v>
      </c>
      <c r="BQ14" s="164" t="n">
        <f aca="false">IF(AND($BA14&gt;0,$BB14&gt;=$BA14),$AA14*MAX(0,MIN($BB14,EOMONTH(BQ$3,0))-MAX($BA14,BQ$3)+1)/($BB14-$BA14+1),SUMPRODUCT((YEAR($AC$2:$AX$2)=YEAR(BQ$3))*(MONTH($AC$2:$AX$2)=MONTH(BQ$3))*$AC14:$AX14))</f>
        <v>0</v>
      </c>
      <c r="BR14" s="164" t="n">
        <f aca="false">IF(AND($BA14&gt;0,$BB14&gt;=$BA14),$AA14*MAX(0,MIN($BB14,EOMONTH(BR$3,0))-MAX($BA14,BR$3)+1)/($BB14-$BA14+1),SUMPRODUCT((YEAR($AC$2:$AX$2)=YEAR(BR$3))*(MONTH($AC$2:$AX$2)=MONTH(BR$3))*$AC14:$AX14))</f>
        <v>0</v>
      </c>
      <c r="BS14" s="164" t="n">
        <f aca="false">IF(AND($BA14&gt;0,$BB14&gt;=$BA14),$AA14*MAX(0,MIN($BB14,EOMONTH(BS$3,0))-MAX($BA14,BS$3)+1)/($BB14-$BA14+1),SUMPRODUCT((YEAR($AC$2:$AX$2)=YEAR(BS$3))*(MONTH($AC$2:$AX$2)=MONTH(BS$3))*$AC14:$AX14))</f>
        <v>0</v>
      </c>
      <c r="BT14" s="164" t="n">
        <f aca="false">IF(AND($BA14&gt;0,$BB14&gt;=$BA14),$AA14*MAX(0,MIN($BB14,EOMONTH(BT$3,0))-MAX($BA14,BT$3)+1)/($BB14-$BA14+1),SUMPRODUCT((YEAR($AC$2:$AX$2)=YEAR(BT$3))*(MONTH($AC$2:$AX$2)=MONTH(BT$3))*$AC14:$AX14))</f>
        <v>0</v>
      </c>
      <c r="BU14" s="164" t="n">
        <f aca="false">IF(AND($BA14&gt;0,$BB14&gt;=$BA14),$AA14*MAX(0,MIN($BB14,EOMONTH(BU$3,0))-MAX($BA14,BU$3)+1)/($BB14-$BA14+1),SUMPRODUCT((YEAR($AC$2:$AX$2)=YEAR(BU$3))*(MONTH($AC$2:$AX$2)=MONTH(BU$3))*$AC14:$AX14))</f>
        <v>0</v>
      </c>
      <c r="BV14" s="164" t="n">
        <f aca="false">IF(AND($BA14&gt;0,$BB14&gt;=$BA14),$AA14*MAX(0,MIN($BB14,EOMONTH(BV$3,0))-MAX($BA14,BV$3)+1)/($BB14-$BA14+1),SUMPRODUCT((YEAR($AC$2:$AX$2)=YEAR(BV$3))*(MONTH($AC$2:$AX$2)=MONTH(BV$3))*$AC14:$AX14))</f>
        <v>0</v>
      </c>
      <c r="BW14" s="164" t="n">
        <f aca="false">IF(AND($BA14&gt;0,$BB14&gt;=$BA14),$AA14*MAX(0,MIN($BB14,EOMONTH(BW$3,0))-MAX($BA14,BW$3)+1)/($BB14-$BA14+1),SUMPRODUCT((YEAR($AC$2:$AX$2)=YEAR(BW$3))*(MONTH($AC$2:$AX$2)=MONTH(BW$3))*$AC14:$AX14))</f>
        <v>0</v>
      </c>
      <c r="BX14" s="164" t="n">
        <f aca="false">IF(AND($BA14&gt;0,$BB14&gt;=$BA14),$AA14*MAX(0,MIN($BB14,EOMONTH(BX$3,0))-MAX($BA14,BX$3)+1)/($BB14-$BA14+1),SUMPRODUCT((YEAR($AC$2:$AX$2)=YEAR(BX$3))*(MONTH($AC$2:$AX$2)=MONTH(BX$3))*$AC14:$AX14))</f>
        <v>0</v>
      </c>
      <c r="BY14" s="164" t="n">
        <f aca="false">IF(AND($BA14&gt;0,$BB14&gt;=$BA14),$AA14*MAX(0,MIN($BB14,EOMONTH(BY$3,0))-MAX($BA14,BY$3)+1)/($BB14-$BA14+1),SUMPRODUCT((YEAR($AC$2:$AX$2)=YEAR(BY$3))*(MONTH($AC$2:$AX$2)=MONTH(BY$3))*$AC14:$AX14))</f>
        <v>0</v>
      </c>
      <c r="BZ14" s="164" t="n">
        <f aca="false">IF(AND($BA14&gt;0,$BB14&gt;=$BA14),$AA14*MAX(0,MIN($BB14,EOMONTH(BZ$3,0))-MAX($BA14,BZ$3)+1)/($BB14-$BA14+1),SUMPRODUCT((YEAR($AC$2:$AX$2)=YEAR(BZ$3))*(MONTH($AC$2:$AX$2)=MONTH(BZ$3))*$AC14:$AX14))</f>
        <v>0</v>
      </c>
      <c r="CA14" s="164" t="n">
        <f aca="false">IF(AND($BA14&gt;0,$BB14&gt;=$BA14),$AA14*MAX(0,MIN($BB14,EOMONTH(CA$3,0))-MAX($BA14,CA$3)+1)/($BB14-$BA14+1),SUMPRODUCT((YEAR($AC$2:$AX$2)=YEAR(CA$3))*(MONTH($AC$2:$AX$2)=MONTH(CA$3))*$AC14:$AX14))</f>
        <v>0</v>
      </c>
      <c r="CB14" s="164" t="n">
        <f aca="false">IF(AND($BA14&gt;0,$BB14&gt;=$BA14),$AA14*MAX(0,MIN($BB14,EOMONTH(CB$3,0))-MAX($BA14,CB$3)+1)/($BB14-$BA14+1),SUMPRODUCT((YEAR($AC$2:$AX$2)=YEAR(CB$3))*(MONTH($AC$2:$AX$2)=MONTH(CB$3))*$AC14:$AX14))</f>
        <v>0</v>
      </c>
      <c r="CC14" s="164" t="n">
        <f aca="false">IF(AND($BA14&gt;0,$BB14&gt;=$BA14),$AA14*MAX(0,MIN($BB14,EOMONTH(CC$3,0))-MAX($BA14,CC$3)+1)/($BB14-$BA14+1),SUMPRODUCT((YEAR($AC$2:$AX$2)=YEAR(CC$3))*(MONTH($AC$2:$AX$2)=MONTH(CC$3))*$AC14:$AX14))</f>
        <v>0</v>
      </c>
      <c r="CD14" s="164" t="n">
        <f aca="false">IF(AND($BA14&gt;0,$BB14&gt;=$BA14),$AA14*MAX(0,MIN($BB14,EOMONTH(CD$3,0))-MAX($BA14,CD$3)+1)/($BB14-$BA14+1),SUMPRODUCT((YEAR($AC$2:$AX$2)=YEAR(CD$3))*(MONTH($AC$2:$AX$2)=MONTH(CD$3))*$AC14:$AX14))</f>
        <v>0</v>
      </c>
      <c r="CE14" s="164" t="n">
        <f aca="false">IF(AND($BA14&gt;0,$BB14&gt;=$BA14),$AA14*MAX(0,MIN($BB14,EOMONTH(CE$3,0))-MAX($BA14,CE$3)+1)/($BB14-$BA14+1),SUMPRODUCT((YEAR($AC$2:$AX$2)=YEAR(CE$3))*(MONTH($AC$2:$AX$2)=MONTH(CE$3))*$AC14:$AX14))</f>
        <v>0</v>
      </c>
      <c r="CF14" s="164" t="n">
        <f aca="false">IF(AND($BA14&gt;0,$BB14&gt;=$BA14),$AA14*MAX(0,MIN($BB14,EOMONTH(CF$3,0))-MAX($BA14,CF$3)+1)/($BB14-$BA14+1),SUMPRODUCT((YEAR($AC$2:$AX$2)=YEAR(CF$3))*(MONTH($AC$2:$AX$2)=MONTH(CF$3))*$AC14:$AX14))</f>
        <v>0</v>
      </c>
      <c r="CG14" s="164" t="n">
        <f aca="false">IF(AND($BA14&gt;0,$BB14&gt;=$BA14),$AA14*MAX(0,MIN($BB14,EOMONTH(CG$3,0))-MAX($BA14,CG$3)+1)/($BB14-$BA14+1),SUMPRODUCT((YEAR($AC$2:$AX$2)=YEAR(CG$3))*(MONTH($AC$2:$AX$2)=MONTH(CG$3))*$AC14:$AX14))</f>
        <v>0</v>
      </c>
      <c r="CH14" s="164" t="n">
        <f aca="false">IF(AND($BA14&gt;0,$BB14&gt;=$BA14),$AA14*MAX(0,MIN($BB14,EOMONTH(CH$3,0))-MAX($BA14,CH$3)+1)/($BB14-$BA14+1),SUMPRODUCT((YEAR($AC$2:$AX$2)=YEAR(CH$3))*(MONTH($AC$2:$AX$2)=MONTH(CH$3))*$AC14:$AX14))</f>
        <v>0</v>
      </c>
      <c r="CI14" s="164" t="n">
        <f aca="false">IF(AND($BA14&gt;0,$BB14&gt;=$BA14),$AA14*MAX(0,MIN($BB14,EOMONTH(CI$3,0))-MAX($BA14,CI$3)+1)/($BB14-$BA14+1),SUMPRODUCT((YEAR($AC$2:$AX$2)=YEAR(CI$3))*(MONTH($AC$2:$AX$2)=MONTH(CI$3))*$AC14:$AX14))</f>
        <v>0</v>
      </c>
      <c r="CJ14" s="164" t="n">
        <f aca="false">IF(AND($BA14&gt;0,$BB14&gt;=$BA14),$AA14*MAX(0,MIN($BB14,EOMONTH(CJ$3,0))-MAX($BA14,CJ$3)+1)/($BB14-$BA14+1),SUMPRODUCT((YEAR($AC$2:$AX$2)=YEAR(CJ$3))*(MONTH($AC$2:$AX$2)=MONTH(CJ$3))*$AC14:$AX14))</f>
        <v>180214.309867384</v>
      </c>
      <c r="CK14" s="164" t="n">
        <f aca="false">IF(AND($BA14&gt;0,$BB14&gt;=$BA14),$AA14*MAX(0,MIN($BB14,EOMONTH(CK$3,0))-MAX($BA14,CK$3)+1)/($BB14-$BA14+1),SUMPRODUCT((YEAR($AC$2:$AX$2)=YEAR(CK$3))*(MONTH($AC$2:$AX$2)=MONTH(CK$3))*$AC14:$AX14))</f>
        <v>324385.757761291</v>
      </c>
      <c r="CL14" s="164" t="n">
        <f aca="false">IF(AND($BA14&gt;0,$BB14&gt;=$BA14),$AA14*MAX(0,MIN($BB14,EOMONTH(CL$3,0))-MAX($BA14,CL$3)+1)/($BB14-$BA14+1),SUMPRODUCT((YEAR($AC$2:$AX$2)=YEAR(CL$3))*(MONTH($AC$2:$AX$2)=MONTH(CL$3))*$AC14:$AX14))</f>
        <v>0</v>
      </c>
      <c r="CM14" s="164" t="n">
        <f aca="false">IF(AND($BA14&gt;0,$BB14&gt;=$BA14),$AA14*MAX(0,MIN($BB14,EOMONTH(CM$3,0))-MAX($BA14,CM$3)+1)/($BB14-$BA14+1),SUMPRODUCT((YEAR($AC$2:$AX$2)=YEAR(CM$3))*(MONTH($AC$2:$AX$2)=MONTH(CM$3))*$AC14:$AX14))</f>
        <v>0</v>
      </c>
      <c r="CN14" s="164" t="n">
        <f aca="false">IF(AND($BA14&gt;0,$BB14&gt;=$BA14),$AA14*MAX(0,MIN($BB14,EOMONTH(CN$3,0))-MAX($BA14,CN$3)+1)/($BB14-$BA14+1),SUMPRODUCT((YEAR($AC$2:$AX$2)=YEAR(CN$3))*(MONTH($AC$2:$AX$2)=MONTH(CN$3))*$AC14:$AX14))</f>
        <v>0</v>
      </c>
      <c r="CO14" s="164" t="n">
        <f aca="false">IF(AND($BA14&gt;0,$BB14&gt;=$BA14),$AA14*MAX(0,MIN($BB14,EOMONTH(CO$3,0))-MAX($BA14,CO$3)+1)/($BB14-$BA14+1),SUMPRODUCT((YEAR($AC$2:$AX$2)=YEAR(CO$3))*(MONTH($AC$2:$AX$2)=MONTH(CO$3))*$AC14:$AX14))</f>
        <v>0</v>
      </c>
      <c r="CP14" s="164" t="n">
        <f aca="false">IF(AND($BA14&gt;0,$BB14&gt;=$BA14),$AA14*MAX(0,MIN($BB14,EOMONTH(CP$3,0))-MAX($BA14,CP$3)+1)/($BB14-$BA14+1),SUMPRODUCT((YEAR($AC$2:$AX$2)=YEAR(CP$3))*(MONTH($AC$2:$AX$2)=MONTH(CP$3))*$AC14:$AX14))</f>
        <v>0</v>
      </c>
      <c r="CQ14" s="164" t="n">
        <f aca="false">IF(AND($BA14&gt;0,$BB14&gt;=$BA14),$AA14*MAX(0,MIN($BB14,EOMONTH(CQ$3,0))-MAX($BA14,CQ$3)+1)/($BB14-$BA14+1),SUMPRODUCT((YEAR($AC$2:$AX$2)=YEAR(CQ$3))*(MONTH($AC$2:$AX$2)=MONTH(CQ$3))*$AC14:$AX14))</f>
        <v>0</v>
      </c>
      <c r="CR14" s="164" t="n">
        <f aca="false">IF(AND($BA14&gt;0,$BB14&gt;=$BA14),$AA14*MAX(0,MIN($BB14,EOMONTH(CR$3,0))-MAX($BA14,CR$3)+1)/($BB14-$BA14+1),SUMPRODUCT((YEAR($AC$2:$AX$2)=YEAR(CR$3))*(MONTH($AC$2:$AX$2)=MONTH(CR$3))*$AC14:$AX14))</f>
        <v>0</v>
      </c>
      <c r="CS14" s="164" t="n">
        <f aca="false">IF(AND($BA14&gt;0,$BB14&gt;=$BA14),$AA14*MAX(0,MIN($BB14,EOMONTH(CS$3,0))-MAX($BA14,CS$3)+1)/($BB14-$BA14+1),SUMPRODUCT((YEAR($AC$2:$AX$2)=YEAR(CS$3))*(MONTH($AC$2:$AX$2)=MONTH(CS$3))*$AC14:$AX14))</f>
        <v>0</v>
      </c>
      <c r="CT14" s="164" t="n">
        <f aca="false">IF(AND($BA14&gt;0,$BB14&gt;=$BA14),$AA14*MAX(0,MIN($BB14,EOMONTH(CT$3,0))-MAX($BA14,CT$3)+1)/($BB14-$BA14+1),SUMPRODUCT((YEAR($AC$2:$AX$2)=YEAR(CT$3))*(MONTH($AC$2:$AX$2)=MONTH(CT$3))*$AC14:$AX14))</f>
        <v>0</v>
      </c>
      <c r="CU14" s="164" t="n">
        <f aca="false">IF(AND($BA14&gt;0,$BB14&gt;=$BA14),$AA14*MAX(0,MIN($BB14,EOMONTH(CU$3,0))-MAX($BA14,CU$3)+1)/($BB14-$BA14+1),SUMPRODUCT((YEAR($AC$2:$AX$2)=YEAR(CU$3))*(MONTH($AC$2:$AX$2)=MONTH(CU$3))*$AC14:$AX14))</f>
        <v>0</v>
      </c>
      <c r="CV14" s="164" t="n">
        <f aca="false">IF(AND($BA14&gt;0,$BB14&gt;=$BA14),$AA14*MAX(0,MIN($BB14,EOMONTH(CV$3,0))-MAX($BA14,CV$3)+1)/($BB14-$BA14+1),SUMPRODUCT((YEAR($AC$2:$AX$2)=YEAR(CV$3))*(MONTH($AC$2:$AX$2)=MONTH(CV$3))*$AC14:$AX14))</f>
        <v>0</v>
      </c>
      <c r="CW14" s="164" t="n">
        <f aca="false">IF(AND($BA14&gt;0,$BB14&gt;=$BA14),$AA14*MAX(0,MIN($BB14,EOMONTH(CW$3,0))-MAX($BA14,CW$3)+1)/($BB14-$BA14+1),SUMPRODUCT((YEAR($AC$2:$AX$2)=YEAR(CW$3))*(MONTH($AC$2:$AX$2)=MONTH(CW$3))*$AC14:$AX14))</f>
        <v>0</v>
      </c>
      <c r="CX14" s="164" t="n">
        <f aca="false">IF(AND($BA14&gt;0,$BB14&gt;=$BA14),$AA14*MAX(0,MIN($BB14,EOMONTH(CX$3,0))-MAX($BA14,CX$3)+1)/($BB14-$BA14+1),SUMPRODUCT((YEAR($AC$2:$AX$2)=YEAR(CX$3))*(MONTH($AC$2:$AX$2)=MONTH(CX$3))*$AC14:$AX14))</f>
        <v>0</v>
      </c>
      <c r="CY14" s="164" t="n">
        <f aca="false">IF(AND($BA14&gt;0,$BB14&gt;=$BA14),$AA14*MAX(0,MIN($BB14,EOMONTH(CY$3,0))-MAX($BA14,CY$3)+1)/($BB14-$BA14+1),SUMPRODUCT((YEAR($AC$2:$AX$2)=YEAR(CY$3))*(MONTH($AC$2:$AX$2)=MONTH(CY$3))*$AC14:$AX14))</f>
        <v>0</v>
      </c>
      <c r="CZ14" s="164" t="n">
        <f aca="false">IF(AND($BA14&gt;0,$BB14&gt;=$BA14),$AA14*MAX(0,MIN($BB14,EOMONTH(CZ$3,0))-MAX($BA14,CZ$3)+1)/($BB14-$BA14+1),SUMPRODUCT((YEAR($AC$2:$AX$2)=YEAR(CZ$3))*(MONTH($AC$2:$AX$2)=MONTH(CZ$3))*$AC14:$AX14))</f>
        <v>0</v>
      </c>
      <c r="DA14" s="164" t="n">
        <f aca="false">IF(AND($BA14&gt;0,$BB14&gt;=$BA14),$AA14*MAX(0,MIN($BB14,EOMONTH(DA$3,0))-MAX($BA14,DA$3)+1)/($BB14-$BA14+1),SUMPRODUCT((YEAR($AC$2:$AX$2)=YEAR(DA$3))*(MONTH($AC$2:$AX$2)=MONTH(DA$3))*$AC14:$AX14))</f>
        <v>0</v>
      </c>
      <c r="DB14" s="164" t="n">
        <f aca="false">IF(AND($BA14&gt;0,$BB14&gt;=$BA14),$AA14*MAX(0,MIN($BB14,EOMONTH(DB$3,0))-MAX($BA14,DB$3)+1)/($BB14-$BA14+1),SUMPRODUCT((YEAR($AC$2:$AX$2)=YEAR(DB$3))*(MONTH($AC$2:$AX$2)=MONTH(DB$3))*$AC14:$AX14))</f>
        <v>0</v>
      </c>
      <c r="DC14" s="164" t="n">
        <f aca="false">IF(AND($BA14&gt;0,$BB14&gt;=$BA14),$AA14*MAX(0,MIN($BB14,EOMONTH(DC$3,0))-MAX($BA14,DC$3)+1)/($BB14-$BA14+1),SUMPRODUCT((YEAR($AC$2:$AX$2)=YEAR(DC$3))*(MONTH($AC$2:$AX$2)=MONTH(DC$3))*$AC14:$AX14))</f>
        <v>0</v>
      </c>
      <c r="DD14" s="164" t="n">
        <f aca="false">IF(AND($BA14&gt;0,$BB14&gt;=$BA14),$AA14*MAX(0,MIN($BB14,EOMONTH(DD$3,0))-MAX($BA14,DD$3)+1)/($BB14-$BA14+1),SUMPRODUCT((YEAR($AC$2:$AX$2)=YEAR(DD$3))*(MONTH($AC$2:$AX$2)=MONTH(DD$3))*$AC14:$AX14))</f>
        <v>0</v>
      </c>
      <c r="DE14" s="164" t="n">
        <f aca="false">IF(AND($BA14&gt;0,$BB14&gt;=$BA14),$AA14*MAX(0,MIN($BB14,EOMONTH(DE$3,0))-MAX($BA14,DE$3)+1)/($BB14-$BA14+1),SUMPRODUCT((YEAR($AC$2:$AX$2)=YEAR(DE$3))*(MONTH($AC$2:$AX$2)=MONTH(DE$3))*$AC14:$AX14))</f>
        <v>0</v>
      </c>
      <c r="DF14" s="164" t="n">
        <f aca="false">IF(AND($BA14&gt;0,$BB14&gt;=$BA14),$AA14*MAX(0,MIN($BB14,EOMONTH(DF$3,0))-MAX($BA14,DF$3)+1)/($BB14-$BA14+1),SUMPRODUCT((YEAR($AC$2:$AX$2)=YEAR(DF$3))*(MONTH($AC$2:$AX$2)=MONTH(DF$3))*$AC14:$AX14))</f>
        <v>0</v>
      </c>
      <c r="DG14" s="164" t="n">
        <f aca="false">IF(AND($BA14&gt;0,$BB14&gt;=$BA14),$AA14*MAX(0,MIN($BB14,EOMONTH(DG$3,0))-MAX($BA14,DG$3)+1)/($BB14-$BA14+1),SUMPRODUCT((YEAR($AC$2:$AX$2)=YEAR(DG$3))*(MONTH($AC$2:$AX$2)=MONTH(DG$3))*$AC14:$AX14))</f>
        <v>0</v>
      </c>
      <c r="DH14" s="164" t="n">
        <f aca="false">IF(AND($BA14&gt;0,$BB14&gt;=$BA14),$AA14*MAX(0,MIN($BB14,EOMONTH(DH$3,0))-MAX($BA14,DH$3)+1)/($BB14-$BA14+1),SUMPRODUCT((YEAR($AC$2:$AX$2)=YEAR(DH$3))*(MONTH($AC$2:$AX$2)=MONTH(DH$3))*$AC14:$AX14))</f>
        <v>0</v>
      </c>
      <c r="DI14" s="164" t="n">
        <f aca="false">IF(AND($BA14&gt;0,$BB14&gt;=$BA14),$AA14*MAX(0,MIN($BB14,EOMONTH(DI$3,0))-MAX($BA14,DI$3)+1)/($BB14-$BA14+1),SUMPRODUCT((YEAR($AC$2:$AX$2)=YEAR(DI$3))*(MONTH($AC$2:$AX$2)=MONTH(DI$3))*$AC14:$AX14))</f>
        <v>0</v>
      </c>
      <c r="DJ14" s="164" t="n">
        <f aca="false">IF(AND($BA14&gt;0,$BB14&gt;=$BA14),$AA14*MAX(0,MIN($BB14,EOMONTH(DJ$3,0))-MAX($BA14,DJ$3)+1)/($BB14-$BA14+1),SUMPRODUCT((YEAR($AC$2:$AX$2)=YEAR(DJ$3))*(MONTH($AC$2:$AX$2)=MONTH(DJ$3))*$AC14:$AX14))</f>
        <v>0</v>
      </c>
      <c r="DK14" s="164" t="n">
        <f aca="false">IF(AND($BA14&gt;0,$BB14&gt;=$BA14),$AA14*MAX(0,MIN($BB14,EOMONTH(DK$3,0))-MAX($BA14,DK$3)+1)/($BB14-$BA14+1),SUMPRODUCT((YEAR($AC$2:$AX$2)=YEAR(DK$3))*(MONTH($AC$2:$AX$2)=MONTH(DK$3))*$AC14:$AX14))</f>
        <v>0</v>
      </c>
      <c r="DL14" s="164" t="n">
        <f aca="false">IF(AND($BA14&gt;0,$BB14&gt;=$BA14),$AA14*MAX(0,MIN($BB14,EOMONTH(DL$3,0))-MAX($BA14,DL$3)+1)/($BB14-$BA14+1),SUMPRODUCT((YEAR($AC$2:$AX$2)=YEAR(DL$3))*(MONTH($AC$2:$AX$2)=MONTH(DL$3))*$AC14:$AX14))</f>
        <v>0</v>
      </c>
      <c r="DM14" s="164" t="n">
        <f aca="false">IF(AND($BA14&gt;0,$BB14&gt;=$BA14),$AA14*MAX(0,MIN($BB14,EOMONTH(DM$3,0))-MAX($BA14,DM$3)+1)/($BB14-$BA14+1),SUMPRODUCT((YEAR($AC$2:$AX$2)=YEAR(DM$3))*(MONTH($AC$2:$AX$2)=MONTH(DM$3))*$AC14:$AX14))</f>
        <v>0</v>
      </c>
      <c r="DN14" s="164" t="n">
        <f aca="false">IF(AND($BA14&gt;0,$BB14&gt;=$BA14),$AA14*MAX(0,MIN($BB14,EOMONTH(DN$3,0))-MAX($BA14,DN$3)+1)/($BB14-$BA14+1),SUMPRODUCT((YEAR($AC$2:$AX$2)=YEAR(DN$3))*(MONTH($AC$2:$AX$2)=MONTH(DN$3))*$AC14:$AX14))</f>
        <v>0</v>
      </c>
      <c r="DO14" s="164" t="n">
        <f aca="false">IF(AND($BA14&gt;0,$BB14&gt;=$BA14),$AA14*MAX(0,MIN($BB14,EOMONTH(DO$3,0))-MAX($BA14,DO$3)+1)/($BB14-$BA14+1),SUMPRODUCT((YEAR($AC$2:$AX$2)=YEAR(DO$3))*(MONTH($AC$2:$AX$2)=MONTH(DO$3))*$AC14:$AX14))</f>
        <v>0</v>
      </c>
      <c r="DP14" s="164" t="n">
        <f aca="false">IF(AND($BA14&gt;0,$BB14&gt;=$BA14),$AA14*MAX(0,MIN($BB14,EOMONTH(DP$3,0))-MAX($BA14,DP$3)+1)/($BB14-$BA14+1),SUMPRODUCT((YEAR($AC$2:$AX$2)=YEAR(DP$3))*(MONTH($AC$2:$AX$2)=MONTH(DP$3))*$AC14:$AX14))</f>
        <v>0</v>
      </c>
      <c r="DQ14" s="164" t="n">
        <f aca="false">IF(AND($BA14&gt;0,$BB14&gt;=$BA14),$AA14*MAX(0,MIN($BB14,EOMONTH(DQ$3,0))-MAX($BA14,DQ$3)+1)/($BB14-$BA14+1),SUMPRODUCT((YEAR($AC$2:$AX$2)=YEAR(DQ$3))*(MONTH($AC$2:$AX$2)=MONTH(DQ$3))*$AC14:$AX14))</f>
        <v>0</v>
      </c>
      <c r="DR14" s="164" t="n">
        <f aca="false">IF(AND($BA14&gt;0,$BB14&gt;=$BA14),$AA14*MAX(0,MIN($BB14,EOMONTH(DR$3,0))-MAX($BA14,DR$3)+1)/($BB14-$BA14+1),SUMPRODUCT((YEAR($AC$2:$AX$2)=YEAR(DR$3))*(MONTH($AC$2:$AX$2)=MONTH(DR$3))*$AC14:$AX14))</f>
        <v>0</v>
      </c>
      <c r="DS14" s="164" t="n">
        <f aca="false">IF(AND($BA14&gt;0,$BB14&gt;=$BA14),$AA14*MAX(0,MIN($BB14,EOMONTH(DS$3,0))-MAX($BA14,DS$3)+1)/($BB14-$BA14+1),SUMPRODUCT((YEAR($AC$2:$AX$2)=YEAR(DS$3))*(MONTH($AC$2:$AX$2)=MONTH(DS$3))*$AC14:$AX14))</f>
        <v>0</v>
      </c>
      <c r="DT14" s="164" t="n">
        <f aca="false">IF(AND($BA14&gt;0,$BB14&gt;=$BA14),$AA14*MAX(0,MIN($BB14,EOMONTH(DT$3,0))-MAX($BA14,DT$3)+1)/($BB14-$BA14+1),SUMPRODUCT((YEAR($AC$2:$AX$2)=YEAR(DT$3))*(MONTH($AC$2:$AX$2)=MONTH(DT$3))*$AC14:$AX14))</f>
        <v>0</v>
      </c>
      <c r="DU14" s="164" t="n">
        <f aca="false">IF(AND($BA14&gt;0,$BB14&gt;=$BA14),$AA14*MAX(0,MIN($BB14,EOMONTH(DU$3,0))-MAX($BA14,DU$3)+1)/($BB14-$BA14+1),SUMPRODUCT((YEAR($AC$2:$AX$2)=YEAR(DU$3))*(MONTH($AC$2:$AX$2)=MONTH(DU$3))*$AC14:$AX14))</f>
        <v>0</v>
      </c>
      <c r="DV14" s="164" t="n">
        <f aca="false">IF(AND($BA14&gt;0,$BB14&gt;=$BA14),$AA14*MAX(0,MIN($BB14,EOMONTH(DV$3,0))-MAX($BA14,DV$3)+1)/($BB14-$BA14+1),SUMPRODUCT((YEAR($AC$2:$AX$2)=YEAR(DV$3))*(MONTH($AC$2:$AX$2)=MONTH(DV$3))*$AC14:$AX14))</f>
        <v>0</v>
      </c>
      <c r="DW14" s="164" t="n">
        <f aca="false">IF(AND($BA14&gt;0,$BB14&gt;=$BA14),$AA14*MAX(0,MIN($BB14,EOMONTH(DW$3,0))-MAX($BA14,DW$3)+1)/($BB14-$BA14+1),SUMPRODUCT((YEAR($AC$2:$AX$2)=YEAR(DW$3))*(MONTH($AC$2:$AX$2)=MONTH(DW$3))*$AC14:$AX14))</f>
        <v>0</v>
      </c>
    </row>
    <row r="15" customFormat="false" ht="15" hidden="false" customHeight="false" outlineLevel="0" collapsed="false">
      <c r="H15" s="150" t="s">
        <v>2973</v>
      </c>
      <c r="J15" s="152" t="n">
        <v>700.6245</v>
      </c>
      <c r="K15" s="152" t="n">
        <v>242.8</v>
      </c>
      <c r="L15" s="152" t="n">
        <v>1353.789475</v>
      </c>
      <c r="O15" s="152" t="n">
        <v>18612.25</v>
      </c>
      <c r="P15" s="152" t="n">
        <v>700.6245</v>
      </c>
      <c r="S15" s="149" t="n">
        <f aca="false">K15*($D$58+$D$57)</f>
        <v>155203.7086</v>
      </c>
      <c r="T15" s="149" t="n">
        <f aca="false">L15*$D$47</f>
        <v>180460.1370175</v>
      </c>
      <c r="V15" s="149" t="n">
        <f aca="false">O15*($D$54)</f>
        <v>108193.9398625</v>
      </c>
      <c r="W15" s="149" t="n">
        <f aca="false">O15*($D$49)</f>
        <v>52021.23875</v>
      </c>
      <c r="Y15" s="149" t="n">
        <f aca="false">SUM(P15:Q15)*($D$50+$D$52)</f>
        <v>9521.592048675</v>
      </c>
      <c r="AA15" s="149" t="n">
        <f aca="false">SUM(S15:Y15)</f>
        <v>505400.616278675</v>
      </c>
      <c r="AQ15" s="149" t="n">
        <f aca="false">AA15*0.5</f>
        <v>252700.308139337</v>
      </c>
      <c r="AR15" s="149" t="n">
        <f aca="false">AA15*0.5</f>
        <v>252700.308139337</v>
      </c>
      <c r="AZ15" s="162" t="s">
        <v>2829</v>
      </c>
      <c r="BA15" s="163" t="n">
        <f aca="false">IF(AZ15="",0,SUMPRODUCT(('CRONOGRAMA ATIVIDADES'!$C$5:$C$6004="ESTRUTURA")*('CRONOGRAMA ATIVIDADES'!$E$5:$E$6004=AZ15)*('CRONOGRAMA ATIVIDADES'!$D$5:$D$6004="-")*'CRONOGRAMA ATIVIDADES'!$F$5:$F$6004))</f>
        <v>46616</v>
      </c>
      <c r="BB15" s="163" t="n">
        <f aca="false">IF(AZ15="",0,SUMPRODUCT(('CRONOGRAMA ATIVIDADES'!$C$5:$C$6004="ESTRUTURA")*('CRONOGRAMA ATIVIDADES'!$E$5:$E$6004=AZ15)*('CRONOGRAMA ATIVIDADES'!$D$5:$D$6004="-")*'CRONOGRAMA ATIVIDADES'!$G$5:$G$6004))</f>
        <v>46625</v>
      </c>
      <c r="BD15" s="164" t="n">
        <f aca="false">IF(AND($BA15&gt;0,$BB15&gt;=$BA15),$AA15*MAX(0,MIN($BB15,EOMONTH(BD$3,0))-MAX($BA15,BD$3)+1)/($BB15-$BA15+1),SUMPRODUCT((YEAR($AC$2:$AX$2)=YEAR(BD$3))*(MONTH($AC$2:$AX$2)=MONTH(BD$3))*$AC15:$AX15))</f>
        <v>0</v>
      </c>
      <c r="BE15" s="164" t="n">
        <f aca="false">IF(AND($BA15&gt;0,$BB15&gt;=$BA15),$AA15*MAX(0,MIN($BB15,EOMONTH(BE$3,0))-MAX($BA15,BE$3)+1)/($BB15-$BA15+1),SUMPRODUCT((YEAR($AC$2:$AX$2)=YEAR(BE$3))*(MONTH($AC$2:$AX$2)=MONTH(BE$3))*$AC15:$AX15))</f>
        <v>0</v>
      </c>
      <c r="BF15" s="164" t="n">
        <f aca="false">IF(AND($BA15&gt;0,$BB15&gt;=$BA15),$AA15*MAX(0,MIN($BB15,EOMONTH(BF$3,0))-MAX($BA15,BF$3)+1)/($BB15-$BA15+1),SUMPRODUCT((YEAR($AC$2:$AX$2)=YEAR(BF$3))*(MONTH($AC$2:$AX$2)=MONTH(BF$3))*$AC15:$AX15))</f>
        <v>0</v>
      </c>
      <c r="BG15" s="164" t="n">
        <f aca="false">IF(AND($BA15&gt;0,$BB15&gt;=$BA15),$AA15*MAX(0,MIN($BB15,EOMONTH(BG$3,0))-MAX($BA15,BG$3)+1)/($BB15-$BA15+1),SUMPRODUCT((YEAR($AC$2:$AX$2)=YEAR(BG$3))*(MONTH($AC$2:$AX$2)=MONTH(BG$3))*$AC15:$AX15))</f>
        <v>0</v>
      </c>
      <c r="BH15" s="164" t="n">
        <f aca="false">IF(AND($BA15&gt;0,$BB15&gt;=$BA15),$AA15*MAX(0,MIN($BB15,EOMONTH(BH$3,0))-MAX($BA15,BH$3)+1)/($BB15-$BA15+1),SUMPRODUCT((YEAR($AC$2:$AX$2)=YEAR(BH$3))*(MONTH($AC$2:$AX$2)=MONTH(BH$3))*$AC15:$AX15))</f>
        <v>0</v>
      </c>
      <c r="BI15" s="164" t="n">
        <f aca="false">IF(AND($BA15&gt;0,$BB15&gt;=$BA15),$AA15*MAX(0,MIN($BB15,EOMONTH(BI$3,0))-MAX($BA15,BI$3)+1)/($BB15-$BA15+1),SUMPRODUCT((YEAR($AC$2:$AX$2)=YEAR(BI$3))*(MONTH($AC$2:$AX$2)=MONTH(BI$3))*$AC15:$AX15))</f>
        <v>0</v>
      </c>
      <c r="BJ15" s="164" t="n">
        <f aca="false">IF(AND($BA15&gt;0,$BB15&gt;=$BA15),$AA15*MAX(0,MIN($BB15,EOMONTH(BJ$3,0))-MAX($BA15,BJ$3)+1)/($BB15-$BA15+1),SUMPRODUCT((YEAR($AC$2:$AX$2)=YEAR(BJ$3))*(MONTH($AC$2:$AX$2)=MONTH(BJ$3))*$AC15:$AX15))</f>
        <v>0</v>
      </c>
      <c r="BK15" s="164" t="n">
        <f aca="false">IF(AND($BA15&gt;0,$BB15&gt;=$BA15),$AA15*MAX(0,MIN($BB15,EOMONTH(BK$3,0))-MAX($BA15,BK$3)+1)/($BB15-$BA15+1),SUMPRODUCT((YEAR($AC$2:$AX$2)=YEAR(BK$3))*(MONTH($AC$2:$AX$2)=MONTH(BK$3))*$AC15:$AX15))</f>
        <v>0</v>
      </c>
      <c r="BL15" s="164" t="n">
        <f aca="false">IF(AND($BA15&gt;0,$BB15&gt;=$BA15),$AA15*MAX(0,MIN($BB15,EOMONTH(BL$3,0))-MAX($BA15,BL$3)+1)/($BB15-$BA15+1),SUMPRODUCT((YEAR($AC$2:$AX$2)=YEAR(BL$3))*(MONTH($AC$2:$AX$2)=MONTH(BL$3))*$AC15:$AX15))</f>
        <v>0</v>
      </c>
      <c r="BM15" s="164" t="n">
        <f aca="false">IF(AND($BA15&gt;0,$BB15&gt;=$BA15),$AA15*MAX(0,MIN($BB15,EOMONTH(BM$3,0))-MAX($BA15,BM$3)+1)/($BB15-$BA15+1),SUMPRODUCT((YEAR($AC$2:$AX$2)=YEAR(BM$3))*(MONTH($AC$2:$AX$2)=MONTH(BM$3))*$AC15:$AX15))</f>
        <v>0</v>
      </c>
      <c r="BN15" s="164" t="n">
        <f aca="false">IF(AND($BA15&gt;0,$BB15&gt;=$BA15),$AA15*MAX(0,MIN($BB15,EOMONTH(BN$3,0))-MAX($BA15,BN$3)+1)/($BB15-$BA15+1),SUMPRODUCT((YEAR($AC$2:$AX$2)=YEAR(BN$3))*(MONTH($AC$2:$AX$2)=MONTH(BN$3))*$AC15:$AX15))</f>
        <v>0</v>
      </c>
      <c r="BO15" s="164" t="n">
        <f aca="false">IF(AND($BA15&gt;0,$BB15&gt;=$BA15),$AA15*MAX(0,MIN($BB15,EOMONTH(BO$3,0))-MAX($BA15,BO$3)+1)/($BB15-$BA15+1),SUMPRODUCT((YEAR($AC$2:$AX$2)=YEAR(BO$3))*(MONTH($AC$2:$AX$2)=MONTH(BO$3))*$AC15:$AX15))</f>
        <v>0</v>
      </c>
      <c r="BP15" s="164" t="n">
        <f aca="false">IF(AND($BA15&gt;0,$BB15&gt;=$BA15),$AA15*MAX(0,MIN($BB15,EOMONTH(BP$3,0))-MAX($BA15,BP$3)+1)/($BB15-$BA15+1),SUMPRODUCT((YEAR($AC$2:$AX$2)=YEAR(BP$3))*(MONTH($AC$2:$AX$2)=MONTH(BP$3))*$AC15:$AX15))</f>
        <v>0</v>
      </c>
      <c r="BQ15" s="164" t="n">
        <f aca="false">IF(AND($BA15&gt;0,$BB15&gt;=$BA15),$AA15*MAX(0,MIN($BB15,EOMONTH(BQ$3,0))-MAX($BA15,BQ$3)+1)/($BB15-$BA15+1),SUMPRODUCT((YEAR($AC$2:$AX$2)=YEAR(BQ$3))*(MONTH($AC$2:$AX$2)=MONTH(BQ$3))*$AC15:$AX15))</f>
        <v>0</v>
      </c>
      <c r="BR15" s="164" t="n">
        <f aca="false">IF(AND($BA15&gt;0,$BB15&gt;=$BA15),$AA15*MAX(0,MIN($BB15,EOMONTH(BR$3,0))-MAX($BA15,BR$3)+1)/($BB15-$BA15+1),SUMPRODUCT((YEAR($AC$2:$AX$2)=YEAR(BR$3))*(MONTH($AC$2:$AX$2)=MONTH(BR$3))*$AC15:$AX15))</f>
        <v>0</v>
      </c>
      <c r="BS15" s="164" t="n">
        <f aca="false">IF(AND($BA15&gt;0,$BB15&gt;=$BA15),$AA15*MAX(0,MIN($BB15,EOMONTH(BS$3,0))-MAX($BA15,BS$3)+1)/($BB15-$BA15+1),SUMPRODUCT((YEAR($AC$2:$AX$2)=YEAR(BS$3))*(MONTH($AC$2:$AX$2)=MONTH(BS$3))*$AC15:$AX15))</f>
        <v>0</v>
      </c>
      <c r="BT15" s="164" t="n">
        <f aca="false">IF(AND($BA15&gt;0,$BB15&gt;=$BA15),$AA15*MAX(0,MIN($BB15,EOMONTH(BT$3,0))-MAX($BA15,BT$3)+1)/($BB15-$BA15+1),SUMPRODUCT((YEAR($AC$2:$AX$2)=YEAR(BT$3))*(MONTH($AC$2:$AX$2)=MONTH(BT$3))*$AC15:$AX15))</f>
        <v>0</v>
      </c>
      <c r="BU15" s="164" t="n">
        <f aca="false">IF(AND($BA15&gt;0,$BB15&gt;=$BA15),$AA15*MAX(0,MIN($BB15,EOMONTH(BU$3,0))-MAX($BA15,BU$3)+1)/($BB15-$BA15+1),SUMPRODUCT((YEAR($AC$2:$AX$2)=YEAR(BU$3))*(MONTH($AC$2:$AX$2)=MONTH(BU$3))*$AC15:$AX15))</f>
        <v>0</v>
      </c>
      <c r="BV15" s="164" t="n">
        <f aca="false">IF(AND($BA15&gt;0,$BB15&gt;=$BA15),$AA15*MAX(0,MIN($BB15,EOMONTH(BV$3,0))-MAX($BA15,BV$3)+1)/($BB15-$BA15+1),SUMPRODUCT((YEAR($AC$2:$AX$2)=YEAR(BV$3))*(MONTH($AC$2:$AX$2)=MONTH(BV$3))*$AC15:$AX15))</f>
        <v>0</v>
      </c>
      <c r="BW15" s="164" t="n">
        <f aca="false">IF(AND($BA15&gt;0,$BB15&gt;=$BA15),$AA15*MAX(0,MIN($BB15,EOMONTH(BW$3,0))-MAX($BA15,BW$3)+1)/($BB15-$BA15+1),SUMPRODUCT((YEAR($AC$2:$AX$2)=YEAR(BW$3))*(MONTH($AC$2:$AX$2)=MONTH(BW$3))*$AC15:$AX15))</f>
        <v>0</v>
      </c>
      <c r="BX15" s="164" t="n">
        <f aca="false">IF(AND($BA15&gt;0,$BB15&gt;=$BA15),$AA15*MAX(0,MIN($BB15,EOMONTH(BX$3,0))-MAX($BA15,BX$3)+1)/($BB15-$BA15+1),SUMPRODUCT((YEAR($AC$2:$AX$2)=YEAR(BX$3))*(MONTH($AC$2:$AX$2)=MONTH(BX$3))*$AC15:$AX15))</f>
        <v>0</v>
      </c>
      <c r="BY15" s="164" t="n">
        <f aca="false">IF(AND($BA15&gt;0,$BB15&gt;=$BA15),$AA15*MAX(0,MIN($BB15,EOMONTH(BY$3,0))-MAX($BA15,BY$3)+1)/($BB15-$BA15+1),SUMPRODUCT((YEAR($AC$2:$AX$2)=YEAR(BY$3))*(MONTH($AC$2:$AX$2)=MONTH(BY$3))*$AC15:$AX15))</f>
        <v>0</v>
      </c>
      <c r="BZ15" s="164" t="n">
        <f aca="false">IF(AND($BA15&gt;0,$BB15&gt;=$BA15),$AA15*MAX(0,MIN($BB15,EOMONTH(BZ$3,0))-MAX($BA15,BZ$3)+1)/($BB15-$BA15+1),SUMPRODUCT((YEAR($AC$2:$AX$2)=YEAR(BZ$3))*(MONTH($AC$2:$AX$2)=MONTH(BZ$3))*$AC15:$AX15))</f>
        <v>0</v>
      </c>
      <c r="CA15" s="164" t="n">
        <f aca="false">IF(AND($BA15&gt;0,$BB15&gt;=$BA15),$AA15*MAX(0,MIN($BB15,EOMONTH(CA$3,0))-MAX($BA15,CA$3)+1)/($BB15-$BA15+1),SUMPRODUCT((YEAR($AC$2:$AX$2)=YEAR(CA$3))*(MONTH($AC$2:$AX$2)=MONTH(CA$3))*$AC15:$AX15))</f>
        <v>0</v>
      </c>
      <c r="CB15" s="164" t="n">
        <f aca="false">IF(AND($BA15&gt;0,$BB15&gt;=$BA15),$AA15*MAX(0,MIN($BB15,EOMONTH(CB$3,0))-MAX($BA15,CB$3)+1)/($BB15-$BA15+1),SUMPRODUCT((YEAR($AC$2:$AX$2)=YEAR(CB$3))*(MONTH($AC$2:$AX$2)=MONTH(CB$3))*$AC15:$AX15))</f>
        <v>0</v>
      </c>
      <c r="CC15" s="164" t="n">
        <f aca="false">IF(AND($BA15&gt;0,$BB15&gt;=$BA15),$AA15*MAX(0,MIN($BB15,EOMONTH(CC$3,0))-MAX($BA15,CC$3)+1)/($BB15-$BA15+1),SUMPRODUCT((YEAR($AC$2:$AX$2)=YEAR(CC$3))*(MONTH($AC$2:$AX$2)=MONTH(CC$3))*$AC15:$AX15))</f>
        <v>0</v>
      </c>
      <c r="CD15" s="164" t="n">
        <f aca="false">IF(AND($BA15&gt;0,$BB15&gt;=$BA15),$AA15*MAX(0,MIN($BB15,EOMONTH(CD$3,0))-MAX($BA15,CD$3)+1)/($BB15-$BA15+1),SUMPRODUCT((YEAR($AC$2:$AX$2)=YEAR(CD$3))*(MONTH($AC$2:$AX$2)=MONTH(CD$3))*$AC15:$AX15))</f>
        <v>0</v>
      </c>
      <c r="CE15" s="164" t="n">
        <f aca="false">IF(AND($BA15&gt;0,$BB15&gt;=$BA15),$AA15*MAX(0,MIN($BB15,EOMONTH(CE$3,0))-MAX($BA15,CE$3)+1)/($BB15-$BA15+1),SUMPRODUCT((YEAR($AC$2:$AX$2)=YEAR(CE$3))*(MONTH($AC$2:$AX$2)=MONTH(CE$3))*$AC15:$AX15))</f>
        <v>0</v>
      </c>
      <c r="CF15" s="164" t="n">
        <f aca="false">IF(AND($BA15&gt;0,$BB15&gt;=$BA15),$AA15*MAX(0,MIN($BB15,EOMONTH(CF$3,0))-MAX($BA15,CF$3)+1)/($BB15-$BA15+1),SUMPRODUCT((YEAR($AC$2:$AX$2)=YEAR(CF$3))*(MONTH($AC$2:$AX$2)=MONTH(CF$3))*$AC15:$AX15))</f>
        <v>0</v>
      </c>
      <c r="CG15" s="164" t="n">
        <f aca="false">IF(AND($BA15&gt;0,$BB15&gt;=$BA15),$AA15*MAX(0,MIN($BB15,EOMONTH(CG$3,0))-MAX($BA15,CG$3)+1)/($BB15-$BA15+1),SUMPRODUCT((YEAR($AC$2:$AX$2)=YEAR(CG$3))*(MONTH($AC$2:$AX$2)=MONTH(CG$3))*$AC15:$AX15))</f>
        <v>0</v>
      </c>
      <c r="CH15" s="164" t="n">
        <f aca="false">IF(AND($BA15&gt;0,$BB15&gt;=$BA15),$AA15*MAX(0,MIN($BB15,EOMONTH(CH$3,0))-MAX($BA15,CH$3)+1)/($BB15-$BA15+1),SUMPRODUCT((YEAR($AC$2:$AX$2)=YEAR(CH$3))*(MONTH($AC$2:$AX$2)=MONTH(CH$3))*$AC15:$AX15))</f>
        <v>0</v>
      </c>
      <c r="CI15" s="164" t="n">
        <f aca="false">IF(AND($BA15&gt;0,$BB15&gt;=$BA15),$AA15*MAX(0,MIN($BB15,EOMONTH(CI$3,0))-MAX($BA15,CI$3)+1)/($BB15-$BA15+1),SUMPRODUCT((YEAR($AC$2:$AX$2)=YEAR(CI$3))*(MONTH($AC$2:$AX$2)=MONTH(CI$3))*$AC15:$AX15))</f>
        <v>0</v>
      </c>
      <c r="CJ15" s="164" t="n">
        <f aca="false">IF(AND($BA15&gt;0,$BB15&gt;=$BA15),$AA15*MAX(0,MIN($BB15,EOMONTH(CJ$3,0))-MAX($BA15,CJ$3)+1)/($BB15-$BA15+1),SUMPRODUCT((YEAR($AC$2:$AX$2)=YEAR(CJ$3))*(MONTH($AC$2:$AX$2)=MONTH(CJ$3))*$AC15:$AX15))</f>
        <v>505400.616278675</v>
      </c>
      <c r="CK15" s="164" t="n">
        <f aca="false">IF(AND($BA15&gt;0,$BB15&gt;=$BA15),$AA15*MAX(0,MIN($BB15,EOMONTH(CK$3,0))-MAX($BA15,CK$3)+1)/($BB15-$BA15+1),SUMPRODUCT((YEAR($AC$2:$AX$2)=YEAR(CK$3))*(MONTH($AC$2:$AX$2)=MONTH(CK$3))*$AC15:$AX15))</f>
        <v>0</v>
      </c>
      <c r="CL15" s="164" t="n">
        <f aca="false">IF(AND($BA15&gt;0,$BB15&gt;=$BA15),$AA15*MAX(0,MIN($BB15,EOMONTH(CL$3,0))-MAX($BA15,CL$3)+1)/($BB15-$BA15+1),SUMPRODUCT((YEAR($AC$2:$AX$2)=YEAR(CL$3))*(MONTH($AC$2:$AX$2)=MONTH(CL$3))*$AC15:$AX15))</f>
        <v>0</v>
      </c>
      <c r="CM15" s="164" t="n">
        <f aca="false">IF(AND($BA15&gt;0,$BB15&gt;=$BA15),$AA15*MAX(0,MIN($BB15,EOMONTH(CM$3,0))-MAX($BA15,CM$3)+1)/($BB15-$BA15+1),SUMPRODUCT((YEAR($AC$2:$AX$2)=YEAR(CM$3))*(MONTH($AC$2:$AX$2)=MONTH(CM$3))*$AC15:$AX15))</f>
        <v>0</v>
      </c>
      <c r="CN15" s="164" t="n">
        <f aca="false">IF(AND($BA15&gt;0,$BB15&gt;=$BA15),$AA15*MAX(0,MIN($BB15,EOMONTH(CN$3,0))-MAX($BA15,CN$3)+1)/($BB15-$BA15+1),SUMPRODUCT((YEAR($AC$2:$AX$2)=YEAR(CN$3))*(MONTH($AC$2:$AX$2)=MONTH(CN$3))*$AC15:$AX15))</f>
        <v>0</v>
      </c>
      <c r="CO15" s="164" t="n">
        <f aca="false">IF(AND($BA15&gt;0,$BB15&gt;=$BA15),$AA15*MAX(0,MIN($BB15,EOMONTH(CO$3,0))-MAX($BA15,CO$3)+1)/($BB15-$BA15+1),SUMPRODUCT((YEAR($AC$2:$AX$2)=YEAR(CO$3))*(MONTH($AC$2:$AX$2)=MONTH(CO$3))*$AC15:$AX15))</f>
        <v>0</v>
      </c>
      <c r="CP15" s="164" t="n">
        <f aca="false">IF(AND($BA15&gt;0,$BB15&gt;=$BA15),$AA15*MAX(0,MIN($BB15,EOMONTH(CP$3,0))-MAX($BA15,CP$3)+1)/($BB15-$BA15+1),SUMPRODUCT((YEAR($AC$2:$AX$2)=YEAR(CP$3))*(MONTH($AC$2:$AX$2)=MONTH(CP$3))*$AC15:$AX15))</f>
        <v>0</v>
      </c>
      <c r="CQ15" s="164" t="n">
        <f aca="false">IF(AND($BA15&gt;0,$BB15&gt;=$BA15),$AA15*MAX(0,MIN($BB15,EOMONTH(CQ$3,0))-MAX($BA15,CQ$3)+1)/($BB15-$BA15+1),SUMPRODUCT((YEAR($AC$2:$AX$2)=YEAR(CQ$3))*(MONTH($AC$2:$AX$2)=MONTH(CQ$3))*$AC15:$AX15))</f>
        <v>0</v>
      </c>
      <c r="CR15" s="164" t="n">
        <f aca="false">IF(AND($BA15&gt;0,$BB15&gt;=$BA15),$AA15*MAX(0,MIN($BB15,EOMONTH(CR$3,0))-MAX($BA15,CR$3)+1)/($BB15-$BA15+1),SUMPRODUCT((YEAR($AC$2:$AX$2)=YEAR(CR$3))*(MONTH($AC$2:$AX$2)=MONTH(CR$3))*$AC15:$AX15))</f>
        <v>0</v>
      </c>
      <c r="CS15" s="164" t="n">
        <f aca="false">IF(AND($BA15&gt;0,$BB15&gt;=$BA15),$AA15*MAX(0,MIN($BB15,EOMONTH(CS$3,0))-MAX($BA15,CS$3)+1)/($BB15-$BA15+1),SUMPRODUCT((YEAR($AC$2:$AX$2)=YEAR(CS$3))*(MONTH($AC$2:$AX$2)=MONTH(CS$3))*$AC15:$AX15))</f>
        <v>0</v>
      </c>
      <c r="CT15" s="164" t="n">
        <f aca="false">IF(AND($BA15&gt;0,$BB15&gt;=$BA15),$AA15*MAX(0,MIN($BB15,EOMONTH(CT$3,0))-MAX($BA15,CT$3)+1)/($BB15-$BA15+1),SUMPRODUCT((YEAR($AC$2:$AX$2)=YEAR(CT$3))*(MONTH($AC$2:$AX$2)=MONTH(CT$3))*$AC15:$AX15))</f>
        <v>0</v>
      </c>
      <c r="CU15" s="164" t="n">
        <f aca="false">IF(AND($BA15&gt;0,$BB15&gt;=$BA15),$AA15*MAX(0,MIN($BB15,EOMONTH(CU$3,0))-MAX($BA15,CU$3)+1)/($BB15-$BA15+1),SUMPRODUCT((YEAR($AC$2:$AX$2)=YEAR(CU$3))*(MONTH($AC$2:$AX$2)=MONTH(CU$3))*$AC15:$AX15))</f>
        <v>0</v>
      </c>
      <c r="CV15" s="164" t="n">
        <f aca="false">IF(AND($BA15&gt;0,$BB15&gt;=$BA15),$AA15*MAX(0,MIN($BB15,EOMONTH(CV$3,0))-MAX($BA15,CV$3)+1)/($BB15-$BA15+1),SUMPRODUCT((YEAR($AC$2:$AX$2)=YEAR(CV$3))*(MONTH($AC$2:$AX$2)=MONTH(CV$3))*$AC15:$AX15))</f>
        <v>0</v>
      </c>
      <c r="CW15" s="164" t="n">
        <f aca="false">IF(AND($BA15&gt;0,$BB15&gt;=$BA15),$AA15*MAX(0,MIN($BB15,EOMONTH(CW$3,0))-MAX($BA15,CW$3)+1)/($BB15-$BA15+1),SUMPRODUCT((YEAR($AC$2:$AX$2)=YEAR(CW$3))*(MONTH($AC$2:$AX$2)=MONTH(CW$3))*$AC15:$AX15))</f>
        <v>0</v>
      </c>
      <c r="CX15" s="164" t="n">
        <f aca="false">IF(AND($BA15&gt;0,$BB15&gt;=$BA15),$AA15*MAX(0,MIN($BB15,EOMONTH(CX$3,0))-MAX($BA15,CX$3)+1)/($BB15-$BA15+1),SUMPRODUCT((YEAR($AC$2:$AX$2)=YEAR(CX$3))*(MONTH($AC$2:$AX$2)=MONTH(CX$3))*$AC15:$AX15))</f>
        <v>0</v>
      </c>
      <c r="CY15" s="164" t="n">
        <f aca="false">IF(AND($BA15&gt;0,$BB15&gt;=$BA15),$AA15*MAX(0,MIN($BB15,EOMONTH(CY$3,0))-MAX($BA15,CY$3)+1)/($BB15-$BA15+1),SUMPRODUCT((YEAR($AC$2:$AX$2)=YEAR(CY$3))*(MONTH($AC$2:$AX$2)=MONTH(CY$3))*$AC15:$AX15))</f>
        <v>0</v>
      </c>
      <c r="CZ15" s="164" t="n">
        <f aca="false">IF(AND($BA15&gt;0,$BB15&gt;=$BA15),$AA15*MAX(0,MIN($BB15,EOMONTH(CZ$3,0))-MAX($BA15,CZ$3)+1)/($BB15-$BA15+1),SUMPRODUCT((YEAR($AC$2:$AX$2)=YEAR(CZ$3))*(MONTH($AC$2:$AX$2)=MONTH(CZ$3))*$AC15:$AX15))</f>
        <v>0</v>
      </c>
      <c r="DA15" s="164" t="n">
        <f aca="false">IF(AND($BA15&gt;0,$BB15&gt;=$BA15),$AA15*MAX(0,MIN($BB15,EOMONTH(DA$3,0))-MAX($BA15,DA$3)+1)/($BB15-$BA15+1),SUMPRODUCT((YEAR($AC$2:$AX$2)=YEAR(DA$3))*(MONTH($AC$2:$AX$2)=MONTH(DA$3))*$AC15:$AX15))</f>
        <v>0</v>
      </c>
      <c r="DB15" s="164" t="n">
        <f aca="false">IF(AND($BA15&gt;0,$BB15&gt;=$BA15),$AA15*MAX(0,MIN($BB15,EOMONTH(DB$3,0))-MAX($BA15,DB$3)+1)/($BB15-$BA15+1),SUMPRODUCT((YEAR($AC$2:$AX$2)=YEAR(DB$3))*(MONTH($AC$2:$AX$2)=MONTH(DB$3))*$AC15:$AX15))</f>
        <v>0</v>
      </c>
      <c r="DC15" s="164" t="n">
        <f aca="false">IF(AND($BA15&gt;0,$BB15&gt;=$BA15),$AA15*MAX(0,MIN($BB15,EOMONTH(DC$3,0))-MAX($BA15,DC$3)+1)/($BB15-$BA15+1),SUMPRODUCT((YEAR($AC$2:$AX$2)=YEAR(DC$3))*(MONTH($AC$2:$AX$2)=MONTH(DC$3))*$AC15:$AX15))</f>
        <v>0</v>
      </c>
      <c r="DD15" s="164" t="n">
        <f aca="false">IF(AND($BA15&gt;0,$BB15&gt;=$BA15),$AA15*MAX(0,MIN($BB15,EOMONTH(DD$3,0))-MAX($BA15,DD$3)+1)/($BB15-$BA15+1),SUMPRODUCT((YEAR($AC$2:$AX$2)=YEAR(DD$3))*(MONTH($AC$2:$AX$2)=MONTH(DD$3))*$AC15:$AX15))</f>
        <v>0</v>
      </c>
      <c r="DE15" s="164" t="n">
        <f aca="false">IF(AND($BA15&gt;0,$BB15&gt;=$BA15),$AA15*MAX(0,MIN($BB15,EOMONTH(DE$3,0))-MAX($BA15,DE$3)+1)/($BB15-$BA15+1),SUMPRODUCT((YEAR($AC$2:$AX$2)=YEAR(DE$3))*(MONTH($AC$2:$AX$2)=MONTH(DE$3))*$AC15:$AX15))</f>
        <v>0</v>
      </c>
      <c r="DF15" s="164" t="n">
        <f aca="false">IF(AND($BA15&gt;0,$BB15&gt;=$BA15),$AA15*MAX(0,MIN($BB15,EOMONTH(DF$3,0))-MAX($BA15,DF$3)+1)/($BB15-$BA15+1),SUMPRODUCT((YEAR($AC$2:$AX$2)=YEAR(DF$3))*(MONTH($AC$2:$AX$2)=MONTH(DF$3))*$AC15:$AX15))</f>
        <v>0</v>
      </c>
      <c r="DG15" s="164" t="n">
        <f aca="false">IF(AND($BA15&gt;0,$BB15&gt;=$BA15),$AA15*MAX(0,MIN($BB15,EOMONTH(DG$3,0))-MAX($BA15,DG$3)+1)/($BB15-$BA15+1),SUMPRODUCT((YEAR($AC$2:$AX$2)=YEAR(DG$3))*(MONTH($AC$2:$AX$2)=MONTH(DG$3))*$AC15:$AX15))</f>
        <v>0</v>
      </c>
      <c r="DH15" s="164" t="n">
        <f aca="false">IF(AND($BA15&gt;0,$BB15&gt;=$BA15),$AA15*MAX(0,MIN($BB15,EOMONTH(DH$3,0))-MAX($BA15,DH$3)+1)/($BB15-$BA15+1),SUMPRODUCT((YEAR($AC$2:$AX$2)=YEAR(DH$3))*(MONTH($AC$2:$AX$2)=MONTH(DH$3))*$AC15:$AX15))</f>
        <v>0</v>
      </c>
      <c r="DI15" s="164" t="n">
        <f aca="false">IF(AND($BA15&gt;0,$BB15&gt;=$BA15),$AA15*MAX(0,MIN($BB15,EOMONTH(DI$3,0))-MAX($BA15,DI$3)+1)/($BB15-$BA15+1),SUMPRODUCT((YEAR($AC$2:$AX$2)=YEAR(DI$3))*(MONTH($AC$2:$AX$2)=MONTH(DI$3))*$AC15:$AX15))</f>
        <v>0</v>
      </c>
      <c r="DJ15" s="164" t="n">
        <f aca="false">IF(AND($BA15&gt;0,$BB15&gt;=$BA15),$AA15*MAX(0,MIN($BB15,EOMONTH(DJ$3,0))-MAX($BA15,DJ$3)+1)/($BB15-$BA15+1),SUMPRODUCT((YEAR($AC$2:$AX$2)=YEAR(DJ$3))*(MONTH($AC$2:$AX$2)=MONTH(DJ$3))*$AC15:$AX15))</f>
        <v>0</v>
      </c>
      <c r="DK15" s="164" t="n">
        <f aca="false">IF(AND($BA15&gt;0,$BB15&gt;=$BA15),$AA15*MAX(0,MIN($BB15,EOMONTH(DK$3,0))-MAX($BA15,DK$3)+1)/($BB15-$BA15+1),SUMPRODUCT((YEAR($AC$2:$AX$2)=YEAR(DK$3))*(MONTH($AC$2:$AX$2)=MONTH(DK$3))*$AC15:$AX15))</f>
        <v>0</v>
      </c>
      <c r="DL15" s="164" t="n">
        <f aca="false">IF(AND($BA15&gt;0,$BB15&gt;=$BA15),$AA15*MAX(0,MIN($BB15,EOMONTH(DL$3,0))-MAX($BA15,DL$3)+1)/($BB15-$BA15+1),SUMPRODUCT((YEAR($AC$2:$AX$2)=YEAR(DL$3))*(MONTH($AC$2:$AX$2)=MONTH(DL$3))*$AC15:$AX15))</f>
        <v>0</v>
      </c>
      <c r="DM15" s="164" t="n">
        <f aca="false">IF(AND($BA15&gt;0,$BB15&gt;=$BA15),$AA15*MAX(0,MIN($BB15,EOMONTH(DM$3,0))-MAX($BA15,DM$3)+1)/($BB15-$BA15+1),SUMPRODUCT((YEAR($AC$2:$AX$2)=YEAR(DM$3))*(MONTH($AC$2:$AX$2)=MONTH(DM$3))*$AC15:$AX15))</f>
        <v>0</v>
      </c>
      <c r="DN15" s="164" t="n">
        <f aca="false">IF(AND($BA15&gt;0,$BB15&gt;=$BA15),$AA15*MAX(0,MIN($BB15,EOMONTH(DN$3,0))-MAX($BA15,DN$3)+1)/($BB15-$BA15+1),SUMPRODUCT((YEAR($AC$2:$AX$2)=YEAR(DN$3))*(MONTH($AC$2:$AX$2)=MONTH(DN$3))*$AC15:$AX15))</f>
        <v>0</v>
      </c>
      <c r="DO15" s="164" t="n">
        <f aca="false">IF(AND($BA15&gt;0,$BB15&gt;=$BA15),$AA15*MAX(0,MIN($BB15,EOMONTH(DO$3,0))-MAX($BA15,DO$3)+1)/($BB15-$BA15+1),SUMPRODUCT((YEAR($AC$2:$AX$2)=YEAR(DO$3))*(MONTH($AC$2:$AX$2)=MONTH(DO$3))*$AC15:$AX15))</f>
        <v>0</v>
      </c>
      <c r="DP15" s="164" t="n">
        <f aca="false">IF(AND($BA15&gt;0,$BB15&gt;=$BA15),$AA15*MAX(0,MIN($BB15,EOMONTH(DP$3,0))-MAX($BA15,DP$3)+1)/($BB15-$BA15+1),SUMPRODUCT((YEAR($AC$2:$AX$2)=YEAR(DP$3))*(MONTH($AC$2:$AX$2)=MONTH(DP$3))*$AC15:$AX15))</f>
        <v>0</v>
      </c>
      <c r="DQ15" s="164" t="n">
        <f aca="false">IF(AND($BA15&gt;0,$BB15&gt;=$BA15),$AA15*MAX(0,MIN($BB15,EOMONTH(DQ$3,0))-MAX($BA15,DQ$3)+1)/($BB15-$BA15+1),SUMPRODUCT((YEAR($AC$2:$AX$2)=YEAR(DQ$3))*(MONTH($AC$2:$AX$2)=MONTH(DQ$3))*$AC15:$AX15))</f>
        <v>0</v>
      </c>
      <c r="DR15" s="164" t="n">
        <f aca="false">IF(AND($BA15&gt;0,$BB15&gt;=$BA15),$AA15*MAX(0,MIN($BB15,EOMONTH(DR$3,0))-MAX($BA15,DR$3)+1)/($BB15-$BA15+1),SUMPRODUCT((YEAR($AC$2:$AX$2)=YEAR(DR$3))*(MONTH($AC$2:$AX$2)=MONTH(DR$3))*$AC15:$AX15))</f>
        <v>0</v>
      </c>
      <c r="DS15" s="164" t="n">
        <f aca="false">IF(AND($BA15&gt;0,$BB15&gt;=$BA15),$AA15*MAX(0,MIN($BB15,EOMONTH(DS$3,0))-MAX($BA15,DS$3)+1)/($BB15-$BA15+1),SUMPRODUCT((YEAR($AC$2:$AX$2)=YEAR(DS$3))*(MONTH($AC$2:$AX$2)=MONTH(DS$3))*$AC15:$AX15))</f>
        <v>0</v>
      </c>
      <c r="DT15" s="164" t="n">
        <f aca="false">IF(AND($BA15&gt;0,$BB15&gt;=$BA15),$AA15*MAX(0,MIN($BB15,EOMONTH(DT$3,0))-MAX($BA15,DT$3)+1)/($BB15-$BA15+1),SUMPRODUCT((YEAR($AC$2:$AX$2)=YEAR(DT$3))*(MONTH($AC$2:$AX$2)=MONTH(DT$3))*$AC15:$AX15))</f>
        <v>0</v>
      </c>
      <c r="DU15" s="164" t="n">
        <f aca="false">IF(AND($BA15&gt;0,$BB15&gt;=$BA15),$AA15*MAX(0,MIN($BB15,EOMONTH(DU$3,0))-MAX($BA15,DU$3)+1)/($BB15-$BA15+1),SUMPRODUCT((YEAR($AC$2:$AX$2)=YEAR(DU$3))*(MONTH($AC$2:$AX$2)=MONTH(DU$3))*$AC15:$AX15))</f>
        <v>0</v>
      </c>
      <c r="DV15" s="164" t="n">
        <f aca="false">IF(AND($BA15&gt;0,$BB15&gt;=$BA15),$AA15*MAX(0,MIN($BB15,EOMONTH(DV$3,0))-MAX($BA15,DV$3)+1)/($BB15-$BA15+1),SUMPRODUCT((YEAR($AC$2:$AX$2)=YEAR(DV$3))*(MONTH($AC$2:$AX$2)=MONTH(DV$3))*$AC15:$AX15))</f>
        <v>0</v>
      </c>
      <c r="DW15" s="164" t="n">
        <f aca="false">IF(AND($BA15&gt;0,$BB15&gt;=$BA15),$AA15*MAX(0,MIN($BB15,EOMONTH(DW$3,0))-MAX($BA15,DW$3)+1)/($BB15-$BA15+1),SUMPRODUCT((YEAR($AC$2:$AX$2)=YEAR(DW$3))*(MONTH($AC$2:$AX$2)=MONTH(DW$3))*$AC15:$AX15))</f>
        <v>0</v>
      </c>
    </row>
    <row r="16" customFormat="false" ht="15" hidden="false" customHeight="false" outlineLevel="0" collapsed="false">
      <c r="H16" s="150" t="s">
        <v>2974</v>
      </c>
      <c r="J16" s="152" t="n">
        <v>700.6245</v>
      </c>
      <c r="K16" s="152" t="n">
        <v>242.8</v>
      </c>
      <c r="L16" s="152" t="n">
        <v>1353.789475</v>
      </c>
      <c r="O16" s="152" t="n">
        <v>18672.25</v>
      </c>
      <c r="P16" s="152" t="n">
        <v>700.6245</v>
      </c>
      <c r="S16" s="149" t="n">
        <f aca="false">K16*($D$58+$D$57)</f>
        <v>155203.7086</v>
      </c>
      <c r="T16" s="149" t="n">
        <f aca="false">L16*$D$47</f>
        <v>180460.1370175</v>
      </c>
      <c r="V16" s="149" t="n">
        <f aca="false">O16*($D$54)</f>
        <v>108542.7228625</v>
      </c>
      <c r="W16" s="149" t="n">
        <f aca="false">O16*($D$49)</f>
        <v>52188.93875</v>
      </c>
      <c r="Y16" s="149" t="n">
        <f aca="false">SUM(P16:Q16)*($D$50+$D$52)</f>
        <v>9521.592048675</v>
      </c>
      <c r="AA16" s="149" t="n">
        <f aca="false">SUM(S16:Y16)</f>
        <v>505917.099278675</v>
      </c>
      <c r="AQ16" s="149" t="n">
        <f aca="false">AA16</f>
        <v>505917.099278675</v>
      </c>
      <c r="AZ16" s="162" t="s">
        <v>2827</v>
      </c>
      <c r="BA16" s="163" t="n">
        <f aca="false">IF(AZ16="",0,SUMPRODUCT(('CRONOGRAMA ATIVIDADES'!$C$5:$C$6004="ESTRUTURA")*('CRONOGRAMA ATIVIDADES'!$E$5:$E$6004=AZ16)*('CRONOGRAMA ATIVIDADES'!$D$5:$D$6004="-")*'CRONOGRAMA ATIVIDADES'!$F$5:$F$6004))</f>
        <v>46604</v>
      </c>
      <c r="BB16" s="163" t="n">
        <f aca="false">IF(AZ16="",0,SUMPRODUCT(('CRONOGRAMA ATIVIDADES'!$C$5:$C$6004="ESTRUTURA")*('CRONOGRAMA ATIVIDADES'!$E$5:$E$6004=AZ16)*('CRONOGRAMA ATIVIDADES'!$D$5:$D$6004="-")*'CRONOGRAMA ATIVIDADES'!$G$5:$G$6004))</f>
        <v>46615</v>
      </c>
      <c r="BD16" s="164" t="n">
        <f aca="false">IF(AND($BA16&gt;0,$BB16&gt;=$BA16),$AA16*MAX(0,MIN($BB16,EOMONTH(BD$3,0))-MAX($BA16,BD$3)+1)/($BB16-$BA16+1),SUMPRODUCT((YEAR($AC$2:$AX$2)=YEAR(BD$3))*(MONTH($AC$2:$AX$2)=MONTH(BD$3))*$AC16:$AX16))</f>
        <v>0</v>
      </c>
      <c r="BE16" s="164" t="n">
        <f aca="false">IF(AND($BA16&gt;0,$BB16&gt;=$BA16),$AA16*MAX(0,MIN($BB16,EOMONTH(BE$3,0))-MAX($BA16,BE$3)+1)/($BB16-$BA16+1),SUMPRODUCT((YEAR($AC$2:$AX$2)=YEAR(BE$3))*(MONTH($AC$2:$AX$2)=MONTH(BE$3))*$AC16:$AX16))</f>
        <v>0</v>
      </c>
      <c r="BF16" s="164" t="n">
        <f aca="false">IF(AND($BA16&gt;0,$BB16&gt;=$BA16),$AA16*MAX(0,MIN($BB16,EOMONTH(BF$3,0))-MAX($BA16,BF$3)+1)/($BB16-$BA16+1),SUMPRODUCT((YEAR($AC$2:$AX$2)=YEAR(BF$3))*(MONTH($AC$2:$AX$2)=MONTH(BF$3))*$AC16:$AX16))</f>
        <v>0</v>
      </c>
      <c r="BG16" s="164" t="n">
        <f aca="false">IF(AND($BA16&gt;0,$BB16&gt;=$BA16),$AA16*MAX(0,MIN($BB16,EOMONTH(BG$3,0))-MAX($BA16,BG$3)+1)/($BB16-$BA16+1),SUMPRODUCT((YEAR($AC$2:$AX$2)=YEAR(BG$3))*(MONTH($AC$2:$AX$2)=MONTH(BG$3))*$AC16:$AX16))</f>
        <v>0</v>
      </c>
      <c r="BH16" s="164" t="n">
        <f aca="false">IF(AND($BA16&gt;0,$BB16&gt;=$BA16),$AA16*MAX(0,MIN($BB16,EOMONTH(BH$3,0))-MAX($BA16,BH$3)+1)/($BB16-$BA16+1),SUMPRODUCT((YEAR($AC$2:$AX$2)=YEAR(BH$3))*(MONTH($AC$2:$AX$2)=MONTH(BH$3))*$AC16:$AX16))</f>
        <v>0</v>
      </c>
      <c r="BI16" s="164" t="n">
        <f aca="false">IF(AND($BA16&gt;0,$BB16&gt;=$BA16),$AA16*MAX(0,MIN($BB16,EOMONTH(BI$3,0))-MAX($BA16,BI$3)+1)/($BB16-$BA16+1),SUMPRODUCT((YEAR($AC$2:$AX$2)=YEAR(BI$3))*(MONTH($AC$2:$AX$2)=MONTH(BI$3))*$AC16:$AX16))</f>
        <v>0</v>
      </c>
      <c r="BJ16" s="164" t="n">
        <f aca="false">IF(AND($BA16&gt;0,$BB16&gt;=$BA16),$AA16*MAX(0,MIN($BB16,EOMONTH(BJ$3,0))-MAX($BA16,BJ$3)+1)/($BB16-$BA16+1),SUMPRODUCT((YEAR($AC$2:$AX$2)=YEAR(BJ$3))*(MONTH($AC$2:$AX$2)=MONTH(BJ$3))*$AC16:$AX16))</f>
        <v>0</v>
      </c>
      <c r="BK16" s="164" t="n">
        <f aca="false">IF(AND($BA16&gt;0,$BB16&gt;=$BA16),$AA16*MAX(0,MIN($BB16,EOMONTH(BK$3,0))-MAX($BA16,BK$3)+1)/($BB16-$BA16+1),SUMPRODUCT((YEAR($AC$2:$AX$2)=YEAR(BK$3))*(MONTH($AC$2:$AX$2)=MONTH(BK$3))*$AC16:$AX16))</f>
        <v>0</v>
      </c>
      <c r="BL16" s="164" t="n">
        <f aca="false">IF(AND($BA16&gt;0,$BB16&gt;=$BA16),$AA16*MAX(0,MIN($BB16,EOMONTH(BL$3,0))-MAX($BA16,BL$3)+1)/($BB16-$BA16+1),SUMPRODUCT((YEAR($AC$2:$AX$2)=YEAR(BL$3))*(MONTH($AC$2:$AX$2)=MONTH(BL$3))*$AC16:$AX16))</f>
        <v>0</v>
      </c>
      <c r="BM16" s="164" t="n">
        <f aca="false">IF(AND($BA16&gt;0,$BB16&gt;=$BA16),$AA16*MAX(0,MIN($BB16,EOMONTH(BM$3,0))-MAX($BA16,BM$3)+1)/($BB16-$BA16+1),SUMPRODUCT((YEAR($AC$2:$AX$2)=YEAR(BM$3))*(MONTH($AC$2:$AX$2)=MONTH(BM$3))*$AC16:$AX16))</f>
        <v>0</v>
      </c>
      <c r="BN16" s="164" t="n">
        <f aca="false">IF(AND($BA16&gt;0,$BB16&gt;=$BA16),$AA16*MAX(0,MIN($BB16,EOMONTH(BN$3,0))-MAX($BA16,BN$3)+1)/($BB16-$BA16+1),SUMPRODUCT((YEAR($AC$2:$AX$2)=YEAR(BN$3))*(MONTH($AC$2:$AX$2)=MONTH(BN$3))*$AC16:$AX16))</f>
        <v>0</v>
      </c>
      <c r="BO16" s="164" t="n">
        <f aca="false">IF(AND($BA16&gt;0,$BB16&gt;=$BA16),$AA16*MAX(0,MIN($BB16,EOMONTH(BO$3,0))-MAX($BA16,BO$3)+1)/($BB16-$BA16+1),SUMPRODUCT((YEAR($AC$2:$AX$2)=YEAR(BO$3))*(MONTH($AC$2:$AX$2)=MONTH(BO$3))*$AC16:$AX16))</f>
        <v>0</v>
      </c>
      <c r="BP16" s="164" t="n">
        <f aca="false">IF(AND($BA16&gt;0,$BB16&gt;=$BA16),$AA16*MAX(0,MIN($BB16,EOMONTH(BP$3,0))-MAX($BA16,BP$3)+1)/($BB16-$BA16+1),SUMPRODUCT((YEAR($AC$2:$AX$2)=YEAR(BP$3))*(MONTH($AC$2:$AX$2)=MONTH(BP$3))*$AC16:$AX16))</f>
        <v>0</v>
      </c>
      <c r="BQ16" s="164" t="n">
        <f aca="false">IF(AND($BA16&gt;0,$BB16&gt;=$BA16),$AA16*MAX(0,MIN($BB16,EOMONTH(BQ$3,0))-MAX($BA16,BQ$3)+1)/($BB16-$BA16+1),SUMPRODUCT((YEAR($AC$2:$AX$2)=YEAR(BQ$3))*(MONTH($AC$2:$AX$2)=MONTH(BQ$3))*$AC16:$AX16))</f>
        <v>0</v>
      </c>
      <c r="BR16" s="164" t="n">
        <f aca="false">IF(AND($BA16&gt;0,$BB16&gt;=$BA16),$AA16*MAX(0,MIN($BB16,EOMONTH(BR$3,0))-MAX($BA16,BR$3)+1)/($BB16-$BA16+1),SUMPRODUCT((YEAR($AC$2:$AX$2)=YEAR(BR$3))*(MONTH($AC$2:$AX$2)=MONTH(BR$3))*$AC16:$AX16))</f>
        <v>0</v>
      </c>
      <c r="BS16" s="164" t="n">
        <f aca="false">IF(AND($BA16&gt;0,$BB16&gt;=$BA16),$AA16*MAX(0,MIN($BB16,EOMONTH(BS$3,0))-MAX($BA16,BS$3)+1)/($BB16-$BA16+1),SUMPRODUCT((YEAR($AC$2:$AX$2)=YEAR(BS$3))*(MONTH($AC$2:$AX$2)=MONTH(BS$3))*$AC16:$AX16))</f>
        <v>0</v>
      </c>
      <c r="BT16" s="164" t="n">
        <f aca="false">IF(AND($BA16&gt;0,$BB16&gt;=$BA16),$AA16*MAX(0,MIN($BB16,EOMONTH(BT$3,0))-MAX($BA16,BT$3)+1)/($BB16-$BA16+1),SUMPRODUCT((YEAR($AC$2:$AX$2)=YEAR(BT$3))*(MONTH($AC$2:$AX$2)=MONTH(BT$3))*$AC16:$AX16))</f>
        <v>0</v>
      </c>
      <c r="BU16" s="164" t="n">
        <f aca="false">IF(AND($BA16&gt;0,$BB16&gt;=$BA16),$AA16*MAX(0,MIN($BB16,EOMONTH(BU$3,0))-MAX($BA16,BU$3)+1)/($BB16-$BA16+1),SUMPRODUCT((YEAR($AC$2:$AX$2)=YEAR(BU$3))*(MONTH($AC$2:$AX$2)=MONTH(BU$3))*$AC16:$AX16))</f>
        <v>0</v>
      </c>
      <c r="BV16" s="164" t="n">
        <f aca="false">IF(AND($BA16&gt;0,$BB16&gt;=$BA16),$AA16*MAX(0,MIN($BB16,EOMONTH(BV$3,0))-MAX($BA16,BV$3)+1)/($BB16-$BA16+1),SUMPRODUCT((YEAR($AC$2:$AX$2)=YEAR(BV$3))*(MONTH($AC$2:$AX$2)=MONTH(BV$3))*$AC16:$AX16))</f>
        <v>0</v>
      </c>
      <c r="BW16" s="164" t="n">
        <f aca="false">IF(AND($BA16&gt;0,$BB16&gt;=$BA16),$AA16*MAX(0,MIN($BB16,EOMONTH(BW$3,0))-MAX($BA16,BW$3)+1)/($BB16-$BA16+1),SUMPRODUCT((YEAR($AC$2:$AX$2)=YEAR(BW$3))*(MONTH($AC$2:$AX$2)=MONTH(BW$3))*$AC16:$AX16))</f>
        <v>0</v>
      </c>
      <c r="BX16" s="164" t="n">
        <f aca="false">IF(AND($BA16&gt;0,$BB16&gt;=$BA16),$AA16*MAX(0,MIN($BB16,EOMONTH(BX$3,0))-MAX($BA16,BX$3)+1)/($BB16-$BA16+1),SUMPRODUCT((YEAR($AC$2:$AX$2)=YEAR(BX$3))*(MONTH($AC$2:$AX$2)=MONTH(BX$3))*$AC16:$AX16))</f>
        <v>0</v>
      </c>
      <c r="BY16" s="164" t="n">
        <f aca="false">IF(AND($BA16&gt;0,$BB16&gt;=$BA16),$AA16*MAX(0,MIN($BB16,EOMONTH(BY$3,0))-MAX($BA16,BY$3)+1)/($BB16-$BA16+1),SUMPRODUCT((YEAR($AC$2:$AX$2)=YEAR(BY$3))*(MONTH($AC$2:$AX$2)=MONTH(BY$3))*$AC16:$AX16))</f>
        <v>0</v>
      </c>
      <c r="BZ16" s="164" t="n">
        <f aca="false">IF(AND($BA16&gt;0,$BB16&gt;=$BA16),$AA16*MAX(0,MIN($BB16,EOMONTH(BZ$3,0))-MAX($BA16,BZ$3)+1)/($BB16-$BA16+1),SUMPRODUCT((YEAR($AC$2:$AX$2)=YEAR(BZ$3))*(MONTH($AC$2:$AX$2)=MONTH(BZ$3))*$AC16:$AX16))</f>
        <v>0</v>
      </c>
      <c r="CA16" s="164" t="n">
        <f aca="false">IF(AND($BA16&gt;0,$BB16&gt;=$BA16),$AA16*MAX(0,MIN($BB16,EOMONTH(CA$3,0))-MAX($BA16,CA$3)+1)/($BB16-$BA16+1),SUMPRODUCT((YEAR($AC$2:$AX$2)=YEAR(CA$3))*(MONTH($AC$2:$AX$2)=MONTH(CA$3))*$AC16:$AX16))</f>
        <v>0</v>
      </c>
      <c r="CB16" s="164" t="n">
        <f aca="false">IF(AND($BA16&gt;0,$BB16&gt;=$BA16),$AA16*MAX(0,MIN($BB16,EOMONTH(CB$3,0))-MAX($BA16,CB$3)+1)/($BB16-$BA16+1),SUMPRODUCT((YEAR($AC$2:$AX$2)=YEAR(CB$3))*(MONTH($AC$2:$AX$2)=MONTH(CB$3))*$AC16:$AX16))</f>
        <v>0</v>
      </c>
      <c r="CC16" s="164" t="n">
        <f aca="false">IF(AND($BA16&gt;0,$BB16&gt;=$BA16),$AA16*MAX(0,MIN($BB16,EOMONTH(CC$3,0))-MAX($BA16,CC$3)+1)/($BB16-$BA16+1),SUMPRODUCT((YEAR($AC$2:$AX$2)=YEAR(CC$3))*(MONTH($AC$2:$AX$2)=MONTH(CC$3))*$AC16:$AX16))</f>
        <v>0</v>
      </c>
      <c r="CD16" s="164" t="n">
        <f aca="false">IF(AND($BA16&gt;0,$BB16&gt;=$BA16),$AA16*MAX(0,MIN($BB16,EOMONTH(CD$3,0))-MAX($BA16,CD$3)+1)/($BB16-$BA16+1),SUMPRODUCT((YEAR($AC$2:$AX$2)=YEAR(CD$3))*(MONTH($AC$2:$AX$2)=MONTH(CD$3))*$AC16:$AX16))</f>
        <v>0</v>
      </c>
      <c r="CE16" s="164" t="n">
        <f aca="false">IF(AND($BA16&gt;0,$BB16&gt;=$BA16),$AA16*MAX(0,MIN($BB16,EOMONTH(CE$3,0))-MAX($BA16,CE$3)+1)/($BB16-$BA16+1),SUMPRODUCT((YEAR($AC$2:$AX$2)=YEAR(CE$3))*(MONTH($AC$2:$AX$2)=MONTH(CE$3))*$AC16:$AX16))</f>
        <v>0</v>
      </c>
      <c r="CF16" s="164" t="n">
        <f aca="false">IF(AND($BA16&gt;0,$BB16&gt;=$BA16),$AA16*MAX(0,MIN($BB16,EOMONTH(CF$3,0))-MAX($BA16,CF$3)+1)/($BB16-$BA16+1),SUMPRODUCT((YEAR($AC$2:$AX$2)=YEAR(CF$3))*(MONTH($AC$2:$AX$2)=MONTH(CF$3))*$AC16:$AX16))</f>
        <v>0</v>
      </c>
      <c r="CG16" s="164" t="n">
        <f aca="false">IF(AND($BA16&gt;0,$BB16&gt;=$BA16),$AA16*MAX(0,MIN($BB16,EOMONTH(CG$3,0))-MAX($BA16,CG$3)+1)/($BB16-$BA16+1),SUMPRODUCT((YEAR($AC$2:$AX$2)=YEAR(CG$3))*(MONTH($AC$2:$AX$2)=MONTH(CG$3))*$AC16:$AX16))</f>
        <v>0</v>
      </c>
      <c r="CH16" s="164" t="n">
        <f aca="false">IF(AND($BA16&gt;0,$BB16&gt;=$BA16),$AA16*MAX(0,MIN($BB16,EOMONTH(CH$3,0))-MAX($BA16,CH$3)+1)/($BB16-$BA16+1),SUMPRODUCT((YEAR($AC$2:$AX$2)=YEAR(CH$3))*(MONTH($AC$2:$AX$2)=MONTH(CH$3))*$AC16:$AX16))</f>
        <v>0</v>
      </c>
      <c r="CI16" s="164" t="n">
        <f aca="false">IF(AND($BA16&gt;0,$BB16&gt;=$BA16),$AA16*MAX(0,MIN($BB16,EOMONTH(CI$3,0))-MAX($BA16,CI$3)+1)/($BB16-$BA16+1),SUMPRODUCT((YEAR($AC$2:$AX$2)=YEAR(CI$3))*(MONTH($AC$2:$AX$2)=MONTH(CI$3))*$AC16:$AX16))</f>
        <v>0</v>
      </c>
      <c r="CJ16" s="164" t="n">
        <f aca="false">IF(AND($BA16&gt;0,$BB16&gt;=$BA16),$AA16*MAX(0,MIN($BB16,EOMONTH(CJ$3,0))-MAX($BA16,CJ$3)+1)/($BB16-$BA16+1),SUMPRODUCT((YEAR($AC$2:$AX$2)=YEAR(CJ$3))*(MONTH($AC$2:$AX$2)=MONTH(CJ$3))*$AC16:$AX16))</f>
        <v>505917.099278675</v>
      </c>
      <c r="CK16" s="164" t="n">
        <f aca="false">IF(AND($BA16&gt;0,$BB16&gt;=$BA16),$AA16*MAX(0,MIN($BB16,EOMONTH(CK$3,0))-MAX($BA16,CK$3)+1)/($BB16-$BA16+1),SUMPRODUCT((YEAR($AC$2:$AX$2)=YEAR(CK$3))*(MONTH($AC$2:$AX$2)=MONTH(CK$3))*$AC16:$AX16))</f>
        <v>0</v>
      </c>
      <c r="CL16" s="164" t="n">
        <f aca="false">IF(AND($BA16&gt;0,$BB16&gt;=$BA16),$AA16*MAX(0,MIN($BB16,EOMONTH(CL$3,0))-MAX($BA16,CL$3)+1)/($BB16-$BA16+1),SUMPRODUCT((YEAR($AC$2:$AX$2)=YEAR(CL$3))*(MONTH($AC$2:$AX$2)=MONTH(CL$3))*$AC16:$AX16))</f>
        <v>0</v>
      </c>
      <c r="CM16" s="164" t="n">
        <f aca="false">IF(AND($BA16&gt;0,$BB16&gt;=$BA16),$AA16*MAX(0,MIN($BB16,EOMONTH(CM$3,0))-MAX($BA16,CM$3)+1)/($BB16-$BA16+1),SUMPRODUCT((YEAR($AC$2:$AX$2)=YEAR(CM$3))*(MONTH($AC$2:$AX$2)=MONTH(CM$3))*$AC16:$AX16))</f>
        <v>0</v>
      </c>
      <c r="CN16" s="164" t="n">
        <f aca="false">IF(AND($BA16&gt;0,$BB16&gt;=$BA16),$AA16*MAX(0,MIN($BB16,EOMONTH(CN$3,0))-MAX($BA16,CN$3)+1)/($BB16-$BA16+1),SUMPRODUCT((YEAR($AC$2:$AX$2)=YEAR(CN$3))*(MONTH($AC$2:$AX$2)=MONTH(CN$3))*$AC16:$AX16))</f>
        <v>0</v>
      </c>
      <c r="CO16" s="164" t="n">
        <f aca="false">IF(AND($BA16&gt;0,$BB16&gt;=$BA16),$AA16*MAX(0,MIN($BB16,EOMONTH(CO$3,0))-MAX($BA16,CO$3)+1)/($BB16-$BA16+1),SUMPRODUCT((YEAR($AC$2:$AX$2)=YEAR(CO$3))*(MONTH($AC$2:$AX$2)=MONTH(CO$3))*$AC16:$AX16))</f>
        <v>0</v>
      </c>
      <c r="CP16" s="164" t="n">
        <f aca="false">IF(AND($BA16&gt;0,$BB16&gt;=$BA16),$AA16*MAX(0,MIN($BB16,EOMONTH(CP$3,0))-MAX($BA16,CP$3)+1)/($BB16-$BA16+1),SUMPRODUCT((YEAR($AC$2:$AX$2)=YEAR(CP$3))*(MONTH($AC$2:$AX$2)=MONTH(CP$3))*$AC16:$AX16))</f>
        <v>0</v>
      </c>
      <c r="CQ16" s="164" t="n">
        <f aca="false">IF(AND($BA16&gt;0,$BB16&gt;=$BA16),$AA16*MAX(0,MIN($BB16,EOMONTH(CQ$3,0))-MAX($BA16,CQ$3)+1)/($BB16-$BA16+1),SUMPRODUCT((YEAR($AC$2:$AX$2)=YEAR(CQ$3))*(MONTH($AC$2:$AX$2)=MONTH(CQ$3))*$AC16:$AX16))</f>
        <v>0</v>
      </c>
      <c r="CR16" s="164" t="n">
        <f aca="false">IF(AND($BA16&gt;0,$BB16&gt;=$BA16),$AA16*MAX(0,MIN($BB16,EOMONTH(CR$3,0))-MAX($BA16,CR$3)+1)/($BB16-$BA16+1),SUMPRODUCT((YEAR($AC$2:$AX$2)=YEAR(CR$3))*(MONTH($AC$2:$AX$2)=MONTH(CR$3))*$AC16:$AX16))</f>
        <v>0</v>
      </c>
      <c r="CS16" s="164" t="n">
        <f aca="false">IF(AND($BA16&gt;0,$BB16&gt;=$BA16),$AA16*MAX(0,MIN($BB16,EOMONTH(CS$3,0))-MAX($BA16,CS$3)+1)/($BB16-$BA16+1),SUMPRODUCT((YEAR($AC$2:$AX$2)=YEAR(CS$3))*(MONTH($AC$2:$AX$2)=MONTH(CS$3))*$AC16:$AX16))</f>
        <v>0</v>
      </c>
      <c r="CT16" s="164" t="n">
        <f aca="false">IF(AND($BA16&gt;0,$BB16&gt;=$BA16),$AA16*MAX(0,MIN($BB16,EOMONTH(CT$3,0))-MAX($BA16,CT$3)+1)/($BB16-$BA16+1),SUMPRODUCT((YEAR($AC$2:$AX$2)=YEAR(CT$3))*(MONTH($AC$2:$AX$2)=MONTH(CT$3))*$AC16:$AX16))</f>
        <v>0</v>
      </c>
      <c r="CU16" s="164" t="n">
        <f aca="false">IF(AND($BA16&gt;0,$BB16&gt;=$BA16),$AA16*MAX(0,MIN($BB16,EOMONTH(CU$3,0))-MAX($BA16,CU$3)+1)/($BB16-$BA16+1),SUMPRODUCT((YEAR($AC$2:$AX$2)=YEAR(CU$3))*(MONTH($AC$2:$AX$2)=MONTH(CU$3))*$AC16:$AX16))</f>
        <v>0</v>
      </c>
      <c r="CV16" s="164" t="n">
        <f aca="false">IF(AND($BA16&gt;0,$BB16&gt;=$BA16),$AA16*MAX(0,MIN($BB16,EOMONTH(CV$3,0))-MAX($BA16,CV$3)+1)/($BB16-$BA16+1),SUMPRODUCT((YEAR($AC$2:$AX$2)=YEAR(CV$3))*(MONTH($AC$2:$AX$2)=MONTH(CV$3))*$AC16:$AX16))</f>
        <v>0</v>
      </c>
      <c r="CW16" s="164" t="n">
        <f aca="false">IF(AND($BA16&gt;0,$BB16&gt;=$BA16),$AA16*MAX(0,MIN($BB16,EOMONTH(CW$3,0))-MAX($BA16,CW$3)+1)/($BB16-$BA16+1),SUMPRODUCT((YEAR($AC$2:$AX$2)=YEAR(CW$3))*(MONTH($AC$2:$AX$2)=MONTH(CW$3))*$AC16:$AX16))</f>
        <v>0</v>
      </c>
      <c r="CX16" s="164" t="n">
        <f aca="false">IF(AND($BA16&gt;0,$BB16&gt;=$BA16),$AA16*MAX(0,MIN($BB16,EOMONTH(CX$3,0))-MAX($BA16,CX$3)+1)/($BB16-$BA16+1),SUMPRODUCT((YEAR($AC$2:$AX$2)=YEAR(CX$3))*(MONTH($AC$2:$AX$2)=MONTH(CX$3))*$AC16:$AX16))</f>
        <v>0</v>
      </c>
      <c r="CY16" s="164" t="n">
        <f aca="false">IF(AND($BA16&gt;0,$BB16&gt;=$BA16),$AA16*MAX(0,MIN($BB16,EOMONTH(CY$3,0))-MAX($BA16,CY$3)+1)/($BB16-$BA16+1),SUMPRODUCT((YEAR($AC$2:$AX$2)=YEAR(CY$3))*(MONTH($AC$2:$AX$2)=MONTH(CY$3))*$AC16:$AX16))</f>
        <v>0</v>
      </c>
      <c r="CZ16" s="164" t="n">
        <f aca="false">IF(AND($BA16&gt;0,$BB16&gt;=$BA16),$AA16*MAX(0,MIN($BB16,EOMONTH(CZ$3,0))-MAX($BA16,CZ$3)+1)/($BB16-$BA16+1),SUMPRODUCT((YEAR($AC$2:$AX$2)=YEAR(CZ$3))*(MONTH($AC$2:$AX$2)=MONTH(CZ$3))*$AC16:$AX16))</f>
        <v>0</v>
      </c>
      <c r="DA16" s="164" t="n">
        <f aca="false">IF(AND($BA16&gt;0,$BB16&gt;=$BA16),$AA16*MAX(0,MIN($BB16,EOMONTH(DA$3,0))-MAX($BA16,DA$3)+1)/($BB16-$BA16+1),SUMPRODUCT((YEAR($AC$2:$AX$2)=YEAR(DA$3))*(MONTH($AC$2:$AX$2)=MONTH(DA$3))*$AC16:$AX16))</f>
        <v>0</v>
      </c>
      <c r="DB16" s="164" t="n">
        <f aca="false">IF(AND($BA16&gt;0,$BB16&gt;=$BA16),$AA16*MAX(0,MIN($BB16,EOMONTH(DB$3,0))-MAX($BA16,DB$3)+1)/($BB16-$BA16+1),SUMPRODUCT((YEAR($AC$2:$AX$2)=YEAR(DB$3))*(MONTH($AC$2:$AX$2)=MONTH(DB$3))*$AC16:$AX16))</f>
        <v>0</v>
      </c>
      <c r="DC16" s="164" t="n">
        <f aca="false">IF(AND($BA16&gt;0,$BB16&gt;=$BA16),$AA16*MAX(0,MIN($BB16,EOMONTH(DC$3,0))-MAX($BA16,DC$3)+1)/($BB16-$BA16+1),SUMPRODUCT((YEAR($AC$2:$AX$2)=YEAR(DC$3))*(MONTH($AC$2:$AX$2)=MONTH(DC$3))*$AC16:$AX16))</f>
        <v>0</v>
      </c>
      <c r="DD16" s="164" t="n">
        <f aca="false">IF(AND($BA16&gt;0,$BB16&gt;=$BA16),$AA16*MAX(0,MIN($BB16,EOMONTH(DD$3,0))-MAX($BA16,DD$3)+1)/($BB16-$BA16+1),SUMPRODUCT((YEAR($AC$2:$AX$2)=YEAR(DD$3))*(MONTH($AC$2:$AX$2)=MONTH(DD$3))*$AC16:$AX16))</f>
        <v>0</v>
      </c>
      <c r="DE16" s="164" t="n">
        <f aca="false">IF(AND($BA16&gt;0,$BB16&gt;=$BA16),$AA16*MAX(0,MIN($BB16,EOMONTH(DE$3,0))-MAX($BA16,DE$3)+1)/($BB16-$BA16+1),SUMPRODUCT((YEAR($AC$2:$AX$2)=YEAR(DE$3))*(MONTH($AC$2:$AX$2)=MONTH(DE$3))*$AC16:$AX16))</f>
        <v>0</v>
      </c>
      <c r="DF16" s="164" t="n">
        <f aca="false">IF(AND($BA16&gt;0,$BB16&gt;=$BA16),$AA16*MAX(0,MIN($BB16,EOMONTH(DF$3,0))-MAX($BA16,DF$3)+1)/($BB16-$BA16+1),SUMPRODUCT((YEAR($AC$2:$AX$2)=YEAR(DF$3))*(MONTH($AC$2:$AX$2)=MONTH(DF$3))*$AC16:$AX16))</f>
        <v>0</v>
      </c>
      <c r="DG16" s="164" t="n">
        <f aca="false">IF(AND($BA16&gt;0,$BB16&gt;=$BA16),$AA16*MAX(0,MIN($BB16,EOMONTH(DG$3,0))-MAX($BA16,DG$3)+1)/($BB16-$BA16+1),SUMPRODUCT((YEAR($AC$2:$AX$2)=YEAR(DG$3))*(MONTH($AC$2:$AX$2)=MONTH(DG$3))*$AC16:$AX16))</f>
        <v>0</v>
      </c>
      <c r="DH16" s="164" t="n">
        <f aca="false">IF(AND($BA16&gt;0,$BB16&gt;=$BA16),$AA16*MAX(0,MIN($BB16,EOMONTH(DH$3,0))-MAX($BA16,DH$3)+1)/($BB16-$BA16+1),SUMPRODUCT((YEAR($AC$2:$AX$2)=YEAR(DH$3))*(MONTH($AC$2:$AX$2)=MONTH(DH$3))*$AC16:$AX16))</f>
        <v>0</v>
      </c>
      <c r="DI16" s="164" t="n">
        <f aca="false">IF(AND($BA16&gt;0,$BB16&gt;=$BA16),$AA16*MAX(0,MIN($BB16,EOMONTH(DI$3,0))-MAX($BA16,DI$3)+1)/($BB16-$BA16+1),SUMPRODUCT((YEAR($AC$2:$AX$2)=YEAR(DI$3))*(MONTH($AC$2:$AX$2)=MONTH(DI$3))*$AC16:$AX16))</f>
        <v>0</v>
      </c>
      <c r="DJ16" s="164" t="n">
        <f aca="false">IF(AND($BA16&gt;0,$BB16&gt;=$BA16),$AA16*MAX(0,MIN($BB16,EOMONTH(DJ$3,0))-MAX($BA16,DJ$3)+1)/($BB16-$BA16+1),SUMPRODUCT((YEAR($AC$2:$AX$2)=YEAR(DJ$3))*(MONTH($AC$2:$AX$2)=MONTH(DJ$3))*$AC16:$AX16))</f>
        <v>0</v>
      </c>
      <c r="DK16" s="164" t="n">
        <f aca="false">IF(AND($BA16&gt;0,$BB16&gt;=$BA16),$AA16*MAX(0,MIN($BB16,EOMONTH(DK$3,0))-MAX($BA16,DK$3)+1)/($BB16-$BA16+1),SUMPRODUCT((YEAR($AC$2:$AX$2)=YEAR(DK$3))*(MONTH($AC$2:$AX$2)=MONTH(DK$3))*$AC16:$AX16))</f>
        <v>0</v>
      </c>
      <c r="DL16" s="164" t="n">
        <f aca="false">IF(AND($BA16&gt;0,$BB16&gt;=$BA16),$AA16*MAX(0,MIN($BB16,EOMONTH(DL$3,0))-MAX($BA16,DL$3)+1)/($BB16-$BA16+1),SUMPRODUCT((YEAR($AC$2:$AX$2)=YEAR(DL$3))*(MONTH($AC$2:$AX$2)=MONTH(DL$3))*$AC16:$AX16))</f>
        <v>0</v>
      </c>
      <c r="DM16" s="164" t="n">
        <f aca="false">IF(AND($BA16&gt;0,$BB16&gt;=$BA16),$AA16*MAX(0,MIN($BB16,EOMONTH(DM$3,0))-MAX($BA16,DM$3)+1)/($BB16-$BA16+1),SUMPRODUCT((YEAR($AC$2:$AX$2)=YEAR(DM$3))*(MONTH($AC$2:$AX$2)=MONTH(DM$3))*$AC16:$AX16))</f>
        <v>0</v>
      </c>
      <c r="DN16" s="164" t="n">
        <f aca="false">IF(AND($BA16&gt;0,$BB16&gt;=$BA16),$AA16*MAX(0,MIN($BB16,EOMONTH(DN$3,0))-MAX($BA16,DN$3)+1)/($BB16-$BA16+1),SUMPRODUCT((YEAR($AC$2:$AX$2)=YEAR(DN$3))*(MONTH($AC$2:$AX$2)=MONTH(DN$3))*$AC16:$AX16))</f>
        <v>0</v>
      </c>
      <c r="DO16" s="164" t="n">
        <f aca="false">IF(AND($BA16&gt;0,$BB16&gt;=$BA16),$AA16*MAX(0,MIN($BB16,EOMONTH(DO$3,0))-MAX($BA16,DO$3)+1)/($BB16-$BA16+1),SUMPRODUCT((YEAR($AC$2:$AX$2)=YEAR(DO$3))*(MONTH($AC$2:$AX$2)=MONTH(DO$3))*$AC16:$AX16))</f>
        <v>0</v>
      </c>
      <c r="DP16" s="164" t="n">
        <f aca="false">IF(AND($BA16&gt;0,$BB16&gt;=$BA16),$AA16*MAX(0,MIN($BB16,EOMONTH(DP$3,0))-MAX($BA16,DP$3)+1)/($BB16-$BA16+1),SUMPRODUCT((YEAR($AC$2:$AX$2)=YEAR(DP$3))*(MONTH($AC$2:$AX$2)=MONTH(DP$3))*$AC16:$AX16))</f>
        <v>0</v>
      </c>
      <c r="DQ16" s="164" t="n">
        <f aca="false">IF(AND($BA16&gt;0,$BB16&gt;=$BA16),$AA16*MAX(0,MIN($BB16,EOMONTH(DQ$3,0))-MAX($BA16,DQ$3)+1)/($BB16-$BA16+1),SUMPRODUCT((YEAR($AC$2:$AX$2)=YEAR(DQ$3))*(MONTH($AC$2:$AX$2)=MONTH(DQ$3))*$AC16:$AX16))</f>
        <v>0</v>
      </c>
      <c r="DR16" s="164" t="n">
        <f aca="false">IF(AND($BA16&gt;0,$BB16&gt;=$BA16),$AA16*MAX(0,MIN($BB16,EOMONTH(DR$3,0))-MAX($BA16,DR$3)+1)/($BB16-$BA16+1),SUMPRODUCT((YEAR($AC$2:$AX$2)=YEAR(DR$3))*(MONTH($AC$2:$AX$2)=MONTH(DR$3))*$AC16:$AX16))</f>
        <v>0</v>
      </c>
      <c r="DS16" s="164" t="n">
        <f aca="false">IF(AND($BA16&gt;0,$BB16&gt;=$BA16),$AA16*MAX(0,MIN($BB16,EOMONTH(DS$3,0))-MAX($BA16,DS$3)+1)/($BB16-$BA16+1),SUMPRODUCT((YEAR($AC$2:$AX$2)=YEAR(DS$3))*(MONTH($AC$2:$AX$2)=MONTH(DS$3))*$AC16:$AX16))</f>
        <v>0</v>
      </c>
      <c r="DT16" s="164" t="n">
        <f aca="false">IF(AND($BA16&gt;0,$BB16&gt;=$BA16),$AA16*MAX(0,MIN($BB16,EOMONTH(DT$3,0))-MAX($BA16,DT$3)+1)/($BB16-$BA16+1),SUMPRODUCT((YEAR($AC$2:$AX$2)=YEAR(DT$3))*(MONTH($AC$2:$AX$2)=MONTH(DT$3))*$AC16:$AX16))</f>
        <v>0</v>
      </c>
      <c r="DU16" s="164" t="n">
        <f aca="false">IF(AND($BA16&gt;0,$BB16&gt;=$BA16),$AA16*MAX(0,MIN($BB16,EOMONTH(DU$3,0))-MAX($BA16,DU$3)+1)/($BB16-$BA16+1),SUMPRODUCT((YEAR($AC$2:$AX$2)=YEAR(DU$3))*(MONTH($AC$2:$AX$2)=MONTH(DU$3))*$AC16:$AX16))</f>
        <v>0</v>
      </c>
      <c r="DV16" s="164" t="n">
        <f aca="false">IF(AND($BA16&gt;0,$BB16&gt;=$BA16),$AA16*MAX(0,MIN($BB16,EOMONTH(DV$3,0))-MAX($BA16,DV$3)+1)/($BB16-$BA16+1),SUMPRODUCT((YEAR($AC$2:$AX$2)=YEAR(DV$3))*(MONTH($AC$2:$AX$2)=MONTH(DV$3))*$AC16:$AX16))</f>
        <v>0</v>
      </c>
      <c r="DW16" s="164" t="n">
        <f aca="false">IF(AND($BA16&gt;0,$BB16&gt;=$BA16),$AA16*MAX(0,MIN($BB16,EOMONTH(DW$3,0))-MAX($BA16,DW$3)+1)/($BB16-$BA16+1),SUMPRODUCT((YEAR($AC$2:$AX$2)=YEAR(DW$3))*(MONTH($AC$2:$AX$2)=MONTH(DW$3))*$AC16:$AX16))</f>
        <v>0</v>
      </c>
    </row>
    <row r="17" customFormat="false" ht="15" hidden="false" customHeight="false" outlineLevel="0" collapsed="false">
      <c r="H17" s="150" t="s">
        <v>2975</v>
      </c>
      <c r="J17" s="152" t="n">
        <v>700.6245</v>
      </c>
      <c r="K17" s="152" t="n">
        <v>242.8</v>
      </c>
      <c r="L17" s="152" t="n">
        <v>1353.789475</v>
      </c>
      <c r="O17" s="152" t="n">
        <v>18849.25</v>
      </c>
      <c r="P17" s="152" t="n">
        <v>700.6245</v>
      </c>
      <c r="S17" s="149" t="n">
        <f aca="false">K17*($D$58+$D$57)</f>
        <v>155203.7086</v>
      </c>
      <c r="T17" s="149" t="n">
        <f aca="false">L17*$D$47</f>
        <v>180460.1370175</v>
      </c>
      <c r="V17" s="149" t="n">
        <f aca="false">O17*($D$54)</f>
        <v>109571.6327125</v>
      </c>
      <c r="W17" s="149" t="n">
        <f aca="false">O17*($D$49)</f>
        <v>52683.65375</v>
      </c>
      <c r="Y17" s="149" t="n">
        <f aca="false">SUM(P17:Q17)*($D$50+$D$52)</f>
        <v>9521.592048675</v>
      </c>
      <c r="AA17" s="149" t="n">
        <f aca="false">SUM(S17:Y17)</f>
        <v>507440.724128675</v>
      </c>
      <c r="AQ17" s="149" t="n">
        <f aca="false">AA17</f>
        <v>507440.724128675</v>
      </c>
      <c r="AZ17" s="162" t="s">
        <v>2825</v>
      </c>
      <c r="BA17" s="163" t="n">
        <f aca="false">IF(AZ17="",0,SUMPRODUCT(('CRONOGRAMA ATIVIDADES'!$C$5:$C$6004="ESTRUTURA")*('CRONOGRAMA ATIVIDADES'!$E$5:$E$6004=AZ17)*('CRONOGRAMA ATIVIDADES'!$D$5:$D$6004="-")*'CRONOGRAMA ATIVIDADES'!$F$5:$F$6004))</f>
        <v>46591</v>
      </c>
      <c r="BB17" s="163" t="n">
        <f aca="false">IF(AZ17="",0,SUMPRODUCT(('CRONOGRAMA ATIVIDADES'!$C$5:$C$6004="ESTRUTURA")*('CRONOGRAMA ATIVIDADES'!$E$5:$E$6004=AZ17)*('CRONOGRAMA ATIVIDADES'!$D$5:$D$6004="-")*'CRONOGRAMA ATIVIDADES'!$G$5:$G$6004))</f>
        <v>46603</v>
      </c>
      <c r="BD17" s="164" t="n">
        <f aca="false">IF(AND($BA17&gt;0,$BB17&gt;=$BA17),$AA17*MAX(0,MIN($BB17,EOMONTH(BD$3,0))-MAX($BA17,BD$3)+1)/($BB17-$BA17+1),SUMPRODUCT((YEAR($AC$2:$AX$2)=YEAR(BD$3))*(MONTH($AC$2:$AX$2)=MONTH(BD$3))*$AC17:$AX17))</f>
        <v>0</v>
      </c>
      <c r="BE17" s="164" t="n">
        <f aca="false">IF(AND($BA17&gt;0,$BB17&gt;=$BA17),$AA17*MAX(0,MIN($BB17,EOMONTH(BE$3,0))-MAX($BA17,BE$3)+1)/($BB17-$BA17+1),SUMPRODUCT((YEAR($AC$2:$AX$2)=YEAR(BE$3))*(MONTH($AC$2:$AX$2)=MONTH(BE$3))*$AC17:$AX17))</f>
        <v>0</v>
      </c>
      <c r="BF17" s="164" t="n">
        <f aca="false">IF(AND($BA17&gt;0,$BB17&gt;=$BA17),$AA17*MAX(0,MIN($BB17,EOMONTH(BF$3,0))-MAX($BA17,BF$3)+1)/($BB17-$BA17+1),SUMPRODUCT((YEAR($AC$2:$AX$2)=YEAR(BF$3))*(MONTH($AC$2:$AX$2)=MONTH(BF$3))*$AC17:$AX17))</f>
        <v>0</v>
      </c>
      <c r="BG17" s="164" t="n">
        <f aca="false">IF(AND($BA17&gt;0,$BB17&gt;=$BA17),$AA17*MAX(0,MIN($BB17,EOMONTH(BG$3,0))-MAX($BA17,BG$3)+1)/($BB17-$BA17+1),SUMPRODUCT((YEAR($AC$2:$AX$2)=YEAR(BG$3))*(MONTH($AC$2:$AX$2)=MONTH(BG$3))*$AC17:$AX17))</f>
        <v>0</v>
      </c>
      <c r="BH17" s="164" t="n">
        <f aca="false">IF(AND($BA17&gt;0,$BB17&gt;=$BA17),$AA17*MAX(0,MIN($BB17,EOMONTH(BH$3,0))-MAX($BA17,BH$3)+1)/($BB17-$BA17+1),SUMPRODUCT((YEAR($AC$2:$AX$2)=YEAR(BH$3))*(MONTH($AC$2:$AX$2)=MONTH(BH$3))*$AC17:$AX17))</f>
        <v>0</v>
      </c>
      <c r="BI17" s="164" t="n">
        <f aca="false">IF(AND($BA17&gt;0,$BB17&gt;=$BA17),$AA17*MAX(0,MIN($BB17,EOMONTH(BI$3,0))-MAX($BA17,BI$3)+1)/($BB17-$BA17+1),SUMPRODUCT((YEAR($AC$2:$AX$2)=YEAR(BI$3))*(MONTH($AC$2:$AX$2)=MONTH(BI$3))*$AC17:$AX17))</f>
        <v>0</v>
      </c>
      <c r="BJ17" s="164" t="n">
        <f aca="false">IF(AND($BA17&gt;0,$BB17&gt;=$BA17),$AA17*MAX(0,MIN($BB17,EOMONTH(BJ$3,0))-MAX($BA17,BJ$3)+1)/($BB17-$BA17+1),SUMPRODUCT((YEAR($AC$2:$AX$2)=YEAR(BJ$3))*(MONTH($AC$2:$AX$2)=MONTH(BJ$3))*$AC17:$AX17))</f>
        <v>0</v>
      </c>
      <c r="BK17" s="164" t="n">
        <f aca="false">IF(AND($BA17&gt;0,$BB17&gt;=$BA17),$AA17*MAX(0,MIN($BB17,EOMONTH(BK$3,0))-MAX($BA17,BK$3)+1)/($BB17-$BA17+1),SUMPRODUCT((YEAR($AC$2:$AX$2)=YEAR(BK$3))*(MONTH($AC$2:$AX$2)=MONTH(BK$3))*$AC17:$AX17))</f>
        <v>0</v>
      </c>
      <c r="BL17" s="164" t="n">
        <f aca="false">IF(AND($BA17&gt;0,$BB17&gt;=$BA17),$AA17*MAX(0,MIN($BB17,EOMONTH(BL$3,0))-MAX($BA17,BL$3)+1)/($BB17-$BA17+1),SUMPRODUCT((YEAR($AC$2:$AX$2)=YEAR(BL$3))*(MONTH($AC$2:$AX$2)=MONTH(BL$3))*$AC17:$AX17))</f>
        <v>0</v>
      </c>
      <c r="BM17" s="164" t="n">
        <f aca="false">IF(AND($BA17&gt;0,$BB17&gt;=$BA17),$AA17*MAX(0,MIN($BB17,EOMONTH(BM$3,0))-MAX($BA17,BM$3)+1)/($BB17-$BA17+1),SUMPRODUCT((YEAR($AC$2:$AX$2)=YEAR(BM$3))*(MONTH($AC$2:$AX$2)=MONTH(BM$3))*$AC17:$AX17))</f>
        <v>0</v>
      </c>
      <c r="BN17" s="164" t="n">
        <f aca="false">IF(AND($BA17&gt;0,$BB17&gt;=$BA17),$AA17*MAX(0,MIN($BB17,EOMONTH(BN$3,0))-MAX($BA17,BN$3)+1)/($BB17-$BA17+1),SUMPRODUCT((YEAR($AC$2:$AX$2)=YEAR(BN$3))*(MONTH($AC$2:$AX$2)=MONTH(BN$3))*$AC17:$AX17))</f>
        <v>0</v>
      </c>
      <c r="BO17" s="164" t="n">
        <f aca="false">IF(AND($BA17&gt;0,$BB17&gt;=$BA17),$AA17*MAX(0,MIN($BB17,EOMONTH(BO$3,0))-MAX($BA17,BO$3)+1)/($BB17-$BA17+1),SUMPRODUCT((YEAR($AC$2:$AX$2)=YEAR(BO$3))*(MONTH($AC$2:$AX$2)=MONTH(BO$3))*$AC17:$AX17))</f>
        <v>0</v>
      </c>
      <c r="BP17" s="164" t="n">
        <f aca="false">IF(AND($BA17&gt;0,$BB17&gt;=$BA17),$AA17*MAX(0,MIN($BB17,EOMONTH(BP$3,0))-MAX($BA17,BP$3)+1)/($BB17-$BA17+1),SUMPRODUCT((YEAR($AC$2:$AX$2)=YEAR(BP$3))*(MONTH($AC$2:$AX$2)=MONTH(BP$3))*$AC17:$AX17))</f>
        <v>0</v>
      </c>
      <c r="BQ17" s="164" t="n">
        <f aca="false">IF(AND($BA17&gt;0,$BB17&gt;=$BA17),$AA17*MAX(0,MIN($BB17,EOMONTH(BQ$3,0))-MAX($BA17,BQ$3)+1)/($BB17-$BA17+1),SUMPRODUCT((YEAR($AC$2:$AX$2)=YEAR(BQ$3))*(MONTH($AC$2:$AX$2)=MONTH(BQ$3))*$AC17:$AX17))</f>
        <v>0</v>
      </c>
      <c r="BR17" s="164" t="n">
        <f aca="false">IF(AND($BA17&gt;0,$BB17&gt;=$BA17),$AA17*MAX(0,MIN($BB17,EOMONTH(BR$3,0))-MAX($BA17,BR$3)+1)/($BB17-$BA17+1),SUMPRODUCT((YEAR($AC$2:$AX$2)=YEAR(BR$3))*(MONTH($AC$2:$AX$2)=MONTH(BR$3))*$AC17:$AX17))</f>
        <v>0</v>
      </c>
      <c r="BS17" s="164" t="n">
        <f aca="false">IF(AND($BA17&gt;0,$BB17&gt;=$BA17),$AA17*MAX(0,MIN($BB17,EOMONTH(BS$3,0))-MAX($BA17,BS$3)+1)/($BB17-$BA17+1),SUMPRODUCT((YEAR($AC$2:$AX$2)=YEAR(BS$3))*(MONTH($AC$2:$AX$2)=MONTH(BS$3))*$AC17:$AX17))</f>
        <v>0</v>
      </c>
      <c r="BT17" s="164" t="n">
        <f aca="false">IF(AND($BA17&gt;0,$BB17&gt;=$BA17),$AA17*MAX(0,MIN($BB17,EOMONTH(BT$3,0))-MAX($BA17,BT$3)+1)/($BB17-$BA17+1),SUMPRODUCT((YEAR($AC$2:$AX$2)=YEAR(BT$3))*(MONTH($AC$2:$AX$2)=MONTH(BT$3))*$AC17:$AX17))</f>
        <v>0</v>
      </c>
      <c r="BU17" s="164" t="n">
        <f aca="false">IF(AND($BA17&gt;0,$BB17&gt;=$BA17),$AA17*MAX(0,MIN($BB17,EOMONTH(BU$3,0))-MAX($BA17,BU$3)+1)/($BB17-$BA17+1),SUMPRODUCT((YEAR($AC$2:$AX$2)=YEAR(BU$3))*(MONTH($AC$2:$AX$2)=MONTH(BU$3))*$AC17:$AX17))</f>
        <v>0</v>
      </c>
      <c r="BV17" s="164" t="n">
        <f aca="false">IF(AND($BA17&gt;0,$BB17&gt;=$BA17),$AA17*MAX(0,MIN($BB17,EOMONTH(BV$3,0))-MAX($BA17,BV$3)+1)/($BB17-$BA17+1),SUMPRODUCT((YEAR($AC$2:$AX$2)=YEAR(BV$3))*(MONTH($AC$2:$AX$2)=MONTH(BV$3))*$AC17:$AX17))</f>
        <v>0</v>
      </c>
      <c r="BW17" s="164" t="n">
        <f aca="false">IF(AND($BA17&gt;0,$BB17&gt;=$BA17),$AA17*MAX(0,MIN($BB17,EOMONTH(BW$3,0))-MAX($BA17,BW$3)+1)/($BB17-$BA17+1),SUMPRODUCT((YEAR($AC$2:$AX$2)=YEAR(BW$3))*(MONTH($AC$2:$AX$2)=MONTH(BW$3))*$AC17:$AX17))</f>
        <v>0</v>
      </c>
      <c r="BX17" s="164" t="n">
        <f aca="false">IF(AND($BA17&gt;0,$BB17&gt;=$BA17),$AA17*MAX(0,MIN($BB17,EOMONTH(BX$3,0))-MAX($BA17,BX$3)+1)/($BB17-$BA17+1),SUMPRODUCT((YEAR($AC$2:$AX$2)=YEAR(BX$3))*(MONTH($AC$2:$AX$2)=MONTH(BX$3))*$AC17:$AX17))</f>
        <v>0</v>
      </c>
      <c r="BY17" s="164" t="n">
        <f aca="false">IF(AND($BA17&gt;0,$BB17&gt;=$BA17),$AA17*MAX(0,MIN($BB17,EOMONTH(BY$3,0))-MAX($BA17,BY$3)+1)/($BB17-$BA17+1),SUMPRODUCT((YEAR($AC$2:$AX$2)=YEAR(BY$3))*(MONTH($AC$2:$AX$2)=MONTH(BY$3))*$AC17:$AX17))</f>
        <v>0</v>
      </c>
      <c r="BZ17" s="164" t="n">
        <f aca="false">IF(AND($BA17&gt;0,$BB17&gt;=$BA17),$AA17*MAX(0,MIN($BB17,EOMONTH(BZ$3,0))-MAX($BA17,BZ$3)+1)/($BB17-$BA17+1),SUMPRODUCT((YEAR($AC$2:$AX$2)=YEAR(BZ$3))*(MONTH($AC$2:$AX$2)=MONTH(BZ$3))*$AC17:$AX17))</f>
        <v>0</v>
      </c>
      <c r="CA17" s="164" t="n">
        <f aca="false">IF(AND($BA17&gt;0,$BB17&gt;=$BA17),$AA17*MAX(0,MIN($BB17,EOMONTH(CA$3,0))-MAX($BA17,CA$3)+1)/($BB17-$BA17+1),SUMPRODUCT((YEAR($AC$2:$AX$2)=YEAR(CA$3))*(MONTH($AC$2:$AX$2)=MONTH(CA$3))*$AC17:$AX17))</f>
        <v>0</v>
      </c>
      <c r="CB17" s="164" t="n">
        <f aca="false">IF(AND($BA17&gt;0,$BB17&gt;=$BA17),$AA17*MAX(0,MIN($BB17,EOMONTH(CB$3,0))-MAX($BA17,CB$3)+1)/($BB17-$BA17+1),SUMPRODUCT((YEAR($AC$2:$AX$2)=YEAR(CB$3))*(MONTH($AC$2:$AX$2)=MONTH(CB$3))*$AC17:$AX17))</f>
        <v>0</v>
      </c>
      <c r="CC17" s="164" t="n">
        <f aca="false">IF(AND($BA17&gt;0,$BB17&gt;=$BA17),$AA17*MAX(0,MIN($BB17,EOMONTH(CC$3,0))-MAX($BA17,CC$3)+1)/($BB17-$BA17+1),SUMPRODUCT((YEAR($AC$2:$AX$2)=YEAR(CC$3))*(MONTH($AC$2:$AX$2)=MONTH(CC$3))*$AC17:$AX17))</f>
        <v>0</v>
      </c>
      <c r="CD17" s="164" t="n">
        <f aca="false">IF(AND($BA17&gt;0,$BB17&gt;=$BA17),$AA17*MAX(0,MIN($BB17,EOMONTH(CD$3,0))-MAX($BA17,CD$3)+1)/($BB17-$BA17+1),SUMPRODUCT((YEAR($AC$2:$AX$2)=YEAR(CD$3))*(MONTH($AC$2:$AX$2)=MONTH(CD$3))*$AC17:$AX17))</f>
        <v>0</v>
      </c>
      <c r="CE17" s="164" t="n">
        <f aca="false">IF(AND($BA17&gt;0,$BB17&gt;=$BA17),$AA17*MAX(0,MIN($BB17,EOMONTH(CE$3,0))-MAX($BA17,CE$3)+1)/($BB17-$BA17+1),SUMPRODUCT((YEAR($AC$2:$AX$2)=YEAR(CE$3))*(MONTH($AC$2:$AX$2)=MONTH(CE$3))*$AC17:$AX17))</f>
        <v>0</v>
      </c>
      <c r="CF17" s="164" t="n">
        <f aca="false">IF(AND($BA17&gt;0,$BB17&gt;=$BA17),$AA17*MAX(0,MIN($BB17,EOMONTH(CF$3,0))-MAX($BA17,CF$3)+1)/($BB17-$BA17+1),SUMPRODUCT((YEAR($AC$2:$AX$2)=YEAR(CF$3))*(MONTH($AC$2:$AX$2)=MONTH(CF$3))*$AC17:$AX17))</f>
        <v>0</v>
      </c>
      <c r="CG17" s="164" t="n">
        <f aca="false">IF(AND($BA17&gt;0,$BB17&gt;=$BA17),$AA17*MAX(0,MIN($BB17,EOMONTH(CG$3,0))-MAX($BA17,CG$3)+1)/($BB17-$BA17+1),SUMPRODUCT((YEAR($AC$2:$AX$2)=YEAR(CG$3))*(MONTH($AC$2:$AX$2)=MONTH(CG$3))*$AC17:$AX17))</f>
        <v>0</v>
      </c>
      <c r="CH17" s="164" t="n">
        <f aca="false">IF(AND($BA17&gt;0,$BB17&gt;=$BA17),$AA17*MAX(0,MIN($BB17,EOMONTH(CH$3,0))-MAX($BA17,CH$3)+1)/($BB17-$BA17+1),SUMPRODUCT((YEAR($AC$2:$AX$2)=YEAR(CH$3))*(MONTH($AC$2:$AX$2)=MONTH(CH$3))*$AC17:$AX17))</f>
        <v>0</v>
      </c>
      <c r="CI17" s="164" t="n">
        <f aca="false">IF(AND($BA17&gt;0,$BB17&gt;=$BA17),$AA17*MAX(0,MIN($BB17,EOMONTH(CI$3,0))-MAX($BA17,CI$3)+1)/($BB17-$BA17+1),SUMPRODUCT((YEAR($AC$2:$AX$2)=YEAR(CI$3))*(MONTH($AC$2:$AX$2)=MONTH(CI$3))*$AC17:$AX17))</f>
        <v>351305.116704467</v>
      </c>
      <c r="CJ17" s="164" t="n">
        <f aca="false">IF(AND($BA17&gt;0,$BB17&gt;=$BA17),$AA17*MAX(0,MIN($BB17,EOMONTH(CJ$3,0))-MAX($BA17,CJ$3)+1)/($BB17-$BA17+1),SUMPRODUCT((YEAR($AC$2:$AX$2)=YEAR(CJ$3))*(MONTH($AC$2:$AX$2)=MONTH(CJ$3))*$AC17:$AX17))</f>
        <v>156135.607424208</v>
      </c>
      <c r="CK17" s="164" t="n">
        <f aca="false">IF(AND($BA17&gt;0,$BB17&gt;=$BA17),$AA17*MAX(0,MIN($BB17,EOMONTH(CK$3,0))-MAX($BA17,CK$3)+1)/($BB17-$BA17+1),SUMPRODUCT((YEAR($AC$2:$AX$2)=YEAR(CK$3))*(MONTH($AC$2:$AX$2)=MONTH(CK$3))*$AC17:$AX17))</f>
        <v>0</v>
      </c>
      <c r="CL17" s="164" t="n">
        <f aca="false">IF(AND($BA17&gt;0,$BB17&gt;=$BA17),$AA17*MAX(0,MIN($BB17,EOMONTH(CL$3,0))-MAX($BA17,CL$3)+1)/($BB17-$BA17+1),SUMPRODUCT((YEAR($AC$2:$AX$2)=YEAR(CL$3))*(MONTH($AC$2:$AX$2)=MONTH(CL$3))*$AC17:$AX17))</f>
        <v>0</v>
      </c>
      <c r="CM17" s="164" t="n">
        <f aca="false">IF(AND($BA17&gt;0,$BB17&gt;=$BA17),$AA17*MAX(0,MIN($BB17,EOMONTH(CM$3,0))-MAX($BA17,CM$3)+1)/($BB17-$BA17+1),SUMPRODUCT((YEAR($AC$2:$AX$2)=YEAR(CM$3))*(MONTH($AC$2:$AX$2)=MONTH(CM$3))*$AC17:$AX17))</f>
        <v>0</v>
      </c>
      <c r="CN17" s="164" t="n">
        <f aca="false">IF(AND($BA17&gt;0,$BB17&gt;=$BA17),$AA17*MAX(0,MIN($BB17,EOMONTH(CN$3,0))-MAX($BA17,CN$3)+1)/($BB17-$BA17+1),SUMPRODUCT((YEAR($AC$2:$AX$2)=YEAR(CN$3))*(MONTH($AC$2:$AX$2)=MONTH(CN$3))*$AC17:$AX17))</f>
        <v>0</v>
      </c>
      <c r="CO17" s="164" t="n">
        <f aca="false">IF(AND($BA17&gt;0,$BB17&gt;=$BA17),$AA17*MAX(0,MIN($BB17,EOMONTH(CO$3,0))-MAX($BA17,CO$3)+1)/($BB17-$BA17+1),SUMPRODUCT((YEAR($AC$2:$AX$2)=YEAR(CO$3))*(MONTH($AC$2:$AX$2)=MONTH(CO$3))*$AC17:$AX17))</f>
        <v>0</v>
      </c>
      <c r="CP17" s="164" t="n">
        <f aca="false">IF(AND($BA17&gt;0,$BB17&gt;=$BA17),$AA17*MAX(0,MIN($BB17,EOMONTH(CP$3,0))-MAX($BA17,CP$3)+1)/($BB17-$BA17+1),SUMPRODUCT((YEAR($AC$2:$AX$2)=YEAR(CP$3))*(MONTH($AC$2:$AX$2)=MONTH(CP$3))*$AC17:$AX17))</f>
        <v>0</v>
      </c>
      <c r="CQ17" s="164" t="n">
        <f aca="false">IF(AND($BA17&gt;0,$BB17&gt;=$BA17),$AA17*MAX(0,MIN($BB17,EOMONTH(CQ$3,0))-MAX($BA17,CQ$3)+1)/($BB17-$BA17+1),SUMPRODUCT((YEAR($AC$2:$AX$2)=YEAR(CQ$3))*(MONTH($AC$2:$AX$2)=MONTH(CQ$3))*$AC17:$AX17))</f>
        <v>0</v>
      </c>
      <c r="CR17" s="164" t="n">
        <f aca="false">IF(AND($BA17&gt;0,$BB17&gt;=$BA17),$AA17*MAX(0,MIN($BB17,EOMONTH(CR$3,0))-MAX($BA17,CR$3)+1)/($BB17-$BA17+1),SUMPRODUCT((YEAR($AC$2:$AX$2)=YEAR(CR$3))*(MONTH($AC$2:$AX$2)=MONTH(CR$3))*$AC17:$AX17))</f>
        <v>0</v>
      </c>
      <c r="CS17" s="164" t="n">
        <f aca="false">IF(AND($BA17&gt;0,$BB17&gt;=$BA17),$AA17*MAX(0,MIN($BB17,EOMONTH(CS$3,0))-MAX($BA17,CS$3)+1)/($BB17-$BA17+1),SUMPRODUCT((YEAR($AC$2:$AX$2)=YEAR(CS$3))*(MONTH($AC$2:$AX$2)=MONTH(CS$3))*$AC17:$AX17))</f>
        <v>0</v>
      </c>
      <c r="CT17" s="164" t="n">
        <f aca="false">IF(AND($BA17&gt;0,$BB17&gt;=$BA17),$AA17*MAX(0,MIN($BB17,EOMONTH(CT$3,0))-MAX($BA17,CT$3)+1)/($BB17-$BA17+1),SUMPRODUCT((YEAR($AC$2:$AX$2)=YEAR(CT$3))*(MONTH($AC$2:$AX$2)=MONTH(CT$3))*$AC17:$AX17))</f>
        <v>0</v>
      </c>
      <c r="CU17" s="164" t="n">
        <f aca="false">IF(AND($BA17&gt;0,$BB17&gt;=$BA17),$AA17*MAX(0,MIN($BB17,EOMONTH(CU$3,0))-MAX($BA17,CU$3)+1)/($BB17-$BA17+1),SUMPRODUCT((YEAR($AC$2:$AX$2)=YEAR(CU$3))*(MONTH($AC$2:$AX$2)=MONTH(CU$3))*$AC17:$AX17))</f>
        <v>0</v>
      </c>
      <c r="CV17" s="164" t="n">
        <f aca="false">IF(AND($BA17&gt;0,$BB17&gt;=$BA17),$AA17*MAX(0,MIN($BB17,EOMONTH(CV$3,0))-MAX($BA17,CV$3)+1)/($BB17-$BA17+1),SUMPRODUCT((YEAR($AC$2:$AX$2)=YEAR(CV$3))*(MONTH($AC$2:$AX$2)=MONTH(CV$3))*$AC17:$AX17))</f>
        <v>0</v>
      </c>
      <c r="CW17" s="164" t="n">
        <f aca="false">IF(AND($BA17&gt;0,$BB17&gt;=$BA17),$AA17*MAX(0,MIN($BB17,EOMONTH(CW$3,0))-MAX($BA17,CW$3)+1)/($BB17-$BA17+1),SUMPRODUCT((YEAR($AC$2:$AX$2)=YEAR(CW$3))*(MONTH($AC$2:$AX$2)=MONTH(CW$3))*$AC17:$AX17))</f>
        <v>0</v>
      </c>
      <c r="CX17" s="164" t="n">
        <f aca="false">IF(AND($BA17&gt;0,$BB17&gt;=$BA17),$AA17*MAX(0,MIN($BB17,EOMONTH(CX$3,0))-MAX($BA17,CX$3)+1)/($BB17-$BA17+1),SUMPRODUCT((YEAR($AC$2:$AX$2)=YEAR(CX$3))*(MONTH($AC$2:$AX$2)=MONTH(CX$3))*$AC17:$AX17))</f>
        <v>0</v>
      </c>
      <c r="CY17" s="164" t="n">
        <f aca="false">IF(AND($BA17&gt;0,$BB17&gt;=$BA17),$AA17*MAX(0,MIN($BB17,EOMONTH(CY$3,0))-MAX($BA17,CY$3)+1)/($BB17-$BA17+1),SUMPRODUCT((YEAR($AC$2:$AX$2)=YEAR(CY$3))*(MONTH($AC$2:$AX$2)=MONTH(CY$3))*$AC17:$AX17))</f>
        <v>0</v>
      </c>
      <c r="CZ17" s="164" t="n">
        <f aca="false">IF(AND($BA17&gt;0,$BB17&gt;=$BA17),$AA17*MAX(0,MIN($BB17,EOMONTH(CZ$3,0))-MAX($BA17,CZ$3)+1)/($BB17-$BA17+1),SUMPRODUCT((YEAR($AC$2:$AX$2)=YEAR(CZ$3))*(MONTH($AC$2:$AX$2)=MONTH(CZ$3))*$AC17:$AX17))</f>
        <v>0</v>
      </c>
      <c r="DA17" s="164" t="n">
        <f aca="false">IF(AND($BA17&gt;0,$BB17&gt;=$BA17),$AA17*MAX(0,MIN($BB17,EOMONTH(DA$3,0))-MAX($BA17,DA$3)+1)/($BB17-$BA17+1),SUMPRODUCT((YEAR($AC$2:$AX$2)=YEAR(DA$3))*(MONTH($AC$2:$AX$2)=MONTH(DA$3))*$AC17:$AX17))</f>
        <v>0</v>
      </c>
      <c r="DB17" s="164" t="n">
        <f aca="false">IF(AND($BA17&gt;0,$BB17&gt;=$BA17),$AA17*MAX(0,MIN($BB17,EOMONTH(DB$3,0))-MAX($BA17,DB$3)+1)/($BB17-$BA17+1),SUMPRODUCT((YEAR($AC$2:$AX$2)=YEAR(DB$3))*(MONTH($AC$2:$AX$2)=MONTH(DB$3))*$AC17:$AX17))</f>
        <v>0</v>
      </c>
      <c r="DC17" s="164" t="n">
        <f aca="false">IF(AND($BA17&gt;0,$BB17&gt;=$BA17),$AA17*MAX(0,MIN($BB17,EOMONTH(DC$3,0))-MAX($BA17,DC$3)+1)/($BB17-$BA17+1),SUMPRODUCT((YEAR($AC$2:$AX$2)=YEAR(DC$3))*(MONTH($AC$2:$AX$2)=MONTH(DC$3))*$AC17:$AX17))</f>
        <v>0</v>
      </c>
      <c r="DD17" s="164" t="n">
        <f aca="false">IF(AND($BA17&gt;0,$BB17&gt;=$BA17),$AA17*MAX(0,MIN($BB17,EOMONTH(DD$3,0))-MAX($BA17,DD$3)+1)/($BB17-$BA17+1),SUMPRODUCT((YEAR($AC$2:$AX$2)=YEAR(DD$3))*(MONTH($AC$2:$AX$2)=MONTH(DD$3))*$AC17:$AX17))</f>
        <v>0</v>
      </c>
      <c r="DE17" s="164" t="n">
        <f aca="false">IF(AND($BA17&gt;0,$BB17&gt;=$BA17),$AA17*MAX(0,MIN($BB17,EOMONTH(DE$3,0))-MAX($BA17,DE$3)+1)/($BB17-$BA17+1),SUMPRODUCT((YEAR($AC$2:$AX$2)=YEAR(DE$3))*(MONTH($AC$2:$AX$2)=MONTH(DE$3))*$AC17:$AX17))</f>
        <v>0</v>
      </c>
      <c r="DF17" s="164" t="n">
        <f aca="false">IF(AND($BA17&gt;0,$BB17&gt;=$BA17),$AA17*MAX(0,MIN($BB17,EOMONTH(DF$3,0))-MAX($BA17,DF$3)+1)/($BB17-$BA17+1),SUMPRODUCT((YEAR($AC$2:$AX$2)=YEAR(DF$3))*(MONTH($AC$2:$AX$2)=MONTH(DF$3))*$AC17:$AX17))</f>
        <v>0</v>
      </c>
      <c r="DG17" s="164" t="n">
        <f aca="false">IF(AND($BA17&gt;0,$BB17&gt;=$BA17),$AA17*MAX(0,MIN($BB17,EOMONTH(DG$3,0))-MAX($BA17,DG$3)+1)/($BB17-$BA17+1),SUMPRODUCT((YEAR($AC$2:$AX$2)=YEAR(DG$3))*(MONTH($AC$2:$AX$2)=MONTH(DG$3))*$AC17:$AX17))</f>
        <v>0</v>
      </c>
      <c r="DH17" s="164" t="n">
        <f aca="false">IF(AND($BA17&gt;0,$BB17&gt;=$BA17),$AA17*MAX(0,MIN($BB17,EOMONTH(DH$3,0))-MAX($BA17,DH$3)+1)/($BB17-$BA17+1),SUMPRODUCT((YEAR($AC$2:$AX$2)=YEAR(DH$3))*(MONTH($AC$2:$AX$2)=MONTH(DH$3))*$AC17:$AX17))</f>
        <v>0</v>
      </c>
      <c r="DI17" s="164" t="n">
        <f aca="false">IF(AND($BA17&gt;0,$BB17&gt;=$BA17),$AA17*MAX(0,MIN($BB17,EOMONTH(DI$3,0))-MAX($BA17,DI$3)+1)/($BB17-$BA17+1),SUMPRODUCT((YEAR($AC$2:$AX$2)=YEAR(DI$3))*(MONTH($AC$2:$AX$2)=MONTH(DI$3))*$AC17:$AX17))</f>
        <v>0</v>
      </c>
      <c r="DJ17" s="164" t="n">
        <f aca="false">IF(AND($BA17&gt;0,$BB17&gt;=$BA17),$AA17*MAX(0,MIN($BB17,EOMONTH(DJ$3,0))-MAX($BA17,DJ$3)+1)/($BB17-$BA17+1),SUMPRODUCT((YEAR($AC$2:$AX$2)=YEAR(DJ$3))*(MONTH($AC$2:$AX$2)=MONTH(DJ$3))*$AC17:$AX17))</f>
        <v>0</v>
      </c>
      <c r="DK17" s="164" t="n">
        <f aca="false">IF(AND($BA17&gt;0,$BB17&gt;=$BA17),$AA17*MAX(0,MIN($BB17,EOMONTH(DK$3,0))-MAX($BA17,DK$3)+1)/($BB17-$BA17+1),SUMPRODUCT((YEAR($AC$2:$AX$2)=YEAR(DK$3))*(MONTH($AC$2:$AX$2)=MONTH(DK$3))*$AC17:$AX17))</f>
        <v>0</v>
      </c>
      <c r="DL17" s="164" t="n">
        <f aca="false">IF(AND($BA17&gt;0,$BB17&gt;=$BA17),$AA17*MAX(0,MIN($BB17,EOMONTH(DL$3,0))-MAX($BA17,DL$3)+1)/($BB17-$BA17+1),SUMPRODUCT((YEAR($AC$2:$AX$2)=YEAR(DL$3))*(MONTH($AC$2:$AX$2)=MONTH(DL$3))*$AC17:$AX17))</f>
        <v>0</v>
      </c>
      <c r="DM17" s="164" t="n">
        <f aca="false">IF(AND($BA17&gt;0,$BB17&gt;=$BA17),$AA17*MAX(0,MIN($BB17,EOMONTH(DM$3,0))-MAX($BA17,DM$3)+1)/($BB17-$BA17+1),SUMPRODUCT((YEAR($AC$2:$AX$2)=YEAR(DM$3))*(MONTH($AC$2:$AX$2)=MONTH(DM$3))*$AC17:$AX17))</f>
        <v>0</v>
      </c>
      <c r="DN17" s="164" t="n">
        <f aca="false">IF(AND($BA17&gt;0,$BB17&gt;=$BA17),$AA17*MAX(0,MIN($BB17,EOMONTH(DN$3,0))-MAX($BA17,DN$3)+1)/($BB17-$BA17+1),SUMPRODUCT((YEAR($AC$2:$AX$2)=YEAR(DN$3))*(MONTH($AC$2:$AX$2)=MONTH(DN$3))*$AC17:$AX17))</f>
        <v>0</v>
      </c>
      <c r="DO17" s="164" t="n">
        <f aca="false">IF(AND($BA17&gt;0,$BB17&gt;=$BA17),$AA17*MAX(0,MIN($BB17,EOMONTH(DO$3,0))-MAX($BA17,DO$3)+1)/($BB17-$BA17+1),SUMPRODUCT((YEAR($AC$2:$AX$2)=YEAR(DO$3))*(MONTH($AC$2:$AX$2)=MONTH(DO$3))*$AC17:$AX17))</f>
        <v>0</v>
      </c>
      <c r="DP17" s="164" t="n">
        <f aca="false">IF(AND($BA17&gt;0,$BB17&gt;=$BA17),$AA17*MAX(0,MIN($BB17,EOMONTH(DP$3,0))-MAX($BA17,DP$3)+1)/($BB17-$BA17+1),SUMPRODUCT((YEAR($AC$2:$AX$2)=YEAR(DP$3))*(MONTH($AC$2:$AX$2)=MONTH(DP$3))*$AC17:$AX17))</f>
        <v>0</v>
      </c>
      <c r="DQ17" s="164" t="n">
        <f aca="false">IF(AND($BA17&gt;0,$BB17&gt;=$BA17),$AA17*MAX(0,MIN($BB17,EOMONTH(DQ$3,0))-MAX($BA17,DQ$3)+1)/($BB17-$BA17+1),SUMPRODUCT((YEAR($AC$2:$AX$2)=YEAR(DQ$3))*(MONTH($AC$2:$AX$2)=MONTH(DQ$3))*$AC17:$AX17))</f>
        <v>0</v>
      </c>
      <c r="DR17" s="164" t="n">
        <f aca="false">IF(AND($BA17&gt;0,$BB17&gt;=$BA17),$AA17*MAX(0,MIN($BB17,EOMONTH(DR$3,0))-MAX($BA17,DR$3)+1)/($BB17-$BA17+1),SUMPRODUCT((YEAR($AC$2:$AX$2)=YEAR(DR$3))*(MONTH($AC$2:$AX$2)=MONTH(DR$3))*$AC17:$AX17))</f>
        <v>0</v>
      </c>
      <c r="DS17" s="164" t="n">
        <f aca="false">IF(AND($BA17&gt;0,$BB17&gt;=$BA17),$AA17*MAX(0,MIN($BB17,EOMONTH(DS$3,0))-MAX($BA17,DS$3)+1)/($BB17-$BA17+1),SUMPRODUCT((YEAR($AC$2:$AX$2)=YEAR(DS$3))*(MONTH($AC$2:$AX$2)=MONTH(DS$3))*$AC17:$AX17))</f>
        <v>0</v>
      </c>
      <c r="DT17" s="164" t="n">
        <f aca="false">IF(AND($BA17&gt;0,$BB17&gt;=$BA17),$AA17*MAX(0,MIN($BB17,EOMONTH(DT$3,0))-MAX($BA17,DT$3)+1)/($BB17-$BA17+1),SUMPRODUCT((YEAR($AC$2:$AX$2)=YEAR(DT$3))*(MONTH($AC$2:$AX$2)=MONTH(DT$3))*$AC17:$AX17))</f>
        <v>0</v>
      </c>
      <c r="DU17" s="164" t="n">
        <f aca="false">IF(AND($BA17&gt;0,$BB17&gt;=$BA17),$AA17*MAX(0,MIN($BB17,EOMONTH(DU$3,0))-MAX($BA17,DU$3)+1)/($BB17-$BA17+1),SUMPRODUCT((YEAR($AC$2:$AX$2)=YEAR(DU$3))*(MONTH($AC$2:$AX$2)=MONTH(DU$3))*$AC17:$AX17))</f>
        <v>0</v>
      </c>
      <c r="DV17" s="164" t="n">
        <f aca="false">IF(AND($BA17&gt;0,$BB17&gt;=$BA17),$AA17*MAX(0,MIN($BB17,EOMONTH(DV$3,0))-MAX($BA17,DV$3)+1)/($BB17-$BA17+1),SUMPRODUCT((YEAR($AC$2:$AX$2)=YEAR(DV$3))*(MONTH($AC$2:$AX$2)=MONTH(DV$3))*$AC17:$AX17))</f>
        <v>0</v>
      </c>
      <c r="DW17" s="164" t="n">
        <f aca="false">IF(AND($BA17&gt;0,$BB17&gt;=$BA17),$AA17*MAX(0,MIN($BB17,EOMONTH(DW$3,0))-MAX($BA17,DW$3)+1)/($BB17-$BA17+1),SUMPRODUCT((YEAR($AC$2:$AX$2)=YEAR(DW$3))*(MONTH($AC$2:$AX$2)=MONTH(DW$3))*$AC17:$AX17))</f>
        <v>0</v>
      </c>
    </row>
    <row r="18" customFormat="false" ht="15" hidden="false" customHeight="false" outlineLevel="0" collapsed="false">
      <c r="H18" s="150" t="s">
        <v>2976</v>
      </c>
      <c r="J18" s="152" t="n">
        <v>700.6245</v>
      </c>
      <c r="K18" s="152" t="n">
        <v>242.8</v>
      </c>
      <c r="L18" s="152" t="n">
        <v>1353.789475</v>
      </c>
      <c r="O18" s="152" t="n">
        <v>19054.25</v>
      </c>
      <c r="P18" s="152" t="n">
        <v>700.6245</v>
      </c>
      <c r="S18" s="149" t="n">
        <f aca="false">K18*($D$58+$D$57)</f>
        <v>155203.7086</v>
      </c>
      <c r="T18" s="149" t="n">
        <f aca="false">L18*$D$47</f>
        <v>180460.1370175</v>
      </c>
      <c r="V18" s="149" t="n">
        <f aca="false">O18*($D$54)</f>
        <v>110763.3079625</v>
      </c>
      <c r="W18" s="149" t="n">
        <f aca="false">O18*($D$49)</f>
        <v>53256.62875</v>
      </c>
      <c r="Y18" s="149" t="n">
        <f aca="false">SUM(P18:Q18)*($D$50+$D$52)</f>
        <v>9521.592048675</v>
      </c>
      <c r="AA18" s="149" t="n">
        <f aca="false">SUM(S18:Y18)</f>
        <v>509205.374378675</v>
      </c>
      <c r="AP18" s="149" t="n">
        <f aca="false">AA18</f>
        <v>509205.374378675</v>
      </c>
      <c r="AZ18" s="162" t="s">
        <v>2823</v>
      </c>
      <c r="BA18" s="163" t="n">
        <f aca="false">IF(AZ18="",0,SUMPRODUCT(('CRONOGRAMA ATIVIDADES'!$C$5:$C$6004="ESTRUTURA")*('CRONOGRAMA ATIVIDADES'!$E$5:$E$6004=AZ18)*('CRONOGRAMA ATIVIDADES'!$D$5:$D$6004="-")*'CRONOGRAMA ATIVIDADES'!$F$5:$F$6004))</f>
        <v>46581</v>
      </c>
      <c r="BB18" s="163" t="n">
        <f aca="false">IF(AZ18="",0,SUMPRODUCT(('CRONOGRAMA ATIVIDADES'!$C$5:$C$6004="ESTRUTURA")*('CRONOGRAMA ATIVIDADES'!$E$5:$E$6004=AZ18)*('CRONOGRAMA ATIVIDADES'!$D$5:$D$6004="-")*'CRONOGRAMA ATIVIDADES'!$G$5:$G$6004))</f>
        <v>46590</v>
      </c>
      <c r="BD18" s="164" t="n">
        <f aca="false">IF(AND($BA18&gt;0,$BB18&gt;=$BA18),$AA18*MAX(0,MIN($BB18,EOMONTH(BD$3,0))-MAX($BA18,BD$3)+1)/($BB18-$BA18+1),SUMPRODUCT((YEAR($AC$2:$AX$2)=YEAR(BD$3))*(MONTH($AC$2:$AX$2)=MONTH(BD$3))*$AC18:$AX18))</f>
        <v>0</v>
      </c>
      <c r="BE18" s="164" t="n">
        <f aca="false">IF(AND($BA18&gt;0,$BB18&gt;=$BA18),$AA18*MAX(0,MIN($BB18,EOMONTH(BE$3,0))-MAX($BA18,BE$3)+1)/($BB18-$BA18+1),SUMPRODUCT((YEAR($AC$2:$AX$2)=YEAR(BE$3))*(MONTH($AC$2:$AX$2)=MONTH(BE$3))*$AC18:$AX18))</f>
        <v>0</v>
      </c>
      <c r="BF18" s="164" t="n">
        <f aca="false">IF(AND($BA18&gt;0,$BB18&gt;=$BA18),$AA18*MAX(0,MIN($BB18,EOMONTH(BF$3,0))-MAX($BA18,BF$3)+1)/($BB18-$BA18+1),SUMPRODUCT((YEAR($AC$2:$AX$2)=YEAR(BF$3))*(MONTH($AC$2:$AX$2)=MONTH(BF$3))*$AC18:$AX18))</f>
        <v>0</v>
      </c>
      <c r="BG18" s="164" t="n">
        <f aca="false">IF(AND($BA18&gt;0,$BB18&gt;=$BA18),$AA18*MAX(0,MIN($BB18,EOMONTH(BG$3,0))-MAX($BA18,BG$3)+1)/($BB18-$BA18+1),SUMPRODUCT((YEAR($AC$2:$AX$2)=YEAR(BG$3))*(MONTH($AC$2:$AX$2)=MONTH(BG$3))*$AC18:$AX18))</f>
        <v>0</v>
      </c>
      <c r="BH18" s="164" t="n">
        <f aca="false">IF(AND($BA18&gt;0,$BB18&gt;=$BA18),$AA18*MAX(0,MIN($BB18,EOMONTH(BH$3,0))-MAX($BA18,BH$3)+1)/($BB18-$BA18+1),SUMPRODUCT((YEAR($AC$2:$AX$2)=YEAR(BH$3))*(MONTH($AC$2:$AX$2)=MONTH(BH$3))*$AC18:$AX18))</f>
        <v>0</v>
      </c>
      <c r="BI18" s="164" t="n">
        <f aca="false">IF(AND($BA18&gt;0,$BB18&gt;=$BA18),$AA18*MAX(0,MIN($BB18,EOMONTH(BI$3,0))-MAX($BA18,BI$3)+1)/($BB18-$BA18+1),SUMPRODUCT((YEAR($AC$2:$AX$2)=YEAR(BI$3))*(MONTH($AC$2:$AX$2)=MONTH(BI$3))*$AC18:$AX18))</f>
        <v>0</v>
      </c>
      <c r="BJ18" s="164" t="n">
        <f aca="false">IF(AND($BA18&gt;0,$BB18&gt;=$BA18),$AA18*MAX(0,MIN($BB18,EOMONTH(BJ$3,0))-MAX($BA18,BJ$3)+1)/($BB18-$BA18+1),SUMPRODUCT((YEAR($AC$2:$AX$2)=YEAR(BJ$3))*(MONTH($AC$2:$AX$2)=MONTH(BJ$3))*$AC18:$AX18))</f>
        <v>0</v>
      </c>
      <c r="BK18" s="164" t="n">
        <f aca="false">IF(AND($BA18&gt;0,$BB18&gt;=$BA18),$AA18*MAX(0,MIN($BB18,EOMONTH(BK$3,0))-MAX($BA18,BK$3)+1)/($BB18-$BA18+1),SUMPRODUCT((YEAR($AC$2:$AX$2)=YEAR(BK$3))*(MONTH($AC$2:$AX$2)=MONTH(BK$3))*$AC18:$AX18))</f>
        <v>0</v>
      </c>
      <c r="BL18" s="164" t="n">
        <f aca="false">IF(AND($BA18&gt;0,$BB18&gt;=$BA18),$AA18*MAX(0,MIN($BB18,EOMONTH(BL$3,0))-MAX($BA18,BL$3)+1)/($BB18-$BA18+1),SUMPRODUCT((YEAR($AC$2:$AX$2)=YEAR(BL$3))*(MONTH($AC$2:$AX$2)=MONTH(BL$3))*$AC18:$AX18))</f>
        <v>0</v>
      </c>
      <c r="BM18" s="164" t="n">
        <f aca="false">IF(AND($BA18&gt;0,$BB18&gt;=$BA18),$AA18*MAX(0,MIN($BB18,EOMONTH(BM$3,0))-MAX($BA18,BM$3)+1)/($BB18-$BA18+1),SUMPRODUCT((YEAR($AC$2:$AX$2)=YEAR(BM$3))*(MONTH($AC$2:$AX$2)=MONTH(BM$3))*$AC18:$AX18))</f>
        <v>0</v>
      </c>
      <c r="BN18" s="164" t="n">
        <f aca="false">IF(AND($BA18&gt;0,$BB18&gt;=$BA18),$AA18*MAX(0,MIN($BB18,EOMONTH(BN$3,0))-MAX($BA18,BN$3)+1)/($BB18-$BA18+1),SUMPRODUCT((YEAR($AC$2:$AX$2)=YEAR(BN$3))*(MONTH($AC$2:$AX$2)=MONTH(BN$3))*$AC18:$AX18))</f>
        <v>0</v>
      </c>
      <c r="BO18" s="164" t="n">
        <f aca="false">IF(AND($BA18&gt;0,$BB18&gt;=$BA18),$AA18*MAX(0,MIN($BB18,EOMONTH(BO$3,0))-MAX($BA18,BO$3)+1)/($BB18-$BA18+1),SUMPRODUCT((YEAR($AC$2:$AX$2)=YEAR(BO$3))*(MONTH($AC$2:$AX$2)=MONTH(BO$3))*$AC18:$AX18))</f>
        <v>0</v>
      </c>
      <c r="BP18" s="164" t="n">
        <f aca="false">IF(AND($BA18&gt;0,$BB18&gt;=$BA18),$AA18*MAX(0,MIN($BB18,EOMONTH(BP$3,0))-MAX($BA18,BP$3)+1)/($BB18-$BA18+1),SUMPRODUCT((YEAR($AC$2:$AX$2)=YEAR(BP$3))*(MONTH($AC$2:$AX$2)=MONTH(BP$3))*$AC18:$AX18))</f>
        <v>0</v>
      </c>
      <c r="BQ18" s="164" t="n">
        <f aca="false">IF(AND($BA18&gt;0,$BB18&gt;=$BA18),$AA18*MAX(0,MIN($BB18,EOMONTH(BQ$3,0))-MAX($BA18,BQ$3)+1)/($BB18-$BA18+1),SUMPRODUCT((YEAR($AC$2:$AX$2)=YEAR(BQ$3))*(MONTH($AC$2:$AX$2)=MONTH(BQ$3))*$AC18:$AX18))</f>
        <v>0</v>
      </c>
      <c r="BR18" s="164" t="n">
        <f aca="false">IF(AND($BA18&gt;0,$BB18&gt;=$BA18),$AA18*MAX(0,MIN($BB18,EOMONTH(BR$3,0))-MAX($BA18,BR$3)+1)/($BB18-$BA18+1),SUMPRODUCT((YEAR($AC$2:$AX$2)=YEAR(BR$3))*(MONTH($AC$2:$AX$2)=MONTH(BR$3))*$AC18:$AX18))</f>
        <v>0</v>
      </c>
      <c r="BS18" s="164" t="n">
        <f aca="false">IF(AND($BA18&gt;0,$BB18&gt;=$BA18),$AA18*MAX(0,MIN($BB18,EOMONTH(BS$3,0))-MAX($BA18,BS$3)+1)/($BB18-$BA18+1),SUMPRODUCT((YEAR($AC$2:$AX$2)=YEAR(BS$3))*(MONTH($AC$2:$AX$2)=MONTH(BS$3))*$AC18:$AX18))</f>
        <v>0</v>
      </c>
      <c r="BT18" s="164" t="n">
        <f aca="false">IF(AND($BA18&gt;0,$BB18&gt;=$BA18),$AA18*MAX(0,MIN($BB18,EOMONTH(BT$3,0))-MAX($BA18,BT$3)+1)/($BB18-$BA18+1),SUMPRODUCT((YEAR($AC$2:$AX$2)=YEAR(BT$3))*(MONTH($AC$2:$AX$2)=MONTH(BT$3))*$AC18:$AX18))</f>
        <v>0</v>
      </c>
      <c r="BU18" s="164" t="n">
        <f aca="false">IF(AND($BA18&gt;0,$BB18&gt;=$BA18),$AA18*MAX(0,MIN($BB18,EOMONTH(BU$3,0))-MAX($BA18,BU$3)+1)/($BB18-$BA18+1),SUMPRODUCT((YEAR($AC$2:$AX$2)=YEAR(BU$3))*(MONTH($AC$2:$AX$2)=MONTH(BU$3))*$AC18:$AX18))</f>
        <v>0</v>
      </c>
      <c r="BV18" s="164" t="n">
        <f aca="false">IF(AND($BA18&gt;0,$BB18&gt;=$BA18),$AA18*MAX(0,MIN($BB18,EOMONTH(BV$3,0))-MAX($BA18,BV$3)+1)/($BB18-$BA18+1),SUMPRODUCT((YEAR($AC$2:$AX$2)=YEAR(BV$3))*(MONTH($AC$2:$AX$2)=MONTH(BV$3))*$AC18:$AX18))</f>
        <v>0</v>
      </c>
      <c r="BW18" s="164" t="n">
        <f aca="false">IF(AND($BA18&gt;0,$BB18&gt;=$BA18),$AA18*MAX(0,MIN($BB18,EOMONTH(BW$3,0))-MAX($BA18,BW$3)+1)/($BB18-$BA18+1),SUMPRODUCT((YEAR($AC$2:$AX$2)=YEAR(BW$3))*(MONTH($AC$2:$AX$2)=MONTH(BW$3))*$AC18:$AX18))</f>
        <v>0</v>
      </c>
      <c r="BX18" s="164" t="n">
        <f aca="false">IF(AND($BA18&gt;0,$BB18&gt;=$BA18),$AA18*MAX(0,MIN($BB18,EOMONTH(BX$3,0))-MAX($BA18,BX$3)+1)/($BB18-$BA18+1),SUMPRODUCT((YEAR($AC$2:$AX$2)=YEAR(BX$3))*(MONTH($AC$2:$AX$2)=MONTH(BX$3))*$AC18:$AX18))</f>
        <v>0</v>
      </c>
      <c r="BY18" s="164" t="n">
        <f aca="false">IF(AND($BA18&gt;0,$BB18&gt;=$BA18),$AA18*MAX(0,MIN($BB18,EOMONTH(BY$3,0))-MAX($BA18,BY$3)+1)/($BB18-$BA18+1),SUMPRODUCT((YEAR($AC$2:$AX$2)=YEAR(BY$3))*(MONTH($AC$2:$AX$2)=MONTH(BY$3))*$AC18:$AX18))</f>
        <v>0</v>
      </c>
      <c r="BZ18" s="164" t="n">
        <f aca="false">IF(AND($BA18&gt;0,$BB18&gt;=$BA18),$AA18*MAX(0,MIN($BB18,EOMONTH(BZ$3,0))-MAX($BA18,BZ$3)+1)/($BB18-$BA18+1),SUMPRODUCT((YEAR($AC$2:$AX$2)=YEAR(BZ$3))*(MONTH($AC$2:$AX$2)=MONTH(BZ$3))*$AC18:$AX18))</f>
        <v>0</v>
      </c>
      <c r="CA18" s="164" t="n">
        <f aca="false">IF(AND($BA18&gt;0,$BB18&gt;=$BA18),$AA18*MAX(0,MIN($BB18,EOMONTH(CA$3,0))-MAX($BA18,CA$3)+1)/($BB18-$BA18+1),SUMPRODUCT((YEAR($AC$2:$AX$2)=YEAR(CA$3))*(MONTH($AC$2:$AX$2)=MONTH(CA$3))*$AC18:$AX18))</f>
        <v>0</v>
      </c>
      <c r="CB18" s="164" t="n">
        <f aca="false">IF(AND($BA18&gt;0,$BB18&gt;=$BA18),$AA18*MAX(0,MIN($BB18,EOMONTH(CB$3,0))-MAX($BA18,CB$3)+1)/($BB18-$BA18+1),SUMPRODUCT((YEAR($AC$2:$AX$2)=YEAR(CB$3))*(MONTH($AC$2:$AX$2)=MONTH(CB$3))*$AC18:$AX18))</f>
        <v>0</v>
      </c>
      <c r="CC18" s="164" t="n">
        <f aca="false">IF(AND($BA18&gt;0,$BB18&gt;=$BA18),$AA18*MAX(0,MIN($BB18,EOMONTH(CC$3,0))-MAX($BA18,CC$3)+1)/($BB18-$BA18+1),SUMPRODUCT((YEAR($AC$2:$AX$2)=YEAR(CC$3))*(MONTH($AC$2:$AX$2)=MONTH(CC$3))*$AC18:$AX18))</f>
        <v>0</v>
      </c>
      <c r="CD18" s="164" t="n">
        <f aca="false">IF(AND($BA18&gt;0,$BB18&gt;=$BA18),$AA18*MAX(0,MIN($BB18,EOMONTH(CD$3,0))-MAX($BA18,CD$3)+1)/($BB18-$BA18+1),SUMPRODUCT((YEAR($AC$2:$AX$2)=YEAR(CD$3))*(MONTH($AC$2:$AX$2)=MONTH(CD$3))*$AC18:$AX18))</f>
        <v>0</v>
      </c>
      <c r="CE18" s="164" t="n">
        <f aca="false">IF(AND($BA18&gt;0,$BB18&gt;=$BA18),$AA18*MAX(0,MIN($BB18,EOMONTH(CE$3,0))-MAX($BA18,CE$3)+1)/($BB18-$BA18+1),SUMPRODUCT((YEAR($AC$2:$AX$2)=YEAR(CE$3))*(MONTH($AC$2:$AX$2)=MONTH(CE$3))*$AC18:$AX18))</f>
        <v>0</v>
      </c>
      <c r="CF18" s="164" t="n">
        <f aca="false">IF(AND($BA18&gt;0,$BB18&gt;=$BA18),$AA18*MAX(0,MIN($BB18,EOMONTH(CF$3,0))-MAX($BA18,CF$3)+1)/($BB18-$BA18+1),SUMPRODUCT((YEAR($AC$2:$AX$2)=YEAR(CF$3))*(MONTH($AC$2:$AX$2)=MONTH(CF$3))*$AC18:$AX18))</f>
        <v>0</v>
      </c>
      <c r="CG18" s="164" t="n">
        <f aca="false">IF(AND($BA18&gt;0,$BB18&gt;=$BA18),$AA18*MAX(0,MIN($BB18,EOMONTH(CG$3,0))-MAX($BA18,CG$3)+1)/($BB18-$BA18+1),SUMPRODUCT((YEAR($AC$2:$AX$2)=YEAR(CG$3))*(MONTH($AC$2:$AX$2)=MONTH(CG$3))*$AC18:$AX18))</f>
        <v>0</v>
      </c>
      <c r="CH18" s="164" t="n">
        <f aca="false">IF(AND($BA18&gt;0,$BB18&gt;=$BA18),$AA18*MAX(0,MIN($BB18,EOMONTH(CH$3,0))-MAX($BA18,CH$3)+1)/($BB18-$BA18+1),SUMPRODUCT((YEAR($AC$2:$AX$2)=YEAR(CH$3))*(MONTH($AC$2:$AX$2)=MONTH(CH$3))*$AC18:$AX18))</f>
        <v>0</v>
      </c>
      <c r="CI18" s="164" t="n">
        <f aca="false">IF(AND($BA18&gt;0,$BB18&gt;=$BA18),$AA18*MAX(0,MIN($BB18,EOMONTH(CI$3,0))-MAX($BA18,CI$3)+1)/($BB18-$BA18+1),SUMPRODUCT((YEAR($AC$2:$AX$2)=YEAR(CI$3))*(MONTH($AC$2:$AX$2)=MONTH(CI$3))*$AC18:$AX18))</f>
        <v>509205.374378675</v>
      </c>
      <c r="CJ18" s="164" t="n">
        <f aca="false">IF(AND($BA18&gt;0,$BB18&gt;=$BA18),$AA18*MAX(0,MIN($BB18,EOMONTH(CJ$3,0))-MAX($BA18,CJ$3)+1)/($BB18-$BA18+1),SUMPRODUCT((YEAR($AC$2:$AX$2)=YEAR(CJ$3))*(MONTH($AC$2:$AX$2)=MONTH(CJ$3))*$AC18:$AX18))</f>
        <v>0</v>
      </c>
      <c r="CK18" s="164" t="n">
        <f aca="false">IF(AND($BA18&gt;0,$BB18&gt;=$BA18),$AA18*MAX(0,MIN($BB18,EOMONTH(CK$3,0))-MAX($BA18,CK$3)+1)/($BB18-$BA18+1),SUMPRODUCT((YEAR($AC$2:$AX$2)=YEAR(CK$3))*(MONTH($AC$2:$AX$2)=MONTH(CK$3))*$AC18:$AX18))</f>
        <v>0</v>
      </c>
      <c r="CL18" s="164" t="n">
        <f aca="false">IF(AND($BA18&gt;0,$BB18&gt;=$BA18),$AA18*MAX(0,MIN($BB18,EOMONTH(CL$3,0))-MAX($BA18,CL$3)+1)/($BB18-$BA18+1),SUMPRODUCT((YEAR($AC$2:$AX$2)=YEAR(CL$3))*(MONTH($AC$2:$AX$2)=MONTH(CL$3))*$AC18:$AX18))</f>
        <v>0</v>
      </c>
      <c r="CM18" s="164" t="n">
        <f aca="false">IF(AND($BA18&gt;0,$BB18&gt;=$BA18),$AA18*MAX(0,MIN($BB18,EOMONTH(CM$3,0))-MAX($BA18,CM$3)+1)/($BB18-$BA18+1),SUMPRODUCT((YEAR($AC$2:$AX$2)=YEAR(CM$3))*(MONTH($AC$2:$AX$2)=MONTH(CM$3))*$AC18:$AX18))</f>
        <v>0</v>
      </c>
      <c r="CN18" s="164" t="n">
        <f aca="false">IF(AND($BA18&gt;0,$BB18&gt;=$BA18),$AA18*MAX(0,MIN($BB18,EOMONTH(CN$3,0))-MAX($BA18,CN$3)+1)/($BB18-$BA18+1),SUMPRODUCT((YEAR($AC$2:$AX$2)=YEAR(CN$3))*(MONTH($AC$2:$AX$2)=MONTH(CN$3))*$AC18:$AX18))</f>
        <v>0</v>
      </c>
      <c r="CO18" s="164" t="n">
        <f aca="false">IF(AND($BA18&gt;0,$BB18&gt;=$BA18),$AA18*MAX(0,MIN($BB18,EOMONTH(CO$3,0))-MAX($BA18,CO$3)+1)/($BB18-$BA18+1),SUMPRODUCT((YEAR($AC$2:$AX$2)=YEAR(CO$3))*(MONTH($AC$2:$AX$2)=MONTH(CO$3))*$AC18:$AX18))</f>
        <v>0</v>
      </c>
      <c r="CP18" s="164" t="n">
        <f aca="false">IF(AND($BA18&gt;0,$BB18&gt;=$BA18),$AA18*MAX(0,MIN($BB18,EOMONTH(CP$3,0))-MAX($BA18,CP$3)+1)/($BB18-$BA18+1),SUMPRODUCT((YEAR($AC$2:$AX$2)=YEAR(CP$3))*(MONTH($AC$2:$AX$2)=MONTH(CP$3))*$AC18:$AX18))</f>
        <v>0</v>
      </c>
      <c r="CQ18" s="164" t="n">
        <f aca="false">IF(AND($BA18&gt;0,$BB18&gt;=$BA18),$AA18*MAX(0,MIN($BB18,EOMONTH(CQ$3,0))-MAX($BA18,CQ$3)+1)/($BB18-$BA18+1),SUMPRODUCT((YEAR($AC$2:$AX$2)=YEAR(CQ$3))*(MONTH($AC$2:$AX$2)=MONTH(CQ$3))*$AC18:$AX18))</f>
        <v>0</v>
      </c>
      <c r="CR18" s="164" t="n">
        <f aca="false">IF(AND($BA18&gt;0,$BB18&gt;=$BA18),$AA18*MAX(0,MIN($BB18,EOMONTH(CR$3,0))-MAX($BA18,CR$3)+1)/($BB18-$BA18+1),SUMPRODUCT((YEAR($AC$2:$AX$2)=YEAR(CR$3))*(MONTH($AC$2:$AX$2)=MONTH(CR$3))*$AC18:$AX18))</f>
        <v>0</v>
      </c>
      <c r="CS18" s="164" t="n">
        <f aca="false">IF(AND($BA18&gt;0,$BB18&gt;=$BA18),$AA18*MAX(0,MIN($BB18,EOMONTH(CS$3,0))-MAX($BA18,CS$3)+1)/($BB18-$BA18+1),SUMPRODUCT((YEAR($AC$2:$AX$2)=YEAR(CS$3))*(MONTH($AC$2:$AX$2)=MONTH(CS$3))*$AC18:$AX18))</f>
        <v>0</v>
      </c>
      <c r="CT18" s="164" t="n">
        <f aca="false">IF(AND($BA18&gt;0,$BB18&gt;=$BA18),$AA18*MAX(0,MIN($BB18,EOMONTH(CT$3,0))-MAX($BA18,CT$3)+1)/($BB18-$BA18+1),SUMPRODUCT((YEAR($AC$2:$AX$2)=YEAR(CT$3))*(MONTH($AC$2:$AX$2)=MONTH(CT$3))*$AC18:$AX18))</f>
        <v>0</v>
      </c>
      <c r="CU18" s="164" t="n">
        <f aca="false">IF(AND($BA18&gt;0,$BB18&gt;=$BA18),$AA18*MAX(0,MIN($BB18,EOMONTH(CU$3,0))-MAX($BA18,CU$3)+1)/($BB18-$BA18+1),SUMPRODUCT((YEAR($AC$2:$AX$2)=YEAR(CU$3))*(MONTH($AC$2:$AX$2)=MONTH(CU$3))*$AC18:$AX18))</f>
        <v>0</v>
      </c>
      <c r="CV18" s="164" t="n">
        <f aca="false">IF(AND($BA18&gt;0,$BB18&gt;=$BA18),$AA18*MAX(0,MIN($BB18,EOMONTH(CV$3,0))-MAX($BA18,CV$3)+1)/($BB18-$BA18+1),SUMPRODUCT((YEAR($AC$2:$AX$2)=YEAR(CV$3))*(MONTH($AC$2:$AX$2)=MONTH(CV$3))*$AC18:$AX18))</f>
        <v>0</v>
      </c>
      <c r="CW18" s="164" t="n">
        <f aca="false">IF(AND($BA18&gt;0,$BB18&gt;=$BA18),$AA18*MAX(0,MIN($BB18,EOMONTH(CW$3,0))-MAX($BA18,CW$3)+1)/($BB18-$BA18+1),SUMPRODUCT((YEAR($AC$2:$AX$2)=YEAR(CW$3))*(MONTH($AC$2:$AX$2)=MONTH(CW$3))*$AC18:$AX18))</f>
        <v>0</v>
      </c>
      <c r="CX18" s="164" t="n">
        <f aca="false">IF(AND($BA18&gt;0,$BB18&gt;=$BA18),$AA18*MAX(0,MIN($BB18,EOMONTH(CX$3,0))-MAX($BA18,CX$3)+1)/($BB18-$BA18+1),SUMPRODUCT((YEAR($AC$2:$AX$2)=YEAR(CX$3))*(MONTH($AC$2:$AX$2)=MONTH(CX$3))*$AC18:$AX18))</f>
        <v>0</v>
      </c>
      <c r="CY18" s="164" t="n">
        <f aca="false">IF(AND($BA18&gt;0,$BB18&gt;=$BA18),$AA18*MAX(0,MIN($BB18,EOMONTH(CY$3,0))-MAX($BA18,CY$3)+1)/($BB18-$BA18+1),SUMPRODUCT((YEAR($AC$2:$AX$2)=YEAR(CY$3))*(MONTH($AC$2:$AX$2)=MONTH(CY$3))*$AC18:$AX18))</f>
        <v>0</v>
      </c>
      <c r="CZ18" s="164" t="n">
        <f aca="false">IF(AND($BA18&gt;0,$BB18&gt;=$BA18),$AA18*MAX(0,MIN($BB18,EOMONTH(CZ$3,0))-MAX($BA18,CZ$3)+1)/($BB18-$BA18+1),SUMPRODUCT((YEAR($AC$2:$AX$2)=YEAR(CZ$3))*(MONTH($AC$2:$AX$2)=MONTH(CZ$3))*$AC18:$AX18))</f>
        <v>0</v>
      </c>
      <c r="DA18" s="164" t="n">
        <f aca="false">IF(AND($BA18&gt;0,$BB18&gt;=$BA18),$AA18*MAX(0,MIN($BB18,EOMONTH(DA$3,0))-MAX($BA18,DA$3)+1)/($BB18-$BA18+1),SUMPRODUCT((YEAR($AC$2:$AX$2)=YEAR(DA$3))*(MONTH($AC$2:$AX$2)=MONTH(DA$3))*$AC18:$AX18))</f>
        <v>0</v>
      </c>
      <c r="DB18" s="164" t="n">
        <f aca="false">IF(AND($BA18&gt;0,$BB18&gt;=$BA18),$AA18*MAX(0,MIN($BB18,EOMONTH(DB$3,0))-MAX($BA18,DB$3)+1)/($BB18-$BA18+1),SUMPRODUCT((YEAR($AC$2:$AX$2)=YEAR(DB$3))*(MONTH($AC$2:$AX$2)=MONTH(DB$3))*$AC18:$AX18))</f>
        <v>0</v>
      </c>
      <c r="DC18" s="164" t="n">
        <f aca="false">IF(AND($BA18&gt;0,$BB18&gt;=$BA18),$AA18*MAX(0,MIN($BB18,EOMONTH(DC$3,0))-MAX($BA18,DC$3)+1)/($BB18-$BA18+1),SUMPRODUCT((YEAR($AC$2:$AX$2)=YEAR(DC$3))*(MONTH($AC$2:$AX$2)=MONTH(DC$3))*$AC18:$AX18))</f>
        <v>0</v>
      </c>
      <c r="DD18" s="164" t="n">
        <f aca="false">IF(AND($BA18&gt;0,$BB18&gt;=$BA18),$AA18*MAX(0,MIN($BB18,EOMONTH(DD$3,0))-MAX($BA18,DD$3)+1)/($BB18-$BA18+1),SUMPRODUCT((YEAR($AC$2:$AX$2)=YEAR(DD$3))*(MONTH($AC$2:$AX$2)=MONTH(DD$3))*$AC18:$AX18))</f>
        <v>0</v>
      </c>
      <c r="DE18" s="164" t="n">
        <f aca="false">IF(AND($BA18&gt;0,$BB18&gt;=$BA18),$AA18*MAX(0,MIN($BB18,EOMONTH(DE$3,0))-MAX($BA18,DE$3)+1)/($BB18-$BA18+1),SUMPRODUCT((YEAR($AC$2:$AX$2)=YEAR(DE$3))*(MONTH($AC$2:$AX$2)=MONTH(DE$3))*$AC18:$AX18))</f>
        <v>0</v>
      </c>
      <c r="DF18" s="164" t="n">
        <f aca="false">IF(AND($BA18&gt;0,$BB18&gt;=$BA18),$AA18*MAX(0,MIN($BB18,EOMONTH(DF$3,0))-MAX($BA18,DF$3)+1)/($BB18-$BA18+1),SUMPRODUCT((YEAR($AC$2:$AX$2)=YEAR(DF$3))*(MONTH($AC$2:$AX$2)=MONTH(DF$3))*$AC18:$AX18))</f>
        <v>0</v>
      </c>
      <c r="DG18" s="164" t="n">
        <f aca="false">IF(AND($BA18&gt;0,$BB18&gt;=$BA18),$AA18*MAX(0,MIN($BB18,EOMONTH(DG$3,0))-MAX($BA18,DG$3)+1)/($BB18-$BA18+1),SUMPRODUCT((YEAR($AC$2:$AX$2)=YEAR(DG$3))*(MONTH($AC$2:$AX$2)=MONTH(DG$3))*$AC18:$AX18))</f>
        <v>0</v>
      </c>
      <c r="DH18" s="164" t="n">
        <f aca="false">IF(AND($BA18&gt;0,$BB18&gt;=$BA18),$AA18*MAX(0,MIN($BB18,EOMONTH(DH$3,0))-MAX($BA18,DH$3)+1)/($BB18-$BA18+1),SUMPRODUCT((YEAR($AC$2:$AX$2)=YEAR(DH$3))*(MONTH($AC$2:$AX$2)=MONTH(DH$3))*$AC18:$AX18))</f>
        <v>0</v>
      </c>
      <c r="DI18" s="164" t="n">
        <f aca="false">IF(AND($BA18&gt;0,$BB18&gt;=$BA18),$AA18*MAX(0,MIN($BB18,EOMONTH(DI$3,0))-MAX($BA18,DI$3)+1)/($BB18-$BA18+1),SUMPRODUCT((YEAR($AC$2:$AX$2)=YEAR(DI$3))*(MONTH($AC$2:$AX$2)=MONTH(DI$3))*$AC18:$AX18))</f>
        <v>0</v>
      </c>
      <c r="DJ18" s="164" t="n">
        <f aca="false">IF(AND($BA18&gt;0,$BB18&gt;=$BA18),$AA18*MAX(0,MIN($BB18,EOMONTH(DJ$3,0))-MAX($BA18,DJ$3)+1)/($BB18-$BA18+1),SUMPRODUCT((YEAR($AC$2:$AX$2)=YEAR(DJ$3))*(MONTH($AC$2:$AX$2)=MONTH(DJ$3))*$AC18:$AX18))</f>
        <v>0</v>
      </c>
      <c r="DK18" s="164" t="n">
        <f aca="false">IF(AND($BA18&gt;0,$BB18&gt;=$BA18),$AA18*MAX(0,MIN($BB18,EOMONTH(DK$3,0))-MAX($BA18,DK$3)+1)/($BB18-$BA18+1),SUMPRODUCT((YEAR($AC$2:$AX$2)=YEAR(DK$3))*(MONTH($AC$2:$AX$2)=MONTH(DK$3))*$AC18:$AX18))</f>
        <v>0</v>
      </c>
      <c r="DL18" s="164" t="n">
        <f aca="false">IF(AND($BA18&gt;0,$BB18&gt;=$BA18),$AA18*MAX(0,MIN($BB18,EOMONTH(DL$3,0))-MAX($BA18,DL$3)+1)/($BB18-$BA18+1),SUMPRODUCT((YEAR($AC$2:$AX$2)=YEAR(DL$3))*(MONTH($AC$2:$AX$2)=MONTH(DL$3))*$AC18:$AX18))</f>
        <v>0</v>
      </c>
      <c r="DM18" s="164" t="n">
        <f aca="false">IF(AND($BA18&gt;0,$BB18&gt;=$BA18),$AA18*MAX(0,MIN($BB18,EOMONTH(DM$3,0))-MAX($BA18,DM$3)+1)/($BB18-$BA18+1),SUMPRODUCT((YEAR($AC$2:$AX$2)=YEAR(DM$3))*(MONTH($AC$2:$AX$2)=MONTH(DM$3))*$AC18:$AX18))</f>
        <v>0</v>
      </c>
      <c r="DN18" s="164" t="n">
        <f aca="false">IF(AND($BA18&gt;0,$BB18&gt;=$BA18),$AA18*MAX(0,MIN($BB18,EOMONTH(DN$3,0))-MAX($BA18,DN$3)+1)/($BB18-$BA18+1),SUMPRODUCT((YEAR($AC$2:$AX$2)=YEAR(DN$3))*(MONTH($AC$2:$AX$2)=MONTH(DN$3))*$AC18:$AX18))</f>
        <v>0</v>
      </c>
      <c r="DO18" s="164" t="n">
        <f aca="false">IF(AND($BA18&gt;0,$BB18&gt;=$BA18),$AA18*MAX(0,MIN($BB18,EOMONTH(DO$3,0))-MAX($BA18,DO$3)+1)/($BB18-$BA18+1),SUMPRODUCT((YEAR($AC$2:$AX$2)=YEAR(DO$3))*(MONTH($AC$2:$AX$2)=MONTH(DO$3))*$AC18:$AX18))</f>
        <v>0</v>
      </c>
      <c r="DP18" s="164" t="n">
        <f aca="false">IF(AND($BA18&gt;0,$BB18&gt;=$BA18),$AA18*MAX(0,MIN($BB18,EOMONTH(DP$3,0))-MAX($BA18,DP$3)+1)/($BB18-$BA18+1),SUMPRODUCT((YEAR($AC$2:$AX$2)=YEAR(DP$3))*(MONTH($AC$2:$AX$2)=MONTH(DP$3))*$AC18:$AX18))</f>
        <v>0</v>
      </c>
      <c r="DQ18" s="164" t="n">
        <f aca="false">IF(AND($BA18&gt;0,$BB18&gt;=$BA18),$AA18*MAX(0,MIN($BB18,EOMONTH(DQ$3,0))-MAX($BA18,DQ$3)+1)/($BB18-$BA18+1),SUMPRODUCT((YEAR($AC$2:$AX$2)=YEAR(DQ$3))*(MONTH($AC$2:$AX$2)=MONTH(DQ$3))*$AC18:$AX18))</f>
        <v>0</v>
      </c>
      <c r="DR18" s="164" t="n">
        <f aca="false">IF(AND($BA18&gt;0,$BB18&gt;=$BA18),$AA18*MAX(0,MIN($BB18,EOMONTH(DR$3,0))-MAX($BA18,DR$3)+1)/($BB18-$BA18+1),SUMPRODUCT((YEAR($AC$2:$AX$2)=YEAR(DR$3))*(MONTH($AC$2:$AX$2)=MONTH(DR$3))*$AC18:$AX18))</f>
        <v>0</v>
      </c>
      <c r="DS18" s="164" t="n">
        <f aca="false">IF(AND($BA18&gt;0,$BB18&gt;=$BA18),$AA18*MAX(0,MIN($BB18,EOMONTH(DS$3,0))-MAX($BA18,DS$3)+1)/($BB18-$BA18+1),SUMPRODUCT((YEAR($AC$2:$AX$2)=YEAR(DS$3))*(MONTH($AC$2:$AX$2)=MONTH(DS$3))*$AC18:$AX18))</f>
        <v>0</v>
      </c>
      <c r="DT18" s="164" t="n">
        <f aca="false">IF(AND($BA18&gt;0,$BB18&gt;=$BA18),$AA18*MAX(0,MIN($BB18,EOMONTH(DT$3,0))-MAX($BA18,DT$3)+1)/($BB18-$BA18+1),SUMPRODUCT((YEAR($AC$2:$AX$2)=YEAR(DT$3))*(MONTH($AC$2:$AX$2)=MONTH(DT$3))*$AC18:$AX18))</f>
        <v>0</v>
      </c>
      <c r="DU18" s="164" t="n">
        <f aca="false">IF(AND($BA18&gt;0,$BB18&gt;=$BA18),$AA18*MAX(0,MIN($BB18,EOMONTH(DU$3,0))-MAX($BA18,DU$3)+1)/($BB18-$BA18+1),SUMPRODUCT((YEAR($AC$2:$AX$2)=YEAR(DU$3))*(MONTH($AC$2:$AX$2)=MONTH(DU$3))*$AC18:$AX18))</f>
        <v>0</v>
      </c>
      <c r="DV18" s="164" t="n">
        <f aca="false">IF(AND($BA18&gt;0,$BB18&gt;=$BA18),$AA18*MAX(0,MIN($BB18,EOMONTH(DV$3,0))-MAX($BA18,DV$3)+1)/($BB18-$BA18+1),SUMPRODUCT((YEAR($AC$2:$AX$2)=YEAR(DV$3))*(MONTH($AC$2:$AX$2)=MONTH(DV$3))*$AC18:$AX18))</f>
        <v>0</v>
      </c>
      <c r="DW18" s="164" t="n">
        <f aca="false">IF(AND($BA18&gt;0,$BB18&gt;=$BA18),$AA18*MAX(0,MIN($BB18,EOMONTH(DW$3,0))-MAX($BA18,DW$3)+1)/($BB18-$BA18+1),SUMPRODUCT((YEAR($AC$2:$AX$2)=YEAR(DW$3))*(MONTH($AC$2:$AX$2)=MONTH(DW$3))*$AC18:$AX18))</f>
        <v>0</v>
      </c>
    </row>
    <row r="19" customFormat="false" ht="15" hidden="false" customHeight="false" outlineLevel="0" collapsed="false">
      <c r="H19" s="150" t="s">
        <v>2977</v>
      </c>
      <c r="J19" s="152" t="n">
        <v>700.6245</v>
      </c>
      <c r="K19" s="152" t="n">
        <v>242.8</v>
      </c>
      <c r="L19" s="152" t="n">
        <v>1353.789475</v>
      </c>
      <c r="O19" s="152" t="n">
        <v>19143.25</v>
      </c>
      <c r="P19" s="152" t="n">
        <v>700.6245</v>
      </c>
      <c r="S19" s="149" t="n">
        <f aca="false">K19*($D$58+$D$57)</f>
        <v>155203.7086</v>
      </c>
      <c r="T19" s="149" t="n">
        <f aca="false">L19*$D$47</f>
        <v>180460.1370175</v>
      </c>
      <c r="V19" s="149" t="n">
        <f aca="false">O19*($D$54)</f>
        <v>111280.6694125</v>
      </c>
      <c r="W19" s="149" t="n">
        <f aca="false">O19*($D$49)</f>
        <v>53505.38375</v>
      </c>
      <c r="Y19" s="149" t="n">
        <f aca="false">SUM(P19:Q19)*($D$50+$D$52)</f>
        <v>9521.592048675</v>
      </c>
      <c r="AA19" s="149" t="n">
        <f aca="false">SUM(S19:Y19)</f>
        <v>509971.490828675</v>
      </c>
      <c r="AP19" s="149" t="n">
        <f aca="false">AA19</f>
        <v>509971.490828675</v>
      </c>
      <c r="AZ19" s="162" t="s">
        <v>2822</v>
      </c>
      <c r="BA19" s="163" t="n">
        <f aca="false">IF(AZ19="",0,SUMPRODUCT(('CRONOGRAMA ATIVIDADES'!$C$5:$C$6004="ESTRUTURA")*('CRONOGRAMA ATIVIDADES'!$E$5:$E$6004=AZ19)*('CRONOGRAMA ATIVIDADES'!$D$5:$D$6004="-")*'CRONOGRAMA ATIVIDADES'!$F$5:$F$6004))</f>
        <v>46569</v>
      </c>
      <c r="BB19" s="163" t="n">
        <f aca="false">IF(AZ19="",0,SUMPRODUCT(('CRONOGRAMA ATIVIDADES'!$C$5:$C$6004="ESTRUTURA")*('CRONOGRAMA ATIVIDADES'!$E$5:$E$6004=AZ19)*('CRONOGRAMA ATIVIDADES'!$D$5:$D$6004="-")*'CRONOGRAMA ATIVIDADES'!$G$5:$G$6004))</f>
        <v>46580</v>
      </c>
      <c r="BD19" s="164" t="n">
        <f aca="false">IF(AND($BA19&gt;0,$BB19&gt;=$BA19),$AA19*MAX(0,MIN($BB19,EOMONTH(BD$3,0))-MAX($BA19,BD$3)+1)/($BB19-$BA19+1),SUMPRODUCT((YEAR($AC$2:$AX$2)=YEAR(BD$3))*(MONTH($AC$2:$AX$2)=MONTH(BD$3))*$AC19:$AX19))</f>
        <v>0</v>
      </c>
      <c r="BE19" s="164" t="n">
        <f aca="false">IF(AND($BA19&gt;0,$BB19&gt;=$BA19),$AA19*MAX(0,MIN($BB19,EOMONTH(BE$3,0))-MAX($BA19,BE$3)+1)/($BB19-$BA19+1),SUMPRODUCT((YEAR($AC$2:$AX$2)=YEAR(BE$3))*(MONTH($AC$2:$AX$2)=MONTH(BE$3))*$AC19:$AX19))</f>
        <v>0</v>
      </c>
      <c r="BF19" s="164" t="n">
        <f aca="false">IF(AND($BA19&gt;0,$BB19&gt;=$BA19),$AA19*MAX(0,MIN($BB19,EOMONTH(BF$3,0))-MAX($BA19,BF$3)+1)/($BB19-$BA19+1),SUMPRODUCT((YEAR($AC$2:$AX$2)=YEAR(BF$3))*(MONTH($AC$2:$AX$2)=MONTH(BF$3))*$AC19:$AX19))</f>
        <v>0</v>
      </c>
      <c r="BG19" s="164" t="n">
        <f aca="false">IF(AND($BA19&gt;0,$BB19&gt;=$BA19),$AA19*MAX(0,MIN($BB19,EOMONTH(BG$3,0))-MAX($BA19,BG$3)+1)/($BB19-$BA19+1),SUMPRODUCT((YEAR($AC$2:$AX$2)=YEAR(BG$3))*(MONTH($AC$2:$AX$2)=MONTH(BG$3))*$AC19:$AX19))</f>
        <v>0</v>
      </c>
      <c r="BH19" s="164" t="n">
        <f aca="false">IF(AND($BA19&gt;0,$BB19&gt;=$BA19),$AA19*MAX(0,MIN($BB19,EOMONTH(BH$3,0))-MAX($BA19,BH$3)+1)/($BB19-$BA19+1),SUMPRODUCT((YEAR($AC$2:$AX$2)=YEAR(BH$3))*(MONTH($AC$2:$AX$2)=MONTH(BH$3))*$AC19:$AX19))</f>
        <v>0</v>
      </c>
      <c r="BI19" s="164" t="n">
        <f aca="false">IF(AND($BA19&gt;0,$BB19&gt;=$BA19),$AA19*MAX(0,MIN($BB19,EOMONTH(BI$3,0))-MAX($BA19,BI$3)+1)/($BB19-$BA19+1),SUMPRODUCT((YEAR($AC$2:$AX$2)=YEAR(BI$3))*(MONTH($AC$2:$AX$2)=MONTH(BI$3))*$AC19:$AX19))</f>
        <v>0</v>
      </c>
      <c r="BJ19" s="164" t="n">
        <f aca="false">IF(AND($BA19&gt;0,$BB19&gt;=$BA19),$AA19*MAX(0,MIN($BB19,EOMONTH(BJ$3,0))-MAX($BA19,BJ$3)+1)/($BB19-$BA19+1),SUMPRODUCT((YEAR($AC$2:$AX$2)=YEAR(BJ$3))*(MONTH($AC$2:$AX$2)=MONTH(BJ$3))*$AC19:$AX19))</f>
        <v>0</v>
      </c>
      <c r="BK19" s="164" t="n">
        <f aca="false">IF(AND($BA19&gt;0,$BB19&gt;=$BA19),$AA19*MAX(0,MIN($BB19,EOMONTH(BK$3,0))-MAX($BA19,BK$3)+1)/($BB19-$BA19+1),SUMPRODUCT((YEAR($AC$2:$AX$2)=YEAR(BK$3))*(MONTH($AC$2:$AX$2)=MONTH(BK$3))*$AC19:$AX19))</f>
        <v>0</v>
      </c>
      <c r="BL19" s="164" t="n">
        <f aca="false">IF(AND($BA19&gt;0,$BB19&gt;=$BA19),$AA19*MAX(0,MIN($BB19,EOMONTH(BL$3,0))-MAX($BA19,BL$3)+1)/($BB19-$BA19+1),SUMPRODUCT((YEAR($AC$2:$AX$2)=YEAR(BL$3))*(MONTH($AC$2:$AX$2)=MONTH(BL$3))*$AC19:$AX19))</f>
        <v>0</v>
      </c>
      <c r="BM19" s="164" t="n">
        <f aca="false">IF(AND($BA19&gt;0,$BB19&gt;=$BA19),$AA19*MAX(0,MIN($BB19,EOMONTH(BM$3,0))-MAX($BA19,BM$3)+1)/($BB19-$BA19+1),SUMPRODUCT((YEAR($AC$2:$AX$2)=YEAR(BM$3))*(MONTH($AC$2:$AX$2)=MONTH(BM$3))*$AC19:$AX19))</f>
        <v>0</v>
      </c>
      <c r="BN19" s="164" t="n">
        <f aca="false">IF(AND($BA19&gt;0,$BB19&gt;=$BA19),$AA19*MAX(0,MIN($BB19,EOMONTH(BN$3,0))-MAX($BA19,BN$3)+1)/($BB19-$BA19+1),SUMPRODUCT((YEAR($AC$2:$AX$2)=YEAR(BN$3))*(MONTH($AC$2:$AX$2)=MONTH(BN$3))*$AC19:$AX19))</f>
        <v>0</v>
      </c>
      <c r="BO19" s="164" t="n">
        <f aca="false">IF(AND($BA19&gt;0,$BB19&gt;=$BA19),$AA19*MAX(0,MIN($BB19,EOMONTH(BO$3,0))-MAX($BA19,BO$3)+1)/($BB19-$BA19+1),SUMPRODUCT((YEAR($AC$2:$AX$2)=YEAR(BO$3))*(MONTH($AC$2:$AX$2)=MONTH(BO$3))*$AC19:$AX19))</f>
        <v>0</v>
      </c>
      <c r="BP19" s="164" t="n">
        <f aca="false">IF(AND($BA19&gt;0,$BB19&gt;=$BA19),$AA19*MAX(0,MIN($BB19,EOMONTH(BP$3,0))-MAX($BA19,BP$3)+1)/($BB19-$BA19+1),SUMPRODUCT((YEAR($AC$2:$AX$2)=YEAR(BP$3))*(MONTH($AC$2:$AX$2)=MONTH(BP$3))*$AC19:$AX19))</f>
        <v>0</v>
      </c>
      <c r="BQ19" s="164" t="n">
        <f aca="false">IF(AND($BA19&gt;0,$BB19&gt;=$BA19),$AA19*MAX(0,MIN($BB19,EOMONTH(BQ$3,0))-MAX($BA19,BQ$3)+1)/($BB19-$BA19+1),SUMPRODUCT((YEAR($AC$2:$AX$2)=YEAR(BQ$3))*(MONTH($AC$2:$AX$2)=MONTH(BQ$3))*$AC19:$AX19))</f>
        <v>0</v>
      </c>
      <c r="BR19" s="164" t="n">
        <f aca="false">IF(AND($BA19&gt;0,$BB19&gt;=$BA19),$AA19*MAX(0,MIN($BB19,EOMONTH(BR$3,0))-MAX($BA19,BR$3)+1)/($BB19-$BA19+1),SUMPRODUCT((YEAR($AC$2:$AX$2)=YEAR(BR$3))*(MONTH($AC$2:$AX$2)=MONTH(BR$3))*$AC19:$AX19))</f>
        <v>0</v>
      </c>
      <c r="BS19" s="164" t="n">
        <f aca="false">IF(AND($BA19&gt;0,$BB19&gt;=$BA19),$AA19*MAX(0,MIN($BB19,EOMONTH(BS$3,0))-MAX($BA19,BS$3)+1)/($BB19-$BA19+1),SUMPRODUCT((YEAR($AC$2:$AX$2)=YEAR(BS$3))*(MONTH($AC$2:$AX$2)=MONTH(BS$3))*$AC19:$AX19))</f>
        <v>0</v>
      </c>
      <c r="BT19" s="164" t="n">
        <f aca="false">IF(AND($BA19&gt;0,$BB19&gt;=$BA19),$AA19*MAX(0,MIN($BB19,EOMONTH(BT$3,0))-MAX($BA19,BT$3)+1)/($BB19-$BA19+1),SUMPRODUCT((YEAR($AC$2:$AX$2)=YEAR(BT$3))*(MONTH($AC$2:$AX$2)=MONTH(BT$3))*$AC19:$AX19))</f>
        <v>0</v>
      </c>
      <c r="BU19" s="164" t="n">
        <f aca="false">IF(AND($BA19&gt;0,$BB19&gt;=$BA19),$AA19*MAX(0,MIN($BB19,EOMONTH(BU$3,0))-MAX($BA19,BU$3)+1)/($BB19-$BA19+1),SUMPRODUCT((YEAR($AC$2:$AX$2)=YEAR(BU$3))*(MONTH($AC$2:$AX$2)=MONTH(BU$3))*$AC19:$AX19))</f>
        <v>0</v>
      </c>
      <c r="BV19" s="164" t="n">
        <f aca="false">IF(AND($BA19&gt;0,$BB19&gt;=$BA19),$AA19*MAX(0,MIN($BB19,EOMONTH(BV$3,0))-MAX($BA19,BV$3)+1)/($BB19-$BA19+1),SUMPRODUCT((YEAR($AC$2:$AX$2)=YEAR(BV$3))*(MONTH($AC$2:$AX$2)=MONTH(BV$3))*$AC19:$AX19))</f>
        <v>0</v>
      </c>
      <c r="BW19" s="164" t="n">
        <f aca="false">IF(AND($BA19&gt;0,$BB19&gt;=$BA19),$AA19*MAX(0,MIN($BB19,EOMONTH(BW$3,0))-MAX($BA19,BW$3)+1)/($BB19-$BA19+1),SUMPRODUCT((YEAR($AC$2:$AX$2)=YEAR(BW$3))*(MONTH($AC$2:$AX$2)=MONTH(BW$3))*$AC19:$AX19))</f>
        <v>0</v>
      </c>
      <c r="BX19" s="164" t="n">
        <f aca="false">IF(AND($BA19&gt;0,$BB19&gt;=$BA19),$AA19*MAX(0,MIN($BB19,EOMONTH(BX$3,0))-MAX($BA19,BX$3)+1)/($BB19-$BA19+1),SUMPRODUCT((YEAR($AC$2:$AX$2)=YEAR(BX$3))*(MONTH($AC$2:$AX$2)=MONTH(BX$3))*$AC19:$AX19))</f>
        <v>0</v>
      </c>
      <c r="BY19" s="164" t="n">
        <f aca="false">IF(AND($BA19&gt;0,$BB19&gt;=$BA19),$AA19*MAX(0,MIN($BB19,EOMONTH(BY$3,0))-MAX($BA19,BY$3)+1)/($BB19-$BA19+1),SUMPRODUCT((YEAR($AC$2:$AX$2)=YEAR(BY$3))*(MONTH($AC$2:$AX$2)=MONTH(BY$3))*$AC19:$AX19))</f>
        <v>0</v>
      </c>
      <c r="BZ19" s="164" t="n">
        <f aca="false">IF(AND($BA19&gt;0,$BB19&gt;=$BA19),$AA19*MAX(0,MIN($BB19,EOMONTH(BZ$3,0))-MAX($BA19,BZ$3)+1)/($BB19-$BA19+1),SUMPRODUCT((YEAR($AC$2:$AX$2)=YEAR(BZ$3))*(MONTH($AC$2:$AX$2)=MONTH(BZ$3))*$AC19:$AX19))</f>
        <v>0</v>
      </c>
      <c r="CA19" s="164" t="n">
        <f aca="false">IF(AND($BA19&gt;0,$BB19&gt;=$BA19),$AA19*MAX(0,MIN($BB19,EOMONTH(CA$3,0))-MAX($BA19,CA$3)+1)/($BB19-$BA19+1),SUMPRODUCT((YEAR($AC$2:$AX$2)=YEAR(CA$3))*(MONTH($AC$2:$AX$2)=MONTH(CA$3))*$AC19:$AX19))</f>
        <v>0</v>
      </c>
      <c r="CB19" s="164" t="n">
        <f aca="false">IF(AND($BA19&gt;0,$BB19&gt;=$BA19),$AA19*MAX(0,MIN($BB19,EOMONTH(CB$3,0))-MAX($BA19,CB$3)+1)/($BB19-$BA19+1),SUMPRODUCT((YEAR($AC$2:$AX$2)=YEAR(CB$3))*(MONTH($AC$2:$AX$2)=MONTH(CB$3))*$AC19:$AX19))</f>
        <v>0</v>
      </c>
      <c r="CC19" s="164" t="n">
        <f aca="false">IF(AND($BA19&gt;0,$BB19&gt;=$BA19),$AA19*MAX(0,MIN($BB19,EOMONTH(CC$3,0))-MAX($BA19,CC$3)+1)/($BB19-$BA19+1),SUMPRODUCT((YEAR($AC$2:$AX$2)=YEAR(CC$3))*(MONTH($AC$2:$AX$2)=MONTH(CC$3))*$AC19:$AX19))</f>
        <v>0</v>
      </c>
      <c r="CD19" s="164" t="n">
        <f aca="false">IF(AND($BA19&gt;0,$BB19&gt;=$BA19),$AA19*MAX(0,MIN($BB19,EOMONTH(CD$3,0))-MAX($BA19,CD$3)+1)/($BB19-$BA19+1),SUMPRODUCT((YEAR($AC$2:$AX$2)=YEAR(CD$3))*(MONTH($AC$2:$AX$2)=MONTH(CD$3))*$AC19:$AX19))</f>
        <v>0</v>
      </c>
      <c r="CE19" s="164" t="n">
        <f aca="false">IF(AND($BA19&gt;0,$BB19&gt;=$BA19),$AA19*MAX(0,MIN($BB19,EOMONTH(CE$3,0))-MAX($BA19,CE$3)+1)/($BB19-$BA19+1),SUMPRODUCT((YEAR($AC$2:$AX$2)=YEAR(CE$3))*(MONTH($AC$2:$AX$2)=MONTH(CE$3))*$AC19:$AX19))</f>
        <v>0</v>
      </c>
      <c r="CF19" s="164" t="n">
        <f aca="false">IF(AND($BA19&gt;0,$BB19&gt;=$BA19),$AA19*MAX(0,MIN($BB19,EOMONTH(CF$3,0))-MAX($BA19,CF$3)+1)/($BB19-$BA19+1),SUMPRODUCT((YEAR($AC$2:$AX$2)=YEAR(CF$3))*(MONTH($AC$2:$AX$2)=MONTH(CF$3))*$AC19:$AX19))</f>
        <v>0</v>
      </c>
      <c r="CG19" s="164" t="n">
        <f aca="false">IF(AND($BA19&gt;0,$BB19&gt;=$BA19),$AA19*MAX(0,MIN($BB19,EOMONTH(CG$3,0))-MAX($BA19,CG$3)+1)/($BB19-$BA19+1),SUMPRODUCT((YEAR($AC$2:$AX$2)=YEAR(CG$3))*(MONTH($AC$2:$AX$2)=MONTH(CG$3))*$AC19:$AX19))</f>
        <v>0</v>
      </c>
      <c r="CH19" s="164" t="n">
        <f aca="false">IF(AND($BA19&gt;0,$BB19&gt;=$BA19),$AA19*MAX(0,MIN($BB19,EOMONTH(CH$3,0))-MAX($BA19,CH$3)+1)/($BB19-$BA19+1),SUMPRODUCT((YEAR($AC$2:$AX$2)=YEAR(CH$3))*(MONTH($AC$2:$AX$2)=MONTH(CH$3))*$AC19:$AX19))</f>
        <v>0</v>
      </c>
      <c r="CI19" s="164" t="n">
        <f aca="false">IF(AND($BA19&gt;0,$BB19&gt;=$BA19),$AA19*MAX(0,MIN($BB19,EOMONTH(CI$3,0))-MAX($BA19,CI$3)+1)/($BB19-$BA19+1),SUMPRODUCT((YEAR($AC$2:$AX$2)=YEAR(CI$3))*(MONTH($AC$2:$AX$2)=MONTH(CI$3))*$AC19:$AX19))</f>
        <v>509971.490828675</v>
      </c>
      <c r="CJ19" s="164" t="n">
        <f aca="false">IF(AND($BA19&gt;0,$BB19&gt;=$BA19),$AA19*MAX(0,MIN($BB19,EOMONTH(CJ$3,0))-MAX($BA19,CJ$3)+1)/($BB19-$BA19+1),SUMPRODUCT((YEAR($AC$2:$AX$2)=YEAR(CJ$3))*(MONTH($AC$2:$AX$2)=MONTH(CJ$3))*$AC19:$AX19))</f>
        <v>0</v>
      </c>
      <c r="CK19" s="164" t="n">
        <f aca="false">IF(AND($BA19&gt;0,$BB19&gt;=$BA19),$AA19*MAX(0,MIN($BB19,EOMONTH(CK$3,0))-MAX($BA19,CK$3)+1)/($BB19-$BA19+1),SUMPRODUCT((YEAR($AC$2:$AX$2)=YEAR(CK$3))*(MONTH($AC$2:$AX$2)=MONTH(CK$3))*$AC19:$AX19))</f>
        <v>0</v>
      </c>
      <c r="CL19" s="164" t="n">
        <f aca="false">IF(AND($BA19&gt;0,$BB19&gt;=$BA19),$AA19*MAX(0,MIN($BB19,EOMONTH(CL$3,0))-MAX($BA19,CL$3)+1)/($BB19-$BA19+1),SUMPRODUCT((YEAR($AC$2:$AX$2)=YEAR(CL$3))*(MONTH($AC$2:$AX$2)=MONTH(CL$3))*$AC19:$AX19))</f>
        <v>0</v>
      </c>
      <c r="CM19" s="164" t="n">
        <f aca="false">IF(AND($BA19&gt;0,$BB19&gt;=$BA19),$AA19*MAX(0,MIN($BB19,EOMONTH(CM$3,0))-MAX($BA19,CM$3)+1)/($BB19-$BA19+1),SUMPRODUCT((YEAR($AC$2:$AX$2)=YEAR(CM$3))*(MONTH($AC$2:$AX$2)=MONTH(CM$3))*$AC19:$AX19))</f>
        <v>0</v>
      </c>
      <c r="CN19" s="164" t="n">
        <f aca="false">IF(AND($BA19&gt;0,$BB19&gt;=$BA19),$AA19*MAX(0,MIN($BB19,EOMONTH(CN$3,0))-MAX($BA19,CN$3)+1)/($BB19-$BA19+1),SUMPRODUCT((YEAR($AC$2:$AX$2)=YEAR(CN$3))*(MONTH($AC$2:$AX$2)=MONTH(CN$3))*$AC19:$AX19))</f>
        <v>0</v>
      </c>
      <c r="CO19" s="164" t="n">
        <f aca="false">IF(AND($BA19&gt;0,$BB19&gt;=$BA19),$AA19*MAX(0,MIN($BB19,EOMONTH(CO$3,0))-MAX($BA19,CO$3)+1)/($BB19-$BA19+1),SUMPRODUCT((YEAR($AC$2:$AX$2)=YEAR(CO$3))*(MONTH($AC$2:$AX$2)=MONTH(CO$3))*$AC19:$AX19))</f>
        <v>0</v>
      </c>
      <c r="CP19" s="164" t="n">
        <f aca="false">IF(AND($BA19&gt;0,$BB19&gt;=$BA19),$AA19*MAX(0,MIN($BB19,EOMONTH(CP$3,0))-MAX($BA19,CP$3)+1)/($BB19-$BA19+1),SUMPRODUCT((YEAR($AC$2:$AX$2)=YEAR(CP$3))*(MONTH($AC$2:$AX$2)=MONTH(CP$3))*$AC19:$AX19))</f>
        <v>0</v>
      </c>
      <c r="CQ19" s="164" t="n">
        <f aca="false">IF(AND($BA19&gt;0,$BB19&gt;=$BA19),$AA19*MAX(0,MIN($BB19,EOMONTH(CQ$3,0))-MAX($BA19,CQ$3)+1)/($BB19-$BA19+1),SUMPRODUCT((YEAR($AC$2:$AX$2)=YEAR(CQ$3))*(MONTH($AC$2:$AX$2)=MONTH(CQ$3))*$AC19:$AX19))</f>
        <v>0</v>
      </c>
      <c r="CR19" s="164" t="n">
        <f aca="false">IF(AND($BA19&gt;0,$BB19&gt;=$BA19),$AA19*MAX(0,MIN($BB19,EOMONTH(CR$3,0))-MAX($BA19,CR$3)+1)/($BB19-$BA19+1),SUMPRODUCT((YEAR($AC$2:$AX$2)=YEAR(CR$3))*(MONTH($AC$2:$AX$2)=MONTH(CR$3))*$AC19:$AX19))</f>
        <v>0</v>
      </c>
      <c r="CS19" s="164" t="n">
        <f aca="false">IF(AND($BA19&gt;0,$BB19&gt;=$BA19),$AA19*MAX(0,MIN($BB19,EOMONTH(CS$3,0))-MAX($BA19,CS$3)+1)/($BB19-$BA19+1),SUMPRODUCT((YEAR($AC$2:$AX$2)=YEAR(CS$3))*(MONTH($AC$2:$AX$2)=MONTH(CS$3))*$AC19:$AX19))</f>
        <v>0</v>
      </c>
      <c r="CT19" s="164" t="n">
        <f aca="false">IF(AND($BA19&gt;0,$BB19&gt;=$BA19),$AA19*MAX(0,MIN($BB19,EOMONTH(CT$3,0))-MAX($BA19,CT$3)+1)/($BB19-$BA19+1),SUMPRODUCT((YEAR($AC$2:$AX$2)=YEAR(CT$3))*(MONTH($AC$2:$AX$2)=MONTH(CT$3))*$AC19:$AX19))</f>
        <v>0</v>
      </c>
      <c r="CU19" s="164" t="n">
        <f aca="false">IF(AND($BA19&gt;0,$BB19&gt;=$BA19),$AA19*MAX(0,MIN($BB19,EOMONTH(CU$3,0))-MAX($BA19,CU$3)+1)/($BB19-$BA19+1),SUMPRODUCT((YEAR($AC$2:$AX$2)=YEAR(CU$3))*(MONTH($AC$2:$AX$2)=MONTH(CU$3))*$AC19:$AX19))</f>
        <v>0</v>
      </c>
      <c r="CV19" s="164" t="n">
        <f aca="false">IF(AND($BA19&gt;0,$BB19&gt;=$BA19),$AA19*MAX(0,MIN($BB19,EOMONTH(CV$3,0))-MAX($BA19,CV$3)+1)/($BB19-$BA19+1),SUMPRODUCT((YEAR($AC$2:$AX$2)=YEAR(CV$3))*(MONTH($AC$2:$AX$2)=MONTH(CV$3))*$AC19:$AX19))</f>
        <v>0</v>
      </c>
      <c r="CW19" s="164" t="n">
        <f aca="false">IF(AND($BA19&gt;0,$BB19&gt;=$BA19),$AA19*MAX(0,MIN($BB19,EOMONTH(CW$3,0))-MAX($BA19,CW$3)+1)/($BB19-$BA19+1),SUMPRODUCT((YEAR($AC$2:$AX$2)=YEAR(CW$3))*(MONTH($AC$2:$AX$2)=MONTH(CW$3))*$AC19:$AX19))</f>
        <v>0</v>
      </c>
      <c r="CX19" s="164" t="n">
        <f aca="false">IF(AND($BA19&gt;0,$BB19&gt;=$BA19),$AA19*MAX(0,MIN($BB19,EOMONTH(CX$3,0))-MAX($BA19,CX$3)+1)/($BB19-$BA19+1),SUMPRODUCT((YEAR($AC$2:$AX$2)=YEAR(CX$3))*(MONTH($AC$2:$AX$2)=MONTH(CX$3))*$AC19:$AX19))</f>
        <v>0</v>
      </c>
      <c r="CY19" s="164" t="n">
        <f aca="false">IF(AND($BA19&gt;0,$BB19&gt;=$BA19),$AA19*MAX(0,MIN($BB19,EOMONTH(CY$3,0))-MAX($BA19,CY$3)+1)/($BB19-$BA19+1),SUMPRODUCT((YEAR($AC$2:$AX$2)=YEAR(CY$3))*(MONTH($AC$2:$AX$2)=MONTH(CY$3))*$AC19:$AX19))</f>
        <v>0</v>
      </c>
      <c r="CZ19" s="164" t="n">
        <f aca="false">IF(AND($BA19&gt;0,$BB19&gt;=$BA19),$AA19*MAX(0,MIN($BB19,EOMONTH(CZ$3,0))-MAX($BA19,CZ$3)+1)/($BB19-$BA19+1),SUMPRODUCT((YEAR($AC$2:$AX$2)=YEAR(CZ$3))*(MONTH($AC$2:$AX$2)=MONTH(CZ$3))*$AC19:$AX19))</f>
        <v>0</v>
      </c>
      <c r="DA19" s="164" t="n">
        <f aca="false">IF(AND($BA19&gt;0,$BB19&gt;=$BA19),$AA19*MAX(0,MIN($BB19,EOMONTH(DA$3,0))-MAX($BA19,DA$3)+1)/($BB19-$BA19+1),SUMPRODUCT((YEAR($AC$2:$AX$2)=YEAR(DA$3))*(MONTH($AC$2:$AX$2)=MONTH(DA$3))*$AC19:$AX19))</f>
        <v>0</v>
      </c>
      <c r="DB19" s="164" t="n">
        <f aca="false">IF(AND($BA19&gt;0,$BB19&gt;=$BA19),$AA19*MAX(0,MIN($BB19,EOMONTH(DB$3,0))-MAX($BA19,DB$3)+1)/($BB19-$BA19+1),SUMPRODUCT((YEAR($AC$2:$AX$2)=YEAR(DB$3))*(MONTH($AC$2:$AX$2)=MONTH(DB$3))*$AC19:$AX19))</f>
        <v>0</v>
      </c>
      <c r="DC19" s="164" t="n">
        <f aca="false">IF(AND($BA19&gt;0,$BB19&gt;=$BA19),$AA19*MAX(0,MIN($BB19,EOMONTH(DC$3,0))-MAX($BA19,DC$3)+1)/($BB19-$BA19+1),SUMPRODUCT((YEAR($AC$2:$AX$2)=YEAR(DC$3))*(MONTH($AC$2:$AX$2)=MONTH(DC$3))*$AC19:$AX19))</f>
        <v>0</v>
      </c>
      <c r="DD19" s="164" t="n">
        <f aca="false">IF(AND($BA19&gt;0,$BB19&gt;=$BA19),$AA19*MAX(0,MIN($BB19,EOMONTH(DD$3,0))-MAX($BA19,DD$3)+1)/($BB19-$BA19+1),SUMPRODUCT((YEAR($AC$2:$AX$2)=YEAR(DD$3))*(MONTH($AC$2:$AX$2)=MONTH(DD$3))*$AC19:$AX19))</f>
        <v>0</v>
      </c>
      <c r="DE19" s="164" t="n">
        <f aca="false">IF(AND($BA19&gt;0,$BB19&gt;=$BA19),$AA19*MAX(0,MIN($BB19,EOMONTH(DE$3,0))-MAX($BA19,DE$3)+1)/($BB19-$BA19+1),SUMPRODUCT((YEAR($AC$2:$AX$2)=YEAR(DE$3))*(MONTH($AC$2:$AX$2)=MONTH(DE$3))*$AC19:$AX19))</f>
        <v>0</v>
      </c>
      <c r="DF19" s="164" t="n">
        <f aca="false">IF(AND($BA19&gt;0,$BB19&gt;=$BA19),$AA19*MAX(0,MIN($BB19,EOMONTH(DF$3,0))-MAX($BA19,DF$3)+1)/($BB19-$BA19+1),SUMPRODUCT((YEAR($AC$2:$AX$2)=YEAR(DF$3))*(MONTH($AC$2:$AX$2)=MONTH(DF$3))*$AC19:$AX19))</f>
        <v>0</v>
      </c>
      <c r="DG19" s="164" t="n">
        <f aca="false">IF(AND($BA19&gt;0,$BB19&gt;=$BA19),$AA19*MAX(0,MIN($BB19,EOMONTH(DG$3,0))-MAX($BA19,DG$3)+1)/($BB19-$BA19+1),SUMPRODUCT((YEAR($AC$2:$AX$2)=YEAR(DG$3))*(MONTH($AC$2:$AX$2)=MONTH(DG$3))*$AC19:$AX19))</f>
        <v>0</v>
      </c>
      <c r="DH19" s="164" t="n">
        <f aca="false">IF(AND($BA19&gt;0,$BB19&gt;=$BA19),$AA19*MAX(0,MIN($BB19,EOMONTH(DH$3,0))-MAX($BA19,DH$3)+1)/($BB19-$BA19+1),SUMPRODUCT((YEAR($AC$2:$AX$2)=YEAR(DH$3))*(MONTH($AC$2:$AX$2)=MONTH(DH$3))*$AC19:$AX19))</f>
        <v>0</v>
      </c>
      <c r="DI19" s="164" t="n">
        <f aca="false">IF(AND($BA19&gt;0,$BB19&gt;=$BA19),$AA19*MAX(0,MIN($BB19,EOMONTH(DI$3,0))-MAX($BA19,DI$3)+1)/($BB19-$BA19+1),SUMPRODUCT((YEAR($AC$2:$AX$2)=YEAR(DI$3))*(MONTH($AC$2:$AX$2)=MONTH(DI$3))*$AC19:$AX19))</f>
        <v>0</v>
      </c>
      <c r="DJ19" s="164" t="n">
        <f aca="false">IF(AND($BA19&gt;0,$BB19&gt;=$BA19),$AA19*MAX(0,MIN($BB19,EOMONTH(DJ$3,0))-MAX($BA19,DJ$3)+1)/($BB19-$BA19+1),SUMPRODUCT((YEAR($AC$2:$AX$2)=YEAR(DJ$3))*(MONTH($AC$2:$AX$2)=MONTH(DJ$3))*$AC19:$AX19))</f>
        <v>0</v>
      </c>
      <c r="DK19" s="164" t="n">
        <f aca="false">IF(AND($BA19&gt;0,$BB19&gt;=$BA19),$AA19*MAX(0,MIN($BB19,EOMONTH(DK$3,0))-MAX($BA19,DK$3)+1)/($BB19-$BA19+1),SUMPRODUCT((YEAR($AC$2:$AX$2)=YEAR(DK$3))*(MONTH($AC$2:$AX$2)=MONTH(DK$3))*$AC19:$AX19))</f>
        <v>0</v>
      </c>
      <c r="DL19" s="164" t="n">
        <f aca="false">IF(AND($BA19&gt;0,$BB19&gt;=$BA19),$AA19*MAX(0,MIN($BB19,EOMONTH(DL$3,0))-MAX($BA19,DL$3)+1)/($BB19-$BA19+1),SUMPRODUCT((YEAR($AC$2:$AX$2)=YEAR(DL$3))*(MONTH($AC$2:$AX$2)=MONTH(DL$3))*$AC19:$AX19))</f>
        <v>0</v>
      </c>
      <c r="DM19" s="164" t="n">
        <f aca="false">IF(AND($BA19&gt;0,$BB19&gt;=$BA19),$AA19*MAX(0,MIN($BB19,EOMONTH(DM$3,0))-MAX($BA19,DM$3)+1)/($BB19-$BA19+1),SUMPRODUCT((YEAR($AC$2:$AX$2)=YEAR(DM$3))*(MONTH($AC$2:$AX$2)=MONTH(DM$3))*$AC19:$AX19))</f>
        <v>0</v>
      </c>
      <c r="DN19" s="164" t="n">
        <f aca="false">IF(AND($BA19&gt;0,$BB19&gt;=$BA19),$AA19*MAX(0,MIN($BB19,EOMONTH(DN$3,0))-MAX($BA19,DN$3)+1)/($BB19-$BA19+1),SUMPRODUCT((YEAR($AC$2:$AX$2)=YEAR(DN$3))*(MONTH($AC$2:$AX$2)=MONTH(DN$3))*$AC19:$AX19))</f>
        <v>0</v>
      </c>
      <c r="DO19" s="164" t="n">
        <f aca="false">IF(AND($BA19&gt;0,$BB19&gt;=$BA19),$AA19*MAX(0,MIN($BB19,EOMONTH(DO$3,0))-MAX($BA19,DO$3)+1)/($BB19-$BA19+1),SUMPRODUCT((YEAR($AC$2:$AX$2)=YEAR(DO$3))*(MONTH($AC$2:$AX$2)=MONTH(DO$3))*$AC19:$AX19))</f>
        <v>0</v>
      </c>
      <c r="DP19" s="164" t="n">
        <f aca="false">IF(AND($BA19&gt;0,$BB19&gt;=$BA19),$AA19*MAX(0,MIN($BB19,EOMONTH(DP$3,0))-MAX($BA19,DP$3)+1)/($BB19-$BA19+1),SUMPRODUCT((YEAR($AC$2:$AX$2)=YEAR(DP$3))*(MONTH($AC$2:$AX$2)=MONTH(DP$3))*$AC19:$AX19))</f>
        <v>0</v>
      </c>
      <c r="DQ19" s="164" t="n">
        <f aca="false">IF(AND($BA19&gt;0,$BB19&gt;=$BA19),$AA19*MAX(0,MIN($BB19,EOMONTH(DQ$3,0))-MAX($BA19,DQ$3)+1)/($BB19-$BA19+1),SUMPRODUCT((YEAR($AC$2:$AX$2)=YEAR(DQ$3))*(MONTH($AC$2:$AX$2)=MONTH(DQ$3))*$AC19:$AX19))</f>
        <v>0</v>
      </c>
      <c r="DR19" s="164" t="n">
        <f aca="false">IF(AND($BA19&gt;0,$BB19&gt;=$BA19),$AA19*MAX(0,MIN($BB19,EOMONTH(DR$3,0))-MAX($BA19,DR$3)+1)/($BB19-$BA19+1),SUMPRODUCT((YEAR($AC$2:$AX$2)=YEAR(DR$3))*(MONTH($AC$2:$AX$2)=MONTH(DR$3))*$AC19:$AX19))</f>
        <v>0</v>
      </c>
      <c r="DS19" s="164" t="n">
        <f aca="false">IF(AND($BA19&gt;0,$BB19&gt;=$BA19),$AA19*MAX(0,MIN($BB19,EOMONTH(DS$3,0))-MAX($BA19,DS$3)+1)/($BB19-$BA19+1),SUMPRODUCT((YEAR($AC$2:$AX$2)=YEAR(DS$3))*(MONTH($AC$2:$AX$2)=MONTH(DS$3))*$AC19:$AX19))</f>
        <v>0</v>
      </c>
      <c r="DT19" s="164" t="n">
        <f aca="false">IF(AND($BA19&gt;0,$BB19&gt;=$BA19),$AA19*MAX(0,MIN($BB19,EOMONTH(DT$3,0))-MAX($BA19,DT$3)+1)/($BB19-$BA19+1),SUMPRODUCT((YEAR($AC$2:$AX$2)=YEAR(DT$3))*(MONTH($AC$2:$AX$2)=MONTH(DT$3))*$AC19:$AX19))</f>
        <v>0</v>
      </c>
      <c r="DU19" s="164" t="n">
        <f aca="false">IF(AND($BA19&gt;0,$BB19&gt;=$BA19),$AA19*MAX(0,MIN($BB19,EOMONTH(DU$3,0))-MAX($BA19,DU$3)+1)/($BB19-$BA19+1),SUMPRODUCT((YEAR($AC$2:$AX$2)=YEAR(DU$3))*(MONTH($AC$2:$AX$2)=MONTH(DU$3))*$AC19:$AX19))</f>
        <v>0</v>
      </c>
      <c r="DV19" s="164" t="n">
        <f aca="false">IF(AND($BA19&gt;0,$BB19&gt;=$BA19),$AA19*MAX(0,MIN($BB19,EOMONTH(DV$3,0))-MAX($BA19,DV$3)+1)/($BB19-$BA19+1),SUMPRODUCT((YEAR($AC$2:$AX$2)=YEAR(DV$3))*(MONTH($AC$2:$AX$2)=MONTH(DV$3))*$AC19:$AX19))</f>
        <v>0</v>
      </c>
      <c r="DW19" s="164" t="n">
        <f aca="false">IF(AND($BA19&gt;0,$BB19&gt;=$BA19),$AA19*MAX(0,MIN($BB19,EOMONTH(DW$3,0))-MAX($BA19,DW$3)+1)/($BB19-$BA19+1),SUMPRODUCT((YEAR($AC$2:$AX$2)=YEAR(DW$3))*(MONTH($AC$2:$AX$2)=MONTH(DW$3))*$AC19:$AX19))</f>
        <v>0</v>
      </c>
    </row>
    <row r="20" customFormat="false" ht="15" hidden="false" customHeight="false" outlineLevel="0" collapsed="false">
      <c r="H20" s="150" t="s">
        <v>2978</v>
      </c>
      <c r="J20" s="152" t="n">
        <v>700.6245</v>
      </c>
      <c r="K20" s="152" t="n">
        <v>242.8</v>
      </c>
      <c r="L20" s="152" t="n">
        <v>1353.789475</v>
      </c>
      <c r="O20" s="152" t="n">
        <v>19196.25</v>
      </c>
      <c r="P20" s="152" t="n">
        <v>700.6245</v>
      </c>
      <c r="S20" s="149" t="n">
        <f aca="false">K20*($D$58+$D$57)</f>
        <v>155203.7086</v>
      </c>
      <c r="T20" s="149" t="n">
        <f aca="false">L20*$D$47</f>
        <v>180460.1370175</v>
      </c>
      <c r="V20" s="149" t="n">
        <f aca="false">O20*($D$54)</f>
        <v>111588.7610625</v>
      </c>
      <c r="W20" s="149" t="n">
        <f aca="false">O20*($D$49)</f>
        <v>53653.51875</v>
      </c>
      <c r="Y20" s="149" t="n">
        <f aca="false">SUM(P20:Q20)*($D$50+$D$52)</f>
        <v>9521.592048675</v>
      </c>
      <c r="AA20" s="149" t="n">
        <f aca="false">SUM(S20:Y20)</f>
        <v>510427.717478675</v>
      </c>
      <c r="AO20" s="149" t="n">
        <f aca="false">AA20*0.5</f>
        <v>255213.858739337</v>
      </c>
      <c r="AP20" s="149" t="n">
        <f aca="false">AA20*0.5</f>
        <v>255213.858739337</v>
      </c>
      <c r="AZ20" s="162" t="s">
        <v>2820</v>
      </c>
      <c r="BA20" s="163" t="n">
        <f aca="false">IF(AZ20="",0,SUMPRODUCT(('CRONOGRAMA ATIVIDADES'!$C$5:$C$6004="ESTRUTURA")*('CRONOGRAMA ATIVIDADES'!$E$5:$E$6004=AZ20)*('CRONOGRAMA ATIVIDADES'!$D$5:$D$6004="-")*'CRONOGRAMA ATIVIDADES'!$F$5:$F$6004))</f>
        <v>46556</v>
      </c>
      <c r="BB20" s="163" t="n">
        <f aca="false">IF(AZ20="",0,SUMPRODUCT(('CRONOGRAMA ATIVIDADES'!$C$5:$C$6004="ESTRUTURA")*('CRONOGRAMA ATIVIDADES'!$E$5:$E$6004=AZ20)*('CRONOGRAMA ATIVIDADES'!$D$5:$D$6004="-")*'CRONOGRAMA ATIVIDADES'!$G$5:$G$6004))</f>
        <v>46568</v>
      </c>
      <c r="BD20" s="164" t="n">
        <f aca="false">IF(AND($BA20&gt;0,$BB20&gt;=$BA20),$AA20*MAX(0,MIN($BB20,EOMONTH(BD$3,0))-MAX($BA20,BD$3)+1)/($BB20-$BA20+1),SUMPRODUCT((YEAR($AC$2:$AX$2)=YEAR(BD$3))*(MONTH($AC$2:$AX$2)=MONTH(BD$3))*$AC20:$AX20))</f>
        <v>0</v>
      </c>
      <c r="BE20" s="164" t="n">
        <f aca="false">IF(AND($BA20&gt;0,$BB20&gt;=$BA20),$AA20*MAX(0,MIN($BB20,EOMONTH(BE$3,0))-MAX($BA20,BE$3)+1)/($BB20-$BA20+1),SUMPRODUCT((YEAR($AC$2:$AX$2)=YEAR(BE$3))*(MONTH($AC$2:$AX$2)=MONTH(BE$3))*$AC20:$AX20))</f>
        <v>0</v>
      </c>
      <c r="BF20" s="164" t="n">
        <f aca="false">IF(AND($BA20&gt;0,$BB20&gt;=$BA20),$AA20*MAX(0,MIN($BB20,EOMONTH(BF$3,0))-MAX($BA20,BF$3)+1)/($BB20-$BA20+1),SUMPRODUCT((YEAR($AC$2:$AX$2)=YEAR(BF$3))*(MONTH($AC$2:$AX$2)=MONTH(BF$3))*$AC20:$AX20))</f>
        <v>0</v>
      </c>
      <c r="BG20" s="164" t="n">
        <f aca="false">IF(AND($BA20&gt;0,$BB20&gt;=$BA20),$AA20*MAX(0,MIN($BB20,EOMONTH(BG$3,0))-MAX($BA20,BG$3)+1)/($BB20-$BA20+1),SUMPRODUCT((YEAR($AC$2:$AX$2)=YEAR(BG$3))*(MONTH($AC$2:$AX$2)=MONTH(BG$3))*$AC20:$AX20))</f>
        <v>0</v>
      </c>
      <c r="BH20" s="164" t="n">
        <f aca="false">IF(AND($BA20&gt;0,$BB20&gt;=$BA20),$AA20*MAX(0,MIN($BB20,EOMONTH(BH$3,0))-MAX($BA20,BH$3)+1)/($BB20-$BA20+1),SUMPRODUCT((YEAR($AC$2:$AX$2)=YEAR(BH$3))*(MONTH($AC$2:$AX$2)=MONTH(BH$3))*$AC20:$AX20))</f>
        <v>0</v>
      </c>
      <c r="BI20" s="164" t="n">
        <f aca="false">IF(AND($BA20&gt;0,$BB20&gt;=$BA20),$AA20*MAX(0,MIN($BB20,EOMONTH(BI$3,0))-MAX($BA20,BI$3)+1)/($BB20-$BA20+1),SUMPRODUCT((YEAR($AC$2:$AX$2)=YEAR(BI$3))*(MONTH($AC$2:$AX$2)=MONTH(BI$3))*$AC20:$AX20))</f>
        <v>0</v>
      </c>
      <c r="BJ20" s="164" t="n">
        <f aca="false">IF(AND($BA20&gt;0,$BB20&gt;=$BA20),$AA20*MAX(0,MIN($BB20,EOMONTH(BJ$3,0))-MAX($BA20,BJ$3)+1)/($BB20-$BA20+1),SUMPRODUCT((YEAR($AC$2:$AX$2)=YEAR(BJ$3))*(MONTH($AC$2:$AX$2)=MONTH(BJ$3))*$AC20:$AX20))</f>
        <v>0</v>
      </c>
      <c r="BK20" s="164" t="n">
        <f aca="false">IF(AND($BA20&gt;0,$BB20&gt;=$BA20),$AA20*MAX(0,MIN($BB20,EOMONTH(BK$3,0))-MAX($BA20,BK$3)+1)/($BB20-$BA20+1),SUMPRODUCT((YEAR($AC$2:$AX$2)=YEAR(BK$3))*(MONTH($AC$2:$AX$2)=MONTH(BK$3))*$AC20:$AX20))</f>
        <v>0</v>
      </c>
      <c r="BL20" s="164" t="n">
        <f aca="false">IF(AND($BA20&gt;0,$BB20&gt;=$BA20),$AA20*MAX(0,MIN($BB20,EOMONTH(BL$3,0))-MAX($BA20,BL$3)+1)/($BB20-$BA20+1),SUMPRODUCT((YEAR($AC$2:$AX$2)=YEAR(BL$3))*(MONTH($AC$2:$AX$2)=MONTH(BL$3))*$AC20:$AX20))</f>
        <v>0</v>
      </c>
      <c r="BM20" s="164" t="n">
        <f aca="false">IF(AND($BA20&gt;0,$BB20&gt;=$BA20),$AA20*MAX(0,MIN($BB20,EOMONTH(BM$3,0))-MAX($BA20,BM$3)+1)/($BB20-$BA20+1),SUMPRODUCT((YEAR($AC$2:$AX$2)=YEAR(BM$3))*(MONTH($AC$2:$AX$2)=MONTH(BM$3))*$AC20:$AX20))</f>
        <v>0</v>
      </c>
      <c r="BN20" s="164" t="n">
        <f aca="false">IF(AND($BA20&gt;0,$BB20&gt;=$BA20),$AA20*MAX(0,MIN($BB20,EOMONTH(BN$3,0))-MAX($BA20,BN$3)+1)/($BB20-$BA20+1),SUMPRODUCT((YEAR($AC$2:$AX$2)=YEAR(BN$3))*(MONTH($AC$2:$AX$2)=MONTH(BN$3))*$AC20:$AX20))</f>
        <v>0</v>
      </c>
      <c r="BO20" s="164" t="n">
        <f aca="false">IF(AND($BA20&gt;0,$BB20&gt;=$BA20),$AA20*MAX(0,MIN($BB20,EOMONTH(BO$3,0))-MAX($BA20,BO$3)+1)/($BB20-$BA20+1),SUMPRODUCT((YEAR($AC$2:$AX$2)=YEAR(BO$3))*(MONTH($AC$2:$AX$2)=MONTH(BO$3))*$AC20:$AX20))</f>
        <v>0</v>
      </c>
      <c r="BP20" s="164" t="n">
        <f aca="false">IF(AND($BA20&gt;0,$BB20&gt;=$BA20),$AA20*MAX(0,MIN($BB20,EOMONTH(BP$3,0))-MAX($BA20,BP$3)+1)/($BB20-$BA20+1),SUMPRODUCT((YEAR($AC$2:$AX$2)=YEAR(BP$3))*(MONTH($AC$2:$AX$2)=MONTH(BP$3))*$AC20:$AX20))</f>
        <v>0</v>
      </c>
      <c r="BQ20" s="164" t="n">
        <f aca="false">IF(AND($BA20&gt;0,$BB20&gt;=$BA20),$AA20*MAX(0,MIN($BB20,EOMONTH(BQ$3,0))-MAX($BA20,BQ$3)+1)/($BB20-$BA20+1),SUMPRODUCT((YEAR($AC$2:$AX$2)=YEAR(BQ$3))*(MONTH($AC$2:$AX$2)=MONTH(BQ$3))*$AC20:$AX20))</f>
        <v>0</v>
      </c>
      <c r="BR20" s="164" t="n">
        <f aca="false">IF(AND($BA20&gt;0,$BB20&gt;=$BA20),$AA20*MAX(0,MIN($BB20,EOMONTH(BR$3,0))-MAX($BA20,BR$3)+1)/($BB20-$BA20+1),SUMPRODUCT((YEAR($AC$2:$AX$2)=YEAR(BR$3))*(MONTH($AC$2:$AX$2)=MONTH(BR$3))*$AC20:$AX20))</f>
        <v>0</v>
      </c>
      <c r="BS20" s="164" t="n">
        <f aca="false">IF(AND($BA20&gt;0,$BB20&gt;=$BA20),$AA20*MAX(0,MIN($BB20,EOMONTH(BS$3,0))-MAX($BA20,BS$3)+1)/($BB20-$BA20+1),SUMPRODUCT((YEAR($AC$2:$AX$2)=YEAR(BS$3))*(MONTH($AC$2:$AX$2)=MONTH(BS$3))*$AC20:$AX20))</f>
        <v>0</v>
      </c>
      <c r="BT20" s="164" t="n">
        <f aca="false">IF(AND($BA20&gt;0,$BB20&gt;=$BA20),$AA20*MAX(0,MIN($BB20,EOMONTH(BT$3,0))-MAX($BA20,BT$3)+1)/($BB20-$BA20+1),SUMPRODUCT((YEAR($AC$2:$AX$2)=YEAR(BT$3))*(MONTH($AC$2:$AX$2)=MONTH(BT$3))*$AC20:$AX20))</f>
        <v>0</v>
      </c>
      <c r="BU20" s="164" t="n">
        <f aca="false">IF(AND($BA20&gt;0,$BB20&gt;=$BA20),$AA20*MAX(0,MIN($BB20,EOMONTH(BU$3,0))-MAX($BA20,BU$3)+1)/($BB20-$BA20+1),SUMPRODUCT((YEAR($AC$2:$AX$2)=YEAR(BU$3))*(MONTH($AC$2:$AX$2)=MONTH(BU$3))*$AC20:$AX20))</f>
        <v>0</v>
      </c>
      <c r="BV20" s="164" t="n">
        <f aca="false">IF(AND($BA20&gt;0,$BB20&gt;=$BA20),$AA20*MAX(0,MIN($BB20,EOMONTH(BV$3,0))-MAX($BA20,BV$3)+1)/($BB20-$BA20+1),SUMPRODUCT((YEAR($AC$2:$AX$2)=YEAR(BV$3))*(MONTH($AC$2:$AX$2)=MONTH(BV$3))*$AC20:$AX20))</f>
        <v>0</v>
      </c>
      <c r="BW20" s="164" t="n">
        <f aca="false">IF(AND($BA20&gt;0,$BB20&gt;=$BA20),$AA20*MAX(0,MIN($BB20,EOMONTH(BW$3,0))-MAX($BA20,BW$3)+1)/($BB20-$BA20+1),SUMPRODUCT((YEAR($AC$2:$AX$2)=YEAR(BW$3))*(MONTH($AC$2:$AX$2)=MONTH(BW$3))*$AC20:$AX20))</f>
        <v>0</v>
      </c>
      <c r="BX20" s="164" t="n">
        <f aca="false">IF(AND($BA20&gt;0,$BB20&gt;=$BA20),$AA20*MAX(0,MIN($BB20,EOMONTH(BX$3,0))-MAX($BA20,BX$3)+1)/($BB20-$BA20+1),SUMPRODUCT((YEAR($AC$2:$AX$2)=YEAR(BX$3))*(MONTH($AC$2:$AX$2)=MONTH(BX$3))*$AC20:$AX20))</f>
        <v>0</v>
      </c>
      <c r="BY20" s="164" t="n">
        <f aca="false">IF(AND($BA20&gt;0,$BB20&gt;=$BA20),$AA20*MAX(0,MIN($BB20,EOMONTH(BY$3,0))-MAX($BA20,BY$3)+1)/($BB20-$BA20+1),SUMPRODUCT((YEAR($AC$2:$AX$2)=YEAR(BY$3))*(MONTH($AC$2:$AX$2)=MONTH(BY$3))*$AC20:$AX20))</f>
        <v>0</v>
      </c>
      <c r="BZ20" s="164" t="n">
        <f aca="false">IF(AND($BA20&gt;0,$BB20&gt;=$BA20),$AA20*MAX(0,MIN($BB20,EOMONTH(BZ$3,0))-MAX($BA20,BZ$3)+1)/($BB20-$BA20+1),SUMPRODUCT((YEAR($AC$2:$AX$2)=YEAR(BZ$3))*(MONTH($AC$2:$AX$2)=MONTH(BZ$3))*$AC20:$AX20))</f>
        <v>0</v>
      </c>
      <c r="CA20" s="164" t="n">
        <f aca="false">IF(AND($BA20&gt;0,$BB20&gt;=$BA20),$AA20*MAX(0,MIN($BB20,EOMONTH(CA$3,0))-MAX($BA20,CA$3)+1)/($BB20-$BA20+1),SUMPRODUCT((YEAR($AC$2:$AX$2)=YEAR(CA$3))*(MONTH($AC$2:$AX$2)=MONTH(CA$3))*$AC20:$AX20))</f>
        <v>0</v>
      </c>
      <c r="CB20" s="164" t="n">
        <f aca="false">IF(AND($BA20&gt;0,$BB20&gt;=$BA20),$AA20*MAX(0,MIN($BB20,EOMONTH(CB$3,0))-MAX($BA20,CB$3)+1)/($BB20-$BA20+1),SUMPRODUCT((YEAR($AC$2:$AX$2)=YEAR(CB$3))*(MONTH($AC$2:$AX$2)=MONTH(CB$3))*$AC20:$AX20))</f>
        <v>0</v>
      </c>
      <c r="CC20" s="164" t="n">
        <f aca="false">IF(AND($BA20&gt;0,$BB20&gt;=$BA20),$AA20*MAX(0,MIN($BB20,EOMONTH(CC$3,0))-MAX($BA20,CC$3)+1)/($BB20-$BA20+1),SUMPRODUCT((YEAR($AC$2:$AX$2)=YEAR(CC$3))*(MONTH($AC$2:$AX$2)=MONTH(CC$3))*$AC20:$AX20))</f>
        <v>0</v>
      </c>
      <c r="CD20" s="164" t="n">
        <f aca="false">IF(AND($BA20&gt;0,$BB20&gt;=$BA20),$AA20*MAX(0,MIN($BB20,EOMONTH(CD$3,0))-MAX($BA20,CD$3)+1)/($BB20-$BA20+1),SUMPRODUCT((YEAR($AC$2:$AX$2)=YEAR(CD$3))*(MONTH($AC$2:$AX$2)=MONTH(CD$3))*$AC20:$AX20))</f>
        <v>0</v>
      </c>
      <c r="CE20" s="164" t="n">
        <f aca="false">IF(AND($BA20&gt;0,$BB20&gt;=$BA20),$AA20*MAX(0,MIN($BB20,EOMONTH(CE$3,0))-MAX($BA20,CE$3)+1)/($BB20-$BA20+1),SUMPRODUCT((YEAR($AC$2:$AX$2)=YEAR(CE$3))*(MONTH($AC$2:$AX$2)=MONTH(CE$3))*$AC20:$AX20))</f>
        <v>0</v>
      </c>
      <c r="CF20" s="164" t="n">
        <f aca="false">IF(AND($BA20&gt;0,$BB20&gt;=$BA20),$AA20*MAX(0,MIN($BB20,EOMONTH(CF$3,0))-MAX($BA20,CF$3)+1)/($BB20-$BA20+1),SUMPRODUCT((YEAR($AC$2:$AX$2)=YEAR(CF$3))*(MONTH($AC$2:$AX$2)=MONTH(CF$3))*$AC20:$AX20))</f>
        <v>0</v>
      </c>
      <c r="CG20" s="164" t="n">
        <f aca="false">IF(AND($BA20&gt;0,$BB20&gt;=$BA20),$AA20*MAX(0,MIN($BB20,EOMONTH(CG$3,0))-MAX($BA20,CG$3)+1)/($BB20-$BA20+1),SUMPRODUCT((YEAR($AC$2:$AX$2)=YEAR(CG$3))*(MONTH($AC$2:$AX$2)=MONTH(CG$3))*$AC20:$AX20))</f>
        <v>0</v>
      </c>
      <c r="CH20" s="164" t="n">
        <f aca="false">IF(AND($BA20&gt;0,$BB20&gt;=$BA20),$AA20*MAX(0,MIN($BB20,EOMONTH(CH$3,0))-MAX($BA20,CH$3)+1)/($BB20-$BA20+1),SUMPRODUCT((YEAR($AC$2:$AX$2)=YEAR(CH$3))*(MONTH($AC$2:$AX$2)=MONTH(CH$3))*$AC20:$AX20))</f>
        <v>510427.717478675</v>
      </c>
      <c r="CI20" s="164" t="n">
        <f aca="false">IF(AND($BA20&gt;0,$BB20&gt;=$BA20),$AA20*MAX(0,MIN($BB20,EOMONTH(CI$3,0))-MAX($BA20,CI$3)+1)/($BB20-$BA20+1),SUMPRODUCT((YEAR($AC$2:$AX$2)=YEAR(CI$3))*(MONTH($AC$2:$AX$2)=MONTH(CI$3))*$AC20:$AX20))</f>
        <v>0</v>
      </c>
      <c r="CJ20" s="164" t="n">
        <f aca="false">IF(AND($BA20&gt;0,$BB20&gt;=$BA20),$AA20*MAX(0,MIN($BB20,EOMONTH(CJ$3,0))-MAX($BA20,CJ$3)+1)/($BB20-$BA20+1),SUMPRODUCT((YEAR($AC$2:$AX$2)=YEAR(CJ$3))*(MONTH($AC$2:$AX$2)=MONTH(CJ$3))*$AC20:$AX20))</f>
        <v>0</v>
      </c>
      <c r="CK20" s="164" t="n">
        <f aca="false">IF(AND($BA20&gt;0,$BB20&gt;=$BA20),$AA20*MAX(0,MIN($BB20,EOMONTH(CK$3,0))-MAX($BA20,CK$3)+1)/($BB20-$BA20+1),SUMPRODUCT((YEAR($AC$2:$AX$2)=YEAR(CK$3))*(MONTH($AC$2:$AX$2)=MONTH(CK$3))*$AC20:$AX20))</f>
        <v>0</v>
      </c>
      <c r="CL20" s="164" t="n">
        <f aca="false">IF(AND($BA20&gt;0,$BB20&gt;=$BA20),$AA20*MAX(0,MIN($BB20,EOMONTH(CL$3,0))-MAX($BA20,CL$3)+1)/($BB20-$BA20+1),SUMPRODUCT((YEAR($AC$2:$AX$2)=YEAR(CL$3))*(MONTH($AC$2:$AX$2)=MONTH(CL$3))*$AC20:$AX20))</f>
        <v>0</v>
      </c>
      <c r="CM20" s="164" t="n">
        <f aca="false">IF(AND($BA20&gt;0,$BB20&gt;=$BA20),$AA20*MAX(0,MIN($BB20,EOMONTH(CM$3,0))-MAX($BA20,CM$3)+1)/($BB20-$BA20+1),SUMPRODUCT((YEAR($AC$2:$AX$2)=YEAR(CM$3))*(MONTH($AC$2:$AX$2)=MONTH(CM$3))*$AC20:$AX20))</f>
        <v>0</v>
      </c>
      <c r="CN20" s="164" t="n">
        <f aca="false">IF(AND($BA20&gt;0,$BB20&gt;=$BA20),$AA20*MAX(0,MIN($BB20,EOMONTH(CN$3,0))-MAX($BA20,CN$3)+1)/($BB20-$BA20+1),SUMPRODUCT((YEAR($AC$2:$AX$2)=YEAR(CN$3))*(MONTH($AC$2:$AX$2)=MONTH(CN$3))*$AC20:$AX20))</f>
        <v>0</v>
      </c>
      <c r="CO20" s="164" t="n">
        <f aca="false">IF(AND($BA20&gt;0,$BB20&gt;=$BA20),$AA20*MAX(0,MIN($BB20,EOMONTH(CO$3,0))-MAX($BA20,CO$3)+1)/($BB20-$BA20+1),SUMPRODUCT((YEAR($AC$2:$AX$2)=YEAR(CO$3))*(MONTH($AC$2:$AX$2)=MONTH(CO$3))*$AC20:$AX20))</f>
        <v>0</v>
      </c>
      <c r="CP20" s="164" t="n">
        <f aca="false">IF(AND($BA20&gt;0,$BB20&gt;=$BA20),$AA20*MAX(0,MIN($BB20,EOMONTH(CP$3,0))-MAX($BA20,CP$3)+1)/($BB20-$BA20+1),SUMPRODUCT((YEAR($AC$2:$AX$2)=YEAR(CP$3))*(MONTH($AC$2:$AX$2)=MONTH(CP$3))*$AC20:$AX20))</f>
        <v>0</v>
      </c>
      <c r="CQ20" s="164" t="n">
        <f aca="false">IF(AND($BA20&gt;0,$BB20&gt;=$BA20),$AA20*MAX(0,MIN($BB20,EOMONTH(CQ$3,0))-MAX($BA20,CQ$3)+1)/($BB20-$BA20+1),SUMPRODUCT((YEAR($AC$2:$AX$2)=YEAR(CQ$3))*(MONTH($AC$2:$AX$2)=MONTH(CQ$3))*$AC20:$AX20))</f>
        <v>0</v>
      </c>
      <c r="CR20" s="164" t="n">
        <f aca="false">IF(AND($BA20&gt;0,$BB20&gt;=$BA20),$AA20*MAX(0,MIN($BB20,EOMONTH(CR$3,0))-MAX($BA20,CR$3)+1)/($BB20-$BA20+1),SUMPRODUCT((YEAR($AC$2:$AX$2)=YEAR(CR$3))*(MONTH($AC$2:$AX$2)=MONTH(CR$3))*$AC20:$AX20))</f>
        <v>0</v>
      </c>
      <c r="CS20" s="164" t="n">
        <f aca="false">IF(AND($BA20&gt;0,$BB20&gt;=$BA20),$AA20*MAX(0,MIN($BB20,EOMONTH(CS$3,0))-MAX($BA20,CS$3)+1)/($BB20-$BA20+1),SUMPRODUCT((YEAR($AC$2:$AX$2)=YEAR(CS$3))*(MONTH($AC$2:$AX$2)=MONTH(CS$3))*$AC20:$AX20))</f>
        <v>0</v>
      </c>
      <c r="CT20" s="164" t="n">
        <f aca="false">IF(AND($BA20&gt;0,$BB20&gt;=$BA20),$AA20*MAX(0,MIN($BB20,EOMONTH(CT$3,0))-MAX($BA20,CT$3)+1)/($BB20-$BA20+1),SUMPRODUCT((YEAR($AC$2:$AX$2)=YEAR(CT$3))*(MONTH($AC$2:$AX$2)=MONTH(CT$3))*$AC20:$AX20))</f>
        <v>0</v>
      </c>
      <c r="CU20" s="164" t="n">
        <f aca="false">IF(AND($BA20&gt;0,$BB20&gt;=$BA20),$AA20*MAX(0,MIN($BB20,EOMONTH(CU$3,0))-MAX($BA20,CU$3)+1)/($BB20-$BA20+1),SUMPRODUCT((YEAR($AC$2:$AX$2)=YEAR(CU$3))*(MONTH($AC$2:$AX$2)=MONTH(CU$3))*$AC20:$AX20))</f>
        <v>0</v>
      </c>
      <c r="CV20" s="164" t="n">
        <f aca="false">IF(AND($BA20&gt;0,$BB20&gt;=$BA20),$AA20*MAX(0,MIN($BB20,EOMONTH(CV$3,0))-MAX($BA20,CV$3)+1)/($BB20-$BA20+1),SUMPRODUCT((YEAR($AC$2:$AX$2)=YEAR(CV$3))*(MONTH($AC$2:$AX$2)=MONTH(CV$3))*$AC20:$AX20))</f>
        <v>0</v>
      </c>
      <c r="CW20" s="164" t="n">
        <f aca="false">IF(AND($BA20&gt;0,$BB20&gt;=$BA20),$AA20*MAX(0,MIN($BB20,EOMONTH(CW$3,0))-MAX($BA20,CW$3)+1)/($BB20-$BA20+1),SUMPRODUCT((YEAR($AC$2:$AX$2)=YEAR(CW$3))*(MONTH($AC$2:$AX$2)=MONTH(CW$3))*$AC20:$AX20))</f>
        <v>0</v>
      </c>
      <c r="CX20" s="164" t="n">
        <f aca="false">IF(AND($BA20&gt;0,$BB20&gt;=$BA20),$AA20*MAX(0,MIN($BB20,EOMONTH(CX$3,0))-MAX($BA20,CX$3)+1)/($BB20-$BA20+1),SUMPRODUCT((YEAR($AC$2:$AX$2)=YEAR(CX$3))*(MONTH($AC$2:$AX$2)=MONTH(CX$3))*$AC20:$AX20))</f>
        <v>0</v>
      </c>
      <c r="CY20" s="164" t="n">
        <f aca="false">IF(AND($BA20&gt;0,$BB20&gt;=$BA20),$AA20*MAX(0,MIN($BB20,EOMONTH(CY$3,0))-MAX($BA20,CY$3)+1)/($BB20-$BA20+1),SUMPRODUCT((YEAR($AC$2:$AX$2)=YEAR(CY$3))*(MONTH($AC$2:$AX$2)=MONTH(CY$3))*$AC20:$AX20))</f>
        <v>0</v>
      </c>
      <c r="CZ20" s="164" t="n">
        <f aca="false">IF(AND($BA20&gt;0,$BB20&gt;=$BA20),$AA20*MAX(0,MIN($BB20,EOMONTH(CZ$3,0))-MAX($BA20,CZ$3)+1)/($BB20-$BA20+1),SUMPRODUCT((YEAR($AC$2:$AX$2)=YEAR(CZ$3))*(MONTH($AC$2:$AX$2)=MONTH(CZ$3))*$AC20:$AX20))</f>
        <v>0</v>
      </c>
      <c r="DA20" s="164" t="n">
        <f aca="false">IF(AND($BA20&gt;0,$BB20&gt;=$BA20),$AA20*MAX(0,MIN($BB20,EOMONTH(DA$3,0))-MAX($BA20,DA$3)+1)/($BB20-$BA20+1),SUMPRODUCT((YEAR($AC$2:$AX$2)=YEAR(DA$3))*(MONTH($AC$2:$AX$2)=MONTH(DA$3))*$AC20:$AX20))</f>
        <v>0</v>
      </c>
      <c r="DB20" s="164" t="n">
        <f aca="false">IF(AND($BA20&gt;0,$BB20&gt;=$BA20),$AA20*MAX(0,MIN($BB20,EOMONTH(DB$3,0))-MAX($BA20,DB$3)+1)/($BB20-$BA20+1),SUMPRODUCT((YEAR($AC$2:$AX$2)=YEAR(DB$3))*(MONTH($AC$2:$AX$2)=MONTH(DB$3))*$AC20:$AX20))</f>
        <v>0</v>
      </c>
      <c r="DC20" s="164" t="n">
        <f aca="false">IF(AND($BA20&gt;0,$BB20&gt;=$BA20),$AA20*MAX(0,MIN($BB20,EOMONTH(DC$3,0))-MAX($BA20,DC$3)+1)/($BB20-$BA20+1),SUMPRODUCT((YEAR($AC$2:$AX$2)=YEAR(DC$3))*(MONTH($AC$2:$AX$2)=MONTH(DC$3))*$AC20:$AX20))</f>
        <v>0</v>
      </c>
      <c r="DD20" s="164" t="n">
        <f aca="false">IF(AND($BA20&gt;0,$BB20&gt;=$BA20),$AA20*MAX(0,MIN($BB20,EOMONTH(DD$3,0))-MAX($BA20,DD$3)+1)/($BB20-$BA20+1),SUMPRODUCT((YEAR($AC$2:$AX$2)=YEAR(DD$3))*(MONTH($AC$2:$AX$2)=MONTH(DD$3))*$AC20:$AX20))</f>
        <v>0</v>
      </c>
      <c r="DE20" s="164" t="n">
        <f aca="false">IF(AND($BA20&gt;0,$BB20&gt;=$BA20),$AA20*MAX(0,MIN($BB20,EOMONTH(DE$3,0))-MAX($BA20,DE$3)+1)/($BB20-$BA20+1),SUMPRODUCT((YEAR($AC$2:$AX$2)=YEAR(DE$3))*(MONTH($AC$2:$AX$2)=MONTH(DE$3))*$AC20:$AX20))</f>
        <v>0</v>
      </c>
      <c r="DF20" s="164" t="n">
        <f aca="false">IF(AND($BA20&gt;0,$BB20&gt;=$BA20),$AA20*MAX(0,MIN($BB20,EOMONTH(DF$3,0))-MAX($BA20,DF$3)+1)/($BB20-$BA20+1),SUMPRODUCT((YEAR($AC$2:$AX$2)=YEAR(DF$3))*(MONTH($AC$2:$AX$2)=MONTH(DF$3))*$AC20:$AX20))</f>
        <v>0</v>
      </c>
      <c r="DG20" s="164" t="n">
        <f aca="false">IF(AND($BA20&gt;0,$BB20&gt;=$BA20),$AA20*MAX(0,MIN($BB20,EOMONTH(DG$3,0))-MAX($BA20,DG$3)+1)/($BB20-$BA20+1),SUMPRODUCT((YEAR($AC$2:$AX$2)=YEAR(DG$3))*(MONTH($AC$2:$AX$2)=MONTH(DG$3))*$AC20:$AX20))</f>
        <v>0</v>
      </c>
      <c r="DH20" s="164" t="n">
        <f aca="false">IF(AND($BA20&gt;0,$BB20&gt;=$BA20),$AA20*MAX(0,MIN($BB20,EOMONTH(DH$3,0))-MAX($BA20,DH$3)+1)/($BB20-$BA20+1),SUMPRODUCT((YEAR($AC$2:$AX$2)=YEAR(DH$3))*(MONTH($AC$2:$AX$2)=MONTH(DH$3))*$AC20:$AX20))</f>
        <v>0</v>
      </c>
      <c r="DI20" s="164" t="n">
        <f aca="false">IF(AND($BA20&gt;0,$BB20&gt;=$BA20),$AA20*MAX(0,MIN($BB20,EOMONTH(DI$3,0))-MAX($BA20,DI$3)+1)/($BB20-$BA20+1),SUMPRODUCT((YEAR($AC$2:$AX$2)=YEAR(DI$3))*(MONTH($AC$2:$AX$2)=MONTH(DI$3))*$AC20:$AX20))</f>
        <v>0</v>
      </c>
      <c r="DJ20" s="164" t="n">
        <f aca="false">IF(AND($BA20&gt;0,$BB20&gt;=$BA20),$AA20*MAX(0,MIN($BB20,EOMONTH(DJ$3,0))-MAX($BA20,DJ$3)+1)/($BB20-$BA20+1),SUMPRODUCT((YEAR($AC$2:$AX$2)=YEAR(DJ$3))*(MONTH($AC$2:$AX$2)=MONTH(DJ$3))*$AC20:$AX20))</f>
        <v>0</v>
      </c>
      <c r="DK20" s="164" t="n">
        <f aca="false">IF(AND($BA20&gt;0,$BB20&gt;=$BA20),$AA20*MAX(0,MIN($BB20,EOMONTH(DK$3,0))-MAX($BA20,DK$3)+1)/($BB20-$BA20+1),SUMPRODUCT((YEAR($AC$2:$AX$2)=YEAR(DK$3))*(MONTH($AC$2:$AX$2)=MONTH(DK$3))*$AC20:$AX20))</f>
        <v>0</v>
      </c>
      <c r="DL20" s="164" t="n">
        <f aca="false">IF(AND($BA20&gt;0,$BB20&gt;=$BA20),$AA20*MAX(0,MIN($BB20,EOMONTH(DL$3,0))-MAX($BA20,DL$3)+1)/($BB20-$BA20+1),SUMPRODUCT((YEAR($AC$2:$AX$2)=YEAR(DL$3))*(MONTH($AC$2:$AX$2)=MONTH(DL$3))*$AC20:$AX20))</f>
        <v>0</v>
      </c>
      <c r="DM20" s="164" t="n">
        <f aca="false">IF(AND($BA20&gt;0,$BB20&gt;=$BA20),$AA20*MAX(0,MIN($BB20,EOMONTH(DM$3,0))-MAX($BA20,DM$3)+1)/($BB20-$BA20+1),SUMPRODUCT((YEAR($AC$2:$AX$2)=YEAR(DM$3))*(MONTH($AC$2:$AX$2)=MONTH(DM$3))*$AC20:$AX20))</f>
        <v>0</v>
      </c>
      <c r="DN20" s="164" t="n">
        <f aca="false">IF(AND($BA20&gt;0,$BB20&gt;=$BA20),$AA20*MAX(0,MIN($BB20,EOMONTH(DN$3,0))-MAX($BA20,DN$3)+1)/($BB20-$BA20+1),SUMPRODUCT((YEAR($AC$2:$AX$2)=YEAR(DN$3))*(MONTH($AC$2:$AX$2)=MONTH(DN$3))*$AC20:$AX20))</f>
        <v>0</v>
      </c>
      <c r="DO20" s="164" t="n">
        <f aca="false">IF(AND($BA20&gt;0,$BB20&gt;=$BA20),$AA20*MAX(0,MIN($BB20,EOMONTH(DO$3,0))-MAX($BA20,DO$3)+1)/($BB20-$BA20+1),SUMPRODUCT((YEAR($AC$2:$AX$2)=YEAR(DO$3))*(MONTH($AC$2:$AX$2)=MONTH(DO$3))*$AC20:$AX20))</f>
        <v>0</v>
      </c>
      <c r="DP20" s="164" t="n">
        <f aca="false">IF(AND($BA20&gt;0,$BB20&gt;=$BA20),$AA20*MAX(0,MIN($BB20,EOMONTH(DP$3,0))-MAX($BA20,DP$3)+1)/($BB20-$BA20+1),SUMPRODUCT((YEAR($AC$2:$AX$2)=YEAR(DP$3))*(MONTH($AC$2:$AX$2)=MONTH(DP$3))*$AC20:$AX20))</f>
        <v>0</v>
      </c>
      <c r="DQ20" s="164" t="n">
        <f aca="false">IF(AND($BA20&gt;0,$BB20&gt;=$BA20),$AA20*MAX(0,MIN($BB20,EOMONTH(DQ$3,0))-MAX($BA20,DQ$3)+1)/($BB20-$BA20+1),SUMPRODUCT((YEAR($AC$2:$AX$2)=YEAR(DQ$3))*(MONTH($AC$2:$AX$2)=MONTH(DQ$3))*$AC20:$AX20))</f>
        <v>0</v>
      </c>
      <c r="DR20" s="164" t="n">
        <f aca="false">IF(AND($BA20&gt;0,$BB20&gt;=$BA20),$AA20*MAX(0,MIN($BB20,EOMONTH(DR$3,0))-MAX($BA20,DR$3)+1)/($BB20-$BA20+1),SUMPRODUCT((YEAR($AC$2:$AX$2)=YEAR(DR$3))*(MONTH($AC$2:$AX$2)=MONTH(DR$3))*$AC20:$AX20))</f>
        <v>0</v>
      </c>
      <c r="DS20" s="164" t="n">
        <f aca="false">IF(AND($BA20&gt;0,$BB20&gt;=$BA20),$AA20*MAX(0,MIN($BB20,EOMONTH(DS$3,0))-MAX($BA20,DS$3)+1)/($BB20-$BA20+1),SUMPRODUCT((YEAR($AC$2:$AX$2)=YEAR(DS$3))*(MONTH($AC$2:$AX$2)=MONTH(DS$3))*$AC20:$AX20))</f>
        <v>0</v>
      </c>
      <c r="DT20" s="164" t="n">
        <f aca="false">IF(AND($BA20&gt;0,$BB20&gt;=$BA20),$AA20*MAX(0,MIN($BB20,EOMONTH(DT$3,0))-MAX($BA20,DT$3)+1)/($BB20-$BA20+1),SUMPRODUCT((YEAR($AC$2:$AX$2)=YEAR(DT$3))*(MONTH($AC$2:$AX$2)=MONTH(DT$3))*$AC20:$AX20))</f>
        <v>0</v>
      </c>
      <c r="DU20" s="164" t="n">
        <f aca="false">IF(AND($BA20&gt;0,$BB20&gt;=$BA20),$AA20*MAX(0,MIN($BB20,EOMONTH(DU$3,0))-MAX($BA20,DU$3)+1)/($BB20-$BA20+1),SUMPRODUCT((YEAR($AC$2:$AX$2)=YEAR(DU$3))*(MONTH($AC$2:$AX$2)=MONTH(DU$3))*$AC20:$AX20))</f>
        <v>0</v>
      </c>
      <c r="DV20" s="164" t="n">
        <f aca="false">IF(AND($BA20&gt;0,$BB20&gt;=$BA20),$AA20*MAX(0,MIN($BB20,EOMONTH(DV$3,0))-MAX($BA20,DV$3)+1)/($BB20-$BA20+1),SUMPRODUCT((YEAR($AC$2:$AX$2)=YEAR(DV$3))*(MONTH($AC$2:$AX$2)=MONTH(DV$3))*$AC20:$AX20))</f>
        <v>0</v>
      </c>
      <c r="DW20" s="164" t="n">
        <f aca="false">IF(AND($BA20&gt;0,$BB20&gt;=$BA20),$AA20*MAX(0,MIN($BB20,EOMONTH(DW$3,0))-MAX($BA20,DW$3)+1)/($BB20-$BA20+1),SUMPRODUCT((YEAR($AC$2:$AX$2)=YEAR(DW$3))*(MONTH($AC$2:$AX$2)=MONTH(DW$3))*$AC20:$AX20))</f>
        <v>0</v>
      </c>
    </row>
    <row r="21" customFormat="false" ht="15" hidden="false" customHeight="false" outlineLevel="0" collapsed="false">
      <c r="H21" s="150" t="s">
        <v>2979</v>
      </c>
      <c r="J21" s="152" t="n">
        <v>700.6245</v>
      </c>
      <c r="K21" s="152" t="n">
        <v>242.8</v>
      </c>
      <c r="L21" s="152" t="n">
        <v>1353.789475</v>
      </c>
      <c r="O21" s="152" t="n">
        <v>19494.25</v>
      </c>
      <c r="P21" s="152" t="n">
        <v>700.6245</v>
      </c>
      <c r="S21" s="149" t="n">
        <f aca="false">K21*($D$58+$D$57)</f>
        <v>155203.7086</v>
      </c>
      <c r="T21" s="149" t="n">
        <f aca="false">L21*$D$47</f>
        <v>180460.1370175</v>
      </c>
      <c r="V21" s="149" t="n">
        <f aca="false">O21*($D$54)</f>
        <v>113321.0499625</v>
      </c>
      <c r="W21" s="149" t="n">
        <f aca="false">O21*($D$49)</f>
        <v>54486.42875</v>
      </c>
      <c r="Y21" s="149" t="n">
        <f aca="false">SUM(P21:Q21)*($D$50+$D$52)</f>
        <v>9521.592048675</v>
      </c>
      <c r="AA21" s="149" t="n">
        <f aca="false">SUM(S21:Y21)</f>
        <v>512992.916378675</v>
      </c>
      <c r="AO21" s="149" t="n">
        <f aca="false">AA21</f>
        <v>512992.916378675</v>
      </c>
      <c r="AZ21" s="162" t="s">
        <v>2818</v>
      </c>
      <c r="BA21" s="163" t="n">
        <f aca="false">IF(AZ21="",0,SUMPRODUCT(('CRONOGRAMA ATIVIDADES'!$C$5:$C$6004="ESTRUTURA")*('CRONOGRAMA ATIVIDADES'!$E$5:$E$6004=AZ21)*('CRONOGRAMA ATIVIDADES'!$D$5:$D$6004="-")*'CRONOGRAMA ATIVIDADES'!$F$5:$F$6004))</f>
        <v>46546</v>
      </c>
      <c r="BB21" s="163" t="n">
        <f aca="false">IF(AZ21="",0,SUMPRODUCT(('CRONOGRAMA ATIVIDADES'!$C$5:$C$6004="ESTRUTURA")*('CRONOGRAMA ATIVIDADES'!$E$5:$E$6004=AZ21)*('CRONOGRAMA ATIVIDADES'!$D$5:$D$6004="-")*'CRONOGRAMA ATIVIDADES'!$G$5:$G$6004))</f>
        <v>46555</v>
      </c>
      <c r="BD21" s="164" t="n">
        <f aca="false">IF(AND($BA21&gt;0,$BB21&gt;=$BA21),$AA21*MAX(0,MIN($BB21,EOMONTH(BD$3,0))-MAX($BA21,BD$3)+1)/($BB21-$BA21+1),SUMPRODUCT((YEAR($AC$2:$AX$2)=YEAR(BD$3))*(MONTH($AC$2:$AX$2)=MONTH(BD$3))*$AC21:$AX21))</f>
        <v>0</v>
      </c>
      <c r="BE21" s="164" t="n">
        <f aca="false">IF(AND($BA21&gt;0,$BB21&gt;=$BA21),$AA21*MAX(0,MIN($BB21,EOMONTH(BE$3,0))-MAX($BA21,BE$3)+1)/($BB21-$BA21+1),SUMPRODUCT((YEAR($AC$2:$AX$2)=YEAR(BE$3))*(MONTH($AC$2:$AX$2)=MONTH(BE$3))*$AC21:$AX21))</f>
        <v>0</v>
      </c>
      <c r="BF21" s="164" t="n">
        <f aca="false">IF(AND($BA21&gt;0,$BB21&gt;=$BA21),$AA21*MAX(0,MIN($BB21,EOMONTH(BF$3,0))-MAX($BA21,BF$3)+1)/($BB21-$BA21+1),SUMPRODUCT((YEAR($AC$2:$AX$2)=YEAR(BF$3))*(MONTH($AC$2:$AX$2)=MONTH(BF$3))*$AC21:$AX21))</f>
        <v>0</v>
      </c>
      <c r="BG21" s="164" t="n">
        <f aca="false">IF(AND($BA21&gt;0,$BB21&gt;=$BA21),$AA21*MAX(0,MIN($BB21,EOMONTH(BG$3,0))-MAX($BA21,BG$3)+1)/($BB21-$BA21+1),SUMPRODUCT((YEAR($AC$2:$AX$2)=YEAR(BG$3))*(MONTH($AC$2:$AX$2)=MONTH(BG$3))*$AC21:$AX21))</f>
        <v>0</v>
      </c>
      <c r="BH21" s="164" t="n">
        <f aca="false">IF(AND($BA21&gt;0,$BB21&gt;=$BA21),$AA21*MAX(0,MIN($BB21,EOMONTH(BH$3,0))-MAX($BA21,BH$3)+1)/($BB21-$BA21+1),SUMPRODUCT((YEAR($AC$2:$AX$2)=YEAR(BH$3))*(MONTH($AC$2:$AX$2)=MONTH(BH$3))*$AC21:$AX21))</f>
        <v>0</v>
      </c>
      <c r="BI21" s="164" t="n">
        <f aca="false">IF(AND($BA21&gt;0,$BB21&gt;=$BA21),$AA21*MAX(0,MIN($BB21,EOMONTH(BI$3,0))-MAX($BA21,BI$3)+1)/($BB21-$BA21+1),SUMPRODUCT((YEAR($AC$2:$AX$2)=YEAR(BI$3))*(MONTH($AC$2:$AX$2)=MONTH(BI$3))*$AC21:$AX21))</f>
        <v>0</v>
      </c>
      <c r="BJ21" s="164" t="n">
        <f aca="false">IF(AND($BA21&gt;0,$BB21&gt;=$BA21),$AA21*MAX(0,MIN($BB21,EOMONTH(BJ$3,0))-MAX($BA21,BJ$3)+1)/($BB21-$BA21+1),SUMPRODUCT((YEAR($AC$2:$AX$2)=YEAR(BJ$3))*(MONTH($AC$2:$AX$2)=MONTH(BJ$3))*$AC21:$AX21))</f>
        <v>0</v>
      </c>
      <c r="BK21" s="164" t="n">
        <f aca="false">IF(AND($BA21&gt;0,$BB21&gt;=$BA21),$AA21*MAX(0,MIN($BB21,EOMONTH(BK$3,0))-MAX($BA21,BK$3)+1)/($BB21-$BA21+1),SUMPRODUCT((YEAR($AC$2:$AX$2)=YEAR(BK$3))*(MONTH($AC$2:$AX$2)=MONTH(BK$3))*$AC21:$AX21))</f>
        <v>0</v>
      </c>
      <c r="BL21" s="164" t="n">
        <f aca="false">IF(AND($BA21&gt;0,$BB21&gt;=$BA21),$AA21*MAX(0,MIN($BB21,EOMONTH(BL$3,0))-MAX($BA21,BL$3)+1)/($BB21-$BA21+1),SUMPRODUCT((YEAR($AC$2:$AX$2)=YEAR(BL$3))*(MONTH($AC$2:$AX$2)=MONTH(BL$3))*$AC21:$AX21))</f>
        <v>0</v>
      </c>
      <c r="BM21" s="164" t="n">
        <f aca="false">IF(AND($BA21&gt;0,$BB21&gt;=$BA21),$AA21*MAX(0,MIN($BB21,EOMONTH(BM$3,0))-MAX($BA21,BM$3)+1)/($BB21-$BA21+1),SUMPRODUCT((YEAR($AC$2:$AX$2)=YEAR(BM$3))*(MONTH($AC$2:$AX$2)=MONTH(BM$3))*$AC21:$AX21))</f>
        <v>0</v>
      </c>
      <c r="BN21" s="164" t="n">
        <f aca="false">IF(AND($BA21&gt;0,$BB21&gt;=$BA21),$AA21*MAX(0,MIN($BB21,EOMONTH(BN$3,0))-MAX($BA21,BN$3)+1)/($BB21-$BA21+1),SUMPRODUCT((YEAR($AC$2:$AX$2)=YEAR(BN$3))*(MONTH($AC$2:$AX$2)=MONTH(BN$3))*$AC21:$AX21))</f>
        <v>0</v>
      </c>
      <c r="BO21" s="164" t="n">
        <f aca="false">IF(AND($BA21&gt;0,$BB21&gt;=$BA21),$AA21*MAX(0,MIN($BB21,EOMONTH(BO$3,0))-MAX($BA21,BO$3)+1)/($BB21-$BA21+1),SUMPRODUCT((YEAR($AC$2:$AX$2)=YEAR(BO$3))*(MONTH($AC$2:$AX$2)=MONTH(BO$3))*$AC21:$AX21))</f>
        <v>0</v>
      </c>
      <c r="BP21" s="164" t="n">
        <f aca="false">IF(AND($BA21&gt;0,$BB21&gt;=$BA21),$AA21*MAX(0,MIN($BB21,EOMONTH(BP$3,0))-MAX($BA21,BP$3)+1)/($BB21-$BA21+1),SUMPRODUCT((YEAR($AC$2:$AX$2)=YEAR(BP$3))*(MONTH($AC$2:$AX$2)=MONTH(BP$3))*$AC21:$AX21))</f>
        <v>0</v>
      </c>
      <c r="BQ21" s="164" t="n">
        <f aca="false">IF(AND($BA21&gt;0,$BB21&gt;=$BA21),$AA21*MAX(0,MIN($BB21,EOMONTH(BQ$3,0))-MAX($BA21,BQ$3)+1)/($BB21-$BA21+1),SUMPRODUCT((YEAR($AC$2:$AX$2)=YEAR(BQ$3))*(MONTH($AC$2:$AX$2)=MONTH(BQ$3))*$AC21:$AX21))</f>
        <v>0</v>
      </c>
      <c r="BR21" s="164" t="n">
        <f aca="false">IF(AND($BA21&gt;0,$BB21&gt;=$BA21),$AA21*MAX(0,MIN($BB21,EOMONTH(BR$3,0))-MAX($BA21,BR$3)+1)/($BB21-$BA21+1),SUMPRODUCT((YEAR($AC$2:$AX$2)=YEAR(BR$3))*(MONTH($AC$2:$AX$2)=MONTH(BR$3))*$AC21:$AX21))</f>
        <v>0</v>
      </c>
      <c r="BS21" s="164" t="n">
        <f aca="false">IF(AND($BA21&gt;0,$BB21&gt;=$BA21),$AA21*MAX(0,MIN($BB21,EOMONTH(BS$3,0))-MAX($BA21,BS$3)+1)/($BB21-$BA21+1),SUMPRODUCT((YEAR($AC$2:$AX$2)=YEAR(BS$3))*(MONTH($AC$2:$AX$2)=MONTH(BS$3))*$AC21:$AX21))</f>
        <v>0</v>
      </c>
      <c r="BT21" s="164" t="n">
        <f aca="false">IF(AND($BA21&gt;0,$BB21&gt;=$BA21),$AA21*MAX(0,MIN($BB21,EOMONTH(BT$3,0))-MAX($BA21,BT$3)+1)/($BB21-$BA21+1),SUMPRODUCT((YEAR($AC$2:$AX$2)=YEAR(BT$3))*(MONTH($AC$2:$AX$2)=MONTH(BT$3))*$AC21:$AX21))</f>
        <v>0</v>
      </c>
      <c r="BU21" s="164" t="n">
        <f aca="false">IF(AND($BA21&gt;0,$BB21&gt;=$BA21),$AA21*MAX(0,MIN($BB21,EOMONTH(BU$3,0))-MAX($BA21,BU$3)+1)/($BB21-$BA21+1),SUMPRODUCT((YEAR($AC$2:$AX$2)=YEAR(BU$3))*(MONTH($AC$2:$AX$2)=MONTH(BU$3))*$AC21:$AX21))</f>
        <v>0</v>
      </c>
      <c r="BV21" s="164" t="n">
        <f aca="false">IF(AND($BA21&gt;0,$BB21&gt;=$BA21),$AA21*MAX(0,MIN($BB21,EOMONTH(BV$3,0))-MAX($BA21,BV$3)+1)/($BB21-$BA21+1),SUMPRODUCT((YEAR($AC$2:$AX$2)=YEAR(BV$3))*(MONTH($AC$2:$AX$2)=MONTH(BV$3))*$AC21:$AX21))</f>
        <v>0</v>
      </c>
      <c r="BW21" s="164" t="n">
        <f aca="false">IF(AND($BA21&gt;0,$BB21&gt;=$BA21),$AA21*MAX(0,MIN($BB21,EOMONTH(BW$3,0))-MAX($BA21,BW$3)+1)/($BB21-$BA21+1),SUMPRODUCT((YEAR($AC$2:$AX$2)=YEAR(BW$3))*(MONTH($AC$2:$AX$2)=MONTH(BW$3))*$AC21:$AX21))</f>
        <v>0</v>
      </c>
      <c r="BX21" s="164" t="n">
        <f aca="false">IF(AND($BA21&gt;0,$BB21&gt;=$BA21),$AA21*MAX(0,MIN($BB21,EOMONTH(BX$3,0))-MAX($BA21,BX$3)+1)/($BB21-$BA21+1),SUMPRODUCT((YEAR($AC$2:$AX$2)=YEAR(BX$3))*(MONTH($AC$2:$AX$2)=MONTH(BX$3))*$AC21:$AX21))</f>
        <v>0</v>
      </c>
      <c r="BY21" s="164" t="n">
        <f aca="false">IF(AND($BA21&gt;0,$BB21&gt;=$BA21),$AA21*MAX(0,MIN($BB21,EOMONTH(BY$3,0))-MAX($BA21,BY$3)+1)/($BB21-$BA21+1),SUMPRODUCT((YEAR($AC$2:$AX$2)=YEAR(BY$3))*(MONTH($AC$2:$AX$2)=MONTH(BY$3))*$AC21:$AX21))</f>
        <v>0</v>
      </c>
      <c r="BZ21" s="164" t="n">
        <f aca="false">IF(AND($BA21&gt;0,$BB21&gt;=$BA21),$AA21*MAX(0,MIN($BB21,EOMONTH(BZ$3,0))-MAX($BA21,BZ$3)+1)/($BB21-$BA21+1),SUMPRODUCT((YEAR($AC$2:$AX$2)=YEAR(BZ$3))*(MONTH($AC$2:$AX$2)=MONTH(BZ$3))*$AC21:$AX21))</f>
        <v>0</v>
      </c>
      <c r="CA21" s="164" t="n">
        <f aca="false">IF(AND($BA21&gt;0,$BB21&gt;=$BA21),$AA21*MAX(0,MIN($BB21,EOMONTH(CA$3,0))-MAX($BA21,CA$3)+1)/($BB21-$BA21+1),SUMPRODUCT((YEAR($AC$2:$AX$2)=YEAR(CA$3))*(MONTH($AC$2:$AX$2)=MONTH(CA$3))*$AC21:$AX21))</f>
        <v>0</v>
      </c>
      <c r="CB21" s="164" t="n">
        <f aca="false">IF(AND($BA21&gt;0,$BB21&gt;=$BA21),$AA21*MAX(0,MIN($BB21,EOMONTH(CB$3,0))-MAX($BA21,CB$3)+1)/($BB21-$BA21+1),SUMPRODUCT((YEAR($AC$2:$AX$2)=YEAR(CB$3))*(MONTH($AC$2:$AX$2)=MONTH(CB$3))*$AC21:$AX21))</f>
        <v>0</v>
      </c>
      <c r="CC21" s="164" t="n">
        <f aca="false">IF(AND($BA21&gt;0,$BB21&gt;=$BA21),$AA21*MAX(0,MIN($BB21,EOMONTH(CC$3,0))-MAX($BA21,CC$3)+1)/($BB21-$BA21+1),SUMPRODUCT((YEAR($AC$2:$AX$2)=YEAR(CC$3))*(MONTH($AC$2:$AX$2)=MONTH(CC$3))*$AC21:$AX21))</f>
        <v>0</v>
      </c>
      <c r="CD21" s="164" t="n">
        <f aca="false">IF(AND($BA21&gt;0,$BB21&gt;=$BA21),$AA21*MAX(0,MIN($BB21,EOMONTH(CD$3,0))-MAX($BA21,CD$3)+1)/($BB21-$BA21+1),SUMPRODUCT((YEAR($AC$2:$AX$2)=YEAR(CD$3))*(MONTH($AC$2:$AX$2)=MONTH(CD$3))*$AC21:$AX21))</f>
        <v>0</v>
      </c>
      <c r="CE21" s="164" t="n">
        <f aca="false">IF(AND($BA21&gt;0,$BB21&gt;=$BA21),$AA21*MAX(0,MIN($BB21,EOMONTH(CE$3,0))-MAX($BA21,CE$3)+1)/($BB21-$BA21+1),SUMPRODUCT((YEAR($AC$2:$AX$2)=YEAR(CE$3))*(MONTH($AC$2:$AX$2)=MONTH(CE$3))*$AC21:$AX21))</f>
        <v>0</v>
      </c>
      <c r="CF21" s="164" t="n">
        <f aca="false">IF(AND($BA21&gt;0,$BB21&gt;=$BA21),$AA21*MAX(0,MIN($BB21,EOMONTH(CF$3,0))-MAX($BA21,CF$3)+1)/($BB21-$BA21+1),SUMPRODUCT((YEAR($AC$2:$AX$2)=YEAR(CF$3))*(MONTH($AC$2:$AX$2)=MONTH(CF$3))*$AC21:$AX21))</f>
        <v>0</v>
      </c>
      <c r="CG21" s="164" t="n">
        <f aca="false">IF(AND($BA21&gt;0,$BB21&gt;=$BA21),$AA21*MAX(0,MIN($BB21,EOMONTH(CG$3,0))-MAX($BA21,CG$3)+1)/($BB21-$BA21+1),SUMPRODUCT((YEAR($AC$2:$AX$2)=YEAR(CG$3))*(MONTH($AC$2:$AX$2)=MONTH(CG$3))*$AC21:$AX21))</f>
        <v>0</v>
      </c>
      <c r="CH21" s="164" t="n">
        <f aca="false">IF(AND($BA21&gt;0,$BB21&gt;=$BA21),$AA21*MAX(0,MIN($BB21,EOMONTH(CH$3,0))-MAX($BA21,CH$3)+1)/($BB21-$BA21+1),SUMPRODUCT((YEAR($AC$2:$AX$2)=YEAR(CH$3))*(MONTH($AC$2:$AX$2)=MONTH(CH$3))*$AC21:$AX21))</f>
        <v>512992.916378675</v>
      </c>
      <c r="CI21" s="164" t="n">
        <f aca="false">IF(AND($BA21&gt;0,$BB21&gt;=$BA21),$AA21*MAX(0,MIN($BB21,EOMONTH(CI$3,0))-MAX($BA21,CI$3)+1)/($BB21-$BA21+1),SUMPRODUCT((YEAR($AC$2:$AX$2)=YEAR(CI$3))*(MONTH($AC$2:$AX$2)=MONTH(CI$3))*$AC21:$AX21))</f>
        <v>0</v>
      </c>
      <c r="CJ21" s="164" t="n">
        <f aca="false">IF(AND($BA21&gt;0,$BB21&gt;=$BA21),$AA21*MAX(0,MIN($BB21,EOMONTH(CJ$3,0))-MAX($BA21,CJ$3)+1)/($BB21-$BA21+1),SUMPRODUCT((YEAR($AC$2:$AX$2)=YEAR(CJ$3))*(MONTH($AC$2:$AX$2)=MONTH(CJ$3))*$AC21:$AX21))</f>
        <v>0</v>
      </c>
      <c r="CK21" s="164" t="n">
        <f aca="false">IF(AND($BA21&gt;0,$BB21&gt;=$BA21),$AA21*MAX(0,MIN($BB21,EOMONTH(CK$3,0))-MAX($BA21,CK$3)+1)/($BB21-$BA21+1),SUMPRODUCT((YEAR($AC$2:$AX$2)=YEAR(CK$3))*(MONTH($AC$2:$AX$2)=MONTH(CK$3))*$AC21:$AX21))</f>
        <v>0</v>
      </c>
      <c r="CL21" s="164" t="n">
        <f aca="false">IF(AND($BA21&gt;0,$BB21&gt;=$BA21),$AA21*MAX(0,MIN($BB21,EOMONTH(CL$3,0))-MAX($BA21,CL$3)+1)/($BB21-$BA21+1),SUMPRODUCT((YEAR($AC$2:$AX$2)=YEAR(CL$3))*(MONTH($AC$2:$AX$2)=MONTH(CL$3))*$AC21:$AX21))</f>
        <v>0</v>
      </c>
      <c r="CM21" s="164" t="n">
        <f aca="false">IF(AND($BA21&gt;0,$BB21&gt;=$BA21),$AA21*MAX(0,MIN($BB21,EOMONTH(CM$3,0))-MAX($BA21,CM$3)+1)/($BB21-$BA21+1),SUMPRODUCT((YEAR($AC$2:$AX$2)=YEAR(CM$3))*(MONTH($AC$2:$AX$2)=MONTH(CM$3))*$AC21:$AX21))</f>
        <v>0</v>
      </c>
      <c r="CN21" s="164" t="n">
        <f aca="false">IF(AND($BA21&gt;0,$BB21&gt;=$BA21),$AA21*MAX(0,MIN($BB21,EOMONTH(CN$3,0))-MAX($BA21,CN$3)+1)/($BB21-$BA21+1),SUMPRODUCT((YEAR($AC$2:$AX$2)=YEAR(CN$3))*(MONTH($AC$2:$AX$2)=MONTH(CN$3))*$AC21:$AX21))</f>
        <v>0</v>
      </c>
      <c r="CO21" s="164" t="n">
        <f aca="false">IF(AND($BA21&gt;0,$BB21&gt;=$BA21),$AA21*MAX(0,MIN($BB21,EOMONTH(CO$3,0))-MAX($BA21,CO$3)+1)/($BB21-$BA21+1),SUMPRODUCT((YEAR($AC$2:$AX$2)=YEAR(CO$3))*(MONTH($AC$2:$AX$2)=MONTH(CO$3))*$AC21:$AX21))</f>
        <v>0</v>
      </c>
      <c r="CP21" s="164" t="n">
        <f aca="false">IF(AND($BA21&gt;0,$BB21&gt;=$BA21),$AA21*MAX(0,MIN($BB21,EOMONTH(CP$3,0))-MAX($BA21,CP$3)+1)/($BB21-$BA21+1),SUMPRODUCT((YEAR($AC$2:$AX$2)=YEAR(CP$3))*(MONTH($AC$2:$AX$2)=MONTH(CP$3))*$AC21:$AX21))</f>
        <v>0</v>
      </c>
      <c r="CQ21" s="164" t="n">
        <f aca="false">IF(AND($BA21&gt;0,$BB21&gt;=$BA21),$AA21*MAX(0,MIN($BB21,EOMONTH(CQ$3,0))-MAX($BA21,CQ$3)+1)/($BB21-$BA21+1),SUMPRODUCT((YEAR($AC$2:$AX$2)=YEAR(CQ$3))*(MONTH($AC$2:$AX$2)=MONTH(CQ$3))*$AC21:$AX21))</f>
        <v>0</v>
      </c>
      <c r="CR21" s="164" t="n">
        <f aca="false">IF(AND($BA21&gt;0,$BB21&gt;=$BA21),$AA21*MAX(0,MIN($BB21,EOMONTH(CR$3,0))-MAX($BA21,CR$3)+1)/($BB21-$BA21+1),SUMPRODUCT((YEAR($AC$2:$AX$2)=YEAR(CR$3))*(MONTH($AC$2:$AX$2)=MONTH(CR$3))*$AC21:$AX21))</f>
        <v>0</v>
      </c>
      <c r="CS21" s="164" t="n">
        <f aca="false">IF(AND($BA21&gt;0,$BB21&gt;=$BA21),$AA21*MAX(0,MIN($BB21,EOMONTH(CS$3,0))-MAX($BA21,CS$3)+1)/($BB21-$BA21+1),SUMPRODUCT((YEAR($AC$2:$AX$2)=YEAR(CS$3))*(MONTH($AC$2:$AX$2)=MONTH(CS$3))*$AC21:$AX21))</f>
        <v>0</v>
      </c>
      <c r="CT21" s="164" t="n">
        <f aca="false">IF(AND($BA21&gt;0,$BB21&gt;=$BA21),$AA21*MAX(0,MIN($BB21,EOMONTH(CT$3,0))-MAX($BA21,CT$3)+1)/($BB21-$BA21+1),SUMPRODUCT((YEAR($AC$2:$AX$2)=YEAR(CT$3))*(MONTH($AC$2:$AX$2)=MONTH(CT$3))*$AC21:$AX21))</f>
        <v>0</v>
      </c>
      <c r="CU21" s="164" t="n">
        <f aca="false">IF(AND($BA21&gt;0,$BB21&gt;=$BA21),$AA21*MAX(0,MIN($BB21,EOMONTH(CU$3,0))-MAX($BA21,CU$3)+1)/($BB21-$BA21+1),SUMPRODUCT((YEAR($AC$2:$AX$2)=YEAR(CU$3))*(MONTH($AC$2:$AX$2)=MONTH(CU$3))*$AC21:$AX21))</f>
        <v>0</v>
      </c>
      <c r="CV21" s="164" t="n">
        <f aca="false">IF(AND($BA21&gt;0,$BB21&gt;=$BA21),$AA21*MAX(0,MIN($BB21,EOMONTH(CV$3,0))-MAX($BA21,CV$3)+1)/($BB21-$BA21+1),SUMPRODUCT((YEAR($AC$2:$AX$2)=YEAR(CV$3))*(MONTH($AC$2:$AX$2)=MONTH(CV$3))*$AC21:$AX21))</f>
        <v>0</v>
      </c>
      <c r="CW21" s="164" t="n">
        <f aca="false">IF(AND($BA21&gt;0,$BB21&gt;=$BA21),$AA21*MAX(0,MIN($BB21,EOMONTH(CW$3,0))-MAX($BA21,CW$3)+1)/($BB21-$BA21+1),SUMPRODUCT((YEAR($AC$2:$AX$2)=YEAR(CW$3))*(MONTH($AC$2:$AX$2)=MONTH(CW$3))*$AC21:$AX21))</f>
        <v>0</v>
      </c>
      <c r="CX21" s="164" t="n">
        <f aca="false">IF(AND($BA21&gt;0,$BB21&gt;=$BA21),$AA21*MAX(0,MIN($BB21,EOMONTH(CX$3,0))-MAX($BA21,CX$3)+1)/($BB21-$BA21+1),SUMPRODUCT((YEAR($AC$2:$AX$2)=YEAR(CX$3))*(MONTH($AC$2:$AX$2)=MONTH(CX$3))*$AC21:$AX21))</f>
        <v>0</v>
      </c>
      <c r="CY21" s="164" t="n">
        <f aca="false">IF(AND($BA21&gt;0,$BB21&gt;=$BA21),$AA21*MAX(0,MIN($BB21,EOMONTH(CY$3,0))-MAX($BA21,CY$3)+1)/($BB21-$BA21+1),SUMPRODUCT((YEAR($AC$2:$AX$2)=YEAR(CY$3))*(MONTH($AC$2:$AX$2)=MONTH(CY$3))*$AC21:$AX21))</f>
        <v>0</v>
      </c>
      <c r="CZ21" s="164" t="n">
        <f aca="false">IF(AND($BA21&gt;0,$BB21&gt;=$BA21),$AA21*MAX(0,MIN($BB21,EOMONTH(CZ$3,0))-MAX($BA21,CZ$3)+1)/($BB21-$BA21+1),SUMPRODUCT((YEAR($AC$2:$AX$2)=YEAR(CZ$3))*(MONTH($AC$2:$AX$2)=MONTH(CZ$3))*$AC21:$AX21))</f>
        <v>0</v>
      </c>
      <c r="DA21" s="164" t="n">
        <f aca="false">IF(AND($BA21&gt;0,$BB21&gt;=$BA21),$AA21*MAX(0,MIN($BB21,EOMONTH(DA$3,0))-MAX($BA21,DA$3)+1)/($BB21-$BA21+1),SUMPRODUCT((YEAR($AC$2:$AX$2)=YEAR(DA$3))*(MONTH($AC$2:$AX$2)=MONTH(DA$3))*$AC21:$AX21))</f>
        <v>0</v>
      </c>
      <c r="DB21" s="164" t="n">
        <f aca="false">IF(AND($BA21&gt;0,$BB21&gt;=$BA21),$AA21*MAX(0,MIN($BB21,EOMONTH(DB$3,0))-MAX($BA21,DB$3)+1)/($BB21-$BA21+1),SUMPRODUCT((YEAR($AC$2:$AX$2)=YEAR(DB$3))*(MONTH($AC$2:$AX$2)=MONTH(DB$3))*$AC21:$AX21))</f>
        <v>0</v>
      </c>
      <c r="DC21" s="164" t="n">
        <f aca="false">IF(AND($BA21&gt;0,$BB21&gt;=$BA21),$AA21*MAX(0,MIN($BB21,EOMONTH(DC$3,0))-MAX($BA21,DC$3)+1)/($BB21-$BA21+1),SUMPRODUCT((YEAR($AC$2:$AX$2)=YEAR(DC$3))*(MONTH($AC$2:$AX$2)=MONTH(DC$3))*$AC21:$AX21))</f>
        <v>0</v>
      </c>
      <c r="DD21" s="164" t="n">
        <f aca="false">IF(AND($BA21&gt;0,$BB21&gt;=$BA21),$AA21*MAX(0,MIN($BB21,EOMONTH(DD$3,0))-MAX($BA21,DD$3)+1)/($BB21-$BA21+1),SUMPRODUCT((YEAR($AC$2:$AX$2)=YEAR(DD$3))*(MONTH($AC$2:$AX$2)=MONTH(DD$3))*$AC21:$AX21))</f>
        <v>0</v>
      </c>
      <c r="DE21" s="164" t="n">
        <f aca="false">IF(AND($BA21&gt;0,$BB21&gt;=$BA21),$AA21*MAX(0,MIN($BB21,EOMONTH(DE$3,0))-MAX($BA21,DE$3)+1)/($BB21-$BA21+1),SUMPRODUCT((YEAR($AC$2:$AX$2)=YEAR(DE$3))*(MONTH($AC$2:$AX$2)=MONTH(DE$3))*$AC21:$AX21))</f>
        <v>0</v>
      </c>
      <c r="DF21" s="164" t="n">
        <f aca="false">IF(AND($BA21&gt;0,$BB21&gt;=$BA21),$AA21*MAX(0,MIN($BB21,EOMONTH(DF$3,0))-MAX($BA21,DF$3)+1)/($BB21-$BA21+1),SUMPRODUCT((YEAR($AC$2:$AX$2)=YEAR(DF$3))*(MONTH($AC$2:$AX$2)=MONTH(DF$3))*$AC21:$AX21))</f>
        <v>0</v>
      </c>
      <c r="DG21" s="164" t="n">
        <f aca="false">IF(AND($BA21&gt;0,$BB21&gt;=$BA21),$AA21*MAX(0,MIN($BB21,EOMONTH(DG$3,0))-MAX($BA21,DG$3)+1)/($BB21-$BA21+1),SUMPRODUCT((YEAR($AC$2:$AX$2)=YEAR(DG$3))*(MONTH($AC$2:$AX$2)=MONTH(DG$3))*$AC21:$AX21))</f>
        <v>0</v>
      </c>
      <c r="DH21" s="164" t="n">
        <f aca="false">IF(AND($BA21&gt;0,$BB21&gt;=$BA21),$AA21*MAX(0,MIN($BB21,EOMONTH(DH$3,0))-MAX($BA21,DH$3)+1)/($BB21-$BA21+1),SUMPRODUCT((YEAR($AC$2:$AX$2)=YEAR(DH$3))*(MONTH($AC$2:$AX$2)=MONTH(DH$3))*$AC21:$AX21))</f>
        <v>0</v>
      </c>
      <c r="DI21" s="164" t="n">
        <f aca="false">IF(AND($BA21&gt;0,$BB21&gt;=$BA21),$AA21*MAX(0,MIN($BB21,EOMONTH(DI$3,0))-MAX($BA21,DI$3)+1)/($BB21-$BA21+1),SUMPRODUCT((YEAR($AC$2:$AX$2)=YEAR(DI$3))*(MONTH($AC$2:$AX$2)=MONTH(DI$3))*$AC21:$AX21))</f>
        <v>0</v>
      </c>
      <c r="DJ21" s="164" t="n">
        <f aca="false">IF(AND($BA21&gt;0,$BB21&gt;=$BA21),$AA21*MAX(0,MIN($BB21,EOMONTH(DJ$3,0))-MAX($BA21,DJ$3)+1)/($BB21-$BA21+1),SUMPRODUCT((YEAR($AC$2:$AX$2)=YEAR(DJ$3))*(MONTH($AC$2:$AX$2)=MONTH(DJ$3))*$AC21:$AX21))</f>
        <v>0</v>
      </c>
      <c r="DK21" s="164" t="n">
        <f aca="false">IF(AND($BA21&gt;0,$BB21&gt;=$BA21),$AA21*MAX(0,MIN($BB21,EOMONTH(DK$3,0))-MAX($BA21,DK$3)+1)/($BB21-$BA21+1),SUMPRODUCT((YEAR($AC$2:$AX$2)=YEAR(DK$3))*(MONTH($AC$2:$AX$2)=MONTH(DK$3))*$AC21:$AX21))</f>
        <v>0</v>
      </c>
      <c r="DL21" s="164" t="n">
        <f aca="false">IF(AND($BA21&gt;0,$BB21&gt;=$BA21),$AA21*MAX(0,MIN($BB21,EOMONTH(DL$3,0))-MAX($BA21,DL$3)+1)/($BB21-$BA21+1),SUMPRODUCT((YEAR($AC$2:$AX$2)=YEAR(DL$3))*(MONTH($AC$2:$AX$2)=MONTH(DL$3))*$AC21:$AX21))</f>
        <v>0</v>
      </c>
      <c r="DM21" s="164" t="n">
        <f aca="false">IF(AND($BA21&gt;0,$BB21&gt;=$BA21),$AA21*MAX(0,MIN($BB21,EOMONTH(DM$3,0))-MAX($BA21,DM$3)+1)/($BB21-$BA21+1),SUMPRODUCT((YEAR($AC$2:$AX$2)=YEAR(DM$3))*(MONTH($AC$2:$AX$2)=MONTH(DM$3))*$AC21:$AX21))</f>
        <v>0</v>
      </c>
      <c r="DN21" s="164" t="n">
        <f aca="false">IF(AND($BA21&gt;0,$BB21&gt;=$BA21),$AA21*MAX(0,MIN($BB21,EOMONTH(DN$3,0))-MAX($BA21,DN$3)+1)/($BB21-$BA21+1),SUMPRODUCT((YEAR($AC$2:$AX$2)=YEAR(DN$3))*(MONTH($AC$2:$AX$2)=MONTH(DN$3))*$AC21:$AX21))</f>
        <v>0</v>
      </c>
      <c r="DO21" s="164" t="n">
        <f aca="false">IF(AND($BA21&gt;0,$BB21&gt;=$BA21),$AA21*MAX(0,MIN($BB21,EOMONTH(DO$3,0))-MAX($BA21,DO$3)+1)/($BB21-$BA21+1),SUMPRODUCT((YEAR($AC$2:$AX$2)=YEAR(DO$3))*(MONTH($AC$2:$AX$2)=MONTH(DO$3))*$AC21:$AX21))</f>
        <v>0</v>
      </c>
      <c r="DP21" s="164" t="n">
        <f aca="false">IF(AND($BA21&gt;0,$BB21&gt;=$BA21),$AA21*MAX(0,MIN($BB21,EOMONTH(DP$3,0))-MAX($BA21,DP$3)+1)/($BB21-$BA21+1),SUMPRODUCT((YEAR($AC$2:$AX$2)=YEAR(DP$3))*(MONTH($AC$2:$AX$2)=MONTH(DP$3))*$AC21:$AX21))</f>
        <v>0</v>
      </c>
      <c r="DQ21" s="164" t="n">
        <f aca="false">IF(AND($BA21&gt;0,$BB21&gt;=$BA21),$AA21*MAX(0,MIN($BB21,EOMONTH(DQ$3,0))-MAX($BA21,DQ$3)+1)/($BB21-$BA21+1),SUMPRODUCT((YEAR($AC$2:$AX$2)=YEAR(DQ$3))*(MONTH($AC$2:$AX$2)=MONTH(DQ$3))*$AC21:$AX21))</f>
        <v>0</v>
      </c>
      <c r="DR21" s="164" t="n">
        <f aca="false">IF(AND($BA21&gt;0,$BB21&gt;=$BA21),$AA21*MAX(0,MIN($BB21,EOMONTH(DR$3,0))-MAX($BA21,DR$3)+1)/($BB21-$BA21+1),SUMPRODUCT((YEAR($AC$2:$AX$2)=YEAR(DR$3))*(MONTH($AC$2:$AX$2)=MONTH(DR$3))*$AC21:$AX21))</f>
        <v>0</v>
      </c>
      <c r="DS21" s="164" t="n">
        <f aca="false">IF(AND($BA21&gt;0,$BB21&gt;=$BA21),$AA21*MAX(0,MIN($BB21,EOMONTH(DS$3,0))-MAX($BA21,DS$3)+1)/($BB21-$BA21+1),SUMPRODUCT((YEAR($AC$2:$AX$2)=YEAR(DS$3))*(MONTH($AC$2:$AX$2)=MONTH(DS$3))*$AC21:$AX21))</f>
        <v>0</v>
      </c>
      <c r="DT21" s="164" t="n">
        <f aca="false">IF(AND($BA21&gt;0,$BB21&gt;=$BA21),$AA21*MAX(0,MIN($BB21,EOMONTH(DT$3,0))-MAX($BA21,DT$3)+1)/($BB21-$BA21+1),SUMPRODUCT((YEAR($AC$2:$AX$2)=YEAR(DT$3))*(MONTH($AC$2:$AX$2)=MONTH(DT$3))*$AC21:$AX21))</f>
        <v>0</v>
      </c>
      <c r="DU21" s="164" t="n">
        <f aca="false">IF(AND($BA21&gt;0,$BB21&gt;=$BA21),$AA21*MAX(0,MIN($BB21,EOMONTH(DU$3,0))-MAX($BA21,DU$3)+1)/($BB21-$BA21+1),SUMPRODUCT((YEAR($AC$2:$AX$2)=YEAR(DU$3))*(MONTH($AC$2:$AX$2)=MONTH(DU$3))*$AC21:$AX21))</f>
        <v>0</v>
      </c>
      <c r="DV21" s="164" t="n">
        <f aca="false">IF(AND($BA21&gt;0,$BB21&gt;=$BA21),$AA21*MAX(0,MIN($BB21,EOMONTH(DV$3,0))-MAX($BA21,DV$3)+1)/($BB21-$BA21+1),SUMPRODUCT((YEAR($AC$2:$AX$2)=YEAR(DV$3))*(MONTH($AC$2:$AX$2)=MONTH(DV$3))*$AC21:$AX21))</f>
        <v>0</v>
      </c>
      <c r="DW21" s="164" t="n">
        <f aca="false">IF(AND($BA21&gt;0,$BB21&gt;=$BA21),$AA21*MAX(0,MIN($BB21,EOMONTH(DW$3,0))-MAX($BA21,DW$3)+1)/($BB21-$BA21+1),SUMPRODUCT((YEAR($AC$2:$AX$2)=YEAR(DW$3))*(MONTH($AC$2:$AX$2)=MONTH(DW$3))*$AC21:$AX21))</f>
        <v>0</v>
      </c>
    </row>
    <row r="22" customFormat="false" ht="15" hidden="false" customHeight="false" outlineLevel="0" collapsed="false">
      <c r="H22" s="150" t="s">
        <v>2980</v>
      </c>
      <c r="J22" s="152" t="n">
        <v>700.6245</v>
      </c>
      <c r="K22" s="152" t="n">
        <v>242.8</v>
      </c>
      <c r="L22" s="152" t="n">
        <v>1353.789475</v>
      </c>
      <c r="O22" s="152" t="n">
        <v>19774.25</v>
      </c>
      <c r="P22" s="152" t="n">
        <v>700.6245</v>
      </c>
      <c r="S22" s="149" t="n">
        <f aca="false">K22*($D$58+$D$57)</f>
        <v>155203.7086</v>
      </c>
      <c r="T22" s="149" t="n">
        <f aca="false">L22*$D$47</f>
        <v>180460.1370175</v>
      </c>
      <c r="V22" s="149" t="n">
        <f aca="false">O22*($D$54)</f>
        <v>114948.7039625</v>
      </c>
      <c r="W22" s="149" t="n">
        <f aca="false">O22*($D$49)</f>
        <v>55269.02875</v>
      </c>
      <c r="Y22" s="149" t="n">
        <f aca="false">SUM(P22:Q22)*($D$50+$D$52)</f>
        <v>9521.592048675</v>
      </c>
      <c r="AA22" s="149" t="n">
        <f aca="false">SUM(S22:Y22)</f>
        <v>515403.170378675</v>
      </c>
      <c r="AO22" s="149" t="n">
        <f aca="false">AA22</f>
        <v>515403.170378675</v>
      </c>
      <c r="AZ22" s="162" t="s">
        <v>2815</v>
      </c>
      <c r="BA22" s="163" t="n">
        <f aca="false">IF(AZ22="",0,SUMPRODUCT(('CRONOGRAMA ATIVIDADES'!$C$5:$C$6004="ESTRUTURA")*('CRONOGRAMA ATIVIDADES'!$E$5:$E$6004=AZ22)*('CRONOGRAMA ATIVIDADES'!$D$5:$D$6004="-")*'CRONOGRAMA ATIVIDADES'!$F$5:$F$6004))</f>
        <v>46533</v>
      </c>
      <c r="BB22" s="163" t="n">
        <f aca="false">IF(AZ22="",0,SUMPRODUCT(('CRONOGRAMA ATIVIDADES'!$C$5:$C$6004="ESTRUTURA")*('CRONOGRAMA ATIVIDADES'!$E$5:$E$6004=AZ22)*('CRONOGRAMA ATIVIDADES'!$D$5:$D$6004="-")*'CRONOGRAMA ATIVIDADES'!$G$5:$G$6004))</f>
        <v>46545</v>
      </c>
      <c r="BD22" s="164" t="n">
        <f aca="false">IF(AND($BA22&gt;0,$BB22&gt;=$BA22),$AA22*MAX(0,MIN($BB22,EOMONTH(BD$3,0))-MAX($BA22,BD$3)+1)/($BB22-$BA22+1),SUMPRODUCT((YEAR($AC$2:$AX$2)=YEAR(BD$3))*(MONTH($AC$2:$AX$2)=MONTH(BD$3))*$AC22:$AX22))</f>
        <v>0</v>
      </c>
      <c r="BE22" s="164" t="n">
        <f aca="false">IF(AND($BA22&gt;0,$BB22&gt;=$BA22),$AA22*MAX(0,MIN($BB22,EOMONTH(BE$3,0))-MAX($BA22,BE$3)+1)/($BB22-$BA22+1),SUMPRODUCT((YEAR($AC$2:$AX$2)=YEAR(BE$3))*(MONTH($AC$2:$AX$2)=MONTH(BE$3))*$AC22:$AX22))</f>
        <v>0</v>
      </c>
      <c r="BF22" s="164" t="n">
        <f aca="false">IF(AND($BA22&gt;0,$BB22&gt;=$BA22),$AA22*MAX(0,MIN($BB22,EOMONTH(BF$3,0))-MAX($BA22,BF$3)+1)/($BB22-$BA22+1),SUMPRODUCT((YEAR($AC$2:$AX$2)=YEAR(BF$3))*(MONTH($AC$2:$AX$2)=MONTH(BF$3))*$AC22:$AX22))</f>
        <v>0</v>
      </c>
      <c r="BG22" s="164" t="n">
        <f aca="false">IF(AND($BA22&gt;0,$BB22&gt;=$BA22),$AA22*MAX(0,MIN($BB22,EOMONTH(BG$3,0))-MAX($BA22,BG$3)+1)/($BB22-$BA22+1),SUMPRODUCT((YEAR($AC$2:$AX$2)=YEAR(BG$3))*(MONTH($AC$2:$AX$2)=MONTH(BG$3))*$AC22:$AX22))</f>
        <v>0</v>
      </c>
      <c r="BH22" s="164" t="n">
        <f aca="false">IF(AND($BA22&gt;0,$BB22&gt;=$BA22),$AA22*MAX(0,MIN($BB22,EOMONTH(BH$3,0))-MAX($BA22,BH$3)+1)/($BB22-$BA22+1),SUMPRODUCT((YEAR($AC$2:$AX$2)=YEAR(BH$3))*(MONTH($AC$2:$AX$2)=MONTH(BH$3))*$AC22:$AX22))</f>
        <v>0</v>
      </c>
      <c r="BI22" s="164" t="n">
        <f aca="false">IF(AND($BA22&gt;0,$BB22&gt;=$BA22),$AA22*MAX(0,MIN($BB22,EOMONTH(BI$3,0))-MAX($BA22,BI$3)+1)/($BB22-$BA22+1),SUMPRODUCT((YEAR($AC$2:$AX$2)=YEAR(BI$3))*(MONTH($AC$2:$AX$2)=MONTH(BI$3))*$AC22:$AX22))</f>
        <v>0</v>
      </c>
      <c r="BJ22" s="164" t="n">
        <f aca="false">IF(AND($BA22&gt;0,$BB22&gt;=$BA22),$AA22*MAX(0,MIN($BB22,EOMONTH(BJ$3,0))-MAX($BA22,BJ$3)+1)/($BB22-$BA22+1),SUMPRODUCT((YEAR($AC$2:$AX$2)=YEAR(BJ$3))*(MONTH($AC$2:$AX$2)=MONTH(BJ$3))*$AC22:$AX22))</f>
        <v>0</v>
      </c>
      <c r="BK22" s="164" t="n">
        <f aca="false">IF(AND($BA22&gt;0,$BB22&gt;=$BA22),$AA22*MAX(0,MIN($BB22,EOMONTH(BK$3,0))-MAX($BA22,BK$3)+1)/($BB22-$BA22+1),SUMPRODUCT((YEAR($AC$2:$AX$2)=YEAR(BK$3))*(MONTH($AC$2:$AX$2)=MONTH(BK$3))*$AC22:$AX22))</f>
        <v>0</v>
      </c>
      <c r="BL22" s="164" t="n">
        <f aca="false">IF(AND($BA22&gt;0,$BB22&gt;=$BA22),$AA22*MAX(0,MIN($BB22,EOMONTH(BL$3,0))-MAX($BA22,BL$3)+1)/($BB22-$BA22+1),SUMPRODUCT((YEAR($AC$2:$AX$2)=YEAR(BL$3))*(MONTH($AC$2:$AX$2)=MONTH(BL$3))*$AC22:$AX22))</f>
        <v>0</v>
      </c>
      <c r="BM22" s="164" t="n">
        <f aca="false">IF(AND($BA22&gt;0,$BB22&gt;=$BA22),$AA22*MAX(0,MIN($BB22,EOMONTH(BM$3,0))-MAX($BA22,BM$3)+1)/($BB22-$BA22+1),SUMPRODUCT((YEAR($AC$2:$AX$2)=YEAR(BM$3))*(MONTH($AC$2:$AX$2)=MONTH(BM$3))*$AC22:$AX22))</f>
        <v>0</v>
      </c>
      <c r="BN22" s="164" t="n">
        <f aca="false">IF(AND($BA22&gt;0,$BB22&gt;=$BA22),$AA22*MAX(0,MIN($BB22,EOMONTH(BN$3,0))-MAX($BA22,BN$3)+1)/($BB22-$BA22+1),SUMPRODUCT((YEAR($AC$2:$AX$2)=YEAR(BN$3))*(MONTH($AC$2:$AX$2)=MONTH(BN$3))*$AC22:$AX22))</f>
        <v>0</v>
      </c>
      <c r="BO22" s="164" t="n">
        <f aca="false">IF(AND($BA22&gt;0,$BB22&gt;=$BA22),$AA22*MAX(0,MIN($BB22,EOMONTH(BO$3,0))-MAX($BA22,BO$3)+1)/($BB22-$BA22+1),SUMPRODUCT((YEAR($AC$2:$AX$2)=YEAR(BO$3))*(MONTH($AC$2:$AX$2)=MONTH(BO$3))*$AC22:$AX22))</f>
        <v>0</v>
      </c>
      <c r="BP22" s="164" t="n">
        <f aca="false">IF(AND($BA22&gt;0,$BB22&gt;=$BA22),$AA22*MAX(0,MIN($BB22,EOMONTH(BP$3,0))-MAX($BA22,BP$3)+1)/($BB22-$BA22+1),SUMPRODUCT((YEAR($AC$2:$AX$2)=YEAR(BP$3))*(MONTH($AC$2:$AX$2)=MONTH(BP$3))*$AC22:$AX22))</f>
        <v>0</v>
      </c>
      <c r="BQ22" s="164" t="n">
        <f aca="false">IF(AND($BA22&gt;0,$BB22&gt;=$BA22),$AA22*MAX(0,MIN($BB22,EOMONTH(BQ$3,0))-MAX($BA22,BQ$3)+1)/($BB22-$BA22+1),SUMPRODUCT((YEAR($AC$2:$AX$2)=YEAR(BQ$3))*(MONTH($AC$2:$AX$2)=MONTH(BQ$3))*$AC22:$AX22))</f>
        <v>0</v>
      </c>
      <c r="BR22" s="164" t="n">
        <f aca="false">IF(AND($BA22&gt;0,$BB22&gt;=$BA22),$AA22*MAX(0,MIN($BB22,EOMONTH(BR$3,0))-MAX($BA22,BR$3)+1)/($BB22-$BA22+1),SUMPRODUCT((YEAR($AC$2:$AX$2)=YEAR(BR$3))*(MONTH($AC$2:$AX$2)=MONTH(BR$3))*$AC22:$AX22))</f>
        <v>0</v>
      </c>
      <c r="BS22" s="164" t="n">
        <f aca="false">IF(AND($BA22&gt;0,$BB22&gt;=$BA22),$AA22*MAX(0,MIN($BB22,EOMONTH(BS$3,0))-MAX($BA22,BS$3)+1)/($BB22-$BA22+1),SUMPRODUCT((YEAR($AC$2:$AX$2)=YEAR(BS$3))*(MONTH($AC$2:$AX$2)=MONTH(BS$3))*$AC22:$AX22))</f>
        <v>0</v>
      </c>
      <c r="BT22" s="164" t="n">
        <f aca="false">IF(AND($BA22&gt;0,$BB22&gt;=$BA22),$AA22*MAX(0,MIN($BB22,EOMONTH(BT$3,0))-MAX($BA22,BT$3)+1)/($BB22-$BA22+1),SUMPRODUCT((YEAR($AC$2:$AX$2)=YEAR(BT$3))*(MONTH($AC$2:$AX$2)=MONTH(BT$3))*$AC22:$AX22))</f>
        <v>0</v>
      </c>
      <c r="BU22" s="164" t="n">
        <f aca="false">IF(AND($BA22&gt;0,$BB22&gt;=$BA22),$AA22*MAX(0,MIN($BB22,EOMONTH(BU$3,0))-MAX($BA22,BU$3)+1)/($BB22-$BA22+1),SUMPRODUCT((YEAR($AC$2:$AX$2)=YEAR(BU$3))*(MONTH($AC$2:$AX$2)=MONTH(BU$3))*$AC22:$AX22))</f>
        <v>0</v>
      </c>
      <c r="BV22" s="164" t="n">
        <f aca="false">IF(AND($BA22&gt;0,$BB22&gt;=$BA22),$AA22*MAX(0,MIN($BB22,EOMONTH(BV$3,0))-MAX($BA22,BV$3)+1)/($BB22-$BA22+1),SUMPRODUCT((YEAR($AC$2:$AX$2)=YEAR(BV$3))*(MONTH($AC$2:$AX$2)=MONTH(BV$3))*$AC22:$AX22))</f>
        <v>0</v>
      </c>
      <c r="BW22" s="164" t="n">
        <f aca="false">IF(AND($BA22&gt;0,$BB22&gt;=$BA22),$AA22*MAX(0,MIN($BB22,EOMONTH(BW$3,0))-MAX($BA22,BW$3)+1)/($BB22-$BA22+1),SUMPRODUCT((YEAR($AC$2:$AX$2)=YEAR(BW$3))*(MONTH($AC$2:$AX$2)=MONTH(BW$3))*$AC22:$AX22))</f>
        <v>0</v>
      </c>
      <c r="BX22" s="164" t="n">
        <f aca="false">IF(AND($BA22&gt;0,$BB22&gt;=$BA22),$AA22*MAX(0,MIN($BB22,EOMONTH(BX$3,0))-MAX($BA22,BX$3)+1)/($BB22-$BA22+1),SUMPRODUCT((YEAR($AC$2:$AX$2)=YEAR(BX$3))*(MONTH($AC$2:$AX$2)=MONTH(BX$3))*$AC22:$AX22))</f>
        <v>0</v>
      </c>
      <c r="BY22" s="164" t="n">
        <f aca="false">IF(AND($BA22&gt;0,$BB22&gt;=$BA22),$AA22*MAX(0,MIN($BB22,EOMONTH(BY$3,0))-MAX($BA22,BY$3)+1)/($BB22-$BA22+1),SUMPRODUCT((YEAR($AC$2:$AX$2)=YEAR(BY$3))*(MONTH($AC$2:$AX$2)=MONTH(BY$3))*$AC22:$AX22))</f>
        <v>0</v>
      </c>
      <c r="BZ22" s="164" t="n">
        <f aca="false">IF(AND($BA22&gt;0,$BB22&gt;=$BA22),$AA22*MAX(0,MIN($BB22,EOMONTH(BZ$3,0))-MAX($BA22,BZ$3)+1)/($BB22-$BA22+1),SUMPRODUCT((YEAR($AC$2:$AX$2)=YEAR(BZ$3))*(MONTH($AC$2:$AX$2)=MONTH(BZ$3))*$AC22:$AX22))</f>
        <v>0</v>
      </c>
      <c r="CA22" s="164" t="n">
        <f aca="false">IF(AND($BA22&gt;0,$BB22&gt;=$BA22),$AA22*MAX(0,MIN($BB22,EOMONTH(CA$3,0))-MAX($BA22,CA$3)+1)/($BB22-$BA22+1),SUMPRODUCT((YEAR($AC$2:$AX$2)=YEAR(CA$3))*(MONTH($AC$2:$AX$2)=MONTH(CA$3))*$AC22:$AX22))</f>
        <v>0</v>
      </c>
      <c r="CB22" s="164" t="n">
        <f aca="false">IF(AND($BA22&gt;0,$BB22&gt;=$BA22),$AA22*MAX(0,MIN($BB22,EOMONTH(CB$3,0))-MAX($BA22,CB$3)+1)/($BB22-$BA22+1),SUMPRODUCT((YEAR($AC$2:$AX$2)=YEAR(CB$3))*(MONTH($AC$2:$AX$2)=MONTH(CB$3))*$AC22:$AX22))</f>
        <v>0</v>
      </c>
      <c r="CC22" s="164" t="n">
        <f aca="false">IF(AND($BA22&gt;0,$BB22&gt;=$BA22),$AA22*MAX(0,MIN($BB22,EOMONTH(CC$3,0))-MAX($BA22,CC$3)+1)/($BB22-$BA22+1),SUMPRODUCT((YEAR($AC$2:$AX$2)=YEAR(CC$3))*(MONTH($AC$2:$AX$2)=MONTH(CC$3))*$AC22:$AX22))</f>
        <v>0</v>
      </c>
      <c r="CD22" s="164" t="n">
        <f aca="false">IF(AND($BA22&gt;0,$BB22&gt;=$BA22),$AA22*MAX(0,MIN($BB22,EOMONTH(CD$3,0))-MAX($BA22,CD$3)+1)/($BB22-$BA22+1),SUMPRODUCT((YEAR($AC$2:$AX$2)=YEAR(CD$3))*(MONTH($AC$2:$AX$2)=MONTH(CD$3))*$AC22:$AX22))</f>
        <v>0</v>
      </c>
      <c r="CE22" s="164" t="n">
        <f aca="false">IF(AND($BA22&gt;0,$BB22&gt;=$BA22),$AA22*MAX(0,MIN($BB22,EOMONTH(CE$3,0))-MAX($BA22,CE$3)+1)/($BB22-$BA22+1),SUMPRODUCT((YEAR($AC$2:$AX$2)=YEAR(CE$3))*(MONTH($AC$2:$AX$2)=MONTH(CE$3))*$AC22:$AX22))</f>
        <v>0</v>
      </c>
      <c r="CF22" s="164" t="n">
        <f aca="false">IF(AND($BA22&gt;0,$BB22&gt;=$BA22),$AA22*MAX(0,MIN($BB22,EOMONTH(CF$3,0))-MAX($BA22,CF$3)+1)/($BB22-$BA22+1),SUMPRODUCT((YEAR($AC$2:$AX$2)=YEAR(CF$3))*(MONTH($AC$2:$AX$2)=MONTH(CF$3))*$AC22:$AX22))</f>
        <v>0</v>
      </c>
      <c r="CG22" s="164" t="n">
        <f aca="false">IF(AND($BA22&gt;0,$BB22&gt;=$BA22),$AA22*MAX(0,MIN($BB22,EOMONTH(CG$3,0))-MAX($BA22,CG$3)+1)/($BB22-$BA22+1),SUMPRODUCT((YEAR($AC$2:$AX$2)=YEAR(CG$3))*(MONTH($AC$2:$AX$2)=MONTH(CG$3))*$AC22:$AX22))</f>
        <v>237878.386328619</v>
      </c>
      <c r="CH22" s="164" t="n">
        <f aca="false">IF(AND($BA22&gt;0,$BB22&gt;=$BA22),$AA22*MAX(0,MIN($BB22,EOMONTH(CH$3,0))-MAX($BA22,CH$3)+1)/($BB22-$BA22+1),SUMPRODUCT((YEAR($AC$2:$AX$2)=YEAR(CH$3))*(MONTH($AC$2:$AX$2)=MONTH(CH$3))*$AC22:$AX22))</f>
        <v>277524.784050056</v>
      </c>
      <c r="CI22" s="164" t="n">
        <f aca="false">IF(AND($BA22&gt;0,$BB22&gt;=$BA22),$AA22*MAX(0,MIN($BB22,EOMONTH(CI$3,0))-MAX($BA22,CI$3)+1)/($BB22-$BA22+1),SUMPRODUCT((YEAR($AC$2:$AX$2)=YEAR(CI$3))*(MONTH($AC$2:$AX$2)=MONTH(CI$3))*$AC22:$AX22))</f>
        <v>0</v>
      </c>
      <c r="CJ22" s="164" t="n">
        <f aca="false">IF(AND($BA22&gt;0,$BB22&gt;=$BA22),$AA22*MAX(0,MIN($BB22,EOMONTH(CJ$3,0))-MAX($BA22,CJ$3)+1)/($BB22-$BA22+1),SUMPRODUCT((YEAR($AC$2:$AX$2)=YEAR(CJ$3))*(MONTH($AC$2:$AX$2)=MONTH(CJ$3))*$AC22:$AX22))</f>
        <v>0</v>
      </c>
      <c r="CK22" s="164" t="n">
        <f aca="false">IF(AND($BA22&gt;0,$BB22&gt;=$BA22),$AA22*MAX(0,MIN($BB22,EOMONTH(CK$3,0))-MAX($BA22,CK$3)+1)/($BB22-$BA22+1),SUMPRODUCT((YEAR($AC$2:$AX$2)=YEAR(CK$3))*(MONTH($AC$2:$AX$2)=MONTH(CK$3))*$AC22:$AX22))</f>
        <v>0</v>
      </c>
      <c r="CL22" s="164" t="n">
        <f aca="false">IF(AND($BA22&gt;0,$BB22&gt;=$BA22),$AA22*MAX(0,MIN($BB22,EOMONTH(CL$3,0))-MAX($BA22,CL$3)+1)/($BB22-$BA22+1),SUMPRODUCT((YEAR($AC$2:$AX$2)=YEAR(CL$3))*(MONTH($AC$2:$AX$2)=MONTH(CL$3))*$AC22:$AX22))</f>
        <v>0</v>
      </c>
      <c r="CM22" s="164" t="n">
        <f aca="false">IF(AND($BA22&gt;0,$BB22&gt;=$BA22),$AA22*MAX(0,MIN($BB22,EOMONTH(CM$3,0))-MAX($BA22,CM$3)+1)/($BB22-$BA22+1),SUMPRODUCT((YEAR($AC$2:$AX$2)=YEAR(CM$3))*(MONTH($AC$2:$AX$2)=MONTH(CM$3))*$AC22:$AX22))</f>
        <v>0</v>
      </c>
      <c r="CN22" s="164" t="n">
        <f aca="false">IF(AND($BA22&gt;0,$BB22&gt;=$BA22),$AA22*MAX(0,MIN($BB22,EOMONTH(CN$3,0))-MAX($BA22,CN$3)+1)/($BB22-$BA22+1),SUMPRODUCT((YEAR($AC$2:$AX$2)=YEAR(CN$3))*(MONTH($AC$2:$AX$2)=MONTH(CN$3))*$AC22:$AX22))</f>
        <v>0</v>
      </c>
      <c r="CO22" s="164" t="n">
        <f aca="false">IF(AND($BA22&gt;0,$BB22&gt;=$BA22),$AA22*MAX(0,MIN($BB22,EOMONTH(CO$3,0))-MAX($BA22,CO$3)+1)/($BB22-$BA22+1),SUMPRODUCT((YEAR($AC$2:$AX$2)=YEAR(CO$3))*(MONTH($AC$2:$AX$2)=MONTH(CO$3))*$AC22:$AX22))</f>
        <v>0</v>
      </c>
      <c r="CP22" s="164" t="n">
        <f aca="false">IF(AND($BA22&gt;0,$BB22&gt;=$BA22),$AA22*MAX(0,MIN($BB22,EOMONTH(CP$3,0))-MAX($BA22,CP$3)+1)/($BB22-$BA22+1),SUMPRODUCT((YEAR($AC$2:$AX$2)=YEAR(CP$3))*(MONTH($AC$2:$AX$2)=MONTH(CP$3))*$AC22:$AX22))</f>
        <v>0</v>
      </c>
      <c r="CQ22" s="164" t="n">
        <f aca="false">IF(AND($BA22&gt;0,$BB22&gt;=$BA22),$AA22*MAX(0,MIN($BB22,EOMONTH(CQ$3,0))-MAX($BA22,CQ$3)+1)/($BB22-$BA22+1),SUMPRODUCT((YEAR($AC$2:$AX$2)=YEAR(CQ$3))*(MONTH($AC$2:$AX$2)=MONTH(CQ$3))*$AC22:$AX22))</f>
        <v>0</v>
      </c>
      <c r="CR22" s="164" t="n">
        <f aca="false">IF(AND($BA22&gt;0,$BB22&gt;=$BA22),$AA22*MAX(0,MIN($BB22,EOMONTH(CR$3,0))-MAX($BA22,CR$3)+1)/($BB22-$BA22+1),SUMPRODUCT((YEAR($AC$2:$AX$2)=YEAR(CR$3))*(MONTH($AC$2:$AX$2)=MONTH(CR$3))*$AC22:$AX22))</f>
        <v>0</v>
      </c>
      <c r="CS22" s="164" t="n">
        <f aca="false">IF(AND($BA22&gt;0,$BB22&gt;=$BA22),$AA22*MAX(0,MIN($BB22,EOMONTH(CS$3,0))-MAX($BA22,CS$3)+1)/($BB22-$BA22+1),SUMPRODUCT((YEAR($AC$2:$AX$2)=YEAR(CS$3))*(MONTH($AC$2:$AX$2)=MONTH(CS$3))*$AC22:$AX22))</f>
        <v>0</v>
      </c>
      <c r="CT22" s="164" t="n">
        <f aca="false">IF(AND($BA22&gt;0,$BB22&gt;=$BA22),$AA22*MAX(0,MIN($BB22,EOMONTH(CT$3,0))-MAX($BA22,CT$3)+1)/($BB22-$BA22+1),SUMPRODUCT((YEAR($AC$2:$AX$2)=YEAR(CT$3))*(MONTH($AC$2:$AX$2)=MONTH(CT$3))*$AC22:$AX22))</f>
        <v>0</v>
      </c>
      <c r="CU22" s="164" t="n">
        <f aca="false">IF(AND($BA22&gt;0,$BB22&gt;=$BA22),$AA22*MAX(0,MIN($BB22,EOMONTH(CU$3,0))-MAX($BA22,CU$3)+1)/($BB22-$BA22+1),SUMPRODUCT((YEAR($AC$2:$AX$2)=YEAR(CU$3))*(MONTH($AC$2:$AX$2)=MONTH(CU$3))*$AC22:$AX22))</f>
        <v>0</v>
      </c>
      <c r="CV22" s="164" t="n">
        <f aca="false">IF(AND($BA22&gt;0,$BB22&gt;=$BA22),$AA22*MAX(0,MIN($BB22,EOMONTH(CV$3,0))-MAX($BA22,CV$3)+1)/($BB22-$BA22+1),SUMPRODUCT((YEAR($AC$2:$AX$2)=YEAR(CV$3))*(MONTH($AC$2:$AX$2)=MONTH(CV$3))*$AC22:$AX22))</f>
        <v>0</v>
      </c>
      <c r="CW22" s="164" t="n">
        <f aca="false">IF(AND($BA22&gt;0,$BB22&gt;=$BA22),$AA22*MAX(0,MIN($BB22,EOMONTH(CW$3,0))-MAX($BA22,CW$3)+1)/($BB22-$BA22+1),SUMPRODUCT((YEAR($AC$2:$AX$2)=YEAR(CW$3))*(MONTH($AC$2:$AX$2)=MONTH(CW$3))*$AC22:$AX22))</f>
        <v>0</v>
      </c>
      <c r="CX22" s="164" t="n">
        <f aca="false">IF(AND($BA22&gt;0,$BB22&gt;=$BA22),$AA22*MAX(0,MIN($BB22,EOMONTH(CX$3,0))-MAX($BA22,CX$3)+1)/($BB22-$BA22+1),SUMPRODUCT((YEAR($AC$2:$AX$2)=YEAR(CX$3))*(MONTH($AC$2:$AX$2)=MONTH(CX$3))*$AC22:$AX22))</f>
        <v>0</v>
      </c>
      <c r="CY22" s="164" t="n">
        <f aca="false">IF(AND($BA22&gt;0,$BB22&gt;=$BA22),$AA22*MAX(0,MIN($BB22,EOMONTH(CY$3,0))-MAX($BA22,CY$3)+1)/($BB22-$BA22+1),SUMPRODUCT((YEAR($AC$2:$AX$2)=YEAR(CY$3))*(MONTH($AC$2:$AX$2)=MONTH(CY$3))*$AC22:$AX22))</f>
        <v>0</v>
      </c>
      <c r="CZ22" s="164" t="n">
        <f aca="false">IF(AND($BA22&gt;0,$BB22&gt;=$BA22),$AA22*MAX(0,MIN($BB22,EOMONTH(CZ$3,0))-MAX($BA22,CZ$3)+1)/($BB22-$BA22+1),SUMPRODUCT((YEAR($AC$2:$AX$2)=YEAR(CZ$3))*(MONTH($AC$2:$AX$2)=MONTH(CZ$3))*$AC22:$AX22))</f>
        <v>0</v>
      </c>
      <c r="DA22" s="164" t="n">
        <f aca="false">IF(AND($BA22&gt;0,$BB22&gt;=$BA22),$AA22*MAX(0,MIN($BB22,EOMONTH(DA$3,0))-MAX($BA22,DA$3)+1)/($BB22-$BA22+1),SUMPRODUCT((YEAR($AC$2:$AX$2)=YEAR(DA$3))*(MONTH($AC$2:$AX$2)=MONTH(DA$3))*$AC22:$AX22))</f>
        <v>0</v>
      </c>
      <c r="DB22" s="164" t="n">
        <f aca="false">IF(AND($BA22&gt;0,$BB22&gt;=$BA22),$AA22*MAX(0,MIN($BB22,EOMONTH(DB$3,0))-MAX($BA22,DB$3)+1)/($BB22-$BA22+1),SUMPRODUCT((YEAR($AC$2:$AX$2)=YEAR(DB$3))*(MONTH($AC$2:$AX$2)=MONTH(DB$3))*$AC22:$AX22))</f>
        <v>0</v>
      </c>
      <c r="DC22" s="164" t="n">
        <f aca="false">IF(AND($BA22&gt;0,$BB22&gt;=$BA22),$AA22*MAX(0,MIN($BB22,EOMONTH(DC$3,0))-MAX($BA22,DC$3)+1)/($BB22-$BA22+1),SUMPRODUCT((YEAR($AC$2:$AX$2)=YEAR(DC$3))*(MONTH($AC$2:$AX$2)=MONTH(DC$3))*$AC22:$AX22))</f>
        <v>0</v>
      </c>
      <c r="DD22" s="164" t="n">
        <f aca="false">IF(AND($BA22&gt;0,$BB22&gt;=$BA22),$AA22*MAX(0,MIN($BB22,EOMONTH(DD$3,0))-MAX($BA22,DD$3)+1)/($BB22-$BA22+1),SUMPRODUCT((YEAR($AC$2:$AX$2)=YEAR(DD$3))*(MONTH($AC$2:$AX$2)=MONTH(DD$3))*$AC22:$AX22))</f>
        <v>0</v>
      </c>
      <c r="DE22" s="164" t="n">
        <f aca="false">IF(AND($BA22&gt;0,$BB22&gt;=$BA22),$AA22*MAX(0,MIN($BB22,EOMONTH(DE$3,0))-MAX($BA22,DE$3)+1)/($BB22-$BA22+1),SUMPRODUCT((YEAR($AC$2:$AX$2)=YEAR(DE$3))*(MONTH($AC$2:$AX$2)=MONTH(DE$3))*$AC22:$AX22))</f>
        <v>0</v>
      </c>
      <c r="DF22" s="164" t="n">
        <f aca="false">IF(AND($BA22&gt;0,$BB22&gt;=$BA22),$AA22*MAX(0,MIN($BB22,EOMONTH(DF$3,0))-MAX($BA22,DF$3)+1)/($BB22-$BA22+1),SUMPRODUCT((YEAR($AC$2:$AX$2)=YEAR(DF$3))*(MONTH($AC$2:$AX$2)=MONTH(DF$3))*$AC22:$AX22))</f>
        <v>0</v>
      </c>
      <c r="DG22" s="164" t="n">
        <f aca="false">IF(AND($BA22&gt;0,$BB22&gt;=$BA22),$AA22*MAX(0,MIN($BB22,EOMONTH(DG$3,0))-MAX($BA22,DG$3)+1)/($BB22-$BA22+1),SUMPRODUCT((YEAR($AC$2:$AX$2)=YEAR(DG$3))*(MONTH($AC$2:$AX$2)=MONTH(DG$3))*$AC22:$AX22))</f>
        <v>0</v>
      </c>
      <c r="DH22" s="164" t="n">
        <f aca="false">IF(AND($BA22&gt;0,$BB22&gt;=$BA22),$AA22*MAX(0,MIN($BB22,EOMONTH(DH$3,0))-MAX($BA22,DH$3)+1)/($BB22-$BA22+1),SUMPRODUCT((YEAR($AC$2:$AX$2)=YEAR(DH$3))*(MONTH($AC$2:$AX$2)=MONTH(DH$3))*$AC22:$AX22))</f>
        <v>0</v>
      </c>
      <c r="DI22" s="164" t="n">
        <f aca="false">IF(AND($BA22&gt;0,$BB22&gt;=$BA22),$AA22*MAX(0,MIN($BB22,EOMONTH(DI$3,0))-MAX($BA22,DI$3)+1)/($BB22-$BA22+1),SUMPRODUCT((YEAR($AC$2:$AX$2)=YEAR(DI$3))*(MONTH($AC$2:$AX$2)=MONTH(DI$3))*$AC22:$AX22))</f>
        <v>0</v>
      </c>
      <c r="DJ22" s="164" t="n">
        <f aca="false">IF(AND($BA22&gt;0,$BB22&gt;=$BA22),$AA22*MAX(0,MIN($BB22,EOMONTH(DJ$3,0))-MAX($BA22,DJ$3)+1)/($BB22-$BA22+1),SUMPRODUCT((YEAR($AC$2:$AX$2)=YEAR(DJ$3))*(MONTH($AC$2:$AX$2)=MONTH(DJ$3))*$AC22:$AX22))</f>
        <v>0</v>
      </c>
      <c r="DK22" s="164" t="n">
        <f aca="false">IF(AND($BA22&gt;0,$BB22&gt;=$BA22),$AA22*MAX(0,MIN($BB22,EOMONTH(DK$3,0))-MAX($BA22,DK$3)+1)/($BB22-$BA22+1),SUMPRODUCT((YEAR($AC$2:$AX$2)=YEAR(DK$3))*(MONTH($AC$2:$AX$2)=MONTH(DK$3))*$AC22:$AX22))</f>
        <v>0</v>
      </c>
      <c r="DL22" s="164" t="n">
        <f aca="false">IF(AND($BA22&gt;0,$BB22&gt;=$BA22),$AA22*MAX(0,MIN($BB22,EOMONTH(DL$3,0))-MAX($BA22,DL$3)+1)/($BB22-$BA22+1),SUMPRODUCT((YEAR($AC$2:$AX$2)=YEAR(DL$3))*(MONTH($AC$2:$AX$2)=MONTH(DL$3))*$AC22:$AX22))</f>
        <v>0</v>
      </c>
      <c r="DM22" s="164" t="n">
        <f aca="false">IF(AND($BA22&gt;0,$BB22&gt;=$BA22),$AA22*MAX(0,MIN($BB22,EOMONTH(DM$3,0))-MAX($BA22,DM$3)+1)/($BB22-$BA22+1),SUMPRODUCT((YEAR($AC$2:$AX$2)=YEAR(DM$3))*(MONTH($AC$2:$AX$2)=MONTH(DM$3))*$AC22:$AX22))</f>
        <v>0</v>
      </c>
      <c r="DN22" s="164" t="n">
        <f aca="false">IF(AND($BA22&gt;0,$BB22&gt;=$BA22),$AA22*MAX(0,MIN($BB22,EOMONTH(DN$3,0))-MAX($BA22,DN$3)+1)/($BB22-$BA22+1),SUMPRODUCT((YEAR($AC$2:$AX$2)=YEAR(DN$3))*(MONTH($AC$2:$AX$2)=MONTH(DN$3))*$AC22:$AX22))</f>
        <v>0</v>
      </c>
      <c r="DO22" s="164" t="n">
        <f aca="false">IF(AND($BA22&gt;0,$BB22&gt;=$BA22),$AA22*MAX(0,MIN($BB22,EOMONTH(DO$3,0))-MAX($BA22,DO$3)+1)/($BB22-$BA22+1),SUMPRODUCT((YEAR($AC$2:$AX$2)=YEAR(DO$3))*(MONTH($AC$2:$AX$2)=MONTH(DO$3))*$AC22:$AX22))</f>
        <v>0</v>
      </c>
      <c r="DP22" s="164" t="n">
        <f aca="false">IF(AND($BA22&gt;0,$BB22&gt;=$BA22),$AA22*MAX(0,MIN($BB22,EOMONTH(DP$3,0))-MAX($BA22,DP$3)+1)/($BB22-$BA22+1),SUMPRODUCT((YEAR($AC$2:$AX$2)=YEAR(DP$3))*(MONTH($AC$2:$AX$2)=MONTH(DP$3))*$AC22:$AX22))</f>
        <v>0</v>
      </c>
      <c r="DQ22" s="164" t="n">
        <f aca="false">IF(AND($BA22&gt;0,$BB22&gt;=$BA22),$AA22*MAX(0,MIN($BB22,EOMONTH(DQ$3,0))-MAX($BA22,DQ$3)+1)/($BB22-$BA22+1),SUMPRODUCT((YEAR($AC$2:$AX$2)=YEAR(DQ$3))*(MONTH($AC$2:$AX$2)=MONTH(DQ$3))*$AC22:$AX22))</f>
        <v>0</v>
      </c>
      <c r="DR22" s="164" t="n">
        <f aca="false">IF(AND($BA22&gt;0,$BB22&gt;=$BA22),$AA22*MAX(0,MIN($BB22,EOMONTH(DR$3,0))-MAX($BA22,DR$3)+1)/($BB22-$BA22+1),SUMPRODUCT((YEAR($AC$2:$AX$2)=YEAR(DR$3))*(MONTH($AC$2:$AX$2)=MONTH(DR$3))*$AC22:$AX22))</f>
        <v>0</v>
      </c>
      <c r="DS22" s="164" t="n">
        <f aca="false">IF(AND($BA22&gt;0,$BB22&gt;=$BA22),$AA22*MAX(0,MIN($BB22,EOMONTH(DS$3,0))-MAX($BA22,DS$3)+1)/($BB22-$BA22+1),SUMPRODUCT((YEAR($AC$2:$AX$2)=YEAR(DS$3))*(MONTH($AC$2:$AX$2)=MONTH(DS$3))*$AC22:$AX22))</f>
        <v>0</v>
      </c>
      <c r="DT22" s="164" t="n">
        <f aca="false">IF(AND($BA22&gt;0,$BB22&gt;=$BA22),$AA22*MAX(0,MIN($BB22,EOMONTH(DT$3,0))-MAX($BA22,DT$3)+1)/($BB22-$BA22+1),SUMPRODUCT((YEAR($AC$2:$AX$2)=YEAR(DT$3))*(MONTH($AC$2:$AX$2)=MONTH(DT$3))*$AC22:$AX22))</f>
        <v>0</v>
      </c>
      <c r="DU22" s="164" t="n">
        <f aca="false">IF(AND($BA22&gt;0,$BB22&gt;=$BA22),$AA22*MAX(0,MIN($BB22,EOMONTH(DU$3,0))-MAX($BA22,DU$3)+1)/($BB22-$BA22+1),SUMPRODUCT((YEAR($AC$2:$AX$2)=YEAR(DU$3))*(MONTH($AC$2:$AX$2)=MONTH(DU$3))*$AC22:$AX22))</f>
        <v>0</v>
      </c>
      <c r="DV22" s="164" t="n">
        <f aca="false">IF(AND($BA22&gt;0,$BB22&gt;=$BA22),$AA22*MAX(0,MIN($BB22,EOMONTH(DV$3,0))-MAX($BA22,DV$3)+1)/($BB22-$BA22+1),SUMPRODUCT((YEAR($AC$2:$AX$2)=YEAR(DV$3))*(MONTH($AC$2:$AX$2)=MONTH(DV$3))*$AC22:$AX22))</f>
        <v>0</v>
      </c>
      <c r="DW22" s="164" t="n">
        <f aca="false">IF(AND($BA22&gt;0,$BB22&gt;=$BA22),$AA22*MAX(0,MIN($BB22,EOMONTH(DW$3,0))-MAX($BA22,DW$3)+1)/($BB22-$BA22+1),SUMPRODUCT((YEAR($AC$2:$AX$2)=YEAR(DW$3))*(MONTH($AC$2:$AX$2)=MONTH(DW$3))*$AC22:$AX22))</f>
        <v>0</v>
      </c>
    </row>
    <row r="23" customFormat="false" ht="15" hidden="false" customHeight="false" outlineLevel="0" collapsed="false">
      <c r="H23" s="150" t="s">
        <v>2981</v>
      </c>
      <c r="J23" s="152" t="n">
        <v>700.6245</v>
      </c>
      <c r="K23" s="152" t="n">
        <v>242.8</v>
      </c>
      <c r="L23" s="152" t="n">
        <v>1353.789475</v>
      </c>
      <c r="O23" s="152" t="n">
        <v>20369.25</v>
      </c>
      <c r="P23" s="152" t="n">
        <v>700.6245</v>
      </c>
      <c r="S23" s="149" t="n">
        <f aca="false">K23*($D$58+$D$57)</f>
        <v>155203.7086</v>
      </c>
      <c r="T23" s="149" t="n">
        <f aca="false">L23*$D$47</f>
        <v>180460.1370175</v>
      </c>
      <c r="V23" s="149" t="n">
        <f aca="false">O23*($D$54)</f>
        <v>118407.4687125</v>
      </c>
      <c r="W23" s="149" t="n">
        <f aca="false">O23*($D$49)</f>
        <v>56932.05375</v>
      </c>
      <c r="Y23" s="149" t="n">
        <f aca="false">SUM(P23:Q23)*($D$50+$D$52)</f>
        <v>9521.592048675</v>
      </c>
      <c r="AA23" s="149" t="n">
        <f aca="false">SUM(S23:Y23)</f>
        <v>520524.960128675</v>
      </c>
      <c r="AN23" s="149" t="n">
        <f aca="false">AA23</f>
        <v>520524.960128675</v>
      </c>
      <c r="AZ23" s="162" t="s">
        <v>2814</v>
      </c>
      <c r="BA23" s="163" t="n">
        <f aca="false">IF(AZ23="",0,SUMPRODUCT(('CRONOGRAMA ATIVIDADES'!$C$5:$C$6004="ESTRUTURA")*('CRONOGRAMA ATIVIDADES'!$E$5:$E$6004=AZ23)*('CRONOGRAMA ATIVIDADES'!$D$5:$D$6004="-")*'CRONOGRAMA ATIVIDADES'!$F$5:$F$6004))</f>
        <v>46521</v>
      </c>
      <c r="BB23" s="163" t="n">
        <f aca="false">IF(AZ23="",0,SUMPRODUCT(('CRONOGRAMA ATIVIDADES'!$C$5:$C$6004="ESTRUTURA")*('CRONOGRAMA ATIVIDADES'!$E$5:$E$6004=AZ23)*('CRONOGRAMA ATIVIDADES'!$D$5:$D$6004="-")*'CRONOGRAMA ATIVIDADES'!$G$5:$G$6004))</f>
        <v>46532</v>
      </c>
      <c r="BD23" s="164" t="n">
        <f aca="false">IF(AND($BA23&gt;0,$BB23&gt;=$BA23),$AA23*MAX(0,MIN($BB23,EOMONTH(BD$3,0))-MAX($BA23,BD$3)+1)/($BB23-$BA23+1),SUMPRODUCT((YEAR($AC$2:$AX$2)=YEAR(BD$3))*(MONTH($AC$2:$AX$2)=MONTH(BD$3))*$AC23:$AX23))</f>
        <v>0</v>
      </c>
      <c r="BE23" s="164" t="n">
        <f aca="false">IF(AND($BA23&gt;0,$BB23&gt;=$BA23),$AA23*MAX(0,MIN($BB23,EOMONTH(BE$3,0))-MAX($BA23,BE$3)+1)/($BB23-$BA23+1),SUMPRODUCT((YEAR($AC$2:$AX$2)=YEAR(BE$3))*(MONTH($AC$2:$AX$2)=MONTH(BE$3))*$AC23:$AX23))</f>
        <v>0</v>
      </c>
      <c r="BF23" s="164" t="n">
        <f aca="false">IF(AND($BA23&gt;0,$BB23&gt;=$BA23),$AA23*MAX(0,MIN($BB23,EOMONTH(BF$3,0))-MAX($BA23,BF$3)+1)/($BB23-$BA23+1),SUMPRODUCT((YEAR($AC$2:$AX$2)=YEAR(BF$3))*(MONTH($AC$2:$AX$2)=MONTH(BF$3))*$AC23:$AX23))</f>
        <v>0</v>
      </c>
      <c r="BG23" s="164" t="n">
        <f aca="false">IF(AND($BA23&gt;0,$BB23&gt;=$BA23),$AA23*MAX(0,MIN($BB23,EOMONTH(BG$3,0))-MAX($BA23,BG$3)+1)/($BB23-$BA23+1),SUMPRODUCT((YEAR($AC$2:$AX$2)=YEAR(BG$3))*(MONTH($AC$2:$AX$2)=MONTH(BG$3))*$AC23:$AX23))</f>
        <v>0</v>
      </c>
      <c r="BH23" s="164" t="n">
        <f aca="false">IF(AND($BA23&gt;0,$BB23&gt;=$BA23),$AA23*MAX(0,MIN($BB23,EOMONTH(BH$3,0))-MAX($BA23,BH$3)+1)/($BB23-$BA23+1),SUMPRODUCT((YEAR($AC$2:$AX$2)=YEAR(BH$3))*(MONTH($AC$2:$AX$2)=MONTH(BH$3))*$AC23:$AX23))</f>
        <v>0</v>
      </c>
      <c r="BI23" s="164" t="n">
        <f aca="false">IF(AND($BA23&gt;0,$BB23&gt;=$BA23),$AA23*MAX(0,MIN($BB23,EOMONTH(BI$3,0))-MAX($BA23,BI$3)+1)/($BB23-$BA23+1),SUMPRODUCT((YEAR($AC$2:$AX$2)=YEAR(BI$3))*(MONTH($AC$2:$AX$2)=MONTH(BI$3))*$AC23:$AX23))</f>
        <v>0</v>
      </c>
      <c r="BJ23" s="164" t="n">
        <f aca="false">IF(AND($BA23&gt;0,$BB23&gt;=$BA23),$AA23*MAX(0,MIN($BB23,EOMONTH(BJ$3,0))-MAX($BA23,BJ$3)+1)/($BB23-$BA23+1),SUMPRODUCT((YEAR($AC$2:$AX$2)=YEAR(BJ$3))*(MONTH($AC$2:$AX$2)=MONTH(BJ$3))*$AC23:$AX23))</f>
        <v>0</v>
      </c>
      <c r="BK23" s="164" t="n">
        <f aca="false">IF(AND($BA23&gt;0,$BB23&gt;=$BA23),$AA23*MAX(0,MIN($BB23,EOMONTH(BK$3,0))-MAX($BA23,BK$3)+1)/($BB23-$BA23+1),SUMPRODUCT((YEAR($AC$2:$AX$2)=YEAR(BK$3))*(MONTH($AC$2:$AX$2)=MONTH(BK$3))*$AC23:$AX23))</f>
        <v>0</v>
      </c>
      <c r="BL23" s="164" t="n">
        <f aca="false">IF(AND($BA23&gt;0,$BB23&gt;=$BA23),$AA23*MAX(0,MIN($BB23,EOMONTH(BL$3,0))-MAX($BA23,BL$3)+1)/($BB23-$BA23+1),SUMPRODUCT((YEAR($AC$2:$AX$2)=YEAR(BL$3))*(MONTH($AC$2:$AX$2)=MONTH(BL$3))*$AC23:$AX23))</f>
        <v>0</v>
      </c>
      <c r="BM23" s="164" t="n">
        <f aca="false">IF(AND($BA23&gt;0,$BB23&gt;=$BA23),$AA23*MAX(0,MIN($BB23,EOMONTH(BM$3,0))-MAX($BA23,BM$3)+1)/($BB23-$BA23+1),SUMPRODUCT((YEAR($AC$2:$AX$2)=YEAR(BM$3))*(MONTH($AC$2:$AX$2)=MONTH(BM$3))*$AC23:$AX23))</f>
        <v>0</v>
      </c>
      <c r="BN23" s="164" t="n">
        <f aca="false">IF(AND($BA23&gt;0,$BB23&gt;=$BA23),$AA23*MAX(0,MIN($BB23,EOMONTH(BN$3,0))-MAX($BA23,BN$3)+1)/($BB23-$BA23+1),SUMPRODUCT((YEAR($AC$2:$AX$2)=YEAR(BN$3))*(MONTH($AC$2:$AX$2)=MONTH(BN$3))*$AC23:$AX23))</f>
        <v>0</v>
      </c>
      <c r="BO23" s="164" t="n">
        <f aca="false">IF(AND($BA23&gt;0,$BB23&gt;=$BA23),$AA23*MAX(0,MIN($BB23,EOMONTH(BO$3,0))-MAX($BA23,BO$3)+1)/($BB23-$BA23+1),SUMPRODUCT((YEAR($AC$2:$AX$2)=YEAR(BO$3))*(MONTH($AC$2:$AX$2)=MONTH(BO$3))*$AC23:$AX23))</f>
        <v>0</v>
      </c>
      <c r="BP23" s="164" t="n">
        <f aca="false">IF(AND($BA23&gt;0,$BB23&gt;=$BA23),$AA23*MAX(0,MIN($BB23,EOMONTH(BP$3,0))-MAX($BA23,BP$3)+1)/($BB23-$BA23+1),SUMPRODUCT((YEAR($AC$2:$AX$2)=YEAR(BP$3))*(MONTH($AC$2:$AX$2)=MONTH(BP$3))*$AC23:$AX23))</f>
        <v>0</v>
      </c>
      <c r="BQ23" s="164" t="n">
        <f aca="false">IF(AND($BA23&gt;0,$BB23&gt;=$BA23),$AA23*MAX(0,MIN($BB23,EOMONTH(BQ$3,0))-MAX($BA23,BQ$3)+1)/($BB23-$BA23+1),SUMPRODUCT((YEAR($AC$2:$AX$2)=YEAR(BQ$3))*(MONTH($AC$2:$AX$2)=MONTH(BQ$3))*$AC23:$AX23))</f>
        <v>0</v>
      </c>
      <c r="BR23" s="164" t="n">
        <f aca="false">IF(AND($BA23&gt;0,$BB23&gt;=$BA23),$AA23*MAX(0,MIN($BB23,EOMONTH(BR$3,0))-MAX($BA23,BR$3)+1)/($BB23-$BA23+1),SUMPRODUCT((YEAR($AC$2:$AX$2)=YEAR(BR$3))*(MONTH($AC$2:$AX$2)=MONTH(BR$3))*$AC23:$AX23))</f>
        <v>0</v>
      </c>
      <c r="BS23" s="164" t="n">
        <f aca="false">IF(AND($BA23&gt;0,$BB23&gt;=$BA23),$AA23*MAX(0,MIN($BB23,EOMONTH(BS$3,0))-MAX($BA23,BS$3)+1)/($BB23-$BA23+1),SUMPRODUCT((YEAR($AC$2:$AX$2)=YEAR(BS$3))*(MONTH($AC$2:$AX$2)=MONTH(BS$3))*$AC23:$AX23))</f>
        <v>0</v>
      </c>
      <c r="BT23" s="164" t="n">
        <f aca="false">IF(AND($BA23&gt;0,$BB23&gt;=$BA23),$AA23*MAX(0,MIN($BB23,EOMONTH(BT$3,0))-MAX($BA23,BT$3)+1)/($BB23-$BA23+1),SUMPRODUCT((YEAR($AC$2:$AX$2)=YEAR(BT$3))*(MONTH($AC$2:$AX$2)=MONTH(BT$3))*$AC23:$AX23))</f>
        <v>0</v>
      </c>
      <c r="BU23" s="164" t="n">
        <f aca="false">IF(AND($BA23&gt;0,$BB23&gt;=$BA23),$AA23*MAX(0,MIN($BB23,EOMONTH(BU$3,0))-MAX($BA23,BU$3)+1)/($BB23-$BA23+1),SUMPRODUCT((YEAR($AC$2:$AX$2)=YEAR(BU$3))*(MONTH($AC$2:$AX$2)=MONTH(BU$3))*$AC23:$AX23))</f>
        <v>0</v>
      </c>
      <c r="BV23" s="164" t="n">
        <f aca="false">IF(AND($BA23&gt;0,$BB23&gt;=$BA23),$AA23*MAX(0,MIN($BB23,EOMONTH(BV$3,0))-MAX($BA23,BV$3)+1)/($BB23-$BA23+1),SUMPRODUCT((YEAR($AC$2:$AX$2)=YEAR(BV$3))*(MONTH($AC$2:$AX$2)=MONTH(BV$3))*$AC23:$AX23))</f>
        <v>0</v>
      </c>
      <c r="BW23" s="164" t="n">
        <f aca="false">IF(AND($BA23&gt;0,$BB23&gt;=$BA23),$AA23*MAX(0,MIN($BB23,EOMONTH(BW$3,0))-MAX($BA23,BW$3)+1)/($BB23-$BA23+1),SUMPRODUCT((YEAR($AC$2:$AX$2)=YEAR(BW$3))*(MONTH($AC$2:$AX$2)=MONTH(BW$3))*$AC23:$AX23))</f>
        <v>0</v>
      </c>
      <c r="BX23" s="164" t="n">
        <f aca="false">IF(AND($BA23&gt;0,$BB23&gt;=$BA23),$AA23*MAX(0,MIN($BB23,EOMONTH(BX$3,0))-MAX($BA23,BX$3)+1)/($BB23-$BA23+1),SUMPRODUCT((YEAR($AC$2:$AX$2)=YEAR(BX$3))*(MONTH($AC$2:$AX$2)=MONTH(BX$3))*$AC23:$AX23))</f>
        <v>0</v>
      </c>
      <c r="BY23" s="164" t="n">
        <f aca="false">IF(AND($BA23&gt;0,$BB23&gt;=$BA23),$AA23*MAX(0,MIN($BB23,EOMONTH(BY$3,0))-MAX($BA23,BY$3)+1)/($BB23-$BA23+1),SUMPRODUCT((YEAR($AC$2:$AX$2)=YEAR(BY$3))*(MONTH($AC$2:$AX$2)=MONTH(BY$3))*$AC23:$AX23))</f>
        <v>0</v>
      </c>
      <c r="BZ23" s="164" t="n">
        <f aca="false">IF(AND($BA23&gt;0,$BB23&gt;=$BA23),$AA23*MAX(0,MIN($BB23,EOMONTH(BZ$3,0))-MAX($BA23,BZ$3)+1)/($BB23-$BA23+1),SUMPRODUCT((YEAR($AC$2:$AX$2)=YEAR(BZ$3))*(MONTH($AC$2:$AX$2)=MONTH(BZ$3))*$AC23:$AX23))</f>
        <v>0</v>
      </c>
      <c r="CA23" s="164" t="n">
        <f aca="false">IF(AND($BA23&gt;0,$BB23&gt;=$BA23),$AA23*MAX(0,MIN($BB23,EOMONTH(CA$3,0))-MAX($BA23,CA$3)+1)/($BB23-$BA23+1),SUMPRODUCT((YEAR($AC$2:$AX$2)=YEAR(CA$3))*(MONTH($AC$2:$AX$2)=MONTH(CA$3))*$AC23:$AX23))</f>
        <v>0</v>
      </c>
      <c r="CB23" s="164" t="n">
        <f aca="false">IF(AND($BA23&gt;0,$BB23&gt;=$BA23),$AA23*MAX(0,MIN($BB23,EOMONTH(CB$3,0))-MAX($BA23,CB$3)+1)/($BB23-$BA23+1),SUMPRODUCT((YEAR($AC$2:$AX$2)=YEAR(CB$3))*(MONTH($AC$2:$AX$2)=MONTH(CB$3))*$AC23:$AX23))</f>
        <v>0</v>
      </c>
      <c r="CC23" s="164" t="n">
        <f aca="false">IF(AND($BA23&gt;0,$BB23&gt;=$BA23),$AA23*MAX(0,MIN($BB23,EOMONTH(CC$3,0))-MAX($BA23,CC$3)+1)/($BB23-$BA23+1),SUMPRODUCT((YEAR($AC$2:$AX$2)=YEAR(CC$3))*(MONTH($AC$2:$AX$2)=MONTH(CC$3))*$AC23:$AX23))</f>
        <v>0</v>
      </c>
      <c r="CD23" s="164" t="n">
        <f aca="false">IF(AND($BA23&gt;0,$BB23&gt;=$BA23),$AA23*MAX(0,MIN($BB23,EOMONTH(CD$3,0))-MAX($BA23,CD$3)+1)/($BB23-$BA23+1),SUMPRODUCT((YEAR($AC$2:$AX$2)=YEAR(CD$3))*(MONTH($AC$2:$AX$2)=MONTH(CD$3))*$AC23:$AX23))</f>
        <v>0</v>
      </c>
      <c r="CE23" s="164" t="n">
        <f aca="false">IF(AND($BA23&gt;0,$BB23&gt;=$BA23),$AA23*MAX(0,MIN($BB23,EOMONTH(CE$3,0))-MAX($BA23,CE$3)+1)/($BB23-$BA23+1),SUMPRODUCT((YEAR($AC$2:$AX$2)=YEAR(CE$3))*(MONTH($AC$2:$AX$2)=MONTH(CE$3))*$AC23:$AX23))</f>
        <v>0</v>
      </c>
      <c r="CF23" s="164" t="n">
        <f aca="false">IF(AND($BA23&gt;0,$BB23&gt;=$BA23),$AA23*MAX(0,MIN($BB23,EOMONTH(CF$3,0))-MAX($BA23,CF$3)+1)/($BB23-$BA23+1),SUMPRODUCT((YEAR($AC$2:$AX$2)=YEAR(CF$3))*(MONTH($AC$2:$AX$2)=MONTH(CF$3))*$AC23:$AX23))</f>
        <v>0</v>
      </c>
      <c r="CG23" s="164" t="n">
        <f aca="false">IF(AND($BA23&gt;0,$BB23&gt;=$BA23),$AA23*MAX(0,MIN($BB23,EOMONTH(CG$3,0))-MAX($BA23,CG$3)+1)/($BB23-$BA23+1),SUMPRODUCT((YEAR($AC$2:$AX$2)=YEAR(CG$3))*(MONTH($AC$2:$AX$2)=MONTH(CG$3))*$AC23:$AX23))</f>
        <v>520524.960128675</v>
      </c>
      <c r="CH23" s="164" t="n">
        <f aca="false">IF(AND($BA23&gt;0,$BB23&gt;=$BA23),$AA23*MAX(0,MIN($BB23,EOMONTH(CH$3,0))-MAX($BA23,CH$3)+1)/($BB23-$BA23+1),SUMPRODUCT((YEAR($AC$2:$AX$2)=YEAR(CH$3))*(MONTH($AC$2:$AX$2)=MONTH(CH$3))*$AC23:$AX23))</f>
        <v>0</v>
      </c>
      <c r="CI23" s="164" t="n">
        <f aca="false">IF(AND($BA23&gt;0,$BB23&gt;=$BA23),$AA23*MAX(0,MIN($BB23,EOMONTH(CI$3,0))-MAX($BA23,CI$3)+1)/($BB23-$BA23+1),SUMPRODUCT((YEAR($AC$2:$AX$2)=YEAR(CI$3))*(MONTH($AC$2:$AX$2)=MONTH(CI$3))*$AC23:$AX23))</f>
        <v>0</v>
      </c>
      <c r="CJ23" s="164" t="n">
        <f aca="false">IF(AND($BA23&gt;0,$BB23&gt;=$BA23),$AA23*MAX(0,MIN($BB23,EOMONTH(CJ$3,0))-MAX($BA23,CJ$3)+1)/($BB23-$BA23+1),SUMPRODUCT((YEAR($AC$2:$AX$2)=YEAR(CJ$3))*(MONTH($AC$2:$AX$2)=MONTH(CJ$3))*$AC23:$AX23))</f>
        <v>0</v>
      </c>
      <c r="CK23" s="164" t="n">
        <f aca="false">IF(AND($BA23&gt;0,$BB23&gt;=$BA23),$AA23*MAX(0,MIN($BB23,EOMONTH(CK$3,0))-MAX($BA23,CK$3)+1)/($BB23-$BA23+1),SUMPRODUCT((YEAR($AC$2:$AX$2)=YEAR(CK$3))*(MONTH($AC$2:$AX$2)=MONTH(CK$3))*$AC23:$AX23))</f>
        <v>0</v>
      </c>
      <c r="CL23" s="164" t="n">
        <f aca="false">IF(AND($BA23&gt;0,$BB23&gt;=$BA23),$AA23*MAX(0,MIN($BB23,EOMONTH(CL$3,0))-MAX($BA23,CL$3)+1)/($BB23-$BA23+1),SUMPRODUCT((YEAR($AC$2:$AX$2)=YEAR(CL$3))*(MONTH($AC$2:$AX$2)=MONTH(CL$3))*$AC23:$AX23))</f>
        <v>0</v>
      </c>
      <c r="CM23" s="164" t="n">
        <f aca="false">IF(AND($BA23&gt;0,$BB23&gt;=$BA23),$AA23*MAX(0,MIN($BB23,EOMONTH(CM$3,0))-MAX($BA23,CM$3)+1)/($BB23-$BA23+1),SUMPRODUCT((YEAR($AC$2:$AX$2)=YEAR(CM$3))*(MONTH($AC$2:$AX$2)=MONTH(CM$3))*$AC23:$AX23))</f>
        <v>0</v>
      </c>
      <c r="CN23" s="164" t="n">
        <f aca="false">IF(AND($BA23&gt;0,$BB23&gt;=$BA23),$AA23*MAX(0,MIN($BB23,EOMONTH(CN$3,0))-MAX($BA23,CN$3)+1)/($BB23-$BA23+1),SUMPRODUCT((YEAR($AC$2:$AX$2)=YEAR(CN$3))*(MONTH($AC$2:$AX$2)=MONTH(CN$3))*$AC23:$AX23))</f>
        <v>0</v>
      </c>
      <c r="CO23" s="164" t="n">
        <f aca="false">IF(AND($BA23&gt;0,$BB23&gt;=$BA23),$AA23*MAX(0,MIN($BB23,EOMONTH(CO$3,0))-MAX($BA23,CO$3)+1)/($BB23-$BA23+1),SUMPRODUCT((YEAR($AC$2:$AX$2)=YEAR(CO$3))*(MONTH($AC$2:$AX$2)=MONTH(CO$3))*$AC23:$AX23))</f>
        <v>0</v>
      </c>
      <c r="CP23" s="164" t="n">
        <f aca="false">IF(AND($BA23&gt;0,$BB23&gt;=$BA23),$AA23*MAX(0,MIN($BB23,EOMONTH(CP$3,0))-MAX($BA23,CP$3)+1)/($BB23-$BA23+1),SUMPRODUCT((YEAR($AC$2:$AX$2)=YEAR(CP$3))*(MONTH($AC$2:$AX$2)=MONTH(CP$3))*$AC23:$AX23))</f>
        <v>0</v>
      </c>
      <c r="CQ23" s="164" t="n">
        <f aca="false">IF(AND($BA23&gt;0,$BB23&gt;=$BA23),$AA23*MAX(0,MIN($BB23,EOMONTH(CQ$3,0))-MAX($BA23,CQ$3)+1)/($BB23-$BA23+1),SUMPRODUCT((YEAR($AC$2:$AX$2)=YEAR(CQ$3))*(MONTH($AC$2:$AX$2)=MONTH(CQ$3))*$AC23:$AX23))</f>
        <v>0</v>
      </c>
      <c r="CR23" s="164" t="n">
        <f aca="false">IF(AND($BA23&gt;0,$BB23&gt;=$BA23),$AA23*MAX(0,MIN($BB23,EOMONTH(CR$3,0))-MAX($BA23,CR$3)+1)/($BB23-$BA23+1),SUMPRODUCT((YEAR($AC$2:$AX$2)=YEAR(CR$3))*(MONTH($AC$2:$AX$2)=MONTH(CR$3))*$AC23:$AX23))</f>
        <v>0</v>
      </c>
      <c r="CS23" s="164" t="n">
        <f aca="false">IF(AND($BA23&gt;0,$BB23&gt;=$BA23),$AA23*MAX(0,MIN($BB23,EOMONTH(CS$3,0))-MAX($BA23,CS$3)+1)/($BB23-$BA23+1),SUMPRODUCT((YEAR($AC$2:$AX$2)=YEAR(CS$3))*(MONTH($AC$2:$AX$2)=MONTH(CS$3))*$AC23:$AX23))</f>
        <v>0</v>
      </c>
      <c r="CT23" s="164" t="n">
        <f aca="false">IF(AND($BA23&gt;0,$BB23&gt;=$BA23),$AA23*MAX(0,MIN($BB23,EOMONTH(CT$3,0))-MAX($BA23,CT$3)+1)/($BB23-$BA23+1),SUMPRODUCT((YEAR($AC$2:$AX$2)=YEAR(CT$3))*(MONTH($AC$2:$AX$2)=MONTH(CT$3))*$AC23:$AX23))</f>
        <v>0</v>
      </c>
      <c r="CU23" s="164" t="n">
        <f aca="false">IF(AND($BA23&gt;0,$BB23&gt;=$BA23),$AA23*MAX(0,MIN($BB23,EOMONTH(CU$3,0))-MAX($BA23,CU$3)+1)/($BB23-$BA23+1),SUMPRODUCT((YEAR($AC$2:$AX$2)=YEAR(CU$3))*(MONTH($AC$2:$AX$2)=MONTH(CU$3))*$AC23:$AX23))</f>
        <v>0</v>
      </c>
      <c r="CV23" s="164" t="n">
        <f aca="false">IF(AND($BA23&gt;0,$BB23&gt;=$BA23),$AA23*MAX(0,MIN($BB23,EOMONTH(CV$3,0))-MAX($BA23,CV$3)+1)/($BB23-$BA23+1),SUMPRODUCT((YEAR($AC$2:$AX$2)=YEAR(CV$3))*(MONTH($AC$2:$AX$2)=MONTH(CV$3))*$AC23:$AX23))</f>
        <v>0</v>
      </c>
      <c r="CW23" s="164" t="n">
        <f aca="false">IF(AND($BA23&gt;0,$BB23&gt;=$BA23),$AA23*MAX(0,MIN($BB23,EOMONTH(CW$3,0))-MAX($BA23,CW$3)+1)/($BB23-$BA23+1),SUMPRODUCT((YEAR($AC$2:$AX$2)=YEAR(CW$3))*(MONTH($AC$2:$AX$2)=MONTH(CW$3))*$AC23:$AX23))</f>
        <v>0</v>
      </c>
      <c r="CX23" s="164" t="n">
        <f aca="false">IF(AND($BA23&gt;0,$BB23&gt;=$BA23),$AA23*MAX(0,MIN($BB23,EOMONTH(CX$3,0))-MAX($BA23,CX$3)+1)/($BB23-$BA23+1),SUMPRODUCT((YEAR($AC$2:$AX$2)=YEAR(CX$3))*(MONTH($AC$2:$AX$2)=MONTH(CX$3))*$AC23:$AX23))</f>
        <v>0</v>
      </c>
      <c r="CY23" s="164" t="n">
        <f aca="false">IF(AND($BA23&gt;0,$BB23&gt;=$BA23),$AA23*MAX(0,MIN($BB23,EOMONTH(CY$3,0))-MAX($BA23,CY$3)+1)/($BB23-$BA23+1),SUMPRODUCT((YEAR($AC$2:$AX$2)=YEAR(CY$3))*(MONTH($AC$2:$AX$2)=MONTH(CY$3))*$AC23:$AX23))</f>
        <v>0</v>
      </c>
      <c r="CZ23" s="164" t="n">
        <f aca="false">IF(AND($BA23&gt;0,$BB23&gt;=$BA23),$AA23*MAX(0,MIN($BB23,EOMONTH(CZ$3,0))-MAX($BA23,CZ$3)+1)/($BB23-$BA23+1),SUMPRODUCT((YEAR($AC$2:$AX$2)=YEAR(CZ$3))*(MONTH($AC$2:$AX$2)=MONTH(CZ$3))*$AC23:$AX23))</f>
        <v>0</v>
      </c>
      <c r="DA23" s="164" t="n">
        <f aca="false">IF(AND($BA23&gt;0,$BB23&gt;=$BA23),$AA23*MAX(0,MIN($BB23,EOMONTH(DA$3,0))-MAX($BA23,DA$3)+1)/($BB23-$BA23+1),SUMPRODUCT((YEAR($AC$2:$AX$2)=YEAR(DA$3))*(MONTH($AC$2:$AX$2)=MONTH(DA$3))*$AC23:$AX23))</f>
        <v>0</v>
      </c>
      <c r="DB23" s="164" t="n">
        <f aca="false">IF(AND($BA23&gt;0,$BB23&gt;=$BA23),$AA23*MAX(0,MIN($BB23,EOMONTH(DB$3,0))-MAX($BA23,DB$3)+1)/($BB23-$BA23+1),SUMPRODUCT((YEAR($AC$2:$AX$2)=YEAR(DB$3))*(MONTH($AC$2:$AX$2)=MONTH(DB$3))*$AC23:$AX23))</f>
        <v>0</v>
      </c>
      <c r="DC23" s="164" t="n">
        <f aca="false">IF(AND($BA23&gt;0,$BB23&gt;=$BA23),$AA23*MAX(0,MIN($BB23,EOMONTH(DC$3,0))-MAX($BA23,DC$3)+1)/($BB23-$BA23+1),SUMPRODUCT((YEAR($AC$2:$AX$2)=YEAR(DC$3))*(MONTH($AC$2:$AX$2)=MONTH(DC$3))*$AC23:$AX23))</f>
        <v>0</v>
      </c>
      <c r="DD23" s="164" t="n">
        <f aca="false">IF(AND($BA23&gt;0,$BB23&gt;=$BA23),$AA23*MAX(0,MIN($BB23,EOMONTH(DD$3,0))-MAX($BA23,DD$3)+1)/($BB23-$BA23+1),SUMPRODUCT((YEAR($AC$2:$AX$2)=YEAR(DD$3))*(MONTH($AC$2:$AX$2)=MONTH(DD$3))*$AC23:$AX23))</f>
        <v>0</v>
      </c>
      <c r="DE23" s="164" t="n">
        <f aca="false">IF(AND($BA23&gt;0,$BB23&gt;=$BA23),$AA23*MAX(0,MIN($BB23,EOMONTH(DE$3,0))-MAX($BA23,DE$3)+1)/($BB23-$BA23+1),SUMPRODUCT((YEAR($AC$2:$AX$2)=YEAR(DE$3))*(MONTH($AC$2:$AX$2)=MONTH(DE$3))*$AC23:$AX23))</f>
        <v>0</v>
      </c>
      <c r="DF23" s="164" t="n">
        <f aca="false">IF(AND($BA23&gt;0,$BB23&gt;=$BA23),$AA23*MAX(0,MIN($BB23,EOMONTH(DF$3,0))-MAX($BA23,DF$3)+1)/($BB23-$BA23+1),SUMPRODUCT((YEAR($AC$2:$AX$2)=YEAR(DF$3))*(MONTH($AC$2:$AX$2)=MONTH(DF$3))*$AC23:$AX23))</f>
        <v>0</v>
      </c>
      <c r="DG23" s="164" t="n">
        <f aca="false">IF(AND($BA23&gt;0,$BB23&gt;=$BA23),$AA23*MAX(0,MIN($BB23,EOMONTH(DG$3,0))-MAX($BA23,DG$3)+1)/($BB23-$BA23+1),SUMPRODUCT((YEAR($AC$2:$AX$2)=YEAR(DG$3))*(MONTH($AC$2:$AX$2)=MONTH(DG$3))*$AC23:$AX23))</f>
        <v>0</v>
      </c>
      <c r="DH23" s="164" t="n">
        <f aca="false">IF(AND($BA23&gt;0,$BB23&gt;=$BA23),$AA23*MAX(0,MIN($BB23,EOMONTH(DH$3,0))-MAX($BA23,DH$3)+1)/($BB23-$BA23+1),SUMPRODUCT((YEAR($AC$2:$AX$2)=YEAR(DH$3))*(MONTH($AC$2:$AX$2)=MONTH(DH$3))*$AC23:$AX23))</f>
        <v>0</v>
      </c>
      <c r="DI23" s="164" t="n">
        <f aca="false">IF(AND($BA23&gt;0,$BB23&gt;=$BA23),$AA23*MAX(0,MIN($BB23,EOMONTH(DI$3,0))-MAX($BA23,DI$3)+1)/($BB23-$BA23+1),SUMPRODUCT((YEAR($AC$2:$AX$2)=YEAR(DI$3))*(MONTH($AC$2:$AX$2)=MONTH(DI$3))*$AC23:$AX23))</f>
        <v>0</v>
      </c>
      <c r="DJ23" s="164" t="n">
        <f aca="false">IF(AND($BA23&gt;0,$BB23&gt;=$BA23),$AA23*MAX(0,MIN($BB23,EOMONTH(DJ$3,0))-MAX($BA23,DJ$3)+1)/($BB23-$BA23+1),SUMPRODUCT((YEAR($AC$2:$AX$2)=YEAR(DJ$3))*(MONTH($AC$2:$AX$2)=MONTH(DJ$3))*$AC23:$AX23))</f>
        <v>0</v>
      </c>
      <c r="DK23" s="164" t="n">
        <f aca="false">IF(AND($BA23&gt;0,$BB23&gt;=$BA23),$AA23*MAX(0,MIN($BB23,EOMONTH(DK$3,0))-MAX($BA23,DK$3)+1)/($BB23-$BA23+1),SUMPRODUCT((YEAR($AC$2:$AX$2)=YEAR(DK$3))*(MONTH($AC$2:$AX$2)=MONTH(DK$3))*$AC23:$AX23))</f>
        <v>0</v>
      </c>
      <c r="DL23" s="164" t="n">
        <f aca="false">IF(AND($BA23&gt;0,$BB23&gt;=$BA23),$AA23*MAX(0,MIN($BB23,EOMONTH(DL$3,0))-MAX($BA23,DL$3)+1)/($BB23-$BA23+1),SUMPRODUCT((YEAR($AC$2:$AX$2)=YEAR(DL$3))*(MONTH($AC$2:$AX$2)=MONTH(DL$3))*$AC23:$AX23))</f>
        <v>0</v>
      </c>
      <c r="DM23" s="164" t="n">
        <f aca="false">IF(AND($BA23&gt;0,$BB23&gt;=$BA23),$AA23*MAX(0,MIN($BB23,EOMONTH(DM$3,0))-MAX($BA23,DM$3)+1)/($BB23-$BA23+1),SUMPRODUCT((YEAR($AC$2:$AX$2)=YEAR(DM$3))*(MONTH($AC$2:$AX$2)=MONTH(DM$3))*$AC23:$AX23))</f>
        <v>0</v>
      </c>
      <c r="DN23" s="164" t="n">
        <f aca="false">IF(AND($BA23&gt;0,$BB23&gt;=$BA23),$AA23*MAX(0,MIN($BB23,EOMONTH(DN$3,0))-MAX($BA23,DN$3)+1)/($BB23-$BA23+1),SUMPRODUCT((YEAR($AC$2:$AX$2)=YEAR(DN$3))*(MONTH($AC$2:$AX$2)=MONTH(DN$3))*$AC23:$AX23))</f>
        <v>0</v>
      </c>
      <c r="DO23" s="164" t="n">
        <f aca="false">IF(AND($BA23&gt;0,$BB23&gt;=$BA23),$AA23*MAX(0,MIN($BB23,EOMONTH(DO$3,0))-MAX($BA23,DO$3)+1)/($BB23-$BA23+1),SUMPRODUCT((YEAR($AC$2:$AX$2)=YEAR(DO$3))*(MONTH($AC$2:$AX$2)=MONTH(DO$3))*$AC23:$AX23))</f>
        <v>0</v>
      </c>
      <c r="DP23" s="164" t="n">
        <f aca="false">IF(AND($BA23&gt;0,$BB23&gt;=$BA23),$AA23*MAX(0,MIN($BB23,EOMONTH(DP$3,0))-MAX($BA23,DP$3)+1)/($BB23-$BA23+1),SUMPRODUCT((YEAR($AC$2:$AX$2)=YEAR(DP$3))*(MONTH($AC$2:$AX$2)=MONTH(DP$3))*$AC23:$AX23))</f>
        <v>0</v>
      </c>
      <c r="DQ23" s="164" t="n">
        <f aca="false">IF(AND($BA23&gt;0,$BB23&gt;=$BA23),$AA23*MAX(0,MIN($BB23,EOMONTH(DQ$3,0))-MAX($BA23,DQ$3)+1)/($BB23-$BA23+1),SUMPRODUCT((YEAR($AC$2:$AX$2)=YEAR(DQ$3))*(MONTH($AC$2:$AX$2)=MONTH(DQ$3))*$AC23:$AX23))</f>
        <v>0</v>
      </c>
      <c r="DR23" s="164" t="n">
        <f aca="false">IF(AND($BA23&gt;0,$BB23&gt;=$BA23),$AA23*MAX(0,MIN($BB23,EOMONTH(DR$3,0))-MAX($BA23,DR$3)+1)/($BB23-$BA23+1),SUMPRODUCT((YEAR($AC$2:$AX$2)=YEAR(DR$3))*(MONTH($AC$2:$AX$2)=MONTH(DR$3))*$AC23:$AX23))</f>
        <v>0</v>
      </c>
      <c r="DS23" s="164" t="n">
        <f aca="false">IF(AND($BA23&gt;0,$BB23&gt;=$BA23),$AA23*MAX(0,MIN($BB23,EOMONTH(DS$3,0))-MAX($BA23,DS$3)+1)/($BB23-$BA23+1),SUMPRODUCT((YEAR($AC$2:$AX$2)=YEAR(DS$3))*(MONTH($AC$2:$AX$2)=MONTH(DS$3))*$AC23:$AX23))</f>
        <v>0</v>
      </c>
      <c r="DT23" s="164" t="n">
        <f aca="false">IF(AND($BA23&gt;0,$BB23&gt;=$BA23),$AA23*MAX(0,MIN($BB23,EOMONTH(DT$3,0))-MAX($BA23,DT$3)+1)/($BB23-$BA23+1),SUMPRODUCT((YEAR($AC$2:$AX$2)=YEAR(DT$3))*(MONTH($AC$2:$AX$2)=MONTH(DT$3))*$AC23:$AX23))</f>
        <v>0</v>
      </c>
      <c r="DU23" s="164" t="n">
        <f aca="false">IF(AND($BA23&gt;0,$BB23&gt;=$BA23),$AA23*MAX(0,MIN($BB23,EOMONTH(DU$3,0))-MAX($BA23,DU$3)+1)/($BB23-$BA23+1),SUMPRODUCT((YEAR($AC$2:$AX$2)=YEAR(DU$3))*(MONTH($AC$2:$AX$2)=MONTH(DU$3))*$AC23:$AX23))</f>
        <v>0</v>
      </c>
      <c r="DV23" s="164" t="n">
        <f aca="false">IF(AND($BA23&gt;0,$BB23&gt;=$BA23),$AA23*MAX(0,MIN($BB23,EOMONTH(DV$3,0))-MAX($BA23,DV$3)+1)/($BB23-$BA23+1),SUMPRODUCT((YEAR($AC$2:$AX$2)=YEAR(DV$3))*(MONTH($AC$2:$AX$2)=MONTH(DV$3))*$AC23:$AX23))</f>
        <v>0</v>
      </c>
      <c r="DW23" s="164" t="n">
        <f aca="false">IF(AND($BA23&gt;0,$BB23&gt;=$BA23),$AA23*MAX(0,MIN($BB23,EOMONTH(DW$3,0))-MAX($BA23,DW$3)+1)/($BB23-$BA23+1),SUMPRODUCT((YEAR($AC$2:$AX$2)=YEAR(DW$3))*(MONTH($AC$2:$AX$2)=MONTH(DW$3))*$AC23:$AX23))</f>
        <v>0</v>
      </c>
    </row>
    <row r="24" customFormat="false" ht="15" hidden="false" customHeight="false" outlineLevel="0" collapsed="false">
      <c r="H24" s="150" t="s">
        <v>2982</v>
      </c>
      <c r="J24" s="152" t="n">
        <v>700.6245</v>
      </c>
      <c r="K24" s="152" t="n">
        <v>242.8</v>
      </c>
      <c r="L24" s="152" t="n">
        <v>1353.789475</v>
      </c>
      <c r="O24" s="152" t="n">
        <v>20869.25</v>
      </c>
      <c r="P24" s="152" t="n">
        <v>700.6245</v>
      </c>
      <c r="S24" s="149" t="n">
        <f aca="false">K24*($D$58+$D$57)</f>
        <v>155203.7086</v>
      </c>
      <c r="T24" s="149" t="n">
        <f aca="false">L24*$D$47</f>
        <v>180460.1370175</v>
      </c>
      <c r="V24" s="149" t="n">
        <f aca="false">O24*($D$54)</f>
        <v>121313.9937125</v>
      </c>
      <c r="W24" s="149" t="n">
        <f aca="false">O24*($D$49)</f>
        <v>58329.55375</v>
      </c>
      <c r="Y24" s="149" t="n">
        <f aca="false">SUM(P24:Q24)*($D$50+$D$52)</f>
        <v>9521.592048675</v>
      </c>
      <c r="AA24" s="149" t="n">
        <f aca="false">SUM(S24:Y24)</f>
        <v>524828.985128675</v>
      </c>
      <c r="AN24" s="149" t="n">
        <f aca="false">AA24</f>
        <v>524828.985128675</v>
      </c>
      <c r="AZ24" s="162" t="s">
        <v>2813</v>
      </c>
      <c r="BA24" s="163" t="n">
        <f aca="false">IF(AZ24="",0,SUMPRODUCT(('CRONOGRAMA ATIVIDADES'!$C$5:$C$6004="ESTRUTURA")*('CRONOGRAMA ATIVIDADES'!$E$5:$E$6004=AZ24)*('CRONOGRAMA ATIVIDADES'!$D$5:$D$6004="-")*'CRONOGRAMA ATIVIDADES'!$F$5:$F$6004))</f>
        <v>46511</v>
      </c>
      <c r="BB24" s="163" t="n">
        <f aca="false">IF(AZ24="",0,SUMPRODUCT(('CRONOGRAMA ATIVIDADES'!$C$5:$C$6004="ESTRUTURA")*('CRONOGRAMA ATIVIDADES'!$E$5:$E$6004=AZ24)*('CRONOGRAMA ATIVIDADES'!$D$5:$D$6004="-")*'CRONOGRAMA ATIVIDADES'!$G$5:$G$6004))</f>
        <v>46520</v>
      </c>
      <c r="BD24" s="164" t="n">
        <f aca="false">IF(AND($BA24&gt;0,$BB24&gt;=$BA24),$AA24*MAX(0,MIN($BB24,EOMONTH(BD$3,0))-MAX($BA24,BD$3)+1)/($BB24-$BA24+1),SUMPRODUCT((YEAR($AC$2:$AX$2)=YEAR(BD$3))*(MONTH($AC$2:$AX$2)=MONTH(BD$3))*$AC24:$AX24))</f>
        <v>0</v>
      </c>
      <c r="BE24" s="164" t="n">
        <f aca="false">IF(AND($BA24&gt;0,$BB24&gt;=$BA24),$AA24*MAX(0,MIN($BB24,EOMONTH(BE$3,0))-MAX($BA24,BE$3)+1)/($BB24-$BA24+1),SUMPRODUCT((YEAR($AC$2:$AX$2)=YEAR(BE$3))*(MONTH($AC$2:$AX$2)=MONTH(BE$3))*$AC24:$AX24))</f>
        <v>0</v>
      </c>
      <c r="BF24" s="164" t="n">
        <f aca="false">IF(AND($BA24&gt;0,$BB24&gt;=$BA24),$AA24*MAX(0,MIN($BB24,EOMONTH(BF$3,0))-MAX($BA24,BF$3)+1)/($BB24-$BA24+1),SUMPRODUCT((YEAR($AC$2:$AX$2)=YEAR(BF$3))*(MONTH($AC$2:$AX$2)=MONTH(BF$3))*$AC24:$AX24))</f>
        <v>0</v>
      </c>
      <c r="BG24" s="164" t="n">
        <f aca="false">IF(AND($BA24&gt;0,$BB24&gt;=$BA24),$AA24*MAX(0,MIN($BB24,EOMONTH(BG$3,0))-MAX($BA24,BG$3)+1)/($BB24-$BA24+1),SUMPRODUCT((YEAR($AC$2:$AX$2)=YEAR(BG$3))*(MONTH($AC$2:$AX$2)=MONTH(BG$3))*$AC24:$AX24))</f>
        <v>0</v>
      </c>
      <c r="BH24" s="164" t="n">
        <f aca="false">IF(AND($BA24&gt;0,$BB24&gt;=$BA24),$AA24*MAX(0,MIN($BB24,EOMONTH(BH$3,0))-MAX($BA24,BH$3)+1)/($BB24-$BA24+1),SUMPRODUCT((YEAR($AC$2:$AX$2)=YEAR(BH$3))*(MONTH($AC$2:$AX$2)=MONTH(BH$3))*$AC24:$AX24))</f>
        <v>0</v>
      </c>
      <c r="BI24" s="164" t="n">
        <f aca="false">IF(AND($BA24&gt;0,$BB24&gt;=$BA24),$AA24*MAX(0,MIN($BB24,EOMONTH(BI$3,0))-MAX($BA24,BI$3)+1)/($BB24-$BA24+1),SUMPRODUCT((YEAR($AC$2:$AX$2)=YEAR(BI$3))*(MONTH($AC$2:$AX$2)=MONTH(BI$3))*$AC24:$AX24))</f>
        <v>0</v>
      </c>
      <c r="BJ24" s="164" t="n">
        <f aca="false">IF(AND($BA24&gt;0,$BB24&gt;=$BA24),$AA24*MAX(0,MIN($BB24,EOMONTH(BJ$3,0))-MAX($BA24,BJ$3)+1)/($BB24-$BA24+1),SUMPRODUCT((YEAR($AC$2:$AX$2)=YEAR(BJ$3))*(MONTH($AC$2:$AX$2)=MONTH(BJ$3))*$AC24:$AX24))</f>
        <v>0</v>
      </c>
      <c r="BK24" s="164" t="n">
        <f aca="false">IF(AND($BA24&gt;0,$BB24&gt;=$BA24),$AA24*MAX(0,MIN($BB24,EOMONTH(BK$3,0))-MAX($BA24,BK$3)+1)/($BB24-$BA24+1),SUMPRODUCT((YEAR($AC$2:$AX$2)=YEAR(BK$3))*(MONTH($AC$2:$AX$2)=MONTH(BK$3))*$AC24:$AX24))</f>
        <v>0</v>
      </c>
      <c r="BL24" s="164" t="n">
        <f aca="false">IF(AND($BA24&gt;0,$BB24&gt;=$BA24),$AA24*MAX(0,MIN($BB24,EOMONTH(BL$3,0))-MAX($BA24,BL$3)+1)/($BB24-$BA24+1),SUMPRODUCT((YEAR($AC$2:$AX$2)=YEAR(BL$3))*(MONTH($AC$2:$AX$2)=MONTH(BL$3))*$AC24:$AX24))</f>
        <v>0</v>
      </c>
      <c r="BM24" s="164" t="n">
        <f aca="false">IF(AND($BA24&gt;0,$BB24&gt;=$BA24),$AA24*MAX(0,MIN($BB24,EOMONTH(BM$3,0))-MAX($BA24,BM$3)+1)/($BB24-$BA24+1),SUMPRODUCT((YEAR($AC$2:$AX$2)=YEAR(BM$3))*(MONTH($AC$2:$AX$2)=MONTH(BM$3))*$AC24:$AX24))</f>
        <v>0</v>
      </c>
      <c r="BN24" s="164" t="n">
        <f aca="false">IF(AND($BA24&gt;0,$BB24&gt;=$BA24),$AA24*MAX(0,MIN($BB24,EOMONTH(BN$3,0))-MAX($BA24,BN$3)+1)/($BB24-$BA24+1),SUMPRODUCT((YEAR($AC$2:$AX$2)=YEAR(BN$3))*(MONTH($AC$2:$AX$2)=MONTH(BN$3))*$AC24:$AX24))</f>
        <v>0</v>
      </c>
      <c r="BO24" s="164" t="n">
        <f aca="false">IF(AND($BA24&gt;0,$BB24&gt;=$BA24),$AA24*MAX(0,MIN($BB24,EOMONTH(BO$3,0))-MAX($BA24,BO$3)+1)/($BB24-$BA24+1),SUMPRODUCT((YEAR($AC$2:$AX$2)=YEAR(BO$3))*(MONTH($AC$2:$AX$2)=MONTH(BO$3))*$AC24:$AX24))</f>
        <v>0</v>
      </c>
      <c r="BP24" s="164" t="n">
        <f aca="false">IF(AND($BA24&gt;0,$BB24&gt;=$BA24),$AA24*MAX(0,MIN($BB24,EOMONTH(BP$3,0))-MAX($BA24,BP$3)+1)/($BB24-$BA24+1),SUMPRODUCT((YEAR($AC$2:$AX$2)=YEAR(BP$3))*(MONTH($AC$2:$AX$2)=MONTH(BP$3))*$AC24:$AX24))</f>
        <v>0</v>
      </c>
      <c r="BQ24" s="164" t="n">
        <f aca="false">IF(AND($BA24&gt;0,$BB24&gt;=$BA24),$AA24*MAX(0,MIN($BB24,EOMONTH(BQ$3,0))-MAX($BA24,BQ$3)+1)/($BB24-$BA24+1),SUMPRODUCT((YEAR($AC$2:$AX$2)=YEAR(BQ$3))*(MONTH($AC$2:$AX$2)=MONTH(BQ$3))*$AC24:$AX24))</f>
        <v>0</v>
      </c>
      <c r="BR24" s="164" t="n">
        <f aca="false">IF(AND($BA24&gt;0,$BB24&gt;=$BA24),$AA24*MAX(0,MIN($BB24,EOMONTH(BR$3,0))-MAX($BA24,BR$3)+1)/($BB24-$BA24+1),SUMPRODUCT((YEAR($AC$2:$AX$2)=YEAR(BR$3))*(MONTH($AC$2:$AX$2)=MONTH(BR$3))*$AC24:$AX24))</f>
        <v>0</v>
      </c>
      <c r="BS24" s="164" t="n">
        <f aca="false">IF(AND($BA24&gt;0,$BB24&gt;=$BA24),$AA24*MAX(0,MIN($BB24,EOMONTH(BS$3,0))-MAX($BA24,BS$3)+1)/($BB24-$BA24+1),SUMPRODUCT((YEAR($AC$2:$AX$2)=YEAR(BS$3))*(MONTH($AC$2:$AX$2)=MONTH(BS$3))*$AC24:$AX24))</f>
        <v>0</v>
      </c>
      <c r="BT24" s="164" t="n">
        <f aca="false">IF(AND($BA24&gt;0,$BB24&gt;=$BA24),$AA24*MAX(0,MIN($BB24,EOMONTH(BT$3,0))-MAX($BA24,BT$3)+1)/($BB24-$BA24+1),SUMPRODUCT((YEAR($AC$2:$AX$2)=YEAR(BT$3))*(MONTH($AC$2:$AX$2)=MONTH(BT$3))*$AC24:$AX24))</f>
        <v>0</v>
      </c>
      <c r="BU24" s="164" t="n">
        <f aca="false">IF(AND($BA24&gt;0,$BB24&gt;=$BA24),$AA24*MAX(0,MIN($BB24,EOMONTH(BU$3,0))-MAX($BA24,BU$3)+1)/($BB24-$BA24+1),SUMPRODUCT((YEAR($AC$2:$AX$2)=YEAR(BU$3))*(MONTH($AC$2:$AX$2)=MONTH(BU$3))*$AC24:$AX24))</f>
        <v>0</v>
      </c>
      <c r="BV24" s="164" t="n">
        <f aca="false">IF(AND($BA24&gt;0,$BB24&gt;=$BA24),$AA24*MAX(0,MIN($BB24,EOMONTH(BV$3,0))-MAX($BA24,BV$3)+1)/($BB24-$BA24+1),SUMPRODUCT((YEAR($AC$2:$AX$2)=YEAR(BV$3))*(MONTH($AC$2:$AX$2)=MONTH(BV$3))*$AC24:$AX24))</f>
        <v>0</v>
      </c>
      <c r="BW24" s="164" t="n">
        <f aca="false">IF(AND($BA24&gt;0,$BB24&gt;=$BA24),$AA24*MAX(0,MIN($BB24,EOMONTH(BW$3,0))-MAX($BA24,BW$3)+1)/($BB24-$BA24+1),SUMPRODUCT((YEAR($AC$2:$AX$2)=YEAR(BW$3))*(MONTH($AC$2:$AX$2)=MONTH(BW$3))*$AC24:$AX24))</f>
        <v>0</v>
      </c>
      <c r="BX24" s="164" t="n">
        <f aca="false">IF(AND($BA24&gt;0,$BB24&gt;=$BA24),$AA24*MAX(0,MIN($BB24,EOMONTH(BX$3,0))-MAX($BA24,BX$3)+1)/($BB24-$BA24+1),SUMPRODUCT((YEAR($AC$2:$AX$2)=YEAR(BX$3))*(MONTH($AC$2:$AX$2)=MONTH(BX$3))*$AC24:$AX24))</f>
        <v>0</v>
      </c>
      <c r="BY24" s="164" t="n">
        <f aca="false">IF(AND($BA24&gt;0,$BB24&gt;=$BA24),$AA24*MAX(0,MIN($BB24,EOMONTH(BY$3,0))-MAX($BA24,BY$3)+1)/($BB24-$BA24+1),SUMPRODUCT((YEAR($AC$2:$AX$2)=YEAR(BY$3))*(MONTH($AC$2:$AX$2)=MONTH(BY$3))*$AC24:$AX24))</f>
        <v>0</v>
      </c>
      <c r="BZ24" s="164" t="n">
        <f aca="false">IF(AND($BA24&gt;0,$BB24&gt;=$BA24),$AA24*MAX(0,MIN($BB24,EOMONTH(BZ$3,0))-MAX($BA24,BZ$3)+1)/($BB24-$BA24+1),SUMPRODUCT((YEAR($AC$2:$AX$2)=YEAR(BZ$3))*(MONTH($AC$2:$AX$2)=MONTH(BZ$3))*$AC24:$AX24))</f>
        <v>0</v>
      </c>
      <c r="CA24" s="164" t="n">
        <f aca="false">IF(AND($BA24&gt;0,$BB24&gt;=$BA24),$AA24*MAX(0,MIN($BB24,EOMONTH(CA$3,0))-MAX($BA24,CA$3)+1)/($BB24-$BA24+1),SUMPRODUCT((YEAR($AC$2:$AX$2)=YEAR(CA$3))*(MONTH($AC$2:$AX$2)=MONTH(CA$3))*$AC24:$AX24))</f>
        <v>0</v>
      </c>
      <c r="CB24" s="164" t="n">
        <f aca="false">IF(AND($BA24&gt;0,$BB24&gt;=$BA24),$AA24*MAX(0,MIN($BB24,EOMONTH(CB$3,0))-MAX($BA24,CB$3)+1)/($BB24-$BA24+1),SUMPRODUCT((YEAR($AC$2:$AX$2)=YEAR(CB$3))*(MONTH($AC$2:$AX$2)=MONTH(CB$3))*$AC24:$AX24))</f>
        <v>0</v>
      </c>
      <c r="CC24" s="164" t="n">
        <f aca="false">IF(AND($BA24&gt;0,$BB24&gt;=$BA24),$AA24*MAX(0,MIN($BB24,EOMONTH(CC$3,0))-MAX($BA24,CC$3)+1)/($BB24-$BA24+1),SUMPRODUCT((YEAR($AC$2:$AX$2)=YEAR(CC$3))*(MONTH($AC$2:$AX$2)=MONTH(CC$3))*$AC24:$AX24))</f>
        <v>0</v>
      </c>
      <c r="CD24" s="164" t="n">
        <f aca="false">IF(AND($BA24&gt;0,$BB24&gt;=$BA24),$AA24*MAX(0,MIN($BB24,EOMONTH(CD$3,0))-MAX($BA24,CD$3)+1)/($BB24-$BA24+1),SUMPRODUCT((YEAR($AC$2:$AX$2)=YEAR(CD$3))*(MONTH($AC$2:$AX$2)=MONTH(CD$3))*$AC24:$AX24))</f>
        <v>0</v>
      </c>
      <c r="CE24" s="164" t="n">
        <f aca="false">IF(AND($BA24&gt;0,$BB24&gt;=$BA24),$AA24*MAX(0,MIN($BB24,EOMONTH(CE$3,0))-MAX($BA24,CE$3)+1)/($BB24-$BA24+1),SUMPRODUCT((YEAR($AC$2:$AX$2)=YEAR(CE$3))*(MONTH($AC$2:$AX$2)=MONTH(CE$3))*$AC24:$AX24))</f>
        <v>0</v>
      </c>
      <c r="CF24" s="164" t="n">
        <f aca="false">IF(AND($BA24&gt;0,$BB24&gt;=$BA24),$AA24*MAX(0,MIN($BB24,EOMONTH(CF$3,0))-MAX($BA24,CF$3)+1)/($BB24-$BA24+1),SUMPRODUCT((YEAR($AC$2:$AX$2)=YEAR(CF$3))*(MONTH($AC$2:$AX$2)=MONTH(CF$3))*$AC24:$AX24))</f>
        <v>0</v>
      </c>
      <c r="CG24" s="164" t="n">
        <f aca="false">IF(AND($BA24&gt;0,$BB24&gt;=$BA24),$AA24*MAX(0,MIN($BB24,EOMONTH(CG$3,0))-MAX($BA24,CG$3)+1)/($BB24-$BA24+1),SUMPRODUCT((YEAR($AC$2:$AX$2)=YEAR(CG$3))*(MONTH($AC$2:$AX$2)=MONTH(CG$3))*$AC24:$AX24))</f>
        <v>524828.985128675</v>
      </c>
      <c r="CH24" s="164" t="n">
        <f aca="false">IF(AND($BA24&gt;0,$BB24&gt;=$BA24),$AA24*MAX(0,MIN($BB24,EOMONTH(CH$3,0))-MAX($BA24,CH$3)+1)/($BB24-$BA24+1),SUMPRODUCT((YEAR($AC$2:$AX$2)=YEAR(CH$3))*(MONTH($AC$2:$AX$2)=MONTH(CH$3))*$AC24:$AX24))</f>
        <v>0</v>
      </c>
      <c r="CI24" s="164" t="n">
        <f aca="false">IF(AND($BA24&gt;0,$BB24&gt;=$BA24),$AA24*MAX(0,MIN($BB24,EOMONTH(CI$3,0))-MAX($BA24,CI$3)+1)/($BB24-$BA24+1),SUMPRODUCT((YEAR($AC$2:$AX$2)=YEAR(CI$3))*(MONTH($AC$2:$AX$2)=MONTH(CI$3))*$AC24:$AX24))</f>
        <v>0</v>
      </c>
      <c r="CJ24" s="164" t="n">
        <f aca="false">IF(AND($BA24&gt;0,$BB24&gt;=$BA24),$AA24*MAX(0,MIN($BB24,EOMONTH(CJ$3,0))-MAX($BA24,CJ$3)+1)/($BB24-$BA24+1),SUMPRODUCT((YEAR($AC$2:$AX$2)=YEAR(CJ$3))*(MONTH($AC$2:$AX$2)=MONTH(CJ$3))*$AC24:$AX24))</f>
        <v>0</v>
      </c>
      <c r="CK24" s="164" t="n">
        <f aca="false">IF(AND($BA24&gt;0,$BB24&gt;=$BA24),$AA24*MAX(0,MIN($BB24,EOMONTH(CK$3,0))-MAX($BA24,CK$3)+1)/($BB24-$BA24+1),SUMPRODUCT((YEAR($AC$2:$AX$2)=YEAR(CK$3))*(MONTH($AC$2:$AX$2)=MONTH(CK$3))*$AC24:$AX24))</f>
        <v>0</v>
      </c>
      <c r="CL24" s="164" t="n">
        <f aca="false">IF(AND($BA24&gt;0,$BB24&gt;=$BA24),$AA24*MAX(0,MIN($BB24,EOMONTH(CL$3,0))-MAX($BA24,CL$3)+1)/($BB24-$BA24+1),SUMPRODUCT((YEAR($AC$2:$AX$2)=YEAR(CL$3))*(MONTH($AC$2:$AX$2)=MONTH(CL$3))*$AC24:$AX24))</f>
        <v>0</v>
      </c>
      <c r="CM24" s="164" t="n">
        <f aca="false">IF(AND($BA24&gt;0,$BB24&gt;=$BA24),$AA24*MAX(0,MIN($BB24,EOMONTH(CM$3,0))-MAX($BA24,CM$3)+1)/($BB24-$BA24+1),SUMPRODUCT((YEAR($AC$2:$AX$2)=YEAR(CM$3))*(MONTH($AC$2:$AX$2)=MONTH(CM$3))*$AC24:$AX24))</f>
        <v>0</v>
      </c>
      <c r="CN24" s="164" t="n">
        <f aca="false">IF(AND($BA24&gt;0,$BB24&gt;=$BA24),$AA24*MAX(0,MIN($BB24,EOMONTH(CN$3,0))-MAX($BA24,CN$3)+1)/($BB24-$BA24+1),SUMPRODUCT((YEAR($AC$2:$AX$2)=YEAR(CN$3))*(MONTH($AC$2:$AX$2)=MONTH(CN$3))*$AC24:$AX24))</f>
        <v>0</v>
      </c>
      <c r="CO24" s="164" t="n">
        <f aca="false">IF(AND($BA24&gt;0,$BB24&gt;=$BA24),$AA24*MAX(0,MIN($BB24,EOMONTH(CO$3,0))-MAX($BA24,CO$3)+1)/($BB24-$BA24+1),SUMPRODUCT((YEAR($AC$2:$AX$2)=YEAR(CO$3))*(MONTH($AC$2:$AX$2)=MONTH(CO$3))*$AC24:$AX24))</f>
        <v>0</v>
      </c>
      <c r="CP24" s="164" t="n">
        <f aca="false">IF(AND($BA24&gt;0,$BB24&gt;=$BA24),$AA24*MAX(0,MIN($BB24,EOMONTH(CP$3,0))-MAX($BA24,CP$3)+1)/($BB24-$BA24+1),SUMPRODUCT((YEAR($AC$2:$AX$2)=YEAR(CP$3))*(MONTH($AC$2:$AX$2)=MONTH(CP$3))*$AC24:$AX24))</f>
        <v>0</v>
      </c>
      <c r="CQ24" s="164" t="n">
        <f aca="false">IF(AND($BA24&gt;0,$BB24&gt;=$BA24),$AA24*MAX(0,MIN($BB24,EOMONTH(CQ$3,0))-MAX($BA24,CQ$3)+1)/($BB24-$BA24+1),SUMPRODUCT((YEAR($AC$2:$AX$2)=YEAR(CQ$3))*(MONTH($AC$2:$AX$2)=MONTH(CQ$3))*$AC24:$AX24))</f>
        <v>0</v>
      </c>
      <c r="CR24" s="164" t="n">
        <f aca="false">IF(AND($BA24&gt;0,$BB24&gt;=$BA24),$AA24*MAX(0,MIN($BB24,EOMONTH(CR$3,0))-MAX($BA24,CR$3)+1)/($BB24-$BA24+1),SUMPRODUCT((YEAR($AC$2:$AX$2)=YEAR(CR$3))*(MONTH($AC$2:$AX$2)=MONTH(CR$3))*$AC24:$AX24))</f>
        <v>0</v>
      </c>
      <c r="CS24" s="164" t="n">
        <f aca="false">IF(AND($BA24&gt;0,$BB24&gt;=$BA24),$AA24*MAX(0,MIN($BB24,EOMONTH(CS$3,0))-MAX($BA24,CS$3)+1)/($BB24-$BA24+1),SUMPRODUCT((YEAR($AC$2:$AX$2)=YEAR(CS$3))*(MONTH($AC$2:$AX$2)=MONTH(CS$3))*$AC24:$AX24))</f>
        <v>0</v>
      </c>
      <c r="CT24" s="164" t="n">
        <f aca="false">IF(AND($BA24&gt;0,$BB24&gt;=$BA24),$AA24*MAX(0,MIN($BB24,EOMONTH(CT$3,0))-MAX($BA24,CT$3)+1)/($BB24-$BA24+1),SUMPRODUCT((YEAR($AC$2:$AX$2)=YEAR(CT$3))*(MONTH($AC$2:$AX$2)=MONTH(CT$3))*$AC24:$AX24))</f>
        <v>0</v>
      </c>
      <c r="CU24" s="164" t="n">
        <f aca="false">IF(AND($BA24&gt;0,$BB24&gt;=$BA24),$AA24*MAX(0,MIN($BB24,EOMONTH(CU$3,0))-MAX($BA24,CU$3)+1)/($BB24-$BA24+1),SUMPRODUCT((YEAR($AC$2:$AX$2)=YEAR(CU$3))*(MONTH($AC$2:$AX$2)=MONTH(CU$3))*$AC24:$AX24))</f>
        <v>0</v>
      </c>
      <c r="CV24" s="164" t="n">
        <f aca="false">IF(AND($BA24&gt;0,$BB24&gt;=$BA24),$AA24*MAX(0,MIN($BB24,EOMONTH(CV$3,0))-MAX($BA24,CV$3)+1)/($BB24-$BA24+1),SUMPRODUCT((YEAR($AC$2:$AX$2)=YEAR(CV$3))*(MONTH($AC$2:$AX$2)=MONTH(CV$3))*$AC24:$AX24))</f>
        <v>0</v>
      </c>
      <c r="CW24" s="164" t="n">
        <f aca="false">IF(AND($BA24&gt;0,$BB24&gt;=$BA24),$AA24*MAX(0,MIN($BB24,EOMONTH(CW$3,0))-MAX($BA24,CW$3)+1)/($BB24-$BA24+1),SUMPRODUCT((YEAR($AC$2:$AX$2)=YEAR(CW$3))*(MONTH($AC$2:$AX$2)=MONTH(CW$3))*$AC24:$AX24))</f>
        <v>0</v>
      </c>
      <c r="CX24" s="164" t="n">
        <f aca="false">IF(AND($BA24&gt;0,$BB24&gt;=$BA24),$AA24*MAX(0,MIN($BB24,EOMONTH(CX$3,0))-MAX($BA24,CX$3)+1)/($BB24-$BA24+1),SUMPRODUCT((YEAR($AC$2:$AX$2)=YEAR(CX$3))*(MONTH($AC$2:$AX$2)=MONTH(CX$3))*$AC24:$AX24))</f>
        <v>0</v>
      </c>
      <c r="CY24" s="164" t="n">
        <f aca="false">IF(AND($BA24&gt;0,$BB24&gt;=$BA24),$AA24*MAX(0,MIN($BB24,EOMONTH(CY$3,0))-MAX($BA24,CY$3)+1)/($BB24-$BA24+1),SUMPRODUCT((YEAR($AC$2:$AX$2)=YEAR(CY$3))*(MONTH($AC$2:$AX$2)=MONTH(CY$3))*$AC24:$AX24))</f>
        <v>0</v>
      </c>
      <c r="CZ24" s="164" t="n">
        <f aca="false">IF(AND($BA24&gt;0,$BB24&gt;=$BA24),$AA24*MAX(0,MIN($BB24,EOMONTH(CZ$3,0))-MAX($BA24,CZ$3)+1)/($BB24-$BA24+1),SUMPRODUCT((YEAR($AC$2:$AX$2)=YEAR(CZ$3))*(MONTH($AC$2:$AX$2)=MONTH(CZ$3))*$AC24:$AX24))</f>
        <v>0</v>
      </c>
      <c r="DA24" s="164" t="n">
        <f aca="false">IF(AND($BA24&gt;0,$BB24&gt;=$BA24),$AA24*MAX(0,MIN($BB24,EOMONTH(DA$3,0))-MAX($BA24,DA$3)+1)/($BB24-$BA24+1),SUMPRODUCT((YEAR($AC$2:$AX$2)=YEAR(DA$3))*(MONTH($AC$2:$AX$2)=MONTH(DA$3))*$AC24:$AX24))</f>
        <v>0</v>
      </c>
      <c r="DB24" s="164" t="n">
        <f aca="false">IF(AND($BA24&gt;0,$BB24&gt;=$BA24),$AA24*MAX(0,MIN($BB24,EOMONTH(DB$3,0))-MAX($BA24,DB$3)+1)/($BB24-$BA24+1),SUMPRODUCT((YEAR($AC$2:$AX$2)=YEAR(DB$3))*(MONTH($AC$2:$AX$2)=MONTH(DB$3))*$AC24:$AX24))</f>
        <v>0</v>
      </c>
      <c r="DC24" s="164" t="n">
        <f aca="false">IF(AND($BA24&gt;0,$BB24&gt;=$BA24),$AA24*MAX(0,MIN($BB24,EOMONTH(DC$3,0))-MAX($BA24,DC$3)+1)/($BB24-$BA24+1),SUMPRODUCT((YEAR($AC$2:$AX$2)=YEAR(DC$3))*(MONTH($AC$2:$AX$2)=MONTH(DC$3))*$AC24:$AX24))</f>
        <v>0</v>
      </c>
      <c r="DD24" s="164" t="n">
        <f aca="false">IF(AND($BA24&gt;0,$BB24&gt;=$BA24),$AA24*MAX(0,MIN($BB24,EOMONTH(DD$3,0))-MAX($BA24,DD$3)+1)/($BB24-$BA24+1),SUMPRODUCT((YEAR($AC$2:$AX$2)=YEAR(DD$3))*(MONTH($AC$2:$AX$2)=MONTH(DD$3))*$AC24:$AX24))</f>
        <v>0</v>
      </c>
      <c r="DE24" s="164" t="n">
        <f aca="false">IF(AND($BA24&gt;0,$BB24&gt;=$BA24),$AA24*MAX(0,MIN($BB24,EOMONTH(DE$3,0))-MAX($BA24,DE$3)+1)/($BB24-$BA24+1),SUMPRODUCT((YEAR($AC$2:$AX$2)=YEAR(DE$3))*(MONTH($AC$2:$AX$2)=MONTH(DE$3))*$AC24:$AX24))</f>
        <v>0</v>
      </c>
      <c r="DF24" s="164" t="n">
        <f aca="false">IF(AND($BA24&gt;0,$BB24&gt;=$BA24),$AA24*MAX(0,MIN($BB24,EOMONTH(DF$3,0))-MAX($BA24,DF$3)+1)/($BB24-$BA24+1),SUMPRODUCT((YEAR($AC$2:$AX$2)=YEAR(DF$3))*(MONTH($AC$2:$AX$2)=MONTH(DF$3))*$AC24:$AX24))</f>
        <v>0</v>
      </c>
      <c r="DG24" s="164" t="n">
        <f aca="false">IF(AND($BA24&gt;0,$BB24&gt;=$BA24),$AA24*MAX(0,MIN($BB24,EOMONTH(DG$3,0))-MAX($BA24,DG$3)+1)/($BB24-$BA24+1),SUMPRODUCT((YEAR($AC$2:$AX$2)=YEAR(DG$3))*(MONTH($AC$2:$AX$2)=MONTH(DG$3))*$AC24:$AX24))</f>
        <v>0</v>
      </c>
      <c r="DH24" s="164" t="n">
        <f aca="false">IF(AND($BA24&gt;0,$BB24&gt;=$BA24),$AA24*MAX(0,MIN($BB24,EOMONTH(DH$3,0))-MAX($BA24,DH$3)+1)/($BB24-$BA24+1),SUMPRODUCT((YEAR($AC$2:$AX$2)=YEAR(DH$3))*(MONTH($AC$2:$AX$2)=MONTH(DH$3))*$AC24:$AX24))</f>
        <v>0</v>
      </c>
      <c r="DI24" s="164" t="n">
        <f aca="false">IF(AND($BA24&gt;0,$BB24&gt;=$BA24),$AA24*MAX(0,MIN($BB24,EOMONTH(DI$3,0))-MAX($BA24,DI$3)+1)/($BB24-$BA24+1),SUMPRODUCT((YEAR($AC$2:$AX$2)=YEAR(DI$3))*(MONTH($AC$2:$AX$2)=MONTH(DI$3))*$AC24:$AX24))</f>
        <v>0</v>
      </c>
      <c r="DJ24" s="164" t="n">
        <f aca="false">IF(AND($BA24&gt;0,$BB24&gt;=$BA24),$AA24*MAX(0,MIN($BB24,EOMONTH(DJ$3,0))-MAX($BA24,DJ$3)+1)/($BB24-$BA24+1),SUMPRODUCT((YEAR($AC$2:$AX$2)=YEAR(DJ$3))*(MONTH($AC$2:$AX$2)=MONTH(DJ$3))*$AC24:$AX24))</f>
        <v>0</v>
      </c>
      <c r="DK24" s="164" t="n">
        <f aca="false">IF(AND($BA24&gt;0,$BB24&gt;=$BA24),$AA24*MAX(0,MIN($BB24,EOMONTH(DK$3,0))-MAX($BA24,DK$3)+1)/($BB24-$BA24+1),SUMPRODUCT((YEAR($AC$2:$AX$2)=YEAR(DK$3))*(MONTH($AC$2:$AX$2)=MONTH(DK$3))*$AC24:$AX24))</f>
        <v>0</v>
      </c>
      <c r="DL24" s="164" t="n">
        <f aca="false">IF(AND($BA24&gt;0,$BB24&gt;=$BA24),$AA24*MAX(0,MIN($BB24,EOMONTH(DL$3,0))-MAX($BA24,DL$3)+1)/($BB24-$BA24+1),SUMPRODUCT((YEAR($AC$2:$AX$2)=YEAR(DL$3))*(MONTH($AC$2:$AX$2)=MONTH(DL$3))*$AC24:$AX24))</f>
        <v>0</v>
      </c>
      <c r="DM24" s="164" t="n">
        <f aca="false">IF(AND($BA24&gt;0,$BB24&gt;=$BA24),$AA24*MAX(0,MIN($BB24,EOMONTH(DM$3,0))-MAX($BA24,DM$3)+1)/($BB24-$BA24+1),SUMPRODUCT((YEAR($AC$2:$AX$2)=YEAR(DM$3))*(MONTH($AC$2:$AX$2)=MONTH(DM$3))*$AC24:$AX24))</f>
        <v>0</v>
      </c>
      <c r="DN24" s="164" t="n">
        <f aca="false">IF(AND($BA24&gt;0,$BB24&gt;=$BA24),$AA24*MAX(0,MIN($BB24,EOMONTH(DN$3,0))-MAX($BA24,DN$3)+1)/($BB24-$BA24+1),SUMPRODUCT((YEAR($AC$2:$AX$2)=YEAR(DN$3))*(MONTH($AC$2:$AX$2)=MONTH(DN$3))*$AC24:$AX24))</f>
        <v>0</v>
      </c>
      <c r="DO24" s="164" t="n">
        <f aca="false">IF(AND($BA24&gt;0,$BB24&gt;=$BA24),$AA24*MAX(0,MIN($BB24,EOMONTH(DO$3,0))-MAX($BA24,DO$3)+1)/($BB24-$BA24+1),SUMPRODUCT((YEAR($AC$2:$AX$2)=YEAR(DO$3))*(MONTH($AC$2:$AX$2)=MONTH(DO$3))*$AC24:$AX24))</f>
        <v>0</v>
      </c>
      <c r="DP24" s="164" t="n">
        <f aca="false">IF(AND($BA24&gt;0,$BB24&gt;=$BA24),$AA24*MAX(0,MIN($BB24,EOMONTH(DP$3,0))-MAX($BA24,DP$3)+1)/($BB24-$BA24+1),SUMPRODUCT((YEAR($AC$2:$AX$2)=YEAR(DP$3))*(MONTH($AC$2:$AX$2)=MONTH(DP$3))*$AC24:$AX24))</f>
        <v>0</v>
      </c>
      <c r="DQ24" s="164" t="n">
        <f aca="false">IF(AND($BA24&gt;0,$BB24&gt;=$BA24),$AA24*MAX(0,MIN($BB24,EOMONTH(DQ$3,0))-MAX($BA24,DQ$3)+1)/($BB24-$BA24+1),SUMPRODUCT((YEAR($AC$2:$AX$2)=YEAR(DQ$3))*(MONTH($AC$2:$AX$2)=MONTH(DQ$3))*$AC24:$AX24))</f>
        <v>0</v>
      </c>
      <c r="DR24" s="164" t="n">
        <f aca="false">IF(AND($BA24&gt;0,$BB24&gt;=$BA24),$AA24*MAX(0,MIN($BB24,EOMONTH(DR$3,0))-MAX($BA24,DR$3)+1)/($BB24-$BA24+1),SUMPRODUCT((YEAR($AC$2:$AX$2)=YEAR(DR$3))*(MONTH($AC$2:$AX$2)=MONTH(DR$3))*$AC24:$AX24))</f>
        <v>0</v>
      </c>
      <c r="DS24" s="164" t="n">
        <f aca="false">IF(AND($BA24&gt;0,$BB24&gt;=$BA24),$AA24*MAX(0,MIN($BB24,EOMONTH(DS$3,0))-MAX($BA24,DS$3)+1)/($BB24-$BA24+1),SUMPRODUCT((YEAR($AC$2:$AX$2)=YEAR(DS$3))*(MONTH($AC$2:$AX$2)=MONTH(DS$3))*$AC24:$AX24))</f>
        <v>0</v>
      </c>
      <c r="DT24" s="164" t="n">
        <f aca="false">IF(AND($BA24&gt;0,$BB24&gt;=$BA24),$AA24*MAX(0,MIN($BB24,EOMONTH(DT$3,0))-MAX($BA24,DT$3)+1)/($BB24-$BA24+1),SUMPRODUCT((YEAR($AC$2:$AX$2)=YEAR(DT$3))*(MONTH($AC$2:$AX$2)=MONTH(DT$3))*$AC24:$AX24))</f>
        <v>0</v>
      </c>
      <c r="DU24" s="164" t="n">
        <f aca="false">IF(AND($BA24&gt;0,$BB24&gt;=$BA24),$AA24*MAX(0,MIN($BB24,EOMONTH(DU$3,0))-MAX($BA24,DU$3)+1)/($BB24-$BA24+1),SUMPRODUCT((YEAR($AC$2:$AX$2)=YEAR(DU$3))*(MONTH($AC$2:$AX$2)=MONTH(DU$3))*$AC24:$AX24))</f>
        <v>0</v>
      </c>
      <c r="DV24" s="164" t="n">
        <f aca="false">IF(AND($BA24&gt;0,$BB24&gt;=$BA24),$AA24*MAX(0,MIN($BB24,EOMONTH(DV$3,0))-MAX($BA24,DV$3)+1)/($BB24-$BA24+1),SUMPRODUCT((YEAR($AC$2:$AX$2)=YEAR(DV$3))*(MONTH($AC$2:$AX$2)=MONTH(DV$3))*$AC24:$AX24))</f>
        <v>0</v>
      </c>
      <c r="DW24" s="164" t="n">
        <f aca="false">IF(AND($BA24&gt;0,$BB24&gt;=$BA24),$AA24*MAX(0,MIN($BB24,EOMONTH(DW$3,0))-MAX($BA24,DW$3)+1)/($BB24-$BA24+1),SUMPRODUCT((YEAR($AC$2:$AX$2)=YEAR(DW$3))*(MONTH($AC$2:$AX$2)=MONTH(DW$3))*$AC24:$AX24))</f>
        <v>0</v>
      </c>
    </row>
    <row r="25" customFormat="false" ht="15" hidden="false" customHeight="false" outlineLevel="0" collapsed="false">
      <c r="H25" s="150" t="s">
        <v>2983</v>
      </c>
      <c r="J25" s="152" t="n">
        <v>700.6245</v>
      </c>
      <c r="K25" s="152" t="n">
        <v>242.8</v>
      </c>
      <c r="L25" s="152" t="n">
        <v>1353.789475</v>
      </c>
      <c r="O25" s="152" t="n">
        <v>21241.25</v>
      </c>
      <c r="P25" s="152" t="n">
        <v>700.6245</v>
      </c>
      <c r="S25" s="149" t="n">
        <f aca="false">K25*($D$59+$D$57)</f>
        <v>176838.47544</v>
      </c>
      <c r="T25" s="149" t="n">
        <f aca="false">L25*$D$47</f>
        <v>180460.1370175</v>
      </c>
      <c r="V25" s="149" t="n">
        <f aca="false">O25*($D$54)</f>
        <v>123476.4483125</v>
      </c>
      <c r="W25" s="149" t="n">
        <f aca="false">O25*($D$49)</f>
        <v>59369.29375</v>
      </c>
      <c r="Y25" s="149" t="n">
        <f aca="false">SUM(P25:Q25)*($D$50+$D$52)</f>
        <v>9521.592048675</v>
      </c>
      <c r="AA25" s="149" t="n">
        <f aca="false">SUM(S25:Y25)</f>
        <v>549665.946568675</v>
      </c>
      <c r="AM25" s="149" t="n">
        <f aca="false">AA25*0.5</f>
        <v>274832.973284338</v>
      </c>
      <c r="AN25" s="149" t="n">
        <f aca="false">AA25*0.5</f>
        <v>274832.973284338</v>
      </c>
      <c r="AZ25" s="162" t="s">
        <v>2812</v>
      </c>
      <c r="BA25" s="163" t="n">
        <f aca="false">IF(AZ25="",0,SUMPRODUCT(('CRONOGRAMA ATIVIDADES'!$C$5:$C$6004="ESTRUTURA")*('CRONOGRAMA ATIVIDADES'!$E$5:$E$6004=AZ25)*('CRONOGRAMA ATIVIDADES'!$D$5:$D$6004="-")*'CRONOGRAMA ATIVIDADES'!$F$5:$F$6004))</f>
        <v>46499</v>
      </c>
      <c r="BB25" s="163" t="n">
        <f aca="false">IF(AZ25="",0,SUMPRODUCT(('CRONOGRAMA ATIVIDADES'!$C$5:$C$6004="ESTRUTURA")*('CRONOGRAMA ATIVIDADES'!$E$5:$E$6004=AZ25)*('CRONOGRAMA ATIVIDADES'!$D$5:$D$6004="-")*'CRONOGRAMA ATIVIDADES'!$G$5:$G$6004))</f>
        <v>46510</v>
      </c>
      <c r="BD25" s="164" t="n">
        <f aca="false">IF(AND($BA25&gt;0,$BB25&gt;=$BA25),$AA25*MAX(0,MIN($BB25,EOMONTH(BD$3,0))-MAX($BA25,BD$3)+1)/($BB25-$BA25+1),SUMPRODUCT((YEAR($AC$2:$AX$2)=YEAR(BD$3))*(MONTH($AC$2:$AX$2)=MONTH(BD$3))*$AC25:$AX25))</f>
        <v>0</v>
      </c>
      <c r="BE25" s="164" t="n">
        <f aca="false">IF(AND($BA25&gt;0,$BB25&gt;=$BA25),$AA25*MAX(0,MIN($BB25,EOMONTH(BE$3,0))-MAX($BA25,BE$3)+1)/($BB25-$BA25+1),SUMPRODUCT((YEAR($AC$2:$AX$2)=YEAR(BE$3))*(MONTH($AC$2:$AX$2)=MONTH(BE$3))*$AC25:$AX25))</f>
        <v>0</v>
      </c>
      <c r="BF25" s="164" t="n">
        <f aca="false">IF(AND($BA25&gt;0,$BB25&gt;=$BA25),$AA25*MAX(0,MIN($BB25,EOMONTH(BF$3,0))-MAX($BA25,BF$3)+1)/($BB25-$BA25+1),SUMPRODUCT((YEAR($AC$2:$AX$2)=YEAR(BF$3))*(MONTH($AC$2:$AX$2)=MONTH(BF$3))*$AC25:$AX25))</f>
        <v>0</v>
      </c>
      <c r="BG25" s="164" t="n">
        <f aca="false">IF(AND($BA25&gt;0,$BB25&gt;=$BA25),$AA25*MAX(0,MIN($BB25,EOMONTH(BG$3,0))-MAX($BA25,BG$3)+1)/($BB25-$BA25+1),SUMPRODUCT((YEAR($AC$2:$AX$2)=YEAR(BG$3))*(MONTH($AC$2:$AX$2)=MONTH(BG$3))*$AC25:$AX25))</f>
        <v>0</v>
      </c>
      <c r="BH25" s="164" t="n">
        <f aca="false">IF(AND($BA25&gt;0,$BB25&gt;=$BA25),$AA25*MAX(0,MIN($BB25,EOMONTH(BH$3,0))-MAX($BA25,BH$3)+1)/($BB25-$BA25+1),SUMPRODUCT((YEAR($AC$2:$AX$2)=YEAR(BH$3))*(MONTH($AC$2:$AX$2)=MONTH(BH$3))*$AC25:$AX25))</f>
        <v>0</v>
      </c>
      <c r="BI25" s="164" t="n">
        <f aca="false">IF(AND($BA25&gt;0,$BB25&gt;=$BA25),$AA25*MAX(0,MIN($BB25,EOMONTH(BI$3,0))-MAX($BA25,BI$3)+1)/($BB25-$BA25+1),SUMPRODUCT((YEAR($AC$2:$AX$2)=YEAR(BI$3))*(MONTH($AC$2:$AX$2)=MONTH(BI$3))*$AC25:$AX25))</f>
        <v>0</v>
      </c>
      <c r="BJ25" s="164" t="n">
        <f aca="false">IF(AND($BA25&gt;0,$BB25&gt;=$BA25),$AA25*MAX(0,MIN($BB25,EOMONTH(BJ$3,0))-MAX($BA25,BJ$3)+1)/($BB25-$BA25+1),SUMPRODUCT((YEAR($AC$2:$AX$2)=YEAR(BJ$3))*(MONTH($AC$2:$AX$2)=MONTH(BJ$3))*$AC25:$AX25))</f>
        <v>0</v>
      </c>
      <c r="BK25" s="164" t="n">
        <f aca="false">IF(AND($BA25&gt;0,$BB25&gt;=$BA25),$AA25*MAX(0,MIN($BB25,EOMONTH(BK$3,0))-MAX($BA25,BK$3)+1)/($BB25-$BA25+1),SUMPRODUCT((YEAR($AC$2:$AX$2)=YEAR(BK$3))*(MONTH($AC$2:$AX$2)=MONTH(BK$3))*$AC25:$AX25))</f>
        <v>0</v>
      </c>
      <c r="BL25" s="164" t="n">
        <f aca="false">IF(AND($BA25&gt;0,$BB25&gt;=$BA25),$AA25*MAX(0,MIN($BB25,EOMONTH(BL$3,0))-MAX($BA25,BL$3)+1)/($BB25-$BA25+1),SUMPRODUCT((YEAR($AC$2:$AX$2)=YEAR(BL$3))*(MONTH($AC$2:$AX$2)=MONTH(BL$3))*$AC25:$AX25))</f>
        <v>0</v>
      </c>
      <c r="BM25" s="164" t="n">
        <f aca="false">IF(AND($BA25&gt;0,$BB25&gt;=$BA25),$AA25*MAX(0,MIN($BB25,EOMONTH(BM$3,0))-MAX($BA25,BM$3)+1)/($BB25-$BA25+1),SUMPRODUCT((YEAR($AC$2:$AX$2)=YEAR(BM$3))*(MONTH($AC$2:$AX$2)=MONTH(BM$3))*$AC25:$AX25))</f>
        <v>0</v>
      </c>
      <c r="BN25" s="164" t="n">
        <f aca="false">IF(AND($BA25&gt;0,$BB25&gt;=$BA25),$AA25*MAX(0,MIN($BB25,EOMONTH(BN$3,0))-MAX($BA25,BN$3)+1)/($BB25-$BA25+1),SUMPRODUCT((YEAR($AC$2:$AX$2)=YEAR(BN$3))*(MONTH($AC$2:$AX$2)=MONTH(BN$3))*$AC25:$AX25))</f>
        <v>0</v>
      </c>
      <c r="BO25" s="164" t="n">
        <f aca="false">IF(AND($BA25&gt;0,$BB25&gt;=$BA25),$AA25*MAX(0,MIN($BB25,EOMONTH(BO$3,0))-MAX($BA25,BO$3)+1)/($BB25-$BA25+1),SUMPRODUCT((YEAR($AC$2:$AX$2)=YEAR(BO$3))*(MONTH($AC$2:$AX$2)=MONTH(BO$3))*$AC25:$AX25))</f>
        <v>0</v>
      </c>
      <c r="BP25" s="164" t="n">
        <f aca="false">IF(AND($BA25&gt;0,$BB25&gt;=$BA25),$AA25*MAX(0,MIN($BB25,EOMONTH(BP$3,0))-MAX($BA25,BP$3)+1)/($BB25-$BA25+1),SUMPRODUCT((YEAR($AC$2:$AX$2)=YEAR(BP$3))*(MONTH($AC$2:$AX$2)=MONTH(BP$3))*$AC25:$AX25))</f>
        <v>0</v>
      </c>
      <c r="BQ25" s="164" t="n">
        <f aca="false">IF(AND($BA25&gt;0,$BB25&gt;=$BA25),$AA25*MAX(0,MIN($BB25,EOMONTH(BQ$3,0))-MAX($BA25,BQ$3)+1)/($BB25-$BA25+1),SUMPRODUCT((YEAR($AC$2:$AX$2)=YEAR(BQ$3))*(MONTH($AC$2:$AX$2)=MONTH(BQ$3))*$AC25:$AX25))</f>
        <v>0</v>
      </c>
      <c r="BR25" s="164" t="n">
        <f aca="false">IF(AND($BA25&gt;0,$BB25&gt;=$BA25),$AA25*MAX(0,MIN($BB25,EOMONTH(BR$3,0))-MAX($BA25,BR$3)+1)/($BB25-$BA25+1),SUMPRODUCT((YEAR($AC$2:$AX$2)=YEAR(BR$3))*(MONTH($AC$2:$AX$2)=MONTH(BR$3))*$AC25:$AX25))</f>
        <v>0</v>
      </c>
      <c r="BS25" s="164" t="n">
        <f aca="false">IF(AND($BA25&gt;0,$BB25&gt;=$BA25),$AA25*MAX(0,MIN($BB25,EOMONTH(BS$3,0))-MAX($BA25,BS$3)+1)/($BB25-$BA25+1),SUMPRODUCT((YEAR($AC$2:$AX$2)=YEAR(BS$3))*(MONTH($AC$2:$AX$2)=MONTH(BS$3))*$AC25:$AX25))</f>
        <v>0</v>
      </c>
      <c r="BT25" s="164" t="n">
        <f aca="false">IF(AND($BA25&gt;0,$BB25&gt;=$BA25),$AA25*MAX(0,MIN($BB25,EOMONTH(BT$3,0))-MAX($BA25,BT$3)+1)/($BB25-$BA25+1),SUMPRODUCT((YEAR($AC$2:$AX$2)=YEAR(BT$3))*(MONTH($AC$2:$AX$2)=MONTH(BT$3))*$AC25:$AX25))</f>
        <v>0</v>
      </c>
      <c r="BU25" s="164" t="n">
        <f aca="false">IF(AND($BA25&gt;0,$BB25&gt;=$BA25),$AA25*MAX(0,MIN($BB25,EOMONTH(BU$3,0))-MAX($BA25,BU$3)+1)/($BB25-$BA25+1),SUMPRODUCT((YEAR($AC$2:$AX$2)=YEAR(BU$3))*(MONTH($AC$2:$AX$2)=MONTH(BU$3))*$AC25:$AX25))</f>
        <v>0</v>
      </c>
      <c r="BV25" s="164" t="n">
        <f aca="false">IF(AND($BA25&gt;0,$BB25&gt;=$BA25),$AA25*MAX(0,MIN($BB25,EOMONTH(BV$3,0))-MAX($BA25,BV$3)+1)/($BB25-$BA25+1),SUMPRODUCT((YEAR($AC$2:$AX$2)=YEAR(BV$3))*(MONTH($AC$2:$AX$2)=MONTH(BV$3))*$AC25:$AX25))</f>
        <v>0</v>
      </c>
      <c r="BW25" s="164" t="n">
        <f aca="false">IF(AND($BA25&gt;0,$BB25&gt;=$BA25),$AA25*MAX(0,MIN($BB25,EOMONTH(BW$3,0))-MAX($BA25,BW$3)+1)/($BB25-$BA25+1),SUMPRODUCT((YEAR($AC$2:$AX$2)=YEAR(BW$3))*(MONTH($AC$2:$AX$2)=MONTH(BW$3))*$AC25:$AX25))</f>
        <v>0</v>
      </c>
      <c r="BX25" s="164" t="n">
        <f aca="false">IF(AND($BA25&gt;0,$BB25&gt;=$BA25),$AA25*MAX(0,MIN($BB25,EOMONTH(BX$3,0))-MAX($BA25,BX$3)+1)/($BB25-$BA25+1),SUMPRODUCT((YEAR($AC$2:$AX$2)=YEAR(BX$3))*(MONTH($AC$2:$AX$2)=MONTH(BX$3))*$AC25:$AX25))</f>
        <v>0</v>
      </c>
      <c r="BY25" s="164" t="n">
        <f aca="false">IF(AND($BA25&gt;0,$BB25&gt;=$BA25),$AA25*MAX(0,MIN($BB25,EOMONTH(BY$3,0))-MAX($BA25,BY$3)+1)/($BB25-$BA25+1),SUMPRODUCT((YEAR($AC$2:$AX$2)=YEAR(BY$3))*(MONTH($AC$2:$AX$2)=MONTH(BY$3))*$AC25:$AX25))</f>
        <v>0</v>
      </c>
      <c r="BZ25" s="164" t="n">
        <f aca="false">IF(AND($BA25&gt;0,$BB25&gt;=$BA25),$AA25*MAX(0,MIN($BB25,EOMONTH(BZ$3,0))-MAX($BA25,BZ$3)+1)/($BB25-$BA25+1),SUMPRODUCT((YEAR($AC$2:$AX$2)=YEAR(BZ$3))*(MONTH($AC$2:$AX$2)=MONTH(BZ$3))*$AC25:$AX25))</f>
        <v>0</v>
      </c>
      <c r="CA25" s="164" t="n">
        <f aca="false">IF(AND($BA25&gt;0,$BB25&gt;=$BA25),$AA25*MAX(0,MIN($BB25,EOMONTH(CA$3,0))-MAX($BA25,CA$3)+1)/($BB25-$BA25+1),SUMPRODUCT((YEAR($AC$2:$AX$2)=YEAR(CA$3))*(MONTH($AC$2:$AX$2)=MONTH(CA$3))*$AC25:$AX25))</f>
        <v>0</v>
      </c>
      <c r="CB25" s="164" t="n">
        <f aca="false">IF(AND($BA25&gt;0,$BB25&gt;=$BA25),$AA25*MAX(0,MIN($BB25,EOMONTH(CB$3,0))-MAX($BA25,CB$3)+1)/($BB25-$BA25+1),SUMPRODUCT((YEAR($AC$2:$AX$2)=YEAR(CB$3))*(MONTH($AC$2:$AX$2)=MONTH(CB$3))*$AC25:$AX25))</f>
        <v>0</v>
      </c>
      <c r="CC25" s="164" t="n">
        <f aca="false">IF(AND($BA25&gt;0,$BB25&gt;=$BA25),$AA25*MAX(0,MIN($BB25,EOMONTH(CC$3,0))-MAX($BA25,CC$3)+1)/($BB25-$BA25+1),SUMPRODUCT((YEAR($AC$2:$AX$2)=YEAR(CC$3))*(MONTH($AC$2:$AX$2)=MONTH(CC$3))*$AC25:$AX25))</f>
        <v>0</v>
      </c>
      <c r="CD25" s="164" t="n">
        <f aca="false">IF(AND($BA25&gt;0,$BB25&gt;=$BA25),$AA25*MAX(0,MIN($BB25,EOMONTH(CD$3,0))-MAX($BA25,CD$3)+1)/($BB25-$BA25+1),SUMPRODUCT((YEAR($AC$2:$AX$2)=YEAR(CD$3))*(MONTH($AC$2:$AX$2)=MONTH(CD$3))*$AC25:$AX25))</f>
        <v>0</v>
      </c>
      <c r="CE25" s="164" t="n">
        <f aca="false">IF(AND($BA25&gt;0,$BB25&gt;=$BA25),$AA25*MAX(0,MIN($BB25,EOMONTH(CE$3,0))-MAX($BA25,CE$3)+1)/($BB25-$BA25+1),SUMPRODUCT((YEAR($AC$2:$AX$2)=YEAR(CE$3))*(MONTH($AC$2:$AX$2)=MONTH(CE$3))*$AC25:$AX25))</f>
        <v>0</v>
      </c>
      <c r="CF25" s="164" t="n">
        <f aca="false">IF(AND($BA25&gt;0,$BB25&gt;=$BA25),$AA25*MAX(0,MIN($BB25,EOMONTH(CF$3,0))-MAX($BA25,CF$3)+1)/($BB25-$BA25+1),SUMPRODUCT((YEAR($AC$2:$AX$2)=YEAR(CF$3))*(MONTH($AC$2:$AX$2)=MONTH(CF$3))*$AC25:$AX25))</f>
        <v>412249.459926506</v>
      </c>
      <c r="CG25" s="164" t="n">
        <f aca="false">IF(AND($BA25&gt;0,$BB25&gt;=$BA25),$AA25*MAX(0,MIN($BB25,EOMONTH(CG$3,0))-MAX($BA25,CG$3)+1)/($BB25-$BA25+1),SUMPRODUCT((YEAR($AC$2:$AX$2)=YEAR(CG$3))*(MONTH($AC$2:$AX$2)=MONTH(CG$3))*$AC25:$AX25))</f>
        <v>137416.486642169</v>
      </c>
      <c r="CH25" s="164" t="n">
        <f aca="false">IF(AND($BA25&gt;0,$BB25&gt;=$BA25),$AA25*MAX(0,MIN($BB25,EOMONTH(CH$3,0))-MAX($BA25,CH$3)+1)/($BB25-$BA25+1),SUMPRODUCT((YEAR($AC$2:$AX$2)=YEAR(CH$3))*(MONTH($AC$2:$AX$2)=MONTH(CH$3))*$AC25:$AX25))</f>
        <v>0</v>
      </c>
      <c r="CI25" s="164" t="n">
        <f aca="false">IF(AND($BA25&gt;0,$BB25&gt;=$BA25),$AA25*MAX(0,MIN($BB25,EOMONTH(CI$3,0))-MAX($BA25,CI$3)+1)/($BB25-$BA25+1),SUMPRODUCT((YEAR($AC$2:$AX$2)=YEAR(CI$3))*(MONTH($AC$2:$AX$2)=MONTH(CI$3))*$AC25:$AX25))</f>
        <v>0</v>
      </c>
      <c r="CJ25" s="164" t="n">
        <f aca="false">IF(AND($BA25&gt;0,$BB25&gt;=$BA25),$AA25*MAX(0,MIN($BB25,EOMONTH(CJ$3,0))-MAX($BA25,CJ$3)+1)/($BB25-$BA25+1),SUMPRODUCT((YEAR($AC$2:$AX$2)=YEAR(CJ$3))*(MONTH($AC$2:$AX$2)=MONTH(CJ$3))*$AC25:$AX25))</f>
        <v>0</v>
      </c>
      <c r="CK25" s="164" t="n">
        <f aca="false">IF(AND($BA25&gt;0,$BB25&gt;=$BA25),$AA25*MAX(0,MIN($BB25,EOMONTH(CK$3,0))-MAX($BA25,CK$3)+1)/($BB25-$BA25+1),SUMPRODUCT((YEAR($AC$2:$AX$2)=YEAR(CK$3))*(MONTH($AC$2:$AX$2)=MONTH(CK$3))*$AC25:$AX25))</f>
        <v>0</v>
      </c>
      <c r="CL25" s="164" t="n">
        <f aca="false">IF(AND($BA25&gt;0,$BB25&gt;=$BA25),$AA25*MAX(0,MIN($BB25,EOMONTH(CL$3,0))-MAX($BA25,CL$3)+1)/($BB25-$BA25+1),SUMPRODUCT((YEAR($AC$2:$AX$2)=YEAR(CL$3))*(MONTH($AC$2:$AX$2)=MONTH(CL$3))*$AC25:$AX25))</f>
        <v>0</v>
      </c>
      <c r="CM25" s="164" t="n">
        <f aca="false">IF(AND($BA25&gt;0,$BB25&gt;=$BA25),$AA25*MAX(0,MIN($BB25,EOMONTH(CM$3,0))-MAX($BA25,CM$3)+1)/($BB25-$BA25+1),SUMPRODUCT((YEAR($AC$2:$AX$2)=YEAR(CM$3))*(MONTH($AC$2:$AX$2)=MONTH(CM$3))*$AC25:$AX25))</f>
        <v>0</v>
      </c>
      <c r="CN25" s="164" t="n">
        <f aca="false">IF(AND($BA25&gt;0,$BB25&gt;=$BA25),$AA25*MAX(0,MIN($BB25,EOMONTH(CN$3,0))-MAX($BA25,CN$3)+1)/($BB25-$BA25+1),SUMPRODUCT((YEAR($AC$2:$AX$2)=YEAR(CN$3))*(MONTH($AC$2:$AX$2)=MONTH(CN$3))*$AC25:$AX25))</f>
        <v>0</v>
      </c>
      <c r="CO25" s="164" t="n">
        <f aca="false">IF(AND($BA25&gt;0,$BB25&gt;=$BA25),$AA25*MAX(0,MIN($BB25,EOMONTH(CO$3,0))-MAX($BA25,CO$3)+1)/($BB25-$BA25+1),SUMPRODUCT((YEAR($AC$2:$AX$2)=YEAR(CO$3))*(MONTH($AC$2:$AX$2)=MONTH(CO$3))*$AC25:$AX25))</f>
        <v>0</v>
      </c>
      <c r="CP25" s="164" t="n">
        <f aca="false">IF(AND($BA25&gt;0,$BB25&gt;=$BA25),$AA25*MAX(0,MIN($BB25,EOMONTH(CP$3,0))-MAX($BA25,CP$3)+1)/($BB25-$BA25+1),SUMPRODUCT((YEAR($AC$2:$AX$2)=YEAR(CP$3))*(MONTH($AC$2:$AX$2)=MONTH(CP$3))*$AC25:$AX25))</f>
        <v>0</v>
      </c>
      <c r="CQ25" s="164" t="n">
        <f aca="false">IF(AND($BA25&gt;0,$BB25&gt;=$BA25),$AA25*MAX(0,MIN($BB25,EOMONTH(CQ$3,0))-MAX($BA25,CQ$3)+1)/($BB25-$BA25+1),SUMPRODUCT((YEAR($AC$2:$AX$2)=YEAR(CQ$3))*(MONTH($AC$2:$AX$2)=MONTH(CQ$3))*$AC25:$AX25))</f>
        <v>0</v>
      </c>
      <c r="CR25" s="164" t="n">
        <f aca="false">IF(AND($BA25&gt;0,$BB25&gt;=$BA25),$AA25*MAX(0,MIN($BB25,EOMONTH(CR$3,0))-MAX($BA25,CR$3)+1)/($BB25-$BA25+1),SUMPRODUCT((YEAR($AC$2:$AX$2)=YEAR(CR$3))*(MONTH($AC$2:$AX$2)=MONTH(CR$3))*$AC25:$AX25))</f>
        <v>0</v>
      </c>
      <c r="CS25" s="164" t="n">
        <f aca="false">IF(AND($BA25&gt;0,$BB25&gt;=$BA25),$AA25*MAX(0,MIN($BB25,EOMONTH(CS$3,0))-MAX($BA25,CS$3)+1)/($BB25-$BA25+1),SUMPRODUCT((YEAR($AC$2:$AX$2)=YEAR(CS$3))*(MONTH($AC$2:$AX$2)=MONTH(CS$3))*$AC25:$AX25))</f>
        <v>0</v>
      </c>
      <c r="CT25" s="164" t="n">
        <f aca="false">IF(AND($BA25&gt;0,$BB25&gt;=$BA25),$AA25*MAX(0,MIN($BB25,EOMONTH(CT$3,0))-MAX($BA25,CT$3)+1)/($BB25-$BA25+1),SUMPRODUCT((YEAR($AC$2:$AX$2)=YEAR(CT$3))*(MONTH($AC$2:$AX$2)=MONTH(CT$3))*$AC25:$AX25))</f>
        <v>0</v>
      </c>
      <c r="CU25" s="164" t="n">
        <f aca="false">IF(AND($BA25&gt;0,$BB25&gt;=$BA25),$AA25*MAX(0,MIN($BB25,EOMONTH(CU$3,0))-MAX($BA25,CU$3)+1)/($BB25-$BA25+1),SUMPRODUCT((YEAR($AC$2:$AX$2)=YEAR(CU$3))*(MONTH($AC$2:$AX$2)=MONTH(CU$3))*$AC25:$AX25))</f>
        <v>0</v>
      </c>
      <c r="CV25" s="164" t="n">
        <f aca="false">IF(AND($BA25&gt;0,$BB25&gt;=$BA25),$AA25*MAX(0,MIN($BB25,EOMONTH(CV$3,0))-MAX($BA25,CV$3)+1)/($BB25-$BA25+1),SUMPRODUCT((YEAR($AC$2:$AX$2)=YEAR(CV$3))*(MONTH($AC$2:$AX$2)=MONTH(CV$3))*$AC25:$AX25))</f>
        <v>0</v>
      </c>
      <c r="CW25" s="164" t="n">
        <f aca="false">IF(AND($BA25&gt;0,$BB25&gt;=$BA25),$AA25*MAX(0,MIN($BB25,EOMONTH(CW$3,0))-MAX($BA25,CW$3)+1)/($BB25-$BA25+1),SUMPRODUCT((YEAR($AC$2:$AX$2)=YEAR(CW$3))*(MONTH($AC$2:$AX$2)=MONTH(CW$3))*$AC25:$AX25))</f>
        <v>0</v>
      </c>
      <c r="CX25" s="164" t="n">
        <f aca="false">IF(AND($BA25&gt;0,$BB25&gt;=$BA25),$AA25*MAX(0,MIN($BB25,EOMONTH(CX$3,0))-MAX($BA25,CX$3)+1)/($BB25-$BA25+1),SUMPRODUCT((YEAR($AC$2:$AX$2)=YEAR(CX$3))*(MONTH($AC$2:$AX$2)=MONTH(CX$3))*$AC25:$AX25))</f>
        <v>0</v>
      </c>
      <c r="CY25" s="164" t="n">
        <f aca="false">IF(AND($BA25&gt;0,$BB25&gt;=$BA25),$AA25*MAX(0,MIN($BB25,EOMONTH(CY$3,0))-MAX($BA25,CY$3)+1)/($BB25-$BA25+1),SUMPRODUCT((YEAR($AC$2:$AX$2)=YEAR(CY$3))*(MONTH($AC$2:$AX$2)=MONTH(CY$3))*$AC25:$AX25))</f>
        <v>0</v>
      </c>
      <c r="CZ25" s="164" t="n">
        <f aca="false">IF(AND($BA25&gt;0,$BB25&gt;=$BA25),$AA25*MAX(0,MIN($BB25,EOMONTH(CZ$3,0))-MAX($BA25,CZ$3)+1)/($BB25-$BA25+1),SUMPRODUCT((YEAR($AC$2:$AX$2)=YEAR(CZ$3))*(MONTH($AC$2:$AX$2)=MONTH(CZ$3))*$AC25:$AX25))</f>
        <v>0</v>
      </c>
      <c r="DA25" s="164" t="n">
        <f aca="false">IF(AND($BA25&gt;0,$BB25&gt;=$BA25),$AA25*MAX(0,MIN($BB25,EOMONTH(DA$3,0))-MAX($BA25,DA$3)+1)/($BB25-$BA25+1),SUMPRODUCT((YEAR($AC$2:$AX$2)=YEAR(DA$3))*(MONTH($AC$2:$AX$2)=MONTH(DA$3))*$AC25:$AX25))</f>
        <v>0</v>
      </c>
      <c r="DB25" s="164" t="n">
        <f aca="false">IF(AND($BA25&gt;0,$BB25&gt;=$BA25),$AA25*MAX(0,MIN($BB25,EOMONTH(DB$3,0))-MAX($BA25,DB$3)+1)/($BB25-$BA25+1),SUMPRODUCT((YEAR($AC$2:$AX$2)=YEAR(DB$3))*(MONTH($AC$2:$AX$2)=MONTH(DB$3))*$AC25:$AX25))</f>
        <v>0</v>
      </c>
      <c r="DC25" s="164" t="n">
        <f aca="false">IF(AND($BA25&gt;0,$BB25&gt;=$BA25),$AA25*MAX(0,MIN($BB25,EOMONTH(DC$3,0))-MAX($BA25,DC$3)+1)/($BB25-$BA25+1),SUMPRODUCT((YEAR($AC$2:$AX$2)=YEAR(DC$3))*(MONTH($AC$2:$AX$2)=MONTH(DC$3))*$AC25:$AX25))</f>
        <v>0</v>
      </c>
      <c r="DD25" s="164" t="n">
        <f aca="false">IF(AND($BA25&gt;0,$BB25&gt;=$BA25),$AA25*MAX(0,MIN($BB25,EOMONTH(DD$3,0))-MAX($BA25,DD$3)+1)/($BB25-$BA25+1),SUMPRODUCT((YEAR($AC$2:$AX$2)=YEAR(DD$3))*(MONTH($AC$2:$AX$2)=MONTH(DD$3))*$AC25:$AX25))</f>
        <v>0</v>
      </c>
      <c r="DE25" s="164" t="n">
        <f aca="false">IF(AND($BA25&gt;0,$BB25&gt;=$BA25),$AA25*MAX(0,MIN($BB25,EOMONTH(DE$3,0))-MAX($BA25,DE$3)+1)/($BB25-$BA25+1),SUMPRODUCT((YEAR($AC$2:$AX$2)=YEAR(DE$3))*(MONTH($AC$2:$AX$2)=MONTH(DE$3))*$AC25:$AX25))</f>
        <v>0</v>
      </c>
      <c r="DF25" s="164" t="n">
        <f aca="false">IF(AND($BA25&gt;0,$BB25&gt;=$BA25),$AA25*MAX(0,MIN($BB25,EOMONTH(DF$3,0))-MAX($BA25,DF$3)+1)/($BB25-$BA25+1),SUMPRODUCT((YEAR($AC$2:$AX$2)=YEAR(DF$3))*(MONTH($AC$2:$AX$2)=MONTH(DF$3))*$AC25:$AX25))</f>
        <v>0</v>
      </c>
      <c r="DG25" s="164" t="n">
        <f aca="false">IF(AND($BA25&gt;0,$BB25&gt;=$BA25),$AA25*MAX(0,MIN($BB25,EOMONTH(DG$3,0))-MAX($BA25,DG$3)+1)/($BB25-$BA25+1),SUMPRODUCT((YEAR($AC$2:$AX$2)=YEAR(DG$3))*(MONTH($AC$2:$AX$2)=MONTH(DG$3))*$AC25:$AX25))</f>
        <v>0</v>
      </c>
      <c r="DH25" s="164" t="n">
        <f aca="false">IF(AND($BA25&gt;0,$BB25&gt;=$BA25),$AA25*MAX(0,MIN($BB25,EOMONTH(DH$3,0))-MAX($BA25,DH$3)+1)/($BB25-$BA25+1),SUMPRODUCT((YEAR($AC$2:$AX$2)=YEAR(DH$3))*(MONTH($AC$2:$AX$2)=MONTH(DH$3))*$AC25:$AX25))</f>
        <v>0</v>
      </c>
      <c r="DI25" s="164" t="n">
        <f aca="false">IF(AND($BA25&gt;0,$BB25&gt;=$BA25),$AA25*MAX(0,MIN($BB25,EOMONTH(DI$3,0))-MAX($BA25,DI$3)+1)/($BB25-$BA25+1),SUMPRODUCT((YEAR($AC$2:$AX$2)=YEAR(DI$3))*(MONTH($AC$2:$AX$2)=MONTH(DI$3))*$AC25:$AX25))</f>
        <v>0</v>
      </c>
      <c r="DJ25" s="164" t="n">
        <f aca="false">IF(AND($BA25&gt;0,$BB25&gt;=$BA25),$AA25*MAX(0,MIN($BB25,EOMONTH(DJ$3,0))-MAX($BA25,DJ$3)+1)/($BB25-$BA25+1),SUMPRODUCT((YEAR($AC$2:$AX$2)=YEAR(DJ$3))*(MONTH($AC$2:$AX$2)=MONTH(DJ$3))*$AC25:$AX25))</f>
        <v>0</v>
      </c>
      <c r="DK25" s="164" t="n">
        <f aca="false">IF(AND($BA25&gt;0,$BB25&gt;=$BA25),$AA25*MAX(0,MIN($BB25,EOMONTH(DK$3,0))-MAX($BA25,DK$3)+1)/($BB25-$BA25+1),SUMPRODUCT((YEAR($AC$2:$AX$2)=YEAR(DK$3))*(MONTH($AC$2:$AX$2)=MONTH(DK$3))*$AC25:$AX25))</f>
        <v>0</v>
      </c>
      <c r="DL25" s="164" t="n">
        <f aca="false">IF(AND($BA25&gt;0,$BB25&gt;=$BA25),$AA25*MAX(0,MIN($BB25,EOMONTH(DL$3,0))-MAX($BA25,DL$3)+1)/($BB25-$BA25+1),SUMPRODUCT((YEAR($AC$2:$AX$2)=YEAR(DL$3))*(MONTH($AC$2:$AX$2)=MONTH(DL$3))*$AC25:$AX25))</f>
        <v>0</v>
      </c>
      <c r="DM25" s="164" t="n">
        <f aca="false">IF(AND($BA25&gt;0,$BB25&gt;=$BA25),$AA25*MAX(0,MIN($BB25,EOMONTH(DM$3,0))-MAX($BA25,DM$3)+1)/($BB25-$BA25+1),SUMPRODUCT((YEAR($AC$2:$AX$2)=YEAR(DM$3))*(MONTH($AC$2:$AX$2)=MONTH(DM$3))*$AC25:$AX25))</f>
        <v>0</v>
      </c>
      <c r="DN25" s="164" t="n">
        <f aca="false">IF(AND($BA25&gt;0,$BB25&gt;=$BA25),$AA25*MAX(0,MIN($BB25,EOMONTH(DN$3,0))-MAX($BA25,DN$3)+1)/($BB25-$BA25+1),SUMPRODUCT((YEAR($AC$2:$AX$2)=YEAR(DN$3))*(MONTH($AC$2:$AX$2)=MONTH(DN$3))*$AC25:$AX25))</f>
        <v>0</v>
      </c>
      <c r="DO25" s="164" t="n">
        <f aca="false">IF(AND($BA25&gt;0,$BB25&gt;=$BA25),$AA25*MAX(0,MIN($BB25,EOMONTH(DO$3,0))-MAX($BA25,DO$3)+1)/($BB25-$BA25+1),SUMPRODUCT((YEAR($AC$2:$AX$2)=YEAR(DO$3))*(MONTH($AC$2:$AX$2)=MONTH(DO$3))*$AC25:$AX25))</f>
        <v>0</v>
      </c>
      <c r="DP25" s="164" t="n">
        <f aca="false">IF(AND($BA25&gt;0,$BB25&gt;=$BA25),$AA25*MAX(0,MIN($BB25,EOMONTH(DP$3,0))-MAX($BA25,DP$3)+1)/($BB25-$BA25+1),SUMPRODUCT((YEAR($AC$2:$AX$2)=YEAR(DP$3))*(MONTH($AC$2:$AX$2)=MONTH(DP$3))*$AC25:$AX25))</f>
        <v>0</v>
      </c>
      <c r="DQ25" s="164" t="n">
        <f aca="false">IF(AND($BA25&gt;0,$BB25&gt;=$BA25),$AA25*MAX(0,MIN($BB25,EOMONTH(DQ$3,0))-MAX($BA25,DQ$3)+1)/($BB25-$BA25+1),SUMPRODUCT((YEAR($AC$2:$AX$2)=YEAR(DQ$3))*(MONTH($AC$2:$AX$2)=MONTH(DQ$3))*$AC25:$AX25))</f>
        <v>0</v>
      </c>
      <c r="DR25" s="164" t="n">
        <f aca="false">IF(AND($BA25&gt;0,$BB25&gt;=$BA25),$AA25*MAX(0,MIN($BB25,EOMONTH(DR$3,0))-MAX($BA25,DR$3)+1)/($BB25-$BA25+1),SUMPRODUCT((YEAR($AC$2:$AX$2)=YEAR(DR$3))*(MONTH($AC$2:$AX$2)=MONTH(DR$3))*$AC25:$AX25))</f>
        <v>0</v>
      </c>
      <c r="DS25" s="164" t="n">
        <f aca="false">IF(AND($BA25&gt;0,$BB25&gt;=$BA25),$AA25*MAX(0,MIN($BB25,EOMONTH(DS$3,0))-MAX($BA25,DS$3)+1)/($BB25-$BA25+1),SUMPRODUCT((YEAR($AC$2:$AX$2)=YEAR(DS$3))*(MONTH($AC$2:$AX$2)=MONTH(DS$3))*$AC25:$AX25))</f>
        <v>0</v>
      </c>
      <c r="DT25" s="164" t="n">
        <f aca="false">IF(AND($BA25&gt;0,$BB25&gt;=$BA25),$AA25*MAX(0,MIN($BB25,EOMONTH(DT$3,0))-MAX($BA25,DT$3)+1)/($BB25-$BA25+1),SUMPRODUCT((YEAR($AC$2:$AX$2)=YEAR(DT$3))*(MONTH($AC$2:$AX$2)=MONTH(DT$3))*$AC25:$AX25))</f>
        <v>0</v>
      </c>
      <c r="DU25" s="164" t="n">
        <f aca="false">IF(AND($BA25&gt;0,$BB25&gt;=$BA25),$AA25*MAX(0,MIN($BB25,EOMONTH(DU$3,0))-MAX($BA25,DU$3)+1)/($BB25-$BA25+1),SUMPRODUCT((YEAR($AC$2:$AX$2)=YEAR(DU$3))*(MONTH($AC$2:$AX$2)=MONTH(DU$3))*$AC25:$AX25))</f>
        <v>0</v>
      </c>
      <c r="DV25" s="164" t="n">
        <f aca="false">IF(AND($BA25&gt;0,$BB25&gt;=$BA25),$AA25*MAX(0,MIN($BB25,EOMONTH(DV$3,0))-MAX($BA25,DV$3)+1)/($BB25-$BA25+1),SUMPRODUCT((YEAR($AC$2:$AX$2)=YEAR(DV$3))*(MONTH($AC$2:$AX$2)=MONTH(DV$3))*$AC25:$AX25))</f>
        <v>0</v>
      </c>
      <c r="DW25" s="164" t="n">
        <f aca="false">IF(AND($BA25&gt;0,$BB25&gt;=$BA25),$AA25*MAX(0,MIN($BB25,EOMONTH(DW$3,0))-MAX($BA25,DW$3)+1)/($BB25-$BA25+1),SUMPRODUCT((YEAR($AC$2:$AX$2)=YEAR(DW$3))*(MONTH($AC$2:$AX$2)=MONTH(DW$3))*$AC25:$AX25))</f>
        <v>0</v>
      </c>
    </row>
    <row r="26" customFormat="false" ht="15" hidden="false" customHeight="false" outlineLevel="0" collapsed="false">
      <c r="H26" s="150" t="s">
        <v>2984</v>
      </c>
      <c r="J26" s="152" t="n">
        <v>700.6245</v>
      </c>
      <c r="K26" s="152" t="n">
        <v>242.8</v>
      </c>
      <c r="L26" s="152" t="n">
        <v>1353.789475</v>
      </c>
      <c r="O26" s="152" t="n">
        <v>21320.25</v>
      </c>
      <c r="P26" s="152" t="n">
        <v>700.6245</v>
      </c>
      <c r="S26" s="149" t="n">
        <f aca="false">K26*($D$59+$D$57)</f>
        <v>176838.47544</v>
      </c>
      <c r="T26" s="149" t="n">
        <f aca="false">L26*$D$47</f>
        <v>180460.1370175</v>
      </c>
      <c r="V26" s="149" t="n">
        <f aca="false">O26*($D$54)</f>
        <v>123935.6792625</v>
      </c>
      <c r="W26" s="149" t="n">
        <f aca="false">O26*($D$49)</f>
        <v>59590.09875</v>
      </c>
      <c r="Y26" s="149" t="n">
        <f aca="false">SUM(P26:Q26)*($D$50+$D$52)</f>
        <v>9521.592048675</v>
      </c>
      <c r="AA26" s="149" t="n">
        <f aca="false">SUM(S26:Y26)</f>
        <v>550345.982518675</v>
      </c>
      <c r="AM26" s="149" t="n">
        <f aca="false">AA26</f>
        <v>550345.982518675</v>
      </c>
      <c r="AZ26" s="162" t="s">
        <v>2811</v>
      </c>
      <c r="BA26" s="163" t="n">
        <f aca="false">IF(AZ26="",0,SUMPRODUCT(('CRONOGRAMA ATIVIDADES'!$C$5:$C$6004="ESTRUTURA")*('CRONOGRAMA ATIVIDADES'!$E$5:$E$6004=AZ26)*('CRONOGRAMA ATIVIDADES'!$D$5:$D$6004="-")*'CRONOGRAMA ATIVIDADES'!$F$5:$F$6004))</f>
        <v>46486</v>
      </c>
      <c r="BB26" s="163" t="n">
        <f aca="false">IF(AZ26="",0,SUMPRODUCT(('CRONOGRAMA ATIVIDADES'!$C$5:$C$6004="ESTRUTURA")*('CRONOGRAMA ATIVIDADES'!$E$5:$E$6004=AZ26)*('CRONOGRAMA ATIVIDADES'!$D$5:$D$6004="-")*'CRONOGRAMA ATIVIDADES'!$G$5:$G$6004))</f>
        <v>46497</v>
      </c>
      <c r="BD26" s="164" t="n">
        <f aca="false">IF(AND($BA26&gt;0,$BB26&gt;=$BA26),$AA26*MAX(0,MIN($BB26,EOMONTH(BD$3,0))-MAX($BA26,BD$3)+1)/($BB26-$BA26+1),SUMPRODUCT((YEAR($AC$2:$AX$2)=YEAR(BD$3))*(MONTH($AC$2:$AX$2)=MONTH(BD$3))*$AC26:$AX26))</f>
        <v>0</v>
      </c>
      <c r="BE26" s="164" t="n">
        <f aca="false">IF(AND($BA26&gt;0,$BB26&gt;=$BA26),$AA26*MAX(0,MIN($BB26,EOMONTH(BE$3,0))-MAX($BA26,BE$3)+1)/($BB26-$BA26+1),SUMPRODUCT((YEAR($AC$2:$AX$2)=YEAR(BE$3))*(MONTH($AC$2:$AX$2)=MONTH(BE$3))*$AC26:$AX26))</f>
        <v>0</v>
      </c>
      <c r="BF26" s="164" t="n">
        <f aca="false">IF(AND($BA26&gt;0,$BB26&gt;=$BA26),$AA26*MAX(0,MIN($BB26,EOMONTH(BF$3,0))-MAX($BA26,BF$3)+1)/($BB26-$BA26+1),SUMPRODUCT((YEAR($AC$2:$AX$2)=YEAR(BF$3))*(MONTH($AC$2:$AX$2)=MONTH(BF$3))*$AC26:$AX26))</f>
        <v>0</v>
      </c>
      <c r="BG26" s="164" t="n">
        <f aca="false">IF(AND($BA26&gt;0,$BB26&gt;=$BA26),$AA26*MAX(0,MIN($BB26,EOMONTH(BG$3,0))-MAX($BA26,BG$3)+1)/($BB26-$BA26+1),SUMPRODUCT((YEAR($AC$2:$AX$2)=YEAR(BG$3))*(MONTH($AC$2:$AX$2)=MONTH(BG$3))*$AC26:$AX26))</f>
        <v>0</v>
      </c>
      <c r="BH26" s="164" t="n">
        <f aca="false">IF(AND($BA26&gt;0,$BB26&gt;=$BA26),$AA26*MAX(0,MIN($BB26,EOMONTH(BH$3,0))-MAX($BA26,BH$3)+1)/($BB26-$BA26+1),SUMPRODUCT((YEAR($AC$2:$AX$2)=YEAR(BH$3))*(MONTH($AC$2:$AX$2)=MONTH(BH$3))*$AC26:$AX26))</f>
        <v>0</v>
      </c>
      <c r="BI26" s="164" t="n">
        <f aca="false">IF(AND($BA26&gt;0,$BB26&gt;=$BA26),$AA26*MAX(0,MIN($BB26,EOMONTH(BI$3,0))-MAX($BA26,BI$3)+1)/($BB26-$BA26+1),SUMPRODUCT((YEAR($AC$2:$AX$2)=YEAR(BI$3))*(MONTH($AC$2:$AX$2)=MONTH(BI$3))*$AC26:$AX26))</f>
        <v>0</v>
      </c>
      <c r="BJ26" s="164" t="n">
        <f aca="false">IF(AND($BA26&gt;0,$BB26&gt;=$BA26),$AA26*MAX(0,MIN($BB26,EOMONTH(BJ$3,0))-MAX($BA26,BJ$3)+1)/($BB26-$BA26+1),SUMPRODUCT((YEAR($AC$2:$AX$2)=YEAR(BJ$3))*(MONTH($AC$2:$AX$2)=MONTH(BJ$3))*$AC26:$AX26))</f>
        <v>0</v>
      </c>
      <c r="BK26" s="164" t="n">
        <f aca="false">IF(AND($BA26&gt;0,$BB26&gt;=$BA26),$AA26*MAX(0,MIN($BB26,EOMONTH(BK$3,0))-MAX($BA26,BK$3)+1)/($BB26-$BA26+1),SUMPRODUCT((YEAR($AC$2:$AX$2)=YEAR(BK$3))*(MONTH($AC$2:$AX$2)=MONTH(BK$3))*$AC26:$AX26))</f>
        <v>0</v>
      </c>
      <c r="BL26" s="164" t="n">
        <f aca="false">IF(AND($BA26&gt;0,$BB26&gt;=$BA26),$AA26*MAX(0,MIN($BB26,EOMONTH(BL$3,0))-MAX($BA26,BL$3)+1)/($BB26-$BA26+1),SUMPRODUCT((YEAR($AC$2:$AX$2)=YEAR(BL$3))*(MONTH($AC$2:$AX$2)=MONTH(BL$3))*$AC26:$AX26))</f>
        <v>0</v>
      </c>
      <c r="BM26" s="164" t="n">
        <f aca="false">IF(AND($BA26&gt;0,$BB26&gt;=$BA26),$AA26*MAX(0,MIN($BB26,EOMONTH(BM$3,0))-MAX($BA26,BM$3)+1)/($BB26-$BA26+1),SUMPRODUCT((YEAR($AC$2:$AX$2)=YEAR(BM$3))*(MONTH($AC$2:$AX$2)=MONTH(BM$3))*$AC26:$AX26))</f>
        <v>0</v>
      </c>
      <c r="BN26" s="164" t="n">
        <f aca="false">IF(AND($BA26&gt;0,$BB26&gt;=$BA26),$AA26*MAX(0,MIN($BB26,EOMONTH(BN$3,0))-MAX($BA26,BN$3)+1)/($BB26-$BA26+1),SUMPRODUCT((YEAR($AC$2:$AX$2)=YEAR(BN$3))*(MONTH($AC$2:$AX$2)=MONTH(BN$3))*$AC26:$AX26))</f>
        <v>0</v>
      </c>
      <c r="BO26" s="164" t="n">
        <f aca="false">IF(AND($BA26&gt;0,$BB26&gt;=$BA26),$AA26*MAX(0,MIN($BB26,EOMONTH(BO$3,0))-MAX($BA26,BO$3)+1)/($BB26-$BA26+1),SUMPRODUCT((YEAR($AC$2:$AX$2)=YEAR(BO$3))*(MONTH($AC$2:$AX$2)=MONTH(BO$3))*$AC26:$AX26))</f>
        <v>0</v>
      </c>
      <c r="BP26" s="164" t="n">
        <f aca="false">IF(AND($BA26&gt;0,$BB26&gt;=$BA26),$AA26*MAX(0,MIN($BB26,EOMONTH(BP$3,0))-MAX($BA26,BP$3)+1)/($BB26-$BA26+1),SUMPRODUCT((YEAR($AC$2:$AX$2)=YEAR(BP$3))*(MONTH($AC$2:$AX$2)=MONTH(BP$3))*$AC26:$AX26))</f>
        <v>0</v>
      </c>
      <c r="BQ26" s="164" t="n">
        <f aca="false">IF(AND($BA26&gt;0,$BB26&gt;=$BA26),$AA26*MAX(0,MIN($BB26,EOMONTH(BQ$3,0))-MAX($BA26,BQ$3)+1)/($BB26-$BA26+1),SUMPRODUCT((YEAR($AC$2:$AX$2)=YEAR(BQ$3))*(MONTH($AC$2:$AX$2)=MONTH(BQ$3))*$AC26:$AX26))</f>
        <v>0</v>
      </c>
      <c r="BR26" s="164" t="n">
        <f aca="false">IF(AND($BA26&gt;0,$BB26&gt;=$BA26),$AA26*MAX(0,MIN($BB26,EOMONTH(BR$3,0))-MAX($BA26,BR$3)+1)/($BB26-$BA26+1),SUMPRODUCT((YEAR($AC$2:$AX$2)=YEAR(BR$3))*(MONTH($AC$2:$AX$2)=MONTH(BR$3))*$AC26:$AX26))</f>
        <v>0</v>
      </c>
      <c r="BS26" s="164" t="n">
        <f aca="false">IF(AND($BA26&gt;0,$BB26&gt;=$BA26),$AA26*MAX(0,MIN($BB26,EOMONTH(BS$3,0))-MAX($BA26,BS$3)+1)/($BB26-$BA26+1),SUMPRODUCT((YEAR($AC$2:$AX$2)=YEAR(BS$3))*(MONTH($AC$2:$AX$2)=MONTH(BS$3))*$AC26:$AX26))</f>
        <v>0</v>
      </c>
      <c r="BT26" s="164" t="n">
        <f aca="false">IF(AND($BA26&gt;0,$BB26&gt;=$BA26),$AA26*MAX(0,MIN($BB26,EOMONTH(BT$3,0))-MAX($BA26,BT$3)+1)/($BB26-$BA26+1),SUMPRODUCT((YEAR($AC$2:$AX$2)=YEAR(BT$3))*(MONTH($AC$2:$AX$2)=MONTH(BT$3))*$AC26:$AX26))</f>
        <v>0</v>
      </c>
      <c r="BU26" s="164" t="n">
        <f aca="false">IF(AND($BA26&gt;0,$BB26&gt;=$BA26),$AA26*MAX(0,MIN($BB26,EOMONTH(BU$3,0))-MAX($BA26,BU$3)+1)/($BB26-$BA26+1),SUMPRODUCT((YEAR($AC$2:$AX$2)=YEAR(BU$3))*(MONTH($AC$2:$AX$2)=MONTH(BU$3))*$AC26:$AX26))</f>
        <v>0</v>
      </c>
      <c r="BV26" s="164" t="n">
        <f aca="false">IF(AND($BA26&gt;0,$BB26&gt;=$BA26),$AA26*MAX(0,MIN($BB26,EOMONTH(BV$3,0))-MAX($BA26,BV$3)+1)/($BB26-$BA26+1),SUMPRODUCT((YEAR($AC$2:$AX$2)=YEAR(BV$3))*(MONTH($AC$2:$AX$2)=MONTH(BV$3))*$AC26:$AX26))</f>
        <v>0</v>
      </c>
      <c r="BW26" s="164" t="n">
        <f aca="false">IF(AND($BA26&gt;0,$BB26&gt;=$BA26),$AA26*MAX(0,MIN($BB26,EOMONTH(BW$3,0))-MAX($BA26,BW$3)+1)/($BB26-$BA26+1),SUMPRODUCT((YEAR($AC$2:$AX$2)=YEAR(BW$3))*(MONTH($AC$2:$AX$2)=MONTH(BW$3))*$AC26:$AX26))</f>
        <v>0</v>
      </c>
      <c r="BX26" s="164" t="n">
        <f aca="false">IF(AND($BA26&gt;0,$BB26&gt;=$BA26),$AA26*MAX(0,MIN($BB26,EOMONTH(BX$3,0))-MAX($BA26,BX$3)+1)/($BB26-$BA26+1),SUMPRODUCT((YEAR($AC$2:$AX$2)=YEAR(BX$3))*(MONTH($AC$2:$AX$2)=MONTH(BX$3))*$AC26:$AX26))</f>
        <v>0</v>
      </c>
      <c r="BY26" s="164" t="n">
        <f aca="false">IF(AND($BA26&gt;0,$BB26&gt;=$BA26),$AA26*MAX(0,MIN($BB26,EOMONTH(BY$3,0))-MAX($BA26,BY$3)+1)/($BB26-$BA26+1),SUMPRODUCT((YEAR($AC$2:$AX$2)=YEAR(BY$3))*(MONTH($AC$2:$AX$2)=MONTH(BY$3))*$AC26:$AX26))</f>
        <v>0</v>
      </c>
      <c r="BZ26" s="164" t="n">
        <f aca="false">IF(AND($BA26&gt;0,$BB26&gt;=$BA26),$AA26*MAX(0,MIN($BB26,EOMONTH(BZ$3,0))-MAX($BA26,BZ$3)+1)/($BB26-$BA26+1),SUMPRODUCT((YEAR($AC$2:$AX$2)=YEAR(BZ$3))*(MONTH($AC$2:$AX$2)=MONTH(BZ$3))*$AC26:$AX26))</f>
        <v>0</v>
      </c>
      <c r="CA26" s="164" t="n">
        <f aca="false">IF(AND($BA26&gt;0,$BB26&gt;=$BA26),$AA26*MAX(0,MIN($BB26,EOMONTH(CA$3,0))-MAX($BA26,CA$3)+1)/($BB26-$BA26+1),SUMPRODUCT((YEAR($AC$2:$AX$2)=YEAR(CA$3))*(MONTH($AC$2:$AX$2)=MONTH(CA$3))*$AC26:$AX26))</f>
        <v>0</v>
      </c>
      <c r="CB26" s="164" t="n">
        <f aca="false">IF(AND($BA26&gt;0,$BB26&gt;=$BA26),$AA26*MAX(0,MIN($BB26,EOMONTH(CB$3,0))-MAX($BA26,CB$3)+1)/($BB26-$BA26+1),SUMPRODUCT((YEAR($AC$2:$AX$2)=YEAR(CB$3))*(MONTH($AC$2:$AX$2)=MONTH(CB$3))*$AC26:$AX26))</f>
        <v>0</v>
      </c>
      <c r="CC26" s="164" t="n">
        <f aca="false">IF(AND($BA26&gt;0,$BB26&gt;=$BA26),$AA26*MAX(0,MIN($BB26,EOMONTH(CC$3,0))-MAX($BA26,CC$3)+1)/($BB26-$BA26+1),SUMPRODUCT((YEAR($AC$2:$AX$2)=YEAR(CC$3))*(MONTH($AC$2:$AX$2)=MONTH(CC$3))*$AC26:$AX26))</f>
        <v>0</v>
      </c>
      <c r="CD26" s="164" t="n">
        <f aca="false">IF(AND($BA26&gt;0,$BB26&gt;=$BA26),$AA26*MAX(0,MIN($BB26,EOMONTH(CD$3,0))-MAX($BA26,CD$3)+1)/($BB26-$BA26+1),SUMPRODUCT((YEAR($AC$2:$AX$2)=YEAR(CD$3))*(MONTH($AC$2:$AX$2)=MONTH(CD$3))*$AC26:$AX26))</f>
        <v>0</v>
      </c>
      <c r="CE26" s="164" t="n">
        <f aca="false">IF(AND($BA26&gt;0,$BB26&gt;=$BA26),$AA26*MAX(0,MIN($BB26,EOMONTH(CE$3,0))-MAX($BA26,CE$3)+1)/($BB26-$BA26+1),SUMPRODUCT((YEAR($AC$2:$AX$2)=YEAR(CE$3))*(MONTH($AC$2:$AX$2)=MONTH(CE$3))*$AC26:$AX26))</f>
        <v>0</v>
      </c>
      <c r="CF26" s="164" t="n">
        <f aca="false">IF(AND($BA26&gt;0,$BB26&gt;=$BA26),$AA26*MAX(0,MIN($BB26,EOMONTH(CF$3,0))-MAX($BA26,CF$3)+1)/($BB26-$BA26+1),SUMPRODUCT((YEAR($AC$2:$AX$2)=YEAR(CF$3))*(MONTH($AC$2:$AX$2)=MONTH(CF$3))*$AC26:$AX26))</f>
        <v>550345.982518675</v>
      </c>
      <c r="CG26" s="164" t="n">
        <f aca="false">IF(AND($BA26&gt;0,$BB26&gt;=$BA26),$AA26*MAX(0,MIN($BB26,EOMONTH(CG$3,0))-MAX($BA26,CG$3)+1)/($BB26-$BA26+1),SUMPRODUCT((YEAR($AC$2:$AX$2)=YEAR(CG$3))*(MONTH($AC$2:$AX$2)=MONTH(CG$3))*$AC26:$AX26))</f>
        <v>0</v>
      </c>
      <c r="CH26" s="164" t="n">
        <f aca="false">IF(AND($BA26&gt;0,$BB26&gt;=$BA26),$AA26*MAX(0,MIN($BB26,EOMONTH(CH$3,0))-MAX($BA26,CH$3)+1)/($BB26-$BA26+1),SUMPRODUCT((YEAR($AC$2:$AX$2)=YEAR(CH$3))*(MONTH($AC$2:$AX$2)=MONTH(CH$3))*$AC26:$AX26))</f>
        <v>0</v>
      </c>
      <c r="CI26" s="164" t="n">
        <f aca="false">IF(AND($BA26&gt;0,$BB26&gt;=$BA26),$AA26*MAX(0,MIN($BB26,EOMONTH(CI$3,0))-MAX($BA26,CI$3)+1)/($BB26-$BA26+1),SUMPRODUCT((YEAR($AC$2:$AX$2)=YEAR(CI$3))*(MONTH($AC$2:$AX$2)=MONTH(CI$3))*$AC26:$AX26))</f>
        <v>0</v>
      </c>
      <c r="CJ26" s="164" t="n">
        <f aca="false">IF(AND($BA26&gt;0,$BB26&gt;=$BA26),$AA26*MAX(0,MIN($BB26,EOMONTH(CJ$3,0))-MAX($BA26,CJ$3)+1)/($BB26-$BA26+1),SUMPRODUCT((YEAR($AC$2:$AX$2)=YEAR(CJ$3))*(MONTH($AC$2:$AX$2)=MONTH(CJ$3))*$AC26:$AX26))</f>
        <v>0</v>
      </c>
      <c r="CK26" s="164" t="n">
        <f aca="false">IF(AND($BA26&gt;0,$BB26&gt;=$BA26),$AA26*MAX(0,MIN($BB26,EOMONTH(CK$3,0))-MAX($BA26,CK$3)+1)/($BB26-$BA26+1),SUMPRODUCT((YEAR($AC$2:$AX$2)=YEAR(CK$3))*(MONTH($AC$2:$AX$2)=MONTH(CK$3))*$AC26:$AX26))</f>
        <v>0</v>
      </c>
      <c r="CL26" s="164" t="n">
        <f aca="false">IF(AND($BA26&gt;0,$BB26&gt;=$BA26),$AA26*MAX(0,MIN($BB26,EOMONTH(CL$3,0))-MAX($BA26,CL$3)+1)/($BB26-$BA26+1),SUMPRODUCT((YEAR($AC$2:$AX$2)=YEAR(CL$3))*(MONTH($AC$2:$AX$2)=MONTH(CL$3))*$AC26:$AX26))</f>
        <v>0</v>
      </c>
      <c r="CM26" s="164" t="n">
        <f aca="false">IF(AND($BA26&gt;0,$BB26&gt;=$BA26),$AA26*MAX(0,MIN($BB26,EOMONTH(CM$3,0))-MAX($BA26,CM$3)+1)/($BB26-$BA26+1),SUMPRODUCT((YEAR($AC$2:$AX$2)=YEAR(CM$3))*(MONTH($AC$2:$AX$2)=MONTH(CM$3))*$AC26:$AX26))</f>
        <v>0</v>
      </c>
      <c r="CN26" s="164" t="n">
        <f aca="false">IF(AND($BA26&gt;0,$BB26&gt;=$BA26),$AA26*MAX(0,MIN($BB26,EOMONTH(CN$3,0))-MAX($BA26,CN$3)+1)/($BB26-$BA26+1),SUMPRODUCT((YEAR($AC$2:$AX$2)=YEAR(CN$3))*(MONTH($AC$2:$AX$2)=MONTH(CN$3))*$AC26:$AX26))</f>
        <v>0</v>
      </c>
      <c r="CO26" s="164" t="n">
        <f aca="false">IF(AND($BA26&gt;0,$BB26&gt;=$BA26),$AA26*MAX(0,MIN($BB26,EOMONTH(CO$3,0))-MAX($BA26,CO$3)+1)/($BB26-$BA26+1),SUMPRODUCT((YEAR($AC$2:$AX$2)=YEAR(CO$3))*(MONTH($AC$2:$AX$2)=MONTH(CO$3))*$AC26:$AX26))</f>
        <v>0</v>
      </c>
      <c r="CP26" s="164" t="n">
        <f aca="false">IF(AND($BA26&gt;0,$BB26&gt;=$BA26),$AA26*MAX(0,MIN($BB26,EOMONTH(CP$3,0))-MAX($BA26,CP$3)+1)/($BB26-$BA26+1),SUMPRODUCT((YEAR($AC$2:$AX$2)=YEAR(CP$3))*(MONTH($AC$2:$AX$2)=MONTH(CP$3))*$AC26:$AX26))</f>
        <v>0</v>
      </c>
      <c r="CQ26" s="164" t="n">
        <f aca="false">IF(AND($BA26&gt;0,$BB26&gt;=$BA26),$AA26*MAX(0,MIN($BB26,EOMONTH(CQ$3,0))-MAX($BA26,CQ$3)+1)/($BB26-$BA26+1),SUMPRODUCT((YEAR($AC$2:$AX$2)=YEAR(CQ$3))*(MONTH($AC$2:$AX$2)=MONTH(CQ$3))*$AC26:$AX26))</f>
        <v>0</v>
      </c>
      <c r="CR26" s="164" t="n">
        <f aca="false">IF(AND($BA26&gt;0,$BB26&gt;=$BA26),$AA26*MAX(0,MIN($BB26,EOMONTH(CR$3,0))-MAX($BA26,CR$3)+1)/($BB26-$BA26+1),SUMPRODUCT((YEAR($AC$2:$AX$2)=YEAR(CR$3))*(MONTH($AC$2:$AX$2)=MONTH(CR$3))*$AC26:$AX26))</f>
        <v>0</v>
      </c>
      <c r="CS26" s="164" t="n">
        <f aca="false">IF(AND($BA26&gt;0,$BB26&gt;=$BA26),$AA26*MAX(0,MIN($BB26,EOMONTH(CS$3,0))-MAX($BA26,CS$3)+1)/($BB26-$BA26+1),SUMPRODUCT((YEAR($AC$2:$AX$2)=YEAR(CS$3))*(MONTH($AC$2:$AX$2)=MONTH(CS$3))*$AC26:$AX26))</f>
        <v>0</v>
      </c>
      <c r="CT26" s="164" t="n">
        <f aca="false">IF(AND($BA26&gt;0,$BB26&gt;=$BA26),$AA26*MAX(0,MIN($BB26,EOMONTH(CT$3,0))-MAX($BA26,CT$3)+1)/($BB26-$BA26+1),SUMPRODUCT((YEAR($AC$2:$AX$2)=YEAR(CT$3))*(MONTH($AC$2:$AX$2)=MONTH(CT$3))*$AC26:$AX26))</f>
        <v>0</v>
      </c>
      <c r="CU26" s="164" t="n">
        <f aca="false">IF(AND($BA26&gt;0,$BB26&gt;=$BA26),$AA26*MAX(0,MIN($BB26,EOMONTH(CU$3,0))-MAX($BA26,CU$3)+1)/($BB26-$BA26+1),SUMPRODUCT((YEAR($AC$2:$AX$2)=YEAR(CU$3))*(MONTH($AC$2:$AX$2)=MONTH(CU$3))*$AC26:$AX26))</f>
        <v>0</v>
      </c>
      <c r="CV26" s="164" t="n">
        <f aca="false">IF(AND($BA26&gt;0,$BB26&gt;=$BA26),$AA26*MAX(0,MIN($BB26,EOMONTH(CV$3,0))-MAX($BA26,CV$3)+1)/($BB26-$BA26+1),SUMPRODUCT((YEAR($AC$2:$AX$2)=YEAR(CV$3))*(MONTH($AC$2:$AX$2)=MONTH(CV$3))*$AC26:$AX26))</f>
        <v>0</v>
      </c>
      <c r="CW26" s="164" t="n">
        <f aca="false">IF(AND($BA26&gt;0,$BB26&gt;=$BA26),$AA26*MAX(0,MIN($BB26,EOMONTH(CW$3,0))-MAX($BA26,CW$3)+1)/($BB26-$BA26+1),SUMPRODUCT((YEAR($AC$2:$AX$2)=YEAR(CW$3))*(MONTH($AC$2:$AX$2)=MONTH(CW$3))*$AC26:$AX26))</f>
        <v>0</v>
      </c>
      <c r="CX26" s="164" t="n">
        <f aca="false">IF(AND($BA26&gt;0,$BB26&gt;=$BA26),$AA26*MAX(0,MIN($BB26,EOMONTH(CX$3,0))-MAX($BA26,CX$3)+1)/($BB26-$BA26+1),SUMPRODUCT((YEAR($AC$2:$AX$2)=YEAR(CX$3))*(MONTH($AC$2:$AX$2)=MONTH(CX$3))*$AC26:$AX26))</f>
        <v>0</v>
      </c>
      <c r="CY26" s="164" t="n">
        <f aca="false">IF(AND($BA26&gt;0,$BB26&gt;=$BA26),$AA26*MAX(0,MIN($BB26,EOMONTH(CY$3,0))-MAX($BA26,CY$3)+1)/($BB26-$BA26+1),SUMPRODUCT((YEAR($AC$2:$AX$2)=YEAR(CY$3))*(MONTH($AC$2:$AX$2)=MONTH(CY$3))*$AC26:$AX26))</f>
        <v>0</v>
      </c>
      <c r="CZ26" s="164" t="n">
        <f aca="false">IF(AND($BA26&gt;0,$BB26&gt;=$BA26),$AA26*MAX(0,MIN($BB26,EOMONTH(CZ$3,0))-MAX($BA26,CZ$3)+1)/($BB26-$BA26+1),SUMPRODUCT((YEAR($AC$2:$AX$2)=YEAR(CZ$3))*(MONTH($AC$2:$AX$2)=MONTH(CZ$3))*$AC26:$AX26))</f>
        <v>0</v>
      </c>
      <c r="DA26" s="164" t="n">
        <f aca="false">IF(AND($BA26&gt;0,$BB26&gt;=$BA26),$AA26*MAX(0,MIN($BB26,EOMONTH(DA$3,0))-MAX($BA26,DA$3)+1)/($BB26-$BA26+1),SUMPRODUCT((YEAR($AC$2:$AX$2)=YEAR(DA$3))*(MONTH($AC$2:$AX$2)=MONTH(DA$3))*$AC26:$AX26))</f>
        <v>0</v>
      </c>
      <c r="DB26" s="164" t="n">
        <f aca="false">IF(AND($BA26&gt;0,$BB26&gt;=$BA26),$AA26*MAX(0,MIN($BB26,EOMONTH(DB$3,0))-MAX($BA26,DB$3)+1)/($BB26-$BA26+1),SUMPRODUCT((YEAR($AC$2:$AX$2)=YEAR(DB$3))*(MONTH($AC$2:$AX$2)=MONTH(DB$3))*$AC26:$AX26))</f>
        <v>0</v>
      </c>
      <c r="DC26" s="164" t="n">
        <f aca="false">IF(AND($BA26&gt;0,$BB26&gt;=$BA26),$AA26*MAX(0,MIN($BB26,EOMONTH(DC$3,0))-MAX($BA26,DC$3)+1)/($BB26-$BA26+1),SUMPRODUCT((YEAR($AC$2:$AX$2)=YEAR(DC$3))*(MONTH($AC$2:$AX$2)=MONTH(DC$3))*$AC26:$AX26))</f>
        <v>0</v>
      </c>
      <c r="DD26" s="164" t="n">
        <f aca="false">IF(AND($BA26&gt;0,$BB26&gt;=$BA26),$AA26*MAX(0,MIN($BB26,EOMONTH(DD$3,0))-MAX($BA26,DD$3)+1)/($BB26-$BA26+1),SUMPRODUCT((YEAR($AC$2:$AX$2)=YEAR(DD$3))*(MONTH($AC$2:$AX$2)=MONTH(DD$3))*$AC26:$AX26))</f>
        <v>0</v>
      </c>
      <c r="DE26" s="164" t="n">
        <f aca="false">IF(AND($BA26&gt;0,$BB26&gt;=$BA26),$AA26*MAX(0,MIN($BB26,EOMONTH(DE$3,0))-MAX($BA26,DE$3)+1)/($BB26-$BA26+1),SUMPRODUCT((YEAR($AC$2:$AX$2)=YEAR(DE$3))*(MONTH($AC$2:$AX$2)=MONTH(DE$3))*$AC26:$AX26))</f>
        <v>0</v>
      </c>
      <c r="DF26" s="164" t="n">
        <f aca="false">IF(AND($BA26&gt;0,$BB26&gt;=$BA26),$AA26*MAX(0,MIN($BB26,EOMONTH(DF$3,0))-MAX($BA26,DF$3)+1)/($BB26-$BA26+1),SUMPRODUCT((YEAR($AC$2:$AX$2)=YEAR(DF$3))*(MONTH($AC$2:$AX$2)=MONTH(DF$3))*$AC26:$AX26))</f>
        <v>0</v>
      </c>
      <c r="DG26" s="164" t="n">
        <f aca="false">IF(AND($BA26&gt;0,$BB26&gt;=$BA26),$AA26*MAX(0,MIN($BB26,EOMONTH(DG$3,0))-MAX($BA26,DG$3)+1)/($BB26-$BA26+1),SUMPRODUCT((YEAR($AC$2:$AX$2)=YEAR(DG$3))*(MONTH($AC$2:$AX$2)=MONTH(DG$3))*$AC26:$AX26))</f>
        <v>0</v>
      </c>
      <c r="DH26" s="164" t="n">
        <f aca="false">IF(AND($BA26&gt;0,$BB26&gt;=$BA26),$AA26*MAX(0,MIN($BB26,EOMONTH(DH$3,0))-MAX($BA26,DH$3)+1)/($BB26-$BA26+1),SUMPRODUCT((YEAR($AC$2:$AX$2)=YEAR(DH$3))*(MONTH($AC$2:$AX$2)=MONTH(DH$3))*$AC26:$AX26))</f>
        <v>0</v>
      </c>
      <c r="DI26" s="164" t="n">
        <f aca="false">IF(AND($BA26&gt;0,$BB26&gt;=$BA26),$AA26*MAX(0,MIN($BB26,EOMONTH(DI$3,0))-MAX($BA26,DI$3)+1)/($BB26-$BA26+1),SUMPRODUCT((YEAR($AC$2:$AX$2)=YEAR(DI$3))*(MONTH($AC$2:$AX$2)=MONTH(DI$3))*$AC26:$AX26))</f>
        <v>0</v>
      </c>
      <c r="DJ26" s="164" t="n">
        <f aca="false">IF(AND($BA26&gt;0,$BB26&gt;=$BA26),$AA26*MAX(0,MIN($BB26,EOMONTH(DJ$3,0))-MAX($BA26,DJ$3)+1)/($BB26-$BA26+1),SUMPRODUCT((YEAR($AC$2:$AX$2)=YEAR(DJ$3))*(MONTH($AC$2:$AX$2)=MONTH(DJ$3))*$AC26:$AX26))</f>
        <v>0</v>
      </c>
      <c r="DK26" s="164" t="n">
        <f aca="false">IF(AND($BA26&gt;0,$BB26&gt;=$BA26),$AA26*MAX(0,MIN($BB26,EOMONTH(DK$3,0))-MAX($BA26,DK$3)+1)/($BB26-$BA26+1),SUMPRODUCT((YEAR($AC$2:$AX$2)=YEAR(DK$3))*(MONTH($AC$2:$AX$2)=MONTH(DK$3))*$AC26:$AX26))</f>
        <v>0</v>
      </c>
      <c r="DL26" s="164" t="n">
        <f aca="false">IF(AND($BA26&gt;0,$BB26&gt;=$BA26),$AA26*MAX(0,MIN($BB26,EOMONTH(DL$3,0))-MAX($BA26,DL$3)+1)/($BB26-$BA26+1),SUMPRODUCT((YEAR($AC$2:$AX$2)=YEAR(DL$3))*(MONTH($AC$2:$AX$2)=MONTH(DL$3))*$AC26:$AX26))</f>
        <v>0</v>
      </c>
      <c r="DM26" s="164" t="n">
        <f aca="false">IF(AND($BA26&gt;0,$BB26&gt;=$BA26),$AA26*MAX(0,MIN($BB26,EOMONTH(DM$3,0))-MAX($BA26,DM$3)+1)/($BB26-$BA26+1),SUMPRODUCT((YEAR($AC$2:$AX$2)=YEAR(DM$3))*(MONTH($AC$2:$AX$2)=MONTH(DM$3))*$AC26:$AX26))</f>
        <v>0</v>
      </c>
      <c r="DN26" s="164" t="n">
        <f aca="false">IF(AND($BA26&gt;0,$BB26&gt;=$BA26),$AA26*MAX(0,MIN($BB26,EOMONTH(DN$3,0))-MAX($BA26,DN$3)+1)/($BB26-$BA26+1),SUMPRODUCT((YEAR($AC$2:$AX$2)=YEAR(DN$3))*(MONTH($AC$2:$AX$2)=MONTH(DN$3))*$AC26:$AX26))</f>
        <v>0</v>
      </c>
      <c r="DO26" s="164" t="n">
        <f aca="false">IF(AND($BA26&gt;0,$BB26&gt;=$BA26),$AA26*MAX(0,MIN($BB26,EOMONTH(DO$3,0))-MAX($BA26,DO$3)+1)/($BB26-$BA26+1),SUMPRODUCT((YEAR($AC$2:$AX$2)=YEAR(DO$3))*(MONTH($AC$2:$AX$2)=MONTH(DO$3))*$AC26:$AX26))</f>
        <v>0</v>
      </c>
      <c r="DP26" s="164" t="n">
        <f aca="false">IF(AND($BA26&gt;0,$BB26&gt;=$BA26),$AA26*MAX(0,MIN($BB26,EOMONTH(DP$3,0))-MAX($BA26,DP$3)+1)/($BB26-$BA26+1),SUMPRODUCT((YEAR($AC$2:$AX$2)=YEAR(DP$3))*(MONTH($AC$2:$AX$2)=MONTH(DP$3))*$AC26:$AX26))</f>
        <v>0</v>
      </c>
      <c r="DQ26" s="164" t="n">
        <f aca="false">IF(AND($BA26&gt;0,$BB26&gt;=$BA26),$AA26*MAX(0,MIN($BB26,EOMONTH(DQ$3,0))-MAX($BA26,DQ$3)+1)/($BB26-$BA26+1),SUMPRODUCT((YEAR($AC$2:$AX$2)=YEAR(DQ$3))*(MONTH($AC$2:$AX$2)=MONTH(DQ$3))*$AC26:$AX26))</f>
        <v>0</v>
      </c>
      <c r="DR26" s="164" t="n">
        <f aca="false">IF(AND($BA26&gt;0,$BB26&gt;=$BA26),$AA26*MAX(0,MIN($BB26,EOMONTH(DR$3,0))-MAX($BA26,DR$3)+1)/($BB26-$BA26+1),SUMPRODUCT((YEAR($AC$2:$AX$2)=YEAR(DR$3))*(MONTH($AC$2:$AX$2)=MONTH(DR$3))*$AC26:$AX26))</f>
        <v>0</v>
      </c>
      <c r="DS26" s="164" t="n">
        <f aca="false">IF(AND($BA26&gt;0,$BB26&gt;=$BA26),$AA26*MAX(0,MIN($BB26,EOMONTH(DS$3,0))-MAX($BA26,DS$3)+1)/($BB26-$BA26+1),SUMPRODUCT((YEAR($AC$2:$AX$2)=YEAR(DS$3))*(MONTH($AC$2:$AX$2)=MONTH(DS$3))*$AC26:$AX26))</f>
        <v>0</v>
      </c>
      <c r="DT26" s="164" t="n">
        <f aca="false">IF(AND($BA26&gt;0,$BB26&gt;=$BA26),$AA26*MAX(0,MIN($BB26,EOMONTH(DT$3,0))-MAX($BA26,DT$3)+1)/($BB26-$BA26+1),SUMPRODUCT((YEAR($AC$2:$AX$2)=YEAR(DT$3))*(MONTH($AC$2:$AX$2)=MONTH(DT$3))*$AC26:$AX26))</f>
        <v>0</v>
      </c>
      <c r="DU26" s="164" t="n">
        <f aca="false">IF(AND($BA26&gt;0,$BB26&gt;=$BA26),$AA26*MAX(0,MIN($BB26,EOMONTH(DU$3,0))-MAX($BA26,DU$3)+1)/($BB26-$BA26+1),SUMPRODUCT((YEAR($AC$2:$AX$2)=YEAR(DU$3))*(MONTH($AC$2:$AX$2)=MONTH(DU$3))*$AC26:$AX26))</f>
        <v>0</v>
      </c>
      <c r="DV26" s="164" t="n">
        <f aca="false">IF(AND($BA26&gt;0,$BB26&gt;=$BA26),$AA26*MAX(0,MIN($BB26,EOMONTH(DV$3,0))-MAX($BA26,DV$3)+1)/($BB26-$BA26+1),SUMPRODUCT((YEAR($AC$2:$AX$2)=YEAR(DV$3))*(MONTH($AC$2:$AX$2)=MONTH(DV$3))*$AC26:$AX26))</f>
        <v>0</v>
      </c>
      <c r="DW26" s="164" t="n">
        <f aca="false">IF(AND($BA26&gt;0,$BB26&gt;=$BA26),$AA26*MAX(0,MIN($BB26,EOMONTH(DW$3,0))-MAX($BA26,DW$3)+1)/($BB26-$BA26+1),SUMPRODUCT((YEAR($AC$2:$AX$2)=YEAR(DW$3))*(MONTH($AC$2:$AX$2)=MONTH(DW$3))*$AC26:$AX26))</f>
        <v>0</v>
      </c>
    </row>
    <row r="27" customFormat="false" ht="15" hidden="false" customHeight="false" outlineLevel="0" collapsed="false">
      <c r="H27" s="150" t="s">
        <v>2985</v>
      </c>
      <c r="J27" s="152" t="n">
        <v>700.6245</v>
      </c>
      <c r="K27" s="152" t="n">
        <v>242.8</v>
      </c>
      <c r="L27" s="152" t="n">
        <v>1353.789475</v>
      </c>
      <c r="O27" s="152" t="n">
        <v>21535.25</v>
      </c>
      <c r="P27" s="152" t="n">
        <v>700.6245</v>
      </c>
      <c r="S27" s="149" t="n">
        <f aca="false">K27*($D$59+$D$57)</f>
        <v>176838.47544</v>
      </c>
      <c r="T27" s="149" t="n">
        <f aca="false">L27*$D$47</f>
        <v>180460.1370175</v>
      </c>
      <c r="V27" s="149" t="n">
        <f aca="false">O27*($D$54)</f>
        <v>125185.4850125</v>
      </c>
      <c r="W27" s="149" t="n">
        <f aca="false">O27*($D$49)</f>
        <v>60191.02375</v>
      </c>
      <c r="Y27" s="149" t="n">
        <f aca="false">SUM(P27:Q27)*($D$50+$D$52)</f>
        <v>9521.592048675</v>
      </c>
      <c r="AA27" s="149" t="n">
        <f aca="false">SUM(S27:Y27)</f>
        <v>552196.713268675</v>
      </c>
      <c r="AM27" s="149" t="n">
        <f aca="false">AA27</f>
        <v>552196.713268675</v>
      </c>
      <c r="AZ27" s="162" t="s">
        <v>2810</v>
      </c>
      <c r="BA27" s="163" t="n">
        <f aca="false">IF(AZ27="",0,SUMPRODUCT(('CRONOGRAMA ATIVIDADES'!$C$5:$C$6004="ESTRUTURA")*('CRONOGRAMA ATIVIDADES'!$E$5:$E$6004=AZ27)*('CRONOGRAMA ATIVIDADES'!$D$5:$D$6004="-")*'CRONOGRAMA ATIVIDADES'!$F$5:$F$6004))</f>
        <v>46475</v>
      </c>
      <c r="BB27" s="163" t="n">
        <f aca="false">IF(AZ27="",0,SUMPRODUCT(('CRONOGRAMA ATIVIDADES'!$C$5:$C$6004="ESTRUTURA")*('CRONOGRAMA ATIVIDADES'!$E$5:$E$6004=AZ27)*('CRONOGRAMA ATIVIDADES'!$D$5:$D$6004="-")*'CRONOGRAMA ATIVIDADES'!$G$5:$G$6004))</f>
        <v>46485</v>
      </c>
      <c r="BD27" s="164" t="n">
        <f aca="false">IF(AND($BA27&gt;0,$BB27&gt;=$BA27),$AA27*MAX(0,MIN($BB27,EOMONTH(BD$3,0))-MAX($BA27,BD$3)+1)/($BB27-$BA27+1),SUMPRODUCT((YEAR($AC$2:$AX$2)=YEAR(BD$3))*(MONTH($AC$2:$AX$2)=MONTH(BD$3))*$AC27:$AX27))</f>
        <v>0</v>
      </c>
      <c r="BE27" s="164" t="n">
        <f aca="false">IF(AND($BA27&gt;0,$BB27&gt;=$BA27),$AA27*MAX(0,MIN($BB27,EOMONTH(BE$3,0))-MAX($BA27,BE$3)+1)/($BB27-$BA27+1),SUMPRODUCT((YEAR($AC$2:$AX$2)=YEAR(BE$3))*(MONTH($AC$2:$AX$2)=MONTH(BE$3))*$AC27:$AX27))</f>
        <v>0</v>
      </c>
      <c r="BF27" s="164" t="n">
        <f aca="false">IF(AND($BA27&gt;0,$BB27&gt;=$BA27),$AA27*MAX(0,MIN($BB27,EOMONTH(BF$3,0))-MAX($BA27,BF$3)+1)/($BB27-$BA27+1),SUMPRODUCT((YEAR($AC$2:$AX$2)=YEAR(BF$3))*(MONTH($AC$2:$AX$2)=MONTH(BF$3))*$AC27:$AX27))</f>
        <v>0</v>
      </c>
      <c r="BG27" s="164" t="n">
        <f aca="false">IF(AND($BA27&gt;0,$BB27&gt;=$BA27),$AA27*MAX(0,MIN($BB27,EOMONTH(BG$3,0))-MAX($BA27,BG$3)+1)/($BB27-$BA27+1),SUMPRODUCT((YEAR($AC$2:$AX$2)=YEAR(BG$3))*(MONTH($AC$2:$AX$2)=MONTH(BG$3))*$AC27:$AX27))</f>
        <v>0</v>
      </c>
      <c r="BH27" s="164" t="n">
        <f aca="false">IF(AND($BA27&gt;0,$BB27&gt;=$BA27),$AA27*MAX(0,MIN($BB27,EOMONTH(BH$3,0))-MAX($BA27,BH$3)+1)/($BB27-$BA27+1),SUMPRODUCT((YEAR($AC$2:$AX$2)=YEAR(BH$3))*(MONTH($AC$2:$AX$2)=MONTH(BH$3))*$AC27:$AX27))</f>
        <v>0</v>
      </c>
      <c r="BI27" s="164" t="n">
        <f aca="false">IF(AND($BA27&gt;0,$BB27&gt;=$BA27),$AA27*MAX(0,MIN($BB27,EOMONTH(BI$3,0))-MAX($BA27,BI$3)+1)/($BB27-$BA27+1),SUMPRODUCT((YEAR($AC$2:$AX$2)=YEAR(BI$3))*(MONTH($AC$2:$AX$2)=MONTH(BI$3))*$AC27:$AX27))</f>
        <v>0</v>
      </c>
      <c r="BJ27" s="164" t="n">
        <f aca="false">IF(AND($BA27&gt;0,$BB27&gt;=$BA27),$AA27*MAX(0,MIN($BB27,EOMONTH(BJ$3,0))-MAX($BA27,BJ$3)+1)/($BB27-$BA27+1),SUMPRODUCT((YEAR($AC$2:$AX$2)=YEAR(BJ$3))*(MONTH($AC$2:$AX$2)=MONTH(BJ$3))*$AC27:$AX27))</f>
        <v>0</v>
      </c>
      <c r="BK27" s="164" t="n">
        <f aca="false">IF(AND($BA27&gt;0,$BB27&gt;=$BA27),$AA27*MAX(0,MIN($BB27,EOMONTH(BK$3,0))-MAX($BA27,BK$3)+1)/($BB27-$BA27+1),SUMPRODUCT((YEAR($AC$2:$AX$2)=YEAR(BK$3))*(MONTH($AC$2:$AX$2)=MONTH(BK$3))*$AC27:$AX27))</f>
        <v>0</v>
      </c>
      <c r="BL27" s="164" t="n">
        <f aca="false">IF(AND($BA27&gt;0,$BB27&gt;=$BA27),$AA27*MAX(0,MIN($BB27,EOMONTH(BL$3,0))-MAX($BA27,BL$3)+1)/($BB27-$BA27+1),SUMPRODUCT((YEAR($AC$2:$AX$2)=YEAR(BL$3))*(MONTH($AC$2:$AX$2)=MONTH(BL$3))*$AC27:$AX27))</f>
        <v>0</v>
      </c>
      <c r="BM27" s="164" t="n">
        <f aca="false">IF(AND($BA27&gt;0,$BB27&gt;=$BA27),$AA27*MAX(0,MIN($BB27,EOMONTH(BM$3,0))-MAX($BA27,BM$3)+1)/($BB27-$BA27+1),SUMPRODUCT((YEAR($AC$2:$AX$2)=YEAR(BM$3))*(MONTH($AC$2:$AX$2)=MONTH(BM$3))*$AC27:$AX27))</f>
        <v>0</v>
      </c>
      <c r="BN27" s="164" t="n">
        <f aca="false">IF(AND($BA27&gt;0,$BB27&gt;=$BA27),$AA27*MAX(0,MIN($BB27,EOMONTH(BN$3,0))-MAX($BA27,BN$3)+1)/($BB27-$BA27+1),SUMPRODUCT((YEAR($AC$2:$AX$2)=YEAR(BN$3))*(MONTH($AC$2:$AX$2)=MONTH(BN$3))*$AC27:$AX27))</f>
        <v>0</v>
      </c>
      <c r="BO27" s="164" t="n">
        <f aca="false">IF(AND($BA27&gt;0,$BB27&gt;=$BA27),$AA27*MAX(0,MIN($BB27,EOMONTH(BO$3,0))-MAX($BA27,BO$3)+1)/($BB27-$BA27+1),SUMPRODUCT((YEAR($AC$2:$AX$2)=YEAR(BO$3))*(MONTH($AC$2:$AX$2)=MONTH(BO$3))*$AC27:$AX27))</f>
        <v>0</v>
      </c>
      <c r="BP27" s="164" t="n">
        <f aca="false">IF(AND($BA27&gt;0,$BB27&gt;=$BA27),$AA27*MAX(0,MIN($BB27,EOMONTH(BP$3,0))-MAX($BA27,BP$3)+1)/($BB27-$BA27+1),SUMPRODUCT((YEAR($AC$2:$AX$2)=YEAR(BP$3))*(MONTH($AC$2:$AX$2)=MONTH(BP$3))*$AC27:$AX27))</f>
        <v>0</v>
      </c>
      <c r="BQ27" s="164" t="n">
        <f aca="false">IF(AND($BA27&gt;0,$BB27&gt;=$BA27),$AA27*MAX(0,MIN($BB27,EOMONTH(BQ$3,0))-MAX($BA27,BQ$3)+1)/($BB27-$BA27+1),SUMPRODUCT((YEAR($AC$2:$AX$2)=YEAR(BQ$3))*(MONTH($AC$2:$AX$2)=MONTH(BQ$3))*$AC27:$AX27))</f>
        <v>0</v>
      </c>
      <c r="BR27" s="164" t="n">
        <f aca="false">IF(AND($BA27&gt;0,$BB27&gt;=$BA27),$AA27*MAX(0,MIN($BB27,EOMONTH(BR$3,0))-MAX($BA27,BR$3)+1)/($BB27-$BA27+1),SUMPRODUCT((YEAR($AC$2:$AX$2)=YEAR(BR$3))*(MONTH($AC$2:$AX$2)=MONTH(BR$3))*$AC27:$AX27))</f>
        <v>0</v>
      </c>
      <c r="BS27" s="164" t="n">
        <f aca="false">IF(AND($BA27&gt;0,$BB27&gt;=$BA27),$AA27*MAX(0,MIN($BB27,EOMONTH(BS$3,0))-MAX($BA27,BS$3)+1)/($BB27-$BA27+1),SUMPRODUCT((YEAR($AC$2:$AX$2)=YEAR(BS$3))*(MONTH($AC$2:$AX$2)=MONTH(BS$3))*$AC27:$AX27))</f>
        <v>0</v>
      </c>
      <c r="BT27" s="164" t="n">
        <f aca="false">IF(AND($BA27&gt;0,$BB27&gt;=$BA27),$AA27*MAX(0,MIN($BB27,EOMONTH(BT$3,0))-MAX($BA27,BT$3)+1)/($BB27-$BA27+1),SUMPRODUCT((YEAR($AC$2:$AX$2)=YEAR(BT$3))*(MONTH($AC$2:$AX$2)=MONTH(BT$3))*$AC27:$AX27))</f>
        <v>0</v>
      </c>
      <c r="BU27" s="164" t="n">
        <f aca="false">IF(AND($BA27&gt;0,$BB27&gt;=$BA27),$AA27*MAX(0,MIN($BB27,EOMONTH(BU$3,0))-MAX($BA27,BU$3)+1)/($BB27-$BA27+1),SUMPRODUCT((YEAR($AC$2:$AX$2)=YEAR(BU$3))*(MONTH($AC$2:$AX$2)=MONTH(BU$3))*$AC27:$AX27))</f>
        <v>0</v>
      </c>
      <c r="BV27" s="164" t="n">
        <f aca="false">IF(AND($BA27&gt;0,$BB27&gt;=$BA27),$AA27*MAX(0,MIN($BB27,EOMONTH(BV$3,0))-MAX($BA27,BV$3)+1)/($BB27-$BA27+1),SUMPRODUCT((YEAR($AC$2:$AX$2)=YEAR(BV$3))*(MONTH($AC$2:$AX$2)=MONTH(BV$3))*$AC27:$AX27))</f>
        <v>0</v>
      </c>
      <c r="BW27" s="164" t="n">
        <f aca="false">IF(AND($BA27&gt;0,$BB27&gt;=$BA27),$AA27*MAX(0,MIN($BB27,EOMONTH(BW$3,0))-MAX($BA27,BW$3)+1)/($BB27-$BA27+1),SUMPRODUCT((YEAR($AC$2:$AX$2)=YEAR(BW$3))*(MONTH($AC$2:$AX$2)=MONTH(BW$3))*$AC27:$AX27))</f>
        <v>0</v>
      </c>
      <c r="BX27" s="164" t="n">
        <f aca="false">IF(AND($BA27&gt;0,$BB27&gt;=$BA27),$AA27*MAX(0,MIN($BB27,EOMONTH(BX$3,0))-MAX($BA27,BX$3)+1)/($BB27-$BA27+1),SUMPRODUCT((YEAR($AC$2:$AX$2)=YEAR(BX$3))*(MONTH($AC$2:$AX$2)=MONTH(BX$3))*$AC27:$AX27))</f>
        <v>0</v>
      </c>
      <c r="BY27" s="164" t="n">
        <f aca="false">IF(AND($BA27&gt;0,$BB27&gt;=$BA27),$AA27*MAX(0,MIN($BB27,EOMONTH(BY$3,0))-MAX($BA27,BY$3)+1)/($BB27-$BA27+1),SUMPRODUCT((YEAR($AC$2:$AX$2)=YEAR(BY$3))*(MONTH($AC$2:$AX$2)=MONTH(BY$3))*$AC27:$AX27))</f>
        <v>0</v>
      </c>
      <c r="BZ27" s="164" t="n">
        <f aca="false">IF(AND($BA27&gt;0,$BB27&gt;=$BA27),$AA27*MAX(0,MIN($BB27,EOMONTH(BZ$3,0))-MAX($BA27,BZ$3)+1)/($BB27-$BA27+1),SUMPRODUCT((YEAR($AC$2:$AX$2)=YEAR(BZ$3))*(MONTH($AC$2:$AX$2)=MONTH(BZ$3))*$AC27:$AX27))</f>
        <v>0</v>
      </c>
      <c r="CA27" s="164" t="n">
        <f aca="false">IF(AND($BA27&gt;0,$BB27&gt;=$BA27),$AA27*MAX(0,MIN($BB27,EOMONTH(CA$3,0))-MAX($BA27,CA$3)+1)/($BB27-$BA27+1),SUMPRODUCT((YEAR($AC$2:$AX$2)=YEAR(CA$3))*(MONTH($AC$2:$AX$2)=MONTH(CA$3))*$AC27:$AX27))</f>
        <v>0</v>
      </c>
      <c r="CB27" s="164" t="n">
        <f aca="false">IF(AND($BA27&gt;0,$BB27&gt;=$BA27),$AA27*MAX(0,MIN($BB27,EOMONTH(CB$3,0))-MAX($BA27,CB$3)+1)/($BB27-$BA27+1),SUMPRODUCT((YEAR($AC$2:$AX$2)=YEAR(CB$3))*(MONTH($AC$2:$AX$2)=MONTH(CB$3))*$AC27:$AX27))</f>
        <v>0</v>
      </c>
      <c r="CC27" s="164" t="n">
        <f aca="false">IF(AND($BA27&gt;0,$BB27&gt;=$BA27),$AA27*MAX(0,MIN($BB27,EOMONTH(CC$3,0))-MAX($BA27,CC$3)+1)/($BB27-$BA27+1),SUMPRODUCT((YEAR($AC$2:$AX$2)=YEAR(CC$3))*(MONTH($AC$2:$AX$2)=MONTH(CC$3))*$AC27:$AX27))</f>
        <v>0</v>
      </c>
      <c r="CD27" s="164" t="n">
        <f aca="false">IF(AND($BA27&gt;0,$BB27&gt;=$BA27),$AA27*MAX(0,MIN($BB27,EOMONTH(CD$3,0))-MAX($BA27,CD$3)+1)/($BB27-$BA27+1),SUMPRODUCT((YEAR($AC$2:$AX$2)=YEAR(CD$3))*(MONTH($AC$2:$AX$2)=MONTH(CD$3))*$AC27:$AX27))</f>
        <v>0</v>
      </c>
      <c r="CE27" s="164" t="n">
        <f aca="false">IF(AND($BA27&gt;0,$BB27&gt;=$BA27),$AA27*MAX(0,MIN($BB27,EOMONTH(CE$3,0))-MAX($BA27,CE$3)+1)/($BB27-$BA27+1),SUMPRODUCT((YEAR($AC$2:$AX$2)=YEAR(CE$3))*(MONTH($AC$2:$AX$2)=MONTH(CE$3))*$AC27:$AX27))</f>
        <v>150599.10361873</v>
      </c>
      <c r="CF27" s="164" t="n">
        <f aca="false">IF(AND($BA27&gt;0,$BB27&gt;=$BA27),$AA27*MAX(0,MIN($BB27,EOMONTH(CF$3,0))-MAX($BA27,CF$3)+1)/($BB27-$BA27+1),SUMPRODUCT((YEAR($AC$2:$AX$2)=YEAR(CF$3))*(MONTH($AC$2:$AX$2)=MONTH(CF$3))*$AC27:$AX27))</f>
        <v>401597.609649945</v>
      </c>
      <c r="CG27" s="164" t="n">
        <f aca="false">IF(AND($BA27&gt;0,$BB27&gt;=$BA27),$AA27*MAX(0,MIN($BB27,EOMONTH(CG$3,0))-MAX($BA27,CG$3)+1)/($BB27-$BA27+1),SUMPRODUCT((YEAR($AC$2:$AX$2)=YEAR(CG$3))*(MONTH($AC$2:$AX$2)=MONTH(CG$3))*$AC27:$AX27))</f>
        <v>0</v>
      </c>
      <c r="CH27" s="164" t="n">
        <f aca="false">IF(AND($BA27&gt;0,$BB27&gt;=$BA27),$AA27*MAX(0,MIN($BB27,EOMONTH(CH$3,0))-MAX($BA27,CH$3)+1)/($BB27-$BA27+1),SUMPRODUCT((YEAR($AC$2:$AX$2)=YEAR(CH$3))*(MONTH($AC$2:$AX$2)=MONTH(CH$3))*$AC27:$AX27))</f>
        <v>0</v>
      </c>
      <c r="CI27" s="164" t="n">
        <f aca="false">IF(AND($BA27&gt;0,$BB27&gt;=$BA27),$AA27*MAX(0,MIN($BB27,EOMONTH(CI$3,0))-MAX($BA27,CI$3)+1)/($BB27-$BA27+1),SUMPRODUCT((YEAR($AC$2:$AX$2)=YEAR(CI$3))*(MONTH($AC$2:$AX$2)=MONTH(CI$3))*$AC27:$AX27))</f>
        <v>0</v>
      </c>
      <c r="CJ27" s="164" t="n">
        <f aca="false">IF(AND($BA27&gt;0,$BB27&gt;=$BA27),$AA27*MAX(0,MIN($BB27,EOMONTH(CJ$3,0))-MAX($BA27,CJ$3)+1)/($BB27-$BA27+1),SUMPRODUCT((YEAR($AC$2:$AX$2)=YEAR(CJ$3))*(MONTH($AC$2:$AX$2)=MONTH(CJ$3))*$AC27:$AX27))</f>
        <v>0</v>
      </c>
      <c r="CK27" s="164" t="n">
        <f aca="false">IF(AND($BA27&gt;0,$BB27&gt;=$BA27),$AA27*MAX(0,MIN($BB27,EOMONTH(CK$3,0))-MAX($BA27,CK$3)+1)/($BB27-$BA27+1),SUMPRODUCT((YEAR($AC$2:$AX$2)=YEAR(CK$3))*(MONTH($AC$2:$AX$2)=MONTH(CK$3))*$AC27:$AX27))</f>
        <v>0</v>
      </c>
      <c r="CL27" s="164" t="n">
        <f aca="false">IF(AND($BA27&gt;0,$BB27&gt;=$BA27),$AA27*MAX(0,MIN($BB27,EOMONTH(CL$3,0))-MAX($BA27,CL$3)+1)/($BB27-$BA27+1),SUMPRODUCT((YEAR($AC$2:$AX$2)=YEAR(CL$3))*(MONTH($AC$2:$AX$2)=MONTH(CL$3))*$AC27:$AX27))</f>
        <v>0</v>
      </c>
      <c r="CM27" s="164" t="n">
        <f aca="false">IF(AND($BA27&gt;0,$BB27&gt;=$BA27),$AA27*MAX(0,MIN($BB27,EOMONTH(CM$3,0))-MAX($BA27,CM$3)+1)/($BB27-$BA27+1),SUMPRODUCT((YEAR($AC$2:$AX$2)=YEAR(CM$3))*(MONTH($AC$2:$AX$2)=MONTH(CM$3))*$AC27:$AX27))</f>
        <v>0</v>
      </c>
      <c r="CN27" s="164" t="n">
        <f aca="false">IF(AND($BA27&gt;0,$BB27&gt;=$BA27),$AA27*MAX(0,MIN($BB27,EOMONTH(CN$3,0))-MAX($BA27,CN$3)+1)/($BB27-$BA27+1),SUMPRODUCT((YEAR($AC$2:$AX$2)=YEAR(CN$3))*(MONTH($AC$2:$AX$2)=MONTH(CN$3))*$AC27:$AX27))</f>
        <v>0</v>
      </c>
      <c r="CO27" s="164" t="n">
        <f aca="false">IF(AND($BA27&gt;0,$BB27&gt;=$BA27),$AA27*MAX(0,MIN($BB27,EOMONTH(CO$3,0))-MAX($BA27,CO$3)+1)/($BB27-$BA27+1),SUMPRODUCT((YEAR($AC$2:$AX$2)=YEAR(CO$3))*(MONTH($AC$2:$AX$2)=MONTH(CO$3))*$AC27:$AX27))</f>
        <v>0</v>
      </c>
      <c r="CP27" s="164" t="n">
        <f aca="false">IF(AND($BA27&gt;0,$BB27&gt;=$BA27),$AA27*MAX(0,MIN($BB27,EOMONTH(CP$3,0))-MAX($BA27,CP$3)+1)/($BB27-$BA27+1),SUMPRODUCT((YEAR($AC$2:$AX$2)=YEAR(CP$3))*(MONTH($AC$2:$AX$2)=MONTH(CP$3))*$AC27:$AX27))</f>
        <v>0</v>
      </c>
      <c r="CQ27" s="164" t="n">
        <f aca="false">IF(AND($BA27&gt;0,$BB27&gt;=$BA27),$AA27*MAX(0,MIN($BB27,EOMONTH(CQ$3,0))-MAX($BA27,CQ$3)+1)/($BB27-$BA27+1),SUMPRODUCT((YEAR($AC$2:$AX$2)=YEAR(CQ$3))*(MONTH($AC$2:$AX$2)=MONTH(CQ$3))*$AC27:$AX27))</f>
        <v>0</v>
      </c>
      <c r="CR27" s="164" t="n">
        <f aca="false">IF(AND($BA27&gt;0,$BB27&gt;=$BA27),$AA27*MAX(0,MIN($BB27,EOMONTH(CR$3,0))-MAX($BA27,CR$3)+1)/($BB27-$BA27+1),SUMPRODUCT((YEAR($AC$2:$AX$2)=YEAR(CR$3))*(MONTH($AC$2:$AX$2)=MONTH(CR$3))*$AC27:$AX27))</f>
        <v>0</v>
      </c>
      <c r="CS27" s="164" t="n">
        <f aca="false">IF(AND($BA27&gt;0,$BB27&gt;=$BA27),$AA27*MAX(0,MIN($BB27,EOMONTH(CS$3,0))-MAX($BA27,CS$3)+1)/($BB27-$BA27+1),SUMPRODUCT((YEAR($AC$2:$AX$2)=YEAR(CS$3))*(MONTH($AC$2:$AX$2)=MONTH(CS$3))*$AC27:$AX27))</f>
        <v>0</v>
      </c>
      <c r="CT27" s="164" t="n">
        <f aca="false">IF(AND($BA27&gt;0,$BB27&gt;=$BA27),$AA27*MAX(0,MIN($BB27,EOMONTH(CT$3,0))-MAX($BA27,CT$3)+1)/($BB27-$BA27+1),SUMPRODUCT((YEAR($AC$2:$AX$2)=YEAR(CT$3))*(MONTH($AC$2:$AX$2)=MONTH(CT$3))*$AC27:$AX27))</f>
        <v>0</v>
      </c>
      <c r="CU27" s="164" t="n">
        <f aca="false">IF(AND($BA27&gt;0,$BB27&gt;=$BA27),$AA27*MAX(0,MIN($BB27,EOMONTH(CU$3,0))-MAX($BA27,CU$3)+1)/($BB27-$BA27+1),SUMPRODUCT((YEAR($AC$2:$AX$2)=YEAR(CU$3))*(MONTH($AC$2:$AX$2)=MONTH(CU$3))*$AC27:$AX27))</f>
        <v>0</v>
      </c>
      <c r="CV27" s="164" t="n">
        <f aca="false">IF(AND($BA27&gt;0,$BB27&gt;=$BA27),$AA27*MAX(0,MIN($BB27,EOMONTH(CV$3,0))-MAX($BA27,CV$3)+1)/($BB27-$BA27+1),SUMPRODUCT((YEAR($AC$2:$AX$2)=YEAR(CV$3))*(MONTH($AC$2:$AX$2)=MONTH(CV$3))*$AC27:$AX27))</f>
        <v>0</v>
      </c>
      <c r="CW27" s="164" t="n">
        <f aca="false">IF(AND($BA27&gt;0,$BB27&gt;=$BA27),$AA27*MAX(0,MIN($BB27,EOMONTH(CW$3,0))-MAX($BA27,CW$3)+1)/($BB27-$BA27+1),SUMPRODUCT((YEAR($AC$2:$AX$2)=YEAR(CW$3))*(MONTH($AC$2:$AX$2)=MONTH(CW$3))*$AC27:$AX27))</f>
        <v>0</v>
      </c>
      <c r="CX27" s="164" t="n">
        <f aca="false">IF(AND($BA27&gt;0,$BB27&gt;=$BA27),$AA27*MAX(0,MIN($BB27,EOMONTH(CX$3,0))-MAX($BA27,CX$3)+1)/($BB27-$BA27+1),SUMPRODUCT((YEAR($AC$2:$AX$2)=YEAR(CX$3))*(MONTH($AC$2:$AX$2)=MONTH(CX$3))*$AC27:$AX27))</f>
        <v>0</v>
      </c>
      <c r="CY27" s="164" t="n">
        <f aca="false">IF(AND($BA27&gt;0,$BB27&gt;=$BA27),$AA27*MAX(0,MIN($BB27,EOMONTH(CY$3,0))-MAX($BA27,CY$3)+1)/($BB27-$BA27+1),SUMPRODUCT((YEAR($AC$2:$AX$2)=YEAR(CY$3))*(MONTH($AC$2:$AX$2)=MONTH(CY$3))*$AC27:$AX27))</f>
        <v>0</v>
      </c>
      <c r="CZ27" s="164" t="n">
        <f aca="false">IF(AND($BA27&gt;0,$BB27&gt;=$BA27),$AA27*MAX(0,MIN($BB27,EOMONTH(CZ$3,0))-MAX($BA27,CZ$3)+1)/($BB27-$BA27+1),SUMPRODUCT((YEAR($AC$2:$AX$2)=YEAR(CZ$3))*(MONTH($AC$2:$AX$2)=MONTH(CZ$3))*$AC27:$AX27))</f>
        <v>0</v>
      </c>
      <c r="DA27" s="164" t="n">
        <f aca="false">IF(AND($BA27&gt;0,$BB27&gt;=$BA27),$AA27*MAX(0,MIN($BB27,EOMONTH(DA$3,0))-MAX($BA27,DA$3)+1)/($BB27-$BA27+1),SUMPRODUCT((YEAR($AC$2:$AX$2)=YEAR(DA$3))*(MONTH($AC$2:$AX$2)=MONTH(DA$3))*$AC27:$AX27))</f>
        <v>0</v>
      </c>
      <c r="DB27" s="164" t="n">
        <f aca="false">IF(AND($BA27&gt;0,$BB27&gt;=$BA27),$AA27*MAX(0,MIN($BB27,EOMONTH(DB$3,0))-MAX($BA27,DB$3)+1)/($BB27-$BA27+1),SUMPRODUCT((YEAR($AC$2:$AX$2)=YEAR(DB$3))*(MONTH($AC$2:$AX$2)=MONTH(DB$3))*$AC27:$AX27))</f>
        <v>0</v>
      </c>
      <c r="DC27" s="164" t="n">
        <f aca="false">IF(AND($BA27&gt;0,$BB27&gt;=$BA27),$AA27*MAX(0,MIN($BB27,EOMONTH(DC$3,0))-MAX($BA27,DC$3)+1)/($BB27-$BA27+1),SUMPRODUCT((YEAR($AC$2:$AX$2)=YEAR(DC$3))*(MONTH($AC$2:$AX$2)=MONTH(DC$3))*$AC27:$AX27))</f>
        <v>0</v>
      </c>
      <c r="DD27" s="164" t="n">
        <f aca="false">IF(AND($BA27&gt;0,$BB27&gt;=$BA27),$AA27*MAX(0,MIN($BB27,EOMONTH(DD$3,0))-MAX($BA27,DD$3)+1)/($BB27-$BA27+1),SUMPRODUCT((YEAR($AC$2:$AX$2)=YEAR(DD$3))*(MONTH($AC$2:$AX$2)=MONTH(DD$3))*$AC27:$AX27))</f>
        <v>0</v>
      </c>
      <c r="DE27" s="164" t="n">
        <f aca="false">IF(AND($BA27&gt;0,$BB27&gt;=$BA27),$AA27*MAX(0,MIN($BB27,EOMONTH(DE$3,0))-MAX($BA27,DE$3)+1)/($BB27-$BA27+1),SUMPRODUCT((YEAR($AC$2:$AX$2)=YEAR(DE$3))*(MONTH($AC$2:$AX$2)=MONTH(DE$3))*$AC27:$AX27))</f>
        <v>0</v>
      </c>
      <c r="DF27" s="164" t="n">
        <f aca="false">IF(AND($BA27&gt;0,$BB27&gt;=$BA27),$AA27*MAX(0,MIN($BB27,EOMONTH(DF$3,0))-MAX($BA27,DF$3)+1)/($BB27-$BA27+1),SUMPRODUCT((YEAR($AC$2:$AX$2)=YEAR(DF$3))*(MONTH($AC$2:$AX$2)=MONTH(DF$3))*$AC27:$AX27))</f>
        <v>0</v>
      </c>
      <c r="DG27" s="164" t="n">
        <f aca="false">IF(AND($BA27&gt;0,$BB27&gt;=$BA27),$AA27*MAX(0,MIN($BB27,EOMONTH(DG$3,0))-MAX($BA27,DG$3)+1)/($BB27-$BA27+1),SUMPRODUCT((YEAR($AC$2:$AX$2)=YEAR(DG$3))*(MONTH($AC$2:$AX$2)=MONTH(DG$3))*$AC27:$AX27))</f>
        <v>0</v>
      </c>
      <c r="DH27" s="164" t="n">
        <f aca="false">IF(AND($BA27&gt;0,$BB27&gt;=$BA27),$AA27*MAX(0,MIN($BB27,EOMONTH(DH$3,0))-MAX($BA27,DH$3)+1)/($BB27-$BA27+1),SUMPRODUCT((YEAR($AC$2:$AX$2)=YEAR(DH$3))*(MONTH($AC$2:$AX$2)=MONTH(DH$3))*$AC27:$AX27))</f>
        <v>0</v>
      </c>
      <c r="DI27" s="164" t="n">
        <f aca="false">IF(AND($BA27&gt;0,$BB27&gt;=$BA27),$AA27*MAX(0,MIN($BB27,EOMONTH(DI$3,0))-MAX($BA27,DI$3)+1)/($BB27-$BA27+1),SUMPRODUCT((YEAR($AC$2:$AX$2)=YEAR(DI$3))*(MONTH($AC$2:$AX$2)=MONTH(DI$3))*$AC27:$AX27))</f>
        <v>0</v>
      </c>
      <c r="DJ27" s="164" t="n">
        <f aca="false">IF(AND($BA27&gt;0,$BB27&gt;=$BA27),$AA27*MAX(0,MIN($BB27,EOMONTH(DJ$3,0))-MAX($BA27,DJ$3)+1)/($BB27-$BA27+1),SUMPRODUCT((YEAR($AC$2:$AX$2)=YEAR(DJ$3))*(MONTH($AC$2:$AX$2)=MONTH(DJ$3))*$AC27:$AX27))</f>
        <v>0</v>
      </c>
      <c r="DK27" s="164" t="n">
        <f aca="false">IF(AND($BA27&gt;0,$BB27&gt;=$BA27),$AA27*MAX(0,MIN($BB27,EOMONTH(DK$3,0))-MAX($BA27,DK$3)+1)/($BB27-$BA27+1),SUMPRODUCT((YEAR($AC$2:$AX$2)=YEAR(DK$3))*(MONTH($AC$2:$AX$2)=MONTH(DK$3))*$AC27:$AX27))</f>
        <v>0</v>
      </c>
      <c r="DL27" s="164" t="n">
        <f aca="false">IF(AND($BA27&gt;0,$BB27&gt;=$BA27),$AA27*MAX(0,MIN($BB27,EOMONTH(DL$3,0))-MAX($BA27,DL$3)+1)/($BB27-$BA27+1),SUMPRODUCT((YEAR($AC$2:$AX$2)=YEAR(DL$3))*(MONTH($AC$2:$AX$2)=MONTH(DL$3))*$AC27:$AX27))</f>
        <v>0</v>
      </c>
      <c r="DM27" s="164" t="n">
        <f aca="false">IF(AND($BA27&gt;0,$BB27&gt;=$BA27),$AA27*MAX(0,MIN($BB27,EOMONTH(DM$3,0))-MAX($BA27,DM$3)+1)/($BB27-$BA27+1),SUMPRODUCT((YEAR($AC$2:$AX$2)=YEAR(DM$3))*(MONTH($AC$2:$AX$2)=MONTH(DM$3))*$AC27:$AX27))</f>
        <v>0</v>
      </c>
      <c r="DN27" s="164" t="n">
        <f aca="false">IF(AND($BA27&gt;0,$BB27&gt;=$BA27),$AA27*MAX(0,MIN($BB27,EOMONTH(DN$3,0))-MAX($BA27,DN$3)+1)/($BB27-$BA27+1),SUMPRODUCT((YEAR($AC$2:$AX$2)=YEAR(DN$3))*(MONTH($AC$2:$AX$2)=MONTH(DN$3))*$AC27:$AX27))</f>
        <v>0</v>
      </c>
      <c r="DO27" s="164" t="n">
        <f aca="false">IF(AND($BA27&gt;0,$BB27&gt;=$BA27),$AA27*MAX(0,MIN($BB27,EOMONTH(DO$3,0))-MAX($BA27,DO$3)+1)/($BB27-$BA27+1),SUMPRODUCT((YEAR($AC$2:$AX$2)=YEAR(DO$3))*(MONTH($AC$2:$AX$2)=MONTH(DO$3))*$AC27:$AX27))</f>
        <v>0</v>
      </c>
      <c r="DP27" s="164" t="n">
        <f aca="false">IF(AND($BA27&gt;0,$BB27&gt;=$BA27),$AA27*MAX(0,MIN($BB27,EOMONTH(DP$3,0))-MAX($BA27,DP$3)+1)/($BB27-$BA27+1),SUMPRODUCT((YEAR($AC$2:$AX$2)=YEAR(DP$3))*(MONTH($AC$2:$AX$2)=MONTH(DP$3))*$AC27:$AX27))</f>
        <v>0</v>
      </c>
      <c r="DQ27" s="164" t="n">
        <f aca="false">IF(AND($BA27&gt;0,$BB27&gt;=$BA27),$AA27*MAX(0,MIN($BB27,EOMONTH(DQ$3,0))-MAX($BA27,DQ$3)+1)/($BB27-$BA27+1),SUMPRODUCT((YEAR($AC$2:$AX$2)=YEAR(DQ$3))*(MONTH($AC$2:$AX$2)=MONTH(DQ$3))*$AC27:$AX27))</f>
        <v>0</v>
      </c>
      <c r="DR27" s="164" t="n">
        <f aca="false">IF(AND($BA27&gt;0,$BB27&gt;=$BA27),$AA27*MAX(0,MIN($BB27,EOMONTH(DR$3,0))-MAX($BA27,DR$3)+1)/($BB27-$BA27+1),SUMPRODUCT((YEAR($AC$2:$AX$2)=YEAR(DR$3))*(MONTH($AC$2:$AX$2)=MONTH(DR$3))*$AC27:$AX27))</f>
        <v>0</v>
      </c>
      <c r="DS27" s="164" t="n">
        <f aca="false">IF(AND($BA27&gt;0,$BB27&gt;=$BA27),$AA27*MAX(0,MIN($BB27,EOMONTH(DS$3,0))-MAX($BA27,DS$3)+1)/($BB27-$BA27+1),SUMPRODUCT((YEAR($AC$2:$AX$2)=YEAR(DS$3))*(MONTH($AC$2:$AX$2)=MONTH(DS$3))*$AC27:$AX27))</f>
        <v>0</v>
      </c>
      <c r="DT27" s="164" t="n">
        <f aca="false">IF(AND($BA27&gt;0,$BB27&gt;=$BA27),$AA27*MAX(0,MIN($BB27,EOMONTH(DT$3,0))-MAX($BA27,DT$3)+1)/($BB27-$BA27+1),SUMPRODUCT((YEAR($AC$2:$AX$2)=YEAR(DT$3))*(MONTH($AC$2:$AX$2)=MONTH(DT$3))*$AC27:$AX27))</f>
        <v>0</v>
      </c>
      <c r="DU27" s="164" t="n">
        <f aca="false">IF(AND($BA27&gt;0,$BB27&gt;=$BA27),$AA27*MAX(0,MIN($BB27,EOMONTH(DU$3,0))-MAX($BA27,DU$3)+1)/($BB27-$BA27+1),SUMPRODUCT((YEAR($AC$2:$AX$2)=YEAR(DU$3))*(MONTH($AC$2:$AX$2)=MONTH(DU$3))*$AC27:$AX27))</f>
        <v>0</v>
      </c>
      <c r="DV27" s="164" t="n">
        <f aca="false">IF(AND($BA27&gt;0,$BB27&gt;=$BA27),$AA27*MAX(0,MIN($BB27,EOMONTH(DV$3,0))-MAX($BA27,DV$3)+1)/($BB27-$BA27+1),SUMPRODUCT((YEAR($AC$2:$AX$2)=YEAR(DV$3))*(MONTH($AC$2:$AX$2)=MONTH(DV$3))*$AC27:$AX27))</f>
        <v>0</v>
      </c>
      <c r="DW27" s="164" t="n">
        <f aca="false">IF(AND($BA27&gt;0,$BB27&gt;=$BA27),$AA27*MAX(0,MIN($BB27,EOMONTH(DW$3,0))-MAX($BA27,DW$3)+1)/($BB27-$BA27+1),SUMPRODUCT((YEAR($AC$2:$AX$2)=YEAR(DW$3))*(MONTH($AC$2:$AX$2)=MONTH(DW$3))*$AC27:$AX27))</f>
        <v>0</v>
      </c>
    </row>
    <row r="28" customFormat="false" ht="15" hidden="false" customHeight="false" outlineLevel="0" collapsed="false">
      <c r="H28" s="150" t="s">
        <v>2986</v>
      </c>
      <c r="J28" s="152" t="n">
        <v>700.6245</v>
      </c>
      <c r="K28" s="152" t="n">
        <v>242.8</v>
      </c>
      <c r="L28" s="152" t="n">
        <v>1353.789475</v>
      </c>
      <c r="O28" s="152" t="n">
        <v>22199.25</v>
      </c>
      <c r="P28" s="152" t="n">
        <v>700.6245</v>
      </c>
      <c r="S28" s="149" t="n">
        <f aca="false">K28*($D$59+$D$57)</f>
        <v>176838.47544</v>
      </c>
      <c r="T28" s="149" t="n">
        <f aca="false">L28*$D$47</f>
        <v>180460.1370175</v>
      </c>
      <c r="V28" s="149" t="n">
        <f aca="false">O28*($D$54)</f>
        <v>129045.3502125</v>
      </c>
      <c r="W28" s="149" t="n">
        <f aca="false">O28*($D$49)</f>
        <v>62046.90375</v>
      </c>
      <c r="Y28" s="149" t="n">
        <f aca="false">SUM(P28:Q28)*($D$50+$D$52)</f>
        <v>9521.592048675</v>
      </c>
      <c r="AA28" s="149" t="n">
        <f aca="false">SUM(S28:Y28)</f>
        <v>557912.458468675</v>
      </c>
      <c r="AL28" s="149" t="n">
        <f aca="false">AA28</f>
        <v>557912.458468675</v>
      </c>
      <c r="AZ28" s="162" t="s">
        <v>2809</v>
      </c>
      <c r="BA28" s="163" t="n">
        <f aca="false">IF(AZ28="",0,SUMPRODUCT(('CRONOGRAMA ATIVIDADES'!$C$5:$C$6004="ESTRUTURA")*('CRONOGRAMA ATIVIDADES'!$E$5:$E$6004=AZ28)*('CRONOGRAMA ATIVIDADES'!$D$5:$D$6004="-")*'CRONOGRAMA ATIVIDADES'!$F$5:$F$6004))</f>
        <v>46461</v>
      </c>
      <c r="BB28" s="163" t="n">
        <f aca="false">IF(AZ28="",0,SUMPRODUCT(('CRONOGRAMA ATIVIDADES'!$C$5:$C$6004="ESTRUTURA")*('CRONOGRAMA ATIVIDADES'!$E$5:$E$6004=AZ28)*('CRONOGRAMA ATIVIDADES'!$D$5:$D$6004="-")*'CRONOGRAMA ATIVIDADES'!$G$5:$G$6004))</f>
        <v>46471</v>
      </c>
      <c r="BD28" s="164" t="n">
        <f aca="false">IF(AND($BA28&gt;0,$BB28&gt;=$BA28),$AA28*MAX(0,MIN($BB28,EOMONTH(BD$3,0))-MAX($BA28,BD$3)+1)/($BB28-$BA28+1),SUMPRODUCT((YEAR($AC$2:$AX$2)=YEAR(BD$3))*(MONTH($AC$2:$AX$2)=MONTH(BD$3))*$AC28:$AX28))</f>
        <v>0</v>
      </c>
      <c r="BE28" s="164" t="n">
        <f aca="false">IF(AND($BA28&gt;0,$BB28&gt;=$BA28),$AA28*MAX(0,MIN($BB28,EOMONTH(BE$3,0))-MAX($BA28,BE$3)+1)/($BB28-$BA28+1),SUMPRODUCT((YEAR($AC$2:$AX$2)=YEAR(BE$3))*(MONTH($AC$2:$AX$2)=MONTH(BE$3))*$AC28:$AX28))</f>
        <v>0</v>
      </c>
      <c r="BF28" s="164" t="n">
        <f aca="false">IF(AND($BA28&gt;0,$BB28&gt;=$BA28),$AA28*MAX(0,MIN($BB28,EOMONTH(BF$3,0))-MAX($BA28,BF$3)+1)/($BB28-$BA28+1),SUMPRODUCT((YEAR($AC$2:$AX$2)=YEAR(BF$3))*(MONTH($AC$2:$AX$2)=MONTH(BF$3))*$AC28:$AX28))</f>
        <v>0</v>
      </c>
      <c r="BG28" s="164" t="n">
        <f aca="false">IF(AND($BA28&gt;0,$BB28&gt;=$BA28),$AA28*MAX(0,MIN($BB28,EOMONTH(BG$3,0))-MAX($BA28,BG$3)+1)/($BB28-$BA28+1),SUMPRODUCT((YEAR($AC$2:$AX$2)=YEAR(BG$3))*(MONTH($AC$2:$AX$2)=MONTH(BG$3))*$AC28:$AX28))</f>
        <v>0</v>
      </c>
      <c r="BH28" s="164" t="n">
        <f aca="false">IF(AND($BA28&gt;0,$BB28&gt;=$BA28),$AA28*MAX(0,MIN($BB28,EOMONTH(BH$3,0))-MAX($BA28,BH$3)+1)/($BB28-$BA28+1),SUMPRODUCT((YEAR($AC$2:$AX$2)=YEAR(BH$3))*(MONTH($AC$2:$AX$2)=MONTH(BH$3))*$AC28:$AX28))</f>
        <v>0</v>
      </c>
      <c r="BI28" s="164" t="n">
        <f aca="false">IF(AND($BA28&gt;0,$BB28&gt;=$BA28),$AA28*MAX(0,MIN($BB28,EOMONTH(BI$3,0))-MAX($BA28,BI$3)+1)/($BB28-$BA28+1),SUMPRODUCT((YEAR($AC$2:$AX$2)=YEAR(BI$3))*(MONTH($AC$2:$AX$2)=MONTH(BI$3))*$AC28:$AX28))</f>
        <v>0</v>
      </c>
      <c r="BJ28" s="164" t="n">
        <f aca="false">IF(AND($BA28&gt;0,$BB28&gt;=$BA28),$AA28*MAX(0,MIN($BB28,EOMONTH(BJ$3,0))-MAX($BA28,BJ$3)+1)/($BB28-$BA28+1),SUMPRODUCT((YEAR($AC$2:$AX$2)=YEAR(BJ$3))*(MONTH($AC$2:$AX$2)=MONTH(BJ$3))*$AC28:$AX28))</f>
        <v>0</v>
      </c>
      <c r="BK28" s="164" t="n">
        <f aca="false">IF(AND($BA28&gt;0,$BB28&gt;=$BA28),$AA28*MAX(0,MIN($BB28,EOMONTH(BK$3,0))-MAX($BA28,BK$3)+1)/($BB28-$BA28+1),SUMPRODUCT((YEAR($AC$2:$AX$2)=YEAR(BK$3))*(MONTH($AC$2:$AX$2)=MONTH(BK$3))*$AC28:$AX28))</f>
        <v>0</v>
      </c>
      <c r="BL28" s="164" t="n">
        <f aca="false">IF(AND($BA28&gt;0,$BB28&gt;=$BA28),$AA28*MAX(0,MIN($BB28,EOMONTH(BL$3,0))-MAX($BA28,BL$3)+1)/($BB28-$BA28+1),SUMPRODUCT((YEAR($AC$2:$AX$2)=YEAR(BL$3))*(MONTH($AC$2:$AX$2)=MONTH(BL$3))*$AC28:$AX28))</f>
        <v>0</v>
      </c>
      <c r="BM28" s="164" t="n">
        <f aca="false">IF(AND($BA28&gt;0,$BB28&gt;=$BA28),$AA28*MAX(0,MIN($BB28,EOMONTH(BM$3,0))-MAX($BA28,BM$3)+1)/($BB28-$BA28+1),SUMPRODUCT((YEAR($AC$2:$AX$2)=YEAR(BM$3))*(MONTH($AC$2:$AX$2)=MONTH(BM$3))*$AC28:$AX28))</f>
        <v>0</v>
      </c>
      <c r="BN28" s="164" t="n">
        <f aca="false">IF(AND($BA28&gt;0,$BB28&gt;=$BA28),$AA28*MAX(0,MIN($BB28,EOMONTH(BN$3,0))-MAX($BA28,BN$3)+1)/($BB28-$BA28+1),SUMPRODUCT((YEAR($AC$2:$AX$2)=YEAR(BN$3))*(MONTH($AC$2:$AX$2)=MONTH(BN$3))*$AC28:$AX28))</f>
        <v>0</v>
      </c>
      <c r="BO28" s="164" t="n">
        <f aca="false">IF(AND($BA28&gt;0,$BB28&gt;=$BA28),$AA28*MAX(0,MIN($BB28,EOMONTH(BO$3,0))-MAX($BA28,BO$3)+1)/($BB28-$BA28+1),SUMPRODUCT((YEAR($AC$2:$AX$2)=YEAR(BO$3))*(MONTH($AC$2:$AX$2)=MONTH(BO$3))*$AC28:$AX28))</f>
        <v>0</v>
      </c>
      <c r="BP28" s="164" t="n">
        <f aca="false">IF(AND($BA28&gt;0,$BB28&gt;=$BA28),$AA28*MAX(0,MIN($BB28,EOMONTH(BP$3,0))-MAX($BA28,BP$3)+1)/($BB28-$BA28+1),SUMPRODUCT((YEAR($AC$2:$AX$2)=YEAR(BP$3))*(MONTH($AC$2:$AX$2)=MONTH(BP$3))*$AC28:$AX28))</f>
        <v>0</v>
      </c>
      <c r="BQ28" s="164" t="n">
        <f aca="false">IF(AND($BA28&gt;0,$BB28&gt;=$BA28),$AA28*MAX(0,MIN($BB28,EOMONTH(BQ$3,0))-MAX($BA28,BQ$3)+1)/($BB28-$BA28+1),SUMPRODUCT((YEAR($AC$2:$AX$2)=YEAR(BQ$3))*(MONTH($AC$2:$AX$2)=MONTH(BQ$3))*$AC28:$AX28))</f>
        <v>0</v>
      </c>
      <c r="BR28" s="164" t="n">
        <f aca="false">IF(AND($BA28&gt;0,$BB28&gt;=$BA28),$AA28*MAX(0,MIN($BB28,EOMONTH(BR$3,0))-MAX($BA28,BR$3)+1)/($BB28-$BA28+1),SUMPRODUCT((YEAR($AC$2:$AX$2)=YEAR(BR$3))*(MONTH($AC$2:$AX$2)=MONTH(BR$3))*$AC28:$AX28))</f>
        <v>0</v>
      </c>
      <c r="BS28" s="164" t="n">
        <f aca="false">IF(AND($BA28&gt;0,$BB28&gt;=$BA28),$AA28*MAX(0,MIN($BB28,EOMONTH(BS$3,0))-MAX($BA28,BS$3)+1)/($BB28-$BA28+1),SUMPRODUCT((YEAR($AC$2:$AX$2)=YEAR(BS$3))*(MONTH($AC$2:$AX$2)=MONTH(BS$3))*$AC28:$AX28))</f>
        <v>0</v>
      </c>
      <c r="BT28" s="164" t="n">
        <f aca="false">IF(AND($BA28&gt;0,$BB28&gt;=$BA28),$AA28*MAX(0,MIN($BB28,EOMONTH(BT$3,0))-MAX($BA28,BT$3)+1)/($BB28-$BA28+1),SUMPRODUCT((YEAR($AC$2:$AX$2)=YEAR(BT$3))*(MONTH($AC$2:$AX$2)=MONTH(BT$3))*$AC28:$AX28))</f>
        <v>0</v>
      </c>
      <c r="BU28" s="164" t="n">
        <f aca="false">IF(AND($BA28&gt;0,$BB28&gt;=$BA28),$AA28*MAX(0,MIN($BB28,EOMONTH(BU$3,0))-MAX($BA28,BU$3)+1)/($BB28-$BA28+1),SUMPRODUCT((YEAR($AC$2:$AX$2)=YEAR(BU$3))*(MONTH($AC$2:$AX$2)=MONTH(BU$3))*$AC28:$AX28))</f>
        <v>0</v>
      </c>
      <c r="BV28" s="164" t="n">
        <f aca="false">IF(AND($BA28&gt;0,$BB28&gt;=$BA28),$AA28*MAX(0,MIN($BB28,EOMONTH(BV$3,0))-MAX($BA28,BV$3)+1)/($BB28-$BA28+1),SUMPRODUCT((YEAR($AC$2:$AX$2)=YEAR(BV$3))*(MONTH($AC$2:$AX$2)=MONTH(BV$3))*$AC28:$AX28))</f>
        <v>0</v>
      </c>
      <c r="BW28" s="164" t="n">
        <f aca="false">IF(AND($BA28&gt;0,$BB28&gt;=$BA28),$AA28*MAX(0,MIN($BB28,EOMONTH(BW$3,0))-MAX($BA28,BW$3)+1)/($BB28-$BA28+1),SUMPRODUCT((YEAR($AC$2:$AX$2)=YEAR(BW$3))*(MONTH($AC$2:$AX$2)=MONTH(BW$3))*$AC28:$AX28))</f>
        <v>0</v>
      </c>
      <c r="BX28" s="164" t="n">
        <f aca="false">IF(AND($BA28&gt;0,$BB28&gt;=$BA28),$AA28*MAX(0,MIN($BB28,EOMONTH(BX$3,0))-MAX($BA28,BX$3)+1)/($BB28-$BA28+1),SUMPRODUCT((YEAR($AC$2:$AX$2)=YEAR(BX$3))*(MONTH($AC$2:$AX$2)=MONTH(BX$3))*$AC28:$AX28))</f>
        <v>0</v>
      </c>
      <c r="BY28" s="164" t="n">
        <f aca="false">IF(AND($BA28&gt;0,$BB28&gt;=$BA28),$AA28*MAX(0,MIN($BB28,EOMONTH(BY$3,0))-MAX($BA28,BY$3)+1)/($BB28-$BA28+1),SUMPRODUCT((YEAR($AC$2:$AX$2)=YEAR(BY$3))*(MONTH($AC$2:$AX$2)=MONTH(BY$3))*$AC28:$AX28))</f>
        <v>0</v>
      </c>
      <c r="BZ28" s="164" t="n">
        <f aca="false">IF(AND($BA28&gt;0,$BB28&gt;=$BA28),$AA28*MAX(0,MIN($BB28,EOMONTH(BZ$3,0))-MAX($BA28,BZ$3)+1)/($BB28-$BA28+1),SUMPRODUCT((YEAR($AC$2:$AX$2)=YEAR(BZ$3))*(MONTH($AC$2:$AX$2)=MONTH(BZ$3))*$AC28:$AX28))</f>
        <v>0</v>
      </c>
      <c r="CA28" s="164" t="n">
        <f aca="false">IF(AND($BA28&gt;0,$BB28&gt;=$BA28),$AA28*MAX(0,MIN($BB28,EOMONTH(CA$3,0))-MAX($BA28,CA$3)+1)/($BB28-$BA28+1),SUMPRODUCT((YEAR($AC$2:$AX$2)=YEAR(CA$3))*(MONTH($AC$2:$AX$2)=MONTH(CA$3))*$AC28:$AX28))</f>
        <v>0</v>
      </c>
      <c r="CB28" s="164" t="n">
        <f aca="false">IF(AND($BA28&gt;0,$BB28&gt;=$BA28),$AA28*MAX(0,MIN($BB28,EOMONTH(CB$3,0))-MAX($BA28,CB$3)+1)/($BB28-$BA28+1),SUMPRODUCT((YEAR($AC$2:$AX$2)=YEAR(CB$3))*(MONTH($AC$2:$AX$2)=MONTH(CB$3))*$AC28:$AX28))</f>
        <v>0</v>
      </c>
      <c r="CC28" s="164" t="n">
        <f aca="false">IF(AND($BA28&gt;0,$BB28&gt;=$BA28),$AA28*MAX(0,MIN($BB28,EOMONTH(CC$3,0))-MAX($BA28,CC$3)+1)/($BB28-$BA28+1),SUMPRODUCT((YEAR($AC$2:$AX$2)=YEAR(CC$3))*(MONTH($AC$2:$AX$2)=MONTH(CC$3))*$AC28:$AX28))</f>
        <v>0</v>
      </c>
      <c r="CD28" s="164" t="n">
        <f aca="false">IF(AND($BA28&gt;0,$BB28&gt;=$BA28),$AA28*MAX(0,MIN($BB28,EOMONTH(CD$3,0))-MAX($BA28,CD$3)+1)/($BB28-$BA28+1),SUMPRODUCT((YEAR($AC$2:$AX$2)=YEAR(CD$3))*(MONTH($AC$2:$AX$2)=MONTH(CD$3))*$AC28:$AX28))</f>
        <v>0</v>
      </c>
      <c r="CE28" s="164" t="n">
        <f aca="false">IF(AND($BA28&gt;0,$BB28&gt;=$BA28),$AA28*MAX(0,MIN($BB28,EOMONTH(CE$3,0))-MAX($BA28,CE$3)+1)/($BB28-$BA28+1),SUMPRODUCT((YEAR($AC$2:$AX$2)=YEAR(CE$3))*(MONTH($AC$2:$AX$2)=MONTH(CE$3))*$AC28:$AX28))</f>
        <v>557912.458468675</v>
      </c>
      <c r="CF28" s="164" t="n">
        <f aca="false">IF(AND($BA28&gt;0,$BB28&gt;=$BA28),$AA28*MAX(0,MIN($BB28,EOMONTH(CF$3,0))-MAX($BA28,CF$3)+1)/($BB28-$BA28+1),SUMPRODUCT((YEAR($AC$2:$AX$2)=YEAR(CF$3))*(MONTH($AC$2:$AX$2)=MONTH(CF$3))*$AC28:$AX28))</f>
        <v>0</v>
      </c>
      <c r="CG28" s="164" t="n">
        <f aca="false">IF(AND($BA28&gt;0,$BB28&gt;=$BA28),$AA28*MAX(0,MIN($BB28,EOMONTH(CG$3,0))-MAX($BA28,CG$3)+1)/($BB28-$BA28+1),SUMPRODUCT((YEAR($AC$2:$AX$2)=YEAR(CG$3))*(MONTH($AC$2:$AX$2)=MONTH(CG$3))*$AC28:$AX28))</f>
        <v>0</v>
      </c>
      <c r="CH28" s="164" t="n">
        <f aca="false">IF(AND($BA28&gt;0,$BB28&gt;=$BA28),$AA28*MAX(0,MIN($BB28,EOMONTH(CH$3,0))-MAX($BA28,CH$3)+1)/($BB28-$BA28+1),SUMPRODUCT((YEAR($AC$2:$AX$2)=YEAR(CH$3))*(MONTH($AC$2:$AX$2)=MONTH(CH$3))*$AC28:$AX28))</f>
        <v>0</v>
      </c>
      <c r="CI28" s="164" t="n">
        <f aca="false">IF(AND($BA28&gt;0,$BB28&gt;=$BA28),$AA28*MAX(0,MIN($BB28,EOMONTH(CI$3,0))-MAX($BA28,CI$3)+1)/($BB28-$BA28+1),SUMPRODUCT((YEAR($AC$2:$AX$2)=YEAR(CI$3))*(MONTH($AC$2:$AX$2)=MONTH(CI$3))*$AC28:$AX28))</f>
        <v>0</v>
      </c>
      <c r="CJ28" s="164" t="n">
        <f aca="false">IF(AND($BA28&gt;0,$BB28&gt;=$BA28),$AA28*MAX(0,MIN($BB28,EOMONTH(CJ$3,0))-MAX($BA28,CJ$3)+1)/($BB28-$BA28+1),SUMPRODUCT((YEAR($AC$2:$AX$2)=YEAR(CJ$3))*(MONTH($AC$2:$AX$2)=MONTH(CJ$3))*$AC28:$AX28))</f>
        <v>0</v>
      </c>
      <c r="CK28" s="164" t="n">
        <f aca="false">IF(AND($BA28&gt;0,$BB28&gt;=$BA28),$AA28*MAX(0,MIN($BB28,EOMONTH(CK$3,0))-MAX($BA28,CK$3)+1)/($BB28-$BA28+1),SUMPRODUCT((YEAR($AC$2:$AX$2)=YEAR(CK$3))*(MONTH($AC$2:$AX$2)=MONTH(CK$3))*$AC28:$AX28))</f>
        <v>0</v>
      </c>
      <c r="CL28" s="164" t="n">
        <f aca="false">IF(AND($BA28&gt;0,$BB28&gt;=$BA28),$AA28*MAX(0,MIN($BB28,EOMONTH(CL$3,0))-MAX($BA28,CL$3)+1)/($BB28-$BA28+1),SUMPRODUCT((YEAR($AC$2:$AX$2)=YEAR(CL$3))*(MONTH($AC$2:$AX$2)=MONTH(CL$3))*$AC28:$AX28))</f>
        <v>0</v>
      </c>
      <c r="CM28" s="164" t="n">
        <f aca="false">IF(AND($BA28&gt;0,$BB28&gt;=$BA28),$AA28*MAX(0,MIN($BB28,EOMONTH(CM$3,0))-MAX($BA28,CM$3)+1)/($BB28-$BA28+1),SUMPRODUCT((YEAR($AC$2:$AX$2)=YEAR(CM$3))*(MONTH($AC$2:$AX$2)=MONTH(CM$3))*$AC28:$AX28))</f>
        <v>0</v>
      </c>
      <c r="CN28" s="164" t="n">
        <f aca="false">IF(AND($BA28&gt;0,$BB28&gt;=$BA28),$AA28*MAX(0,MIN($BB28,EOMONTH(CN$3,0))-MAX($BA28,CN$3)+1)/($BB28-$BA28+1),SUMPRODUCT((YEAR($AC$2:$AX$2)=YEAR(CN$3))*(MONTH($AC$2:$AX$2)=MONTH(CN$3))*$AC28:$AX28))</f>
        <v>0</v>
      </c>
      <c r="CO28" s="164" t="n">
        <f aca="false">IF(AND($BA28&gt;0,$BB28&gt;=$BA28),$AA28*MAX(0,MIN($BB28,EOMONTH(CO$3,0))-MAX($BA28,CO$3)+1)/($BB28-$BA28+1),SUMPRODUCT((YEAR($AC$2:$AX$2)=YEAR(CO$3))*(MONTH($AC$2:$AX$2)=MONTH(CO$3))*$AC28:$AX28))</f>
        <v>0</v>
      </c>
      <c r="CP28" s="164" t="n">
        <f aca="false">IF(AND($BA28&gt;0,$BB28&gt;=$BA28),$AA28*MAX(0,MIN($BB28,EOMONTH(CP$3,0))-MAX($BA28,CP$3)+1)/($BB28-$BA28+1),SUMPRODUCT((YEAR($AC$2:$AX$2)=YEAR(CP$3))*(MONTH($AC$2:$AX$2)=MONTH(CP$3))*$AC28:$AX28))</f>
        <v>0</v>
      </c>
      <c r="CQ28" s="164" t="n">
        <f aca="false">IF(AND($BA28&gt;0,$BB28&gt;=$BA28),$AA28*MAX(0,MIN($BB28,EOMONTH(CQ$3,0))-MAX($BA28,CQ$3)+1)/($BB28-$BA28+1),SUMPRODUCT((YEAR($AC$2:$AX$2)=YEAR(CQ$3))*(MONTH($AC$2:$AX$2)=MONTH(CQ$3))*$AC28:$AX28))</f>
        <v>0</v>
      </c>
      <c r="CR28" s="164" t="n">
        <f aca="false">IF(AND($BA28&gt;0,$BB28&gt;=$BA28),$AA28*MAX(0,MIN($BB28,EOMONTH(CR$3,0))-MAX($BA28,CR$3)+1)/($BB28-$BA28+1),SUMPRODUCT((YEAR($AC$2:$AX$2)=YEAR(CR$3))*(MONTH($AC$2:$AX$2)=MONTH(CR$3))*$AC28:$AX28))</f>
        <v>0</v>
      </c>
      <c r="CS28" s="164" t="n">
        <f aca="false">IF(AND($BA28&gt;0,$BB28&gt;=$BA28),$AA28*MAX(0,MIN($BB28,EOMONTH(CS$3,0))-MAX($BA28,CS$3)+1)/($BB28-$BA28+1),SUMPRODUCT((YEAR($AC$2:$AX$2)=YEAR(CS$3))*(MONTH($AC$2:$AX$2)=MONTH(CS$3))*$AC28:$AX28))</f>
        <v>0</v>
      </c>
      <c r="CT28" s="164" t="n">
        <f aca="false">IF(AND($BA28&gt;0,$BB28&gt;=$BA28),$AA28*MAX(0,MIN($BB28,EOMONTH(CT$3,0))-MAX($BA28,CT$3)+1)/($BB28-$BA28+1),SUMPRODUCT((YEAR($AC$2:$AX$2)=YEAR(CT$3))*(MONTH($AC$2:$AX$2)=MONTH(CT$3))*$AC28:$AX28))</f>
        <v>0</v>
      </c>
      <c r="CU28" s="164" t="n">
        <f aca="false">IF(AND($BA28&gt;0,$BB28&gt;=$BA28),$AA28*MAX(0,MIN($BB28,EOMONTH(CU$3,0))-MAX($BA28,CU$3)+1)/($BB28-$BA28+1),SUMPRODUCT((YEAR($AC$2:$AX$2)=YEAR(CU$3))*(MONTH($AC$2:$AX$2)=MONTH(CU$3))*$AC28:$AX28))</f>
        <v>0</v>
      </c>
      <c r="CV28" s="164" t="n">
        <f aca="false">IF(AND($BA28&gt;0,$BB28&gt;=$BA28),$AA28*MAX(0,MIN($BB28,EOMONTH(CV$3,0))-MAX($BA28,CV$3)+1)/($BB28-$BA28+1),SUMPRODUCT((YEAR($AC$2:$AX$2)=YEAR(CV$3))*(MONTH($AC$2:$AX$2)=MONTH(CV$3))*$AC28:$AX28))</f>
        <v>0</v>
      </c>
      <c r="CW28" s="164" t="n">
        <f aca="false">IF(AND($BA28&gt;0,$BB28&gt;=$BA28),$AA28*MAX(0,MIN($BB28,EOMONTH(CW$3,0))-MAX($BA28,CW$3)+1)/($BB28-$BA28+1),SUMPRODUCT((YEAR($AC$2:$AX$2)=YEAR(CW$3))*(MONTH($AC$2:$AX$2)=MONTH(CW$3))*$AC28:$AX28))</f>
        <v>0</v>
      </c>
      <c r="CX28" s="164" t="n">
        <f aca="false">IF(AND($BA28&gt;0,$BB28&gt;=$BA28),$AA28*MAX(0,MIN($BB28,EOMONTH(CX$3,0))-MAX($BA28,CX$3)+1)/($BB28-$BA28+1),SUMPRODUCT((YEAR($AC$2:$AX$2)=YEAR(CX$3))*(MONTH($AC$2:$AX$2)=MONTH(CX$3))*$AC28:$AX28))</f>
        <v>0</v>
      </c>
      <c r="CY28" s="164" t="n">
        <f aca="false">IF(AND($BA28&gt;0,$BB28&gt;=$BA28),$AA28*MAX(0,MIN($BB28,EOMONTH(CY$3,0))-MAX($BA28,CY$3)+1)/($BB28-$BA28+1),SUMPRODUCT((YEAR($AC$2:$AX$2)=YEAR(CY$3))*(MONTH($AC$2:$AX$2)=MONTH(CY$3))*$AC28:$AX28))</f>
        <v>0</v>
      </c>
      <c r="CZ28" s="164" t="n">
        <f aca="false">IF(AND($BA28&gt;0,$BB28&gt;=$BA28),$AA28*MAX(0,MIN($BB28,EOMONTH(CZ$3,0))-MAX($BA28,CZ$3)+1)/($BB28-$BA28+1),SUMPRODUCT((YEAR($AC$2:$AX$2)=YEAR(CZ$3))*(MONTH($AC$2:$AX$2)=MONTH(CZ$3))*$AC28:$AX28))</f>
        <v>0</v>
      </c>
      <c r="DA28" s="164" t="n">
        <f aca="false">IF(AND($BA28&gt;0,$BB28&gt;=$BA28),$AA28*MAX(0,MIN($BB28,EOMONTH(DA$3,0))-MAX($BA28,DA$3)+1)/($BB28-$BA28+1),SUMPRODUCT((YEAR($AC$2:$AX$2)=YEAR(DA$3))*(MONTH($AC$2:$AX$2)=MONTH(DA$3))*$AC28:$AX28))</f>
        <v>0</v>
      </c>
      <c r="DB28" s="164" t="n">
        <f aca="false">IF(AND($BA28&gt;0,$BB28&gt;=$BA28),$AA28*MAX(0,MIN($BB28,EOMONTH(DB$3,0))-MAX($BA28,DB$3)+1)/($BB28-$BA28+1),SUMPRODUCT((YEAR($AC$2:$AX$2)=YEAR(DB$3))*(MONTH($AC$2:$AX$2)=MONTH(DB$3))*$AC28:$AX28))</f>
        <v>0</v>
      </c>
      <c r="DC28" s="164" t="n">
        <f aca="false">IF(AND($BA28&gt;0,$BB28&gt;=$BA28),$AA28*MAX(0,MIN($BB28,EOMONTH(DC$3,0))-MAX($BA28,DC$3)+1)/($BB28-$BA28+1),SUMPRODUCT((YEAR($AC$2:$AX$2)=YEAR(DC$3))*(MONTH($AC$2:$AX$2)=MONTH(DC$3))*$AC28:$AX28))</f>
        <v>0</v>
      </c>
      <c r="DD28" s="164" t="n">
        <f aca="false">IF(AND($BA28&gt;0,$BB28&gt;=$BA28),$AA28*MAX(0,MIN($BB28,EOMONTH(DD$3,0))-MAX($BA28,DD$3)+1)/($BB28-$BA28+1),SUMPRODUCT((YEAR($AC$2:$AX$2)=YEAR(DD$3))*(MONTH($AC$2:$AX$2)=MONTH(DD$3))*$AC28:$AX28))</f>
        <v>0</v>
      </c>
      <c r="DE28" s="164" t="n">
        <f aca="false">IF(AND($BA28&gt;0,$BB28&gt;=$BA28),$AA28*MAX(0,MIN($BB28,EOMONTH(DE$3,0))-MAX($BA28,DE$3)+1)/($BB28-$BA28+1),SUMPRODUCT((YEAR($AC$2:$AX$2)=YEAR(DE$3))*(MONTH($AC$2:$AX$2)=MONTH(DE$3))*$AC28:$AX28))</f>
        <v>0</v>
      </c>
      <c r="DF28" s="164" t="n">
        <f aca="false">IF(AND($BA28&gt;0,$BB28&gt;=$BA28),$AA28*MAX(0,MIN($BB28,EOMONTH(DF$3,0))-MAX($BA28,DF$3)+1)/($BB28-$BA28+1),SUMPRODUCT((YEAR($AC$2:$AX$2)=YEAR(DF$3))*(MONTH($AC$2:$AX$2)=MONTH(DF$3))*$AC28:$AX28))</f>
        <v>0</v>
      </c>
      <c r="DG28" s="164" t="n">
        <f aca="false">IF(AND($BA28&gt;0,$BB28&gt;=$BA28),$AA28*MAX(0,MIN($BB28,EOMONTH(DG$3,0))-MAX($BA28,DG$3)+1)/($BB28-$BA28+1),SUMPRODUCT((YEAR($AC$2:$AX$2)=YEAR(DG$3))*(MONTH($AC$2:$AX$2)=MONTH(DG$3))*$AC28:$AX28))</f>
        <v>0</v>
      </c>
      <c r="DH28" s="164" t="n">
        <f aca="false">IF(AND($BA28&gt;0,$BB28&gt;=$BA28),$AA28*MAX(0,MIN($BB28,EOMONTH(DH$3,0))-MAX($BA28,DH$3)+1)/($BB28-$BA28+1),SUMPRODUCT((YEAR($AC$2:$AX$2)=YEAR(DH$3))*(MONTH($AC$2:$AX$2)=MONTH(DH$3))*$AC28:$AX28))</f>
        <v>0</v>
      </c>
      <c r="DI28" s="164" t="n">
        <f aca="false">IF(AND($BA28&gt;0,$BB28&gt;=$BA28),$AA28*MAX(0,MIN($BB28,EOMONTH(DI$3,0))-MAX($BA28,DI$3)+1)/($BB28-$BA28+1),SUMPRODUCT((YEAR($AC$2:$AX$2)=YEAR(DI$3))*(MONTH($AC$2:$AX$2)=MONTH(DI$3))*$AC28:$AX28))</f>
        <v>0</v>
      </c>
      <c r="DJ28" s="164" t="n">
        <f aca="false">IF(AND($BA28&gt;0,$BB28&gt;=$BA28),$AA28*MAX(0,MIN($BB28,EOMONTH(DJ$3,0))-MAX($BA28,DJ$3)+1)/($BB28-$BA28+1),SUMPRODUCT((YEAR($AC$2:$AX$2)=YEAR(DJ$3))*(MONTH($AC$2:$AX$2)=MONTH(DJ$3))*$AC28:$AX28))</f>
        <v>0</v>
      </c>
      <c r="DK28" s="164" t="n">
        <f aca="false">IF(AND($BA28&gt;0,$BB28&gt;=$BA28),$AA28*MAX(0,MIN($BB28,EOMONTH(DK$3,0))-MAX($BA28,DK$3)+1)/($BB28-$BA28+1),SUMPRODUCT((YEAR($AC$2:$AX$2)=YEAR(DK$3))*(MONTH($AC$2:$AX$2)=MONTH(DK$3))*$AC28:$AX28))</f>
        <v>0</v>
      </c>
      <c r="DL28" s="164" t="n">
        <f aca="false">IF(AND($BA28&gt;0,$BB28&gt;=$BA28),$AA28*MAX(0,MIN($BB28,EOMONTH(DL$3,0))-MAX($BA28,DL$3)+1)/($BB28-$BA28+1),SUMPRODUCT((YEAR($AC$2:$AX$2)=YEAR(DL$3))*(MONTH($AC$2:$AX$2)=MONTH(DL$3))*$AC28:$AX28))</f>
        <v>0</v>
      </c>
      <c r="DM28" s="164" t="n">
        <f aca="false">IF(AND($BA28&gt;0,$BB28&gt;=$BA28),$AA28*MAX(0,MIN($BB28,EOMONTH(DM$3,0))-MAX($BA28,DM$3)+1)/($BB28-$BA28+1),SUMPRODUCT((YEAR($AC$2:$AX$2)=YEAR(DM$3))*(MONTH($AC$2:$AX$2)=MONTH(DM$3))*$AC28:$AX28))</f>
        <v>0</v>
      </c>
      <c r="DN28" s="164" t="n">
        <f aca="false">IF(AND($BA28&gt;0,$BB28&gt;=$BA28),$AA28*MAX(0,MIN($BB28,EOMONTH(DN$3,0))-MAX($BA28,DN$3)+1)/($BB28-$BA28+1),SUMPRODUCT((YEAR($AC$2:$AX$2)=YEAR(DN$3))*(MONTH($AC$2:$AX$2)=MONTH(DN$3))*$AC28:$AX28))</f>
        <v>0</v>
      </c>
      <c r="DO28" s="164" t="n">
        <f aca="false">IF(AND($BA28&gt;0,$BB28&gt;=$BA28),$AA28*MAX(0,MIN($BB28,EOMONTH(DO$3,0))-MAX($BA28,DO$3)+1)/($BB28-$BA28+1),SUMPRODUCT((YEAR($AC$2:$AX$2)=YEAR(DO$3))*(MONTH($AC$2:$AX$2)=MONTH(DO$3))*$AC28:$AX28))</f>
        <v>0</v>
      </c>
      <c r="DP28" s="164" t="n">
        <f aca="false">IF(AND($BA28&gt;0,$BB28&gt;=$BA28),$AA28*MAX(0,MIN($BB28,EOMONTH(DP$3,0))-MAX($BA28,DP$3)+1)/($BB28-$BA28+1),SUMPRODUCT((YEAR($AC$2:$AX$2)=YEAR(DP$3))*(MONTH($AC$2:$AX$2)=MONTH(DP$3))*$AC28:$AX28))</f>
        <v>0</v>
      </c>
      <c r="DQ28" s="164" t="n">
        <f aca="false">IF(AND($BA28&gt;0,$BB28&gt;=$BA28),$AA28*MAX(0,MIN($BB28,EOMONTH(DQ$3,0))-MAX($BA28,DQ$3)+1)/($BB28-$BA28+1),SUMPRODUCT((YEAR($AC$2:$AX$2)=YEAR(DQ$3))*(MONTH($AC$2:$AX$2)=MONTH(DQ$3))*$AC28:$AX28))</f>
        <v>0</v>
      </c>
      <c r="DR28" s="164" t="n">
        <f aca="false">IF(AND($BA28&gt;0,$BB28&gt;=$BA28),$AA28*MAX(0,MIN($BB28,EOMONTH(DR$3,0))-MAX($BA28,DR$3)+1)/($BB28-$BA28+1),SUMPRODUCT((YEAR($AC$2:$AX$2)=YEAR(DR$3))*(MONTH($AC$2:$AX$2)=MONTH(DR$3))*$AC28:$AX28))</f>
        <v>0</v>
      </c>
      <c r="DS28" s="164" t="n">
        <f aca="false">IF(AND($BA28&gt;0,$BB28&gt;=$BA28),$AA28*MAX(0,MIN($BB28,EOMONTH(DS$3,0))-MAX($BA28,DS$3)+1)/($BB28-$BA28+1),SUMPRODUCT((YEAR($AC$2:$AX$2)=YEAR(DS$3))*(MONTH($AC$2:$AX$2)=MONTH(DS$3))*$AC28:$AX28))</f>
        <v>0</v>
      </c>
      <c r="DT28" s="164" t="n">
        <f aca="false">IF(AND($BA28&gt;0,$BB28&gt;=$BA28),$AA28*MAX(0,MIN($BB28,EOMONTH(DT$3,0))-MAX($BA28,DT$3)+1)/($BB28-$BA28+1),SUMPRODUCT((YEAR($AC$2:$AX$2)=YEAR(DT$3))*(MONTH($AC$2:$AX$2)=MONTH(DT$3))*$AC28:$AX28))</f>
        <v>0</v>
      </c>
      <c r="DU28" s="164" t="n">
        <f aca="false">IF(AND($BA28&gt;0,$BB28&gt;=$BA28),$AA28*MAX(0,MIN($BB28,EOMONTH(DU$3,0))-MAX($BA28,DU$3)+1)/($BB28-$BA28+1),SUMPRODUCT((YEAR($AC$2:$AX$2)=YEAR(DU$3))*(MONTH($AC$2:$AX$2)=MONTH(DU$3))*$AC28:$AX28))</f>
        <v>0</v>
      </c>
      <c r="DV28" s="164" t="n">
        <f aca="false">IF(AND($BA28&gt;0,$BB28&gt;=$BA28),$AA28*MAX(0,MIN($BB28,EOMONTH(DV$3,0))-MAX($BA28,DV$3)+1)/($BB28-$BA28+1),SUMPRODUCT((YEAR($AC$2:$AX$2)=YEAR(DV$3))*(MONTH($AC$2:$AX$2)=MONTH(DV$3))*$AC28:$AX28))</f>
        <v>0</v>
      </c>
      <c r="DW28" s="164" t="n">
        <f aca="false">IF(AND($BA28&gt;0,$BB28&gt;=$BA28),$AA28*MAX(0,MIN($BB28,EOMONTH(DW$3,0))-MAX($BA28,DW$3)+1)/($BB28-$BA28+1),SUMPRODUCT((YEAR($AC$2:$AX$2)=YEAR(DW$3))*(MONTH($AC$2:$AX$2)=MONTH(DW$3))*$AC28:$AX28))</f>
        <v>0</v>
      </c>
    </row>
    <row r="29" customFormat="false" ht="15" hidden="false" customHeight="false" outlineLevel="0" collapsed="false">
      <c r="H29" s="150" t="s">
        <v>2987</v>
      </c>
      <c r="J29" s="152" t="n">
        <v>700.6245</v>
      </c>
      <c r="K29" s="152" t="n">
        <v>242.8</v>
      </c>
      <c r="L29" s="152" t="n">
        <v>1353.789475</v>
      </c>
      <c r="O29" s="152" t="n">
        <v>22980.25</v>
      </c>
      <c r="P29" s="152" t="n">
        <v>700.6245</v>
      </c>
      <c r="S29" s="149" t="n">
        <f aca="false">K29*($D$59+$D$57)</f>
        <v>176838.47544</v>
      </c>
      <c r="T29" s="149" t="n">
        <f aca="false">L29*$D$47</f>
        <v>180460.1370175</v>
      </c>
      <c r="V29" s="149" t="n">
        <f aca="false">O29*($D$54)</f>
        <v>133585.3422625</v>
      </c>
      <c r="W29" s="149" t="n">
        <f aca="false">O29*($D$49)</f>
        <v>64229.79875</v>
      </c>
      <c r="Y29" s="149" t="n">
        <f aca="false">SUM(P29:Q29)*($D$50+$D$52)</f>
        <v>9521.592048675</v>
      </c>
      <c r="AA29" s="149" t="n">
        <f aca="false">SUM(S29:Y29)</f>
        <v>564635.345518675</v>
      </c>
      <c r="AL29" s="149" t="n">
        <f aca="false">AA29</f>
        <v>564635.345518675</v>
      </c>
      <c r="AZ29" s="162" t="s">
        <v>2805</v>
      </c>
      <c r="BA29" s="163" t="n">
        <f aca="false">IF(AZ29="",0,SUMPRODUCT(('CRONOGRAMA ATIVIDADES'!$C$5:$C$6004="ESTRUTURA")*('CRONOGRAMA ATIVIDADES'!$E$5:$E$6004=AZ29)*('CRONOGRAMA ATIVIDADES'!$D$5:$D$6004="-")*'CRONOGRAMA ATIVIDADES'!$F$5:$F$6004))</f>
        <v>46447</v>
      </c>
      <c r="BB29" s="163" t="n">
        <f aca="false">IF(AZ29="",0,SUMPRODUCT(('CRONOGRAMA ATIVIDADES'!$C$5:$C$6004="ESTRUTURA")*('CRONOGRAMA ATIVIDADES'!$E$5:$E$6004=AZ29)*('CRONOGRAMA ATIVIDADES'!$D$5:$D$6004="-")*'CRONOGRAMA ATIVIDADES'!$G$5:$G$6004))</f>
        <v>46458</v>
      </c>
      <c r="BD29" s="164" t="n">
        <f aca="false">IF(AND($BA29&gt;0,$BB29&gt;=$BA29),$AA29*MAX(0,MIN($BB29,EOMONTH(BD$3,0))-MAX($BA29,BD$3)+1)/($BB29-$BA29+1),SUMPRODUCT((YEAR($AC$2:$AX$2)=YEAR(BD$3))*(MONTH($AC$2:$AX$2)=MONTH(BD$3))*$AC29:$AX29))</f>
        <v>0</v>
      </c>
      <c r="BE29" s="164" t="n">
        <f aca="false">IF(AND($BA29&gt;0,$BB29&gt;=$BA29),$AA29*MAX(0,MIN($BB29,EOMONTH(BE$3,0))-MAX($BA29,BE$3)+1)/($BB29-$BA29+1),SUMPRODUCT((YEAR($AC$2:$AX$2)=YEAR(BE$3))*(MONTH($AC$2:$AX$2)=MONTH(BE$3))*$AC29:$AX29))</f>
        <v>0</v>
      </c>
      <c r="BF29" s="164" t="n">
        <f aca="false">IF(AND($BA29&gt;0,$BB29&gt;=$BA29),$AA29*MAX(0,MIN($BB29,EOMONTH(BF$3,0))-MAX($BA29,BF$3)+1)/($BB29-$BA29+1),SUMPRODUCT((YEAR($AC$2:$AX$2)=YEAR(BF$3))*(MONTH($AC$2:$AX$2)=MONTH(BF$3))*$AC29:$AX29))</f>
        <v>0</v>
      </c>
      <c r="BG29" s="164" t="n">
        <f aca="false">IF(AND($BA29&gt;0,$BB29&gt;=$BA29),$AA29*MAX(0,MIN($BB29,EOMONTH(BG$3,0))-MAX($BA29,BG$3)+1)/($BB29-$BA29+1),SUMPRODUCT((YEAR($AC$2:$AX$2)=YEAR(BG$3))*(MONTH($AC$2:$AX$2)=MONTH(BG$3))*$AC29:$AX29))</f>
        <v>0</v>
      </c>
      <c r="BH29" s="164" t="n">
        <f aca="false">IF(AND($BA29&gt;0,$BB29&gt;=$BA29),$AA29*MAX(0,MIN($BB29,EOMONTH(BH$3,0))-MAX($BA29,BH$3)+1)/($BB29-$BA29+1),SUMPRODUCT((YEAR($AC$2:$AX$2)=YEAR(BH$3))*(MONTH($AC$2:$AX$2)=MONTH(BH$3))*$AC29:$AX29))</f>
        <v>0</v>
      </c>
      <c r="BI29" s="164" t="n">
        <f aca="false">IF(AND($BA29&gt;0,$BB29&gt;=$BA29),$AA29*MAX(0,MIN($BB29,EOMONTH(BI$3,0))-MAX($BA29,BI$3)+1)/($BB29-$BA29+1),SUMPRODUCT((YEAR($AC$2:$AX$2)=YEAR(BI$3))*(MONTH($AC$2:$AX$2)=MONTH(BI$3))*$AC29:$AX29))</f>
        <v>0</v>
      </c>
      <c r="BJ29" s="164" t="n">
        <f aca="false">IF(AND($BA29&gt;0,$BB29&gt;=$BA29),$AA29*MAX(0,MIN($BB29,EOMONTH(BJ$3,0))-MAX($BA29,BJ$3)+1)/($BB29-$BA29+1),SUMPRODUCT((YEAR($AC$2:$AX$2)=YEAR(BJ$3))*(MONTH($AC$2:$AX$2)=MONTH(BJ$3))*$AC29:$AX29))</f>
        <v>0</v>
      </c>
      <c r="BK29" s="164" t="n">
        <f aca="false">IF(AND($BA29&gt;0,$BB29&gt;=$BA29),$AA29*MAX(0,MIN($BB29,EOMONTH(BK$3,0))-MAX($BA29,BK$3)+1)/($BB29-$BA29+1),SUMPRODUCT((YEAR($AC$2:$AX$2)=YEAR(BK$3))*(MONTH($AC$2:$AX$2)=MONTH(BK$3))*$AC29:$AX29))</f>
        <v>0</v>
      </c>
      <c r="BL29" s="164" t="n">
        <f aca="false">IF(AND($BA29&gt;0,$BB29&gt;=$BA29),$AA29*MAX(0,MIN($BB29,EOMONTH(BL$3,0))-MAX($BA29,BL$3)+1)/($BB29-$BA29+1),SUMPRODUCT((YEAR($AC$2:$AX$2)=YEAR(BL$3))*(MONTH($AC$2:$AX$2)=MONTH(BL$3))*$AC29:$AX29))</f>
        <v>0</v>
      </c>
      <c r="BM29" s="164" t="n">
        <f aca="false">IF(AND($BA29&gt;0,$BB29&gt;=$BA29),$AA29*MAX(0,MIN($BB29,EOMONTH(BM$3,0))-MAX($BA29,BM$3)+1)/($BB29-$BA29+1),SUMPRODUCT((YEAR($AC$2:$AX$2)=YEAR(BM$3))*(MONTH($AC$2:$AX$2)=MONTH(BM$3))*$AC29:$AX29))</f>
        <v>0</v>
      </c>
      <c r="BN29" s="164" t="n">
        <f aca="false">IF(AND($BA29&gt;0,$BB29&gt;=$BA29),$AA29*MAX(0,MIN($BB29,EOMONTH(BN$3,0))-MAX($BA29,BN$3)+1)/($BB29-$BA29+1),SUMPRODUCT((YEAR($AC$2:$AX$2)=YEAR(BN$3))*(MONTH($AC$2:$AX$2)=MONTH(BN$3))*$AC29:$AX29))</f>
        <v>0</v>
      </c>
      <c r="BO29" s="164" t="n">
        <f aca="false">IF(AND($BA29&gt;0,$BB29&gt;=$BA29),$AA29*MAX(0,MIN($BB29,EOMONTH(BO$3,0))-MAX($BA29,BO$3)+1)/($BB29-$BA29+1),SUMPRODUCT((YEAR($AC$2:$AX$2)=YEAR(BO$3))*(MONTH($AC$2:$AX$2)=MONTH(BO$3))*$AC29:$AX29))</f>
        <v>0</v>
      </c>
      <c r="BP29" s="164" t="n">
        <f aca="false">IF(AND($BA29&gt;0,$BB29&gt;=$BA29),$AA29*MAX(0,MIN($BB29,EOMONTH(BP$3,0))-MAX($BA29,BP$3)+1)/($BB29-$BA29+1),SUMPRODUCT((YEAR($AC$2:$AX$2)=YEAR(BP$3))*(MONTH($AC$2:$AX$2)=MONTH(BP$3))*$AC29:$AX29))</f>
        <v>0</v>
      </c>
      <c r="BQ29" s="164" t="n">
        <f aca="false">IF(AND($BA29&gt;0,$BB29&gt;=$BA29),$AA29*MAX(0,MIN($BB29,EOMONTH(BQ$3,0))-MAX($BA29,BQ$3)+1)/($BB29-$BA29+1),SUMPRODUCT((YEAR($AC$2:$AX$2)=YEAR(BQ$3))*(MONTH($AC$2:$AX$2)=MONTH(BQ$3))*$AC29:$AX29))</f>
        <v>0</v>
      </c>
      <c r="BR29" s="164" t="n">
        <f aca="false">IF(AND($BA29&gt;0,$BB29&gt;=$BA29),$AA29*MAX(0,MIN($BB29,EOMONTH(BR$3,0))-MAX($BA29,BR$3)+1)/($BB29-$BA29+1),SUMPRODUCT((YEAR($AC$2:$AX$2)=YEAR(BR$3))*(MONTH($AC$2:$AX$2)=MONTH(BR$3))*$AC29:$AX29))</f>
        <v>0</v>
      </c>
      <c r="BS29" s="164" t="n">
        <f aca="false">IF(AND($BA29&gt;0,$BB29&gt;=$BA29),$AA29*MAX(0,MIN($BB29,EOMONTH(BS$3,0))-MAX($BA29,BS$3)+1)/($BB29-$BA29+1),SUMPRODUCT((YEAR($AC$2:$AX$2)=YEAR(BS$3))*(MONTH($AC$2:$AX$2)=MONTH(BS$3))*$AC29:$AX29))</f>
        <v>0</v>
      </c>
      <c r="BT29" s="164" t="n">
        <f aca="false">IF(AND($BA29&gt;0,$BB29&gt;=$BA29),$AA29*MAX(0,MIN($BB29,EOMONTH(BT$3,0))-MAX($BA29,BT$3)+1)/($BB29-$BA29+1),SUMPRODUCT((YEAR($AC$2:$AX$2)=YEAR(BT$3))*(MONTH($AC$2:$AX$2)=MONTH(BT$3))*$AC29:$AX29))</f>
        <v>0</v>
      </c>
      <c r="BU29" s="164" t="n">
        <f aca="false">IF(AND($BA29&gt;0,$BB29&gt;=$BA29),$AA29*MAX(0,MIN($BB29,EOMONTH(BU$3,0))-MAX($BA29,BU$3)+1)/($BB29-$BA29+1),SUMPRODUCT((YEAR($AC$2:$AX$2)=YEAR(BU$3))*(MONTH($AC$2:$AX$2)=MONTH(BU$3))*$AC29:$AX29))</f>
        <v>0</v>
      </c>
      <c r="BV29" s="164" t="n">
        <f aca="false">IF(AND($BA29&gt;0,$BB29&gt;=$BA29),$AA29*MAX(0,MIN($BB29,EOMONTH(BV$3,0))-MAX($BA29,BV$3)+1)/($BB29-$BA29+1),SUMPRODUCT((YEAR($AC$2:$AX$2)=YEAR(BV$3))*(MONTH($AC$2:$AX$2)=MONTH(BV$3))*$AC29:$AX29))</f>
        <v>0</v>
      </c>
      <c r="BW29" s="164" t="n">
        <f aca="false">IF(AND($BA29&gt;0,$BB29&gt;=$BA29),$AA29*MAX(0,MIN($BB29,EOMONTH(BW$3,0))-MAX($BA29,BW$3)+1)/($BB29-$BA29+1),SUMPRODUCT((YEAR($AC$2:$AX$2)=YEAR(BW$3))*(MONTH($AC$2:$AX$2)=MONTH(BW$3))*$AC29:$AX29))</f>
        <v>0</v>
      </c>
      <c r="BX29" s="164" t="n">
        <f aca="false">IF(AND($BA29&gt;0,$BB29&gt;=$BA29),$AA29*MAX(0,MIN($BB29,EOMONTH(BX$3,0))-MAX($BA29,BX$3)+1)/($BB29-$BA29+1),SUMPRODUCT((YEAR($AC$2:$AX$2)=YEAR(BX$3))*(MONTH($AC$2:$AX$2)=MONTH(BX$3))*$AC29:$AX29))</f>
        <v>0</v>
      </c>
      <c r="BY29" s="164" t="n">
        <f aca="false">IF(AND($BA29&gt;0,$BB29&gt;=$BA29),$AA29*MAX(0,MIN($BB29,EOMONTH(BY$3,0))-MAX($BA29,BY$3)+1)/($BB29-$BA29+1),SUMPRODUCT((YEAR($AC$2:$AX$2)=YEAR(BY$3))*(MONTH($AC$2:$AX$2)=MONTH(BY$3))*$AC29:$AX29))</f>
        <v>0</v>
      </c>
      <c r="BZ29" s="164" t="n">
        <f aca="false">IF(AND($BA29&gt;0,$BB29&gt;=$BA29),$AA29*MAX(0,MIN($BB29,EOMONTH(BZ$3,0))-MAX($BA29,BZ$3)+1)/($BB29-$BA29+1),SUMPRODUCT((YEAR($AC$2:$AX$2)=YEAR(BZ$3))*(MONTH($AC$2:$AX$2)=MONTH(BZ$3))*$AC29:$AX29))</f>
        <v>0</v>
      </c>
      <c r="CA29" s="164" t="n">
        <f aca="false">IF(AND($BA29&gt;0,$BB29&gt;=$BA29),$AA29*MAX(0,MIN($BB29,EOMONTH(CA$3,0))-MAX($BA29,CA$3)+1)/($BB29-$BA29+1),SUMPRODUCT((YEAR($AC$2:$AX$2)=YEAR(CA$3))*(MONTH($AC$2:$AX$2)=MONTH(CA$3))*$AC29:$AX29))</f>
        <v>0</v>
      </c>
      <c r="CB29" s="164" t="n">
        <f aca="false">IF(AND($BA29&gt;0,$BB29&gt;=$BA29),$AA29*MAX(0,MIN($BB29,EOMONTH(CB$3,0))-MAX($BA29,CB$3)+1)/($BB29-$BA29+1),SUMPRODUCT((YEAR($AC$2:$AX$2)=YEAR(CB$3))*(MONTH($AC$2:$AX$2)=MONTH(CB$3))*$AC29:$AX29))</f>
        <v>0</v>
      </c>
      <c r="CC29" s="164" t="n">
        <f aca="false">IF(AND($BA29&gt;0,$BB29&gt;=$BA29),$AA29*MAX(0,MIN($BB29,EOMONTH(CC$3,0))-MAX($BA29,CC$3)+1)/($BB29-$BA29+1),SUMPRODUCT((YEAR($AC$2:$AX$2)=YEAR(CC$3))*(MONTH($AC$2:$AX$2)=MONTH(CC$3))*$AC29:$AX29))</f>
        <v>0</v>
      </c>
      <c r="CD29" s="164" t="n">
        <f aca="false">IF(AND($BA29&gt;0,$BB29&gt;=$BA29),$AA29*MAX(0,MIN($BB29,EOMONTH(CD$3,0))-MAX($BA29,CD$3)+1)/($BB29-$BA29+1),SUMPRODUCT((YEAR($AC$2:$AX$2)=YEAR(CD$3))*(MONTH($AC$2:$AX$2)=MONTH(CD$3))*$AC29:$AX29))</f>
        <v>0</v>
      </c>
      <c r="CE29" s="164" t="n">
        <f aca="false">IF(AND($BA29&gt;0,$BB29&gt;=$BA29),$AA29*MAX(0,MIN($BB29,EOMONTH(CE$3,0))-MAX($BA29,CE$3)+1)/($BB29-$BA29+1),SUMPRODUCT((YEAR($AC$2:$AX$2)=YEAR(CE$3))*(MONTH($AC$2:$AX$2)=MONTH(CE$3))*$AC29:$AX29))</f>
        <v>564635.345518675</v>
      </c>
      <c r="CF29" s="164" t="n">
        <f aca="false">IF(AND($BA29&gt;0,$BB29&gt;=$BA29),$AA29*MAX(0,MIN($BB29,EOMONTH(CF$3,0))-MAX($BA29,CF$3)+1)/($BB29-$BA29+1),SUMPRODUCT((YEAR($AC$2:$AX$2)=YEAR(CF$3))*(MONTH($AC$2:$AX$2)=MONTH(CF$3))*$AC29:$AX29))</f>
        <v>0</v>
      </c>
      <c r="CG29" s="164" t="n">
        <f aca="false">IF(AND($BA29&gt;0,$BB29&gt;=$BA29),$AA29*MAX(0,MIN($BB29,EOMONTH(CG$3,0))-MAX($BA29,CG$3)+1)/($BB29-$BA29+1),SUMPRODUCT((YEAR($AC$2:$AX$2)=YEAR(CG$3))*(MONTH($AC$2:$AX$2)=MONTH(CG$3))*$AC29:$AX29))</f>
        <v>0</v>
      </c>
      <c r="CH29" s="164" t="n">
        <f aca="false">IF(AND($BA29&gt;0,$BB29&gt;=$BA29),$AA29*MAX(0,MIN($BB29,EOMONTH(CH$3,0))-MAX($BA29,CH$3)+1)/($BB29-$BA29+1),SUMPRODUCT((YEAR($AC$2:$AX$2)=YEAR(CH$3))*(MONTH($AC$2:$AX$2)=MONTH(CH$3))*$AC29:$AX29))</f>
        <v>0</v>
      </c>
      <c r="CI29" s="164" t="n">
        <f aca="false">IF(AND($BA29&gt;0,$BB29&gt;=$BA29),$AA29*MAX(0,MIN($BB29,EOMONTH(CI$3,0))-MAX($BA29,CI$3)+1)/($BB29-$BA29+1),SUMPRODUCT((YEAR($AC$2:$AX$2)=YEAR(CI$3))*(MONTH($AC$2:$AX$2)=MONTH(CI$3))*$AC29:$AX29))</f>
        <v>0</v>
      </c>
      <c r="CJ29" s="164" t="n">
        <f aca="false">IF(AND($BA29&gt;0,$BB29&gt;=$BA29),$AA29*MAX(0,MIN($BB29,EOMONTH(CJ$3,0))-MAX($BA29,CJ$3)+1)/($BB29-$BA29+1),SUMPRODUCT((YEAR($AC$2:$AX$2)=YEAR(CJ$3))*(MONTH($AC$2:$AX$2)=MONTH(CJ$3))*$AC29:$AX29))</f>
        <v>0</v>
      </c>
      <c r="CK29" s="164" t="n">
        <f aca="false">IF(AND($BA29&gt;0,$BB29&gt;=$BA29),$AA29*MAX(0,MIN($BB29,EOMONTH(CK$3,0))-MAX($BA29,CK$3)+1)/($BB29-$BA29+1),SUMPRODUCT((YEAR($AC$2:$AX$2)=YEAR(CK$3))*(MONTH($AC$2:$AX$2)=MONTH(CK$3))*$AC29:$AX29))</f>
        <v>0</v>
      </c>
      <c r="CL29" s="164" t="n">
        <f aca="false">IF(AND($BA29&gt;0,$BB29&gt;=$BA29),$AA29*MAX(0,MIN($BB29,EOMONTH(CL$3,0))-MAX($BA29,CL$3)+1)/($BB29-$BA29+1),SUMPRODUCT((YEAR($AC$2:$AX$2)=YEAR(CL$3))*(MONTH($AC$2:$AX$2)=MONTH(CL$3))*$AC29:$AX29))</f>
        <v>0</v>
      </c>
      <c r="CM29" s="164" t="n">
        <f aca="false">IF(AND($BA29&gt;0,$BB29&gt;=$BA29),$AA29*MAX(0,MIN($BB29,EOMONTH(CM$3,0))-MAX($BA29,CM$3)+1)/($BB29-$BA29+1),SUMPRODUCT((YEAR($AC$2:$AX$2)=YEAR(CM$3))*(MONTH($AC$2:$AX$2)=MONTH(CM$3))*$AC29:$AX29))</f>
        <v>0</v>
      </c>
      <c r="CN29" s="164" t="n">
        <f aca="false">IF(AND($BA29&gt;0,$BB29&gt;=$BA29),$AA29*MAX(0,MIN($BB29,EOMONTH(CN$3,0))-MAX($BA29,CN$3)+1)/($BB29-$BA29+1),SUMPRODUCT((YEAR($AC$2:$AX$2)=YEAR(CN$3))*(MONTH($AC$2:$AX$2)=MONTH(CN$3))*$AC29:$AX29))</f>
        <v>0</v>
      </c>
      <c r="CO29" s="164" t="n">
        <f aca="false">IF(AND($BA29&gt;0,$BB29&gt;=$BA29),$AA29*MAX(0,MIN($BB29,EOMONTH(CO$3,0))-MAX($BA29,CO$3)+1)/($BB29-$BA29+1),SUMPRODUCT((YEAR($AC$2:$AX$2)=YEAR(CO$3))*(MONTH($AC$2:$AX$2)=MONTH(CO$3))*$AC29:$AX29))</f>
        <v>0</v>
      </c>
      <c r="CP29" s="164" t="n">
        <f aca="false">IF(AND($BA29&gt;0,$BB29&gt;=$BA29),$AA29*MAX(0,MIN($BB29,EOMONTH(CP$3,0))-MAX($BA29,CP$3)+1)/($BB29-$BA29+1),SUMPRODUCT((YEAR($AC$2:$AX$2)=YEAR(CP$3))*(MONTH($AC$2:$AX$2)=MONTH(CP$3))*$AC29:$AX29))</f>
        <v>0</v>
      </c>
      <c r="CQ29" s="164" t="n">
        <f aca="false">IF(AND($BA29&gt;0,$BB29&gt;=$BA29),$AA29*MAX(0,MIN($BB29,EOMONTH(CQ$3,0))-MAX($BA29,CQ$3)+1)/($BB29-$BA29+1),SUMPRODUCT((YEAR($AC$2:$AX$2)=YEAR(CQ$3))*(MONTH($AC$2:$AX$2)=MONTH(CQ$3))*$AC29:$AX29))</f>
        <v>0</v>
      </c>
      <c r="CR29" s="164" t="n">
        <f aca="false">IF(AND($BA29&gt;0,$BB29&gt;=$BA29),$AA29*MAX(0,MIN($BB29,EOMONTH(CR$3,0))-MAX($BA29,CR$3)+1)/($BB29-$BA29+1),SUMPRODUCT((YEAR($AC$2:$AX$2)=YEAR(CR$3))*(MONTH($AC$2:$AX$2)=MONTH(CR$3))*$AC29:$AX29))</f>
        <v>0</v>
      </c>
      <c r="CS29" s="164" t="n">
        <f aca="false">IF(AND($BA29&gt;0,$BB29&gt;=$BA29),$AA29*MAX(0,MIN($BB29,EOMONTH(CS$3,0))-MAX($BA29,CS$3)+1)/($BB29-$BA29+1),SUMPRODUCT((YEAR($AC$2:$AX$2)=YEAR(CS$3))*(MONTH($AC$2:$AX$2)=MONTH(CS$3))*$AC29:$AX29))</f>
        <v>0</v>
      </c>
      <c r="CT29" s="164" t="n">
        <f aca="false">IF(AND($BA29&gt;0,$BB29&gt;=$BA29),$AA29*MAX(0,MIN($BB29,EOMONTH(CT$3,0))-MAX($BA29,CT$3)+1)/($BB29-$BA29+1),SUMPRODUCT((YEAR($AC$2:$AX$2)=YEAR(CT$3))*(MONTH($AC$2:$AX$2)=MONTH(CT$3))*$AC29:$AX29))</f>
        <v>0</v>
      </c>
      <c r="CU29" s="164" t="n">
        <f aca="false">IF(AND($BA29&gt;0,$BB29&gt;=$BA29),$AA29*MAX(0,MIN($BB29,EOMONTH(CU$3,0))-MAX($BA29,CU$3)+1)/($BB29-$BA29+1),SUMPRODUCT((YEAR($AC$2:$AX$2)=YEAR(CU$3))*(MONTH($AC$2:$AX$2)=MONTH(CU$3))*$AC29:$AX29))</f>
        <v>0</v>
      </c>
      <c r="CV29" s="164" t="n">
        <f aca="false">IF(AND($BA29&gt;0,$BB29&gt;=$BA29),$AA29*MAX(0,MIN($BB29,EOMONTH(CV$3,0))-MAX($BA29,CV$3)+1)/($BB29-$BA29+1),SUMPRODUCT((YEAR($AC$2:$AX$2)=YEAR(CV$3))*(MONTH($AC$2:$AX$2)=MONTH(CV$3))*$AC29:$AX29))</f>
        <v>0</v>
      </c>
      <c r="CW29" s="164" t="n">
        <f aca="false">IF(AND($BA29&gt;0,$BB29&gt;=$BA29),$AA29*MAX(0,MIN($BB29,EOMONTH(CW$3,0))-MAX($BA29,CW$3)+1)/($BB29-$BA29+1),SUMPRODUCT((YEAR($AC$2:$AX$2)=YEAR(CW$3))*(MONTH($AC$2:$AX$2)=MONTH(CW$3))*$AC29:$AX29))</f>
        <v>0</v>
      </c>
      <c r="CX29" s="164" t="n">
        <f aca="false">IF(AND($BA29&gt;0,$BB29&gt;=$BA29),$AA29*MAX(0,MIN($BB29,EOMONTH(CX$3,0))-MAX($BA29,CX$3)+1)/($BB29-$BA29+1),SUMPRODUCT((YEAR($AC$2:$AX$2)=YEAR(CX$3))*(MONTH($AC$2:$AX$2)=MONTH(CX$3))*$AC29:$AX29))</f>
        <v>0</v>
      </c>
      <c r="CY29" s="164" t="n">
        <f aca="false">IF(AND($BA29&gt;0,$BB29&gt;=$BA29),$AA29*MAX(0,MIN($BB29,EOMONTH(CY$3,0))-MAX($BA29,CY$3)+1)/($BB29-$BA29+1),SUMPRODUCT((YEAR($AC$2:$AX$2)=YEAR(CY$3))*(MONTH($AC$2:$AX$2)=MONTH(CY$3))*$AC29:$AX29))</f>
        <v>0</v>
      </c>
      <c r="CZ29" s="164" t="n">
        <f aca="false">IF(AND($BA29&gt;0,$BB29&gt;=$BA29),$AA29*MAX(0,MIN($BB29,EOMONTH(CZ$3,0))-MAX($BA29,CZ$3)+1)/($BB29-$BA29+1),SUMPRODUCT((YEAR($AC$2:$AX$2)=YEAR(CZ$3))*(MONTH($AC$2:$AX$2)=MONTH(CZ$3))*$AC29:$AX29))</f>
        <v>0</v>
      </c>
      <c r="DA29" s="164" t="n">
        <f aca="false">IF(AND($BA29&gt;0,$BB29&gt;=$BA29),$AA29*MAX(0,MIN($BB29,EOMONTH(DA$3,0))-MAX($BA29,DA$3)+1)/($BB29-$BA29+1),SUMPRODUCT((YEAR($AC$2:$AX$2)=YEAR(DA$3))*(MONTH($AC$2:$AX$2)=MONTH(DA$3))*$AC29:$AX29))</f>
        <v>0</v>
      </c>
      <c r="DB29" s="164" t="n">
        <f aca="false">IF(AND($BA29&gt;0,$BB29&gt;=$BA29),$AA29*MAX(0,MIN($BB29,EOMONTH(DB$3,0))-MAX($BA29,DB$3)+1)/($BB29-$BA29+1),SUMPRODUCT((YEAR($AC$2:$AX$2)=YEAR(DB$3))*(MONTH($AC$2:$AX$2)=MONTH(DB$3))*$AC29:$AX29))</f>
        <v>0</v>
      </c>
      <c r="DC29" s="164" t="n">
        <f aca="false">IF(AND($BA29&gt;0,$BB29&gt;=$BA29),$AA29*MAX(0,MIN($BB29,EOMONTH(DC$3,0))-MAX($BA29,DC$3)+1)/($BB29-$BA29+1),SUMPRODUCT((YEAR($AC$2:$AX$2)=YEAR(DC$3))*(MONTH($AC$2:$AX$2)=MONTH(DC$3))*$AC29:$AX29))</f>
        <v>0</v>
      </c>
      <c r="DD29" s="164" t="n">
        <f aca="false">IF(AND($BA29&gt;0,$BB29&gt;=$BA29),$AA29*MAX(0,MIN($BB29,EOMONTH(DD$3,0))-MAX($BA29,DD$3)+1)/($BB29-$BA29+1),SUMPRODUCT((YEAR($AC$2:$AX$2)=YEAR(DD$3))*(MONTH($AC$2:$AX$2)=MONTH(DD$3))*$AC29:$AX29))</f>
        <v>0</v>
      </c>
      <c r="DE29" s="164" t="n">
        <f aca="false">IF(AND($BA29&gt;0,$BB29&gt;=$BA29),$AA29*MAX(0,MIN($BB29,EOMONTH(DE$3,0))-MAX($BA29,DE$3)+1)/($BB29-$BA29+1),SUMPRODUCT((YEAR($AC$2:$AX$2)=YEAR(DE$3))*(MONTH($AC$2:$AX$2)=MONTH(DE$3))*$AC29:$AX29))</f>
        <v>0</v>
      </c>
      <c r="DF29" s="164" t="n">
        <f aca="false">IF(AND($BA29&gt;0,$BB29&gt;=$BA29),$AA29*MAX(0,MIN($BB29,EOMONTH(DF$3,0))-MAX($BA29,DF$3)+1)/($BB29-$BA29+1),SUMPRODUCT((YEAR($AC$2:$AX$2)=YEAR(DF$3))*(MONTH($AC$2:$AX$2)=MONTH(DF$3))*$AC29:$AX29))</f>
        <v>0</v>
      </c>
      <c r="DG29" s="164" t="n">
        <f aca="false">IF(AND($BA29&gt;0,$BB29&gt;=$BA29),$AA29*MAX(0,MIN($BB29,EOMONTH(DG$3,0))-MAX($BA29,DG$3)+1)/($BB29-$BA29+1),SUMPRODUCT((YEAR($AC$2:$AX$2)=YEAR(DG$3))*(MONTH($AC$2:$AX$2)=MONTH(DG$3))*$AC29:$AX29))</f>
        <v>0</v>
      </c>
      <c r="DH29" s="164" t="n">
        <f aca="false">IF(AND($BA29&gt;0,$BB29&gt;=$BA29),$AA29*MAX(0,MIN($BB29,EOMONTH(DH$3,0))-MAX($BA29,DH$3)+1)/($BB29-$BA29+1),SUMPRODUCT((YEAR($AC$2:$AX$2)=YEAR(DH$3))*(MONTH($AC$2:$AX$2)=MONTH(DH$3))*$AC29:$AX29))</f>
        <v>0</v>
      </c>
      <c r="DI29" s="164" t="n">
        <f aca="false">IF(AND($BA29&gt;0,$BB29&gt;=$BA29),$AA29*MAX(0,MIN($BB29,EOMONTH(DI$3,0))-MAX($BA29,DI$3)+1)/($BB29-$BA29+1),SUMPRODUCT((YEAR($AC$2:$AX$2)=YEAR(DI$3))*(MONTH($AC$2:$AX$2)=MONTH(DI$3))*$AC29:$AX29))</f>
        <v>0</v>
      </c>
      <c r="DJ29" s="164" t="n">
        <f aca="false">IF(AND($BA29&gt;0,$BB29&gt;=$BA29),$AA29*MAX(0,MIN($BB29,EOMONTH(DJ$3,0))-MAX($BA29,DJ$3)+1)/($BB29-$BA29+1),SUMPRODUCT((YEAR($AC$2:$AX$2)=YEAR(DJ$3))*(MONTH($AC$2:$AX$2)=MONTH(DJ$3))*$AC29:$AX29))</f>
        <v>0</v>
      </c>
      <c r="DK29" s="164" t="n">
        <f aca="false">IF(AND($BA29&gt;0,$BB29&gt;=$BA29),$AA29*MAX(0,MIN($BB29,EOMONTH(DK$3,0))-MAX($BA29,DK$3)+1)/($BB29-$BA29+1),SUMPRODUCT((YEAR($AC$2:$AX$2)=YEAR(DK$3))*(MONTH($AC$2:$AX$2)=MONTH(DK$3))*$AC29:$AX29))</f>
        <v>0</v>
      </c>
      <c r="DL29" s="164" t="n">
        <f aca="false">IF(AND($BA29&gt;0,$BB29&gt;=$BA29),$AA29*MAX(0,MIN($BB29,EOMONTH(DL$3,0))-MAX($BA29,DL$3)+1)/($BB29-$BA29+1),SUMPRODUCT((YEAR($AC$2:$AX$2)=YEAR(DL$3))*(MONTH($AC$2:$AX$2)=MONTH(DL$3))*$AC29:$AX29))</f>
        <v>0</v>
      </c>
      <c r="DM29" s="164" t="n">
        <f aca="false">IF(AND($BA29&gt;0,$BB29&gt;=$BA29),$AA29*MAX(0,MIN($BB29,EOMONTH(DM$3,0))-MAX($BA29,DM$3)+1)/($BB29-$BA29+1),SUMPRODUCT((YEAR($AC$2:$AX$2)=YEAR(DM$3))*(MONTH($AC$2:$AX$2)=MONTH(DM$3))*$AC29:$AX29))</f>
        <v>0</v>
      </c>
      <c r="DN29" s="164" t="n">
        <f aca="false">IF(AND($BA29&gt;0,$BB29&gt;=$BA29),$AA29*MAX(0,MIN($BB29,EOMONTH(DN$3,0))-MAX($BA29,DN$3)+1)/($BB29-$BA29+1),SUMPRODUCT((YEAR($AC$2:$AX$2)=YEAR(DN$3))*(MONTH($AC$2:$AX$2)=MONTH(DN$3))*$AC29:$AX29))</f>
        <v>0</v>
      </c>
      <c r="DO29" s="164" t="n">
        <f aca="false">IF(AND($BA29&gt;0,$BB29&gt;=$BA29),$AA29*MAX(0,MIN($BB29,EOMONTH(DO$3,0))-MAX($BA29,DO$3)+1)/($BB29-$BA29+1),SUMPRODUCT((YEAR($AC$2:$AX$2)=YEAR(DO$3))*(MONTH($AC$2:$AX$2)=MONTH(DO$3))*$AC29:$AX29))</f>
        <v>0</v>
      </c>
      <c r="DP29" s="164" t="n">
        <f aca="false">IF(AND($BA29&gt;0,$BB29&gt;=$BA29),$AA29*MAX(0,MIN($BB29,EOMONTH(DP$3,0))-MAX($BA29,DP$3)+1)/($BB29-$BA29+1),SUMPRODUCT((YEAR($AC$2:$AX$2)=YEAR(DP$3))*(MONTH($AC$2:$AX$2)=MONTH(DP$3))*$AC29:$AX29))</f>
        <v>0</v>
      </c>
      <c r="DQ29" s="164" t="n">
        <f aca="false">IF(AND($BA29&gt;0,$BB29&gt;=$BA29),$AA29*MAX(0,MIN($BB29,EOMONTH(DQ$3,0))-MAX($BA29,DQ$3)+1)/($BB29-$BA29+1),SUMPRODUCT((YEAR($AC$2:$AX$2)=YEAR(DQ$3))*(MONTH($AC$2:$AX$2)=MONTH(DQ$3))*$AC29:$AX29))</f>
        <v>0</v>
      </c>
      <c r="DR29" s="164" t="n">
        <f aca="false">IF(AND($BA29&gt;0,$BB29&gt;=$BA29),$AA29*MAX(0,MIN($BB29,EOMONTH(DR$3,0))-MAX($BA29,DR$3)+1)/($BB29-$BA29+1),SUMPRODUCT((YEAR($AC$2:$AX$2)=YEAR(DR$3))*(MONTH($AC$2:$AX$2)=MONTH(DR$3))*$AC29:$AX29))</f>
        <v>0</v>
      </c>
      <c r="DS29" s="164" t="n">
        <f aca="false">IF(AND($BA29&gt;0,$BB29&gt;=$BA29),$AA29*MAX(0,MIN($BB29,EOMONTH(DS$3,0))-MAX($BA29,DS$3)+1)/($BB29-$BA29+1),SUMPRODUCT((YEAR($AC$2:$AX$2)=YEAR(DS$3))*(MONTH($AC$2:$AX$2)=MONTH(DS$3))*$AC29:$AX29))</f>
        <v>0</v>
      </c>
      <c r="DT29" s="164" t="n">
        <f aca="false">IF(AND($BA29&gt;0,$BB29&gt;=$BA29),$AA29*MAX(0,MIN($BB29,EOMONTH(DT$3,0))-MAX($BA29,DT$3)+1)/($BB29-$BA29+1),SUMPRODUCT((YEAR($AC$2:$AX$2)=YEAR(DT$3))*(MONTH($AC$2:$AX$2)=MONTH(DT$3))*$AC29:$AX29))</f>
        <v>0</v>
      </c>
      <c r="DU29" s="164" t="n">
        <f aca="false">IF(AND($BA29&gt;0,$BB29&gt;=$BA29),$AA29*MAX(0,MIN($BB29,EOMONTH(DU$3,0))-MAX($BA29,DU$3)+1)/($BB29-$BA29+1),SUMPRODUCT((YEAR($AC$2:$AX$2)=YEAR(DU$3))*(MONTH($AC$2:$AX$2)=MONTH(DU$3))*$AC29:$AX29))</f>
        <v>0</v>
      </c>
      <c r="DV29" s="164" t="n">
        <f aca="false">IF(AND($BA29&gt;0,$BB29&gt;=$BA29),$AA29*MAX(0,MIN($BB29,EOMONTH(DV$3,0))-MAX($BA29,DV$3)+1)/($BB29-$BA29+1),SUMPRODUCT((YEAR($AC$2:$AX$2)=YEAR(DV$3))*(MONTH($AC$2:$AX$2)=MONTH(DV$3))*$AC29:$AX29))</f>
        <v>0</v>
      </c>
      <c r="DW29" s="164" t="n">
        <f aca="false">IF(AND($BA29&gt;0,$BB29&gt;=$BA29),$AA29*MAX(0,MIN($BB29,EOMONTH(DW$3,0))-MAX($BA29,DW$3)+1)/($BB29-$BA29+1),SUMPRODUCT((YEAR($AC$2:$AX$2)=YEAR(DW$3))*(MONTH($AC$2:$AX$2)=MONTH(DW$3))*$AC29:$AX29))</f>
        <v>0</v>
      </c>
    </row>
    <row r="30" customFormat="false" ht="15" hidden="false" customHeight="false" outlineLevel="0" collapsed="false">
      <c r="H30" s="150" t="s">
        <v>2988</v>
      </c>
      <c r="J30" s="152" t="n">
        <v>700.6245</v>
      </c>
      <c r="K30" s="152" t="n">
        <v>242.8</v>
      </c>
      <c r="L30" s="152" t="n">
        <v>1353.789475</v>
      </c>
      <c r="O30" s="152" t="n">
        <v>26116.25</v>
      </c>
      <c r="P30" s="152" t="n">
        <v>700.6245</v>
      </c>
      <c r="S30" s="149" t="n">
        <f aca="false">K30*($D$59+$D$57)</f>
        <v>176838.47544</v>
      </c>
      <c r="T30" s="149" t="n">
        <f aca="false">L30*$D$47</f>
        <v>180460.1370175</v>
      </c>
      <c r="V30" s="149" t="n">
        <f aca="false">O30*($D$54)</f>
        <v>151815.0670625</v>
      </c>
      <c r="W30" s="149" t="n">
        <f aca="false">O30*($D$49)</f>
        <v>72994.91875</v>
      </c>
      <c r="Y30" s="149" t="n">
        <f aca="false">SUM(P30:Q30)*($D$50+$D$52)</f>
        <v>9521.592048675</v>
      </c>
      <c r="AA30" s="149" t="n">
        <f aca="false">SUM(S30:Y30)</f>
        <v>591630.190318675</v>
      </c>
      <c r="AK30" s="149" t="n">
        <f aca="false">AA30*0.8</f>
        <v>473304.15225494</v>
      </c>
      <c r="AL30" s="149" t="n">
        <f aca="false">AA30*0.2</f>
        <v>118326.038063735</v>
      </c>
      <c r="AZ30" s="162" t="s">
        <v>2804</v>
      </c>
      <c r="BA30" s="163" t="n">
        <f aca="false">IF(AZ30="",0,SUMPRODUCT(('CRONOGRAMA ATIVIDADES'!$C$5:$C$6004="ESTRUTURA")*('CRONOGRAMA ATIVIDADES'!$E$5:$E$6004=AZ30)*('CRONOGRAMA ATIVIDADES'!$D$5:$D$6004="-")*'CRONOGRAMA ATIVIDADES'!$F$5:$F$6004))</f>
        <v>46433</v>
      </c>
      <c r="BB30" s="163" t="n">
        <f aca="false">IF(AZ30="",0,SUMPRODUCT(('CRONOGRAMA ATIVIDADES'!$C$5:$C$6004="ESTRUTURA")*('CRONOGRAMA ATIVIDADES'!$E$5:$E$6004=AZ30)*('CRONOGRAMA ATIVIDADES'!$D$5:$D$6004="-")*'CRONOGRAMA ATIVIDADES'!$G$5:$G$6004))</f>
        <v>46444</v>
      </c>
      <c r="BD30" s="164" t="n">
        <f aca="false">IF(AND($BA30&gt;0,$BB30&gt;=$BA30),$AA30*MAX(0,MIN($BB30,EOMONTH(BD$3,0))-MAX($BA30,BD$3)+1)/($BB30-$BA30+1),SUMPRODUCT((YEAR($AC$2:$AX$2)=YEAR(BD$3))*(MONTH($AC$2:$AX$2)=MONTH(BD$3))*$AC30:$AX30))</f>
        <v>0</v>
      </c>
      <c r="BE30" s="164" t="n">
        <f aca="false">IF(AND($BA30&gt;0,$BB30&gt;=$BA30),$AA30*MAX(0,MIN($BB30,EOMONTH(BE$3,0))-MAX($BA30,BE$3)+1)/($BB30-$BA30+1),SUMPRODUCT((YEAR($AC$2:$AX$2)=YEAR(BE$3))*(MONTH($AC$2:$AX$2)=MONTH(BE$3))*$AC30:$AX30))</f>
        <v>0</v>
      </c>
      <c r="BF30" s="164" t="n">
        <f aca="false">IF(AND($BA30&gt;0,$BB30&gt;=$BA30),$AA30*MAX(0,MIN($BB30,EOMONTH(BF$3,0))-MAX($BA30,BF$3)+1)/($BB30-$BA30+1),SUMPRODUCT((YEAR($AC$2:$AX$2)=YEAR(BF$3))*(MONTH($AC$2:$AX$2)=MONTH(BF$3))*$AC30:$AX30))</f>
        <v>0</v>
      </c>
      <c r="BG30" s="164" t="n">
        <f aca="false">IF(AND($BA30&gt;0,$BB30&gt;=$BA30),$AA30*MAX(0,MIN($BB30,EOMONTH(BG$3,0))-MAX($BA30,BG$3)+1)/($BB30-$BA30+1),SUMPRODUCT((YEAR($AC$2:$AX$2)=YEAR(BG$3))*(MONTH($AC$2:$AX$2)=MONTH(BG$3))*$AC30:$AX30))</f>
        <v>0</v>
      </c>
      <c r="BH30" s="164" t="n">
        <f aca="false">IF(AND($BA30&gt;0,$BB30&gt;=$BA30),$AA30*MAX(0,MIN($BB30,EOMONTH(BH$3,0))-MAX($BA30,BH$3)+1)/($BB30-$BA30+1),SUMPRODUCT((YEAR($AC$2:$AX$2)=YEAR(BH$3))*(MONTH($AC$2:$AX$2)=MONTH(BH$3))*$AC30:$AX30))</f>
        <v>0</v>
      </c>
      <c r="BI30" s="164" t="n">
        <f aca="false">IF(AND($BA30&gt;0,$BB30&gt;=$BA30),$AA30*MAX(0,MIN($BB30,EOMONTH(BI$3,0))-MAX($BA30,BI$3)+1)/($BB30-$BA30+1),SUMPRODUCT((YEAR($AC$2:$AX$2)=YEAR(BI$3))*(MONTH($AC$2:$AX$2)=MONTH(BI$3))*$AC30:$AX30))</f>
        <v>0</v>
      </c>
      <c r="BJ30" s="164" t="n">
        <f aca="false">IF(AND($BA30&gt;0,$BB30&gt;=$BA30),$AA30*MAX(0,MIN($BB30,EOMONTH(BJ$3,0))-MAX($BA30,BJ$3)+1)/($BB30-$BA30+1),SUMPRODUCT((YEAR($AC$2:$AX$2)=YEAR(BJ$3))*(MONTH($AC$2:$AX$2)=MONTH(BJ$3))*$AC30:$AX30))</f>
        <v>0</v>
      </c>
      <c r="BK30" s="164" t="n">
        <f aca="false">IF(AND($BA30&gt;0,$BB30&gt;=$BA30),$AA30*MAX(0,MIN($BB30,EOMONTH(BK$3,0))-MAX($BA30,BK$3)+1)/($BB30-$BA30+1),SUMPRODUCT((YEAR($AC$2:$AX$2)=YEAR(BK$3))*(MONTH($AC$2:$AX$2)=MONTH(BK$3))*$AC30:$AX30))</f>
        <v>0</v>
      </c>
      <c r="BL30" s="164" t="n">
        <f aca="false">IF(AND($BA30&gt;0,$BB30&gt;=$BA30),$AA30*MAX(0,MIN($BB30,EOMONTH(BL$3,0))-MAX($BA30,BL$3)+1)/($BB30-$BA30+1),SUMPRODUCT((YEAR($AC$2:$AX$2)=YEAR(BL$3))*(MONTH($AC$2:$AX$2)=MONTH(BL$3))*$AC30:$AX30))</f>
        <v>0</v>
      </c>
      <c r="BM30" s="164" t="n">
        <f aca="false">IF(AND($BA30&gt;0,$BB30&gt;=$BA30),$AA30*MAX(0,MIN($BB30,EOMONTH(BM$3,0))-MAX($BA30,BM$3)+1)/($BB30-$BA30+1),SUMPRODUCT((YEAR($AC$2:$AX$2)=YEAR(BM$3))*(MONTH($AC$2:$AX$2)=MONTH(BM$3))*$AC30:$AX30))</f>
        <v>0</v>
      </c>
      <c r="BN30" s="164" t="n">
        <f aca="false">IF(AND($BA30&gt;0,$BB30&gt;=$BA30),$AA30*MAX(0,MIN($BB30,EOMONTH(BN$3,0))-MAX($BA30,BN$3)+1)/($BB30-$BA30+1),SUMPRODUCT((YEAR($AC$2:$AX$2)=YEAR(BN$3))*(MONTH($AC$2:$AX$2)=MONTH(BN$3))*$AC30:$AX30))</f>
        <v>0</v>
      </c>
      <c r="BO30" s="164" t="n">
        <f aca="false">IF(AND($BA30&gt;0,$BB30&gt;=$BA30),$AA30*MAX(0,MIN($BB30,EOMONTH(BO$3,0))-MAX($BA30,BO$3)+1)/($BB30-$BA30+1),SUMPRODUCT((YEAR($AC$2:$AX$2)=YEAR(BO$3))*(MONTH($AC$2:$AX$2)=MONTH(BO$3))*$AC30:$AX30))</f>
        <v>0</v>
      </c>
      <c r="BP30" s="164" t="n">
        <f aca="false">IF(AND($BA30&gt;0,$BB30&gt;=$BA30),$AA30*MAX(0,MIN($BB30,EOMONTH(BP$3,0))-MAX($BA30,BP$3)+1)/($BB30-$BA30+1),SUMPRODUCT((YEAR($AC$2:$AX$2)=YEAR(BP$3))*(MONTH($AC$2:$AX$2)=MONTH(BP$3))*$AC30:$AX30))</f>
        <v>0</v>
      </c>
      <c r="BQ30" s="164" t="n">
        <f aca="false">IF(AND($BA30&gt;0,$BB30&gt;=$BA30),$AA30*MAX(0,MIN($BB30,EOMONTH(BQ$3,0))-MAX($BA30,BQ$3)+1)/($BB30-$BA30+1),SUMPRODUCT((YEAR($AC$2:$AX$2)=YEAR(BQ$3))*(MONTH($AC$2:$AX$2)=MONTH(BQ$3))*$AC30:$AX30))</f>
        <v>0</v>
      </c>
      <c r="BR30" s="164" t="n">
        <f aca="false">IF(AND($BA30&gt;0,$BB30&gt;=$BA30),$AA30*MAX(0,MIN($BB30,EOMONTH(BR$3,0))-MAX($BA30,BR$3)+1)/($BB30-$BA30+1),SUMPRODUCT((YEAR($AC$2:$AX$2)=YEAR(BR$3))*(MONTH($AC$2:$AX$2)=MONTH(BR$3))*$AC30:$AX30))</f>
        <v>0</v>
      </c>
      <c r="BS30" s="164" t="n">
        <f aca="false">IF(AND($BA30&gt;0,$BB30&gt;=$BA30),$AA30*MAX(0,MIN($BB30,EOMONTH(BS$3,0))-MAX($BA30,BS$3)+1)/($BB30-$BA30+1),SUMPRODUCT((YEAR($AC$2:$AX$2)=YEAR(BS$3))*(MONTH($AC$2:$AX$2)=MONTH(BS$3))*$AC30:$AX30))</f>
        <v>0</v>
      </c>
      <c r="BT30" s="164" t="n">
        <f aca="false">IF(AND($BA30&gt;0,$BB30&gt;=$BA30),$AA30*MAX(0,MIN($BB30,EOMONTH(BT$3,0))-MAX($BA30,BT$3)+1)/($BB30-$BA30+1),SUMPRODUCT((YEAR($AC$2:$AX$2)=YEAR(BT$3))*(MONTH($AC$2:$AX$2)=MONTH(BT$3))*$AC30:$AX30))</f>
        <v>0</v>
      </c>
      <c r="BU30" s="164" t="n">
        <f aca="false">IF(AND($BA30&gt;0,$BB30&gt;=$BA30),$AA30*MAX(0,MIN($BB30,EOMONTH(BU$3,0))-MAX($BA30,BU$3)+1)/($BB30-$BA30+1),SUMPRODUCT((YEAR($AC$2:$AX$2)=YEAR(BU$3))*(MONTH($AC$2:$AX$2)=MONTH(BU$3))*$AC30:$AX30))</f>
        <v>0</v>
      </c>
      <c r="BV30" s="164" t="n">
        <f aca="false">IF(AND($BA30&gt;0,$BB30&gt;=$BA30),$AA30*MAX(0,MIN($BB30,EOMONTH(BV$3,0))-MAX($BA30,BV$3)+1)/($BB30-$BA30+1),SUMPRODUCT((YEAR($AC$2:$AX$2)=YEAR(BV$3))*(MONTH($AC$2:$AX$2)=MONTH(BV$3))*$AC30:$AX30))</f>
        <v>0</v>
      </c>
      <c r="BW30" s="164" t="n">
        <f aca="false">IF(AND($BA30&gt;0,$BB30&gt;=$BA30),$AA30*MAX(0,MIN($BB30,EOMONTH(BW$3,0))-MAX($BA30,BW$3)+1)/($BB30-$BA30+1),SUMPRODUCT((YEAR($AC$2:$AX$2)=YEAR(BW$3))*(MONTH($AC$2:$AX$2)=MONTH(BW$3))*$AC30:$AX30))</f>
        <v>0</v>
      </c>
      <c r="BX30" s="164" t="n">
        <f aca="false">IF(AND($BA30&gt;0,$BB30&gt;=$BA30),$AA30*MAX(0,MIN($BB30,EOMONTH(BX$3,0))-MAX($BA30,BX$3)+1)/($BB30-$BA30+1),SUMPRODUCT((YEAR($AC$2:$AX$2)=YEAR(BX$3))*(MONTH($AC$2:$AX$2)=MONTH(BX$3))*$AC30:$AX30))</f>
        <v>0</v>
      </c>
      <c r="BY30" s="164" t="n">
        <f aca="false">IF(AND($BA30&gt;0,$BB30&gt;=$BA30),$AA30*MAX(0,MIN($BB30,EOMONTH(BY$3,0))-MAX($BA30,BY$3)+1)/($BB30-$BA30+1),SUMPRODUCT((YEAR($AC$2:$AX$2)=YEAR(BY$3))*(MONTH($AC$2:$AX$2)=MONTH(BY$3))*$AC30:$AX30))</f>
        <v>0</v>
      </c>
      <c r="BZ30" s="164" t="n">
        <f aca="false">IF(AND($BA30&gt;0,$BB30&gt;=$BA30),$AA30*MAX(0,MIN($BB30,EOMONTH(BZ$3,0))-MAX($BA30,BZ$3)+1)/($BB30-$BA30+1),SUMPRODUCT((YEAR($AC$2:$AX$2)=YEAR(BZ$3))*(MONTH($AC$2:$AX$2)=MONTH(BZ$3))*$AC30:$AX30))</f>
        <v>0</v>
      </c>
      <c r="CA30" s="164" t="n">
        <f aca="false">IF(AND($BA30&gt;0,$BB30&gt;=$BA30),$AA30*MAX(0,MIN($BB30,EOMONTH(CA$3,0))-MAX($BA30,CA$3)+1)/($BB30-$BA30+1),SUMPRODUCT((YEAR($AC$2:$AX$2)=YEAR(CA$3))*(MONTH($AC$2:$AX$2)=MONTH(CA$3))*$AC30:$AX30))</f>
        <v>0</v>
      </c>
      <c r="CB30" s="164" t="n">
        <f aca="false">IF(AND($BA30&gt;0,$BB30&gt;=$BA30),$AA30*MAX(0,MIN($BB30,EOMONTH(CB$3,0))-MAX($BA30,CB$3)+1)/($BB30-$BA30+1),SUMPRODUCT((YEAR($AC$2:$AX$2)=YEAR(CB$3))*(MONTH($AC$2:$AX$2)=MONTH(CB$3))*$AC30:$AX30))</f>
        <v>0</v>
      </c>
      <c r="CC30" s="164" t="n">
        <f aca="false">IF(AND($BA30&gt;0,$BB30&gt;=$BA30),$AA30*MAX(0,MIN($BB30,EOMONTH(CC$3,0))-MAX($BA30,CC$3)+1)/($BB30-$BA30+1),SUMPRODUCT((YEAR($AC$2:$AX$2)=YEAR(CC$3))*(MONTH($AC$2:$AX$2)=MONTH(CC$3))*$AC30:$AX30))</f>
        <v>0</v>
      </c>
      <c r="CD30" s="164" t="n">
        <f aca="false">IF(AND($BA30&gt;0,$BB30&gt;=$BA30),$AA30*MAX(0,MIN($BB30,EOMONTH(CD$3,0))-MAX($BA30,CD$3)+1)/($BB30-$BA30+1),SUMPRODUCT((YEAR($AC$2:$AX$2)=YEAR(CD$3))*(MONTH($AC$2:$AX$2)=MONTH(CD$3))*$AC30:$AX30))</f>
        <v>591630.190318675</v>
      </c>
      <c r="CE30" s="164" t="n">
        <f aca="false">IF(AND($BA30&gt;0,$BB30&gt;=$BA30),$AA30*MAX(0,MIN($BB30,EOMONTH(CE$3,0))-MAX($BA30,CE$3)+1)/($BB30-$BA30+1),SUMPRODUCT((YEAR($AC$2:$AX$2)=YEAR(CE$3))*(MONTH($AC$2:$AX$2)=MONTH(CE$3))*$AC30:$AX30))</f>
        <v>0</v>
      </c>
      <c r="CF30" s="164" t="n">
        <f aca="false">IF(AND($BA30&gt;0,$BB30&gt;=$BA30),$AA30*MAX(0,MIN($BB30,EOMONTH(CF$3,0))-MAX($BA30,CF$3)+1)/($BB30-$BA30+1),SUMPRODUCT((YEAR($AC$2:$AX$2)=YEAR(CF$3))*(MONTH($AC$2:$AX$2)=MONTH(CF$3))*$AC30:$AX30))</f>
        <v>0</v>
      </c>
      <c r="CG30" s="164" t="n">
        <f aca="false">IF(AND($BA30&gt;0,$BB30&gt;=$BA30),$AA30*MAX(0,MIN($BB30,EOMONTH(CG$3,0))-MAX($BA30,CG$3)+1)/($BB30-$BA30+1),SUMPRODUCT((YEAR($AC$2:$AX$2)=YEAR(CG$3))*(MONTH($AC$2:$AX$2)=MONTH(CG$3))*$AC30:$AX30))</f>
        <v>0</v>
      </c>
      <c r="CH30" s="164" t="n">
        <f aca="false">IF(AND($BA30&gt;0,$BB30&gt;=$BA30),$AA30*MAX(0,MIN($BB30,EOMONTH(CH$3,0))-MAX($BA30,CH$3)+1)/($BB30-$BA30+1),SUMPRODUCT((YEAR($AC$2:$AX$2)=YEAR(CH$3))*(MONTH($AC$2:$AX$2)=MONTH(CH$3))*$AC30:$AX30))</f>
        <v>0</v>
      </c>
      <c r="CI30" s="164" t="n">
        <f aca="false">IF(AND($BA30&gt;0,$BB30&gt;=$BA30),$AA30*MAX(0,MIN($BB30,EOMONTH(CI$3,0))-MAX($BA30,CI$3)+1)/($BB30-$BA30+1),SUMPRODUCT((YEAR($AC$2:$AX$2)=YEAR(CI$3))*(MONTH($AC$2:$AX$2)=MONTH(CI$3))*$AC30:$AX30))</f>
        <v>0</v>
      </c>
      <c r="CJ30" s="164" t="n">
        <f aca="false">IF(AND($BA30&gt;0,$BB30&gt;=$BA30),$AA30*MAX(0,MIN($BB30,EOMONTH(CJ$3,0))-MAX($BA30,CJ$3)+1)/($BB30-$BA30+1),SUMPRODUCT((YEAR($AC$2:$AX$2)=YEAR(CJ$3))*(MONTH($AC$2:$AX$2)=MONTH(CJ$3))*$AC30:$AX30))</f>
        <v>0</v>
      </c>
      <c r="CK30" s="164" t="n">
        <f aca="false">IF(AND($BA30&gt;0,$BB30&gt;=$BA30),$AA30*MAX(0,MIN($BB30,EOMONTH(CK$3,0))-MAX($BA30,CK$3)+1)/($BB30-$BA30+1),SUMPRODUCT((YEAR($AC$2:$AX$2)=YEAR(CK$3))*(MONTH($AC$2:$AX$2)=MONTH(CK$3))*$AC30:$AX30))</f>
        <v>0</v>
      </c>
      <c r="CL30" s="164" t="n">
        <f aca="false">IF(AND($BA30&gt;0,$BB30&gt;=$BA30),$AA30*MAX(0,MIN($BB30,EOMONTH(CL$3,0))-MAX($BA30,CL$3)+1)/($BB30-$BA30+1),SUMPRODUCT((YEAR($AC$2:$AX$2)=YEAR(CL$3))*(MONTH($AC$2:$AX$2)=MONTH(CL$3))*$AC30:$AX30))</f>
        <v>0</v>
      </c>
      <c r="CM30" s="164" t="n">
        <f aca="false">IF(AND($BA30&gt;0,$BB30&gt;=$BA30),$AA30*MAX(0,MIN($BB30,EOMONTH(CM$3,0))-MAX($BA30,CM$3)+1)/($BB30-$BA30+1),SUMPRODUCT((YEAR($AC$2:$AX$2)=YEAR(CM$3))*(MONTH($AC$2:$AX$2)=MONTH(CM$3))*$AC30:$AX30))</f>
        <v>0</v>
      </c>
      <c r="CN30" s="164" t="n">
        <f aca="false">IF(AND($BA30&gt;0,$BB30&gt;=$BA30),$AA30*MAX(0,MIN($BB30,EOMONTH(CN$3,0))-MAX($BA30,CN$3)+1)/($BB30-$BA30+1),SUMPRODUCT((YEAR($AC$2:$AX$2)=YEAR(CN$3))*(MONTH($AC$2:$AX$2)=MONTH(CN$3))*$AC30:$AX30))</f>
        <v>0</v>
      </c>
      <c r="CO30" s="164" t="n">
        <f aca="false">IF(AND($BA30&gt;0,$BB30&gt;=$BA30),$AA30*MAX(0,MIN($BB30,EOMONTH(CO$3,0))-MAX($BA30,CO$3)+1)/($BB30-$BA30+1),SUMPRODUCT((YEAR($AC$2:$AX$2)=YEAR(CO$3))*(MONTH($AC$2:$AX$2)=MONTH(CO$3))*$AC30:$AX30))</f>
        <v>0</v>
      </c>
      <c r="CP30" s="164" t="n">
        <f aca="false">IF(AND($BA30&gt;0,$BB30&gt;=$BA30),$AA30*MAX(0,MIN($BB30,EOMONTH(CP$3,0))-MAX($BA30,CP$3)+1)/($BB30-$BA30+1),SUMPRODUCT((YEAR($AC$2:$AX$2)=YEAR(CP$3))*(MONTH($AC$2:$AX$2)=MONTH(CP$3))*$AC30:$AX30))</f>
        <v>0</v>
      </c>
      <c r="CQ30" s="164" t="n">
        <f aca="false">IF(AND($BA30&gt;0,$BB30&gt;=$BA30),$AA30*MAX(0,MIN($BB30,EOMONTH(CQ$3,0))-MAX($BA30,CQ$3)+1)/($BB30-$BA30+1),SUMPRODUCT((YEAR($AC$2:$AX$2)=YEAR(CQ$3))*(MONTH($AC$2:$AX$2)=MONTH(CQ$3))*$AC30:$AX30))</f>
        <v>0</v>
      </c>
      <c r="CR30" s="164" t="n">
        <f aca="false">IF(AND($BA30&gt;0,$BB30&gt;=$BA30),$AA30*MAX(0,MIN($BB30,EOMONTH(CR$3,0))-MAX($BA30,CR$3)+1)/($BB30-$BA30+1),SUMPRODUCT((YEAR($AC$2:$AX$2)=YEAR(CR$3))*(MONTH($AC$2:$AX$2)=MONTH(CR$3))*$AC30:$AX30))</f>
        <v>0</v>
      </c>
      <c r="CS30" s="164" t="n">
        <f aca="false">IF(AND($BA30&gt;0,$BB30&gt;=$BA30),$AA30*MAX(0,MIN($BB30,EOMONTH(CS$3,0))-MAX($BA30,CS$3)+1)/($BB30-$BA30+1),SUMPRODUCT((YEAR($AC$2:$AX$2)=YEAR(CS$3))*(MONTH($AC$2:$AX$2)=MONTH(CS$3))*$AC30:$AX30))</f>
        <v>0</v>
      </c>
      <c r="CT30" s="164" t="n">
        <f aca="false">IF(AND($BA30&gt;0,$BB30&gt;=$BA30),$AA30*MAX(0,MIN($BB30,EOMONTH(CT$3,0))-MAX($BA30,CT$3)+1)/($BB30-$BA30+1),SUMPRODUCT((YEAR($AC$2:$AX$2)=YEAR(CT$3))*(MONTH($AC$2:$AX$2)=MONTH(CT$3))*$AC30:$AX30))</f>
        <v>0</v>
      </c>
      <c r="CU30" s="164" t="n">
        <f aca="false">IF(AND($BA30&gt;0,$BB30&gt;=$BA30),$AA30*MAX(0,MIN($BB30,EOMONTH(CU$3,0))-MAX($BA30,CU$3)+1)/($BB30-$BA30+1),SUMPRODUCT((YEAR($AC$2:$AX$2)=YEAR(CU$3))*(MONTH($AC$2:$AX$2)=MONTH(CU$3))*$AC30:$AX30))</f>
        <v>0</v>
      </c>
      <c r="CV30" s="164" t="n">
        <f aca="false">IF(AND($BA30&gt;0,$BB30&gt;=$BA30),$AA30*MAX(0,MIN($BB30,EOMONTH(CV$3,0))-MAX($BA30,CV$3)+1)/($BB30-$BA30+1),SUMPRODUCT((YEAR($AC$2:$AX$2)=YEAR(CV$3))*(MONTH($AC$2:$AX$2)=MONTH(CV$3))*$AC30:$AX30))</f>
        <v>0</v>
      </c>
      <c r="CW30" s="164" t="n">
        <f aca="false">IF(AND($BA30&gt;0,$BB30&gt;=$BA30),$AA30*MAX(0,MIN($BB30,EOMONTH(CW$3,0))-MAX($BA30,CW$3)+1)/($BB30-$BA30+1),SUMPRODUCT((YEAR($AC$2:$AX$2)=YEAR(CW$3))*(MONTH($AC$2:$AX$2)=MONTH(CW$3))*$AC30:$AX30))</f>
        <v>0</v>
      </c>
      <c r="CX30" s="164" t="n">
        <f aca="false">IF(AND($BA30&gt;0,$BB30&gt;=$BA30),$AA30*MAX(0,MIN($BB30,EOMONTH(CX$3,0))-MAX($BA30,CX$3)+1)/($BB30-$BA30+1),SUMPRODUCT((YEAR($AC$2:$AX$2)=YEAR(CX$3))*(MONTH($AC$2:$AX$2)=MONTH(CX$3))*$AC30:$AX30))</f>
        <v>0</v>
      </c>
      <c r="CY30" s="164" t="n">
        <f aca="false">IF(AND($BA30&gt;0,$BB30&gt;=$BA30),$AA30*MAX(0,MIN($BB30,EOMONTH(CY$3,0))-MAX($BA30,CY$3)+1)/($BB30-$BA30+1),SUMPRODUCT((YEAR($AC$2:$AX$2)=YEAR(CY$3))*(MONTH($AC$2:$AX$2)=MONTH(CY$3))*$AC30:$AX30))</f>
        <v>0</v>
      </c>
      <c r="CZ30" s="164" t="n">
        <f aca="false">IF(AND($BA30&gt;0,$BB30&gt;=$BA30),$AA30*MAX(0,MIN($BB30,EOMONTH(CZ$3,0))-MAX($BA30,CZ$3)+1)/($BB30-$BA30+1),SUMPRODUCT((YEAR($AC$2:$AX$2)=YEAR(CZ$3))*(MONTH($AC$2:$AX$2)=MONTH(CZ$3))*$AC30:$AX30))</f>
        <v>0</v>
      </c>
      <c r="DA30" s="164" t="n">
        <f aca="false">IF(AND($BA30&gt;0,$BB30&gt;=$BA30),$AA30*MAX(0,MIN($BB30,EOMONTH(DA$3,0))-MAX($BA30,DA$3)+1)/($BB30-$BA30+1),SUMPRODUCT((YEAR($AC$2:$AX$2)=YEAR(DA$3))*(MONTH($AC$2:$AX$2)=MONTH(DA$3))*$AC30:$AX30))</f>
        <v>0</v>
      </c>
      <c r="DB30" s="164" t="n">
        <f aca="false">IF(AND($BA30&gt;0,$BB30&gt;=$BA30),$AA30*MAX(0,MIN($BB30,EOMONTH(DB$3,0))-MAX($BA30,DB$3)+1)/($BB30-$BA30+1),SUMPRODUCT((YEAR($AC$2:$AX$2)=YEAR(DB$3))*(MONTH($AC$2:$AX$2)=MONTH(DB$3))*$AC30:$AX30))</f>
        <v>0</v>
      </c>
      <c r="DC30" s="164" t="n">
        <f aca="false">IF(AND($BA30&gt;0,$BB30&gt;=$BA30),$AA30*MAX(0,MIN($BB30,EOMONTH(DC$3,0))-MAX($BA30,DC$3)+1)/($BB30-$BA30+1),SUMPRODUCT((YEAR($AC$2:$AX$2)=YEAR(DC$3))*(MONTH($AC$2:$AX$2)=MONTH(DC$3))*$AC30:$AX30))</f>
        <v>0</v>
      </c>
      <c r="DD30" s="164" t="n">
        <f aca="false">IF(AND($BA30&gt;0,$BB30&gt;=$BA30),$AA30*MAX(0,MIN($BB30,EOMONTH(DD$3,0))-MAX($BA30,DD$3)+1)/($BB30-$BA30+1),SUMPRODUCT((YEAR($AC$2:$AX$2)=YEAR(DD$3))*(MONTH($AC$2:$AX$2)=MONTH(DD$3))*$AC30:$AX30))</f>
        <v>0</v>
      </c>
      <c r="DE30" s="164" t="n">
        <f aca="false">IF(AND($BA30&gt;0,$BB30&gt;=$BA30),$AA30*MAX(0,MIN($BB30,EOMONTH(DE$3,0))-MAX($BA30,DE$3)+1)/($BB30-$BA30+1),SUMPRODUCT((YEAR($AC$2:$AX$2)=YEAR(DE$3))*(MONTH($AC$2:$AX$2)=MONTH(DE$3))*$AC30:$AX30))</f>
        <v>0</v>
      </c>
      <c r="DF30" s="164" t="n">
        <f aca="false">IF(AND($BA30&gt;0,$BB30&gt;=$BA30),$AA30*MAX(0,MIN($BB30,EOMONTH(DF$3,0))-MAX($BA30,DF$3)+1)/($BB30-$BA30+1),SUMPRODUCT((YEAR($AC$2:$AX$2)=YEAR(DF$3))*(MONTH($AC$2:$AX$2)=MONTH(DF$3))*$AC30:$AX30))</f>
        <v>0</v>
      </c>
      <c r="DG30" s="164" t="n">
        <f aca="false">IF(AND($BA30&gt;0,$BB30&gt;=$BA30),$AA30*MAX(0,MIN($BB30,EOMONTH(DG$3,0))-MAX($BA30,DG$3)+1)/($BB30-$BA30+1),SUMPRODUCT((YEAR($AC$2:$AX$2)=YEAR(DG$3))*(MONTH($AC$2:$AX$2)=MONTH(DG$3))*$AC30:$AX30))</f>
        <v>0</v>
      </c>
      <c r="DH30" s="164" t="n">
        <f aca="false">IF(AND($BA30&gt;0,$BB30&gt;=$BA30),$AA30*MAX(0,MIN($BB30,EOMONTH(DH$3,0))-MAX($BA30,DH$3)+1)/($BB30-$BA30+1),SUMPRODUCT((YEAR($AC$2:$AX$2)=YEAR(DH$3))*(MONTH($AC$2:$AX$2)=MONTH(DH$3))*$AC30:$AX30))</f>
        <v>0</v>
      </c>
      <c r="DI30" s="164" t="n">
        <f aca="false">IF(AND($BA30&gt;0,$BB30&gt;=$BA30),$AA30*MAX(0,MIN($BB30,EOMONTH(DI$3,0))-MAX($BA30,DI$3)+1)/($BB30-$BA30+1),SUMPRODUCT((YEAR($AC$2:$AX$2)=YEAR(DI$3))*(MONTH($AC$2:$AX$2)=MONTH(DI$3))*$AC30:$AX30))</f>
        <v>0</v>
      </c>
      <c r="DJ30" s="164" t="n">
        <f aca="false">IF(AND($BA30&gt;0,$BB30&gt;=$BA30),$AA30*MAX(0,MIN($BB30,EOMONTH(DJ$3,0))-MAX($BA30,DJ$3)+1)/($BB30-$BA30+1),SUMPRODUCT((YEAR($AC$2:$AX$2)=YEAR(DJ$3))*(MONTH($AC$2:$AX$2)=MONTH(DJ$3))*$AC30:$AX30))</f>
        <v>0</v>
      </c>
      <c r="DK30" s="164" t="n">
        <f aca="false">IF(AND($BA30&gt;0,$BB30&gt;=$BA30),$AA30*MAX(0,MIN($BB30,EOMONTH(DK$3,0))-MAX($BA30,DK$3)+1)/($BB30-$BA30+1),SUMPRODUCT((YEAR($AC$2:$AX$2)=YEAR(DK$3))*(MONTH($AC$2:$AX$2)=MONTH(DK$3))*$AC30:$AX30))</f>
        <v>0</v>
      </c>
      <c r="DL30" s="164" t="n">
        <f aca="false">IF(AND($BA30&gt;0,$BB30&gt;=$BA30),$AA30*MAX(0,MIN($BB30,EOMONTH(DL$3,0))-MAX($BA30,DL$3)+1)/($BB30-$BA30+1),SUMPRODUCT((YEAR($AC$2:$AX$2)=YEAR(DL$3))*(MONTH($AC$2:$AX$2)=MONTH(DL$3))*$AC30:$AX30))</f>
        <v>0</v>
      </c>
      <c r="DM30" s="164" t="n">
        <f aca="false">IF(AND($BA30&gt;0,$BB30&gt;=$BA30),$AA30*MAX(0,MIN($BB30,EOMONTH(DM$3,0))-MAX($BA30,DM$3)+1)/($BB30-$BA30+1),SUMPRODUCT((YEAR($AC$2:$AX$2)=YEAR(DM$3))*(MONTH($AC$2:$AX$2)=MONTH(DM$3))*$AC30:$AX30))</f>
        <v>0</v>
      </c>
      <c r="DN30" s="164" t="n">
        <f aca="false">IF(AND($BA30&gt;0,$BB30&gt;=$BA30),$AA30*MAX(0,MIN($BB30,EOMONTH(DN$3,0))-MAX($BA30,DN$3)+1)/($BB30-$BA30+1),SUMPRODUCT((YEAR($AC$2:$AX$2)=YEAR(DN$3))*(MONTH($AC$2:$AX$2)=MONTH(DN$3))*$AC30:$AX30))</f>
        <v>0</v>
      </c>
      <c r="DO30" s="164" t="n">
        <f aca="false">IF(AND($BA30&gt;0,$BB30&gt;=$BA30),$AA30*MAX(0,MIN($BB30,EOMONTH(DO$3,0))-MAX($BA30,DO$3)+1)/($BB30-$BA30+1),SUMPRODUCT((YEAR($AC$2:$AX$2)=YEAR(DO$3))*(MONTH($AC$2:$AX$2)=MONTH(DO$3))*$AC30:$AX30))</f>
        <v>0</v>
      </c>
      <c r="DP30" s="164" t="n">
        <f aca="false">IF(AND($BA30&gt;0,$BB30&gt;=$BA30),$AA30*MAX(0,MIN($BB30,EOMONTH(DP$3,0))-MAX($BA30,DP$3)+1)/($BB30-$BA30+1),SUMPRODUCT((YEAR($AC$2:$AX$2)=YEAR(DP$3))*(MONTH($AC$2:$AX$2)=MONTH(DP$3))*$AC30:$AX30))</f>
        <v>0</v>
      </c>
      <c r="DQ30" s="164" t="n">
        <f aca="false">IF(AND($BA30&gt;0,$BB30&gt;=$BA30),$AA30*MAX(0,MIN($BB30,EOMONTH(DQ$3,0))-MAX($BA30,DQ$3)+1)/($BB30-$BA30+1),SUMPRODUCT((YEAR($AC$2:$AX$2)=YEAR(DQ$3))*(MONTH($AC$2:$AX$2)=MONTH(DQ$3))*$AC30:$AX30))</f>
        <v>0</v>
      </c>
      <c r="DR30" s="164" t="n">
        <f aca="false">IF(AND($BA30&gt;0,$BB30&gt;=$BA30),$AA30*MAX(0,MIN($BB30,EOMONTH(DR$3,0))-MAX($BA30,DR$3)+1)/($BB30-$BA30+1),SUMPRODUCT((YEAR($AC$2:$AX$2)=YEAR(DR$3))*(MONTH($AC$2:$AX$2)=MONTH(DR$3))*$AC30:$AX30))</f>
        <v>0</v>
      </c>
      <c r="DS30" s="164" t="n">
        <f aca="false">IF(AND($BA30&gt;0,$BB30&gt;=$BA30),$AA30*MAX(0,MIN($BB30,EOMONTH(DS$3,0))-MAX($BA30,DS$3)+1)/($BB30-$BA30+1),SUMPRODUCT((YEAR($AC$2:$AX$2)=YEAR(DS$3))*(MONTH($AC$2:$AX$2)=MONTH(DS$3))*$AC30:$AX30))</f>
        <v>0</v>
      </c>
      <c r="DT30" s="164" t="n">
        <f aca="false">IF(AND($BA30&gt;0,$BB30&gt;=$BA30),$AA30*MAX(0,MIN($BB30,EOMONTH(DT$3,0))-MAX($BA30,DT$3)+1)/($BB30-$BA30+1),SUMPRODUCT((YEAR($AC$2:$AX$2)=YEAR(DT$3))*(MONTH($AC$2:$AX$2)=MONTH(DT$3))*$AC30:$AX30))</f>
        <v>0</v>
      </c>
      <c r="DU30" s="164" t="n">
        <f aca="false">IF(AND($BA30&gt;0,$BB30&gt;=$BA30),$AA30*MAX(0,MIN($BB30,EOMONTH(DU$3,0))-MAX($BA30,DU$3)+1)/($BB30-$BA30+1),SUMPRODUCT((YEAR($AC$2:$AX$2)=YEAR(DU$3))*(MONTH($AC$2:$AX$2)=MONTH(DU$3))*$AC30:$AX30))</f>
        <v>0</v>
      </c>
      <c r="DV30" s="164" t="n">
        <f aca="false">IF(AND($BA30&gt;0,$BB30&gt;=$BA30),$AA30*MAX(0,MIN($BB30,EOMONTH(DV$3,0))-MAX($BA30,DV$3)+1)/($BB30-$BA30+1),SUMPRODUCT((YEAR($AC$2:$AX$2)=YEAR(DV$3))*(MONTH($AC$2:$AX$2)=MONTH(DV$3))*$AC30:$AX30))</f>
        <v>0</v>
      </c>
      <c r="DW30" s="164" t="n">
        <f aca="false">IF(AND($BA30&gt;0,$BB30&gt;=$BA30),$AA30*MAX(0,MIN($BB30,EOMONTH(DW$3,0))-MAX($BA30,DW$3)+1)/($BB30-$BA30+1),SUMPRODUCT((YEAR($AC$2:$AX$2)=YEAR(DW$3))*(MONTH($AC$2:$AX$2)=MONTH(DW$3))*$AC30:$AX30))</f>
        <v>0</v>
      </c>
    </row>
    <row r="31" customFormat="false" ht="15" hidden="false" customHeight="false" outlineLevel="0" collapsed="false">
      <c r="H31" s="150" t="s">
        <v>2989</v>
      </c>
      <c r="J31" s="152" t="n">
        <v>700.6245</v>
      </c>
      <c r="K31" s="152" t="n">
        <v>283</v>
      </c>
      <c r="L31" s="152" t="n">
        <v>2188.9150945775</v>
      </c>
      <c r="O31" s="152" t="n">
        <v>29864.25</v>
      </c>
      <c r="P31" s="152" t="n">
        <v>700.6245</v>
      </c>
      <c r="S31" s="149" t="n">
        <f aca="false">K31*($D$59+$D$57)</f>
        <v>206117.3334</v>
      </c>
      <c r="T31" s="149" t="n">
        <f aca="false">L31*$D$47</f>
        <v>291782.382107181</v>
      </c>
      <c r="V31" s="149" t="n">
        <f aca="false">O31*($D$54)</f>
        <v>173602.3784625</v>
      </c>
      <c r="W31" s="149" t="n">
        <f aca="false">O31*($D$49)</f>
        <v>83470.57875</v>
      </c>
      <c r="Y31" s="149" t="n">
        <f aca="false">SUM(P31:Q31)*($D$50+$D$52)</f>
        <v>9521.592048675</v>
      </c>
      <c r="AA31" s="149" t="n">
        <f aca="false">SUM(S31:Y31)</f>
        <v>764494.264768356</v>
      </c>
      <c r="AK31" s="149" t="n">
        <f aca="false">AA31</f>
        <v>764494.264768356</v>
      </c>
      <c r="AZ31" s="162" t="s">
        <v>2803</v>
      </c>
      <c r="BA31" s="163" t="n">
        <f aca="false">IF(AZ31="",0,SUMPRODUCT(('CRONOGRAMA ATIVIDADES'!$C$5:$C$6004="ESTRUTURA")*('CRONOGRAMA ATIVIDADES'!$E$5:$E$6004=AZ31)*('CRONOGRAMA ATIVIDADES'!$D$5:$D$6004="-")*'CRONOGRAMA ATIVIDADES'!$F$5:$F$6004))</f>
        <v>46415</v>
      </c>
      <c r="BB31" s="163" t="n">
        <f aca="false">IF(AZ31="",0,SUMPRODUCT(('CRONOGRAMA ATIVIDADES'!$C$5:$C$6004="ESTRUTURA")*('CRONOGRAMA ATIVIDADES'!$E$5:$E$6004=AZ31)*('CRONOGRAMA ATIVIDADES'!$D$5:$D$6004="-")*'CRONOGRAMA ATIVIDADES'!$G$5:$G$6004))</f>
        <v>46430</v>
      </c>
      <c r="BD31" s="164" t="n">
        <f aca="false">IF(AND($BA31&gt;0,$BB31&gt;=$BA31),$AA31*MAX(0,MIN($BB31,EOMONTH(BD$3,0))-MAX($BA31,BD$3)+1)/($BB31-$BA31+1),SUMPRODUCT((YEAR($AC$2:$AX$2)=YEAR(BD$3))*(MONTH($AC$2:$AX$2)=MONTH(BD$3))*$AC31:$AX31))</f>
        <v>0</v>
      </c>
      <c r="BE31" s="164" t="n">
        <f aca="false">IF(AND($BA31&gt;0,$BB31&gt;=$BA31),$AA31*MAX(0,MIN($BB31,EOMONTH(BE$3,0))-MAX($BA31,BE$3)+1)/($BB31-$BA31+1),SUMPRODUCT((YEAR($AC$2:$AX$2)=YEAR(BE$3))*(MONTH($AC$2:$AX$2)=MONTH(BE$3))*$AC31:$AX31))</f>
        <v>0</v>
      </c>
      <c r="BF31" s="164" t="n">
        <f aca="false">IF(AND($BA31&gt;0,$BB31&gt;=$BA31),$AA31*MAX(0,MIN($BB31,EOMONTH(BF$3,0))-MAX($BA31,BF$3)+1)/($BB31-$BA31+1),SUMPRODUCT((YEAR($AC$2:$AX$2)=YEAR(BF$3))*(MONTH($AC$2:$AX$2)=MONTH(BF$3))*$AC31:$AX31))</f>
        <v>0</v>
      </c>
      <c r="BG31" s="164" t="n">
        <f aca="false">IF(AND($BA31&gt;0,$BB31&gt;=$BA31),$AA31*MAX(0,MIN($BB31,EOMONTH(BG$3,0))-MAX($BA31,BG$3)+1)/($BB31-$BA31+1),SUMPRODUCT((YEAR($AC$2:$AX$2)=YEAR(BG$3))*(MONTH($AC$2:$AX$2)=MONTH(BG$3))*$AC31:$AX31))</f>
        <v>0</v>
      </c>
      <c r="BH31" s="164" t="n">
        <f aca="false">IF(AND($BA31&gt;0,$BB31&gt;=$BA31),$AA31*MAX(0,MIN($BB31,EOMONTH(BH$3,0))-MAX($BA31,BH$3)+1)/($BB31-$BA31+1),SUMPRODUCT((YEAR($AC$2:$AX$2)=YEAR(BH$3))*(MONTH($AC$2:$AX$2)=MONTH(BH$3))*$AC31:$AX31))</f>
        <v>0</v>
      </c>
      <c r="BI31" s="164" t="n">
        <f aca="false">IF(AND($BA31&gt;0,$BB31&gt;=$BA31),$AA31*MAX(0,MIN($BB31,EOMONTH(BI$3,0))-MAX($BA31,BI$3)+1)/($BB31-$BA31+1),SUMPRODUCT((YEAR($AC$2:$AX$2)=YEAR(BI$3))*(MONTH($AC$2:$AX$2)=MONTH(BI$3))*$AC31:$AX31))</f>
        <v>0</v>
      </c>
      <c r="BJ31" s="164" t="n">
        <f aca="false">IF(AND($BA31&gt;0,$BB31&gt;=$BA31),$AA31*MAX(0,MIN($BB31,EOMONTH(BJ$3,0))-MAX($BA31,BJ$3)+1)/($BB31-$BA31+1),SUMPRODUCT((YEAR($AC$2:$AX$2)=YEAR(BJ$3))*(MONTH($AC$2:$AX$2)=MONTH(BJ$3))*$AC31:$AX31))</f>
        <v>0</v>
      </c>
      <c r="BK31" s="164" t="n">
        <f aca="false">IF(AND($BA31&gt;0,$BB31&gt;=$BA31),$AA31*MAX(0,MIN($BB31,EOMONTH(BK$3,0))-MAX($BA31,BK$3)+1)/($BB31-$BA31+1),SUMPRODUCT((YEAR($AC$2:$AX$2)=YEAR(BK$3))*(MONTH($AC$2:$AX$2)=MONTH(BK$3))*$AC31:$AX31))</f>
        <v>0</v>
      </c>
      <c r="BL31" s="164" t="n">
        <f aca="false">IF(AND($BA31&gt;0,$BB31&gt;=$BA31),$AA31*MAX(0,MIN($BB31,EOMONTH(BL$3,0))-MAX($BA31,BL$3)+1)/($BB31-$BA31+1),SUMPRODUCT((YEAR($AC$2:$AX$2)=YEAR(BL$3))*(MONTH($AC$2:$AX$2)=MONTH(BL$3))*$AC31:$AX31))</f>
        <v>0</v>
      </c>
      <c r="BM31" s="164" t="n">
        <f aca="false">IF(AND($BA31&gt;0,$BB31&gt;=$BA31),$AA31*MAX(0,MIN($BB31,EOMONTH(BM$3,0))-MAX($BA31,BM$3)+1)/($BB31-$BA31+1),SUMPRODUCT((YEAR($AC$2:$AX$2)=YEAR(BM$3))*(MONTH($AC$2:$AX$2)=MONTH(BM$3))*$AC31:$AX31))</f>
        <v>0</v>
      </c>
      <c r="BN31" s="164" t="n">
        <f aca="false">IF(AND($BA31&gt;0,$BB31&gt;=$BA31),$AA31*MAX(0,MIN($BB31,EOMONTH(BN$3,0))-MAX($BA31,BN$3)+1)/($BB31-$BA31+1),SUMPRODUCT((YEAR($AC$2:$AX$2)=YEAR(BN$3))*(MONTH($AC$2:$AX$2)=MONTH(BN$3))*$AC31:$AX31))</f>
        <v>0</v>
      </c>
      <c r="BO31" s="164" t="n">
        <f aca="false">IF(AND($BA31&gt;0,$BB31&gt;=$BA31),$AA31*MAX(0,MIN($BB31,EOMONTH(BO$3,0))-MAX($BA31,BO$3)+1)/($BB31-$BA31+1),SUMPRODUCT((YEAR($AC$2:$AX$2)=YEAR(BO$3))*(MONTH($AC$2:$AX$2)=MONTH(BO$3))*$AC31:$AX31))</f>
        <v>0</v>
      </c>
      <c r="BP31" s="164" t="n">
        <f aca="false">IF(AND($BA31&gt;0,$BB31&gt;=$BA31),$AA31*MAX(0,MIN($BB31,EOMONTH(BP$3,0))-MAX($BA31,BP$3)+1)/($BB31-$BA31+1),SUMPRODUCT((YEAR($AC$2:$AX$2)=YEAR(BP$3))*(MONTH($AC$2:$AX$2)=MONTH(BP$3))*$AC31:$AX31))</f>
        <v>0</v>
      </c>
      <c r="BQ31" s="164" t="n">
        <f aca="false">IF(AND($BA31&gt;0,$BB31&gt;=$BA31),$AA31*MAX(0,MIN($BB31,EOMONTH(BQ$3,0))-MAX($BA31,BQ$3)+1)/($BB31-$BA31+1),SUMPRODUCT((YEAR($AC$2:$AX$2)=YEAR(BQ$3))*(MONTH($AC$2:$AX$2)=MONTH(BQ$3))*$AC31:$AX31))</f>
        <v>0</v>
      </c>
      <c r="BR31" s="164" t="n">
        <f aca="false">IF(AND($BA31&gt;0,$BB31&gt;=$BA31),$AA31*MAX(0,MIN($BB31,EOMONTH(BR$3,0))-MAX($BA31,BR$3)+1)/($BB31-$BA31+1),SUMPRODUCT((YEAR($AC$2:$AX$2)=YEAR(BR$3))*(MONTH($AC$2:$AX$2)=MONTH(BR$3))*$AC31:$AX31))</f>
        <v>0</v>
      </c>
      <c r="BS31" s="164" t="n">
        <f aca="false">IF(AND($BA31&gt;0,$BB31&gt;=$BA31),$AA31*MAX(0,MIN($BB31,EOMONTH(BS$3,0))-MAX($BA31,BS$3)+1)/($BB31-$BA31+1),SUMPRODUCT((YEAR($AC$2:$AX$2)=YEAR(BS$3))*(MONTH($AC$2:$AX$2)=MONTH(BS$3))*$AC31:$AX31))</f>
        <v>0</v>
      </c>
      <c r="BT31" s="164" t="n">
        <f aca="false">IF(AND($BA31&gt;0,$BB31&gt;=$BA31),$AA31*MAX(0,MIN($BB31,EOMONTH(BT$3,0))-MAX($BA31,BT$3)+1)/($BB31-$BA31+1),SUMPRODUCT((YEAR($AC$2:$AX$2)=YEAR(BT$3))*(MONTH($AC$2:$AX$2)=MONTH(BT$3))*$AC31:$AX31))</f>
        <v>0</v>
      </c>
      <c r="BU31" s="164" t="n">
        <f aca="false">IF(AND($BA31&gt;0,$BB31&gt;=$BA31),$AA31*MAX(0,MIN($BB31,EOMONTH(BU$3,0))-MAX($BA31,BU$3)+1)/($BB31-$BA31+1),SUMPRODUCT((YEAR($AC$2:$AX$2)=YEAR(BU$3))*(MONTH($AC$2:$AX$2)=MONTH(BU$3))*$AC31:$AX31))</f>
        <v>0</v>
      </c>
      <c r="BV31" s="164" t="n">
        <f aca="false">IF(AND($BA31&gt;0,$BB31&gt;=$BA31),$AA31*MAX(0,MIN($BB31,EOMONTH(BV$3,0))-MAX($BA31,BV$3)+1)/($BB31-$BA31+1),SUMPRODUCT((YEAR($AC$2:$AX$2)=YEAR(BV$3))*(MONTH($AC$2:$AX$2)=MONTH(BV$3))*$AC31:$AX31))</f>
        <v>0</v>
      </c>
      <c r="BW31" s="164" t="n">
        <f aca="false">IF(AND($BA31&gt;0,$BB31&gt;=$BA31),$AA31*MAX(0,MIN($BB31,EOMONTH(BW$3,0))-MAX($BA31,BW$3)+1)/($BB31-$BA31+1),SUMPRODUCT((YEAR($AC$2:$AX$2)=YEAR(BW$3))*(MONTH($AC$2:$AX$2)=MONTH(BW$3))*$AC31:$AX31))</f>
        <v>0</v>
      </c>
      <c r="BX31" s="164" t="n">
        <f aca="false">IF(AND($BA31&gt;0,$BB31&gt;=$BA31),$AA31*MAX(0,MIN($BB31,EOMONTH(BX$3,0))-MAX($BA31,BX$3)+1)/($BB31-$BA31+1),SUMPRODUCT((YEAR($AC$2:$AX$2)=YEAR(BX$3))*(MONTH($AC$2:$AX$2)=MONTH(BX$3))*$AC31:$AX31))</f>
        <v>0</v>
      </c>
      <c r="BY31" s="164" t="n">
        <f aca="false">IF(AND($BA31&gt;0,$BB31&gt;=$BA31),$AA31*MAX(0,MIN($BB31,EOMONTH(BY$3,0))-MAX($BA31,BY$3)+1)/($BB31-$BA31+1),SUMPRODUCT((YEAR($AC$2:$AX$2)=YEAR(BY$3))*(MONTH($AC$2:$AX$2)=MONTH(BY$3))*$AC31:$AX31))</f>
        <v>0</v>
      </c>
      <c r="BZ31" s="164" t="n">
        <f aca="false">IF(AND($BA31&gt;0,$BB31&gt;=$BA31),$AA31*MAX(0,MIN($BB31,EOMONTH(BZ$3,0))-MAX($BA31,BZ$3)+1)/($BB31-$BA31+1),SUMPRODUCT((YEAR($AC$2:$AX$2)=YEAR(BZ$3))*(MONTH($AC$2:$AX$2)=MONTH(BZ$3))*$AC31:$AX31))</f>
        <v>0</v>
      </c>
      <c r="CA31" s="164" t="n">
        <f aca="false">IF(AND($BA31&gt;0,$BB31&gt;=$BA31),$AA31*MAX(0,MIN($BB31,EOMONTH(CA$3,0))-MAX($BA31,CA$3)+1)/($BB31-$BA31+1),SUMPRODUCT((YEAR($AC$2:$AX$2)=YEAR(CA$3))*(MONTH($AC$2:$AX$2)=MONTH(CA$3))*$AC31:$AX31))</f>
        <v>0</v>
      </c>
      <c r="CB31" s="164" t="n">
        <f aca="false">IF(AND($BA31&gt;0,$BB31&gt;=$BA31),$AA31*MAX(0,MIN($BB31,EOMONTH(CB$3,0))-MAX($BA31,CB$3)+1)/($BB31-$BA31+1),SUMPRODUCT((YEAR($AC$2:$AX$2)=YEAR(CB$3))*(MONTH($AC$2:$AX$2)=MONTH(CB$3))*$AC31:$AX31))</f>
        <v>0</v>
      </c>
      <c r="CC31" s="164" t="n">
        <f aca="false">IF(AND($BA31&gt;0,$BB31&gt;=$BA31),$AA31*MAX(0,MIN($BB31,EOMONTH(CC$3,0))-MAX($BA31,CC$3)+1)/($BB31-$BA31+1),SUMPRODUCT((YEAR($AC$2:$AX$2)=YEAR(CC$3))*(MONTH($AC$2:$AX$2)=MONTH(CC$3))*$AC31:$AX31))</f>
        <v>191123.566192089</v>
      </c>
      <c r="CD31" s="164" t="n">
        <f aca="false">IF(AND($BA31&gt;0,$BB31&gt;=$BA31),$AA31*MAX(0,MIN($BB31,EOMONTH(CD$3,0))-MAX($BA31,CD$3)+1)/($BB31-$BA31+1),SUMPRODUCT((YEAR($AC$2:$AX$2)=YEAR(CD$3))*(MONTH($AC$2:$AX$2)=MONTH(CD$3))*$AC31:$AX31))</f>
        <v>573370.698576267</v>
      </c>
      <c r="CE31" s="164" t="n">
        <f aca="false">IF(AND($BA31&gt;0,$BB31&gt;=$BA31),$AA31*MAX(0,MIN($BB31,EOMONTH(CE$3,0))-MAX($BA31,CE$3)+1)/($BB31-$BA31+1),SUMPRODUCT((YEAR($AC$2:$AX$2)=YEAR(CE$3))*(MONTH($AC$2:$AX$2)=MONTH(CE$3))*$AC31:$AX31))</f>
        <v>0</v>
      </c>
      <c r="CF31" s="164" t="n">
        <f aca="false">IF(AND($BA31&gt;0,$BB31&gt;=$BA31),$AA31*MAX(0,MIN($BB31,EOMONTH(CF$3,0))-MAX($BA31,CF$3)+1)/($BB31-$BA31+1),SUMPRODUCT((YEAR($AC$2:$AX$2)=YEAR(CF$3))*(MONTH($AC$2:$AX$2)=MONTH(CF$3))*$AC31:$AX31))</f>
        <v>0</v>
      </c>
      <c r="CG31" s="164" t="n">
        <f aca="false">IF(AND($BA31&gt;0,$BB31&gt;=$BA31),$AA31*MAX(0,MIN($BB31,EOMONTH(CG$3,0))-MAX($BA31,CG$3)+1)/($BB31-$BA31+1),SUMPRODUCT((YEAR($AC$2:$AX$2)=YEAR(CG$3))*(MONTH($AC$2:$AX$2)=MONTH(CG$3))*$AC31:$AX31))</f>
        <v>0</v>
      </c>
      <c r="CH31" s="164" t="n">
        <f aca="false">IF(AND($BA31&gt;0,$BB31&gt;=$BA31),$AA31*MAX(0,MIN($BB31,EOMONTH(CH$3,0))-MAX($BA31,CH$3)+1)/($BB31-$BA31+1),SUMPRODUCT((YEAR($AC$2:$AX$2)=YEAR(CH$3))*(MONTH($AC$2:$AX$2)=MONTH(CH$3))*$AC31:$AX31))</f>
        <v>0</v>
      </c>
      <c r="CI31" s="164" t="n">
        <f aca="false">IF(AND($BA31&gt;0,$BB31&gt;=$BA31),$AA31*MAX(0,MIN($BB31,EOMONTH(CI$3,0))-MAX($BA31,CI$3)+1)/($BB31-$BA31+1),SUMPRODUCT((YEAR($AC$2:$AX$2)=YEAR(CI$3))*(MONTH($AC$2:$AX$2)=MONTH(CI$3))*$AC31:$AX31))</f>
        <v>0</v>
      </c>
      <c r="CJ31" s="164" t="n">
        <f aca="false">IF(AND($BA31&gt;0,$BB31&gt;=$BA31),$AA31*MAX(0,MIN($BB31,EOMONTH(CJ$3,0))-MAX($BA31,CJ$3)+1)/($BB31-$BA31+1),SUMPRODUCT((YEAR($AC$2:$AX$2)=YEAR(CJ$3))*(MONTH($AC$2:$AX$2)=MONTH(CJ$3))*$AC31:$AX31))</f>
        <v>0</v>
      </c>
      <c r="CK31" s="164" t="n">
        <f aca="false">IF(AND($BA31&gt;0,$BB31&gt;=$BA31),$AA31*MAX(0,MIN($BB31,EOMONTH(CK$3,0))-MAX($BA31,CK$3)+1)/($BB31-$BA31+1),SUMPRODUCT((YEAR($AC$2:$AX$2)=YEAR(CK$3))*(MONTH($AC$2:$AX$2)=MONTH(CK$3))*$AC31:$AX31))</f>
        <v>0</v>
      </c>
      <c r="CL31" s="164" t="n">
        <f aca="false">IF(AND($BA31&gt;0,$BB31&gt;=$BA31),$AA31*MAX(0,MIN($BB31,EOMONTH(CL$3,0))-MAX($BA31,CL$3)+1)/($BB31-$BA31+1),SUMPRODUCT((YEAR($AC$2:$AX$2)=YEAR(CL$3))*(MONTH($AC$2:$AX$2)=MONTH(CL$3))*$AC31:$AX31))</f>
        <v>0</v>
      </c>
      <c r="CM31" s="164" t="n">
        <f aca="false">IF(AND($BA31&gt;0,$BB31&gt;=$BA31),$AA31*MAX(0,MIN($BB31,EOMONTH(CM$3,0))-MAX($BA31,CM$3)+1)/($BB31-$BA31+1),SUMPRODUCT((YEAR($AC$2:$AX$2)=YEAR(CM$3))*(MONTH($AC$2:$AX$2)=MONTH(CM$3))*$AC31:$AX31))</f>
        <v>0</v>
      </c>
      <c r="CN31" s="164" t="n">
        <f aca="false">IF(AND($BA31&gt;0,$BB31&gt;=$BA31),$AA31*MAX(0,MIN($BB31,EOMONTH(CN$3,0))-MAX($BA31,CN$3)+1)/($BB31-$BA31+1),SUMPRODUCT((YEAR($AC$2:$AX$2)=YEAR(CN$3))*(MONTH($AC$2:$AX$2)=MONTH(CN$3))*$AC31:$AX31))</f>
        <v>0</v>
      </c>
      <c r="CO31" s="164" t="n">
        <f aca="false">IF(AND($BA31&gt;0,$BB31&gt;=$BA31),$AA31*MAX(0,MIN($BB31,EOMONTH(CO$3,0))-MAX($BA31,CO$3)+1)/($BB31-$BA31+1),SUMPRODUCT((YEAR($AC$2:$AX$2)=YEAR(CO$3))*(MONTH($AC$2:$AX$2)=MONTH(CO$3))*$AC31:$AX31))</f>
        <v>0</v>
      </c>
      <c r="CP31" s="164" t="n">
        <f aca="false">IF(AND($BA31&gt;0,$BB31&gt;=$BA31),$AA31*MAX(0,MIN($BB31,EOMONTH(CP$3,0))-MAX($BA31,CP$3)+1)/($BB31-$BA31+1),SUMPRODUCT((YEAR($AC$2:$AX$2)=YEAR(CP$3))*(MONTH($AC$2:$AX$2)=MONTH(CP$3))*$AC31:$AX31))</f>
        <v>0</v>
      </c>
      <c r="CQ31" s="164" t="n">
        <f aca="false">IF(AND($BA31&gt;0,$BB31&gt;=$BA31),$AA31*MAX(0,MIN($BB31,EOMONTH(CQ$3,0))-MAX($BA31,CQ$3)+1)/($BB31-$BA31+1),SUMPRODUCT((YEAR($AC$2:$AX$2)=YEAR(CQ$3))*(MONTH($AC$2:$AX$2)=MONTH(CQ$3))*$AC31:$AX31))</f>
        <v>0</v>
      </c>
      <c r="CR31" s="164" t="n">
        <f aca="false">IF(AND($BA31&gt;0,$BB31&gt;=$BA31),$AA31*MAX(0,MIN($BB31,EOMONTH(CR$3,0))-MAX($BA31,CR$3)+1)/($BB31-$BA31+1),SUMPRODUCT((YEAR($AC$2:$AX$2)=YEAR(CR$3))*(MONTH($AC$2:$AX$2)=MONTH(CR$3))*$AC31:$AX31))</f>
        <v>0</v>
      </c>
      <c r="CS31" s="164" t="n">
        <f aca="false">IF(AND($BA31&gt;0,$BB31&gt;=$BA31),$AA31*MAX(0,MIN($BB31,EOMONTH(CS$3,0))-MAX($BA31,CS$3)+1)/($BB31-$BA31+1),SUMPRODUCT((YEAR($AC$2:$AX$2)=YEAR(CS$3))*(MONTH($AC$2:$AX$2)=MONTH(CS$3))*$AC31:$AX31))</f>
        <v>0</v>
      </c>
      <c r="CT31" s="164" t="n">
        <f aca="false">IF(AND($BA31&gt;0,$BB31&gt;=$BA31),$AA31*MAX(0,MIN($BB31,EOMONTH(CT$3,0))-MAX($BA31,CT$3)+1)/($BB31-$BA31+1),SUMPRODUCT((YEAR($AC$2:$AX$2)=YEAR(CT$3))*(MONTH($AC$2:$AX$2)=MONTH(CT$3))*$AC31:$AX31))</f>
        <v>0</v>
      </c>
      <c r="CU31" s="164" t="n">
        <f aca="false">IF(AND($BA31&gt;0,$BB31&gt;=$BA31),$AA31*MAX(0,MIN($BB31,EOMONTH(CU$3,0))-MAX($BA31,CU$3)+1)/($BB31-$BA31+1),SUMPRODUCT((YEAR($AC$2:$AX$2)=YEAR(CU$3))*(MONTH($AC$2:$AX$2)=MONTH(CU$3))*$AC31:$AX31))</f>
        <v>0</v>
      </c>
      <c r="CV31" s="164" t="n">
        <f aca="false">IF(AND($BA31&gt;0,$BB31&gt;=$BA31),$AA31*MAX(0,MIN($BB31,EOMONTH(CV$3,0))-MAX($BA31,CV$3)+1)/($BB31-$BA31+1),SUMPRODUCT((YEAR($AC$2:$AX$2)=YEAR(CV$3))*(MONTH($AC$2:$AX$2)=MONTH(CV$3))*$AC31:$AX31))</f>
        <v>0</v>
      </c>
      <c r="CW31" s="164" t="n">
        <f aca="false">IF(AND($BA31&gt;0,$BB31&gt;=$BA31),$AA31*MAX(0,MIN($BB31,EOMONTH(CW$3,0))-MAX($BA31,CW$3)+1)/($BB31-$BA31+1),SUMPRODUCT((YEAR($AC$2:$AX$2)=YEAR(CW$3))*(MONTH($AC$2:$AX$2)=MONTH(CW$3))*$AC31:$AX31))</f>
        <v>0</v>
      </c>
      <c r="CX31" s="164" t="n">
        <f aca="false">IF(AND($BA31&gt;0,$BB31&gt;=$BA31),$AA31*MAX(0,MIN($BB31,EOMONTH(CX$3,0))-MAX($BA31,CX$3)+1)/($BB31-$BA31+1),SUMPRODUCT((YEAR($AC$2:$AX$2)=YEAR(CX$3))*(MONTH($AC$2:$AX$2)=MONTH(CX$3))*$AC31:$AX31))</f>
        <v>0</v>
      </c>
      <c r="CY31" s="164" t="n">
        <f aca="false">IF(AND($BA31&gt;0,$BB31&gt;=$BA31),$AA31*MAX(0,MIN($BB31,EOMONTH(CY$3,0))-MAX($BA31,CY$3)+1)/($BB31-$BA31+1),SUMPRODUCT((YEAR($AC$2:$AX$2)=YEAR(CY$3))*(MONTH($AC$2:$AX$2)=MONTH(CY$3))*$AC31:$AX31))</f>
        <v>0</v>
      </c>
      <c r="CZ31" s="164" t="n">
        <f aca="false">IF(AND($BA31&gt;0,$BB31&gt;=$BA31),$AA31*MAX(0,MIN($BB31,EOMONTH(CZ$3,0))-MAX($BA31,CZ$3)+1)/($BB31-$BA31+1),SUMPRODUCT((YEAR($AC$2:$AX$2)=YEAR(CZ$3))*(MONTH($AC$2:$AX$2)=MONTH(CZ$3))*$AC31:$AX31))</f>
        <v>0</v>
      </c>
      <c r="DA31" s="164" t="n">
        <f aca="false">IF(AND($BA31&gt;0,$BB31&gt;=$BA31),$AA31*MAX(0,MIN($BB31,EOMONTH(DA$3,0))-MAX($BA31,DA$3)+1)/($BB31-$BA31+1),SUMPRODUCT((YEAR($AC$2:$AX$2)=YEAR(DA$3))*(MONTH($AC$2:$AX$2)=MONTH(DA$3))*$AC31:$AX31))</f>
        <v>0</v>
      </c>
      <c r="DB31" s="164" t="n">
        <f aca="false">IF(AND($BA31&gt;0,$BB31&gt;=$BA31),$AA31*MAX(0,MIN($BB31,EOMONTH(DB$3,0))-MAX($BA31,DB$3)+1)/($BB31-$BA31+1),SUMPRODUCT((YEAR($AC$2:$AX$2)=YEAR(DB$3))*(MONTH($AC$2:$AX$2)=MONTH(DB$3))*$AC31:$AX31))</f>
        <v>0</v>
      </c>
      <c r="DC31" s="164" t="n">
        <f aca="false">IF(AND($BA31&gt;0,$BB31&gt;=$BA31),$AA31*MAX(0,MIN($BB31,EOMONTH(DC$3,0))-MAX($BA31,DC$3)+1)/($BB31-$BA31+1),SUMPRODUCT((YEAR($AC$2:$AX$2)=YEAR(DC$3))*(MONTH($AC$2:$AX$2)=MONTH(DC$3))*$AC31:$AX31))</f>
        <v>0</v>
      </c>
      <c r="DD31" s="164" t="n">
        <f aca="false">IF(AND($BA31&gt;0,$BB31&gt;=$BA31),$AA31*MAX(0,MIN($BB31,EOMONTH(DD$3,0))-MAX($BA31,DD$3)+1)/($BB31-$BA31+1),SUMPRODUCT((YEAR($AC$2:$AX$2)=YEAR(DD$3))*(MONTH($AC$2:$AX$2)=MONTH(DD$3))*$AC31:$AX31))</f>
        <v>0</v>
      </c>
      <c r="DE31" s="164" t="n">
        <f aca="false">IF(AND($BA31&gt;0,$BB31&gt;=$BA31),$AA31*MAX(0,MIN($BB31,EOMONTH(DE$3,0))-MAX($BA31,DE$3)+1)/($BB31-$BA31+1),SUMPRODUCT((YEAR($AC$2:$AX$2)=YEAR(DE$3))*(MONTH($AC$2:$AX$2)=MONTH(DE$3))*$AC31:$AX31))</f>
        <v>0</v>
      </c>
      <c r="DF31" s="164" t="n">
        <f aca="false">IF(AND($BA31&gt;0,$BB31&gt;=$BA31),$AA31*MAX(0,MIN($BB31,EOMONTH(DF$3,0))-MAX($BA31,DF$3)+1)/($BB31-$BA31+1),SUMPRODUCT((YEAR($AC$2:$AX$2)=YEAR(DF$3))*(MONTH($AC$2:$AX$2)=MONTH(DF$3))*$AC31:$AX31))</f>
        <v>0</v>
      </c>
      <c r="DG31" s="164" t="n">
        <f aca="false">IF(AND($BA31&gt;0,$BB31&gt;=$BA31),$AA31*MAX(0,MIN($BB31,EOMONTH(DG$3,0))-MAX($BA31,DG$3)+1)/($BB31-$BA31+1),SUMPRODUCT((YEAR($AC$2:$AX$2)=YEAR(DG$3))*(MONTH($AC$2:$AX$2)=MONTH(DG$3))*$AC31:$AX31))</f>
        <v>0</v>
      </c>
      <c r="DH31" s="164" t="n">
        <f aca="false">IF(AND($BA31&gt;0,$BB31&gt;=$BA31),$AA31*MAX(0,MIN($BB31,EOMONTH(DH$3,0))-MAX($BA31,DH$3)+1)/($BB31-$BA31+1),SUMPRODUCT((YEAR($AC$2:$AX$2)=YEAR(DH$3))*(MONTH($AC$2:$AX$2)=MONTH(DH$3))*$AC31:$AX31))</f>
        <v>0</v>
      </c>
      <c r="DI31" s="164" t="n">
        <f aca="false">IF(AND($BA31&gt;0,$BB31&gt;=$BA31),$AA31*MAX(0,MIN($BB31,EOMONTH(DI$3,0))-MAX($BA31,DI$3)+1)/($BB31-$BA31+1),SUMPRODUCT((YEAR($AC$2:$AX$2)=YEAR(DI$3))*(MONTH($AC$2:$AX$2)=MONTH(DI$3))*$AC31:$AX31))</f>
        <v>0</v>
      </c>
      <c r="DJ31" s="164" t="n">
        <f aca="false">IF(AND($BA31&gt;0,$BB31&gt;=$BA31),$AA31*MAX(0,MIN($BB31,EOMONTH(DJ$3,0))-MAX($BA31,DJ$3)+1)/($BB31-$BA31+1),SUMPRODUCT((YEAR($AC$2:$AX$2)=YEAR(DJ$3))*(MONTH($AC$2:$AX$2)=MONTH(DJ$3))*$AC31:$AX31))</f>
        <v>0</v>
      </c>
      <c r="DK31" s="164" t="n">
        <f aca="false">IF(AND($BA31&gt;0,$BB31&gt;=$BA31),$AA31*MAX(0,MIN($BB31,EOMONTH(DK$3,0))-MAX($BA31,DK$3)+1)/($BB31-$BA31+1),SUMPRODUCT((YEAR($AC$2:$AX$2)=YEAR(DK$3))*(MONTH($AC$2:$AX$2)=MONTH(DK$3))*$AC31:$AX31))</f>
        <v>0</v>
      </c>
      <c r="DL31" s="164" t="n">
        <f aca="false">IF(AND($BA31&gt;0,$BB31&gt;=$BA31),$AA31*MAX(0,MIN($BB31,EOMONTH(DL$3,0))-MAX($BA31,DL$3)+1)/($BB31-$BA31+1),SUMPRODUCT((YEAR($AC$2:$AX$2)=YEAR(DL$3))*(MONTH($AC$2:$AX$2)=MONTH(DL$3))*$AC31:$AX31))</f>
        <v>0</v>
      </c>
      <c r="DM31" s="164" t="n">
        <f aca="false">IF(AND($BA31&gt;0,$BB31&gt;=$BA31),$AA31*MAX(0,MIN($BB31,EOMONTH(DM$3,0))-MAX($BA31,DM$3)+1)/($BB31-$BA31+1),SUMPRODUCT((YEAR($AC$2:$AX$2)=YEAR(DM$3))*(MONTH($AC$2:$AX$2)=MONTH(DM$3))*$AC31:$AX31))</f>
        <v>0</v>
      </c>
      <c r="DN31" s="164" t="n">
        <f aca="false">IF(AND($BA31&gt;0,$BB31&gt;=$BA31),$AA31*MAX(0,MIN($BB31,EOMONTH(DN$3,0))-MAX($BA31,DN$3)+1)/($BB31-$BA31+1),SUMPRODUCT((YEAR($AC$2:$AX$2)=YEAR(DN$3))*(MONTH($AC$2:$AX$2)=MONTH(DN$3))*$AC31:$AX31))</f>
        <v>0</v>
      </c>
      <c r="DO31" s="164" t="n">
        <f aca="false">IF(AND($BA31&gt;0,$BB31&gt;=$BA31),$AA31*MAX(0,MIN($BB31,EOMONTH(DO$3,0))-MAX($BA31,DO$3)+1)/($BB31-$BA31+1),SUMPRODUCT((YEAR($AC$2:$AX$2)=YEAR(DO$3))*(MONTH($AC$2:$AX$2)=MONTH(DO$3))*$AC31:$AX31))</f>
        <v>0</v>
      </c>
      <c r="DP31" s="164" t="n">
        <f aca="false">IF(AND($BA31&gt;0,$BB31&gt;=$BA31),$AA31*MAX(0,MIN($BB31,EOMONTH(DP$3,0))-MAX($BA31,DP$3)+1)/($BB31-$BA31+1),SUMPRODUCT((YEAR($AC$2:$AX$2)=YEAR(DP$3))*(MONTH($AC$2:$AX$2)=MONTH(DP$3))*$AC31:$AX31))</f>
        <v>0</v>
      </c>
      <c r="DQ31" s="164" t="n">
        <f aca="false">IF(AND($BA31&gt;0,$BB31&gt;=$BA31),$AA31*MAX(0,MIN($BB31,EOMONTH(DQ$3,0))-MAX($BA31,DQ$3)+1)/($BB31-$BA31+1),SUMPRODUCT((YEAR($AC$2:$AX$2)=YEAR(DQ$3))*(MONTH($AC$2:$AX$2)=MONTH(DQ$3))*$AC31:$AX31))</f>
        <v>0</v>
      </c>
      <c r="DR31" s="164" t="n">
        <f aca="false">IF(AND($BA31&gt;0,$BB31&gt;=$BA31),$AA31*MAX(0,MIN($BB31,EOMONTH(DR$3,0))-MAX($BA31,DR$3)+1)/($BB31-$BA31+1),SUMPRODUCT((YEAR($AC$2:$AX$2)=YEAR(DR$3))*(MONTH($AC$2:$AX$2)=MONTH(DR$3))*$AC31:$AX31))</f>
        <v>0</v>
      </c>
      <c r="DS31" s="164" t="n">
        <f aca="false">IF(AND($BA31&gt;0,$BB31&gt;=$BA31),$AA31*MAX(0,MIN($BB31,EOMONTH(DS$3,0))-MAX($BA31,DS$3)+1)/($BB31-$BA31+1),SUMPRODUCT((YEAR($AC$2:$AX$2)=YEAR(DS$3))*(MONTH($AC$2:$AX$2)=MONTH(DS$3))*$AC31:$AX31))</f>
        <v>0</v>
      </c>
      <c r="DT31" s="164" t="n">
        <f aca="false">IF(AND($BA31&gt;0,$BB31&gt;=$BA31),$AA31*MAX(0,MIN($BB31,EOMONTH(DT$3,0))-MAX($BA31,DT$3)+1)/($BB31-$BA31+1),SUMPRODUCT((YEAR($AC$2:$AX$2)=YEAR(DT$3))*(MONTH($AC$2:$AX$2)=MONTH(DT$3))*$AC31:$AX31))</f>
        <v>0</v>
      </c>
      <c r="DU31" s="164" t="n">
        <f aca="false">IF(AND($BA31&gt;0,$BB31&gt;=$BA31),$AA31*MAX(0,MIN($BB31,EOMONTH(DU$3,0))-MAX($BA31,DU$3)+1)/($BB31-$BA31+1),SUMPRODUCT((YEAR($AC$2:$AX$2)=YEAR(DU$3))*(MONTH($AC$2:$AX$2)=MONTH(DU$3))*$AC31:$AX31))</f>
        <v>0</v>
      </c>
      <c r="DV31" s="164" t="n">
        <f aca="false">IF(AND($BA31&gt;0,$BB31&gt;=$BA31),$AA31*MAX(0,MIN($BB31,EOMONTH(DV$3,0))-MAX($BA31,DV$3)+1)/($BB31-$BA31+1),SUMPRODUCT((YEAR($AC$2:$AX$2)=YEAR(DV$3))*(MONTH($AC$2:$AX$2)=MONTH(DV$3))*$AC31:$AX31))</f>
        <v>0</v>
      </c>
      <c r="DW31" s="164" t="n">
        <f aca="false">IF(AND($BA31&gt;0,$BB31&gt;=$BA31),$AA31*MAX(0,MIN($BB31,EOMONTH(DW$3,0))-MAX($BA31,DW$3)+1)/($BB31-$BA31+1),SUMPRODUCT((YEAR($AC$2:$AX$2)=YEAR(DW$3))*(MONTH($AC$2:$AX$2)=MONTH(DW$3))*$AC31:$AX31))</f>
        <v>0</v>
      </c>
    </row>
    <row r="32" customFormat="false" ht="15" hidden="false" customHeight="false" outlineLevel="0" collapsed="false">
      <c r="H32" s="151" t="s">
        <v>2990</v>
      </c>
      <c r="J32" s="152" t="n">
        <v>700.6245</v>
      </c>
      <c r="K32" s="152" t="n">
        <v>651.8</v>
      </c>
      <c r="L32" s="152" t="n">
        <v>1867.22755</v>
      </c>
      <c r="M32" s="152" t="n">
        <v>1450.773</v>
      </c>
      <c r="N32" s="152" t="n">
        <v>8374</v>
      </c>
      <c r="O32" s="152" t="n">
        <v>73559</v>
      </c>
      <c r="Q32" s="152" t="n">
        <v>700.6245</v>
      </c>
      <c r="S32" s="149" t="n">
        <f aca="false">K32*($C$59+$D$57)</f>
        <v>452127.588</v>
      </c>
      <c r="T32" s="149" t="n">
        <f aca="false">L32*$D$47</f>
        <v>248901.432415</v>
      </c>
      <c r="U32" s="149" t="n">
        <f aca="false">M32*$D$48</f>
        <v>229258.403325</v>
      </c>
      <c r="V32" s="149" t="n">
        <f aca="false">O32*($D$54)</f>
        <v>427602.14495</v>
      </c>
      <c r="W32" s="149" t="n">
        <f aca="false">O32*($D$49)</f>
        <v>205597.405</v>
      </c>
      <c r="X32" s="149" t="n">
        <f aca="false">N32*$D$60</f>
        <v>216454.111812941</v>
      </c>
      <c r="Y32" s="149" t="n">
        <f aca="false">SUM(P32:Q32)*($D$50+$D$52)</f>
        <v>9521.592048675</v>
      </c>
      <c r="AA32" s="149" t="n">
        <f aca="false">SUM(S32:Y32)</f>
        <v>1789462.67755162</v>
      </c>
      <c r="AI32" s="149" t="n">
        <f aca="false">(AA32*(1-$AG$49))*0.1</f>
        <v>164630.566334749</v>
      </c>
      <c r="AJ32" s="149" t="n">
        <f aca="false">(AA32*(1-$AG$49))*0.8</f>
        <v>1317044.53067799</v>
      </c>
      <c r="AK32" s="149" t="n">
        <f aca="false">(AA32*(1-$AG$49))*0.1</f>
        <v>164630.566334749</v>
      </c>
      <c r="AP32" s="149" t="n">
        <f aca="false">AA32*($AG$49)</f>
        <v>143157.014204129</v>
      </c>
      <c r="AZ32" s="162" t="s">
        <v>2802</v>
      </c>
      <c r="BA32" s="163" t="n">
        <f aca="false">IF(AZ32="",0,SUMPRODUCT(('CRONOGRAMA ATIVIDADES'!$C$5:$C$6004="ESTRUTURA")*('CRONOGRAMA ATIVIDADES'!$E$5:$E$6004=AZ32)*('CRONOGRAMA ATIVIDADES'!$D$5:$D$6004="-")*'CRONOGRAMA ATIVIDADES'!$F$5:$F$6004))</f>
        <v>46391</v>
      </c>
      <c r="BB32" s="163" t="n">
        <f aca="false">IF(AZ32="",0,SUMPRODUCT(('CRONOGRAMA ATIVIDADES'!$C$5:$C$6004="ESTRUTURA")*('CRONOGRAMA ATIVIDADES'!$E$5:$E$6004=AZ32)*('CRONOGRAMA ATIVIDADES'!$D$5:$D$6004="-")*'CRONOGRAMA ATIVIDADES'!$G$5:$G$6004))</f>
        <v>46414</v>
      </c>
      <c r="BD32" s="164" t="n">
        <f aca="false">IF(AND($BA32&gt;0,$BB32&gt;=$BA32),$AA32*MAX(0,MIN($BB32,EOMONTH(BD$3,0))-MAX($BA32,BD$3)+1)/($BB32-$BA32+1),SUMPRODUCT((YEAR($AC$2:$AX$2)=YEAR(BD$3))*(MONTH($AC$2:$AX$2)=MONTH(BD$3))*$AC32:$AX32))</f>
        <v>0</v>
      </c>
      <c r="BE32" s="164" t="n">
        <f aca="false">IF(AND($BA32&gt;0,$BB32&gt;=$BA32),$AA32*MAX(0,MIN($BB32,EOMONTH(BE$3,0))-MAX($BA32,BE$3)+1)/($BB32-$BA32+1),SUMPRODUCT((YEAR($AC$2:$AX$2)=YEAR(BE$3))*(MONTH($AC$2:$AX$2)=MONTH(BE$3))*$AC32:$AX32))</f>
        <v>0</v>
      </c>
      <c r="BF32" s="164" t="n">
        <f aca="false">IF(AND($BA32&gt;0,$BB32&gt;=$BA32),$AA32*MAX(0,MIN($BB32,EOMONTH(BF$3,0))-MAX($BA32,BF$3)+1)/($BB32-$BA32+1),SUMPRODUCT((YEAR($AC$2:$AX$2)=YEAR(BF$3))*(MONTH($AC$2:$AX$2)=MONTH(BF$3))*$AC32:$AX32))</f>
        <v>0</v>
      </c>
      <c r="BG32" s="164" t="n">
        <f aca="false">IF(AND($BA32&gt;0,$BB32&gt;=$BA32),$AA32*MAX(0,MIN($BB32,EOMONTH(BG$3,0))-MAX($BA32,BG$3)+1)/($BB32-$BA32+1),SUMPRODUCT((YEAR($AC$2:$AX$2)=YEAR(BG$3))*(MONTH($AC$2:$AX$2)=MONTH(BG$3))*$AC32:$AX32))</f>
        <v>0</v>
      </c>
      <c r="BH32" s="164" t="n">
        <f aca="false">IF(AND($BA32&gt;0,$BB32&gt;=$BA32),$AA32*MAX(0,MIN($BB32,EOMONTH(BH$3,0))-MAX($BA32,BH$3)+1)/($BB32-$BA32+1),SUMPRODUCT((YEAR($AC$2:$AX$2)=YEAR(BH$3))*(MONTH($AC$2:$AX$2)=MONTH(BH$3))*$AC32:$AX32))</f>
        <v>0</v>
      </c>
      <c r="BI32" s="164" t="n">
        <f aca="false">IF(AND($BA32&gt;0,$BB32&gt;=$BA32),$AA32*MAX(0,MIN($BB32,EOMONTH(BI$3,0))-MAX($BA32,BI$3)+1)/($BB32-$BA32+1),SUMPRODUCT((YEAR($AC$2:$AX$2)=YEAR(BI$3))*(MONTH($AC$2:$AX$2)=MONTH(BI$3))*$AC32:$AX32))</f>
        <v>0</v>
      </c>
      <c r="BJ32" s="164" t="n">
        <f aca="false">IF(AND($BA32&gt;0,$BB32&gt;=$BA32),$AA32*MAX(0,MIN($BB32,EOMONTH(BJ$3,0))-MAX($BA32,BJ$3)+1)/($BB32-$BA32+1),SUMPRODUCT((YEAR($AC$2:$AX$2)=YEAR(BJ$3))*(MONTH($AC$2:$AX$2)=MONTH(BJ$3))*$AC32:$AX32))</f>
        <v>0</v>
      </c>
      <c r="BK32" s="164" t="n">
        <f aca="false">IF(AND($BA32&gt;0,$BB32&gt;=$BA32),$AA32*MAX(0,MIN($BB32,EOMONTH(BK$3,0))-MAX($BA32,BK$3)+1)/($BB32-$BA32+1),SUMPRODUCT((YEAR($AC$2:$AX$2)=YEAR(BK$3))*(MONTH($AC$2:$AX$2)=MONTH(BK$3))*$AC32:$AX32))</f>
        <v>0</v>
      </c>
      <c r="BL32" s="164" t="n">
        <f aca="false">IF(AND($BA32&gt;0,$BB32&gt;=$BA32),$AA32*MAX(0,MIN($BB32,EOMONTH(BL$3,0))-MAX($BA32,BL$3)+1)/($BB32-$BA32+1),SUMPRODUCT((YEAR($AC$2:$AX$2)=YEAR(BL$3))*(MONTH($AC$2:$AX$2)=MONTH(BL$3))*$AC32:$AX32))</f>
        <v>0</v>
      </c>
      <c r="BM32" s="164" t="n">
        <f aca="false">IF(AND($BA32&gt;0,$BB32&gt;=$BA32),$AA32*MAX(0,MIN($BB32,EOMONTH(BM$3,0))-MAX($BA32,BM$3)+1)/($BB32-$BA32+1),SUMPRODUCT((YEAR($AC$2:$AX$2)=YEAR(BM$3))*(MONTH($AC$2:$AX$2)=MONTH(BM$3))*$AC32:$AX32))</f>
        <v>0</v>
      </c>
      <c r="BN32" s="164" t="n">
        <f aca="false">IF(AND($BA32&gt;0,$BB32&gt;=$BA32),$AA32*MAX(0,MIN($BB32,EOMONTH(BN$3,0))-MAX($BA32,BN$3)+1)/($BB32-$BA32+1),SUMPRODUCT((YEAR($AC$2:$AX$2)=YEAR(BN$3))*(MONTH($AC$2:$AX$2)=MONTH(BN$3))*$AC32:$AX32))</f>
        <v>0</v>
      </c>
      <c r="BO32" s="164" t="n">
        <f aca="false">IF(AND($BA32&gt;0,$BB32&gt;=$BA32),$AA32*MAX(0,MIN($BB32,EOMONTH(BO$3,0))-MAX($BA32,BO$3)+1)/($BB32-$BA32+1),SUMPRODUCT((YEAR($AC$2:$AX$2)=YEAR(BO$3))*(MONTH($AC$2:$AX$2)=MONTH(BO$3))*$AC32:$AX32))</f>
        <v>0</v>
      </c>
      <c r="BP32" s="164" t="n">
        <f aca="false">IF(AND($BA32&gt;0,$BB32&gt;=$BA32),$AA32*MAX(0,MIN($BB32,EOMONTH(BP$3,0))-MAX($BA32,BP$3)+1)/($BB32-$BA32+1),SUMPRODUCT((YEAR($AC$2:$AX$2)=YEAR(BP$3))*(MONTH($AC$2:$AX$2)=MONTH(BP$3))*$AC32:$AX32))</f>
        <v>0</v>
      </c>
      <c r="BQ32" s="164" t="n">
        <f aca="false">IF(AND($BA32&gt;0,$BB32&gt;=$BA32),$AA32*MAX(0,MIN($BB32,EOMONTH(BQ$3,0))-MAX($BA32,BQ$3)+1)/($BB32-$BA32+1),SUMPRODUCT((YEAR($AC$2:$AX$2)=YEAR(BQ$3))*(MONTH($AC$2:$AX$2)=MONTH(BQ$3))*$AC32:$AX32))</f>
        <v>0</v>
      </c>
      <c r="BR32" s="164" t="n">
        <f aca="false">IF(AND($BA32&gt;0,$BB32&gt;=$BA32),$AA32*MAX(0,MIN($BB32,EOMONTH(BR$3,0))-MAX($BA32,BR$3)+1)/($BB32-$BA32+1),SUMPRODUCT((YEAR($AC$2:$AX$2)=YEAR(BR$3))*(MONTH($AC$2:$AX$2)=MONTH(BR$3))*$AC32:$AX32))</f>
        <v>0</v>
      </c>
      <c r="BS32" s="164" t="n">
        <f aca="false">IF(AND($BA32&gt;0,$BB32&gt;=$BA32),$AA32*MAX(0,MIN($BB32,EOMONTH(BS$3,0))-MAX($BA32,BS$3)+1)/($BB32-$BA32+1),SUMPRODUCT((YEAR($AC$2:$AX$2)=YEAR(BS$3))*(MONTH($AC$2:$AX$2)=MONTH(BS$3))*$AC32:$AX32))</f>
        <v>0</v>
      </c>
      <c r="BT32" s="164" t="n">
        <f aca="false">IF(AND($BA32&gt;0,$BB32&gt;=$BA32),$AA32*MAX(0,MIN($BB32,EOMONTH(BT$3,0))-MAX($BA32,BT$3)+1)/($BB32-$BA32+1),SUMPRODUCT((YEAR($AC$2:$AX$2)=YEAR(BT$3))*(MONTH($AC$2:$AX$2)=MONTH(BT$3))*$AC32:$AX32))</f>
        <v>0</v>
      </c>
      <c r="BU32" s="164" t="n">
        <f aca="false">IF(AND($BA32&gt;0,$BB32&gt;=$BA32),$AA32*MAX(0,MIN($BB32,EOMONTH(BU$3,0))-MAX($BA32,BU$3)+1)/($BB32-$BA32+1),SUMPRODUCT((YEAR($AC$2:$AX$2)=YEAR(BU$3))*(MONTH($AC$2:$AX$2)=MONTH(BU$3))*$AC32:$AX32))</f>
        <v>0</v>
      </c>
      <c r="BV32" s="164" t="n">
        <f aca="false">IF(AND($BA32&gt;0,$BB32&gt;=$BA32),$AA32*MAX(0,MIN($BB32,EOMONTH(BV$3,0))-MAX($BA32,BV$3)+1)/($BB32-$BA32+1),SUMPRODUCT((YEAR($AC$2:$AX$2)=YEAR(BV$3))*(MONTH($AC$2:$AX$2)=MONTH(BV$3))*$AC32:$AX32))</f>
        <v>0</v>
      </c>
      <c r="BW32" s="164" t="n">
        <f aca="false">IF(AND($BA32&gt;0,$BB32&gt;=$BA32),$AA32*MAX(0,MIN($BB32,EOMONTH(BW$3,0))-MAX($BA32,BW$3)+1)/($BB32-$BA32+1),SUMPRODUCT((YEAR($AC$2:$AX$2)=YEAR(BW$3))*(MONTH($AC$2:$AX$2)=MONTH(BW$3))*$AC32:$AX32))</f>
        <v>0</v>
      </c>
      <c r="BX32" s="164" t="n">
        <f aca="false">IF(AND($BA32&gt;0,$BB32&gt;=$BA32),$AA32*MAX(0,MIN($BB32,EOMONTH(BX$3,0))-MAX($BA32,BX$3)+1)/($BB32-$BA32+1),SUMPRODUCT((YEAR($AC$2:$AX$2)=YEAR(BX$3))*(MONTH($AC$2:$AX$2)=MONTH(BX$3))*$AC32:$AX32))</f>
        <v>0</v>
      </c>
      <c r="BY32" s="164" t="n">
        <f aca="false">IF(AND($BA32&gt;0,$BB32&gt;=$BA32),$AA32*MAX(0,MIN($BB32,EOMONTH(BY$3,0))-MAX($BA32,BY$3)+1)/($BB32-$BA32+1),SUMPRODUCT((YEAR($AC$2:$AX$2)=YEAR(BY$3))*(MONTH($AC$2:$AX$2)=MONTH(BY$3))*$AC32:$AX32))</f>
        <v>0</v>
      </c>
      <c r="BZ32" s="164" t="n">
        <f aca="false">IF(AND($BA32&gt;0,$BB32&gt;=$BA32),$AA32*MAX(0,MIN($BB32,EOMONTH(BZ$3,0))-MAX($BA32,BZ$3)+1)/($BB32-$BA32+1),SUMPRODUCT((YEAR($AC$2:$AX$2)=YEAR(BZ$3))*(MONTH($AC$2:$AX$2)=MONTH(BZ$3))*$AC32:$AX32))</f>
        <v>0</v>
      </c>
      <c r="CA32" s="164" t="n">
        <f aca="false">IF(AND($BA32&gt;0,$BB32&gt;=$BA32),$AA32*MAX(0,MIN($BB32,EOMONTH(CA$3,0))-MAX($BA32,CA$3)+1)/($BB32-$BA32+1),SUMPRODUCT((YEAR($AC$2:$AX$2)=YEAR(CA$3))*(MONTH($AC$2:$AX$2)=MONTH(CA$3))*$AC32:$AX32))</f>
        <v>0</v>
      </c>
      <c r="CB32" s="164" t="n">
        <f aca="false">IF(AND($BA32&gt;0,$BB32&gt;=$BA32),$AA32*MAX(0,MIN($BB32,EOMONTH(CB$3,0))-MAX($BA32,CB$3)+1)/($BB32-$BA32+1),SUMPRODUCT((YEAR($AC$2:$AX$2)=YEAR(CB$3))*(MONTH($AC$2:$AX$2)=MONTH(CB$3))*$AC32:$AX32))</f>
        <v>0</v>
      </c>
      <c r="CC32" s="164" t="n">
        <f aca="false">IF(AND($BA32&gt;0,$BB32&gt;=$BA32),$AA32*MAX(0,MIN($BB32,EOMONTH(CC$3,0))-MAX($BA32,CC$3)+1)/($BB32-$BA32+1),SUMPRODUCT((YEAR($AC$2:$AX$2)=YEAR(CC$3))*(MONTH($AC$2:$AX$2)=MONTH(CC$3))*$AC32:$AX32))</f>
        <v>1789462.67755162</v>
      </c>
      <c r="CD32" s="164" t="n">
        <f aca="false">IF(AND($BA32&gt;0,$BB32&gt;=$BA32),$AA32*MAX(0,MIN($BB32,EOMONTH(CD$3,0))-MAX($BA32,CD$3)+1)/($BB32-$BA32+1),SUMPRODUCT((YEAR($AC$2:$AX$2)=YEAR(CD$3))*(MONTH($AC$2:$AX$2)=MONTH(CD$3))*$AC32:$AX32))</f>
        <v>0</v>
      </c>
      <c r="CE32" s="164" t="n">
        <f aca="false">IF(AND($BA32&gt;0,$BB32&gt;=$BA32),$AA32*MAX(0,MIN($BB32,EOMONTH(CE$3,0))-MAX($BA32,CE$3)+1)/($BB32-$BA32+1),SUMPRODUCT((YEAR($AC$2:$AX$2)=YEAR(CE$3))*(MONTH($AC$2:$AX$2)=MONTH(CE$3))*$AC32:$AX32))</f>
        <v>0</v>
      </c>
      <c r="CF32" s="164" t="n">
        <f aca="false">IF(AND($BA32&gt;0,$BB32&gt;=$BA32),$AA32*MAX(0,MIN($BB32,EOMONTH(CF$3,0))-MAX($BA32,CF$3)+1)/($BB32-$BA32+1),SUMPRODUCT((YEAR($AC$2:$AX$2)=YEAR(CF$3))*(MONTH($AC$2:$AX$2)=MONTH(CF$3))*$AC32:$AX32))</f>
        <v>0</v>
      </c>
      <c r="CG32" s="164" t="n">
        <f aca="false">IF(AND($BA32&gt;0,$BB32&gt;=$BA32),$AA32*MAX(0,MIN($BB32,EOMONTH(CG$3,0))-MAX($BA32,CG$3)+1)/($BB32-$BA32+1),SUMPRODUCT((YEAR($AC$2:$AX$2)=YEAR(CG$3))*(MONTH($AC$2:$AX$2)=MONTH(CG$3))*$AC32:$AX32))</f>
        <v>0</v>
      </c>
      <c r="CH32" s="164" t="n">
        <f aca="false">IF(AND($BA32&gt;0,$BB32&gt;=$BA32),$AA32*MAX(0,MIN($BB32,EOMONTH(CH$3,0))-MAX($BA32,CH$3)+1)/($BB32-$BA32+1),SUMPRODUCT((YEAR($AC$2:$AX$2)=YEAR(CH$3))*(MONTH($AC$2:$AX$2)=MONTH(CH$3))*$AC32:$AX32))</f>
        <v>0</v>
      </c>
      <c r="CI32" s="164" t="n">
        <f aca="false">IF(AND($BA32&gt;0,$BB32&gt;=$BA32),$AA32*MAX(0,MIN($BB32,EOMONTH(CI$3,0))-MAX($BA32,CI$3)+1)/($BB32-$BA32+1),SUMPRODUCT((YEAR($AC$2:$AX$2)=YEAR(CI$3))*(MONTH($AC$2:$AX$2)=MONTH(CI$3))*$AC32:$AX32))</f>
        <v>0</v>
      </c>
      <c r="CJ32" s="164" t="n">
        <f aca="false">IF(AND($BA32&gt;0,$BB32&gt;=$BA32),$AA32*MAX(0,MIN($BB32,EOMONTH(CJ$3,0))-MAX($BA32,CJ$3)+1)/($BB32-$BA32+1),SUMPRODUCT((YEAR($AC$2:$AX$2)=YEAR(CJ$3))*(MONTH($AC$2:$AX$2)=MONTH(CJ$3))*$AC32:$AX32))</f>
        <v>0</v>
      </c>
      <c r="CK32" s="164" t="n">
        <f aca="false">IF(AND($BA32&gt;0,$BB32&gt;=$BA32),$AA32*MAX(0,MIN($BB32,EOMONTH(CK$3,0))-MAX($BA32,CK$3)+1)/($BB32-$BA32+1),SUMPRODUCT((YEAR($AC$2:$AX$2)=YEAR(CK$3))*(MONTH($AC$2:$AX$2)=MONTH(CK$3))*$AC32:$AX32))</f>
        <v>0</v>
      </c>
      <c r="CL32" s="164" t="n">
        <f aca="false">IF(AND($BA32&gt;0,$BB32&gt;=$BA32),$AA32*MAX(0,MIN($BB32,EOMONTH(CL$3,0))-MAX($BA32,CL$3)+1)/($BB32-$BA32+1),SUMPRODUCT((YEAR($AC$2:$AX$2)=YEAR(CL$3))*(MONTH($AC$2:$AX$2)=MONTH(CL$3))*$AC32:$AX32))</f>
        <v>0</v>
      </c>
      <c r="CM32" s="164" t="n">
        <f aca="false">IF(AND($BA32&gt;0,$BB32&gt;=$BA32),$AA32*MAX(0,MIN($BB32,EOMONTH(CM$3,0))-MAX($BA32,CM$3)+1)/($BB32-$BA32+1),SUMPRODUCT((YEAR($AC$2:$AX$2)=YEAR(CM$3))*(MONTH($AC$2:$AX$2)=MONTH(CM$3))*$AC32:$AX32))</f>
        <v>0</v>
      </c>
      <c r="CN32" s="164" t="n">
        <f aca="false">IF(AND($BA32&gt;0,$BB32&gt;=$BA32),$AA32*MAX(0,MIN($BB32,EOMONTH(CN$3,0))-MAX($BA32,CN$3)+1)/($BB32-$BA32+1),SUMPRODUCT((YEAR($AC$2:$AX$2)=YEAR(CN$3))*(MONTH($AC$2:$AX$2)=MONTH(CN$3))*$AC32:$AX32))</f>
        <v>0</v>
      </c>
      <c r="CO32" s="164" t="n">
        <f aca="false">IF(AND($BA32&gt;0,$BB32&gt;=$BA32),$AA32*MAX(0,MIN($BB32,EOMONTH(CO$3,0))-MAX($BA32,CO$3)+1)/($BB32-$BA32+1),SUMPRODUCT((YEAR($AC$2:$AX$2)=YEAR(CO$3))*(MONTH($AC$2:$AX$2)=MONTH(CO$3))*$AC32:$AX32))</f>
        <v>0</v>
      </c>
      <c r="CP32" s="164" t="n">
        <f aca="false">IF(AND($BA32&gt;0,$BB32&gt;=$BA32),$AA32*MAX(0,MIN($BB32,EOMONTH(CP$3,0))-MAX($BA32,CP$3)+1)/($BB32-$BA32+1),SUMPRODUCT((YEAR($AC$2:$AX$2)=YEAR(CP$3))*(MONTH($AC$2:$AX$2)=MONTH(CP$3))*$AC32:$AX32))</f>
        <v>0</v>
      </c>
      <c r="CQ32" s="164" t="n">
        <f aca="false">IF(AND($BA32&gt;0,$BB32&gt;=$BA32),$AA32*MAX(0,MIN($BB32,EOMONTH(CQ$3,0))-MAX($BA32,CQ$3)+1)/($BB32-$BA32+1),SUMPRODUCT((YEAR($AC$2:$AX$2)=YEAR(CQ$3))*(MONTH($AC$2:$AX$2)=MONTH(CQ$3))*$AC32:$AX32))</f>
        <v>0</v>
      </c>
      <c r="CR32" s="164" t="n">
        <f aca="false">IF(AND($BA32&gt;0,$BB32&gt;=$BA32),$AA32*MAX(0,MIN($BB32,EOMONTH(CR$3,0))-MAX($BA32,CR$3)+1)/($BB32-$BA32+1),SUMPRODUCT((YEAR($AC$2:$AX$2)=YEAR(CR$3))*(MONTH($AC$2:$AX$2)=MONTH(CR$3))*$AC32:$AX32))</f>
        <v>0</v>
      </c>
      <c r="CS32" s="164" t="n">
        <f aca="false">IF(AND($BA32&gt;0,$BB32&gt;=$BA32),$AA32*MAX(0,MIN($BB32,EOMONTH(CS$3,0))-MAX($BA32,CS$3)+1)/($BB32-$BA32+1),SUMPRODUCT((YEAR($AC$2:$AX$2)=YEAR(CS$3))*(MONTH($AC$2:$AX$2)=MONTH(CS$3))*$AC32:$AX32))</f>
        <v>0</v>
      </c>
      <c r="CT32" s="164" t="n">
        <f aca="false">IF(AND($BA32&gt;0,$BB32&gt;=$BA32),$AA32*MAX(0,MIN($BB32,EOMONTH(CT$3,0))-MAX($BA32,CT$3)+1)/($BB32-$BA32+1),SUMPRODUCT((YEAR($AC$2:$AX$2)=YEAR(CT$3))*(MONTH($AC$2:$AX$2)=MONTH(CT$3))*$AC32:$AX32))</f>
        <v>0</v>
      </c>
      <c r="CU32" s="164" t="n">
        <f aca="false">IF(AND($BA32&gt;0,$BB32&gt;=$BA32),$AA32*MAX(0,MIN($BB32,EOMONTH(CU$3,0))-MAX($BA32,CU$3)+1)/($BB32-$BA32+1),SUMPRODUCT((YEAR($AC$2:$AX$2)=YEAR(CU$3))*(MONTH($AC$2:$AX$2)=MONTH(CU$3))*$AC32:$AX32))</f>
        <v>0</v>
      </c>
      <c r="CV32" s="164" t="n">
        <f aca="false">IF(AND($BA32&gt;0,$BB32&gt;=$BA32),$AA32*MAX(0,MIN($BB32,EOMONTH(CV$3,0))-MAX($BA32,CV$3)+1)/($BB32-$BA32+1),SUMPRODUCT((YEAR($AC$2:$AX$2)=YEAR(CV$3))*(MONTH($AC$2:$AX$2)=MONTH(CV$3))*$AC32:$AX32))</f>
        <v>0</v>
      </c>
      <c r="CW32" s="164" t="n">
        <f aca="false">IF(AND($BA32&gt;0,$BB32&gt;=$BA32),$AA32*MAX(0,MIN($BB32,EOMONTH(CW$3,0))-MAX($BA32,CW$3)+1)/($BB32-$BA32+1),SUMPRODUCT((YEAR($AC$2:$AX$2)=YEAR(CW$3))*(MONTH($AC$2:$AX$2)=MONTH(CW$3))*$AC32:$AX32))</f>
        <v>0</v>
      </c>
      <c r="CX32" s="164" t="n">
        <f aca="false">IF(AND($BA32&gt;0,$BB32&gt;=$BA32),$AA32*MAX(0,MIN($BB32,EOMONTH(CX$3,0))-MAX($BA32,CX$3)+1)/($BB32-$BA32+1),SUMPRODUCT((YEAR($AC$2:$AX$2)=YEAR(CX$3))*(MONTH($AC$2:$AX$2)=MONTH(CX$3))*$AC32:$AX32))</f>
        <v>0</v>
      </c>
      <c r="CY32" s="164" t="n">
        <f aca="false">IF(AND($BA32&gt;0,$BB32&gt;=$BA32),$AA32*MAX(0,MIN($BB32,EOMONTH(CY$3,0))-MAX($BA32,CY$3)+1)/($BB32-$BA32+1),SUMPRODUCT((YEAR($AC$2:$AX$2)=YEAR(CY$3))*(MONTH($AC$2:$AX$2)=MONTH(CY$3))*$AC32:$AX32))</f>
        <v>0</v>
      </c>
      <c r="CZ32" s="164" t="n">
        <f aca="false">IF(AND($BA32&gt;0,$BB32&gt;=$BA32),$AA32*MAX(0,MIN($BB32,EOMONTH(CZ$3,0))-MAX($BA32,CZ$3)+1)/($BB32-$BA32+1),SUMPRODUCT((YEAR($AC$2:$AX$2)=YEAR(CZ$3))*(MONTH($AC$2:$AX$2)=MONTH(CZ$3))*$AC32:$AX32))</f>
        <v>0</v>
      </c>
      <c r="DA32" s="164" t="n">
        <f aca="false">IF(AND($BA32&gt;0,$BB32&gt;=$BA32),$AA32*MAX(0,MIN($BB32,EOMONTH(DA$3,0))-MAX($BA32,DA$3)+1)/($BB32-$BA32+1),SUMPRODUCT((YEAR($AC$2:$AX$2)=YEAR(DA$3))*(MONTH($AC$2:$AX$2)=MONTH(DA$3))*$AC32:$AX32))</f>
        <v>0</v>
      </c>
      <c r="DB32" s="164" t="n">
        <f aca="false">IF(AND($BA32&gt;0,$BB32&gt;=$BA32),$AA32*MAX(0,MIN($BB32,EOMONTH(DB$3,0))-MAX($BA32,DB$3)+1)/($BB32-$BA32+1),SUMPRODUCT((YEAR($AC$2:$AX$2)=YEAR(DB$3))*(MONTH($AC$2:$AX$2)=MONTH(DB$3))*$AC32:$AX32))</f>
        <v>0</v>
      </c>
      <c r="DC32" s="164" t="n">
        <f aca="false">IF(AND($BA32&gt;0,$BB32&gt;=$BA32),$AA32*MAX(0,MIN($BB32,EOMONTH(DC$3,0))-MAX($BA32,DC$3)+1)/($BB32-$BA32+1),SUMPRODUCT((YEAR($AC$2:$AX$2)=YEAR(DC$3))*(MONTH($AC$2:$AX$2)=MONTH(DC$3))*$AC32:$AX32))</f>
        <v>0</v>
      </c>
      <c r="DD32" s="164" t="n">
        <f aca="false">IF(AND($BA32&gt;0,$BB32&gt;=$BA32),$AA32*MAX(0,MIN($BB32,EOMONTH(DD$3,0))-MAX($BA32,DD$3)+1)/($BB32-$BA32+1),SUMPRODUCT((YEAR($AC$2:$AX$2)=YEAR(DD$3))*(MONTH($AC$2:$AX$2)=MONTH(DD$3))*$AC32:$AX32))</f>
        <v>0</v>
      </c>
      <c r="DE32" s="164" t="n">
        <f aca="false">IF(AND($BA32&gt;0,$BB32&gt;=$BA32),$AA32*MAX(0,MIN($BB32,EOMONTH(DE$3,0))-MAX($BA32,DE$3)+1)/($BB32-$BA32+1),SUMPRODUCT((YEAR($AC$2:$AX$2)=YEAR(DE$3))*(MONTH($AC$2:$AX$2)=MONTH(DE$3))*$AC32:$AX32))</f>
        <v>0</v>
      </c>
      <c r="DF32" s="164" t="n">
        <f aca="false">IF(AND($BA32&gt;0,$BB32&gt;=$BA32),$AA32*MAX(0,MIN($BB32,EOMONTH(DF$3,0))-MAX($BA32,DF$3)+1)/($BB32-$BA32+1),SUMPRODUCT((YEAR($AC$2:$AX$2)=YEAR(DF$3))*(MONTH($AC$2:$AX$2)=MONTH(DF$3))*$AC32:$AX32))</f>
        <v>0</v>
      </c>
      <c r="DG32" s="164" t="n">
        <f aca="false">IF(AND($BA32&gt;0,$BB32&gt;=$BA32),$AA32*MAX(0,MIN($BB32,EOMONTH(DG$3,0))-MAX($BA32,DG$3)+1)/($BB32-$BA32+1),SUMPRODUCT((YEAR($AC$2:$AX$2)=YEAR(DG$3))*(MONTH($AC$2:$AX$2)=MONTH(DG$3))*$AC32:$AX32))</f>
        <v>0</v>
      </c>
      <c r="DH32" s="164" t="n">
        <f aca="false">IF(AND($BA32&gt;0,$BB32&gt;=$BA32),$AA32*MAX(0,MIN($BB32,EOMONTH(DH$3,0))-MAX($BA32,DH$3)+1)/($BB32-$BA32+1),SUMPRODUCT((YEAR($AC$2:$AX$2)=YEAR(DH$3))*(MONTH($AC$2:$AX$2)=MONTH(DH$3))*$AC32:$AX32))</f>
        <v>0</v>
      </c>
      <c r="DI32" s="164" t="n">
        <f aca="false">IF(AND($BA32&gt;0,$BB32&gt;=$BA32),$AA32*MAX(0,MIN($BB32,EOMONTH(DI$3,0))-MAX($BA32,DI$3)+1)/($BB32-$BA32+1),SUMPRODUCT((YEAR($AC$2:$AX$2)=YEAR(DI$3))*(MONTH($AC$2:$AX$2)=MONTH(DI$3))*$AC32:$AX32))</f>
        <v>0</v>
      </c>
      <c r="DJ32" s="164" t="n">
        <f aca="false">IF(AND($BA32&gt;0,$BB32&gt;=$BA32),$AA32*MAX(0,MIN($BB32,EOMONTH(DJ$3,0))-MAX($BA32,DJ$3)+1)/($BB32-$BA32+1),SUMPRODUCT((YEAR($AC$2:$AX$2)=YEAR(DJ$3))*(MONTH($AC$2:$AX$2)=MONTH(DJ$3))*$AC32:$AX32))</f>
        <v>0</v>
      </c>
      <c r="DK32" s="164" t="n">
        <f aca="false">IF(AND($BA32&gt;0,$BB32&gt;=$BA32),$AA32*MAX(0,MIN($BB32,EOMONTH(DK$3,0))-MAX($BA32,DK$3)+1)/($BB32-$BA32+1),SUMPRODUCT((YEAR($AC$2:$AX$2)=YEAR(DK$3))*(MONTH($AC$2:$AX$2)=MONTH(DK$3))*$AC32:$AX32))</f>
        <v>0</v>
      </c>
      <c r="DL32" s="164" t="n">
        <f aca="false">IF(AND($BA32&gt;0,$BB32&gt;=$BA32),$AA32*MAX(0,MIN($BB32,EOMONTH(DL$3,0))-MAX($BA32,DL$3)+1)/($BB32-$BA32+1),SUMPRODUCT((YEAR($AC$2:$AX$2)=YEAR(DL$3))*(MONTH($AC$2:$AX$2)=MONTH(DL$3))*$AC32:$AX32))</f>
        <v>0</v>
      </c>
      <c r="DM32" s="164" t="n">
        <f aca="false">IF(AND($BA32&gt;0,$BB32&gt;=$BA32),$AA32*MAX(0,MIN($BB32,EOMONTH(DM$3,0))-MAX($BA32,DM$3)+1)/($BB32-$BA32+1),SUMPRODUCT((YEAR($AC$2:$AX$2)=YEAR(DM$3))*(MONTH($AC$2:$AX$2)=MONTH(DM$3))*$AC32:$AX32))</f>
        <v>0</v>
      </c>
      <c r="DN32" s="164" t="n">
        <f aca="false">IF(AND($BA32&gt;0,$BB32&gt;=$BA32),$AA32*MAX(0,MIN($BB32,EOMONTH(DN$3,0))-MAX($BA32,DN$3)+1)/($BB32-$BA32+1),SUMPRODUCT((YEAR($AC$2:$AX$2)=YEAR(DN$3))*(MONTH($AC$2:$AX$2)=MONTH(DN$3))*$AC32:$AX32))</f>
        <v>0</v>
      </c>
      <c r="DO32" s="164" t="n">
        <f aca="false">IF(AND($BA32&gt;0,$BB32&gt;=$BA32),$AA32*MAX(0,MIN($BB32,EOMONTH(DO$3,0))-MAX($BA32,DO$3)+1)/($BB32-$BA32+1),SUMPRODUCT((YEAR($AC$2:$AX$2)=YEAR(DO$3))*(MONTH($AC$2:$AX$2)=MONTH(DO$3))*$AC32:$AX32))</f>
        <v>0</v>
      </c>
      <c r="DP32" s="164" t="n">
        <f aca="false">IF(AND($BA32&gt;0,$BB32&gt;=$BA32),$AA32*MAX(0,MIN($BB32,EOMONTH(DP$3,0))-MAX($BA32,DP$3)+1)/($BB32-$BA32+1),SUMPRODUCT((YEAR($AC$2:$AX$2)=YEAR(DP$3))*(MONTH($AC$2:$AX$2)=MONTH(DP$3))*$AC32:$AX32))</f>
        <v>0</v>
      </c>
      <c r="DQ32" s="164" t="n">
        <f aca="false">IF(AND($BA32&gt;0,$BB32&gt;=$BA32),$AA32*MAX(0,MIN($BB32,EOMONTH(DQ$3,0))-MAX($BA32,DQ$3)+1)/($BB32-$BA32+1),SUMPRODUCT((YEAR($AC$2:$AX$2)=YEAR(DQ$3))*(MONTH($AC$2:$AX$2)=MONTH(DQ$3))*$AC32:$AX32))</f>
        <v>0</v>
      </c>
      <c r="DR32" s="164" t="n">
        <f aca="false">IF(AND($BA32&gt;0,$BB32&gt;=$BA32),$AA32*MAX(0,MIN($BB32,EOMONTH(DR$3,0))-MAX($BA32,DR$3)+1)/($BB32-$BA32+1),SUMPRODUCT((YEAR($AC$2:$AX$2)=YEAR(DR$3))*(MONTH($AC$2:$AX$2)=MONTH(DR$3))*$AC32:$AX32))</f>
        <v>0</v>
      </c>
      <c r="DS32" s="164" t="n">
        <f aca="false">IF(AND($BA32&gt;0,$BB32&gt;=$BA32),$AA32*MAX(0,MIN($BB32,EOMONTH(DS$3,0))-MAX($BA32,DS$3)+1)/($BB32-$BA32+1),SUMPRODUCT((YEAR($AC$2:$AX$2)=YEAR(DS$3))*(MONTH($AC$2:$AX$2)=MONTH(DS$3))*$AC32:$AX32))</f>
        <v>0</v>
      </c>
      <c r="DT32" s="164" t="n">
        <f aca="false">IF(AND($BA32&gt;0,$BB32&gt;=$BA32),$AA32*MAX(0,MIN($BB32,EOMONTH(DT$3,0))-MAX($BA32,DT$3)+1)/($BB32-$BA32+1),SUMPRODUCT((YEAR($AC$2:$AX$2)=YEAR(DT$3))*(MONTH($AC$2:$AX$2)=MONTH(DT$3))*$AC32:$AX32))</f>
        <v>0</v>
      </c>
      <c r="DU32" s="164" t="n">
        <f aca="false">IF(AND($BA32&gt;0,$BB32&gt;=$BA32),$AA32*MAX(0,MIN($BB32,EOMONTH(DU$3,0))-MAX($BA32,DU$3)+1)/($BB32-$BA32+1),SUMPRODUCT((YEAR($AC$2:$AX$2)=YEAR(DU$3))*(MONTH($AC$2:$AX$2)=MONTH(DU$3))*$AC32:$AX32))</f>
        <v>0</v>
      </c>
      <c r="DV32" s="164" t="n">
        <f aca="false">IF(AND($BA32&gt;0,$BB32&gt;=$BA32),$AA32*MAX(0,MIN($BB32,EOMONTH(DV$3,0))-MAX($BA32,DV$3)+1)/($BB32-$BA32+1),SUMPRODUCT((YEAR($AC$2:$AX$2)=YEAR(DV$3))*(MONTH($AC$2:$AX$2)=MONTH(DV$3))*$AC32:$AX32))</f>
        <v>0</v>
      </c>
      <c r="DW32" s="164" t="n">
        <f aca="false">IF(AND($BA32&gt;0,$BB32&gt;=$BA32),$AA32*MAX(0,MIN($BB32,EOMONTH(DW$3,0))-MAX($BA32,DW$3)+1)/($BB32-$BA32+1),SUMPRODUCT((YEAR($AC$2:$AX$2)=YEAR(DW$3))*(MONTH($AC$2:$AX$2)=MONTH(DW$3))*$AC32:$AX32))</f>
        <v>0</v>
      </c>
    </row>
    <row r="33" customFormat="false" ht="15" hidden="false" customHeight="false" outlineLevel="0" collapsed="false">
      <c r="H33" s="151" t="s">
        <v>2991</v>
      </c>
      <c r="J33" s="152" t="n">
        <v>1832.3226</v>
      </c>
      <c r="K33" s="152" t="n">
        <v>595.9</v>
      </c>
      <c r="L33" s="152" t="n">
        <v>1293.453075</v>
      </c>
      <c r="M33" s="152" t="n">
        <v>1629.1093</v>
      </c>
      <c r="N33" s="152" t="n">
        <v>8420</v>
      </c>
      <c r="O33" s="152" t="n">
        <v>59883</v>
      </c>
      <c r="Q33" s="152" t="n">
        <v>1832.3226</v>
      </c>
      <c r="S33" s="149" t="n">
        <f aca="false">K33*($C$61+$C$57)</f>
        <v>431640.165</v>
      </c>
      <c r="T33" s="149" t="n">
        <f aca="false">L33*$C$47</f>
        <v>160388.1813</v>
      </c>
      <c r="U33" s="149" t="n">
        <f aca="false">M33*$C$48</f>
        <v>239479.0671</v>
      </c>
      <c r="V33" s="149" t="n">
        <f aca="false">O33*($C$54)</f>
        <v>329955.33</v>
      </c>
      <c r="W33" s="149" t="n">
        <f aca="false">O33*($C$49)</f>
        <v>155695.8</v>
      </c>
      <c r="X33" s="149" t="n">
        <f aca="false">N33*$C$60</f>
        <v>206296.811442431</v>
      </c>
      <c r="Y33" s="149" t="n">
        <f aca="false">SUM(P33:Q33)*($C$51+$C$52)</f>
        <v>29270.4373737</v>
      </c>
      <c r="AA33" s="149" t="n">
        <f aca="false">SUM(S33:Y33)</f>
        <v>1552725.79221613</v>
      </c>
      <c r="AI33" s="149" t="n">
        <f aca="false">AA33*(1-$AG$49)-AK33-AJ33</f>
        <v>698685.150438841</v>
      </c>
      <c r="AJ33" s="149" t="n">
        <f aca="false">T33+U33</f>
        <v>399867.2484</v>
      </c>
      <c r="AK33" s="149" t="n">
        <f aca="false">V33</f>
        <v>329955.33</v>
      </c>
      <c r="AP33" s="149" t="n">
        <f aca="false">AA33*($AG$49)</f>
        <v>124218.063377291</v>
      </c>
      <c r="AZ33" s="162" t="s">
        <v>2801</v>
      </c>
      <c r="BA33" s="163" t="n">
        <f aca="false">IF(AZ33="",0,SUMPRODUCT(('CRONOGRAMA ATIVIDADES'!$C$5:$C$6004="ESTRUTURA")*('CRONOGRAMA ATIVIDADES'!$E$5:$E$6004=AZ33)*('CRONOGRAMA ATIVIDADES'!$D$5:$D$6004="-")*'CRONOGRAMA ATIVIDADES'!$F$5:$F$6004))</f>
        <v>46351</v>
      </c>
      <c r="BB33" s="163" t="n">
        <f aca="false">IF(AZ33="",0,SUMPRODUCT(('CRONOGRAMA ATIVIDADES'!$C$5:$C$6004="ESTRUTURA")*('CRONOGRAMA ATIVIDADES'!$E$5:$E$6004=AZ33)*('CRONOGRAMA ATIVIDADES'!$D$5:$D$6004="-")*'CRONOGRAMA ATIVIDADES'!$G$5:$G$6004))</f>
        <v>46379</v>
      </c>
      <c r="BD33" s="164" t="n">
        <f aca="false">IF(AND($BA33&gt;0,$BB33&gt;=$BA33),$AA33*MAX(0,MIN($BB33,EOMONTH(BD$3,0))-MAX($BA33,BD$3)+1)/($BB33-$BA33+1),SUMPRODUCT((YEAR($AC$2:$AX$2)=YEAR(BD$3))*(MONTH($AC$2:$AX$2)=MONTH(BD$3))*$AC33:$AX33))</f>
        <v>0</v>
      </c>
      <c r="BE33" s="164" t="n">
        <f aca="false">IF(AND($BA33&gt;0,$BB33&gt;=$BA33),$AA33*MAX(0,MIN($BB33,EOMONTH(BE$3,0))-MAX($BA33,BE$3)+1)/($BB33-$BA33+1),SUMPRODUCT((YEAR($AC$2:$AX$2)=YEAR(BE$3))*(MONTH($AC$2:$AX$2)=MONTH(BE$3))*$AC33:$AX33))</f>
        <v>0</v>
      </c>
      <c r="BF33" s="164" t="n">
        <f aca="false">IF(AND($BA33&gt;0,$BB33&gt;=$BA33),$AA33*MAX(0,MIN($BB33,EOMONTH(BF$3,0))-MAX($BA33,BF$3)+1)/($BB33-$BA33+1),SUMPRODUCT((YEAR($AC$2:$AX$2)=YEAR(BF$3))*(MONTH($AC$2:$AX$2)=MONTH(BF$3))*$AC33:$AX33))</f>
        <v>0</v>
      </c>
      <c r="BG33" s="164" t="n">
        <f aca="false">IF(AND($BA33&gt;0,$BB33&gt;=$BA33),$AA33*MAX(0,MIN($BB33,EOMONTH(BG$3,0))-MAX($BA33,BG$3)+1)/($BB33-$BA33+1),SUMPRODUCT((YEAR($AC$2:$AX$2)=YEAR(BG$3))*(MONTH($AC$2:$AX$2)=MONTH(BG$3))*$AC33:$AX33))</f>
        <v>0</v>
      </c>
      <c r="BH33" s="164" t="n">
        <f aca="false">IF(AND($BA33&gt;0,$BB33&gt;=$BA33),$AA33*MAX(0,MIN($BB33,EOMONTH(BH$3,0))-MAX($BA33,BH$3)+1)/($BB33-$BA33+1),SUMPRODUCT((YEAR($AC$2:$AX$2)=YEAR(BH$3))*(MONTH($AC$2:$AX$2)=MONTH(BH$3))*$AC33:$AX33))</f>
        <v>0</v>
      </c>
      <c r="BI33" s="164" t="n">
        <f aca="false">IF(AND($BA33&gt;0,$BB33&gt;=$BA33),$AA33*MAX(0,MIN($BB33,EOMONTH(BI$3,0))-MAX($BA33,BI$3)+1)/($BB33-$BA33+1),SUMPRODUCT((YEAR($AC$2:$AX$2)=YEAR(BI$3))*(MONTH($AC$2:$AX$2)=MONTH(BI$3))*$AC33:$AX33))</f>
        <v>0</v>
      </c>
      <c r="BJ33" s="164" t="n">
        <f aca="false">IF(AND($BA33&gt;0,$BB33&gt;=$BA33),$AA33*MAX(0,MIN($BB33,EOMONTH(BJ$3,0))-MAX($BA33,BJ$3)+1)/($BB33-$BA33+1),SUMPRODUCT((YEAR($AC$2:$AX$2)=YEAR(BJ$3))*(MONTH($AC$2:$AX$2)=MONTH(BJ$3))*$AC33:$AX33))</f>
        <v>0</v>
      </c>
      <c r="BK33" s="164" t="n">
        <f aca="false">IF(AND($BA33&gt;0,$BB33&gt;=$BA33),$AA33*MAX(0,MIN($BB33,EOMONTH(BK$3,0))-MAX($BA33,BK$3)+1)/($BB33-$BA33+1),SUMPRODUCT((YEAR($AC$2:$AX$2)=YEAR(BK$3))*(MONTH($AC$2:$AX$2)=MONTH(BK$3))*$AC33:$AX33))</f>
        <v>0</v>
      </c>
      <c r="BL33" s="164" t="n">
        <f aca="false">IF(AND($BA33&gt;0,$BB33&gt;=$BA33),$AA33*MAX(0,MIN($BB33,EOMONTH(BL$3,0))-MAX($BA33,BL$3)+1)/($BB33-$BA33+1),SUMPRODUCT((YEAR($AC$2:$AX$2)=YEAR(BL$3))*(MONTH($AC$2:$AX$2)=MONTH(BL$3))*$AC33:$AX33))</f>
        <v>0</v>
      </c>
      <c r="BM33" s="164" t="n">
        <f aca="false">IF(AND($BA33&gt;0,$BB33&gt;=$BA33),$AA33*MAX(0,MIN($BB33,EOMONTH(BM$3,0))-MAX($BA33,BM$3)+1)/($BB33-$BA33+1),SUMPRODUCT((YEAR($AC$2:$AX$2)=YEAR(BM$3))*(MONTH($AC$2:$AX$2)=MONTH(BM$3))*$AC33:$AX33))</f>
        <v>0</v>
      </c>
      <c r="BN33" s="164" t="n">
        <f aca="false">IF(AND($BA33&gt;0,$BB33&gt;=$BA33),$AA33*MAX(0,MIN($BB33,EOMONTH(BN$3,0))-MAX($BA33,BN$3)+1)/($BB33-$BA33+1),SUMPRODUCT((YEAR($AC$2:$AX$2)=YEAR(BN$3))*(MONTH($AC$2:$AX$2)=MONTH(BN$3))*$AC33:$AX33))</f>
        <v>0</v>
      </c>
      <c r="BO33" s="164" t="n">
        <f aca="false">IF(AND($BA33&gt;0,$BB33&gt;=$BA33),$AA33*MAX(0,MIN($BB33,EOMONTH(BO$3,0))-MAX($BA33,BO$3)+1)/($BB33-$BA33+1),SUMPRODUCT((YEAR($AC$2:$AX$2)=YEAR(BO$3))*(MONTH($AC$2:$AX$2)=MONTH(BO$3))*$AC33:$AX33))</f>
        <v>0</v>
      </c>
      <c r="BP33" s="164" t="n">
        <f aca="false">IF(AND($BA33&gt;0,$BB33&gt;=$BA33),$AA33*MAX(0,MIN($BB33,EOMONTH(BP$3,0))-MAX($BA33,BP$3)+1)/($BB33-$BA33+1),SUMPRODUCT((YEAR($AC$2:$AX$2)=YEAR(BP$3))*(MONTH($AC$2:$AX$2)=MONTH(BP$3))*$AC33:$AX33))</f>
        <v>0</v>
      </c>
      <c r="BQ33" s="164" t="n">
        <f aca="false">IF(AND($BA33&gt;0,$BB33&gt;=$BA33),$AA33*MAX(0,MIN($BB33,EOMONTH(BQ$3,0))-MAX($BA33,BQ$3)+1)/($BB33-$BA33+1),SUMPRODUCT((YEAR($AC$2:$AX$2)=YEAR(BQ$3))*(MONTH($AC$2:$AX$2)=MONTH(BQ$3))*$AC33:$AX33))</f>
        <v>0</v>
      </c>
      <c r="BR33" s="164" t="n">
        <f aca="false">IF(AND($BA33&gt;0,$BB33&gt;=$BA33),$AA33*MAX(0,MIN($BB33,EOMONTH(BR$3,0))-MAX($BA33,BR$3)+1)/($BB33-$BA33+1),SUMPRODUCT((YEAR($AC$2:$AX$2)=YEAR(BR$3))*(MONTH($AC$2:$AX$2)=MONTH(BR$3))*$AC33:$AX33))</f>
        <v>0</v>
      </c>
      <c r="BS33" s="164" t="n">
        <f aca="false">IF(AND($BA33&gt;0,$BB33&gt;=$BA33),$AA33*MAX(0,MIN($BB33,EOMONTH(BS$3,0))-MAX($BA33,BS$3)+1)/($BB33-$BA33+1),SUMPRODUCT((YEAR($AC$2:$AX$2)=YEAR(BS$3))*(MONTH($AC$2:$AX$2)=MONTH(BS$3))*$AC33:$AX33))</f>
        <v>0</v>
      </c>
      <c r="BT33" s="164" t="n">
        <f aca="false">IF(AND($BA33&gt;0,$BB33&gt;=$BA33),$AA33*MAX(0,MIN($BB33,EOMONTH(BT$3,0))-MAX($BA33,BT$3)+1)/($BB33-$BA33+1),SUMPRODUCT((YEAR($AC$2:$AX$2)=YEAR(BT$3))*(MONTH($AC$2:$AX$2)=MONTH(BT$3))*$AC33:$AX33))</f>
        <v>0</v>
      </c>
      <c r="BU33" s="164" t="n">
        <f aca="false">IF(AND($BA33&gt;0,$BB33&gt;=$BA33),$AA33*MAX(0,MIN($BB33,EOMONTH(BU$3,0))-MAX($BA33,BU$3)+1)/($BB33-$BA33+1),SUMPRODUCT((YEAR($AC$2:$AX$2)=YEAR(BU$3))*(MONTH($AC$2:$AX$2)=MONTH(BU$3))*$AC33:$AX33))</f>
        <v>0</v>
      </c>
      <c r="BV33" s="164" t="n">
        <f aca="false">IF(AND($BA33&gt;0,$BB33&gt;=$BA33),$AA33*MAX(0,MIN($BB33,EOMONTH(BV$3,0))-MAX($BA33,BV$3)+1)/($BB33-$BA33+1),SUMPRODUCT((YEAR($AC$2:$AX$2)=YEAR(BV$3))*(MONTH($AC$2:$AX$2)=MONTH(BV$3))*$AC33:$AX33))</f>
        <v>0</v>
      </c>
      <c r="BW33" s="164" t="n">
        <f aca="false">IF(AND($BA33&gt;0,$BB33&gt;=$BA33),$AA33*MAX(0,MIN($BB33,EOMONTH(BW$3,0))-MAX($BA33,BW$3)+1)/($BB33-$BA33+1),SUMPRODUCT((YEAR($AC$2:$AX$2)=YEAR(BW$3))*(MONTH($AC$2:$AX$2)=MONTH(BW$3))*$AC33:$AX33))</f>
        <v>0</v>
      </c>
      <c r="BX33" s="164" t="n">
        <f aca="false">IF(AND($BA33&gt;0,$BB33&gt;=$BA33),$AA33*MAX(0,MIN($BB33,EOMONTH(BX$3,0))-MAX($BA33,BX$3)+1)/($BB33-$BA33+1),SUMPRODUCT((YEAR($AC$2:$AX$2)=YEAR(BX$3))*(MONTH($AC$2:$AX$2)=MONTH(BX$3))*$AC33:$AX33))</f>
        <v>0</v>
      </c>
      <c r="BY33" s="164" t="n">
        <f aca="false">IF(AND($BA33&gt;0,$BB33&gt;=$BA33),$AA33*MAX(0,MIN($BB33,EOMONTH(BY$3,0))-MAX($BA33,BY$3)+1)/($BB33-$BA33+1),SUMPRODUCT((YEAR($AC$2:$AX$2)=YEAR(BY$3))*(MONTH($AC$2:$AX$2)=MONTH(BY$3))*$AC33:$AX33))</f>
        <v>0</v>
      </c>
      <c r="BZ33" s="164" t="n">
        <f aca="false">IF(AND($BA33&gt;0,$BB33&gt;=$BA33),$AA33*MAX(0,MIN($BB33,EOMONTH(BZ$3,0))-MAX($BA33,BZ$3)+1)/($BB33-$BA33+1),SUMPRODUCT((YEAR($AC$2:$AX$2)=YEAR(BZ$3))*(MONTH($AC$2:$AX$2)=MONTH(BZ$3))*$AC33:$AX33))</f>
        <v>0</v>
      </c>
      <c r="CA33" s="164" t="n">
        <f aca="false">IF(AND($BA33&gt;0,$BB33&gt;=$BA33),$AA33*MAX(0,MIN($BB33,EOMONTH(CA$3,0))-MAX($BA33,CA$3)+1)/($BB33-$BA33+1),SUMPRODUCT((YEAR($AC$2:$AX$2)=YEAR(CA$3))*(MONTH($AC$2:$AX$2)=MONTH(CA$3))*$AC33:$AX33))</f>
        <v>321253.612182648</v>
      </c>
      <c r="CB33" s="164" t="n">
        <f aca="false">IF(AND($BA33&gt;0,$BB33&gt;=$BA33),$AA33*MAX(0,MIN($BB33,EOMONTH(CB$3,0))-MAX($BA33,CB$3)+1)/($BB33-$BA33+1),SUMPRODUCT((YEAR($AC$2:$AX$2)=YEAR(CB$3))*(MONTH($AC$2:$AX$2)=MONTH(CB$3))*$AC33:$AX33))</f>
        <v>1231472.18003348</v>
      </c>
      <c r="CC33" s="164" t="n">
        <f aca="false">IF(AND($BA33&gt;0,$BB33&gt;=$BA33),$AA33*MAX(0,MIN($BB33,EOMONTH(CC$3,0))-MAX($BA33,CC$3)+1)/($BB33-$BA33+1),SUMPRODUCT((YEAR($AC$2:$AX$2)=YEAR(CC$3))*(MONTH($AC$2:$AX$2)=MONTH(CC$3))*$AC33:$AX33))</f>
        <v>0</v>
      </c>
      <c r="CD33" s="164" t="n">
        <f aca="false">IF(AND($BA33&gt;0,$BB33&gt;=$BA33),$AA33*MAX(0,MIN($BB33,EOMONTH(CD$3,0))-MAX($BA33,CD$3)+1)/($BB33-$BA33+1),SUMPRODUCT((YEAR($AC$2:$AX$2)=YEAR(CD$3))*(MONTH($AC$2:$AX$2)=MONTH(CD$3))*$AC33:$AX33))</f>
        <v>0</v>
      </c>
      <c r="CE33" s="164" t="n">
        <f aca="false">IF(AND($BA33&gt;0,$BB33&gt;=$BA33),$AA33*MAX(0,MIN($BB33,EOMONTH(CE$3,0))-MAX($BA33,CE$3)+1)/($BB33-$BA33+1),SUMPRODUCT((YEAR($AC$2:$AX$2)=YEAR(CE$3))*(MONTH($AC$2:$AX$2)=MONTH(CE$3))*$AC33:$AX33))</f>
        <v>0</v>
      </c>
      <c r="CF33" s="164" t="n">
        <f aca="false">IF(AND($BA33&gt;0,$BB33&gt;=$BA33),$AA33*MAX(0,MIN($BB33,EOMONTH(CF$3,0))-MAX($BA33,CF$3)+1)/($BB33-$BA33+1),SUMPRODUCT((YEAR($AC$2:$AX$2)=YEAR(CF$3))*(MONTH($AC$2:$AX$2)=MONTH(CF$3))*$AC33:$AX33))</f>
        <v>0</v>
      </c>
      <c r="CG33" s="164" t="n">
        <f aca="false">IF(AND($BA33&gt;0,$BB33&gt;=$BA33),$AA33*MAX(0,MIN($BB33,EOMONTH(CG$3,0))-MAX($BA33,CG$3)+1)/($BB33-$BA33+1),SUMPRODUCT((YEAR($AC$2:$AX$2)=YEAR(CG$3))*(MONTH($AC$2:$AX$2)=MONTH(CG$3))*$AC33:$AX33))</f>
        <v>0</v>
      </c>
      <c r="CH33" s="164" t="n">
        <f aca="false">IF(AND($BA33&gt;0,$BB33&gt;=$BA33),$AA33*MAX(0,MIN($BB33,EOMONTH(CH$3,0))-MAX($BA33,CH$3)+1)/($BB33-$BA33+1),SUMPRODUCT((YEAR($AC$2:$AX$2)=YEAR(CH$3))*(MONTH($AC$2:$AX$2)=MONTH(CH$3))*$AC33:$AX33))</f>
        <v>0</v>
      </c>
      <c r="CI33" s="164" t="n">
        <f aca="false">IF(AND($BA33&gt;0,$BB33&gt;=$BA33),$AA33*MAX(0,MIN($BB33,EOMONTH(CI$3,0))-MAX($BA33,CI$3)+1)/($BB33-$BA33+1),SUMPRODUCT((YEAR($AC$2:$AX$2)=YEAR(CI$3))*(MONTH($AC$2:$AX$2)=MONTH(CI$3))*$AC33:$AX33))</f>
        <v>0</v>
      </c>
      <c r="CJ33" s="164" t="n">
        <f aca="false">IF(AND($BA33&gt;0,$BB33&gt;=$BA33),$AA33*MAX(0,MIN($BB33,EOMONTH(CJ$3,0))-MAX($BA33,CJ$3)+1)/($BB33-$BA33+1),SUMPRODUCT((YEAR($AC$2:$AX$2)=YEAR(CJ$3))*(MONTH($AC$2:$AX$2)=MONTH(CJ$3))*$AC33:$AX33))</f>
        <v>0</v>
      </c>
      <c r="CK33" s="164" t="n">
        <f aca="false">IF(AND($BA33&gt;0,$BB33&gt;=$BA33),$AA33*MAX(0,MIN($BB33,EOMONTH(CK$3,0))-MAX($BA33,CK$3)+1)/($BB33-$BA33+1),SUMPRODUCT((YEAR($AC$2:$AX$2)=YEAR(CK$3))*(MONTH($AC$2:$AX$2)=MONTH(CK$3))*$AC33:$AX33))</f>
        <v>0</v>
      </c>
      <c r="CL33" s="164" t="n">
        <f aca="false">IF(AND($BA33&gt;0,$BB33&gt;=$BA33),$AA33*MAX(0,MIN($BB33,EOMONTH(CL$3,0))-MAX($BA33,CL$3)+1)/($BB33-$BA33+1),SUMPRODUCT((YEAR($AC$2:$AX$2)=YEAR(CL$3))*(MONTH($AC$2:$AX$2)=MONTH(CL$3))*$AC33:$AX33))</f>
        <v>0</v>
      </c>
      <c r="CM33" s="164" t="n">
        <f aca="false">IF(AND($BA33&gt;0,$BB33&gt;=$BA33),$AA33*MAX(0,MIN($BB33,EOMONTH(CM$3,0))-MAX($BA33,CM$3)+1)/($BB33-$BA33+1),SUMPRODUCT((YEAR($AC$2:$AX$2)=YEAR(CM$3))*(MONTH($AC$2:$AX$2)=MONTH(CM$3))*$AC33:$AX33))</f>
        <v>0</v>
      </c>
      <c r="CN33" s="164" t="n">
        <f aca="false">IF(AND($BA33&gt;0,$BB33&gt;=$BA33),$AA33*MAX(0,MIN($BB33,EOMONTH(CN$3,0))-MAX($BA33,CN$3)+1)/($BB33-$BA33+1),SUMPRODUCT((YEAR($AC$2:$AX$2)=YEAR(CN$3))*(MONTH($AC$2:$AX$2)=MONTH(CN$3))*$AC33:$AX33))</f>
        <v>0</v>
      </c>
      <c r="CO33" s="164" t="n">
        <f aca="false">IF(AND($BA33&gt;0,$BB33&gt;=$BA33),$AA33*MAX(0,MIN($BB33,EOMONTH(CO$3,0))-MAX($BA33,CO$3)+1)/($BB33-$BA33+1),SUMPRODUCT((YEAR($AC$2:$AX$2)=YEAR(CO$3))*(MONTH($AC$2:$AX$2)=MONTH(CO$3))*$AC33:$AX33))</f>
        <v>0</v>
      </c>
      <c r="CP33" s="164" t="n">
        <f aca="false">IF(AND($BA33&gt;0,$BB33&gt;=$BA33),$AA33*MAX(0,MIN($BB33,EOMONTH(CP$3,0))-MAX($BA33,CP$3)+1)/($BB33-$BA33+1),SUMPRODUCT((YEAR($AC$2:$AX$2)=YEAR(CP$3))*(MONTH($AC$2:$AX$2)=MONTH(CP$3))*$AC33:$AX33))</f>
        <v>0</v>
      </c>
      <c r="CQ33" s="164" t="n">
        <f aca="false">IF(AND($BA33&gt;0,$BB33&gt;=$BA33),$AA33*MAX(0,MIN($BB33,EOMONTH(CQ$3,0))-MAX($BA33,CQ$3)+1)/($BB33-$BA33+1),SUMPRODUCT((YEAR($AC$2:$AX$2)=YEAR(CQ$3))*(MONTH($AC$2:$AX$2)=MONTH(CQ$3))*$AC33:$AX33))</f>
        <v>0</v>
      </c>
      <c r="CR33" s="164" t="n">
        <f aca="false">IF(AND($BA33&gt;0,$BB33&gt;=$BA33),$AA33*MAX(0,MIN($BB33,EOMONTH(CR$3,0))-MAX($BA33,CR$3)+1)/($BB33-$BA33+1),SUMPRODUCT((YEAR($AC$2:$AX$2)=YEAR(CR$3))*(MONTH($AC$2:$AX$2)=MONTH(CR$3))*$AC33:$AX33))</f>
        <v>0</v>
      </c>
      <c r="CS33" s="164" t="n">
        <f aca="false">IF(AND($BA33&gt;0,$BB33&gt;=$BA33),$AA33*MAX(0,MIN($BB33,EOMONTH(CS$3,0))-MAX($BA33,CS$3)+1)/($BB33-$BA33+1),SUMPRODUCT((YEAR($AC$2:$AX$2)=YEAR(CS$3))*(MONTH($AC$2:$AX$2)=MONTH(CS$3))*$AC33:$AX33))</f>
        <v>0</v>
      </c>
      <c r="CT33" s="164" t="n">
        <f aca="false">IF(AND($BA33&gt;0,$BB33&gt;=$BA33),$AA33*MAX(0,MIN($BB33,EOMONTH(CT$3,0))-MAX($BA33,CT$3)+1)/($BB33-$BA33+1),SUMPRODUCT((YEAR($AC$2:$AX$2)=YEAR(CT$3))*(MONTH($AC$2:$AX$2)=MONTH(CT$3))*$AC33:$AX33))</f>
        <v>0</v>
      </c>
      <c r="CU33" s="164" t="n">
        <f aca="false">IF(AND($BA33&gt;0,$BB33&gt;=$BA33),$AA33*MAX(0,MIN($BB33,EOMONTH(CU$3,0))-MAX($BA33,CU$3)+1)/($BB33-$BA33+1),SUMPRODUCT((YEAR($AC$2:$AX$2)=YEAR(CU$3))*(MONTH($AC$2:$AX$2)=MONTH(CU$3))*$AC33:$AX33))</f>
        <v>0</v>
      </c>
      <c r="CV33" s="164" t="n">
        <f aca="false">IF(AND($BA33&gt;0,$BB33&gt;=$BA33),$AA33*MAX(0,MIN($BB33,EOMONTH(CV$3,0))-MAX($BA33,CV$3)+1)/($BB33-$BA33+1),SUMPRODUCT((YEAR($AC$2:$AX$2)=YEAR(CV$3))*(MONTH($AC$2:$AX$2)=MONTH(CV$3))*$AC33:$AX33))</f>
        <v>0</v>
      </c>
      <c r="CW33" s="164" t="n">
        <f aca="false">IF(AND($BA33&gt;0,$BB33&gt;=$BA33),$AA33*MAX(0,MIN($BB33,EOMONTH(CW$3,0))-MAX($BA33,CW$3)+1)/($BB33-$BA33+1),SUMPRODUCT((YEAR($AC$2:$AX$2)=YEAR(CW$3))*(MONTH($AC$2:$AX$2)=MONTH(CW$3))*$AC33:$AX33))</f>
        <v>0</v>
      </c>
      <c r="CX33" s="164" t="n">
        <f aca="false">IF(AND($BA33&gt;0,$BB33&gt;=$BA33),$AA33*MAX(0,MIN($BB33,EOMONTH(CX$3,0))-MAX($BA33,CX$3)+1)/($BB33-$BA33+1),SUMPRODUCT((YEAR($AC$2:$AX$2)=YEAR(CX$3))*(MONTH($AC$2:$AX$2)=MONTH(CX$3))*$AC33:$AX33))</f>
        <v>0</v>
      </c>
      <c r="CY33" s="164" t="n">
        <f aca="false">IF(AND($BA33&gt;0,$BB33&gt;=$BA33),$AA33*MAX(0,MIN($BB33,EOMONTH(CY$3,0))-MAX($BA33,CY$3)+1)/($BB33-$BA33+1),SUMPRODUCT((YEAR($AC$2:$AX$2)=YEAR(CY$3))*(MONTH($AC$2:$AX$2)=MONTH(CY$3))*$AC33:$AX33))</f>
        <v>0</v>
      </c>
      <c r="CZ33" s="164" t="n">
        <f aca="false">IF(AND($BA33&gt;0,$BB33&gt;=$BA33),$AA33*MAX(0,MIN($BB33,EOMONTH(CZ$3,0))-MAX($BA33,CZ$3)+1)/($BB33-$BA33+1),SUMPRODUCT((YEAR($AC$2:$AX$2)=YEAR(CZ$3))*(MONTH($AC$2:$AX$2)=MONTH(CZ$3))*$AC33:$AX33))</f>
        <v>0</v>
      </c>
      <c r="DA33" s="164" t="n">
        <f aca="false">IF(AND($BA33&gt;0,$BB33&gt;=$BA33),$AA33*MAX(0,MIN($BB33,EOMONTH(DA$3,0))-MAX($BA33,DA$3)+1)/($BB33-$BA33+1),SUMPRODUCT((YEAR($AC$2:$AX$2)=YEAR(DA$3))*(MONTH($AC$2:$AX$2)=MONTH(DA$3))*$AC33:$AX33))</f>
        <v>0</v>
      </c>
      <c r="DB33" s="164" t="n">
        <f aca="false">IF(AND($BA33&gt;0,$BB33&gt;=$BA33),$AA33*MAX(0,MIN($BB33,EOMONTH(DB$3,0))-MAX($BA33,DB$3)+1)/($BB33-$BA33+1),SUMPRODUCT((YEAR($AC$2:$AX$2)=YEAR(DB$3))*(MONTH($AC$2:$AX$2)=MONTH(DB$3))*$AC33:$AX33))</f>
        <v>0</v>
      </c>
      <c r="DC33" s="164" t="n">
        <f aca="false">IF(AND($BA33&gt;0,$BB33&gt;=$BA33),$AA33*MAX(0,MIN($BB33,EOMONTH(DC$3,0))-MAX($BA33,DC$3)+1)/($BB33-$BA33+1),SUMPRODUCT((YEAR($AC$2:$AX$2)=YEAR(DC$3))*(MONTH($AC$2:$AX$2)=MONTH(DC$3))*$AC33:$AX33))</f>
        <v>0</v>
      </c>
      <c r="DD33" s="164" t="n">
        <f aca="false">IF(AND($BA33&gt;0,$BB33&gt;=$BA33),$AA33*MAX(0,MIN($BB33,EOMONTH(DD$3,0))-MAX($BA33,DD$3)+1)/($BB33-$BA33+1),SUMPRODUCT((YEAR($AC$2:$AX$2)=YEAR(DD$3))*(MONTH($AC$2:$AX$2)=MONTH(DD$3))*$AC33:$AX33))</f>
        <v>0</v>
      </c>
      <c r="DE33" s="164" t="n">
        <f aca="false">IF(AND($BA33&gt;0,$BB33&gt;=$BA33),$AA33*MAX(0,MIN($BB33,EOMONTH(DE$3,0))-MAX($BA33,DE$3)+1)/($BB33-$BA33+1),SUMPRODUCT((YEAR($AC$2:$AX$2)=YEAR(DE$3))*(MONTH($AC$2:$AX$2)=MONTH(DE$3))*$AC33:$AX33))</f>
        <v>0</v>
      </c>
      <c r="DF33" s="164" t="n">
        <f aca="false">IF(AND($BA33&gt;0,$BB33&gt;=$BA33),$AA33*MAX(0,MIN($BB33,EOMONTH(DF$3,0))-MAX($BA33,DF$3)+1)/($BB33-$BA33+1),SUMPRODUCT((YEAR($AC$2:$AX$2)=YEAR(DF$3))*(MONTH($AC$2:$AX$2)=MONTH(DF$3))*$AC33:$AX33))</f>
        <v>0</v>
      </c>
      <c r="DG33" s="164" t="n">
        <f aca="false">IF(AND($BA33&gt;0,$BB33&gt;=$BA33),$AA33*MAX(0,MIN($BB33,EOMONTH(DG$3,0))-MAX($BA33,DG$3)+1)/($BB33-$BA33+1),SUMPRODUCT((YEAR($AC$2:$AX$2)=YEAR(DG$3))*(MONTH($AC$2:$AX$2)=MONTH(DG$3))*$AC33:$AX33))</f>
        <v>0</v>
      </c>
      <c r="DH33" s="164" t="n">
        <f aca="false">IF(AND($BA33&gt;0,$BB33&gt;=$BA33),$AA33*MAX(0,MIN($BB33,EOMONTH(DH$3,0))-MAX($BA33,DH$3)+1)/($BB33-$BA33+1),SUMPRODUCT((YEAR($AC$2:$AX$2)=YEAR(DH$3))*(MONTH($AC$2:$AX$2)=MONTH(DH$3))*$AC33:$AX33))</f>
        <v>0</v>
      </c>
      <c r="DI33" s="164" t="n">
        <f aca="false">IF(AND($BA33&gt;0,$BB33&gt;=$BA33),$AA33*MAX(0,MIN($BB33,EOMONTH(DI$3,0))-MAX($BA33,DI$3)+1)/($BB33-$BA33+1),SUMPRODUCT((YEAR($AC$2:$AX$2)=YEAR(DI$3))*(MONTH($AC$2:$AX$2)=MONTH(DI$3))*$AC33:$AX33))</f>
        <v>0</v>
      </c>
      <c r="DJ33" s="164" t="n">
        <f aca="false">IF(AND($BA33&gt;0,$BB33&gt;=$BA33),$AA33*MAX(0,MIN($BB33,EOMONTH(DJ$3,0))-MAX($BA33,DJ$3)+1)/($BB33-$BA33+1),SUMPRODUCT((YEAR($AC$2:$AX$2)=YEAR(DJ$3))*(MONTH($AC$2:$AX$2)=MONTH(DJ$3))*$AC33:$AX33))</f>
        <v>0</v>
      </c>
      <c r="DK33" s="164" t="n">
        <f aca="false">IF(AND($BA33&gt;0,$BB33&gt;=$BA33),$AA33*MAX(0,MIN($BB33,EOMONTH(DK$3,0))-MAX($BA33,DK$3)+1)/($BB33-$BA33+1),SUMPRODUCT((YEAR($AC$2:$AX$2)=YEAR(DK$3))*(MONTH($AC$2:$AX$2)=MONTH(DK$3))*$AC33:$AX33))</f>
        <v>0</v>
      </c>
      <c r="DL33" s="164" t="n">
        <f aca="false">IF(AND($BA33&gt;0,$BB33&gt;=$BA33),$AA33*MAX(0,MIN($BB33,EOMONTH(DL$3,0))-MAX($BA33,DL$3)+1)/($BB33-$BA33+1),SUMPRODUCT((YEAR($AC$2:$AX$2)=YEAR(DL$3))*(MONTH($AC$2:$AX$2)=MONTH(DL$3))*$AC33:$AX33))</f>
        <v>0</v>
      </c>
      <c r="DM33" s="164" t="n">
        <f aca="false">IF(AND($BA33&gt;0,$BB33&gt;=$BA33),$AA33*MAX(0,MIN($BB33,EOMONTH(DM$3,0))-MAX($BA33,DM$3)+1)/($BB33-$BA33+1),SUMPRODUCT((YEAR($AC$2:$AX$2)=YEAR(DM$3))*(MONTH($AC$2:$AX$2)=MONTH(DM$3))*$AC33:$AX33))</f>
        <v>0</v>
      </c>
      <c r="DN33" s="164" t="n">
        <f aca="false">IF(AND($BA33&gt;0,$BB33&gt;=$BA33),$AA33*MAX(0,MIN($BB33,EOMONTH(DN$3,0))-MAX($BA33,DN$3)+1)/($BB33-$BA33+1),SUMPRODUCT((YEAR($AC$2:$AX$2)=YEAR(DN$3))*(MONTH($AC$2:$AX$2)=MONTH(DN$3))*$AC33:$AX33))</f>
        <v>0</v>
      </c>
      <c r="DO33" s="164" t="n">
        <f aca="false">IF(AND($BA33&gt;0,$BB33&gt;=$BA33),$AA33*MAX(0,MIN($BB33,EOMONTH(DO$3,0))-MAX($BA33,DO$3)+1)/($BB33-$BA33+1),SUMPRODUCT((YEAR($AC$2:$AX$2)=YEAR(DO$3))*(MONTH($AC$2:$AX$2)=MONTH(DO$3))*$AC33:$AX33))</f>
        <v>0</v>
      </c>
      <c r="DP33" s="164" t="n">
        <f aca="false">IF(AND($BA33&gt;0,$BB33&gt;=$BA33),$AA33*MAX(0,MIN($BB33,EOMONTH(DP$3,0))-MAX($BA33,DP$3)+1)/($BB33-$BA33+1),SUMPRODUCT((YEAR($AC$2:$AX$2)=YEAR(DP$3))*(MONTH($AC$2:$AX$2)=MONTH(DP$3))*$AC33:$AX33))</f>
        <v>0</v>
      </c>
      <c r="DQ33" s="164" t="n">
        <f aca="false">IF(AND($BA33&gt;0,$BB33&gt;=$BA33),$AA33*MAX(0,MIN($BB33,EOMONTH(DQ$3,0))-MAX($BA33,DQ$3)+1)/($BB33-$BA33+1),SUMPRODUCT((YEAR($AC$2:$AX$2)=YEAR(DQ$3))*(MONTH($AC$2:$AX$2)=MONTH(DQ$3))*$AC33:$AX33))</f>
        <v>0</v>
      </c>
      <c r="DR33" s="164" t="n">
        <f aca="false">IF(AND($BA33&gt;0,$BB33&gt;=$BA33),$AA33*MAX(0,MIN($BB33,EOMONTH(DR$3,0))-MAX($BA33,DR$3)+1)/($BB33-$BA33+1),SUMPRODUCT((YEAR($AC$2:$AX$2)=YEAR(DR$3))*(MONTH($AC$2:$AX$2)=MONTH(DR$3))*$AC33:$AX33))</f>
        <v>0</v>
      </c>
      <c r="DS33" s="164" t="n">
        <f aca="false">IF(AND($BA33&gt;0,$BB33&gt;=$BA33),$AA33*MAX(0,MIN($BB33,EOMONTH(DS$3,0))-MAX($BA33,DS$3)+1)/($BB33-$BA33+1),SUMPRODUCT((YEAR($AC$2:$AX$2)=YEAR(DS$3))*(MONTH($AC$2:$AX$2)=MONTH(DS$3))*$AC33:$AX33))</f>
        <v>0</v>
      </c>
      <c r="DT33" s="164" t="n">
        <f aca="false">IF(AND($BA33&gt;0,$BB33&gt;=$BA33),$AA33*MAX(0,MIN($BB33,EOMONTH(DT$3,0))-MAX($BA33,DT$3)+1)/($BB33-$BA33+1),SUMPRODUCT((YEAR($AC$2:$AX$2)=YEAR(DT$3))*(MONTH($AC$2:$AX$2)=MONTH(DT$3))*$AC33:$AX33))</f>
        <v>0</v>
      </c>
      <c r="DU33" s="164" t="n">
        <f aca="false">IF(AND($BA33&gt;0,$BB33&gt;=$BA33),$AA33*MAX(0,MIN($BB33,EOMONTH(DU$3,0))-MAX($BA33,DU$3)+1)/($BB33-$BA33+1),SUMPRODUCT((YEAR($AC$2:$AX$2)=YEAR(DU$3))*(MONTH($AC$2:$AX$2)=MONTH(DU$3))*$AC33:$AX33))</f>
        <v>0</v>
      </c>
      <c r="DV33" s="164" t="n">
        <f aca="false">IF(AND($BA33&gt;0,$BB33&gt;=$BA33),$AA33*MAX(0,MIN($BB33,EOMONTH(DV$3,0))-MAX($BA33,DV$3)+1)/($BB33-$BA33+1),SUMPRODUCT((YEAR($AC$2:$AX$2)=YEAR(DV$3))*(MONTH($AC$2:$AX$2)=MONTH(DV$3))*$AC33:$AX33))</f>
        <v>0</v>
      </c>
      <c r="DW33" s="164" t="n">
        <f aca="false">IF(AND($BA33&gt;0,$BB33&gt;=$BA33),$AA33*MAX(0,MIN($BB33,EOMONTH(DW$3,0))-MAX($BA33,DW$3)+1)/($BB33-$BA33+1),SUMPRODUCT((YEAR($AC$2:$AX$2)=YEAR(DW$3))*(MONTH($AC$2:$AX$2)=MONTH(DW$3))*$AC33:$AX33))</f>
        <v>0</v>
      </c>
    </row>
    <row r="34" customFormat="false" ht="15" hidden="false" customHeight="false" outlineLevel="0" collapsed="false">
      <c r="H34" s="151" t="s">
        <v>2992</v>
      </c>
      <c r="J34" s="152" t="n">
        <v>1832.3226</v>
      </c>
      <c r="K34" s="152" t="n">
        <v>599.5</v>
      </c>
      <c r="L34" s="152" t="n">
        <v>1248.109575</v>
      </c>
      <c r="M34" s="152" t="n">
        <v>1665.837</v>
      </c>
      <c r="N34" s="152" t="n">
        <v>8420</v>
      </c>
      <c r="O34" s="152" t="n">
        <v>59812.5</v>
      </c>
      <c r="Q34" s="152" t="n">
        <v>1832.3226</v>
      </c>
      <c r="S34" s="149" t="n">
        <f aca="false">K34*($C$61+$C$57)</f>
        <v>434247.825</v>
      </c>
      <c r="T34" s="149" t="n">
        <f aca="false">L34*$C$47</f>
        <v>154765.5873</v>
      </c>
      <c r="U34" s="149" t="n">
        <f aca="false">M34*$C$48</f>
        <v>244878.039</v>
      </c>
      <c r="V34" s="149" t="n">
        <f aca="false">O34*($C$54)</f>
        <v>329566.875</v>
      </c>
      <c r="W34" s="149" t="n">
        <f aca="false">O34*($C$49)</f>
        <v>155512.5</v>
      </c>
      <c r="X34" s="149" t="n">
        <f aca="false">N34*$C$60</f>
        <v>206296.811442431</v>
      </c>
      <c r="Y34" s="149" t="n">
        <f aca="false">SUM(P34:Q34)*($C$51+$C$52)</f>
        <v>29270.4373737</v>
      </c>
      <c r="AA34" s="149" t="n">
        <f aca="false">SUM(S34:Y34)</f>
        <v>1554538.07511613</v>
      </c>
      <c r="AH34" s="149" t="n">
        <f aca="false">(AA34*(1-$AG$49))-AI34</f>
        <v>1100608.15410684</v>
      </c>
      <c r="AI34" s="149" t="n">
        <f aca="false">V34</f>
        <v>329566.875</v>
      </c>
      <c r="AO34" s="149" t="n">
        <f aca="false">AA34*($AG$49)</f>
        <v>124363.046009291</v>
      </c>
      <c r="AZ34" s="162" t="s">
        <v>2800</v>
      </c>
      <c r="BA34" s="163" t="n">
        <f aca="false">IF(AZ34="",0,SUMPRODUCT(('CRONOGRAMA ATIVIDADES'!$C$5:$C$6004="ESTRUTURA")*('CRONOGRAMA ATIVIDADES'!$E$5:$E$6004=AZ34)*('CRONOGRAMA ATIVIDADES'!$D$5:$D$6004="-")*'CRONOGRAMA ATIVIDADES'!$F$5:$F$6004))</f>
        <v>46322</v>
      </c>
      <c r="BB34" s="163" t="n">
        <f aca="false">IF(AZ34="",0,SUMPRODUCT(('CRONOGRAMA ATIVIDADES'!$C$5:$C$6004="ESTRUTURA")*('CRONOGRAMA ATIVIDADES'!$E$5:$E$6004=AZ34)*('CRONOGRAMA ATIVIDADES'!$D$5:$D$6004="-")*'CRONOGRAMA ATIVIDADES'!$G$5:$G$6004))</f>
        <v>46350</v>
      </c>
      <c r="BD34" s="164" t="n">
        <f aca="false">IF(AND($BA34&gt;0,$BB34&gt;=$BA34),$AA34*MAX(0,MIN($BB34,EOMONTH(BD$3,0))-MAX($BA34,BD$3)+1)/($BB34-$BA34+1),SUMPRODUCT((YEAR($AC$2:$AX$2)=YEAR(BD$3))*(MONTH($AC$2:$AX$2)=MONTH(BD$3))*$AC34:$AX34))</f>
        <v>0</v>
      </c>
      <c r="BE34" s="164" t="n">
        <f aca="false">IF(AND($BA34&gt;0,$BB34&gt;=$BA34),$AA34*MAX(0,MIN($BB34,EOMONTH(BE$3,0))-MAX($BA34,BE$3)+1)/($BB34-$BA34+1),SUMPRODUCT((YEAR($AC$2:$AX$2)=YEAR(BE$3))*(MONTH($AC$2:$AX$2)=MONTH(BE$3))*$AC34:$AX34))</f>
        <v>0</v>
      </c>
      <c r="BF34" s="164" t="n">
        <f aca="false">IF(AND($BA34&gt;0,$BB34&gt;=$BA34),$AA34*MAX(0,MIN($BB34,EOMONTH(BF$3,0))-MAX($BA34,BF$3)+1)/($BB34-$BA34+1),SUMPRODUCT((YEAR($AC$2:$AX$2)=YEAR(BF$3))*(MONTH($AC$2:$AX$2)=MONTH(BF$3))*$AC34:$AX34))</f>
        <v>0</v>
      </c>
      <c r="BG34" s="164" t="n">
        <f aca="false">IF(AND($BA34&gt;0,$BB34&gt;=$BA34),$AA34*MAX(0,MIN($BB34,EOMONTH(BG$3,0))-MAX($BA34,BG$3)+1)/($BB34-$BA34+1),SUMPRODUCT((YEAR($AC$2:$AX$2)=YEAR(BG$3))*(MONTH($AC$2:$AX$2)=MONTH(BG$3))*$AC34:$AX34))</f>
        <v>0</v>
      </c>
      <c r="BH34" s="164" t="n">
        <f aca="false">IF(AND($BA34&gt;0,$BB34&gt;=$BA34),$AA34*MAX(0,MIN($BB34,EOMONTH(BH$3,0))-MAX($BA34,BH$3)+1)/($BB34-$BA34+1),SUMPRODUCT((YEAR($AC$2:$AX$2)=YEAR(BH$3))*(MONTH($AC$2:$AX$2)=MONTH(BH$3))*$AC34:$AX34))</f>
        <v>0</v>
      </c>
      <c r="BI34" s="164" t="n">
        <f aca="false">IF(AND($BA34&gt;0,$BB34&gt;=$BA34),$AA34*MAX(0,MIN($BB34,EOMONTH(BI$3,0))-MAX($BA34,BI$3)+1)/($BB34-$BA34+1),SUMPRODUCT((YEAR($AC$2:$AX$2)=YEAR(BI$3))*(MONTH($AC$2:$AX$2)=MONTH(BI$3))*$AC34:$AX34))</f>
        <v>0</v>
      </c>
      <c r="BJ34" s="164" t="n">
        <f aca="false">IF(AND($BA34&gt;0,$BB34&gt;=$BA34),$AA34*MAX(0,MIN($BB34,EOMONTH(BJ$3,0))-MAX($BA34,BJ$3)+1)/($BB34-$BA34+1),SUMPRODUCT((YEAR($AC$2:$AX$2)=YEAR(BJ$3))*(MONTH($AC$2:$AX$2)=MONTH(BJ$3))*$AC34:$AX34))</f>
        <v>0</v>
      </c>
      <c r="BK34" s="164" t="n">
        <f aca="false">IF(AND($BA34&gt;0,$BB34&gt;=$BA34),$AA34*MAX(0,MIN($BB34,EOMONTH(BK$3,0))-MAX($BA34,BK$3)+1)/($BB34-$BA34+1),SUMPRODUCT((YEAR($AC$2:$AX$2)=YEAR(BK$3))*(MONTH($AC$2:$AX$2)=MONTH(BK$3))*$AC34:$AX34))</f>
        <v>0</v>
      </c>
      <c r="BL34" s="164" t="n">
        <f aca="false">IF(AND($BA34&gt;0,$BB34&gt;=$BA34),$AA34*MAX(0,MIN($BB34,EOMONTH(BL$3,0))-MAX($BA34,BL$3)+1)/($BB34-$BA34+1),SUMPRODUCT((YEAR($AC$2:$AX$2)=YEAR(BL$3))*(MONTH($AC$2:$AX$2)=MONTH(BL$3))*$AC34:$AX34))</f>
        <v>0</v>
      </c>
      <c r="BM34" s="164" t="n">
        <f aca="false">IF(AND($BA34&gt;0,$BB34&gt;=$BA34),$AA34*MAX(0,MIN($BB34,EOMONTH(BM$3,0))-MAX($BA34,BM$3)+1)/($BB34-$BA34+1),SUMPRODUCT((YEAR($AC$2:$AX$2)=YEAR(BM$3))*(MONTH($AC$2:$AX$2)=MONTH(BM$3))*$AC34:$AX34))</f>
        <v>0</v>
      </c>
      <c r="BN34" s="164" t="n">
        <f aca="false">IF(AND($BA34&gt;0,$BB34&gt;=$BA34),$AA34*MAX(0,MIN($BB34,EOMONTH(BN$3,0))-MAX($BA34,BN$3)+1)/($BB34-$BA34+1),SUMPRODUCT((YEAR($AC$2:$AX$2)=YEAR(BN$3))*(MONTH($AC$2:$AX$2)=MONTH(BN$3))*$AC34:$AX34))</f>
        <v>0</v>
      </c>
      <c r="BO34" s="164" t="n">
        <f aca="false">IF(AND($BA34&gt;0,$BB34&gt;=$BA34),$AA34*MAX(0,MIN($BB34,EOMONTH(BO$3,0))-MAX($BA34,BO$3)+1)/($BB34-$BA34+1),SUMPRODUCT((YEAR($AC$2:$AX$2)=YEAR(BO$3))*(MONTH($AC$2:$AX$2)=MONTH(BO$3))*$AC34:$AX34))</f>
        <v>0</v>
      </c>
      <c r="BP34" s="164" t="n">
        <f aca="false">IF(AND($BA34&gt;0,$BB34&gt;=$BA34),$AA34*MAX(0,MIN($BB34,EOMONTH(BP$3,0))-MAX($BA34,BP$3)+1)/($BB34-$BA34+1),SUMPRODUCT((YEAR($AC$2:$AX$2)=YEAR(BP$3))*(MONTH($AC$2:$AX$2)=MONTH(BP$3))*$AC34:$AX34))</f>
        <v>0</v>
      </c>
      <c r="BQ34" s="164" t="n">
        <f aca="false">IF(AND($BA34&gt;0,$BB34&gt;=$BA34),$AA34*MAX(0,MIN($BB34,EOMONTH(BQ$3,0))-MAX($BA34,BQ$3)+1)/($BB34-$BA34+1),SUMPRODUCT((YEAR($AC$2:$AX$2)=YEAR(BQ$3))*(MONTH($AC$2:$AX$2)=MONTH(BQ$3))*$AC34:$AX34))</f>
        <v>0</v>
      </c>
      <c r="BR34" s="164" t="n">
        <f aca="false">IF(AND($BA34&gt;0,$BB34&gt;=$BA34),$AA34*MAX(0,MIN($BB34,EOMONTH(BR$3,0))-MAX($BA34,BR$3)+1)/($BB34-$BA34+1),SUMPRODUCT((YEAR($AC$2:$AX$2)=YEAR(BR$3))*(MONTH($AC$2:$AX$2)=MONTH(BR$3))*$AC34:$AX34))</f>
        <v>0</v>
      </c>
      <c r="BS34" s="164" t="n">
        <f aca="false">IF(AND($BA34&gt;0,$BB34&gt;=$BA34),$AA34*MAX(0,MIN($BB34,EOMONTH(BS$3,0))-MAX($BA34,BS$3)+1)/($BB34-$BA34+1),SUMPRODUCT((YEAR($AC$2:$AX$2)=YEAR(BS$3))*(MONTH($AC$2:$AX$2)=MONTH(BS$3))*$AC34:$AX34))</f>
        <v>0</v>
      </c>
      <c r="BT34" s="164" t="n">
        <f aca="false">IF(AND($BA34&gt;0,$BB34&gt;=$BA34),$AA34*MAX(0,MIN($BB34,EOMONTH(BT$3,0))-MAX($BA34,BT$3)+1)/($BB34-$BA34+1),SUMPRODUCT((YEAR($AC$2:$AX$2)=YEAR(BT$3))*(MONTH($AC$2:$AX$2)=MONTH(BT$3))*$AC34:$AX34))</f>
        <v>0</v>
      </c>
      <c r="BU34" s="164" t="n">
        <f aca="false">IF(AND($BA34&gt;0,$BB34&gt;=$BA34),$AA34*MAX(0,MIN($BB34,EOMONTH(BU$3,0))-MAX($BA34,BU$3)+1)/($BB34-$BA34+1),SUMPRODUCT((YEAR($AC$2:$AX$2)=YEAR(BU$3))*(MONTH($AC$2:$AX$2)=MONTH(BU$3))*$AC34:$AX34))</f>
        <v>0</v>
      </c>
      <c r="BV34" s="164" t="n">
        <f aca="false">IF(AND($BA34&gt;0,$BB34&gt;=$BA34),$AA34*MAX(0,MIN($BB34,EOMONTH(BV$3,0))-MAX($BA34,BV$3)+1)/($BB34-$BA34+1),SUMPRODUCT((YEAR($AC$2:$AX$2)=YEAR(BV$3))*(MONTH($AC$2:$AX$2)=MONTH(BV$3))*$AC34:$AX34))</f>
        <v>0</v>
      </c>
      <c r="BW34" s="164" t="n">
        <f aca="false">IF(AND($BA34&gt;0,$BB34&gt;=$BA34),$AA34*MAX(0,MIN($BB34,EOMONTH(BW$3,0))-MAX($BA34,BW$3)+1)/($BB34-$BA34+1),SUMPRODUCT((YEAR($AC$2:$AX$2)=YEAR(BW$3))*(MONTH($AC$2:$AX$2)=MONTH(BW$3))*$AC34:$AX34))</f>
        <v>0</v>
      </c>
      <c r="BX34" s="164" t="n">
        <f aca="false">IF(AND($BA34&gt;0,$BB34&gt;=$BA34),$AA34*MAX(0,MIN($BB34,EOMONTH(BX$3,0))-MAX($BA34,BX$3)+1)/($BB34-$BA34+1),SUMPRODUCT((YEAR($AC$2:$AX$2)=YEAR(BX$3))*(MONTH($AC$2:$AX$2)=MONTH(BX$3))*$AC34:$AX34))</f>
        <v>0</v>
      </c>
      <c r="BY34" s="164" t="n">
        <f aca="false">IF(AND($BA34&gt;0,$BB34&gt;=$BA34),$AA34*MAX(0,MIN($BB34,EOMONTH(BY$3,0))-MAX($BA34,BY$3)+1)/($BB34-$BA34+1),SUMPRODUCT((YEAR($AC$2:$AX$2)=YEAR(BY$3))*(MONTH($AC$2:$AX$2)=MONTH(BY$3))*$AC34:$AX34))</f>
        <v>0</v>
      </c>
      <c r="BZ34" s="164" t="n">
        <f aca="false">IF(AND($BA34&gt;0,$BB34&gt;=$BA34),$AA34*MAX(0,MIN($BB34,EOMONTH(BZ$3,0))-MAX($BA34,BZ$3)+1)/($BB34-$BA34+1),SUMPRODUCT((YEAR($AC$2:$AX$2)=YEAR(BZ$3))*(MONTH($AC$2:$AX$2)=MONTH(BZ$3))*$AC34:$AX34))</f>
        <v>268023.806054505</v>
      </c>
      <c r="CA34" s="164" t="n">
        <f aca="false">IF(AND($BA34&gt;0,$BB34&gt;=$BA34),$AA34*MAX(0,MIN($BB34,EOMONTH(CA$3,0))-MAX($BA34,CA$3)+1)/($BB34-$BA34+1),SUMPRODUCT((YEAR($AC$2:$AX$2)=YEAR(CA$3))*(MONTH($AC$2:$AX$2)=MONTH(CA$3))*$AC34:$AX34))</f>
        <v>1286514.26906163</v>
      </c>
      <c r="CB34" s="164" t="n">
        <f aca="false">IF(AND($BA34&gt;0,$BB34&gt;=$BA34),$AA34*MAX(0,MIN($BB34,EOMONTH(CB$3,0))-MAX($BA34,CB$3)+1)/($BB34-$BA34+1),SUMPRODUCT((YEAR($AC$2:$AX$2)=YEAR(CB$3))*(MONTH($AC$2:$AX$2)=MONTH(CB$3))*$AC34:$AX34))</f>
        <v>0</v>
      </c>
      <c r="CC34" s="164" t="n">
        <f aca="false">IF(AND($BA34&gt;0,$BB34&gt;=$BA34),$AA34*MAX(0,MIN($BB34,EOMONTH(CC$3,0))-MAX($BA34,CC$3)+1)/($BB34-$BA34+1),SUMPRODUCT((YEAR($AC$2:$AX$2)=YEAR(CC$3))*(MONTH($AC$2:$AX$2)=MONTH(CC$3))*$AC34:$AX34))</f>
        <v>0</v>
      </c>
      <c r="CD34" s="164" t="n">
        <f aca="false">IF(AND($BA34&gt;0,$BB34&gt;=$BA34),$AA34*MAX(0,MIN($BB34,EOMONTH(CD$3,0))-MAX($BA34,CD$3)+1)/($BB34-$BA34+1),SUMPRODUCT((YEAR($AC$2:$AX$2)=YEAR(CD$3))*(MONTH($AC$2:$AX$2)=MONTH(CD$3))*$AC34:$AX34))</f>
        <v>0</v>
      </c>
      <c r="CE34" s="164" t="n">
        <f aca="false">IF(AND($BA34&gt;0,$BB34&gt;=$BA34),$AA34*MAX(0,MIN($BB34,EOMONTH(CE$3,0))-MAX($BA34,CE$3)+1)/($BB34-$BA34+1),SUMPRODUCT((YEAR($AC$2:$AX$2)=YEAR(CE$3))*(MONTH($AC$2:$AX$2)=MONTH(CE$3))*$AC34:$AX34))</f>
        <v>0</v>
      </c>
      <c r="CF34" s="164" t="n">
        <f aca="false">IF(AND($BA34&gt;0,$BB34&gt;=$BA34),$AA34*MAX(0,MIN($BB34,EOMONTH(CF$3,0))-MAX($BA34,CF$3)+1)/($BB34-$BA34+1),SUMPRODUCT((YEAR($AC$2:$AX$2)=YEAR(CF$3))*(MONTH($AC$2:$AX$2)=MONTH(CF$3))*$AC34:$AX34))</f>
        <v>0</v>
      </c>
      <c r="CG34" s="164" t="n">
        <f aca="false">IF(AND($BA34&gt;0,$BB34&gt;=$BA34),$AA34*MAX(0,MIN($BB34,EOMONTH(CG$3,0))-MAX($BA34,CG$3)+1)/($BB34-$BA34+1),SUMPRODUCT((YEAR($AC$2:$AX$2)=YEAR(CG$3))*(MONTH($AC$2:$AX$2)=MONTH(CG$3))*$AC34:$AX34))</f>
        <v>0</v>
      </c>
      <c r="CH34" s="164" t="n">
        <f aca="false">IF(AND($BA34&gt;0,$BB34&gt;=$BA34),$AA34*MAX(0,MIN($BB34,EOMONTH(CH$3,0))-MAX($BA34,CH$3)+1)/($BB34-$BA34+1),SUMPRODUCT((YEAR($AC$2:$AX$2)=YEAR(CH$3))*(MONTH($AC$2:$AX$2)=MONTH(CH$3))*$AC34:$AX34))</f>
        <v>0</v>
      </c>
      <c r="CI34" s="164" t="n">
        <f aca="false">IF(AND($BA34&gt;0,$BB34&gt;=$BA34),$AA34*MAX(0,MIN($BB34,EOMONTH(CI$3,0))-MAX($BA34,CI$3)+1)/($BB34-$BA34+1),SUMPRODUCT((YEAR($AC$2:$AX$2)=YEAR(CI$3))*(MONTH($AC$2:$AX$2)=MONTH(CI$3))*$AC34:$AX34))</f>
        <v>0</v>
      </c>
      <c r="CJ34" s="164" t="n">
        <f aca="false">IF(AND($BA34&gt;0,$BB34&gt;=$BA34),$AA34*MAX(0,MIN($BB34,EOMONTH(CJ$3,0))-MAX($BA34,CJ$3)+1)/($BB34-$BA34+1),SUMPRODUCT((YEAR($AC$2:$AX$2)=YEAR(CJ$3))*(MONTH($AC$2:$AX$2)=MONTH(CJ$3))*$AC34:$AX34))</f>
        <v>0</v>
      </c>
      <c r="CK34" s="164" t="n">
        <f aca="false">IF(AND($BA34&gt;0,$BB34&gt;=$BA34),$AA34*MAX(0,MIN($BB34,EOMONTH(CK$3,0))-MAX($BA34,CK$3)+1)/($BB34-$BA34+1),SUMPRODUCT((YEAR($AC$2:$AX$2)=YEAR(CK$3))*(MONTH($AC$2:$AX$2)=MONTH(CK$3))*$AC34:$AX34))</f>
        <v>0</v>
      </c>
      <c r="CL34" s="164" t="n">
        <f aca="false">IF(AND($BA34&gt;0,$BB34&gt;=$BA34),$AA34*MAX(0,MIN($BB34,EOMONTH(CL$3,0))-MAX($BA34,CL$3)+1)/($BB34-$BA34+1),SUMPRODUCT((YEAR($AC$2:$AX$2)=YEAR(CL$3))*(MONTH($AC$2:$AX$2)=MONTH(CL$3))*$AC34:$AX34))</f>
        <v>0</v>
      </c>
      <c r="CM34" s="164" t="n">
        <f aca="false">IF(AND($BA34&gt;0,$BB34&gt;=$BA34),$AA34*MAX(0,MIN($BB34,EOMONTH(CM$3,0))-MAX($BA34,CM$3)+1)/($BB34-$BA34+1),SUMPRODUCT((YEAR($AC$2:$AX$2)=YEAR(CM$3))*(MONTH($AC$2:$AX$2)=MONTH(CM$3))*$AC34:$AX34))</f>
        <v>0</v>
      </c>
      <c r="CN34" s="164" t="n">
        <f aca="false">IF(AND($BA34&gt;0,$BB34&gt;=$BA34),$AA34*MAX(0,MIN($BB34,EOMONTH(CN$3,0))-MAX($BA34,CN$3)+1)/($BB34-$BA34+1),SUMPRODUCT((YEAR($AC$2:$AX$2)=YEAR(CN$3))*(MONTH($AC$2:$AX$2)=MONTH(CN$3))*$AC34:$AX34))</f>
        <v>0</v>
      </c>
      <c r="CO34" s="164" t="n">
        <f aca="false">IF(AND($BA34&gt;0,$BB34&gt;=$BA34),$AA34*MAX(0,MIN($BB34,EOMONTH(CO$3,0))-MAX($BA34,CO$3)+1)/($BB34-$BA34+1),SUMPRODUCT((YEAR($AC$2:$AX$2)=YEAR(CO$3))*(MONTH($AC$2:$AX$2)=MONTH(CO$3))*$AC34:$AX34))</f>
        <v>0</v>
      </c>
      <c r="CP34" s="164" t="n">
        <f aca="false">IF(AND($BA34&gt;0,$BB34&gt;=$BA34),$AA34*MAX(0,MIN($BB34,EOMONTH(CP$3,0))-MAX($BA34,CP$3)+1)/($BB34-$BA34+1),SUMPRODUCT((YEAR($AC$2:$AX$2)=YEAR(CP$3))*(MONTH($AC$2:$AX$2)=MONTH(CP$3))*$AC34:$AX34))</f>
        <v>0</v>
      </c>
      <c r="CQ34" s="164" t="n">
        <f aca="false">IF(AND($BA34&gt;0,$BB34&gt;=$BA34),$AA34*MAX(0,MIN($BB34,EOMONTH(CQ$3,0))-MAX($BA34,CQ$3)+1)/($BB34-$BA34+1),SUMPRODUCT((YEAR($AC$2:$AX$2)=YEAR(CQ$3))*(MONTH($AC$2:$AX$2)=MONTH(CQ$3))*$AC34:$AX34))</f>
        <v>0</v>
      </c>
      <c r="CR34" s="164" t="n">
        <f aca="false">IF(AND($BA34&gt;0,$BB34&gt;=$BA34),$AA34*MAX(0,MIN($BB34,EOMONTH(CR$3,0))-MAX($BA34,CR$3)+1)/($BB34-$BA34+1),SUMPRODUCT((YEAR($AC$2:$AX$2)=YEAR(CR$3))*(MONTH($AC$2:$AX$2)=MONTH(CR$3))*$AC34:$AX34))</f>
        <v>0</v>
      </c>
      <c r="CS34" s="164" t="n">
        <f aca="false">IF(AND($BA34&gt;0,$BB34&gt;=$BA34),$AA34*MAX(0,MIN($BB34,EOMONTH(CS$3,0))-MAX($BA34,CS$3)+1)/($BB34-$BA34+1),SUMPRODUCT((YEAR($AC$2:$AX$2)=YEAR(CS$3))*(MONTH($AC$2:$AX$2)=MONTH(CS$3))*$AC34:$AX34))</f>
        <v>0</v>
      </c>
      <c r="CT34" s="164" t="n">
        <f aca="false">IF(AND($BA34&gt;0,$BB34&gt;=$BA34),$AA34*MAX(0,MIN($BB34,EOMONTH(CT$3,0))-MAX($BA34,CT$3)+1)/($BB34-$BA34+1),SUMPRODUCT((YEAR($AC$2:$AX$2)=YEAR(CT$3))*(MONTH($AC$2:$AX$2)=MONTH(CT$3))*$AC34:$AX34))</f>
        <v>0</v>
      </c>
      <c r="CU34" s="164" t="n">
        <f aca="false">IF(AND($BA34&gt;0,$BB34&gt;=$BA34),$AA34*MAX(0,MIN($BB34,EOMONTH(CU$3,0))-MAX($BA34,CU$3)+1)/($BB34-$BA34+1),SUMPRODUCT((YEAR($AC$2:$AX$2)=YEAR(CU$3))*(MONTH($AC$2:$AX$2)=MONTH(CU$3))*$AC34:$AX34))</f>
        <v>0</v>
      </c>
      <c r="CV34" s="164" t="n">
        <f aca="false">IF(AND($BA34&gt;0,$BB34&gt;=$BA34),$AA34*MAX(0,MIN($BB34,EOMONTH(CV$3,0))-MAX($BA34,CV$3)+1)/($BB34-$BA34+1),SUMPRODUCT((YEAR($AC$2:$AX$2)=YEAR(CV$3))*(MONTH($AC$2:$AX$2)=MONTH(CV$3))*$AC34:$AX34))</f>
        <v>0</v>
      </c>
      <c r="CW34" s="164" t="n">
        <f aca="false">IF(AND($BA34&gt;0,$BB34&gt;=$BA34),$AA34*MAX(0,MIN($BB34,EOMONTH(CW$3,0))-MAX($BA34,CW$3)+1)/($BB34-$BA34+1),SUMPRODUCT((YEAR($AC$2:$AX$2)=YEAR(CW$3))*(MONTH($AC$2:$AX$2)=MONTH(CW$3))*$AC34:$AX34))</f>
        <v>0</v>
      </c>
      <c r="CX34" s="164" t="n">
        <f aca="false">IF(AND($BA34&gt;0,$BB34&gt;=$BA34),$AA34*MAX(0,MIN($BB34,EOMONTH(CX$3,0))-MAX($BA34,CX$3)+1)/($BB34-$BA34+1),SUMPRODUCT((YEAR($AC$2:$AX$2)=YEAR(CX$3))*(MONTH($AC$2:$AX$2)=MONTH(CX$3))*$AC34:$AX34))</f>
        <v>0</v>
      </c>
      <c r="CY34" s="164" t="n">
        <f aca="false">IF(AND($BA34&gt;0,$BB34&gt;=$BA34),$AA34*MAX(0,MIN($BB34,EOMONTH(CY$3,0))-MAX($BA34,CY$3)+1)/($BB34-$BA34+1),SUMPRODUCT((YEAR($AC$2:$AX$2)=YEAR(CY$3))*(MONTH($AC$2:$AX$2)=MONTH(CY$3))*$AC34:$AX34))</f>
        <v>0</v>
      </c>
      <c r="CZ34" s="164" t="n">
        <f aca="false">IF(AND($BA34&gt;0,$BB34&gt;=$BA34),$AA34*MAX(0,MIN($BB34,EOMONTH(CZ$3,0))-MAX($BA34,CZ$3)+1)/($BB34-$BA34+1),SUMPRODUCT((YEAR($AC$2:$AX$2)=YEAR(CZ$3))*(MONTH($AC$2:$AX$2)=MONTH(CZ$3))*$AC34:$AX34))</f>
        <v>0</v>
      </c>
      <c r="DA34" s="164" t="n">
        <f aca="false">IF(AND($BA34&gt;0,$BB34&gt;=$BA34),$AA34*MAX(0,MIN($BB34,EOMONTH(DA$3,0))-MAX($BA34,DA$3)+1)/($BB34-$BA34+1),SUMPRODUCT((YEAR($AC$2:$AX$2)=YEAR(DA$3))*(MONTH($AC$2:$AX$2)=MONTH(DA$3))*$AC34:$AX34))</f>
        <v>0</v>
      </c>
      <c r="DB34" s="164" t="n">
        <f aca="false">IF(AND($BA34&gt;0,$BB34&gt;=$BA34),$AA34*MAX(0,MIN($BB34,EOMONTH(DB$3,0))-MAX($BA34,DB$3)+1)/($BB34-$BA34+1),SUMPRODUCT((YEAR($AC$2:$AX$2)=YEAR(DB$3))*(MONTH($AC$2:$AX$2)=MONTH(DB$3))*$AC34:$AX34))</f>
        <v>0</v>
      </c>
      <c r="DC34" s="164" t="n">
        <f aca="false">IF(AND($BA34&gt;0,$BB34&gt;=$BA34),$AA34*MAX(0,MIN($BB34,EOMONTH(DC$3,0))-MAX($BA34,DC$3)+1)/($BB34-$BA34+1),SUMPRODUCT((YEAR($AC$2:$AX$2)=YEAR(DC$3))*(MONTH($AC$2:$AX$2)=MONTH(DC$3))*$AC34:$AX34))</f>
        <v>0</v>
      </c>
      <c r="DD34" s="164" t="n">
        <f aca="false">IF(AND($BA34&gt;0,$BB34&gt;=$BA34),$AA34*MAX(0,MIN($BB34,EOMONTH(DD$3,0))-MAX($BA34,DD$3)+1)/($BB34-$BA34+1),SUMPRODUCT((YEAR($AC$2:$AX$2)=YEAR(DD$3))*(MONTH($AC$2:$AX$2)=MONTH(DD$3))*$AC34:$AX34))</f>
        <v>0</v>
      </c>
      <c r="DE34" s="164" t="n">
        <f aca="false">IF(AND($BA34&gt;0,$BB34&gt;=$BA34),$AA34*MAX(0,MIN($BB34,EOMONTH(DE$3,0))-MAX($BA34,DE$3)+1)/($BB34-$BA34+1),SUMPRODUCT((YEAR($AC$2:$AX$2)=YEAR(DE$3))*(MONTH($AC$2:$AX$2)=MONTH(DE$3))*$AC34:$AX34))</f>
        <v>0</v>
      </c>
      <c r="DF34" s="164" t="n">
        <f aca="false">IF(AND($BA34&gt;0,$BB34&gt;=$BA34),$AA34*MAX(0,MIN($BB34,EOMONTH(DF$3,0))-MAX($BA34,DF$3)+1)/($BB34-$BA34+1),SUMPRODUCT((YEAR($AC$2:$AX$2)=YEAR(DF$3))*(MONTH($AC$2:$AX$2)=MONTH(DF$3))*$AC34:$AX34))</f>
        <v>0</v>
      </c>
      <c r="DG34" s="164" t="n">
        <f aca="false">IF(AND($BA34&gt;0,$BB34&gt;=$BA34),$AA34*MAX(0,MIN($BB34,EOMONTH(DG$3,0))-MAX($BA34,DG$3)+1)/($BB34-$BA34+1),SUMPRODUCT((YEAR($AC$2:$AX$2)=YEAR(DG$3))*(MONTH($AC$2:$AX$2)=MONTH(DG$3))*$AC34:$AX34))</f>
        <v>0</v>
      </c>
      <c r="DH34" s="164" t="n">
        <f aca="false">IF(AND($BA34&gt;0,$BB34&gt;=$BA34),$AA34*MAX(0,MIN($BB34,EOMONTH(DH$3,0))-MAX($BA34,DH$3)+1)/($BB34-$BA34+1),SUMPRODUCT((YEAR($AC$2:$AX$2)=YEAR(DH$3))*(MONTH($AC$2:$AX$2)=MONTH(DH$3))*$AC34:$AX34))</f>
        <v>0</v>
      </c>
      <c r="DI34" s="164" t="n">
        <f aca="false">IF(AND($BA34&gt;0,$BB34&gt;=$BA34),$AA34*MAX(0,MIN($BB34,EOMONTH(DI$3,0))-MAX($BA34,DI$3)+1)/($BB34-$BA34+1),SUMPRODUCT((YEAR($AC$2:$AX$2)=YEAR(DI$3))*(MONTH($AC$2:$AX$2)=MONTH(DI$3))*$AC34:$AX34))</f>
        <v>0</v>
      </c>
      <c r="DJ34" s="164" t="n">
        <f aca="false">IF(AND($BA34&gt;0,$BB34&gt;=$BA34),$AA34*MAX(0,MIN($BB34,EOMONTH(DJ$3,0))-MAX($BA34,DJ$3)+1)/($BB34-$BA34+1),SUMPRODUCT((YEAR($AC$2:$AX$2)=YEAR(DJ$3))*(MONTH($AC$2:$AX$2)=MONTH(DJ$3))*$AC34:$AX34))</f>
        <v>0</v>
      </c>
      <c r="DK34" s="164" t="n">
        <f aca="false">IF(AND($BA34&gt;0,$BB34&gt;=$BA34),$AA34*MAX(0,MIN($BB34,EOMONTH(DK$3,0))-MAX($BA34,DK$3)+1)/($BB34-$BA34+1),SUMPRODUCT((YEAR($AC$2:$AX$2)=YEAR(DK$3))*(MONTH($AC$2:$AX$2)=MONTH(DK$3))*$AC34:$AX34))</f>
        <v>0</v>
      </c>
      <c r="DL34" s="164" t="n">
        <f aca="false">IF(AND($BA34&gt;0,$BB34&gt;=$BA34),$AA34*MAX(0,MIN($BB34,EOMONTH(DL$3,0))-MAX($BA34,DL$3)+1)/($BB34-$BA34+1),SUMPRODUCT((YEAR($AC$2:$AX$2)=YEAR(DL$3))*(MONTH($AC$2:$AX$2)=MONTH(DL$3))*$AC34:$AX34))</f>
        <v>0</v>
      </c>
      <c r="DM34" s="164" t="n">
        <f aca="false">IF(AND($BA34&gt;0,$BB34&gt;=$BA34),$AA34*MAX(0,MIN($BB34,EOMONTH(DM$3,0))-MAX($BA34,DM$3)+1)/($BB34-$BA34+1),SUMPRODUCT((YEAR($AC$2:$AX$2)=YEAR(DM$3))*(MONTH($AC$2:$AX$2)=MONTH(DM$3))*$AC34:$AX34))</f>
        <v>0</v>
      </c>
      <c r="DN34" s="164" t="n">
        <f aca="false">IF(AND($BA34&gt;0,$BB34&gt;=$BA34),$AA34*MAX(0,MIN($BB34,EOMONTH(DN$3,0))-MAX($BA34,DN$3)+1)/($BB34-$BA34+1),SUMPRODUCT((YEAR($AC$2:$AX$2)=YEAR(DN$3))*(MONTH($AC$2:$AX$2)=MONTH(DN$3))*$AC34:$AX34))</f>
        <v>0</v>
      </c>
      <c r="DO34" s="164" t="n">
        <f aca="false">IF(AND($BA34&gt;0,$BB34&gt;=$BA34),$AA34*MAX(0,MIN($BB34,EOMONTH(DO$3,0))-MAX($BA34,DO$3)+1)/($BB34-$BA34+1),SUMPRODUCT((YEAR($AC$2:$AX$2)=YEAR(DO$3))*(MONTH($AC$2:$AX$2)=MONTH(DO$3))*$AC34:$AX34))</f>
        <v>0</v>
      </c>
      <c r="DP34" s="164" t="n">
        <f aca="false">IF(AND($BA34&gt;0,$BB34&gt;=$BA34),$AA34*MAX(0,MIN($BB34,EOMONTH(DP$3,0))-MAX($BA34,DP$3)+1)/($BB34-$BA34+1),SUMPRODUCT((YEAR($AC$2:$AX$2)=YEAR(DP$3))*(MONTH($AC$2:$AX$2)=MONTH(DP$3))*$AC34:$AX34))</f>
        <v>0</v>
      </c>
      <c r="DQ34" s="164" t="n">
        <f aca="false">IF(AND($BA34&gt;0,$BB34&gt;=$BA34),$AA34*MAX(0,MIN($BB34,EOMONTH(DQ$3,0))-MAX($BA34,DQ$3)+1)/($BB34-$BA34+1),SUMPRODUCT((YEAR($AC$2:$AX$2)=YEAR(DQ$3))*(MONTH($AC$2:$AX$2)=MONTH(DQ$3))*$AC34:$AX34))</f>
        <v>0</v>
      </c>
      <c r="DR34" s="164" t="n">
        <f aca="false">IF(AND($BA34&gt;0,$BB34&gt;=$BA34),$AA34*MAX(0,MIN($BB34,EOMONTH(DR$3,0))-MAX($BA34,DR$3)+1)/($BB34-$BA34+1),SUMPRODUCT((YEAR($AC$2:$AX$2)=YEAR(DR$3))*(MONTH($AC$2:$AX$2)=MONTH(DR$3))*$AC34:$AX34))</f>
        <v>0</v>
      </c>
      <c r="DS34" s="164" t="n">
        <f aca="false">IF(AND($BA34&gt;0,$BB34&gt;=$BA34),$AA34*MAX(0,MIN($BB34,EOMONTH(DS$3,0))-MAX($BA34,DS$3)+1)/($BB34-$BA34+1),SUMPRODUCT((YEAR($AC$2:$AX$2)=YEAR(DS$3))*(MONTH($AC$2:$AX$2)=MONTH(DS$3))*$AC34:$AX34))</f>
        <v>0</v>
      </c>
      <c r="DT34" s="164" t="n">
        <f aca="false">IF(AND($BA34&gt;0,$BB34&gt;=$BA34),$AA34*MAX(0,MIN($BB34,EOMONTH(DT$3,0))-MAX($BA34,DT$3)+1)/($BB34-$BA34+1),SUMPRODUCT((YEAR($AC$2:$AX$2)=YEAR(DT$3))*(MONTH($AC$2:$AX$2)=MONTH(DT$3))*$AC34:$AX34))</f>
        <v>0</v>
      </c>
      <c r="DU34" s="164" t="n">
        <f aca="false">IF(AND($BA34&gt;0,$BB34&gt;=$BA34),$AA34*MAX(0,MIN($BB34,EOMONTH(DU$3,0))-MAX($BA34,DU$3)+1)/($BB34-$BA34+1),SUMPRODUCT((YEAR($AC$2:$AX$2)=YEAR(DU$3))*(MONTH($AC$2:$AX$2)=MONTH(DU$3))*$AC34:$AX34))</f>
        <v>0</v>
      </c>
      <c r="DV34" s="164" t="n">
        <f aca="false">IF(AND($BA34&gt;0,$BB34&gt;=$BA34),$AA34*MAX(0,MIN($BB34,EOMONTH(DV$3,0))-MAX($BA34,DV$3)+1)/($BB34-$BA34+1),SUMPRODUCT((YEAR($AC$2:$AX$2)=YEAR(DV$3))*(MONTH($AC$2:$AX$2)=MONTH(DV$3))*$AC34:$AX34))</f>
        <v>0</v>
      </c>
      <c r="DW34" s="164" t="n">
        <f aca="false">IF(AND($BA34&gt;0,$BB34&gt;=$BA34),$AA34*MAX(0,MIN($BB34,EOMONTH(DW$3,0))-MAX($BA34,DW$3)+1)/($BB34-$BA34+1),SUMPRODUCT((YEAR($AC$2:$AX$2)=YEAR(DW$3))*(MONTH($AC$2:$AX$2)=MONTH(DW$3))*$AC34:$AX34))</f>
        <v>0</v>
      </c>
    </row>
    <row r="35" customFormat="false" ht="15" hidden="false" customHeight="false" outlineLevel="0" collapsed="false">
      <c r="H35" s="151" t="s">
        <v>2993</v>
      </c>
      <c r="J35" s="152" t="n">
        <v>1832.3226</v>
      </c>
      <c r="K35" s="152" t="n">
        <v>599.5</v>
      </c>
      <c r="L35" s="152" t="n">
        <v>1248.109575</v>
      </c>
      <c r="M35" s="152" t="n">
        <v>1665.837</v>
      </c>
      <c r="N35" s="152" t="n">
        <v>8420</v>
      </c>
      <c r="O35" s="152" t="n">
        <v>61071.5</v>
      </c>
      <c r="Q35" s="152" t="n">
        <v>1832.3226</v>
      </c>
      <c r="S35" s="149" t="n">
        <f aca="false">K35*($C$61+$C$57)</f>
        <v>434247.825</v>
      </c>
      <c r="T35" s="149" t="n">
        <f aca="false">L35*$C$47</f>
        <v>154765.5873</v>
      </c>
      <c r="U35" s="149" t="n">
        <f aca="false">M35*$C$48</f>
        <v>244878.039</v>
      </c>
      <c r="V35" s="149" t="n">
        <f aca="false">O35*($C$54)</f>
        <v>336503.965</v>
      </c>
      <c r="W35" s="149" t="n">
        <f aca="false">O35*($C$49)</f>
        <v>158785.9</v>
      </c>
      <c r="X35" s="149" t="n">
        <f aca="false">N35*$C$60</f>
        <v>206296.811442431</v>
      </c>
      <c r="Y35" s="149" t="n">
        <f aca="false">SUM(P35:Q35)*($C$51+$C$52)</f>
        <v>29270.4373737</v>
      </c>
      <c r="AA35" s="149" t="n">
        <f aca="false">SUM(S35:Y35)</f>
        <v>1564748.56511613</v>
      </c>
      <c r="AG35" s="149" t="n">
        <f aca="false">((AA35*(1-$AG$49))*0.5)-AH35</f>
        <v>459834.33995342</v>
      </c>
      <c r="AH35" s="149" t="n">
        <f aca="false">519900/2</f>
        <v>259950</v>
      </c>
      <c r="AI35" s="149" t="n">
        <f aca="false">(AA35*(1-$AG$49))*0.5</f>
        <v>719784.33995342</v>
      </c>
      <c r="AO35" s="149" t="n">
        <f aca="false">AA35*($AG$49)</f>
        <v>125179.885209291</v>
      </c>
      <c r="AZ35" s="162" t="s">
        <v>2790</v>
      </c>
      <c r="BA35" s="163" t="n">
        <f aca="false">IF(AZ35="",0,SUMPRODUCT(('CRONOGRAMA ATIVIDADES'!$C$5:$C$6004="ESTRUTURA")*('CRONOGRAMA ATIVIDADES'!$E$5:$E$6004=AZ35)*('CRONOGRAMA ATIVIDADES'!$D$5:$D$6004="-")*'CRONOGRAMA ATIVIDADES'!$F$5:$F$6004))</f>
        <v>46294</v>
      </c>
      <c r="BB35" s="163" t="n">
        <f aca="false">IF(AZ35="",0,SUMPRODUCT(('CRONOGRAMA ATIVIDADES'!$C$5:$C$6004="ESTRUTURA")*('CRONOGRAMA ATIVIDADES'!$E$5:$E$6004=AZ35)*('CRONOGRAMA ATIVIDADES'!$D$5:$D$6004="-")*'CRONOGRAMA ATIVIDADES'!$G$5:$G$6004))</f>
        <v>46321</v>
      </c>
      <c r="BD35" s="164" t="n">
        <f aca="false">IF(AND($BA35&gt;0,$BB35&gt;=$BA35),$AA35*MAX(0,MIN($BB35,EOMONTH(BD$3,0))-MAX($BA35,BD$3)+1)/($BB35-$BA35+1),SUMPRODUCT((YEAR($AC$2:$AX$2)=YEAR(BD$3))*(MONTH($AC$2:$AX$2)=MONTH(BD$3))*$AC35:$AX35))</f>
        <v>0</v>
      </c>
      <c r="BE35" s="164" t="n">
        <f aca="false">IF(AND($BA35&gt;0,$BB35&gt;=$BA35),$AA35*MAX(0,MIN($BB35,EOMONTH(BE$3,0))-MAX($BA35,BE$3)+1)/($BB35-$BA35+1),SUMPRODUCT((YEAR($AC$2:$AX$2)=YEAR(BE$3))*(MONTH($AC$2:$AX$2)=MONTH(BE$3))*$AC35:$AX35))</f>
        <v>0</v>
      </c>
      <c r="BF35" s="164" t="n">
        <f aca="false">IF(AND($BA35&gt;0,$BB35&gt;=$BA35),$AA35*MAX(0,MIN($BB35,EOMONTH(BF$3,0))-MAX($BA35,BF$3)+1)/($BB35-$BA35+1),SUMPRODUCT((YEAR($AC$2:$AX$2)=YEAR(BF$3))*(MONTH($AC$2:$AX$2)=MONTH(BF$3))*$AC35:$AX35))</f>
        <v>0</v>
      </c>
      <c r="BG35" s="164" t="n">
        <f aca="false">IF(AND($BA35&gt;0,$BB35&gt;=$BA35),$AA35*MAX(0,MIN($BB35,EOMONTH(BG$3,0))-MAX($BA35,BG$3)+1)/($BB35-$BA35+1),SUMPRODUCT((YEAR($AC$2:$AX$2)=YEAR(BG$3))*(MONTH($AC$2:$AX$2)=MONTH(BG$3))*$AC35:$AX35))</f>
        <v>0</v>
      </c>
      <c r="BH35" s="164" t="n">
        <f aca="false">IF(AND($BA35&gt;0,$BB35&gt;=$BA35),$AA35*MAX(0,MIN($BB35,EOMONTH(BH$3,0))-MAX($BA35,BH$3)+1)/($BB35-$BA35+1),SUMPRODUCT((YEAR($AC$2:$AX$2)=YEAR(BH$3))*(MONTH($AC$2:$AX$2)=MONTH(BH$3))*$AC35:$AX35))</f>
        <v>0</v>
      </c>
      <c r="BI35" s="164" t="n">
        <f aca="false">IF(AND($BA35&gt;0,$BB35&gt;=$BA35),$AA35*MAX(0,MIN($BB35,EOMONTH(BI$3,0))-MAX($BA35,BI$3)+1)/($BB35-$BA35+1),SUMPRODUCT((YEAR($AC$2:$AX$2)=YEAR(BI$3))*(MONTH($AC$2:$AX$2)=MONTH(BI$3))*$AC35:$AX35))</f>
        <v>0</v>
      </c>
      <c r="BJ35" s="164" t="n">
        <f aca="false">IF(AND($BA35&gt;0,$BB35&gt;=$BA35),$AA35*MAX(0,MIN($BB35,EOMONTH(BJ$3,0))-MAX($BA35,BJ$3)+1)/($BB35-$BA35+1),SUMPRODUCT((YEAR($AC$2:$AX$2)=YEAR(BJ$3))*(MONTH($AC$2:$AX$2)=MONTH(BJ$3))*$AC35:$AX35))</f>
        <v>0</v>
      </c>
      <c r="BK35" s="164" t="n">
        <f aca="false">IF(AND($BA35&gt;0,$BB35&gt;=$BA35),$AA35*MAX(0,MIN($BB35,EOMONTH(BK$3,0))-MAX($BA35,BK$3)+1)/($BB35-$BA35+1),SUMPRODUCT((YEAR($AC$2:$AX$2)=YEAR(BK$3))*(MONTH($AC$2:$AX$2)=MONTH(BK$3))*$AC35:$AX35))</f>
        <v>0</v>
      </c>
      <c r="BL35" s="164" t="n">
        <f aca="false">IF(AND($BA35&gt;0,$BB35&gt;=$BA35),$AA35*MAX(0,MIN($BB35,EOMONTH(BL$3,0))-MAX($BA35,BL$3)+1)/($BB35-$BA35+1),SUMPRODUCT((YEAR($AC$2:$AX$2)=YEAR(BL$3))*(MONTH($AC$2:$AX$2)=MONTH(BL$3))*$AC35:$AX35))</f>
        <v>0</v>
      </c>
      <c r="BM35" s="164" t="n">
        <f aca="false">IF(AND($BA35&gt;0,$BB35&gt;=$BA35),$AA35*MAX(0,MIN($BB35,EOMONTH(BM$3,0))-MAX($BA35,BM$3)+1)/($BB35-$BA35+1),SUMPRODUCT((YEAR($AC$2:$AX$2)=YEAR(BM$3))*(MONTH($AC$2:$AX$2)=MONTH(BM$3))*$AC35:$AX35))</f>
        <v>0</v>
      </c>
      <c r="BN35" s="164" t="n">
        <f aca="false">IF(AND($BA35&gt;0,$BB35&gt;=$BA35),$AA35*MAX(0,MIN($BB35,EOMONTH(BN$3,0))-MAX($BA35,BN$3)+1)/($BB35-$BA35+1),SUMPRODUCT((YEAR($AC$2:$AX$2)=YEAR(BN$3))*(MONTH($AC$2:$AX$2)=MONTH(BN$3))*$AC35:$AX35))</f>
        <v>0</v>
      </c>
      <c r="BO35" s="164" t="n">
        <f aca="false">IF(AND($BA35&gt;0,$BB35&gt;=$BA35),$AA35*MAX(0,MIN($BB35,EOMONTH(BO$3,0))-MAX($BA35,BO$3)+1)/($BB35-$BA35+1),SUMPRODUCT((YEAR($AC$2:$AX$2)=YEAR(BO$3))*(MONTH($AC$2:$AX$2)=MONTH(BO$3))*$AC35:$AX35))</f>
        <v>0</v>
      </c>
      <c r="BP35" s="164" t="n">
        <f aca="false">IF(AND($BA35&gt;0,$BB35&gt;=$BA35),$AA35*MAX(0,MIN($BB35,EOMONTH(BP$3,0))-MAX($BA35,BP$3)+1)/($BB35-$BA35+1),SUMPRODUCT((YEAR($AC$2:$AX$2)=YEAR(BP$3))*(MONTH($AC$2:$AX$2)=MONTH(BP$3))*$AC35:$AX35))</f>
        <v>0</v>
      </c>
      <c r="BQ35" s="164" t="n">
        <f aca="false">IF(AND($BA35&gt;0,$BB35&gt;=$BA35),$AA35*MAX(0,MIN($BB35,EOMONTH(BQ$3,0))-MAX($BA35,BQ$3)+1)/($BB35-$BA35+1),SUMPRODUCT((YEAR($AC$2:$AX$2)=YEAR(BQ$3))*(MONTH($AC$2:$AX$2)=MONTH(BQ$3))*$AC35:$AX35))</f>
        <v>0</v>
      </c>
      <c r="BR35" s="164" t="n">
        <f aca="false">IF(AND($BA35&gt;0,$BB35&gt;=$BA35),$AA35*MAX(0,MIN($BB35,EOMONTH(BR$3,0))-MAX($BA35,BR$3)+1)/($BB35-$BA35+1),SUMPRODUCT((YEAR($AC$2:$AX$2)=YEAR(BR$3))*(MONTH($AC$2:$AX$2)=MONTH(BR$3))*$AC35:$AX35))</f>
        <v>0</v>
      </c>
      <c r="BS35" s="164" t="n">
        <f aca="false">IF(AND($BA35&gt;0,$BB35&gt;=$BA35),$AA35*MAX(0,MIN($BB35,EOMONTH(BS$3,0))-MAX($BA35,BS$3)+1)/($BB35-$BA35+1),SUMPRODUCT((YEAR($AC$2:$AX$2)=YEAR(BS$3))*(MONTH($AC$2:$AX$2)=MONTH(BS$3))*$AC35:$AX35))</f>
        <v>0</v>
      </c>
      <c r="BT35" s="164" t="n">
        <f aca="false">IF(AND($BA35&gt;0,$BB35&gt;=$BA35),$AA35*MAX(0,MIN($BB35,EOMONTH(BT$3,0))-MAX($BA35,BT$3)+1)/($BB35-$BA35+1),SUMPRODUCT((YEAR($AC$2:$AX$2)=YEAR(BT$3))*(MONTH($AC$2:$AX$2)=MONTH(BT$3))*$AC35:$AX35))</f>
        <v>0</v>
      </c>
      <c r="BU35" s="164" t="n">
        <f aca="false">IF(AND($BA35&gt;0,$BB35&gt;=$BA35),$AA35*MAX(0,MIN($BB35,EOMONTH(BU$3,0))-MAX($BA35,BU$3)+1)/($BB35-$BA35+1),SUMPRODUCT((YEAR($AC$2:$AX$2)=YEAR(BU$3))*(MONTH($AC$2:$AX$2)=MONTH(BU$3))*$AC35:$AX35))</f>
        <v>0</v>
      </c>
      <c r="BV35" s="164" t="n">
        <f aca="false">IF(AND($BA35&gt;0,$BB35&gt;=$BA35),$AA35*MAX(0,MIN($BB35,EOMONTH(BV$3,0))-MAX($BA35,BV$3)+1)/($BB35-$BA35+1),SUMPRODUCT((YEAR($AC$2:$AX$2)=YEAR(BV$3))*(MONTH($AC$2:$AX$2)=MONTH(BV$3))*$AC35:$AX35))</f>
        <v>0</v>
      </c>
      <c r="BW35" s="164" t="n">
        <f aca="false">IF(AND($BA35&gt;0,$BB35&gt;=$BA35),$AA35*MAX(0,MIN($BB35,EOMONTH(BW$3,0))-MAX($BA35,BW$3)+1)/($BB35-$BA35+1),SUMPRODUCT((YEAR($AC$2:$AX$2)=YEAR(BW$3))*(MONTH($AC$2:$AX$2)=MONTH(BW$3))*$AC35:$AX35))</f>
        <v>0</v>
      </c>
      <c r="BX35" s="164" t="n">
        <f aca="false">IF(AND($BA35&gt;0,$BB35&gt;=$BA35),$AA35*MAX(0,MIN($BB35,EOMONTH(BX$3,0))-MAX($BA35,BX$3)+1)/($BB35-$BA35+1),SUMPRODUCT((YEAR($AC$2:$AX$2)=YEAR(BX$3))*(MONTH($AC$2:$AX$2)=MONTH(BX$3))*$AC35:$AX35))</f>
        <v>0</v>
      </c>
      <c r="BY35" s="164" t="n">
        <f aca="false">IF(AND($BA35&gt;0,$BB35&gt;=$BA35),$AA35*MAX(0,MIN($BB35,EOMONTH(BY$3,0))-MAX($BA35,BY$3)+1)/($BB35-$BA35+1),SUMPRODUCT((YEAR($AC$2:$AX$2)=YEAR(BY$3))*(MONTH($AC$2:$AX$2)=MONTH(BY$3))*$AC35:$AX35))</f>
        <v>111767.754651152</v>
      </c>
      <c r="BZ35" s="164" t="n">
        <f aca="false">IF(AND($BA35&gt;0,$BB35&gt;=$BA35),$AA35*MAX(0,MIN($BB35,EOMONTH(BZ$3,0))-MAX($BA35,BZ$3)+1)/($BB35-$BA35+1),SUMPRODUCT((YEAR($AC$2:$AX$2)=YEAR(BZ$3))*(MONTH($AC$2:$AX$2)=MONTH(BZ$3))*$AC35:$AX35))</f>
        <v>1452980.81046498</v>
      </c>
      <c r="CA35" s="164" t="n">
        <f aca="false">IF(AND($BA35&gt;0,$BB35&gt;=$BA35),$AA35*MAX(0,MIN($BB35,EOMONTH(CA$3,0))-MAX($BA35,CA$3)+1)/($BB35-$BA35+1),SUMPRODUCT((YEAR($AC$2:$AX$2)=YEAR(CA$3))*(MONTH($AC$2:$AX$2)=MONTH(CA$3))*$AC35:$AX35))</f>
        <v>0</v>
      </c>
      <c r="CB35" s="164" t="n">
        <f aca="false">IF(AND($BA35&gt;0,$BB35&gt;=$BA35),$AA35*MAX(0,MIN($BB35,EOMONTH(CB$3,0))-MAX($BA35,CB$3)+1)/($BB35-$BA35+1),SUMPRODUCT((YEAR($AC$2:$AX$2)=YEAR(CB$3))*(MONTH($AC$2:$AX$2)=MONTH(CB$3))*$AC35:$AX35))</f>
        <v>0</v>
      </c>
      <c r="CC35" s="164" t="n">
        <f aca="false">IF(AND($BA35&gt;0,$BB35&gt;=$BA35),$AA35*MAX(0,MIN($BB35,EOMONTH(CC$3,0))-MAX($BA35,CC$3)+1)/($BB35-$BA35+1),SUMPRODUCT((YEAR($AC$2:$AX$2)=YEAR(CC$3))*(MONTH($AC$2:$AX$2)=MONTH(CC$3))*$AC35:$AX35))</f>
        <v>0</v>
      </c>
      <c r="CD35" s="164" t="n">
        <f aca="false">IF(AND($BA35&gt;0,$BB35&gt;=$BA35),$AA35*MAX(0,MIN($BB35,EOMONTH(CD$3,0))-MAX($BA35,CD$3)+1)/($BB35-$BA35+1),SUMPRODUCT((YEAR($AC$2:$AX$2)=YEAR(CD$3))*(MONTH($AC$2:$AX$2)=MONTH(CD$3))*$AC35:$AX35))</f>
        <v>0</v>
      </c>
      <c r="CE35" s="164" t="n">
        <f aca="false">IF(AND($BA35&gt;0,$BB35&gt;=$BA35),$AA35*MAX(0,MIN($BB35,EOMONTH(CE$3,0))-MAX($BA35,CE$3)+1)/($BB35-$BA35+1),SUMPRODUCT((YEAR($AC$2:$AX$2)=YEAR(CE$3))*(MONTH($AC$2:$AX$2)=MONTH(CE$3))*$AC35:$AX35))</f>
        <v>0</v>
      </c>
      <c r="CF35" s="164" t="n">
        <f aca="false">IF(AND($BA35&gt;0,$BB35&gt;=$BA35),$AA35*MAX(0,MIN($BB35,EOMONTH(CF$3,0))-MAX($BA35,CF$3)+1)/($BB35-$BA35+1),SUMPRODUCT((YEAR($AC$2:$AX$2)=YEAR(CF$3))*(MONTH($AC$2:$AX$2)=MONTH(CF$3))*$AC35:$AX35))</f>
        <v>0</v>
      </c>
      <c r="CG35" s="164" t="n">
        <f aca="false">IF(AND($BA35&gt;0,$BB35&gt;=$BA35),$AA35*MAX(0,MIN($BB35,EOMONTH(CG$3,0))-MAX($BA35,CG$3)+1)/($BB35-$BA35+1),SUMPRODUCT((YEAR($AC$2:$AX$2)=YEAR(CG$3))*(MONTH($AC$2:$AX$2)=MONTH(CG$3))*$AC35:$AX35))</f>
        <v>0</v>
      </c>
      <c r="CH35" s="164" t="n">
        <f aca="false">IF(AND($BA35&gt;0,$BB35&gt;=$BA35),$AA35*MAX(0,MIN($BB35,EOMONTH(CH$3,0))-MAX($BA35,CH$3)+1)/($BB35-$BA35+1),SUMPRODUCT((YEAR($AC$2:$AX$2)=YEAR(CH$3))*(MONTH($AC$2:$AX$2)=MONTH(CH$3))*$AC35:$AX35))</f>
        <v>0</v>
      </c>
      <c r="CI35" s="164" t="n">
        <f aca="false">IF(AND($BA35&gt;0,$BB35&gt;=$BA35),$AA35*MAX(0,MIN($BB35,EOMONTH(CI$3,0))-MAX($BA35,CI$3)+1)/($BB35-$BA35+1),SUMPRODUCT((YEAR($AC$2:$AX$2)=YEAR(CI$3))*(MONTH($AC$2:$AX$2)=MONTH(CI$3))*$AC35:$AX35))</f>
        <v>0</v>
      </c>
      <c r="CJ35" s="164" t="n">
        <f aca="false">IF(AND($BA35&gt;0,$BB35&gt;=$BA35),$AA35*MAX(0,MIN($BB35,EOMONTH(CJ$3,0))-MAX($BA35,CJ$3)+1)/($BB35-$BA35+1),SUMPRODUCT((YEAR($AC$2:$AX$2)=YEAR(CJ$3))*(MONTH($AC$2:$AX$2)=MONTH(CJ$3))*$AC35:$AX35))</f>
        <v>0</v>
      </c>
      <c r="CK35" s="164" t="n">
        <f aca="false">IF(AND($BA35&gt;0,$BB35&gt;=$BA35),$AA35*MAX(0,MIN($BB35,EOMONTH(CK$3,0))-MAX($BA35,CK$3)+1)/($BB35-$BA35+1),SUMPRODUCT((YEAR($AC$2:$AX$2)=YEAR(CK$3))*(MONTH($AC$2:$AX$2)=MONTH(CK$3))*$AC35:$AX35))</f>
        <v>0</v>
      </c>
      <c r="CL35" s="164" t="n">
        <f aca="false">IF(AND($BA35&gt;0,$BB35&gt;=$BA35),$AA35*MAX(0,MIN($BB35,EOMONTH(CL$3,0))-MAX($BA35,CL$3)+1)/($BB35-$BA35+1),SUMPRODUCT((YEAR($AC$2:$AX$2)=YEAR(CL$3))*(MONTH($AC$2:$AX$2)=MONTH(CL$3))*$AC35:$AX35))</f>
        <v>0</v>
      </c>
      <c r="CM35" s="164" t="n">
        <f aca="false">IF(AND($BA35&gt;0,$BB35&gt;=$BA35),$AA35*MAX(0,MIN($BB35,EOMONTH(CM$3,0))-MAX($BA35,CM$3)+1)/($BB35-$BA35+1),SUMPRODUCT((YEAR($AC$2:$AX$2)=YEAR(CM$3))*(MONTH($AC$2:$AX$2)=MONTH(CM$3))*$AC35:$AX35))</f>
        <v>0</v>
      </c>
      <c r="CN35" s="164" t="n">
        <f aca="false">IF(AND($BA35&gt;0,$BB35&gt;=$BA35),$AA35*MAX(0,MIN($BB35,EOMONTH(CN$3,0))-MAX($BA35,CN$3)+1)/($BB35-$BA35+1),SUMPRODUCT((YEAR($AC$2:$AX$2)=YEAR(CN$3))*(MONTH($AC$2:$AX$2)=MONTH(CN$3))*$AC35:$AX35))</f>
        <v>0</v>
      </c>
      <c r="CO35" s="164" t="n">
        <f aca="false">IF(AND($BA35&gt;0,$BB35&gt;=$BA35),$AA35*MAX(0,MIN($BB35,EOMONTH(CO$3,0))-MAX($BA35,CO$3)+1)/($BB35-$BA35+1),SUMPRODUCT((YEAR($AC$2:$AX$2)=YEAR(CO$3))*(MONTH($AC$2:$AX$2)=MONTH(CO$3))*$AC35:$AX35))</f>
        <v>0</v>
      </c>
      <c r="CP35" s="164" t="n">
        <f aca="false">IF(AND($BA35&gt;0,$BB35&gt;=$BA35),$AA35*MAX(0,MIN($BB35,EOMONTH(CP$3,0))-MAX($BA35,CP$3)+1)/($BB35-$BA35+1),SUMPRODUCT((YEAR($AC$2:$AX$2)=YEAR(CP$3))*(MONTH($AC$2:$AX$2)=MONTH(CP$3))*$AC35:$AX35))</f>
        <v>0</v>
      </c>
      <c r="CQ35" s="164" t="n">
        <f aca="false">IF(AND($BA35&gt;0,$BB35&gt;=$BA35),$AA35*MAX(0,MIN($BB35,EOMONTH(CQ$3,0))-MAX($BA35,CQ$3)+1)/($BB35-$BA35+1),SUMPRODUCT((YEAR($AC$2:$AX$2)=YEAR(CQ$3))*(MONTH($AC$2:$AX$2)=MONTH(CQ$3))*$AC35:$AX35))</f>
        <v>0</v>
      </c>
      <c r="CR35" s="164" t="n">
        <f aca="false">IF(AND($BA35&gt;0,$BB35&gt;=$BA35),$AA35*MAX(0,MIN($BB35,EOMONTH(CR$3,0))-MAX($BA35,CR$3)+1)/($BB35-$BA35+1),SUMPRODUCT((YEAR($AC$2:$AX$2)=YEAR(CR$3))*(MONTH($AC$2:$AX$2)=MONTH(CR$3))*$AC35:$AX35))</f>
        <v>0</v>
      </c>
      <c r="CS35" s="164" t="n">
        <f aca="false">IF(AND($BA35&gt;0,$BB35&gt;=$BA35),$AA35*MAX(0,MIN($BB35,EOMONTH(CS$3,0))-MAX($BA35,CS$3)+1)/($BB35-$BA35+1),SUMPRODUCT((YEAR($AC$2:$AX$2)=YEAR(CS$3))*(MONTH($AC$2:$AX$2)=MONTH(CS$3))*$AC35:$AX35))</f>
        <v>0</v>
      </c>
      <c r="CT35" s="164" t="n">
        <f aca="false">IF(AND($BA35&gt;0,$BB35&gt;=$BA35),$AA35*MAX(0,MIN($BB35,EOMONTH(CT$3,0))-MAX($BA35,CT$3)+1)/($BB35-$BA35+1),SUMPRODUCT((YEAR($AC$2:$AX$2)=YEAR(CT$3))*(MONTH($AC$2:$AX$2)=MONTH(CT$3))*$AC35:$AX35))</f>
        <v>0</v>
      </c>
      <c r="CU35" s="164" t="n">
        <f aca="false">IF(AND($BA35&gt;0,$BB35&gt;=$BA35),$AA35*MAX(0,MIN($BB35,EOMONTH(CU$3,0))-MAX($BA35,CU$3)+1)/($BB35-$BA35+1),SUMPRODUCT((YEAR($AC$2:$AX$2)=YEAR(CU$3))*(MONTH($AC$2:$AX$2)=MONTH(CU$3))*$AC35:$AX35))</f>
        <v>0</v>
      </c>
      <c r="CV35" s="164" t="n">
        <f aca="false">IF(AND($BA35&gt;0,$BB35&gt;=$BA35),$AA35*MAX(0,MIN($BB35,EOMONTH(CV$3,0))-MAX($BA35,CV$3)+1)/($BB35-$BA35+1),SUMPRODUCT((YEAR($AC$2:$AX$2)=YEAR(CV$3))*(MONTH($AC$2:$AX$2)=MONTH(CV$3))*$AC35:$AX35))</f>
        <v>0</v>
      </c>
      <c r="CW35" s="164" t="n">
        <f aca="false">IF(AND($BA35&gt;0,$BB35&gt;=$BA35),$AA35*MAX(0,MIN($BB35,EOMONTH(CW$3,0))-MAX($BA35,CW$3)+1)/($BB35-$BA35+1),SUMPRODUCT((YEAR($AC$2:$AX$2)=YEAR(CW$3))*(MONTH($AC$2:$AX$2)=MONTH(CW$3))*$AC35:$AX35))</f>
        <v>0</v>
      </c>
      <c r="CX35" s="164" t="n">
        <f aca="false">IF(AND($BA35&gt;0,$BB35&gt;=$BA35),$AA35*MAX(0,MIN($BB35,EOMONTH(CX$3,0))-MAX($BA35,CX$3)+1)/($BB35-$BA35+1),SUMPRODUCT((YEAR($AC$2:$AX$2)=YEAR(CX$3))*(MONTH($AC$2:$AX$2)=MONTH(CX$3))*$AC35:$AX35))</f>
        <v>0</v>
      </c>
      <c r="CY35" s="164" t="n">
        <f aca="false">IF(AND($BA35&gt;0,$BB35&gt;=$BA35),$AA35*MAX(0,MIN($BB35,EOMONTH(CY$3,0))-MAX($BA35,CY$3)+1)/($BB35-$BA35+1),SUMPRODUCT((YEAR($AC$2:$AX$2)=YEAR(CY$3))*(MONTH($AC$2:$AX$2)=MONTH(CY$3))*$AC35:$AX35))</f>
        <v>0</v>
      </c>
      <c r="CZ35" s="164" t="n">
        <f aca="false">IF(AND($BA35&gt;0,$BB35&gt;=$BA35),$AA35*MAX(0,MIN($BB35,EOMONTH(CZ$3,0))-MAX($BA35,CZ$3)+1)/($BB35-$BA35+1),SUMPRODUCT((YEAR($AC$2:$AX$2)=YEAR(CZ$3))*(MONTH($AC$2:$AX$2)=MONTH(CZ$3))*$AC35:$AX35))</f>
        <v>0</v>
      </c>
      <c r="DA35" s="164" t="n">
        <f aca="false">IF(AND($BA35&gt;0,$BB35&gt;=$BA35),$AA35*MAX(0,MIN($BB35,EOMONTH(DA$3,0))-MAX($BA35,DA$3)+1)/($BB35-$BA35+1),SUMPRODUCT((YEAR($AC$2:$AX$2)=YEAR(DA$3))*(MONTH($AC$2:$AX$2)=MONTH(DA$3))*$AC35:$AX35))</f>
        <v>0</v>
      </c>
      <c r="DB35" s="164" t="n">
        <f aca="false">IF(AND($BA35&gt;0,$BB35&gt;=$BA35),$AA35*MAX(0,MIN($BB35,EOMONTH(DB$3,0))-MAX($BA35,DB$3)+1)/($BB35-$BA35+1),SUMPRODUCT((YEAR($AC$2:$AX$2)=YEAR(DB$3))*(MONTH($AC$2:$AX$2)=MONTH(DB$3))*$AC35:$AX35))</f>
        <v>0</v>
      </c>
      <c r="DC35" s="164" t="n">
        <f aca="false">IF(AND($BA35&gt;0,$BB35&gt;=$BA35),$AA35*MAX(0,MIN($BB35,EOMONTH(DC$3,0))-MAX($BA35,DC$3)+1)/($BB35-$BA35+1),SUMPRODUCT((YEAR($AC$2:$AX$2)=YEAR(DC$3))*(MONTH($AC$2:$AX$2)=MONTH(DC$3))*$AC35:$AX35))</f>
        <v>0</v>
      </c>
      <c r="DD35" s="164" t="n">
        <f aca="false">IF(AND($BA35&gt;0,$BB35&gt;=$BA35),$AA35*MAX(0,MIN($BB35,EOMONTH(DD$3,0))-MAX($BA35,DD$3)+1)/($BB35-$BA35+1),SUMPRODUCT((YEAR($AC$2:$AX$2)=YEAR(DD$3))*(MONTH($AC$2:$AX$2)=MONTH(DD$3))*$AC35:$AX35))</f>
        <v>0</v>
      </c>
      <c r="DE35" s="164" t="n">
        <f aca="false">IF(AND($BA35&gt;0,$BB35&gt;=$BA35),$AA35*MAX(0,MIN($BB35,EOMONTH(DE$3,0))-MAX($BA35,DE$3)+1)/($BB35-$BA35+1),SUMPRODUCT((YEAR($AC$2:$AX$2)=YEAR(DE$3))*(MONTH($AC$2:$AX$2)=MONTH(DE$3))*$AC35:$AX35))</f>
        <v>0</v>
      </c>
      <c r="DF35" s="164" t="n">
        <f aca="false">IF(AND($BA35&gt;0,$BB35&gt;=$BA35),$AA35*MAX(0,MIN($BB35,EOMONTH(DF$3,0))-MAX($BA35,DF$3)+1)/($BB35-$BA35+1),SUMPRODUCT((YEAR($AC$2:$AX$2)=YEAR(DF$3))*(MONTH($AC$2:$AX$2)=MONTH(DF$3))*$AC35:$AX35))</f>
        <v>0</v>
      </c>
      <c r="DG35" s="164" t="n">
        <f aca="false">IF(AND($BA35&gt;0,$BB35&gt;=$BA35),$AA35*MAX(0,MIN($BB35,EOMONTH(DG$3,0))-MAX($BA35,DG$3)+1)/($BB35-$BA35+1),SUMPRODUCT((YEAR($AC$2:$AX$2)=YEAR(DG$3))*(MONTH($AC$2:$AX$2)=MONTH(DG$3))*$AC35:$AX35))</f>
        <v>0</v>
      </c>
      <c r="DH35" s="164" t="n">
        <f aca="false">IF(AND($BA35&gt;0,$BB35&gt;=$BA35),$AA35*MAX(0,MIN($BB35,EOMONTH(DH$3,0))-MAX($BA35,DH$3)+1)/($BB35-$BA35+1),SUMPRODUCT((YEAR($AC$2:$AX$2)=YEAR(DH$3))*(MONTH($AC$2:$AX$2)=MONTH(DH$3))*$AC35:$AX35))</f>
        <v>0</v>
      </c>
      <c r="DI35" s="164" t="n">
        <f aca="false">IF(AND($BA35&gt;0,$BB35&gt;=$BA35),$AA35*MAX(0,MIN($BB35,EOMONTH(DI$3,0))-MAX($BA35,DI$3)+1)/($BB35-$BA35+1),SUMPRODUCT((YEAR($AC$2:$AX$2)=YEAR(DI$3))*(MONTH($AC$2:$AX$2)=MONTH(DI$3))*$AC35:$AX35))</f>
        <v>0</v>
      </c>
      <c r="DJ35" s="164" t="n">
        <f aca="false">IF(AND($BA35&gt;0,$BB35&gt;=$BA35),$AA35*MAX(0,MIN($BB35,EOMONTH(DJ$3,0))-MAX($BA35,DJ$3)+1)/($BB35-$BA35+1),SUMPRODUCT((YEAR($AC$2:$AX$2)=YEAR(DJ$3))*(MONTH($AC$2:$AX$2)=MONTH(DJ$3))*$AC35:$AX35))</f>
        <v>0</v>
      </c>
      <c r="DK35" s="164" t="n">
        <f aca="false">IF(AND($BA35&gt;0,$BB35&gt;=$BA35),$AA35*MAX(0,MIN($BB35,EOMONTH(DK$3,0))-MAX($BA35,DK$3)+1)/($BB35-$BA35+1),SUMPRODUCT((YEAR($AC$2:$AX$2)=YEAR(DK$3))*(MONTH($AC$2:$AX$2)=MONTH(DK$3))*$AC35:$AX35))</f>
        <v>0</v>
      </c>
      <c r="DL35" s="164" t="n">
        <f aca="false">IF(AND($BA35&gt;0,$BB35&gt;=$BA35),$AA35*MAX(0,MIN($BB35,EOMONTH(DL$3,0))-MAX($BA35,DL$3)+1)/($BB35-$BA35+1),SUMPRODUCT((YEAR($AC$2:$AX$2)=YEAR(DL$3))*(MONTH($AC$2:$AX$2)=MONTH(DL$3))*$AC35:$AX35))</f>
        <v>0</v>
      </c>
      <c r="DM35" s="164" t="n">
        <f aca="false">IF(AND($BA35&gt;0,$BB35&gt;=$BA35),$AA35*MAX(0,MIN($BB35,EOMONTH(DM$3,0))-MAX($BA35,DM$3)+1)/($BB35-$BA35+1),SUMPRODUCT((YEAR($AC$2:$AX$2)=YEAR(DM$3))*(MONTH($AC$2:$AX$2)=MONTH(DM$3))*$AC35:$AX35))</f>
        <v>0</v>
      </c>
      <c r="DN35" s="164" t="n">
        <f aca="false">IF(AND($BA35&gt;0,$BB35&gt;=$BA35),$AA35*MAX(0,MIN($BB35,EOMONTH(DN$3,0))-MAX($BA35,DN$3)+1)/($BB35-$BA35+1),SUMPRODUCT((YEAR($AC$2:$AX$2)=YEAR(DN$3))*(MONTH($AC$2:$AX$2)=MONTH(DN$3))*$AC35:$AX35))</f>
        <v>0</v>
      </c>
      <c r="DO35" s="164" t="n">
        <f aca="false">IF(AND($BA35&gt;0,$BB35&gt;=$BA35),$AA35*MAX(0,MIN($BB35,EOMONTH(DO$3,0))-MAX($BA35,DO$3)+1)/($BB35-$BA35+1),SUMPRODUCT((YEAR($AC$2:$AX$2)=YEAR(DO$3))*(MONTH($AC$2:$AX$2)=MONTH(DO$3))*$AC35:$AX35))</f>
        <v>0</v>
      </c>
      <c r="DP35" s="164" t="n">
        <f aca="false">IF(AND($BA35&gt;0,$BB35&gt;=$BA35),$AA35*MAX(0,MIN($BB35,EOMONTH(DP$3,0))-MAX($BA35,DP$3)+1)/($BB35-$BA35+1),SUMPRODUCT((YEAR($AC$2:$AX$2)=YEAR(DP$3))*(MONTH($AC$2:$AX$2)=MONTH(DP$3))*$AC35:$AX35))</f>
        <v>0</v>
      </c>
      <c r="DQ35" s="164" t="n">
        <f aca="false">IF(AND($BA35&gt;0,$BB35&gt;=$BA35),$AA35*MAX(0,MIN($BB35,EOMONTH(DQ$3,0))-MAX($BA35,DQ$3)+1)/($BB35-$BA35+1),SUMPRODUCT((YEAR($AC$2:$AX$2)=YEAR(DQ$3))*(MONTH($AC$2:$AX$2)=MONTH(DQ$3))*$AC35:$AX35))</f>
        <v>0</v>
      </c>
      <c r="DR35" s="164" t="n">
        <f aca="false">IF(AND($BA35&gt;0,$BB35&gt;=$BA35),$AA35*MAX(0,MIN($BB35,EOMONTH(DR$3,0))-MAX($BA35,DR$3)+1)/($BB35-$BA35+1),SUMPRODUCT((YEAR($AC$2:$AX$2)=YEAR(DR$3))*(MONTH($AC$2:$AX$2)=MONTH(DR$3))*$AC35:$AX35))</f>
        <v>0</v>
      </c>
      <c r="DS35" s="164" t="n">
        <f aca="false">IF(AND($BA35&gt;0,$BB35&gt;=$BA35),$AA35*MAX(0,MIN($BB35,EOMONTH(DS$3,0))-MAX($BA35,DS$3)+1)/($BB35-$BA35+1),SUMPRODUCT((YEAR($AC$2:$AX$2)=YEAR(DS$3))*(MONTH($AC$2:$AX$2)=MONTH(DS$3))*$AC35:$AX35))</f>
        <v>0</v>
      </c>
      <c r="DT35" s="164" t="n">
        <f aca="false">IF(AND($BA35&gt;0,$BB35&gt;=$BA35),$AA35*MAX(0,MIN($BB35,EOMONTH(DT$3,0))-MAX($BA35,DT$3)+1)/($BB35-$BA35+1),SUMPRODUCT((YEAR($AC$2:$AX$2)=YEAR(DT$3))*(MONTH($AC$2:$AX$2)=MONTH(DT$3))*$AC35:$AX35))</f>
        <v>0</v>
      </c>
      <c r="DU35" s="164" t="n">
        <f aca="false">IF(AND($BA35&gt;0,$BB35&gt;=$BA35),$AA35*MAX(0,MIN($BB35,EOMONTH(DU$3,0))-MAX($BA35,DU$3)+1)/($BB35-$BA35+1),SUMPRODUCT((YEAR($AC$2:$AX$2)=YEAR(DU$3))*(MONTH($AC$2:$AX$2)=MONTH(DU$3))*$AC35:$AX35))</f>
        <v>0</v>
      </c>
      <c r="DV35" s="164" t="n">
        <f aca="false">IF(AND($BA35&gt;0,$BB35&gt;=$BA35),$AA35*MAX(0,MIN($BB35,EOMONTH(DV$3,0))-MAX($BA35,DV$3)+1)/($BB35-$BA35+1),SUMPRODUCT((YEAR($AC$2:$AX$2)=YEAR(DV$3))*(MONTH($AC$2:$AX$2)=MONTH(DV$3))*$AC35:$AX35))</f>
        <v>0</v>
      </c>
      <c r="DW35" s="164" t="n">
        <f aca="false">IF(AND($BA35&gt;0,$BB35&gt;=$BA35),$AA35*MAX(0,MIN($BB35,EOMONTH(DW$3,0))-MAX($BA35,DW$3)+1)/($BB35-$BA35+1),SUMPRODUCT((YEAR($AC$2:$AX$2)=YEAR(DW$3))*(MONTH($AC$2:$AX$2)=MONTH(DW$3))*$AC35:$AX35))</f>
        <v>0</v>
      </c>
    </row>
    <row r="36" customFormat="false" ht="15" hidden="false" customHeight="false" outlineLevel="0" collapsed="false">
      <c r="H36" s="151" t="s">
        <v>2994</v>
      </c>
      <c r="J36" s="152" t="n">
        <v>1832.3226</v>
      </c>
      <c r="K36" s="152" t="n">
        <v>601.8</v>
      </c>
      <c r="L36" s="152" t="n">
        <v>2283.92524872</v>
      </c>
      <c r="M36" s="152" t="n">
        <v>2080.60795356</v>
      </c>
      <c r="N36" s="152" t="n">
        <v>8420</v>
      </c>
      <c r="O36" s="152" t="n">
        <v>63866</v>
      </c>
      <c r="Q36" s="152" t="n">
        <v>1832.3226</v>
      </c>
      <c r="S36" s="149" t="n">
        <f aca="false">K36*($C$61+$C$57)</f>
        <v>435913.83</v>
      </c>
      <c r="T36" s="149" t="n">
        <f aca="false">L36*$C$47</f>
        <v>283206.73084128</v>
      </c>
      <c r="U36" s="149" t="n">
        <f aca="false">M36*$C$48</f>
        <v>305849.36917332</v>
      </c>
      <c r="V36" s="149" t="n">
        <f aca="false">O36*($C$54)</f>
        <v>351901.66</v>
      </c>
      <c r="W36" s="149" t="n">
        <f aca="false">O36*($C$49)</f>
        <v>166051.6</v>
      </c>
      <c r="X36" s="149" t="n">
        <f aca="false">N36*$C$60</f>
        <v>206296.811442431</v>
      </c>
      <c r="Y36" s="149" t="n">
        <f aca="false">SUM(P36:Q36)*($C$51+$C$52)</f>
        <v>29270.4373737</v>
      </c>
      <c r="AA36" s="149" t="n">
        <f aca="false">SUM(S36:Y36)</f>
        <v>1778490.43883073</v>
      </c>
      <c r="AF36" s="149" t="n">
        <f aca="false">(AA36*(1-$AG$49))*0.2</f>
        <v>327242.240744855</v>
      </c>
      <c r="AG36" s="149" t="n">
        <f aca="false">((AA36*(1-$AG$49))*0.8)-AH36</f>
        <v>1049018.96297942</v>
      </c>
      <c r="AH36" s="149" t="n">
        <f aca="false">519900/2</f>
        <v>259950</v>
      </c>
      <c r="AN36" s="149" t="n">
        <f aca="false">AA36*($AG$49)</f>
        <v>142279.235106459</v>
      </c>
      <c r="AZ36" s="162" t="s">
        <v>2784</v>
      </c>
      <c r="BA36" s="163" t="n">
        <f aca="false">IF(AZ36="",0,SUMPRODUCT(('CRONOGRAMA ATIVIDADES'!$C$5:$C$6004="ESTRUTURA")*('CRONOGRAMA ATIVIDADES'!$E$5:$E$6004=AZ36)*('CRONOGRAMA ATIVIDADES'!$D$5:$D$6004="-")*'CRONOGRAMA ATIVIDADES'!$F$5:$F$6004))</f>
        <v>46259</v>
      </c>
      <c r="BB36" s="163" t="n">
        <f aca="false">IF(AZ36="",0,SUMPRODUCT(('CRONOGRAMA ATIVIDADES'!$C$5:$C$6004="ESTRUTURA")*('CRONOGRAMA ATIVIDADES'!$E$5:$E$6004=AZ36)*('CRONOGRAMA ATIVIDADES'!$D$5:$D$6004="-")*'CRONOGRAMA ATIVIDADES'!$G$5:$G$6004))</f>
        <v>46293</v>
      </c>
      <c r="BD36" s="164" t="n">
        <f aca="false">IF(AND($BA36&gt;0,$BB36&gt;=$BA36),$AA36*MAX(0,MIN($BB36,EOMONTH(BD$3,0))-MAX($BA36,BD$3)+1)/($BB36-$BA36+1),SUMPRODUCT((YEAR($AC$2:$AX$2)=YEAR(BD$3))*(MONTH($AC$2:$AX$2)=MONTH(BD$3))*$AC36:$AX36))</f>
        <v>0</v>
      </c>
      <c r="BE36" s="164" t="n">
        <f aca="false">IF(AND($BA36&gt;0,$BB36&gt;=$BA36),$AA36*MAX(0,MIN($BB36,EOMONTH(BE$3,0))-MAX($BA36,BE$3)+1)/($BB36-$BA36+1),SUMPRODUCT((YEAR($AC$2:$AX$2)=YEAR(BE$3))*(MONTH($AC$2:$AX$2)=MONTH(BE$3))*$AC36:$AX36))</f>
        <v>0</v>
      </c>
      <c r="BF36" s="164" t="n">
        <f aca="false">IF(AND($BA36&gt;0,$BB36&gt;=$BA36),$AA36*MAX(0,MIN($BB36,EOMONTH(BF$3,0))-MAX($BA36,BF$3)+1)/($BB36-$BA36+1),SUMPRODUCT((YEAR($AC$2:$AX$2)=YEAR(BF$3))*(MONTH($AC$2:$AX$2)=MONTH(BF$3))*$AC36:$AX36))</f>
        <v>0</v>
      </c>
      <c r="BG36" s="164" t="n">
        <f aca="false">IF(AND($BA36&gt;0,$BB36&gt;=$BA36),$AA36*MAX(0,MIN($BB36,EOMONTH(BG$3,0))-MAX($BA36,BG$3)+1)/($BB36-$BA36+1),SUMPRODUCT((YEAR($AC$2:$AX$2)=YEAR(BG$3))*(MONTH($AC$2:$AX$2)=MONTH(BG$3))*$AC36:$AX36))</f>
        <v>0</v>
      </c>
      <c r="BH36" s="164" t="n">
        <f aca="false">IF(AND($BA36&gt;0,$BB36&gt;=$BA36),$AA36*MAX(0,MIN($BB36,EOMONTH(BH$3,0))-MAX($BA36,BH$3)+1)/($BB36-$BA36+1),SUMPRODUCT((YEAR($AC$2:$AX$2)=YEAR(BH$3))*(MONTH($AC$2:$AX$2)=MONTH(BH$3))*$AC36:$AX36))</f>
        <v>0</v>
      </c>
      <c r="BI36" s="164" t="n">
        <f aca="false">IF(AND($BA36&gt;0,$BB36&gt;=$BA36),$AA36*MAX(0,MIN($BB36,EOMONTH(BI$3,0))-MAX($BA36,BI$3)+1)/($BB36-$BA36+1),SUMPRODUCT((YEAR($AC$2:$AX$2)=YEAR(BI$3))*(MONTH($AC$2:$AX$2)=MONTH(BI$3))*$AC36:$AX36))</f>
        <v>0</v>
      </c>
      <c r="BJ36" s="164" t="n">
        <f aca="false">IF(AND($BA36&gt;0,$BB36&gt;=$BA36),$AA36*MAX(0,MIN($BB36,EOMONTH(BJ$3,0))-MAX($BA36,BJ$3)+1)/($BB36-$BA36+1),SUMPRODUCT((YEAR($AC$2:$AX$2)=YEAR(BJ$3))*(MONTH($AC$2:$AX$2)=MONTH(BJ$3))*$AC36:$AX36))</f>
        <v>0</v>
      </c>
      <c r="BK36" s="164" t="n">
        <f aca="false">IF(AND($BA36&gt;0,$BB36&gt;=$BA36),$AA36*MAX(0,MIN($BB36,EOMONTH(BK$3,0))-MAX($BA36,BK$3)+1)/($BB36-$BA36+1),SUMPRODUCT((YEAR($AC$2:$AX$2)=YEAR(BK$3))*(MONTH($AC$2:$AX$2)=MONTH(BK$3))*$AC36:$AX36))</f>
        <v>0</v>
      </c>
      <c r="BL36" s="164" t="n">
        <f aca="false">IF(AND($BA36&gt;0,$BB36&gt;=$BA36),$AA36*MAX(0,MIN($BB36,EOMONTH(BL$3,0))-MAX($BA36,BL$3)+1)/($BB36-$BA36+1),SUMPRODUCT((YEAR($AC$2:$AX$2)=YEAR(BL$3))*(MONTH($AC$2:$AX$2)=MONTH(BL$3))*$AC36:$AX36))</f>
        <v>0</v>
      </c>
      <c r="BM36" s="164" t="n">
        <f aca="false">IF(AND($BA36&gt;0,$BB36&gt;=$BA36),$AA36*MAX(0,MIN($BB36,EOMONTH(BM$3,0))-MAX($BA36,BM$3)+1)/($BB36-$BA36+1),SUMPRODUCT((YEAR($AC$2:$AX$2)=YEAR(BM$3))*(MONTH($AC$2:$AX$2)=MONTH(BM$3))*$AC36:$AX36))</f>
        <v>0</v>
      </c>
      <c r="BN36" s="164" t="n">
        <f aca="false">IF(AND($BA36&gt;0,$BB36&gt;=$BA36),$AA36*MAX(0,MIN($BB36,EOMONTH(BN$3,0))-MAX($BA36,BN$3)+1)/($BB36-$BA36+1),SUMPRODUCT((YEAR($AC$2:$AX$2)=YEAR(BN$3))*(MONTH($AC$2:$AX$2)=MONTH(BN$3))*$AC36:$AX36))</f>
        <v>0</v>
      </c>
      <c r="BO36" s="164" t="n">
        <f aca="false">IF(AND($BA36&gt;0,$BB36&gt;=$BA36),$AA36*MAX(0,MIN($BB36,EOMONTH(BO$3,0))-MAX($BA36,BO$3)+1)/($BB36-$BA36+1),SUMPRODUCT((YEAR($AC$2:$AX$2)=YEAR(BO$3))*(MONTH($AC$2:$AX$2)=MONTH(BO$3))*$AC36:$AX36))</f>
        <v>0</v>
      </c>
      <c r="BP36" s="164" t="n">
        <f aca="false">IF(AND($BA36&gt;0,$BB36&gt;=$BA36),$AA36*MAX(0,MIN($BB36,EOMONTH(BP$3,0))-MAX($BA36,BP$3)+1)/($BB36-$BA36+1),SUMPRODUCT((YEAR($AC$2:$AX$2)=YEAR(BP$3))*(MONTH($AC$2:$AX$2)=MONTH(BP$3))*$AC36:$AX36))</f>
        <v>0</v>
      </c>
      <c r="BQ36" s="164" t="n">
        <f aca="false">IF(AND($BA36&gt;0,$BB36&gt;=$BA36),$AA36*MAX(0,MIN($BB36,EOMONTH(BQ$3,0))-MAX($BA36,BQ$3)+1)/($BB36-$BA36+1),SUMPRODUCT((YEAR($AC$2:$AX$2)=YEAR(BQ$3))*(MONTH($AC$2:$AX$2)=MONTH(BQ$3))*$AC36:$AX36))</f>
        <v>0</v>
      </c>
      <c r="BR36" s="164" t="n">
        <f aca="false">IF(AND($BA36&gt;0,$BB36&gt;=$BA36),$AA36*MAX(0,MIN($BB36,EOMONTH(BR$3,0))-MAX($BA36,BR$3)+1)/($BB36-$BA36+1),SUMPRODUCT((YEAR($AC$2:$AX$2)=YEAR(BR$3))*(MONTH($AC$2:$AX$2)=MONTH(BR$3))*$AC36:$AX36))</f>
        <v>0</v>
      </c>
      <c r="BS36" s="164" t="n">
        <f aca="false">IF(AND($BA36&gt;0,$BB36&gt;=$BA36),$AA36*MAX(0,MIN($BB36,EOMONTH(BS$3,0))-MAX($BA36,BS$3)+1)/($BB36-$BA36+1),SUMPRODUCT((YEAR($AC$2:$AX$2)=YEAR(BS$3))*(MONTH($AC$2:$AX$2)=MONTH(BS$3))*$AC36:$AX36))</f>
        <v>0</v>
      </c>
      <c r="BT36" s="164" t="n">
        <f aca="false">IF(AND($BA36&gt;0,$BB36&gt;=$BA36),$AA36*MAX(0,MIN($BB36,EOMONTH(BT$3,0))-MAX($BA36,BT$3)+1)/($BB36-$BA36+1),SUMPRODUCT((YEAR($AC$2:$AX$2)=YEAR(BT$3))*(MONTH($AC$2:$AX$2)=MONTH(BT$3))*$AC36:$AX36))</f>
        <v>0</v>
      </c>
      <c r="BU36" s="164" t="n">
        <f aca="false">IF(AND($BA36&gt;0,$BB36&gt;=$BA36),$AA36*MAX(0,MIN($BB36,EOMONTH(BU$3,0))-MAX($BA36,BU$3)+1)/($BB36-$BA36+1),SUMPRODUCT((YEAR($AC$2:$AX$2)=YEAR(BU$3))*(MONTH($AC$2:$AX$2)=MONTH(BU$3))*$AC36:$AX36))</f>
        <v>0</v>
      </c>
      <c r="BV36" s="164" t="n">
        <f aca="false">IF(AND($BA36&gt;0,$BB36&gt;=$BA36),$AA36*MAX(0,MIN($BB36,EOMONTH(BV$3,0))-MAX($BA36,BV$3)+1)/($BB36-$BA36+1),SUMPRODUCT((YEAR($AC$2:$AX$2)=YEAR(BV$3))*(MONTH($AC$2:$AX$2)=MONTH(BV$3))*$AC36:$AX36))</f>
        <v>0</v>
      </c>
      <c r="BW36" s="164" t="n">
        <f aca="false">IF(AND($BA36&gt;0,$BB36&gt;=$BA36),$AA36*MAX(0,MIN($BB36,EOMONTH(BW$3,0))-MAX($BA36,BW$3)+1)/($BB36-$BA36+1),SUMPRODUCT((YEAR($AC$2:$AX$2)=YEAR(BW$3))*(MONTH($AC$2:$AX$2)=MONTH(BW$3))*$AC36:$AX36))</f>
        <v>0</v>
      </c>
      <c r="BX36" s="164" t="n">
        <f aca="false">IF(AND($BA36&gt;0,$BB36&gt;=$BA36),$AA36*MAX(0,MIN($BB36,EOMONTH(BX$3,0))-MAX($BA36,BX$3)+1)/($BB36-$BA36+1),SUMPRODUCT((YEAR($AC$2:$AX$2)=YEAR(BX$3))*(MONTH($AC$2:$AX$2)=MONTH(BX$3))*$AC36:$AX36))</f>
        <v>355698.087766146</v>
      </c>
      <c r="BY36" s="164" t="n">
        <f aca="false">IF(AND($BA36&gt;0,$BB36&gt;=$BA36),$AA36*MAX(0,MIN($BB36,EOMONTH(BY$3,0))-MAX($BA36,BY$3)+1)/($BB36-$BA36+1),SUMPRODUCT((YEAR($AC$2:$AX$2)=YEAR(BY$3))*(MONTH($AC$2:$AX$2)=MONTH(BY$3))*$AC36:$AX36))</f>
        <v>1422792.35106459</v>
      </c>
      <c r="BZ36" s="164" t="n">
        <f aca="false">IF(AND($BA36&gt;0,$BB36&gt;=$BA36),$AA36*MAX(0,MIN($BB36,EOMONTH(BZ$3,0))-MAX($BA36,BZ$3)+1)/($BB36-$BA36+1),SUMPRODUCT((YEAR($AC$2:$AX$2)=YEAR(BZ$3))*(MONTH($AC$2:$AX$2)=MONTH(BZ$3))*$AC36:$AX36))</f>
        <v>0</v>
      </c>
      <c r="CA36" s="164" t="n">
        <f aca="false">IF(AND($BA36&gt;0,$BB36&gt;=$BA36),$AA36*MAX(0,MIN($BB36,EOMONTH(CA$3,0))-MAX($BA36,CA$3)+1)/($BB36-$BA36+1),SUMPRODUCT((YEAR($AC$2:$AX$2)=YEAR(CA$3))*(MONTH($AC$2:$AX$2)=MONTH(CA$3))*$AC36:$AX36))</f>
        <v>0</v>
      </c>
      <c r="CB36" s="164" t="n">
        <f aca="false">IF(AND($BA36&gt;0,$BB36&gt;=$BA36),$AA36*MAX(0,MIN($BB36,EOMONTH(CB$3,0))-MAX($BA36,CB$3)+1)/($BB36-$BA36+1),SUMPRODUCT((YEAR($AC$2:$AX$2)=YEAR(CB$3))*(MONTH($AC$2:$AX$2)=MONTH(CB$3))*$AC36:$AX36))</f>
        <v>0</v>
      </c>
      <c r="CC36" s="164" t="n">
        <f aca="false">IF(AND($BA36&gt;0,$BB36&gt;=$BA36),$AA36*MAX(0,MIN($BB36,EOMONTH(CC$3,0))-MAX($BA36,CC$3)+1)/($BB36-$BA36+1),SUMPRODUCT((YEAR($AC$2:$AX$2)=YEAR(CC$3))*(MONTH($AC$2:$AX$2)=MONTH(CC$3))*$AC36:$AX36))</f>
        <v>0</v>
      </c>
      <c r="CD36" s="164" t="n">
        <f aca="false">IF(AND($BA36&gt;0,$BB36&gt;=$BA36),$AA36*MAX(0,MIN($BB36,EOMONTH(CD$3,0))-MAX($BA36,CD$3)+1)/($BB36-$BA36+1),SUMPRODUCT((YEAR($AC$2:$AX$2)=YEAR(CD$3))*(MONTH($AC$2:$AX$2)=MONTH(CD$3))*$AC36:$AX36))</f>
        <v>0</v>
      </c>
      <c r="CE36" s="164" t="n">
        <f aca="false">IF(AND($BA36&gt;0,$BB36&gt;=$BA36),$AA36*MAX(0,MIN($BB36,EOMONTH(CE$3,0))-MAX($BA36,CE$3)+1)/($BB36-$BA36+1),SUMPRODUCT((YEAR($AC$2:$AX$2)=YEAR(CE$3))*(MONTH($AC$2:$AX$2)=MONTH(CE$3))*$AC36:$AX36))</f>
        <v>0</v>
      </c>
      <c r="CF36" s="164" t="n">
        <f aca="false">IF(AND($BA36&gt;0,$BB36&gt;=$BA36),$AA36*MAX(0,MIN($BB36,EOMONTH(CF$3,0))-MAX($BA36,CF$3)+1)/($BB36-$BA36+1),SUMPRODUCT((YEAR($AC$2:$AX$2)=YEAR(CF$3))*(MONTH($AC$2:$AX$2)=MONTH(CF$3))*$AC36:$AX36))</f>
        <v>0</v>
      </c>
      <c r="CG36" s="164" t="n">
        <f aca="false">IF(AND($BA36&gt;0,$BB36&gt;=$BA36),$AA36*MAX(0,MIN($BB36,EOMONTH(CG$3,0))-MAX($BA36,CG$3)+1)/($BB36-$BA36+1),SUMPRODUCT((YEAR($AC$2:$AX$2)=YEAR(CG$3))*(MONTH($AC$2:$AX$2)=MONTH(CG$3))*$AC36:$AX36))</f>
        <v>0</v>
      </c>
      <c r="CH36" s="164" t="n">
        <f aca="false">IF(AND($BA36&gt;0,$BB36&gt;=$BA36),$AA36*MAX(0,MIN($BB36,EOMONTH(CH$3,0))-MAX($BA36,CH$3)+1)/($BB36-$BA36+1),SUMPRODUCT((YEAR($AC$2:$AX$2)=YEAR(CH$3))*(MONTH($AC$2:$AX$2)=MONTH(CH$3))*$AC36:$AX36))</f>
        <v>0</v>
      </c>
      <c r="CI36" s="164" t="n">
        <f aca="false">IF(AND($BA36&gt;0,$BB36&gt;=$BA36),$AA36*MAX(0,MIN($BB36,EOMONTH(CI$3,0))-MAX($BA36,CI$3)+1)/($BB36-$BA36+1),SUMPRODUCT((YEAR($AC$2:$AX$2)=YEAR(CI$3))*(MONTH($AC$2:$AX$2)=MONTH(CI$3))*$AC36:$AX36))</f>
        <v>0</v>
      </c>
      <c r="CJ36" s="164" t="n">
        <f aca="false">IF(AND($BA36&gt;0,$BB36&gt;=$BA36),$AA36*MAX(0,MIN($BB36,EOMONTH(CJ$3,0))-MAX($BA36,CJ$3)+1)/($BB36-$BA36+1),SUMPRODUCT((YEAR($AC$2:$AX$2)=YEAR(CJ$3))*(MONTH($AC$2:$AX$2)=MONTH(CJ$3))*$AC36:$AX36))</f>
        <v>0</v>
      </c>
      <c r="CK36" s="164" t="n">
        <f aca="false">IF(AND($BA36&gt;0,$BB36&gt;=$BA36),$AA36*MAX(0,MIN($BB36,EOMONTH(CK$3,0))-MAX($BA36,CK$3)+1)/($BB36-$BA36+1),SUMPRODUCT((YEAR($AC$2:$AX$2)=YEAR(CK$3))*(MONTH($AC$2:$AX$2)=MONTH(CK$3))*$AC36:$AX36))</f>
        <v>0</v>
      </c>
      <c r="CL36" s="164" t="n">
        <f aca="false">IF(AND($BA36&gt;0,$BB36&gt;=$BA36),$AA36*MAX(0,MIN($BB36,EOMONTH(CL$3,0))-MAX($BA36,CL$3)+1)/($BB36-$BA36+1),SUMPRODUCT((YEAR($AC$2:$AX$2)=YEAR(CL$3))*(MONTH($AC$2:$AX$2)=MONTH(CL$3))*$AC36:$AX36))</f>
        <v>0</v>
      </c>
      <c r="CM36" s="164" t="n">
        <f aca="false">IF(AND($BA36&gt;0,$BB36&gt;=$BA36),$AA36*MAX(0,MIN($BB36,EOMONTH(CM$3,0))-MAX($BA36,CM$3)+1)/($BB36-$BA36+1),SUMPRODUCT((YEAR($AC$2:$AX$2)=YEAR(CM$3))*(MONTH($AC$2:$AX$2)=MONTH(CM$3))*$AC36:$AX36))</f>
        <v>0</v>
      </c>
      <c r="CN36" s="164" t="n">
        <f aca="false">IF(AND($BA36&gt;0,$BB36&gt;=$BA36),$AA36*MAX(0,MIN($BB36,EOMONTH(CN$3,0))-MAX($BA36,CN$3)+1)/($BB36-$BA36+1),SUMPRODUCT((YEAR($AC$2:$AX$2)=YEAR(CN$3))*(MONTH($AC$2:$AX$2)=MONTH(CN$3))*$AC36:$AX36))</f>
        <v>0</v>
      </c>
      <c r="CO36" s="164" t="n">
        <f aca="false">IF(AND($BA36&gt;0,$BB36&gt;=$BA36),$AA36*MAX(0,MIN($BB36,EOMONTH(CO$3,0))-MAX($BA36,CO$3)+1)/($BB36-$BA36+1),SUMPRODUCT((YEAR($AC$2:$AX$2)=YEAR(CO$3))*(MONTH($AC$2:$AX$2)=MONTH(CO$3))*$AC36:$AX36))</f>
        <v>0</v>
      </c>
      <c r="CP36" s="164" t="n">
        <f aca="false">IF(AND($BA36&gt;0,$BB36&gt;=$BA36),$AA36*MAX(0,MIN($BB36,EOMONTH(CP$3,0))-MAX($BA36,CP$3)+1)/($BB36-$BA36+1),SUMPRODUCT((YEAR($AC$2:$AX$2)=YEAR(CP$3))*(MONTH($AC$2:$AX$2)=MONTH(CP$3))*$AC36:$AX36))</f>
        <v>0</v>
      </c>
      <c r="CQ36" s="164" t="n">
        <f aca="false">IF(AND($BA36&gt;0,$BB36&gt;=$BA36),$AA36*MAX(0,MIN($BB36,EOMONTH(CQ$3,0))-MAX($BA36,CQ$3)+1)/($BB36-$BA36+1),SUMPRODUCT((YEAR($AC$2:$AX$2)=YEAR(CQ$3))*(MONTH($AC$2:$AX$2)=MONTH(CQ$3))*$AC36:$AX36))</f>
        <v>0</v>
      </c>
      <c r="CR36" s="164" t="n">
        <f aca="false">IF(AND($BA36&gt;0,$BB36&gt;=$BA36),$AA36*MAX(0,MIN($BB36,EOMONTH(CR$3,0))-MAX($BA36,CR$3)+1)/($BB36-$BA36+1),SUMPRODUCT((YEAR($AC$2:$AX$2)=YEAR(CR$3))*(MONTH($AC$2:$AX$2)=MONTH(CR$3))*$AC36:$AX36))</f>
        <v>0</v>
      </c>
      <c r="CS36" s="164" t="n">
        <f aca="false">IF(AND($BA36&gt;0,$BB36&gt;=$BA36),$AA36*MAX(0,MIN($BB36,EOMONTH(CS$3,0))-MAX($BA36,CS$3)+1)/($BB36-$BA36+1),SUMPRODUCT((YEAR($AC$2:$AX$2)=YEAR(CS$3))*(MONTH($AC$2:$AX$2)=MONTH(CS$3))*$AC36:$AX36))</f>
        <v>0</v>
      </c>
      <c r="CT36" s="164" t="n">
        <f aca="false">IF(AND($BA36&gt;0,$BB36&gt;=$BA36),$AA36*MAX(0,MIN($BB36,EOMONTH(CT$3,0))-MAX($BA36,CT$3)+1)/($BB36-$BA36+1),SUMPRODUCT((YEAR($AC$2:$AX$2)=YEAR(CT$3))*(MONTH($AC$2:$AX$2)=MONTH(CT$3))*$AC36:$AX36))</f>
        <v>0</v>
      </c>
      <c r="CU36" s="164" t="n">
        <f aca="false">IF(AND($BA36&gt;0,$BB36&gt;=$BA36),$AA36*MAX(0,MIN($BB36,EOMONTH(CU$3,0))-MAX($BA36,CU$3)+1)/($BB36-$BA36+1),SUMPRODUCT((YEAR($AC$2:$AX$2)=YEAR(CU$3))*(MONTH($AC$2:$AX$2)=MONTH(CU$3))*$AC36:$AX36))</f>
        <v>0</v>
      </c>
      <c r="CV36" s="164" t="n">
        <f aca="false">IF(AND($BA36&gt;0,$BB36&gt;=$BA36),$AA36*MAX(0,MIN($BB36,EOMONTH(CV$3,0))-MAX($BA36,CV$3)+1)/($BB36-$BA36+1),SUMPRODUCT((YEAR($AC$2:$AX$2)=YEAR(CV$3))*(MONTH($AC$2:$AX$2)=MONTH(CV$3))*$AC36:$AX36))</f>
        <v>0</v>
      </c>
      <c r="CW36" s="164" t="n">
        <f aca="false">IF(AND($BA36&gt;0,$BB36&gt;=$BA36),$AA36*MAX(0,MIN($BB36,EOMONTH(CW$3,0))-MAX($BA36,CW$3)+1)/($BB36-$BA36+1),SUMPRODUCT((YEAR($AC$2:$AX$2)=YEAR(CW$3))*(MONTH($AC$2:$AX$2)=MONTH(CW$3))*$AC36:$AX36))</f>
        <v>0</v>
      </c>
      <c r="CX36" s="164" t="n">
        <f aca="false">IF(AND($BA36&gt;0,$BB36&gt;=$BA36),$AA36*MAX(0,MIN($BB36,EOMONTH(CX$3,0))-MAX($BA36,CX$3)+1)/($BB36-$BA36+1),SUMPRODUCT((YEAR($AC$2:$AX$2)=YEAR(CX$3))*(MONTH($AC$2:$AX$2)=MONTH(CX$3))*$AC36:$AX36))</f>
        <v>0</v>
      </c>
      <c r="CY36" s="164" t="n">
        <f aca="false">IF(AND($BA36&gt;0,$BB36&gt;=$BA36),$AA36*MAX(0,MIN($BB36,EOMONTH(CY$3,0))-MAX($BA36,CY$3)+1)/($BB36-$BA36+1),SUMPRODUCT((YEAR($AC$2:$AX$2)=YEAR(CY$3))*(MONTH($AC$2:$AX$2)=MONTH(CY$3))*$AC36:$AX36))</f>
        <v>0</v>
      </c>
      <c r="CZ36" s="164" t="n">
        <f aca="false">IF(AND($BA36&gt;0,$BB36&gt;=$BA36),$AA36*MAX(0,MIN($BB36,EOMONTH(CZ$3,0))-MAX($BA36,CZ$3)+1)/($BB36-$BA36+1),SUMPRODUCT((YEAR($AC$2:$AX$2)=YEAR(CZ$3))*(MONTH($AC$2:$AX$2)=MONTH(CZ$3))*$AC36:$AX36))</f>
        <v>0</v>
      </c>
      <c r="DA36" s="164" t="n">
        <f aca="false">IF(AND($BA36&gt;0,$BB36&gt;=$BA36),$AA36*MAX(0,MIN($BB36,EOMONTH(DA$3,0))-MAX($BA36,DA$3)+1)/($BB36-$BA36+1),SUMPRODUCT((YEAR($AC$2:$AX$2)=YEAR(DA$3))*(MONTH($AC$2:$AX$2)=MONTH(DA$3))*$AC36:$AX36))</f>
        <v>0</v>
      </c>
      <c r="DB36" s="164" t="n">
        <f aca="false">IF(AND($BA36&gt;0,$BB36&gt;=$BA36),$AA36*MAX(0,MIN($BB36,EOMONTH(DB$3,0))-MAX($BA36,DB$3)+1)/($BB36-$BA36+1),SUMPRODUCT((YEAR($AC$2:$AX$2)=YEAR(DB$3))*(MONTH($AC$2:$AX$2)=MONTH(DB$3))*$AC36:$AX36))</f>
        <v>0</v>
      </c>
      <c r="DC36" s="164" t="n">
        <f aca="false">IF(AND($BA36&gt;0,$BB36&gt;=$BA36),$AA36*MAX(0,MIN($BB36,EOMONTH(DC$3,0))-MAX($BA36,DC$3)+1)/($BB36-$BA36+1),SUMPRODUCT((YEAR($AC$2:$AX$2)=YEAR(DC$3))*(MONTH($AC$2:$AX$2)=MONTH(DC$3))*$AC36:$AX36))</f>
        <v>0</v>
      </c>
      <c r="DD36" s="164" t="n">
        <f aca="false">IF(AND($BA36&gt;0,$BB36&gt;=$BA36),$AA36*MAX(0,MIN($BB36,EOMONTH(DD$3,0))-MAX($BA36,DD$3)+1)/($BB36-$BA36+1),SUMPRODUCT((YEAR($AC$2:$AX$2)=YEAR(DD$3))*(MONTH($AC$2:$AX$2)=MONTH(DD$3))*$AC36:$AX36))</f>
        <v>0</v>
      </c>
      <c r="DE36" s="164" t="n">
        <f aca="false">IF(AND($BA36&gt;0,$BB36&gt;=$BA36),$AA36*MAX(0,MIN($BB36,EOMONTH(DE$3,0))-MAX($BA36,DE$3)+1)/($BB36-$BA36+1),SUMPRODUCT((YEAR($AC$2:$AX$2)=YEAR(DE$3))*(MONTH($AC$2:$AX$2)=MONTH(DE$3))*$AC36:$AX36))</f>
        <v>0</v>
      </c>
      <c r="DF36" s="164" t="n">
        <f aca="false">IF(AND($BA36&gt;0,$BB36&gt;=$BA36),$AA36*MAX(0,MIN($BB36,EOMONTH(DF$3,0))-MAX($BA36,DF$3)+1)/($BB36-$BA36+1),SUMPRODUCT((YEAR($AC$2:$AX$2)=YEAR(DF$3))*(MONTH($AC$2:$AX$2)=MONTH(DF$3))*$AC36:$AX36))</f>
        <v>0</v>
      </c>
      <c r="DG36" s="164" t="n">
        <f aca="false">IF(AND($BA36&gt;0,$BB36&gt;=$BA36),$AA36*MAX(0,MIN($BB36,EOMONTH(DG$3,0))-MAX($BA36,DG$3)+1)/($BB36-$BA36+1),SUMPRODUCT((YEAR($AC$2:$AX$2)=YEAR(DG$3))*(MONTH($AC$2:$AX$2)=MONTH(DG$3))*$AC36:$AX36))</f>
        <v>0</v>
      </c>
      <c r="DH36" s="164" t="n">
        <f aca="false">IF(AND($BA36&gt;0,$BB36&gt;=$BA36),$AA36*MAX(0,MIN($BB36,EOMONTH(DH$3,0))-MAX($BA36,DH$3)+1)/($BB36-$BA36+1),SUMPRODUCT((YEAR($AC$2:$AX$2)=YEAR(DH$3))*(MONTH($AC$2:$AX$2)=MONTH(DH$3))*$AC36:$AX36))</f>
        <v>0</v>
      </c>
      <c r="DI36" s="164" t="n">
        <f aca="false">IF(AND($BA36&gt;0,$BB36&gt;=$BA36),$AA36*MAX(0,MIN($BB36,EOMONTH(DI$3,0))-MAX($BA36,DI$3)+1)/($BB36-$BA36+1),SUMPRODUCT((YEAR($AC$2:$AX$2)=YEAR(DI$3))*(MONTH($AC$2:$AX$2)=MONTH(DI$3))*$AC36:$AX36))</f>
        <v>0</v>
      </c>
      <c r="DJ36" s="164" t="n">
        <f aca="false">IF(AND($BA36&gt;0,$BB36&gt;=$BA36),$AA36*MAX(0,MIN($BB36,EOMONTH(DJ$3,0))-MAX($BA36,DJ$3)+1)/($BB36-$BA36+1),SUMPRODUCT((YEAR($AC$2:$AX$2)=YEAR(DJ$3))*(MONTH($AC$2:$AX$2)=MONTH(DJ$3))*$AC36:$AX36))</f>
        <v>0</v>
      </c>
      <c r="DK36" s="164" t="n">
        <f aca="false">IF(AND($BA36&gt;0,$BB36&gt;=$BA36),$AA36*MAX(0,MIN($BB36,EOMONTH(DK$3,0))-MAX($BA36,DK$3)+1)/($BB36-$BA36+1),SUMPRODUCT((YEAR($AC$2:$AX$2)=YEAR(DK$3))*(MONTH($AC$2:$AX$2)=MONTH(DK$3))*$AC36:$AX36))</f>
        <v>0</v>
      </c>
      <c r="DL36" s="164" t="n">
        <f aca="false">IF(AND($BA36&gt;0,$BB36&gt;=$BA36),$AA36*MAX(0,MIN($BB36,EOMONTH(DL$3,0))-MAX($BA36,DL$3)+1)/($BB36-$BA36+1),SUMPRODUCT((YEAR($AC$2:$AX$2)=YEAR(DL$3))*(MONTH($AC$2:$AX$2)=MONTH(DL$3))*$AC36:$AX36))</f>
        <v>0</v>
      </c>
      <c r="DM36" s="164" t="n">
        <f aca="false">IF(AND($BA36&gt;0,$BB36&gt;=$BA36),$AA36*MAX(0,MIN($BB36,EOMONTH(DM$3,0))-MAX($BA36,DM$3)+1)/($BB36-$BA36+1),SUMPRODUCT((YEAR($AC$2:$AX$2)=YEAR(DM$3))*(MONTH($AC$2:$AX$2)=MONTH(DM$3))*$AC36:$AX36))</f>
        <v>0</v>
      </c>
      <c r="DN36" s="164" t="n">
        <f aca="false">IF(AND($BA36&gt;0,$BB36&gt;=$BA36),$AA36*MAX(0,MIN($BB36,EOMONTH(DN$3,0))-MAX($BA36,DN$3)+1)/($BB36-$BA36+1),SUMPRODUCT((YEAR($AC$2:$AX$2)=YEAR(DN$3))*(MONTH($AC$2:$AX$2)=MONTH(DN$3))*$AC36:$AX36))</f>
        <v>0</v>
      </c>
      <c r="DO36" s="164" t="n">
        <f aca="false">IF(AND($BA36&gt;0,$BB36&gt;=$BA36),$AA36*MAX(0,MIN($BB36,EOMONTH(DO$3,0))-MAX($BA36,DO$3)+1)/($BB36-$BA36+1),SUMPRODUCT((YEAR($AC$2:$AX$2)=YEAR(DO$3))*(MONTH($AC$2:$AX$2)=MONTH(DO$3))*$AC36:$AX36))</f>
        <v>0</v>
      </c>
      <c r="DP36" s="164" t="n">
        <f aca="false">IF(AND($BA36&gt;0,$BB36&gt;=$BA36),$AA36*MAX(0,MIN($BB36,EOMONTH(DP$3,0))-MAX($BA36,DP$3)+1)/($BB36-$BA36+1),SUMPRODUCT((YEAR($AC$2:$AX$2)=YEAR(DP$3))*(MONTH($AC$2:$AX$2)=MONTH(DP$3))*$AC36:$AX36))</f>
        <v>0</v>
      </c>
      <c r="DQ36" s="164" t="n">
        <f aca="false">IF(AND($BA36&gt;0,$BB36&gt;=$BA36),$AA36*MAX(0,MIN($BB36,EOMONTH(DQ$3,0))-MAX($BA36,DQ$3)+1)/($BB36-$BA36+1),SUMPRODUCT((YEAR($AC$2:$AX$2)=YEAR(DQ$3))*(MONTH($AC$2:$AX$2)=MONTH(DQ$3))*$AC36:$AX36))</f>
        <v>0</v>
      </c>
      <c r="DR36" s="164" t="n">
        <f aca="false">IF(AND($BA36&gt;0,$BB36&gt;=$BA36),$AA36*MAX(0,MIN($BB36,EOMONTH(DR$3,0))-MAX($BA36,DR$3)+1)/($BB36-$BA36+1),SUMPRODUCT((YEAR($AC$2:$AX$2)=YEAR(DR$3))*(MONTH($AC$2:$AX$2)=MONTH(DR$3))*$AC36:$AX36))</f>
        <v>0</v>
      </c>
      <c r="DS36" s="164" t="n">
        <f aca="false">IF(AND($BA36&gt;0,$BB36&gt;=$BA36),$AA36*MAX(0,MIN($BB36,EOMONTH(DS$3,0))-MAX($BA36,DS$3)+1)/($BB36-$BA36+1),SUMPRODUCT((YEAR($AC$2:$AX$2)=YEAR(DS$3))*(MONTH($AC$2:$AX$2)=MONTH(DS$3))*$AC36:$AX36))</f>
        <v>0</v>
      </c>
      <c r="DT36" s="164" t="n">
        <f aca="false">IF(AND($BA36&gt;0,$BB36&gt;=$BA36),$AA36*MAX(0,MIN($BB36,EOMONTH(DT$3,0))-MAX($BA36,DT$3)+1)/($BB36-$BA36+1),SUMPRODUCT((YEAR($AC$2:$AX$2)=YEAR(DT$3))*(MONTH($AC$2:$AX$2)=MONTH(DT$3))*$AC36:$AX36))</f>
        <v>0</v>
      </c>
      <c r="DU36" s="164" t="n">
        <f aca="false">IF(AND($BA36&gt;0,$BB36&gt;=$BA36),$AA36*MAX(0,MIN($BB36,EOMONTH(DU$3,0))-MAX($BA36,DU$3)+1)/($BB36-$BA36+1),SUMPRODUCT((YEAR($AC$2:$AX$2)=YEAR(DU$3))*(MONTH($AC$2:$AX$2)=MONTH(DU$3))*$AC36:$AX36))</f>
        <v>0</v>
      </c>
      <c r="DV36" s="164" t="n">
        <f aca="false">IF(AND($BA36&gt;0,$BB36&gt;=$BA36),$AA36*MAX(0,MIN($BB36,EOMONTH(DV$3,0))-MAX($BA36,DV$3)+1)/($BB36-$BA36+1),SUMPRODUCT((YEAR($AC$2:$AX$2)=YEAR(DV$3))*(MONTH($AC$2:$AX$2)=MONTH(DV$3))*$AC36:$AX36))</f>
        <v>0</v>
      </c>
      <c r="DW36" s="164" t="n">
        <f aca="false">IF(AND($BA36&gt;0,$BB36&gt;=$BA36),$AA36*MAX(0,MIN($BB36,EOMONTH(DW$3,0))-MAX($BA36,DW$3)+1)/($BB36-$BA36+1),SUMPRODUCT((YEAR($AC$2:$AX$2)=YEAR(DW$3))*(MONTH($AC$2:$AX$2)=MONTH(DW$3))*$AC36:$AX36))</f>
        <v>0</v>
      </c>
    </row>
    <row r="37" customFormat="false" ht="15" hidden="false" customHeight="false" outlineLevel="0" collapsed="false">
      <c r="H37" s="151" t="s">
        <v>2995</v>
      </c>
      <c r="J37" s="152" t="n">
        <v>241.235</v>
      </c>
      <c r="K37" s="152" t="n">
        <v>123.1</v>
      </c>
      <c r="L37" s="152" t="n">
        <v>767.8517</v>
      </c>
      <c r="M37" s="152" t="n">
        <v>0</v>
      </c>
      <c r="O37" s="152" t="n">
        <v>20261</v>
      </c>
      <c r="Q37" s="152" t="n">
        <v>241.235</v>
      </c>
      <c r="S37" s="149" t="n">
        <f aca="false">K37*($C$56+$C$57)</f>
        <v>82247.12306</v>
      </c>
      <c r="T37" s="149" t="n">
        <f aca="false">L37*$C$47</f>
        <v>95213.6108</v>
      </c>
      <c r="U37" s="149" t="n">
        <f aca="false">M37*$C$48</f>
        <v>0</v>
      </c>
      <c r="V37" s="149" t="n">
        <f aca="false">O37*($C$54)</f>
        <v>111638.11</v>
      </c>
      <c r="W37" s="149" t="n">
        <f aca="false">O37*($C$49)</f>
        <v>52678.6</v>
      </c>
      <c r="X37" s="149" t="n">
        <f aca="false">N37*$C$60</f>
        <v>0</v>
      </c>
      <c r="Y37" s="149" t="n">
        <f aca="false">SUM(P37:Q37)*($C$51+$C$52)</f>
        <v>3853.6085075</v>
      </c>
      <c r="AA37" s="149" t="n">
        <f aca="false">SUM(S37:Y37)</f>
        <v>345631.0523675</v>
      </c>
      <c r="AF37" s="149" t="n">
        <f aca="false">AA37*0.7</f>
        <v>241941.73665725</v>
      </c>
      <c r="AG37" s="149" t="n">
        <f aca="false">AA37-AF37</f>
        <v>103689.31571025</v>
      </c>
      <c r="AZ37" s="162" t="s">
        <v>2782</v>
      </c>
      <c r="BA37" s="163" t="n">
        <f aca="false">IF(AZ37="",0,SUMPRODUCT(('CRONOGRAMA ATIVIDADES'!$C$5:$C$6004="ESTRUTURA")*('CRONOGRAMA ATIVIDADES'!$E$5:$E$6004=AZ37)*('CRONOGRAMA ATIVIDADES'!$D$5:$D$6004="-")*'CRONOGRAMA ATIVIDADES'!$F$5:$F$6004))</f>
        <v>46246</v>
      </c>
      <c r="BB37" s="163" t="n">
        <f aca="false">IF(AZ37="",0,SUMPRODUCT(('CRONOGRAMA ATIVIDADES'!$C$5:$C$6004="ESTRUTURA")*('CRONOGRAMA ATIVIDADES'!$E$5:$E$6004=AZ37)*('CRONOGRAMA ATIVIDADES'!$D$5:$D$6004="-")*'CRONOGRAMA ATIVIDADES'!$G$5:$G$6004))</f>
        <v>46262</v>
      </c>
      <c r="BD37" s="164" t="n">
        <f aca="false">IF(AND($BA37&gt;0,$BB37&gt;=$BA37),$AA37*MAX(0,MIN($BB37,EOMONTH(BD$3,0))-MAX($BA37,BD$3)+1)/($BB37-$BA37+1),SUMPRODUCT((YEAR($AC$2:$AX$2)=YEAR(BD$3))*(MONTH($AC$2:$AX$2)=MONTH(BD$3))*$AC37:$AX37))</f>
        <v>0</v>
      </c>
      <c r="BE37" s="164" t="n">
        <f aca="false">IF(AND($BA37&gt;0,$BB37&gt;=$BA37),$AA37*MAX(0,MIN($BB37,EOMONTH(BE$3,0))-MAX($BA37,BE$3)+1)/($BB37-$BA37+1),SUMPRODUCT((YEAR($AC$2:$AX$2)=YEAR(BE$3))*(MONTH($AC$2:$AX$2)=MONTH(BE$3))*$AC37:$AX37))</f>
        <v>0</v>
      </c>
      <c r="BF37" s="164" t="n">
        <f aca="false">IF(AND($BA37&gt;0,$BB37&gt;=$BA37),$AA37*MAX(0,MIN($BB37,EOMONTH(BF$3,0))-MAX($BA37,BF$3)+1)/($BB37-$BA37+1),SUMPRODUCT((YEAR($AC$2:$AX$2)=YEAR(BF$3))*(MONTH($AC$2:$AX$2)=MONTH(BF$3))*$AC37:$AX37))</f>
        <v>0</v>
      </c>
      <c r="BG37" s="164" t="n">
        <f aca="false">IF(AND($BA37&gt;0,$BB37&gt;=$BA37),$AA37*MAX(0,MIN($BB37,EOMONTH(BG$3,0))-MAX($BA37,BG$3)+1)/($BB37-$BA37+1),SUMPRODUCT((YEAR($AC$2:$AX$2)=YEAR(BG$3))*(MONTH($AC$2:$AX$2)=MONTH(BG$3))*$AC37:$AX37))</f>
        <v>0</v>
      </c>
      <c r="BH37" s="164" t="n">
        <f aca="false">IF(AND($BA37&gt;0,$BB37&gt;=$BA37),$AA37*MAX(0,MIN($BB37,EOMONTH(BH$3,0))-MAX($BA37,BH$3)+1)/($BB37-$BA37+1),SUMPRODUCT((YEAR($AC$2:$AX$2)=YEAR(BH$3))*(MONTH($AC$2:$AX$2)=MONTH(BH$3))*$AC37:$AX37))</f>
        <v>0</v>
      </c>
      <c r="BI37" s="164" t="n">
        <f aca="false">IF(AND($BA37&gt;0,$BB37&gt;=$BA37),$AA37*MAX(0,MIN($BB37,EOMONTH(BI$3,0))-MAX($BA37,BI$3)+1)/($BB37-$BA37+1),SUMPRODUCT((YEAR($AC$2:$AX$2)=YEAR(BI$3))*(MONTH($AC$2:$AX$2)=MONTH(BI$3))*$AC37:$AX37))</f>
        <v>0</v>
      </c>
      <c r="BJ37" s="164" t="n">
        <f aca="false">IF(AND($BA37&gt;0,$BB37&gt;=$BA37),$AA37*MAX(0,MIN($BB37,EOMONTH(BJ$3,0))-MAX($BA37,BJ$3)+1)/($BB37-$BA37+1),SUMPRODUCT((YEAR($AC$2:$AX$2)=YEAR(BJ$3))*(MONTH($AC$2:$AX$2)=MONTH(BJ$3))*$AC37:$AX37))</f>
        <v>0</v>
      </c>
      <c r="BK37" s="164" t="n">
        <f aca="false">IF(AND($BA37&gt;0,$BB37&gt;=$BA37),$AA37*MAX(0,MIN($BB37,EOMONTH(BK$3,0))-MAX($BA37,BK$3)+1)/($BB37-$BA37+1),SUMPRODUCT((YEAR($AC$2:$AX$2)=YEAR(BK$3))*(MONTH($AC$2:$AX$2)=MONTH(BK$3))*$AC37:$AX37))</f>
        <v>0</v>
      </c>
      <c r="BL37" s="164" t="n">
        <f aca="false">IF(AND($BA37&gt;0,$BB37&gt;=$BA37),$AA37*MAX(0,MIN($BB37,EOMONTH(BL$3,0))-MAX($BA37,BL$3)+1)/($BB37-$BA37+1),SUMPRODUCT((YEAR($AC$2:$AX$2)=YEAR(BL$3))*(MONTH($AC$2:$AX$2)=MONTH(BL$3))*$AC37:$AX37))</f>
        <v>0</v>
      </c>
      <c r="BM37" s="164" t="n">
        <f aca="false">IF(AND($BA37&gt;0,$BB37&gt;=$BA37),$AA37*MAX(0,MIN($BB37,EOMONTH(BM$3,0))-MAX($BA37,BM$3)+1)/($BB37-$BA37+1),SUMPRODUCT((YEAR($AC$2:$AX$2)=YEAR(BM$3))*(MONTH($AC$2:$AX$2)=MONTH(BM$3))*$AC37:$AX37))</f>
        <v>0</v>
      </c>
      <c r="BN37" s="164" t="n">
        <f aca="false">IF(AND($BA37&gt;0,$BB37&gt;=$BA37),$AA37*MAX(0,MIN($BB37,EOMONTH(BN$3,0))-MAX($BA37,BN$3)+1)/($BB37-$BA37+1),SUMPRODUCT((YEAR($AC$2:$AX$2)=YEAR(BN$3))*(MONTH($AC$2:$AX$2)=MONTH(BN$3))*$AC37:$AX37))</f>
        <v>0</v>
      </c>
      <c r="BO37" s="164" t="n">
        <f aca="false">IF(AND($BA37&gt;0,$BB37&gt;=$BA37),$AA37*MAX(0,MIN($BB37,EOMONTH(BO$3,0))-MAX($BA37,BO$3)+1)/($BB37-$BA37+1),SUMPRODUCT((YEAR($AC$2:$AX$2)=YEAR(BO$3))*(MONTH($AC$2:$AX$2)=MONTH(BO$3))*$AC37:$AX37))</f>
        <v>0</v>
      </c>
      <c r="BP37" s="164" t="n">
        <f aca="false">IF(AND($BA37&gt;0,$BB37&gt;=$BA37),$AA37*MAX(0,MIN($BB37,EOMONTH(BP$3,0))-MAX($BA37,BP$3)+1)/($BB37-$BA37+1),SUMPRODUCT((YEAR($AC$2:$AX$2)=YEAR(BP$3))*(MONTH($AC$2:$AX$2)=MONTH(BP$3))*$AC37:$AX37))</f>
        <v>0</v>
      </c>
      <c r="BQ37" s="164" t="n">
        <f aca="false">IF(AND($BA37&gt;0,$BB37&gt;=$BA37),$AA37*MAX(0,MIN($BB37,EOMONTH(BQ$3,0))-MAX($BA37,BQ$3)+1)/($BB37-$BA37+1),SUMPRODUCT((YEAR($AC$2:$AX$2)=YEAR(BQ$3))*(MONTH($AC$2:$AX$2)=MONTH(BQ$3))*$AC37:$AX37))</f>
        <v>0</v>
      </c>
      <c r="BR37" s="164" t="n">
        <f aca="false">IF(AND($BA37&gt;0,$BB37&gt;=$BA37),$AA37*MAX(0,MIN($BB37,EOMONTH(BR$3,0))-MAX($BA37,BR$3)+1)/($BB37-$BA37+1),SUMPRODUCT((YEAR($AC$2:$AX$2)=YEAR(BR$3))*(MONTH($AC$2:$AX$2)=MONTH(BR$3))*$AC37:$AX37))</f>
        <v>0</v>
      </c>
      <c r="BS37" s="164" t="n">
        <f aca="false">IF(AND($BA37&gt;0,$BB37&gt;=$BA37),$AA37*MAX(0,MIN($BB37,EOMONTH(BS$3,0))-MAX($BA37,BS$3)+1)/($BB37-$BA37+1),SUMPRODUCT((YEAR($AC$2:$AX$2)=YEAR(BS$3))*(MONTH($AC$2:$AX$2)=MONTH(BS$3))*$AC37:$AX37))</f>
        <v>0</v>
      </c>
      <c r="BT37" s="164" t="n">
        <f aca="false">IF(AND($BA37&gt;0,$BB37&gt;=$BA37),$AA37*MAX(0,MIN($BB37,EOMONTH(BT$3,0))-MAX($BA37,BT$3)+1)/($BB37-$BA37+1),SUMPRODUCT((YEAR($AC$2:$AX$2)=YEAR(BT$3))*(MONTH($AC$2:$AX$2)=MONTH(BT$3))*$AC37:$AX37))</f>
        <v>0</v>
      </c>
      <c r="BU37" s="164" t="n">
        <f aca="false">IF(AND($BA37&gt;0,$BB37&gt;=$BA37),$AA37*MAX(0,MIN($BB37,EOMONTH(BU$3,0))-MAX($BA37,BU$3)+1)/($BB37-$BA37+1),SUMPRODUCT((YEAR($AC$2:$AX$2)=YEAR(BU$3))*(MONTH($AC$2:$AX$2)=MONTH(BU$3))*$AC37:$AX37))</f>
        <v>0</v>
      </c>
      <c r="BV37" s="164" t="n">
        <f aca="false">IF(AND($BA37&gt;0,$BB37&gt;=$BA37),$AA37*MAX(0,MIN($BB37,EOMONTH(BV$3,0))-MAX($BA37,BV$3)+1)/($BB37-$BA37+1),SUMPRODUCT((YEAR($AC$2:$AX$2)=YEAR(BV$3))*(MONTH($AC$2:$AX$2)=MONTH(BV$3))*$AC37:$AX37))</f>
        <v>0</v>
      </c>
      <c r="BW37" s="164" t="n">
        <f aca="false">IF(AND($BA37&gt;0,$BB37&gt;=$BA37),$AA37*MAX(0,MIN($BB37,EOMONTH(BW$3,0))-MAX($BA37,BW$3)+1)/($BB37-$BA37+1),SUMPRODUCT((YEAR($AC$2:$AX$2)=YEAR(BW$3))*(MONTH($AC$2:$AX$2)=MONTH(BW$3))*$AC37:$AX37))</f>
        <v>0</v>
      </c>
      <c r="BX37" s="164" t="n">
        <f aca="false">IF(AND($BA37&gt;0,$BB37&gt;=$BA37),$AA37*MAX(0,MIN($BB37,EOMONTH(BX$3,0))-MAX($BA37,BX$3)+1)/($BB37-$BA37+1),SUMPRODUCT((YEAR($AC$2:$AX$2)=YEAR(BX$3))*(MONTH($AC$2:$AX$2)=MONTH(BX$3))*$AC37:$AX37))</f>
        <v>345631.0523675</v>
      </c>
      <c r="BY37" s="164" t="n">
        <f aca="false">IF(AND($BA37&gt;0,$BB37&gt;=$BA37),$AA37*MAX(0,MIN($BB37,EOMONTH(BY$3,0))-MAX($BA37,BY$3)+1)/($BB37-$BA37+1),SUMPRODUCT((YEAR($AC$2:$AX$2)=YEAR(BY$3))*(MONTH($AC$2:$AX$2)=MONTH(BY$3))*$AC37:$AX37))</f>
        <v>0</v>
      </c>
      <c r="BZ37" s="164" t="n">
        <f aca="false">IF(AND($BA37&gt;0,$BB37&gt;=$BA37),$AA37*MAX(0,MIN($BB37,EOMONTH(BZ$3,0))-MAX($BA37,BZ$3)+1)/($BB37-$BA37+1),SUMPRODUCT((YEAR($AC$2:$AX$2)=YEAR(BZ$3))*(MONTH($AC$2:$AX$2)=MONTH(BZ$3))*$AC37:$AX37))</f>
        <v>0</v>
      </c>
      <c r="CA37" s="164" t="n">
        <f aca="false">IF(AND($BA37&gt;0,$BB37&gt;=$BA37),$AA37*MAX(0,MIN($BB37,EOMONTH(CA$3,0))-MAX($BA37,CA$3)+1)/($BB37-$BA37+1),SUMPRODUCT((YEAR($AC$2:$AX$2)=YEAR(CA$3))*(MONTH($AC$2:$AX$2)=MONTH(CA$3))*$AC37:$AX37))</f>
        <v>0</v>
      </c>
      <c r="CB37" s="164" t="n">
        <f aca="false">IF(AND($BA37&gt;0,$BB37&gt;=$BA37),$AA37*MAX(0,MIN($BB37,EOMONTH(CB$3,0))-MAX($BA37,CB$3)+1)/($BB37-$BA37+1),SUMPRODUCT((YEAR($AC$2:$AX$2)=YEAR(CB$3))*(MONTH($AC$2:$AX$2)=MONTH(CB$3))*$AC37:$AX37))</f>
        <v>0</v>
      </c>
      <c r="CC37" s="164" t="n">
        <f aca="false">IF(AND($BA37&gt;0,$BB37&gt;=$BA37),$AA37*MAX(0,MIN($BB37,EOMONTH(CC$3,0))-MAX($BA37,CC$3)+1)/($BB37-$BA37+1),SUMPRODUCT((YEAR($AC$2:$AX$2)=YEAR(CC$3))*(MONTH($AC$2:$AX$2)=MONTH(CC$3))*$AC37:$AX37))</f>
        <v>0</v>
      </c>
      <c r="CD37" s="164" t="n">
        <f aca="false">IF(AND($BA37&gt;0,$BB37&gt;=$BA37),$AA37*MAX(0,MIN($BB37,EOMONTH(CD$3,0))-MAX($BA37,CD$3)+1)/($BB37-$BA37+1),SUMPRODUCT((YEAR($AC$2:$AX$2)=YEAR(CD$3))*(MONTH($AC$2:$AX$2)=MONTH(CD$3))*$AC37:$AX37))</f>
        <v>0</v>
      </c>
      <c r="CE37" s="164" t="n">
        <f aca="false">IF(AND($BA37&gt;0,$BB37&gt;=$BA37),$AA37*MAX(0,MIN($BB37,EOMONTH(CE$3,0))-MAX($BA37,CE$3)+1)/($BB37-$BA37+1),SUMPRODUCT((YEAR($AC$2:$AX$2)=YEAR(CE$3))*(MONTH($AC$2:$AX$2)=MONTH(CE$3))*$AC37:$AX37))</f>
        <v>0</v>
      </c>
      <c r="CF37" s="164" t="n">
        <f aca="false">IF(AND($BA37&gt;0,$BB37&gt;=$BA37),$AA37*MAX(0,MIN($BB37,EOMONTH(CF$3,0))-MAX($BA37,CF$3)+1)/($BB37-$BA37+1),SUMPRODUCT((YEAR($AC$2:$AX$2)=YEAR(CF$3))*(MONTH($AC$2:$AX$2)=MONTH(CF$3))*$AC37:$AX37))</f>
        <v>0</v>
      </c>
      <c r="CG37" s="164" t="n">
        <f aca="false">IF(AND($BA37&gt;0,$BB37&gt;=$BA37),$AA37*MAX(0,MIN($BB37,EOMONTH(CG$3,0))-MAX($BA37,CG$3)+1)/($BB37-$BA37+1),SUMPRODUCT((YEAR($AC$2:$AX$2)=YEAR(CG$3))*(MONTH($AC$2:$AX$2)=MONTH(CG$3))*$AC37:$AX37))</f>
        <v>0</v>
      </c>
      <c r="CH37" s="164" t="n">
        <f aca="false">IF(AND($BA37&gt;0,$BB37&gt;=$BA37),$AA37*MAX(0,MIN($BB37,EOMONTH(CH$3,0))-MAX($BA37,CH$3)+1)/($BB37-$BA37+1),SUMPRODUCT((YEAR($AC$2:$AX$2)=YEAR(CH$3))*(MONTH($AC$2:$AX$2)=MONTH(CH$3))*$AC37:$AX37))</f>
        <v>0</v>
      </c>
      <c r="CI37" s="164" t="n">
        <f aca="false">IF(AND($BA37&gt;0,$BB37&gt;=$BA37),$AA37*MAX(0,MIN($BB37,EOMONTH(CI$3,0))-MAX($BA37,CI$3)+1)/($BB37-$BA37+1),SUMPRODUCT((YEAR($AC$2:$AX$2)=YEAR(CI$3))*(MONTH($AC$2:$AX$2)=MONTH(CI$3))*$AC37:$AX37))</f>
        <v>0</v>
      </c>
      <c r="CJ37" s="164" t="n">
        <f aca="false">IF(AND($BA37&gt;0,$BB37&gt;=$BA37),$AA37*MAX(0,MIN($BB37,EOMONTH(CJ$3,0))-MAX($BA37,CJ$3)+1)/($BB37-$BA37+1),SUMPRODUCT((YEAR($AC$2:$AX$2)=YEAR(CJ$3))*(MONTH($AC$2:$AX$2)=MONTH(CJ$3))*$AC37:$AX37))</f>
        <v>0</v>
      </c>
      <c r="CK37" s="164" t="n">
        <f aca="false">IF(AND($BA37&gt;0,$BB37&gt;=$BA37),$AA37*MAX(0,MIN($BB37,EOMONTH(CK$3,0))-MAX($BA37,CK$3)+1)/($BB37-$BA37+1),SUMPRODUCT((YEAR($AC$2:$AX$2)=YEAR(CK$3))*(MONTH($AC$2:$AX$2)=MONTH(CK$3))*$AC37:$AX37))</f>
        <v>0</v>
      </c>
      <c r="CL37" s="164" t="n">
        <f aca="false">IF(AND($BA37&gt;0,$BB37&gt;=$BA37),$AA37*MAX(0,MIN($BB37,EOMONTH(CL$3,0))-MAX($BA37,CL$3)+1)/($BB37-$BA37+1),SUMPRODUCT((YEAR($AC$2:$AX$2)=YEAR(CL$3))*(MONTH($AC$2:$AX$2)=MONTH(CL$3))*$AC37:$AX37))</f>
        <v>0</v>
      </c>
      <c r="CM37" s="164" t="n">
        <f aca="false">IF(AND($BA37&gt;0,$BB37&gt;=$BA37),$AA37*MAX(0,MIN($BB37,EOMONTH(CM$3,0))-MAX($BA37,CM$3)+1)/($BB37-$BA37+1),SUMPRODUCT((YEAR($AC$2:$AX$2)=YEAR(CM$3))*(MONTH($AC$2:$AX$2)=MONTH(CM$3))*$AC37:$AX37))</f>
        <v>0</v>
      </c>
      <c r="CN37" s="164" t="n">
        <f aca="false">IF(AND($BA37&gt;0,$BB37&gt;=$BA37),$AA37*MAX(0,MIN($BB37,EOMONTH(CN$3,0))-MAX($BA37,CN$3)+1)/($BB37-$BA37+1),SUMPRODUCT((YEAR($AC$2:$AX$2)=YEAR(CN$3))*(MONTH($AC$2:$AX$2)=MONTH(CN$3))*$AC37:$AX37))</f>
        <v>0</v>
      </c>
      <c r="CO37" s="164" t="n">
        <f aca="false">IF(AND($BA37&gt;0,$BB37&gt;=$BA37),$AA37*MAX(0,MIN($BB37,EOMONTH(CO$3,0))-MAX($BA37,CO$3)+1)/($BB37-$BA37+1),SUMPRODUCT((YEAR($AC$2:$AX$2)=YEAR(CO$3))*(MONTH($AC$2:$AX$2)=MONTH(CO$3))*$AC37:$AX37))</f>
        <v>0</v>
      </c>
      <c r="CP37" s="164" t="n">
        <f aca="false">IF(AND($BA37&gt;0,$BB37&gt;=$BA37),$AA37*MAX(0,MIN($BB37,EOMONTH(CP$3,0))-MAX($BA37,CP$3)+1)/($BB37-$BA37+1),SUMPRODUCT((YEAR($AC$2:$AX$2)=YEAR(CP$3))*(MONTH($AC$2:$AX$2)=MONTH(CP$3))*$AC37:$AX37))</f>
        <v>0</v>
      </c>
      <c r="CQ37" s="164" t="n">
        <f aca="false">IF(AND($BA37&gt;0,$BB37&gt;=$BA37),$AA37*MAX(0,MIN($BB37,EOMONTH(CQ$3,0))-MAX($BA37,CQ$3)+1)/($BB37-$BA37+1),SUMPRODUCT((YEAR($AC$2:$AX$2)=YEAR(CQ$3))*(MONTH($AC$2:$AX$2)=MONTH(CQ$3))*$AC37:$AX37))</f>
        <v>0</v>
      </c>
      <c r="CR37" s="164" t="n">
        <f aca="false">IF(AND($BA37&gt;0,$BB37&gt;=$BA37),$AA37*MAX(0,MIN($BB37,EOMONTH(CR$3,0))-MAX($BA37,CR$3)+1)/($BB37-$BA37+1),SUMPRODUCT((YEAR($AC$2:$AX$2)=YEAR(CR$3))*(MONTH($AC$2:$AX$2)=MONTH(CR$3))*$AC37:$AX37))</f>
        <v>0</v>
      </c>
      <c r="CS37" s="164" t="n">
        <f aca="false">IF(AND($BA37&gt;0,$BB37&gt;=$BA37),$AA37*MAX(0,MIN($BB37,EOMONTH(CS$3,0))-MAX($BA37,CS$3)+1)/($BB37-$BA37+1),SUMPRODUCT((YEAR($AC$2:$AX$2)=YEAR(CS$3))*(MONTH($AC$2:$AX$2)=MONTH(CS$3))*$AC37:$AX37))</f>
        <v>0</v>
      </c>
      <c r="CT37" s="164" t="n">
        <f aca="false">IF(AND($BA37&gt;0,$BB37&gt;=$BA37),$AA37*MAX(0,MIN($BB37,EOMONTH(CT$3,0))-MAX($BA37,CT$3)+1)/($BB37-$BA37+1),SUMPRODUCT((YEAR($AC$2:$AX$2)=YEAR(CT$3))*(MONTH($AC$2:$AX$2)=MONTH(CT$3))*$AC37:$AX37))</f>
        <v>0</v>
      </c>
      <c r="CU37" s="164" t="n">
        <f aca="false">IF(AND($BA37&gt;0,$BB37&gt;=$BA37),$AA37*MAX(0,MIN($BB37,EOMONTH(CU$3,0))-MAX($BA37,CU$3)+1)/($BB37-$BA37+1),SUMPRODUCT((YEAR($AC$2:$AX$2)=YEAR(CU$3))*(MONTH($AC$2:$AX$2)=MONTH(CU$3))*$AC37:$AX37))</f>
        <v>0</v>
      </c>
      <c r="CV37" s="164" t="n">
        <f aca="false">IF(AND($BA37&gt;0,$BB37&gt;=$BA37),$AA37*MAX(0,MIN($BB37,EOMONTH(CV$3,0))-MAX($BA37,CV$3)+1)/($BB37-$BA37+1),SUMPRODUCT((YEAR($AC$2:$AX$2)=YEAR(CV$3))*(MONTH($AC$2:$AX$2)=MONTH(CV$3))*$AC37:$AX37))</f>
        <v>0</v>
      </c>
      <c r="CW37" s="164" t="n">
        <f aca="false">IF(AND($BA37&gt;0,$BB37&gt;=$BA37),$AA37*MAX(0,MIN($BB37,EOMONTH(CW$3,0))-MAX($BA37,CW$3)+1)/($BB37-$BA37+1),SUMPRODUCT((YEAR($AC$2:$AX$2)=YEAR(CW$3))*(MONTH($AC$2:$AX$2)=MONTH(CW$3))*$AC37:$AX37))</f>
        <v>0</v>
      </c>
      <c r="CX37" s="164" t="n">
        <f aca="false">IF(AND($BA37&gt;0,$BB37&gt;=$BA37),$AA37*MAX(0,MIN($BB37,EOMONTH(CX$3,0))-MAX($BA37,CX$3)+1)/($BB37-$BA37+1),SUMPRODUCT((YEAR($AC$2:$AX$2)=YEAR(CX$3))*(MONTH($AC$2:$AX$2)=MONTH(CX$3))*$AC37:$AX37))</f>
        <v>0</v>
      </c>
      <c r="CY37" s="164" t="n">
        <f aca="false">IF(AND($BA37&gt;0,$BB37&gt;=$BA37),$AA37*MAX(0,MIN($BB37,EOMONTH(CY$3,0))-MAX($BA37,CY$3)+1)/($BB37-$BA37+1),SUMPRODUCT((YEAR($AC$2:$AX$2)=YEAR(CY$3))*(MONTH($AC$2:$AX$2)=MONTH(CY$3))*$AC37:$AX37))</f>
        <v>0</v>
      </c>
      <c r="CZ37" s="164" t="n">
        <f aca="false">IF(AND($BA37&gt;0,$BB37&gt;=$BA37),$AA37*MAX(0,MIN($BB37,EOMONTH(CZ$3,0))-MAX($BA37,CZ$3)+1)/($BB37-$BA37+1),SUMPRODUCT((YEAR($AC$2:$AX$2)=YEAR(CZ$3))*(MONTH($AC$2:$AX$2)=MONTH(CZ$3))*$AC37:$AX37))</f>
        <v>0</v>
      </c>
      <c r="DA37" s="164" t="n">
        <f aca="false">IF(AND($BA37&gt;0,$BB37&gt;=$BA37),$AA37*MAX(0,MIN($BB37,EOMONTH(DA$3,0))-MAX($BA37,DA$3)+1)/($BB37-$BA37+1),SUMPRODUCT((YEAR($AC$2:$AX$2)=YEAR(DA$3))*(MONTH($AC$2:$AX$2)=MONTH(DA$3))*$AC37:$AX37))</f>
        <v>0</v>
      </c>
      <c r="DB37" s="164" t="n">
        <f aca="false">IF(AND($BA37&gt;0,$BB37&gt;=$BA37),$AA37*MAX(0,MIN($BB37,EOMONTH(DB$3,0))-MAX($BA37,DB$3)+1)/($BB37-$BA37+1),SUMPRODUCT((YEAR($AC$2:$AX$2)=YEAR(DB$3))*(MONTH($AC$2:$AX$2)=MONTH(DB$3))*$AC37:$AX37))</f>
        <v>0</v>
      </c>
      <c r="DC37" s="164" t="n">
        <f aca="false">IF(AND($BA37&gt;0,$BB37&gt;=$BA37),$AA37*MAX(0,MIN($BB37,EOMONTH(DC$3,0))-MAX($BA37,DC$3)+1)/($BB37-$BA37+1),SUMPRODUCT((YEAR($AC$2:$AX$2)=YEAR(DC$3))*(MONTH($AC$2:$AX$2)=MONTH(DC$3))*$AC37:$AX37))</f>
        <v>0</v>
      </c>
      <c r="DD37" s="164" t="n">
        <f aca="false">IF(AND($BA37&gt;0,$BB37&gt;=$BA37),$AA37*MAX(0,MIN($BB37,EOMONTH(DD$3,0))-MAX($BA37,DD$3)+1)/($BB37-$BA37+1),SUMPRODUCT((YEAR($AC$2:$AX$2)=YEAR(DD$3))*(MONTH($AC$2:$AX$2)=MONTH(DD$3))*$AC37:$AX37))</f>
        <v>0</v>
      </c>
      <c r="DE37" s="164" t="n">
        <f aca="false">IF(AND($BA37&gt;0,$BB37&gt;=$BA37),$AA37*MAX(0,MIN($BB37,EOMONTH(DE$3,0))-MAX($BA37,DE$3)+1)/($BB37-$BA37+1),SUMPRODUCT((YEAR($AC$2:$AX$2)=YEAR(DE$3))*(MONTH($AC$2:$AX$2)=MONTH(DE$3))*$AC37:$AX37))</f>
        <v>0</v>
      </c>
      <c r="DF37" s="164" t="n">
        <f aca="false">IF(AND($BA37&gt;0,$BB37&gt;=$BA37),$AA37*MAX(0,MIN($BB37,EOMONTH(DF$3,0))-MAX($BA37,DF$3)+1)/($BB37-$BA37+1),SUMPRODUCT((YEAR($AC$2:$AX$2)=YEAR(DF$3))*(MONTH($AC$2:$AX$2)=MONTH(DF$3))*$AC37:$AX37))</f>
        <v>0</v>
      </c>
      <c r="DG37" s="164" t="n">
        <f aca="false">IF(AND($BA37&gt;0,$BB37&gt;=$BA37),$AA37*MAX(0,MIN($BB37,EOMONTH(DG$3,0))-MAX($BA37,DG$3)+1)/($BB37-$BA37+1),SUMPRODUCT((YEAR($AC$2:$AX$2)=YEAR(DG$3))*(MONTH($AC$2:$AX$2)=MONTH(DG$3))*$AC37:$AX37))</f>
        <v>0</v>
      </c>
      <c r="DH37" s="164" t="n">
        <f aca="false">IF(AND($BA37&gt;0,$BB37&gt;=$BA37),$AA37*MAX(0,MIN($BB37,EOMONTH(DH$3,0))-MAX($BA37,DH$3)+1)/($BB37-$BA37+1),SUMPRODUCT((YEAR($AC$2:$AX$2)=YEAR(DH$3))*(MONTH($AC$2:$AX$2)=MONTH(DH$3))*$AC37:$AX37))</f>
        <v>0</v>
      </c>
      <c r="DI37" s="164" t="n">
        <f aca="false">IF(AND($BA37&gt;0,$BB37&gt;=$BA37),$AA37*MAX(0,MIN($BB37,EOMONTH(DI$3,0))-MAX($BA37,DI$3)+1)/($BB37-$BA37+1),SUMPRODUCT((YEAR($AC$2:$AX$2)=YEAR(DI$3))*(MONTH($AC$2:$AX$2)=MONTH(DI$3))*$AC37:$AX37))</f>
        <v>0</v>
      </c>
      <c r="DJ37" s="164" t="n">
        <f aca="false">IF(AND($BA37&gt;0,$BB37&gt;=$BA37),$AA37*MAX(0,MIN($BB37,EOMONTH(DJ$3,0))-MAX($BA37,DJ$3)+1)/($BB37-$BA37+1),SUMPRODUCT((YEAR($AC$2:$AX$2)=YEAR(DJ$3))*(MONTH($AC$2:$AX$2)=MONTH(DJ$3))*$AC37:$AX37))</f>
        <v>0</v>
      </c>
      <c r="DK37" s="164" t="n">
        <f aca="false">IF(AND($BA37&gt;0,$BB37&gt;=$BA37),$AA37*MAX(0,MIN($BB37,EOMONTH(DK$3,0))-MAX($BA37,DK$3)+1)/($BB37-$BA37+1),SUMPRODUCT((YEAR($AC$2:$AX$2)=YEAR(DK$3))*(MONTH($AC$2:$AX$2)=MONTH(DK$3))*$AC37:$AX37))</f>
        <v>0</v>
      </c>
      <c r="DL37" s="164" t="n">
        <f aca="false">IF(AND($BA37&gt;0,$BB37&gt;=$BA37),$AA37*MAX(0,MIN($BB37,EOMONTH(DL$3,0))-MAX($BA37,DL$3)+1)/($BB37-$BA37+1),SUMPRODUCT((YEAR($AC$2:$AX$2)=YEAR(DL$3))*(MONTH($AC$2:$AX$2)=MONTH(DL$3))*$AC37:$AX37))</f>
        <v>0</v>
      </c>
      <c r="DM37" s="164" t="n">
        <f aca="false">IF(AND($BA37&gt;0,$BB37&gt;=$BA37),$AA37*MAX(0,MIN($BB37,EOMONTH(DM$3,0))-MAX($BA37,DM$3)+1)/($BB37-$BA37+1),SUMPRODUCT((YEAR($AC$2:$AX$2)=YEAR(DM$3))*(MONTH($AC$2:$AX$2)=MONTH(DM$3))*$AC37:$AX37))</f>
        <v>0</v>
      </c>
      <c r="DN37" s="164" t="n">
        <f aca="false">IF(AND($BA37&gt;0,$BB37&gt;=$BA37),$AA37*MAX(0,MIN($BB37,EOMONTH(DN$3,0))-MAX($BA37,DN$3)+1)/($BB37-$BA37+1),SUMPRODUCT((YEAR($AC$2:$AX$2)=YEAR(DN$3))*(MONTH($AC$2:$AX$2)=MONTH(DN$3))*$AC37:$AX37))</f>
        <v>0</v>
      </c>
      <c r="DO37" s="164" t="n">
        <f aca="false">IF(AND($BA37&gt;0,$BB37&gt;=$BA37),$AA37*MAX(0,MIN($BB37,EOMONTH(DO$3,0))-MAX($BA37,DO$3)+1)/($BB37-$BA37+1),SUMPRODUCT((YEAR($AC$2:$AX$2)=YEAR(DO$3))*(MONTH($AC$2:$AX$2)=MONTH(DO$3))*$AC37:$AX37))</f>
        <v>0</v>
      </c>
      <c r="DP37" s="164" t="n">
        <f aca="false">IF(AND($BA37&gt;0,$BB37&gt;=$BA37),$AA37*MAX(0,MIN($BB37,EOMONTH(DP$3,0))-MAX($BA37,DP$3)+1)/($BB37-$BA37+1),SUMPRODUCT((YEAR($AC$2:$AX$2)=YEAR(DP$3))*(MONTH($AC$2:$AX$2)=MONTH(DP$3))*$AC37:$AX37))</f>
        <v>0</v>
      </c>
      <c r="DQ37" s="164" t="n">
        <f aca="false">IF(AND($BA37&gt;0,$BB37&gt;=$BA37),$AA37*MAX(0,MIN($BB37,EOMONTH(DQ$3,0))-MAX($BA37,DQ$3)+1)/($BB37-$BA37+1),SUMPRODUCT((YEAR($AC$2:$AX$2)=YEAR(DQ$3))*(MONTH($AC$2:$AX$2)=MONTH(DQ$3))*$AC37:$AX37))</f>
        <v>0</v>
      </c>
      <c r="DR37" s="164" t="n">
        <f aca="false">IF(AND($BA37&gt;0,$BB37&gt;=$BA37),$AA37*MAX(0,MIN($BB37,EOMONTH(DR$3,0))-MAX($BA37,DR$3)+1)/($BB37-$BA37+1),SUMPRODUCT((YEAR($AC$2:$AX$2)=YEAR(DR$3))*(MONTH($AC$2:$AX$2)=MONTH(DR$3))*$AC37:$AX37))</f>
        <v>0</v>
      </c>
      <c r="DS37" s="164" t="n">
        <f aca="false">IF(AND($BA37&gt;0,$BB37&gt;=$BA37),$AA37*MAX(0,MIN($BB37,EOMONTH(DS$3,0))-MAX($BA37,DS$3)+1)/($BB37-$BA37+1),SUMPRODUCT((YEAR($AC$2:$AX$2)=YEAR(DS$3))*(MONTH($AC$2:$AX$2)=MONTH(DS$3))*$AC37:$AX37))</f>
        <v>0</v>
      </c>
      <c r="DT37" s="164" t="n">
        <f aca="false">IF(AND($BA37&gt;0,$BB37&gt;=$BA37),$AA37*MAX(0,MIN($BB37,EOMONTH(DT$3,0))-MAX($BA37,DT$3)+1)/($BB37-$BA37+1),SUMPRODUCT((YEAR($AC$2:$AX$2)=YEAR(DT$3))*(MONTH($AC$2:$AX$2)=MONTH(DT$3))*$AC37:$AX37))</f>
        <v>0</v>
      </c>
      <c r="DU37" s="164" t="n">
        <f aca="false">IF(AND($BA37&gt;0,$BB37&gt;=$BA37),$AA37*MAX(0,MIN($BB37,EOMONTH(DU$3,0))-MAX($BA37,DU$3)+1)/($BB37-$BA37+1),SUMPRODUCT((YEAR($AC$2:$AX$2)=YEAR(DU$3))*(MONTH($AC$2:$AX$2)=MONTH(DU$3))*$AC37:$AX37))</f>
        <v>0</v>
      </c>
      <c r="DV37" s="164" t="n">
        <f aca="false">IF(AND($BA37&gt;0,$BB37&gt;=$BA37),$AA37*MAX(0,MIN($BB37,EOMONTH(DV$3,0))-MAX($BA37,DV$3)+1)/($BB37-$BA37+1),SUMPRODUCT((YEAR($AC$2:$AX$2)=YEAR(DV$3))*(MONTH($AC$2:$AX$2)=MONTH(DV$3))*$AC37:$AX37))</f>
        <v>0</v>
      </c>
      <c r="DW37" s="164" t="n">
        <f aca="false">IF(AND($BA37&gt;0,$BB37&gt;=$BA37),$AA37*MAX(0,MIN($BB37,EOMONTH(DW$3,0))-MAX($BA37,DW$3)+1)/($BB37-$BA37+1),SUMPRODUCT((YEAR($AC$2:$AX$2)=YEAR(DW$3))*(MONTH($AC$2:$AX$2)=MONTH(DW$3))*$AC37:$AX37))</f>
        <v>0</v>
      </c>
    </row>
    <row r="38" customFormat="false" ht="15" hidden="false" customHeight="false" outlineLevel="0" collapsed="false">
      <c r="H38" s="151" t="s">
        <v>2996</v>
      </c>
      <c r="J38" s="152" t="n">
        <v>1832.3226</v>
      </c>
      <c r="K38" s="152" t="n">
        <v>839.9</v>
      </c>
      <c r="L38" s="152" t="n">
        <v>2722.676121226</v>
      </c>
      <c r="M38" s="152" t="n">
        <v>2893.30786064</v>
      </c>
      <c r="O38" s="152" t="n">
        <v>113712</v>
      </c>
      <c r="Q38" s="152" t="n">
        <v>1832.3226</v>
      </c>
      <c r="S38" s="149" t="n">
        <f aca="false">K38*($C$56+$C$57)</f>
        <v>561164.57074</v>
      </c>
      <c r="T38" s="149" t="n">
        <f aca="false">L38*$C$47</f>
        <v>337611.839032024</v>
      </c>
      <c r="U38" s="149" t="n">
        <f aca="false">M38*$C$48</f>
        <v>425316.25551408</v>
      </c>
      <c r="V38" s="149" t="n">
        <f aca="false">O38*($C$54)</f>
        <v>626553.12</v>
      </c>
      <c r="W38" s="149" t="n">
        <f aca="false">O38*($C$49)</f>
        <v>295651.2</v>
      </c>
      <c r="X38" s="149" t="n">
        <f aca="false">N38*$C$60</f>
        <v>0</v>
      </c>
      <c r="Y38" s="149" t="n">
        <f aca="false">SUM(P38:Q38)*($C$51+$C$52)</f>
        <v>29270.4373737</v>
      </c>
      <c r="AA38" s="149" t="n">
        <f aca="false">SUM(S38:Y38)</f>
        <v>2275567.4226598</v>
      </c>
      <c r="AC38" s="148" t="n">
        <v>341589.550001</v>
      </c>
      <c r="AD38" s="148" t="n">
        <v>650557.023077</v>
      </c>
      <c r="AE38" s="149" t="n">
        <f aca="false">310000+120000+285326.3</f>
        <v>715326.3</v>
      </c>
      <c r="AF38" s="148" t="n">
        <v>340537.807315823</v>
      </c>
      <c r="AN38" s="149" t="n">
        <f aca="false">AA38*($AG$48)</f>
        <v>227556.74226598</v>
      </c>
      <c r="AZ38" s="162" t="s">
        <v>2757</v>
      </c>
      <c r="BA38" s="163" t="n">
        <f aca="false">IF(AZ38="",0,SUMPRODUCT(('CRONOGRAMA ATIVIDADES'!$C$5:$C$6004="ESTRUTURA")*('CRONOGRAMA ATIVIDADES'!$E$5:$E$6004=AZ38)*('CRONOGRAMA ATIVIDADES'!$D$5:$D$6004="-")*'CRONOGRAMA ATIVIDADES'!$F$5:$F$6004))</f>
        <v>46188</v>
      </c>
      <c r="BB38" s="163" t="n">
        <f aca="false">IF(AZ38="",0,SUMPRODUCT(('CRONOGRAMA ATIVIDADES'!$C$5:$C$6004="ESTRUTURA")*('CRONOGRAMA ATIVIDADES'!$E$5:$E$6004=AZ38)*('CRONOGRAMA ATIVIDADES'!$D$5:$D$6004="-")*'CRONOGRAMA ATIVIDADES'!$G$5:$G$6004))</f>
        <v>46260</v>
      </c>
      <c r="BD38" s="164" t="n">
        <f aca="false">IF(AND($BA38&gt;0,$BB38&gt;=$BA38),$AA38*MAX(0,MIN($BB38,EOMONTH(BD$3,0))-MAX($BA38,BD$3)+1)/($BB38-$BA38+1),SUMPRODUCT((YEAR($AC$2:$AX$2)=YEAR(BD$3))*(MONTH($AC$2:$AX$2)=MONTH(BD$3))*$AC38:$AX38))</f>
        <v>0</v>
      </c>
      <c r="BE38" s="164" t="n">
        <f aca="false">IF(AND($BA38&gt;0,$BB38&gt;=$BA38),$AA38*MAX(0,MIN($BB38,EOMONTH(BE$3,0))-MAX($BA38,BE$3)+1)/($BB38-$BA38+1),SUMPRODUCT((YEAR($AC$2:$AX$2)=YEAR(BE$3))*(MONTH($AC$2:$AX$2)=MONTH(BE$3))*$AC38:$AX38))</f>
        <v>0</v>
      </c>
      <c r="BF38" s="164" t="n">
        <f aca="false">IF(AND($BA38&gt;0,$BB38&gt;=$BA38),$AA38*MAX(0,MIN($BB38,EOMONTH(BF$3,0))-MAX($BA38,BF$3)+1)/($BB38-$BA38+1),SUMPRODUCT((YEAR($AC$2:$AX$2)=YEAR(BF$3))*(MONTH($AC$2:$AX$2)=MONTH(BF$3))*$AC38:$AX38))</f>
        <v>0</v>
      </c>
      <c r="BG38" s="164" t="n">
        <f aca="false">IF(AND($BA38&gt;0,$BB38&gt;=$BA38),$AA38*MAX(0,MIN($BB38,EOMONTH(BG$3,0))-MAX($BA38,BG$3)+1)/($BB38-$BA38+1),SUMPRODUCT((YEAR($AC$2:$AX$2)=YEAR(BG$3))*(MONTH($AC$2:$AX$2)=MONTH(BG$3))*$AC38:$AX38))</f>
        <v>0</v>
      </c>
      <c r="BH38" s="164" t="n">
        <f aca="false">IF(AND($BA38&gt;0,$BB38&gt;=$BA38),$AA38*MAX(0,MIN($BB38,EOMONTH(BH$3,0))-MAX($BA38,BH$3)+1)/($BB38-$BA38+1),SUMPRODUCT((YEAR($AC$2:$AX$2)=YEAR(BH$3))*(MONTH($AC$2:$AX$2)=MONTH(BH$3))*$AC38:$AX38))</f>
        <v>0</v>
      </c>
      <c r="BI38" s="164" t="n">
        <f aca="false">IF(AND($BA38&gt;0,$BB38&gt;=$BA38),$AA38*MAX(0,MIN($BB38,EOMONTH(BI$3,0))-MAX($BA38,BI$3)+1)/($BB38-$BA38+1),SUMPRODUCT((YEAR($AC$2:$AX$2)=YEAR(BI$3))*(MONTH($AC$2:$AX$2)=MONTH(BI$3))*$AC38:$AX38))</f>
        <v>0</v>
      </c>
      <c r="BJ38" s="164" t="n">
        <f aca="false">IF(AND($BA38&gt;0,$BB38&gt;=$BA38),$AA38*MAX(0,MIN($BB38,EOMONTH(BJ$3,0))-MAX($BA38,BJ$3)+1)/($BB38-$BA38+1),SUMPRODUCT((YEAR($AC$2:$AX$2)=YEAR(BJ$3))*(MONTH($AC$2:$AX$2)=MONTH(BJ$3))*$AC38:$AX38))</f>
        <v>0</v>
      </c>
      <c r="BK38" s="164" t="n">
        <f aca="false">IF(AND($BA38&gt;0,$BB38&gt;=$BA38),$AA38*MAX(0,MIN($BB38,EOMONTH(BK$3,0))-MAX($BA38,BK$3)+1)/($BB38-$BA38+1),SUMPRODUCT((YEAR($AC$2:$AX$2)=YEAR(BK$3))*(MONTH($AC$2:$AX$2)=MONTH(BK$3))*$AC38:$AX38))</f>
        <v>0</v>
      </c>
      <c r="BL38" s="164" t="n">
        <f aca="false">IF(AND($BA38&gt;0,$BB38&gt;=$BA38),$AA38*MAX(0,MIN($BB38,EOMONTH(BL$3,0))-MAX($BA38,BL$3)+1)/($BB38-$BA38+1),SUMPRODUCT((YEAR($AC$2:$AX$2)=YEAR(BL$3))*(MONTH($AC$2:$AX$2)=MONTH(BL$3))*$AC38:$AX38))</f>
        <v>0</v>
      </c>
      <c r="BM38" s="164" t="n">
        <f aca="false">IF(AND($BA38&gt;0,$BB38&gt;=$BA38),$AA38*MAX(0,MIN($BB38,EOMONTH(BM$3,0))-MAX($BA38,BM$3)+1)/($BB38-$BA38+1),SUMPRODUCT((YEAR($AC$2:$AX$2)=YEAR(BM$3))*(MONTH($AC$2:$AX$2)=MONTH(BM$3))*$AC38:$AX38))</f>
        <v>0</v>
      </c>
      <c r="BN38" s="164" t="n">
        <f aca="false">IF(AND($BA38&gt;0,$BB38&gt;=$BA38),$AA38*MAX(0,MIN($BB38,EOMONTH(BN$3,0))-MAX($BA38,BN$3)+1)/($BB38-$BA38+1),SUMPRODUCT((YEAR($AC$2:$AX$2)=YEAR(BN$3))*(MONTH($AC$2:$AX$2)=MONTH(BN$3))*$AC38:$AX38))</f>
        <v>0</v>
      </c>
      <c r="BO38" s="164" t="n">
        <f aca="false">IF(AND($BA38&gt;0,$BB38&gt;=$BA38),$AA38*MAX(0,MIN($BB38,EOMONTH(BO$3,0))-MAX($BA38,BO$3)+1)/($BB38-$BA38+1),SUMPRODUCT((YEAR($AC$2:$AX$2)=YEAR(BO$3))*(MONTH($AC$2:$AX$2)=MONTH(BO$3))*$AC38:$AX38))</f>
        <v>0</v>
      </c>
      <c r="BP38" s="164" t="n">
        <f aca="false">IF(AND($BA38&gt;0,$BB38&gt;=$BA38),$AA38*MAX(0,MIN($BB38,EOMONTH(BP$3,0))-MAX($BA38,BP$3)+1)/($BB38-$BA38+1),SUMPRODUCT((YEAR($AC$2:$AX$2)=YEAR(BP$3))*(MONTH($AC$2:$AX$2)=MONTH(BP$3))*$AC38:$AX38))</f>
        <v>0</v>
      </c>
      <c r="BQ38" s="164" t="n">
        <f aca="false">IF(AND($BA38&gt;0,$BB38&gt;=$BA38),$AA38*MAX(0,MIN($BB38,EOMONTH(BQ$3,0))-MAX($BA38,BQ$3)+1)/($BB38-$BA38+1),SUMPRODUCT((YEAR($AC$2:$AX$2)=YEAR(BQ$3))*(MONTH($AC$2:$AX$2)=MONTH(BQ$3))*$AC38:$AX38))</f>
        <v>0</v>
      </c>
      <c r="BR38" s="164" t="n">
        <f aca="false">IF(AND($BA38&gt;0,$BB38&gt;=$BA38),$AA38*MAX(0,MIN($BB38,EOMONTH(BR$3,0))-MAX($BA38,BR$3)+1)/($BB38-$BA38+1),SUMPRODUCT((YEAR($AC$2:$AX$2)=YEAR(BR$3))*(MONTH($AC$2:$AX$2)=MONTH(BR$3))*$AC38:$AX38))</f>
        <v>0</v>
      </c>
      <c r="BS38" s="164" t="n">
        <f aca="false">IF(AND($BA38&gt;0,$BB38&gt;=$BA38),$AA38*MAX(0,MIN($BB38,EOMONTH(BS$3,0))-MAX($BA38,BS$3)+1)/($BB38-$BA38+1),SUMPRODUCT((YEAR($AC$2:$AX$2)=YEAR(BS$3))*(MONTH($AC$2:$AX$2)=MONTH(BS$3))*$AC38:$AX38))</f>
        <v>0</v>
      </c>
      <c r="BT38" s="164" t="n">
        <f aca="false">IF(AND($BA38&gt;0,$BB38&gt;=$BA38),$AA38*MAX(0,MIN($BB38,EOMONTH(BT$3,0))-MAX($BA38,BT$3)+1)/($BB38-$BA38+1),SUMPRODUCT((YEAR($AC$2:$AX$2)=YEAR(BT$3))*(MONTH($AC$2:$AX$2)=MONTH(BT$3))*$AC38:$AX38))</f>
        <v>0</v>
      </c>
      <c r="BU38" s="164" t="n">
        <f aca="false">IF(AND($BA38&gt;0,$BB38&gt;=$BA38),$AA38*MAX(0,MIN($BB38,EOMONTH(BU$3,0))-MAX($BA38,BU$3)+1)/($BB38-$BA38+1),SUMPRODUCT((YEAR($AC$2:$AX$2)=YEAR(BU$3))*(MONTH($AC$2:$AX$2)=MONTH(BU$3))*$AC38:$AX38))</f>
        <v>0</v>
      </c>
      <c r="BV38" s="164" t="n">
        <f aca="false">IF(AND($BA38&gt;0,$BB38&gt;=$BA38),$AA38*MAX(0,MIN($BB38,EOMONTH(BV$3,0))-MAX($BA38,BV$3)+1)/($BB38-$BA38+1),SUMPRODUCT((YEAR($AC$2:$AX$2)=YEAR(BV$3))*(MONTH($AC$2:$AX$2)=MONTH(BV$3))*$AC38:$AX38))</f>
        <v>498754.503596669</v>
      </c>
      <c r="BW38" s="164" t="n">
        <f aca="false">IF(AND($BA38&gt;0,$BB38&gt;=$BA38),$AA38*MAX(0,MIN($BB38,EOMONTH(BW$3,0))-MAX($BA38,BW$3)+1)/($BB38-$BA38+1),SUMPRODUCT((YEAR($AC$2:$AX$2)=YEAR(BW$3))*(MONTH($AC$2:$AX$2)=MONTH(BW$3))*$AC38:$AX38))</f>
        <v>966336.850718547</v>
      </c>
      <c r="BX38" s="164" t="n">
        <f aca="false">IF(AND($BA38&gt;0,$BB38&gt;=$BA38),$AA38*MAX(0,MIN($BB38,EOMONTH(BX$3,0))-MAX($BA38,BX$3)+1)/($BB38-$BA38+1),SUMPRODUCT((YEAR($AC$2:$AX$2)=YEAR(BX$3))*(MONTH($AC$2:$AX$2)=MONTH(BX$3))*$AC38:$AX38))</f>
        <v>810476.068344588</v>
      </c>
      <c r="BY38" s="164" t="n">
        <f aca="false">IF(AND($BA38&gt;0,$BB38&gt;=$BA38),$AA38*MAX(0,MIN($BB38,EOMONTH(BY$3,0))-MAX($BA38,BY$3)+1)/($BB38-$BA38+1),SUMPRODUCT((YEAR($AC$2:$AX$2)=YEAR(BY$3))*(MONTH($AC$2:$AX$2)=MONTH(BY$3))*$AC38:$AX38))</f>
        <v>0</v>
      </c>
      <c r="BZ38" s="164" t="n">
        <f aca="false">IF(AND($BA38&gt;0,$BB38&gt;=$BA38),$AA38*MAX(0,MIN($BB38,EOMONTH(BZ$3,0))-MAX($BA38,BZ$3)+1)/($BB38-$BA38+1),SUMPRODUCT((YEAR($AC$2:$AX$2)=YEAR(BZ$3))*(MONTH($AC$2:$AX$2)=MONTH(BZ$3))*$AC38:$AX38))</f>
        <v>0</v>
      </c>
      <c r="CA38" s="164" t="n">
        <f aca="false">IF(AND($BA38&gt;0,$BB38&gt;=$BA38),$AA38*MAX(0,MIN($BB38,EOMONTH(CA$3,0))-MAX($BA38,CA$3)+1)/($BB38-$BA38+1),SUMPRODUCT((YEAR($AC$2:$AX$2)=YEAR(CA$3))*(MONTH($AC$2:$AX$2)=MONTH(CA$3))*$AC38:$AX38))</f>
        <v>0</v>
      </c>
      <c r="CB38" s="164" t="n">
        <f aca="false">IF(AND($BA38&gt;0,$BB38&gt;=$BA38),$AA38*MAX(0,MIN($BB38,EOMONTH(CB$3,0))-MAX($BA38,CB$3)+1)/($BB38-$BA38+1),SUMPRODUCT((YEAR($AC$2:$AX$2)=YEAR(CB$3))*(MONTH($AC$2:$AX$2)=MONTH(CB$3))*$AC38:$AX38))</f>
        <v>0</v>
      </c>
      <c r="CC38" s="164" t="n">
        <f aca="false">IF(AND($BA38&gt;0,$BB38&gt;=$BA38),$AA38*MAX(0,MIN($BB38,EOMONTH(CC$3,0))-MAX($BA38,CC$3)+1)/($BB38-$BA38+1),SUMPRODUCT((YEAR($AC$2:$AX$2)=YEAR(CC$3))*(MONTH($AC$2:$AX$2)=MONTH(CC$3))*$AC38:$AX38))</f>
        <v>0</v>
      </c>
      <c r="CD38" s="164" t="n">
        <f aca="false">IF(AND($BA38&gt;0,$BB38&gt;=$BA38),$AA38*MAX(0,MIN($BB38,EOMONTH(CD$3,0))-MAX($BA38,CD$3)+1)/($BB38-$BA38+1),SUMPRODUCT((YEAR($AC$2:$AX$2)=YEAR(CD$3))*(MONTH($AC$2:$AX$2)=MONTH(CD$3))*$AC38:$AX38))</f>
        <v>0</v>
      </c>
      <c r="CE38" s="164" t="n">
        <f aca="false">IF(AND($BA38&gt;0,$BB38&gt;=$BA38),$AA38*MAX(0,MIN($BB38,EOMONTH(CE$3,0))-MAX($BA38,CE$3)+1)/($BB38-$BA38+1),SUMPRODUCT((YEAR($AC$2:$AX$2)=YEAR(CE$3))*(MONTH($AC$2:$AX$2)=MONTH(CE$3))*$AC38:$AX38))</f>
        <v>0</v>
      </c>
      <c r="CF38" s="164" t="n">
        <f aca="false">IF(AND($BA38&gt;0,$BB38&gt;=$BA38),$AA38*MAX(0,MIN($BB38,EOMONTH(CF$3,0))-MAX($BA38,CF$3)+1)/($BB38-$BA38+1),SUMPRODUCT((YEAR($AC$2:$AX$2)=YEAR(CF$3))*(MONTH($AC$2:$AX$2)=MONTH(CF$3))*$AC38:$AX38))</f>
        <v>0</v>
      </c>
      <c r="CG38" s="164" t="n">
        <f aca="false">IF(AND($BA38&gt;0,$BB38&gt;=$BA38),$AA38*MAX(0,MIN($BB38,EOMONTH(CG$3,0))-MAX($BA38,CG$3)+1)/($BB38-$BA38+1),SUMPRODUCT((YEAR($AC$2:$AX$2)=YEAR(CG$3))*(MONTH($AC$2:$AX$2)=MONTH(CG$3))*$AC38:$AX38))</f>
        <v>0</v>
      </c>
      <c r="CH38" s="164" t="n">
        <f aca="false">IF(AND($BA38&gt;0,$BB38&gt;=$BA38),$AA38*MAX(0,MIN($BB38,EOMONTH(CH$3,0))-MAX($BA38,CH$3)+1)/($BB38-$BA38+1),SUMPRODUCT((YEAR($AC$2:$AX$2)=YEAR(CH$3))*(MONTH($AC$2:$AX$2)=MONTH(CH$3))*$AC38:$AX38))</f>
        <v>0</v>
      </c>
      <c r="CI38" s="164" t="n">
        <f aca="false">IF(AND($BA38&gt;0,$BB38&gt;=$BA38),$AA38*MAX(0,MIN($BB38,EOMONTH(CI$3,0))-MAX($BA38,CI$3)+1)/($BB38-$BA38+1),SUMPRODUCT((YEAR($AC$2:$AX$2)=YEAR(CI$3))*(MONTH($AC$2:$AX$2)=MONTH(CI$3))*$AC38:$AX38))</f>
        <v>0</v>
      </c>
      <c r="CJ38" s="164" t="n">
        <f aca="false">IF(AND($BA38&gt;0,$BB38&gt;=$BA38),$AA38*MAX(0,MIN($BB38,EOMONTH(CJ$3,0))-MAX($BA38,CJ$3)+1)/($BB38-$BA38+1),SUMPRODUCT((YEAR($AC$2:$AX$2)=YEAR(CJ$3))*(MONTH($AC$2:$AX$2)=MONTH(CJ$3))*$AC38:$AX38))</f>
        <v>0</v>
      </c>
      <c r="CK38" s="164" t="n">
        <f aca="false">IF(AND($BA38&gt;0,$BB38&gt;=$BA38),$AA38*MAX(0,MIN($BB38,EOMONTH(CK$3,0))-MAX($BA38,CK$3)+1)/($BB38-$BA38+1),SUMPRODUCT((YEAR($AC$2:$AX$2)=YEAR(CK$3))*(MONTH($AC$2:$AX$2)=MONTH(CK$3))*$AC38:$AX38))</f>
        <v>0</v>
      </c>
      <c r="CL38" s="164" t="n">
        <f aca="false">IF(AND($BA38&gt;0,$BB38&gt;=$BA38),$AA38*MAX(0,MIN($BB38,EOMONTH(CL$3,0))-MAX($BA38,CL$3)+1)/($BB38-$BA38+1),SUMPRODUCT((YEAR($AC$2:$AX$2)=YEAR(CL$3))*(MONTH($AC$2:$AX$2)=MONTH(CL$3))*$AC38:$AX38))</f>
        <v>0</v>
      </c>
      <c r="CM38" s="164" t="n">
        <f aca="false">IF(AND($BA38&gt;0,$BB38&gt;=$BA38),$AA38*MAX(0,MIN($BB38,EOMONTH(CM$3,0))-MAX($BA38,CM$3)+1)/($BB38-$BA38+1),SUMPRODUCT((YEAR($AC$2:$AX$2)=YEAR(CM$3))*(MONTH($AC$2:$AX$2)=MONTH(CM$3))*$AC38:$AX38))</f>
        <v>0</v>
      </c>
      <c r="CN38" s="164" t="n">
        <f aca="false">IF(AND($BA38&gt;0,$BB38&gt;=$BA38),$AA38*MAX(0,MIN($BB38,EOMONTH(CN$3,0))-MAX($BA38,CN$3)+1)/($BB38-$BA38+1),SUMPRODUCT((YEAR($AC$2:$AX$2)=YEAR(CN$3))*(MONTH($AC$2:$AX$2)=MONTH(CN$3))*$AC38:$AX38))</f>
        <v>0</v>
      </c>
      <c r="CO38" s="164" t="n">
        <f aca="false">IF(AND($BA38&gt;0,$BB38&gt;=$BA38),$AA38*MAX(0,MIN($BB38,EOMONTH(CO$3,0))-MAX($BA38,CO$3)+1)/($BB38-$BA38+1),SUMPRODUCT((YEAR($AC$2:$AX$2)=YEAR(CO$3))*(MONTH($AC$2:$AX$2)=MONTH(CO$3))*$AC38:$AX38))</f>
        <v>0</v>
      </c>
      <c r="CP38" s="164" t="n">
        <f aca="false">IF(AND($BA38&gt;0,$BB38&gt;=$BA38),$AA38*MAX(0,MIN($BB38,EOMONTH(CP$3,0))-MAX($BA38,CP$3)+1)/($BB38-$BA38+1),SUMPRODUCT((YEAR($AC$2:$AX$2)=YEAR(CP$3))*(MONTH($AC$2:$AX$2)=MONTH(CP$3))*$AC38:$AX38))</f>
        <v>0</v>
      </c>
      <c r="CQ38" s="164" t="n">
        <f aca="false">IF(AND($BA38&gt;0,$BB38&gt;=$BA38),$AA38*MAX(0,MIN($BB38,EOMONTH(CQ$3,0))-MAX($BA38,CQ$3)+1)/($BB38-$BA38+1),SUMPRODUCT((YEAR($AC$2:$AX$2)=YEAR(CQ$3))*(MONTH($AC$2:$AX$2)=MONTH(CQ$3))*$AC38:$AX38))</f>
        <v>0</v>
      </c>
      <c r="CR38" s="164" t="n">
        <f aca="false">IF(AND($BA38&gt;0,$BB38&gt;=$BA38),$AA38*MAX(0,MIN($BB38,EOMONTH(CR$3,0))-MAX($BA38,CR$3)+1)/($BB38-$BA38+1),SUMPRODUCT((YEAR($AC$2:$AX$2)=YEAR(CR$3))*(MONTH($AC$2:$AX$2)=MONTH(CR$3))*$AC38:$AX38))</f>
        <v>0</v>
      </c>
      <c r="CS38" s="164" t="n">
        <f aca="false">IF(AND($BA38&gt;0,$BB38&gt;=$BA38),$AA38*MAX(0,MIN($BB38,EOMONTH(CS$3,0))-MAX($BA38,CS$3)+1)/($BB38-$BA38+1),SUMPRODUCT((YEAR($AC$2:$AX$2)=YEAR(CS$3))*(MONTH($AC$2:$AX$2)=MONTH(CS$3))*$AC38:$AX38))</f>
        <v>0</v>
      </c>
      <c r="CT38" s="164" t="n">
        <f aca="false">IF(AND($BA38&gt;0,$BB38&gt;=$BA38),$AA38*MAX(0,MIN($BB38,EOMONTH(CT$3,0))-MAX($BA38,CT$3)+1)/($BB38-$BA38+1),SUMPRODUCT((YEAR($AC$2:$AX$2)=YEAR(CT$3))*(MONTH($AC$2:$AX$2)=MONTH(CT$3))*$AC38:$AX38))</f>
        <v>0</v>
      </c>
      <c r="CU38" s="164" t="n">
        <f aca="false">IF(AND($BA38&gt;0,$BB38&gt;=$BA38),$AA38*MAX(0,MIN($BB38,EOMONTH(CU$3,0))-MAX($BA38,CU$3)+1)/($BB38-$BA38+1),SUMPRODUCT((YEAR($AC$2:$AX$2)=YEAR(CU$3))*(MONTH($AC$2:$AX$2)=MONTH(CU$3))*$AC38:$AX38))</f>
        <v>0</v>
      </c>
      <c r="CV38" s="164" t="n">
        <f aca="false">IF(AND($BA38&gt;0,$BB38&gt;=$BA38),$AA38*MAX(0,MIN($BB38,EOMONTH(CV$3,0))-MAX($BA38,CV$3)+1)/($BB38-$BA38+1),SUMPRODUCT((YEAR($AC$2:$AX$2)=YEAR(CV$3))*(MONTH($AC$2:$AX$2)=MONTH(CV$3))*$AC38:$AX38))</f>
        <v>0</v>
      </c>
      <c r="CW38" s="164" t="n">
        <f aca="false">IF(AND($BA38&gt;0,$BB38&gt;=$BA38),$AA38*MAX(0,MIN($BB38,EOMONTH(CW$3,0))-MAX($BA38,CW$3)+1)/($BB38-$BA38+1),SUMPRODUCT((YEAR($AC$2:$AX$2)=YEAR(CW$3))*(MONTH($AC$2:$AX$2)=MONTH(CW$3))*$AC38:$AX38))</f>
        <v>0</v>
      </c>
      <c r="CX38" s="164" t="n">
        <f aca="false">IF(AND($BA38&gt;0,$BB38&gt;=$BA38),$AA38*MAX(0,MIN($BB38,EOMONTH(CX$3,0))-MAX($BA38,CX$3)+1)/($BB38-$BA38+1),SUMPRODUCT((YEAR($AC$2:$AX$2)=YEAR(CX$3))*(MONTH($AC$2:$AX$2)=MONTH(CX$3))*$AC38:$AX38))</f>
        <v>0</v>
      </c>
      <c r="CY38" s="164" t="n">
        <f aca="false">IF(AND($BA38&gt;0,$BB38&gt;=$BA38),$AA38*MAX(0,MIN($BB38,EOMONTH(CY$3,0))-MAX($BA38,CY$3)+1)/($BB38-$BA38+1),SUMPRODUCT((YEAR($AC$2:$AX$2)=YEAR(CY$3))*(MONTH($AC$2:$AX$2)=MONTH(CY$3))*$AC38:$AX38))</f>
        <v>0</v>
      </c>
      <c r="CZ38" s="164" t="n">
        <f aca="false">IF(AND($BA38&gt;0,$BB38&gt;=$BA38),$AA38*MAX(0,MIN($BB38,EOMONTH(CZ$3,0))-MAX($BA38,CZ$3)+1)/($BB38-$BA38+1),SUMPRODUCT((YEAR($AC$2:$AX$2)=YEAR(CZ$3))*(MONTH($AC$2:$AX$2)=MONTH(CZ$3))*$AC38:$AX38))</f>
        <v>0</v>
      </c>
      <c r="DA38" s="164" t="n">
        <f aca="false">IF(AND($BA38&gt;0,$BB38&gt;=$BA38),$AA38*MAX(0,MIN($BB38,EOMONTH(DA$3,0))-MAX($BA38,DA$3)+1)/($BB38-$BA38+1),SUMPRODUCT((YEAR($AC$2:$AX$2)=YEAR(DA$3))*(MONTH($AC$2:$AX$2)=MONTH(DA$3))*$AC38:$AX38))</f>
        <v>0</v>
      </c>
      <c r="DB38" s="164" t="n">
        <f aca="false">IF(AND($BA38&gt;0,$BB38&gt;=$BA38),$AA38*MAX(0,MIN($BB38,EOMONTH(DB$3,0))-MAX($BA38,DB$3)+1)/($BB38-$BA38+1),SUMPRODUCT((YEAR($AC$2:$AX$2)=YEAR(DB$3))*(MONTH($AC$2:$AX$2)=MONTH(DB$3))*$AC38:$AX38))</f>
        <v>0</v>
      </c>
      <c r="DC38" s="164" t="n">
        <f aca="false">IF(AND($BA38&gt;0,$BB38&gt;=$BA38),$AA38*MAX(0,MIN($BB38,EOMONTH(DC$3,0))-MAX($BA38,DC$3)+1)/($BB38-$BA38+1),SUMPRODUCT((YEAR($AC$2:$AX$2)=YEAR(DC$3))*(MONTH($AC$2:$AX$2)=MONTH(DC$3))*$AC38:$AX38))</f>
        <v>0</v>
      </c>
      <c r="DD38" s="164" t="n">
        <f aca="false">IF(AND($BA38&gt;0,$BB38&gt;=$BA38),$AA38*MAX(0,MIN($BB38,EOMONTH(DD$3,0))-MAX($BA38,DD$3)+1)/($BB38-$BA38+1),SUMPRODUCT((YEAR($AC$2:$AX$2)=YEAR(DD$3))*(MONTH($AC$2:$AX$2)=MONTH(DD$3))*$AC38:$AX38))</f>
        <v>0</v>
      </c>
      <c r="DE38" s="164" t="n">
        <f aca="false">IF(AND($BA38&gt;0,$BB38&gt;=$BA38),$AA38*MAX(0,MIN($BB38,EOMONTH(DE$3,0))-MAX($BA38,DE$3)+1)/($BB38-$BA38+1),SUMPRODUCT((YEAR($AC$2:$AX$2)=YEAR(DE$3))*(MONTH($AC$2:$AX$2)=MONTH(DE$3))*$AC38:$AX38))</f>
        <v>0</v>
      </c>
      <c r="DF38" s="164" t="n">
        <f aca="false">IF(AND($BA38&gt;0,$BB38&gt;=$BA38),$AA38*MAX(0,MIN($BB38,EOMONTH(DF$3,0))-MAX($BA38,DF$3)+1)/($BB38-$BA38+1),SUMPRODUCT((YEAR($AC$2:$AX$2)=YEAR(DF$3))*(MONTH($AC$2:$AX$2)=MONTH(DF$3))*$AC38:$AX38))</f>
        <v>0</v>
      </c>
      <c r="DG38" s="164" t="n">
        <f aca="false">IF(AND($BA38&gt;0,$BB38&gt;=$BA38),$AA38*MAX(0,MIN($BB38,EOMONTH(DG$3,0))-MAX($BA38,DG$3)+1)/($BB38-$BA38+1),SUMPRODUCT((YEAR($AC$2:$AX$2)=YEAR(DG$3))*(MONTH($AC$2:$AX$2)=MONTH(DG$3))*$AC38:$AX38))</f>
        <v>0</v>
      </c>
      <c r="DH38" s="164" t="n">
        <f aca="false">IF(AND($BA38&gt;0,$BB38&gt;=$BA38),$AA38*MAX(0,MIN($BB38,EOMONTH(DH$3,0))-MAX($BA38,DH$3)+1)/($BB38-$BA38+1),SUMPRODUCT((YEAR($AC$2:$AX$2)=YEAR(DH$3))*(MONTH($AC$2:$AX$2)=MONTH(DH$3))*$AC38:$AX38))</f>
        <v>0</v>
      </c>
      <c r="DI38" s="164" t="n">
        <f aca="false">IF(AND($BA38&gt;0,$BB38&gt;=$BA38),$AA38*MAX(0,MIN($BB38,EOMONTH(DI$3,0))-MAX($BA38,DI$3)+1)/($BB38-$BA38+1),SUMPRODUCT((YEAR($AC$2:$AX$2)=YEAR(DI$3))*(MONTH($AC$2:$AX$2)=MONTH(DI$3))*$AC38:$AX38))</f>
        <v>0</v>
      </c>
      <c r="DJ38" s="164" t="n">
        <f aca="false">IF(AND($BA38&gt;0,$BB38&gt;=$BA38),$AA38*MAX(0,MIN($BB38,EOMONTH(DJ$3,0))-MAX($BA38,DJ$3)+1)/($BB38-$BA38+1),SUMPRODUCT((YEAR($AC$2:$AX$2)=YEAR(DJ$3))*(MONTH($AC$2:$AX$2)=MONTH(DJ$3))*$AC38:$AX38))</f>
        <v>0</v>
      </c>
      <c r="DK38" s="164" t="n">
        <f aca="false">IF(AND($BA38&gt;0,$BB38&gt;=$BA38),$AA38*MAX(0,MIN($BB38,EOMONTH(DK$3,0))-MAX($BA38,DK$3)+1)/($BB38-$BA38+1),SUMPRODUCT((YEAR($AC$2:$AX$2)=YEAR(DK$3))*(MONTH($AC$2:$AX$2)=MONTH(DK$3))*$AC38:$AX38))</f>
        <v>0</v>
      </c>
      <c r="DL38" s="164" t="n">
        <f aca="false">IF(AND($BA38&gt;0,$BB38&gt;=$BA38),$AA38*MAX(0,MIN($BB38,EOMONTH(DL$3,0))-MAX($BA38,DL$3)+1)/($BB38-$BA38+1),SUMPRODUCT((YEAR($AC$2:$AX$2)=YEAR(DL$3))*(MONTH($AC$2:$AX$2)=MONTH(DL$3))*$AC38:$AX38))</f>
        <v>0</v>
      </c>
      <c r="DM38" s="164" t="n">
        <f aca="false">IF(AND($BA38&gt;0,$BB38&gt;=$BA38),$AA38*MAX(0,MIN($BB38,EOMONTH(DM$3,0))-MAX($BA38,DM$3)+1)/($BB38-$BA38+1),SUMPRODUCT((YEAR($AC$2:$AX$2)=YEAR(DM$3))*(MONTH($AC$2:$AX$2)=MONTH(DM$3))*$AC38:$AX38))</f>
        <v>0</v>
      </c>
      <c r="DN38" s="164" t="n">
        <f aca="false">IF(AND($BA38&gt;0,$BB38&gt;=$BA38),$AA38*MAX(0,MIN($BB38,EOMONTH(DN$3,0))-MAX($BA38,DN$3)+1)/($BB38-$BA38+1),SUMPRODUCT((YEAR($AC$2:$AX$2)=YEAR(DN$3))*(MONTH($AC$2:$AX$2)=MONTH(DN$3))*$AC38:$AX38))</f>
        <v>0</v>
      </c>
      <c r="DO38" s="164" t="n">
        <f aca="false">IF(AND($BA38&gt;0,$BB38&gt;=$BA38),$AA38*MAX(0,MIN($BB38,EOMONTH(DO$3,0))-MAX($BA38,DO$3)+1)/($BB38-$BA38+1),SUMPRODUCT((YEAR($AC$2:$AX$2)=YEAR(DO$3))*(MONTH($AC$2:$AX$2)=MONTH(DO$3))*$AC38:$AX38))</f>
        <v>0</v>
      </c>
      <c r="DP38" s="164" t="n">
        <f aca="false">IF(AND($BA38&gt;0,$BB38&gt;=$BA38),$AA38*MAX(0,MIN($BB38,EOMONTH(DP$3,0))-MAX($BA38,DP$3)+1)/($BB38-$BA38+1),SUMPRODUCT((YEAR($AC$2:$AX$2)=YEAR(DP$3))*(MONTH($AC$2:$AX$2)=MONTH(DP$3))*$AC38:$AX38))</f>
        <v>0</v>
      </c>
      <c r="DQ38" s="164" t="n">
        <f aca="false">IF(AND($BA38&gt;0,$BB38&gt;=$BA38),$AA38*MAX(0,MIN($BB38,EOMONTH(DQ$3,0))-MAX($BA38,DQ$3)+1)/($BB38-$BA38+1),SUMPRODUCT((YEAR($AC$2:$AX$2)=YEAR(DQ$3))*(MONTH($AC$2:$AX$2)=MONTH(DQ$3))*$AC38:$AX38))</f>
        <v>0</v>
      </c>
      <c r="DR38" s="164" t="n">
        <f aca="false">IF(AND($BA38&gt;0,$BB38&gt;=$BA38),$AA38*MAX(0,MIN($BB38,EOMONTH(DR$3,0))-MAX($BA38,DR$3)+1)/($BB38-$BA38+1),SUMPRODUCT((YEAR($AC$2:$AX$2)=YEAR(DR$3))*(MONTH($AC$2:$AX$2)=MONTH(DR$3))*$AC38:$AX38))</f>
        <v>0</v>
      </c>
      <c r="DS38" s="164" t="n">
        <f aca="false">IF(AND($BA38&gt;0,$BB38&gt;=$BA38),$AA38*MAX(0,MIN($BB38,EOMONTH(DS$3,0))-MAX($BA38,DS$3)+1)/($BB38-$BA38+1),SUMPRODUCT((YEAR($AC$2:$AX$2)=YEAR(DS$3))*(MONTH($AC$2:$AX$2)=MONTH(DS$3))*$AC38:$AX38))</f>
        <v>0</v>
      </c>
      <c r="DT38" s="164" t="n">
        <f aca="false">IF(AND($BA38&gt;0,$BB38&gt;=$BA38),$AA38*MAX(0,MIN($BB38,EOMONTH(DT$3,0))-MAX($BA38,DT$3)+1)/($BB38-$BA38+1),SUMPRODUCT((YEAR($AC$2:$AX$2)=YEAR(DT$3))*(MONTH($AC$2:$AX$2)=MONTH(DT$3))*$AC38:$AX38))</f>
        <v>0</v>
      </c>
      <c r="DU38" s="164" t="n">
        <f aca="false">IF(AND($BA38&gt;0,$BB38&gt;=$BA38),$AA38*MAX(0,MIN($BB38,EOMONTH(DU$3,0))-MAX($BA38,DU$3)+1)/($BB38-$BA38+1),SUMPRODUCT((YEAR($AC$2:$AX$2)=YEAR(DU$3))*(MONTH($AC$2:$AX$2)=MONTH(DU$3))*$AC38:$AX38))</f>
        <v>0</v>
      </c>
      <c r="DV38" s="164" t="n">
        <f aca="false">IF(AND($BA38&gt;0,$BB38&gt;=$BA38),$AA38*MAX(0,MIN($BB38,EOMONTH(DV$3,0))-MAX($BA38,DV$3)+1)/($BB38-$BA38+1),SUMPRODUCT((YEAR($AC$2:$AX$2)=YEAR(DV$3))*(MONTH($AC$2:$AX$2)=MONTH(DV$3))*$AC38:$AX38))</f>
        <v>0</v>
      </c>
      <c r="DW38" s="164" t="n">
        <f aca="false">IF(AND($BA38&gt;0,$BB38&gt;=$BA38),$AA38*MAX(0,MIN($BB38,EOMONTH(DW$3,0))-MAX($BA38,DW$3)+1)/($BB38-$BA38+1),SUMPRODUCT((YEAR($AC$2:$AX$2)=YEAR(DW$3))*(MONTH($AC$2:$AX$2)=MONTH(DW$3))*$AC38:$AX38))</f>
        <v>0</v>
      </c>
    </row>
    <row r="39" customFormat="false" ht="15" hidden="false" customHeight="false" outlineLevel="0" collapsed="false">
      <c r="H39" s="151" t="s">
        <v>2997</v>
      </c>
      <c r="J39" s="152" t="n">
        <v>2837.0822</v>
      </c>
      <c r="AA39" s="149" t="n">
        <f aca="false">SUM(S39:Y39)</f>
        <v>0</v>
      </c>
      <c r="AZ39" s="162"/>
      <c r="BA39" s="163" t="n">
        <f aca="false">IF(AZ39="",0,SUMPRODUCT(('CRONOGRAMA ATIVIDADES'!$C$5:$C$6004="ESTRUTURA")*('CRONOGRAMA ATIVIDADES'!$E$5:$E$6004=AZ39)*('CRONOGRAMA ATIVIDADES'!$D$5:$D$6004="-")*'CRONOGRAMA ATIVIDADES'!$F$5:$F$6004))</f>
        <v>0</v>
      </c>
      <c r="BB39" s="163" t="n">
        <f aca="false">IF(AZ39="",0,SUMPRODUCT(('CRONOGRAMA ATIVIDADES'!$C$5:$C$6004="ESTRUTURA")*('CRONOGRAMA ATIVIDADES'!$E$5:$E$6004=AZ39)*('CRONOGRAMA ATIVIDADES'!$D$5:$D$6004="-")*'CRONOGRAMA ATIVIDADES'!$G$5:$G$6004))</f>
        <v>0</v>
      </c>
      <c r="BD39" s="164" t="n">
        <f aca="false">IF(AND($BA39&gt;0,$BB39&gt;=$BA39),$AA39*MAX(0,MIN($BB39,EOMONTH(BD$3,0))-MAX($BA39,BD$3)+1)/($BB39-$BA39+1),SUMPRODUCT((YEAR($AC$2:$AX$2)=YEAR(BD$3))*(MONTH($AC$2:$AX$2)=MONTH(BD$3))*$AC39:$AX39))</f>
        <v>0</v>
      </c>
      <c r="BE39" s="164" t="n">
        <f aca="false">IF(AND($BA39&gt;0,$BB39&gt;=$BA39),$AA39*MAX(0,MIN($BB39,EOMONTH(BE$3,0))-MAX($BA39,BE$3)+1)/($BB39-$BA39+1),SUMPRODUCT((YEAR($AC$2:$AX$2)=YEAR(BE$3))*(MONTH($AC$2:$AX$2)=MONTH(BE$3))*$AC39:$AX39))</f>
        <v>0</v>
      </c>
      <c r="BF39" s="164" t="n">
        <f aca="false">IF(AND($BA39&gt;0,$BB39&gt;=$BA39),$AA39*MAX(0,MIN($BB39,EOMONTH(BF$3,0))-MAX($BA39,BF$3)+1)/($BB39-$BA39+1),SUMPRODUCT((YEAR($AC$2:$AX$2)=YEAR(BF$3))*(MONTH($AC$2:$AX$2)=MONTH(BF$3))*$AC39:$AX39))</f>
        <v>0</v>
      </c>
      <c r="BG39" s="164" t="n">
        <f aca="false">IF(AND($BA39&gt;0,$BB39&gt;=$BA39),$AA39*MAX(0,MIN($BB39,EOMONTH(BG$3,0))-MAX($BA39,BG$3)+1)/($BB39-$BA39+1),SUMPRODUCT((YEAR($AC$2:$AX$2)=YEAR(BG$3))*(MONTH($AC$2:$AX$2)=MONTH(BG$3))*$AC39:$AX39))</f>
        <v>0</v>
      </c>
      <c r="BH39" s="164" t="n">
        <f aca="false">IF(AND($BA39&gt;0,$BB39&gt;=$BA39),$AA39*MAX(0,MIN($BB39,EOMONTH(BH$3,0))-MAX($BA39,BH$3)+1)/($BB39-$BA39+1),SUMPRODUCT((YEAR($AC$2:$AX$2)=YEAR(BH$3))*(MONTH($AC$2:$AX$2)=MONTH(BH$3))*$AC39:$AX39))</f>
        <v>0</v>
      </c>
      <c r="BI39" s="164" t="n">
        <f aca="false">IF(AND($BA39&gt;0,$BB39&gt;=$BA39),$AA39*MAX(0,MIN($BB39,EOMONTH(BI$3,0))-MAX($BA39,BI$3)+1)/($BB39-$BA39+1),SUMPRODUCT((YEAR($AC$2:$AX$2)=YEAR(BI$3))*(MONTH($AC$2:$AX$2)=MONTH(BI$3))*$AC39:$AX39))</f>
        <v>0</v>
      </c>
      <c r="BJ39" s="164" t="n">
        <f aca="false">IF(AND($BA39&gt;0,$BB39&gt;=$BA39),$AA39*MAX(0,MIN($BB39,EOMONTH(BJ$3,0))-MAX($BA39,BJ$3)+1)/($BB39-$BA39+1),SUMPRODUCT((YEAR($AC$2:$AX$2)=YEAR(BJ$3))*(MONTH($AC$2:$AX$2)=MONTH(BJ$3))*$AC39:$AX39))</f>
        <v>0</v>
      </c>
      <c r="BK39" s="164" t="n">
        <f aca="false">IF(AND($BA39&gt;0,$BB39&gt;=$BA39),$AA39*MAX(0,MIN($BB39,EOMONTH(BK$3,0))-MAX($BA39,BK$3)+1)/($BB39-$BA39+1),SUMPRODUCT((YEAR($AC$2:$AX$2)=YEAR(BK$3))*(MONTH($AC$2:$AX$2)=MONTH(BK$3))*$AC39:$AX39))</f>
        <v>0</v>
      </c>
      <c r="BL39" s="164" t="n">
        <f aca="false">IF(AND($BA39&gt;0,$BB39&gt;=$BA39),$AA39*MAX(0,MIN($BB39,EOMONTH(BL$3,0))-MAX($BA39,BL$3)+1)/($BB39-$BA39+1),SUMPRODUCT((YEAR($AC$2:$AX$2)=YEAR(BL$3))*(MONTH($AC$2:$AX$2)=MONTH(BL$3))*$AC39:$AX39))</f>
        <v>0</v>
      </c>
      <c r="BM39" s="164" t="n">
        <f aca="false">IF(AND($BA39&gt;0,$BB39&gt;=$BA39),$AA39*MAX(0,MIN($BB39,EOMONTH(BM$3,0))-MAX($BA39,BM$3)+1)/($BB39-$BA39+1),SUMPRODUCT((YEAR($AC$2:$AX$2)=YEAR(BM$3))*(MONTH($AC$2:$AX$2)=MONTH(BM$3))*$AC39:$AX39))</f>
        <v>0</v>
      </c>
      <c r="BN39" s="164" t="n">
        <f aca="false">IF(AND($BA39&gt;0,$BB39&gt;=$BA39),$AA39*MAX(0,MIN($BB39,EOMONTH(BN$3,0))-MAX($BA39,BN$3)+1)/($BB39-$BA39+1),SUMPRODUCT((YEAR($AC$2:$AX$2)=YEAR(BN$3))*(MONTH($AC$2:$AX$2)=MONTH(BN$3))*$AC39:$AX39))</f>
        <v>0</v>
      </c>
      <c r="BO39" s="164" t="n">
        <f aca="false">IF(AND($BA39&gt;0,$BB39&gt;=$BA39),$AA39*MAX(0,MIN($BB39,EOMONTH(BO$3,0))-MAX($BA39,BO$3)+1)/($BB39-$BA39+1),SUMPRODUCT((YEAR($AC$2:$AX$2)=YEAR(BO$3))*(MONTH($AC$2:$AX$2)=MONTH(BO$3))*$AC39:$AX39))</f>
        <v>0</v>
      </c>
      <c r="BP39" s="164" t="n">
        <f aca="false">IF(AND($BA39&gt;0,$BB39&gt;=$BA39),$AA39*MAX(0,MIN($BB39,EOMONTH(BP$3,0))-MAX($BA39,BP$3)+1)/($BB39-$BA39+1),SUMPRODUCT((YEAR($AC$2:$AX$2)=YEAR(BP$3))*(MONTH($AC$2:$AX$2)=MONTH(BP$3))*$AC39:$AX39))</f>
        <v>0</v>
      </c>
      <c r="BQ39" s="164" t="n">
        <f aca="false">IF(AND($BA39&gt;0,$BB39&gt;=$BA39),$AA39*MAX(0,MIN($BB39,EOMONTH(BQ$3,0))-MAX($BA39,BQ$3)+1)/($BB39-$BA39+1),SUMPRODUCT((YEAR($AC$2:$AX$2)=YEAR(BQ$3))*(MONTH($AC$2:$AX$2)=MONTH(BQ$3))*$AC39:$AX39))</f>
        <v>0</v>
      </c>
      <c r="BR39" s="164" t="n">
        <f aca="false">IF(AND($BA39&gt;0,$BB39&gt;=$BA39),$AA39*MAX(0,MIN($BB39,EOMONTH(BR$3,0))-MAX($BA39,BR$3)+1)/($BB39-$BA39+1),SUMPRODUCT((YEAR($AC$2:$AX$2)=YEAR(BR$3))*(MONTH($AC$2:$AX$2)=MONTH(BR$3))*$AC39:$AX39))</f>
        <v>0</v>
      </c>
      <c r="BS39" s="164" t="n">
        <f aca="false">IF(AND($BA39&gt;0,$BB39&gt;=$BA39),$AA39*MAX(0,MIN($BB39,EOMONTH(BS$3,0))-MAX($BA39,BS$3)+1)/($BB39-$BA39+1),SUMPRODUCT((YEAR($AC$2:$AX$2)=YEAR(BS$3))*(MONTH($AC$2:$AX$2)=MONTH(BS$3))*$AC39:$AX39))</f>
        <v>0</v>
      </c>
      <c r="BT39" s="164" t="n">
        <f aca="false">IF(AND($BA39&gt;0,$BB39&gt;=$BA39),$AA39*MAX(0,MIN($BB39,EOMONTH(BT$3,0))-MAX($BA39,BT$3)+1)/($BB39-$BA39+1),SUMPRODUCT((YEAR($AC$2:$AX$2)=YEAR(BT$3))*(MONTH($AC$2:$AX$2)=MONTH(BT$3))*$AC39:$AX39))</f>
        <v>0</v>
      </c>
      <c r="BU39" s="164" t="n">
        <f aca="false">IF(AND($BA39&gt;0,$BB39&gt;=$BA39),$AA39*MAX(0,MIN($BB39,EOMONTH(BU$3,0))-MAX($BA39,BU$3)+1)/($BB39-$BA39+1),SUMPRODUCT((YEAR($AC$2:$AX$2)=YEAR(BU$3))*(MONTH($AC$2:$AX$2)=MONTH(BU$3))*$AC39:$AX39))</f>
        <v>0</v>
      </c>
      <c r="BV39" s="164" t="n">
        <f aca="false">IF(AND($BA39&gt;0,$BB39&gt;=$BA39),$AA39*MAX(0,MIN($BB39,EOMONTH(BV$3,0))-MAX($BA39,BV$3)+1)/($BB39-$BA39+1),SUMPRODUCT((YEAR($AC$2:$AX$2)=YEAR(BV$3))*(MONTH($AC$2:$AX$2)=MONTH(BV$3))*$AC39:$AX39))</f>
        <v>0</v>
      </c>
      <c r="BW39" s="164" t="n">
        <f aca="false">IF(AND($BA39&gt;0,$BB39&gt;=$BA39),$AA39*MAX(0,MIN($BB39,EOMONTH(BW$3,0))-MAX($BA39,BW$3)+1)/($BB39-$BA39+1),SUMPRODUCT((YEAR($AC$2:$AX$2)=YEAR(BW$3))*(MONTH($AC$2:$AX$2)=MONTH(BW$3))*$AC39:$AX39))</f>
        <v>0</v>
      </c>
      <c r="BX39" s="164" t="n">
        <f aca="false">IF(AND($BA39&gt;0,$BB39&gt;=$BA39),$AA39*MAX(0,MIN($BB39,EOMONTH(BX$3,0))-MAX($BA39,BX$3)+1)/($BB39-$BA39+1),SUMPRODUCT((YEAR($AC$2:$AX$2)=YEAR(BX$3))*(MONTH($AC$2:$AX$2)=MONTH(BX$3))*$AC39:$AX39))</f>
        <v>0</v>
      </c>
      <c r="BY39" s="164" t="n">
        <f aca="false">IF(AND($BA39&gt;0,$BB39&gt;=$BA39),$AA39*MAX(0,MIN($BB39,EOMONTH(BY$3,0))-MAX($BA39,BY$3)+1)/($BB39-$BA39+1),SUMPRODUCT((YEAR($AC$2:$AX$2)=YEAR(BY$3))*(MONTH($AC$2:$AX$2)=MONTH(BY$3))*$AC39:$AX39))</f>
        <v>0</v>
      </c>
      <c r="BZ39" s="164" t="n">
        <f aca="false">IF(AND($BA39&gt;0,$BB39&gt;=$BA39),$AA39*MAX(0,MIN($BB39,EOMONTH(BZ$3,0))-MAX($BA39,BZ$3)+1)/($BB39-$BA39+1),SUMPRODUCT((YEAR($AC$2:$AX$2)=YEAR(BZ$3))*(MONTH($AC$2:$AX$2)=MONTH(BZ$3))*$AC39:$AX39))</f>
        <v>0</v>
      </c>
      <c r="CA39" s="164" t="n">
        <f aca="false">IF(AND($BA39&gt;0,$BB39&gt;=$BA39),$AA39*MAX(0,MIN($BB39,EOMONTH(CA$3,0))-MAX($BA39,CA$3)+1)/($BB39-$BA39+1),SUMPRODUCT((YEAR($AC$2:$AX$2)=YEAR(CA$3))*(MONTH($AC$2:$AX$2)=MONTH(CA$3))*$AC39:$AX39))</f>
        <v>0</v>
      </c>
      <c r="CB39" s="164" t="n">
        <f aca="false">IF(AND($BA39&gt;0,$BB39&gt;=$BA39),$AA39*MAX(0,MIN($BB39,EOMONTH(CB$3,0))-MAX($BA39,CB$3)+1)/($BB39-$BA39+1),SUMPRODUCT((YEAR($AC$2:$AX$2)=YEAR(CB$3))*(MONTH($AC$2:$AX$2)=MONTH(CB$3))*$AC39:$AX39))</f>
        <v>0</v>
      </c>
      <c r="CC39" s="164" t="n">
        <f aca="false">IF(AND($BA39&gt;0,$BB39&gt;=$BA39),$AA39*MAX(0,MIN($BB39,EOMONTH(CC$3,0))-MAX($BA39,CC$3)+1)/($BB39-$BA39+1),SUMPRODUCT((YEAR($AC$2:$AX$2)=YEAR(CC$3))*(MONTH($AC$2:$AX$2)=MONTH(CC$3))*$AC39:$AX39))</f>
        <v>0</v>
      </c>
      <c r="CD39" s="164" t="n">
        <f aca="false">IF(AND($BA39&gt;0,$BB39&gt;=$BA39),$AA39*MAX(0,MIN($BB39,EOMONTH(CD$3,0))-MAX($BA39,CD$3)+1)/($BB39-$BA39+1),SUMPRODUCT((YEAR($AC$2:$AX$2)=YEAR(CD$3))*(MONTH($AC$2:$AX$2)=MONTH(CD$3))*$AC39:$AX39))</f>
        <v>0</v>
      </c>
      <c r="CE39" s="164" t="n">
        <f aca="false">IF(AND($BA39&gt;0,$BB39&gt;=$BA39),$AA39*MAX(0,MIN($BB39,EOMONTH(CE$3,0))-MAX($BA39,CE$3)+1)/($BB39-$BA39+1),SUMPRODUCT((YEAR($AC$2:$AX$2)=YEAR(CE$3))*(MONTH($AC$2:$AX$2)=MONTH(CE$3))*$AC39:$AX39))</f>
        <v>0</v>
      </c>
      <c r="CF39" s="164" t="n">
        <f aca="false">IF(AND($BA39&gt;0,$BB39&gt;=$BA39),$AA39*MAX(0,MIN($BB39,EOMONTH(CF$3,0))-MAX($BA39,CF$3)+1)/($BB39-$BA39+1),SUMPRODUCT((YEAR($AC$2:$AX$2)=YEAR(CF$3))*(MONTH($AC$2:$AX$2)=MONTH(CF$3))*$AC39:$AX39))</f>
        <v>0</v>
      </c>
      <c r="CG39" s="164" t="n">
        <f aca="false">IF(AND($BA39&gt;0,$BB39&gt;=$BA39),$AA39*MAX(0,MIN($BB39,EOMONTH(CG$3,0))-MAX($BA39,CG$3)+1)/($BB39-$BA39+1),SUMPRODUCT((YEAR($AC$2:$AX$2)=YEAR(CG$3))*(MONTH($AC$2:$AX$2)=MONTH(CG$3))*$AC39:$AX39))</f>
        <v>0</v>
      </c>
      <c r="CH39" s="164" t="n">
        <f aca="false">IF(AND($BA39&gt;0,$BB39&gt;=$BA39),$AA39*MAX(0,MIN($BB39,EOMONTH(CH$3,0))-MAX($BA39,CH$3)+1)/($BB39-$BA39+1),SUMPRODUCT((YEAR($AC$2:$AX$2)=YEAR(CH$3))*(MONTH($AC$2:$AX$2)=MONTH(CH$3))*$AC39:$AX39))</f>
        <v>0</v>
      </c>
      <c r="CI39" s="164" t="n">
        <f aca="false">IF(AND($BA39&gt;0,$BB39&gt;=$BA39),$AA39*MAX(0,MIN($BB39,EOMONTH(CI$3,0))-MAX($BA39,CI$3)+1)/($BB39-$BA39+1),SUMPRODUCT((YEAR($AC$2:$AX$2)=YEAR(CI$3))*(MONTH($AC$2:$AX$2)=MONTH(CI$3))*$AC39:$AX39))</f>
        <v>0</v>
      </c>
      <c r="CJ39" s="164" t="n">
        <f aca="false">IF(AND($BA39&gt;0,$BB39&gt;=$BA39),$AA39*MAX(0,MIN($BB39,EOMONTH(CJ$3,0))-MAX($BA39,CJ$3)+1)/($BB39-$BA39+1),SUMPRODUCT((YEAR($AC$2:$AX$2)=YEAR(CJ$3))*(MONTH($AC$2:$AX$2)=MONTH(CJ$3))*$AC39:$AX39))</f>
        <v>0</v>
      </c>
      <c r="CK39" s="164" t="n">
        <f aca="false">IF(AND($BA39&gt;0,$BB39&gt;=$BA39),$AA39*MAX(0,MIN($BB39,EOMONTH(CK$3,0))-MAX($BA39,CK$3)+1)/($BB39-$BA39+1),SUMPRODUCT((YEAR($AC$2:$AX$2)=YEAR(CK$3))*(MONTH($AC$2:$AX$2)=MONTH(CK$3))*$AC39:$AX39))</f>
        <v>0</v>
      </c>
      <c r="CL39" s="164" t="n">
        <f aca="false">IF(AND($BA39&gt;0,$BB39&gt;=$BA39),$AA39*MAX(0,MIN($BB39,EOMONTH(CL$3,0))-MAX($BA39,CL$3)+1)/($BB39-$BA39+1),SUMPRODUCT((YEAR($AC$2:$AX$2)=YEAR(CL$3))*(MONTH($AC$2:$AX$2)=MONTH(CL$3))*$AC39:$AX39))</f>
        <v>0</v>
      </c>
      <c r="CM39" s="164" t="n">
        <f aca="false">IF(AND($BA39&gt;0,$BB39&gt;=$BA39),$AA39*MAX(0,MIN($BB39,EOMONTH(CM$3,0))-MAX($BA39,CM$3)+1)/($BB39-$BA39+1),SUMPRODUCT((YEAR($AC$2:$AX$2)=YEAR(CM$3))*(MONTH($AC$2:$AX$2)=MONTH(CM$3))*$AC39:$AX39))</f>
        <v>0</v>
      </c>
      <c r="CN39" s="164" t="n">
        <f aca="false">IF(AND($BA39&gt;0,$BB39&gt;=$BA39),$AA39*MAX(0,MIN($BB39,EOMONTH(CN$3,0))-MAX($BA39,CN$3)+1)/($BB39-$BA39+1),SUMPRODUCT((YEAR($AC$2:$AX$2)=YEAR(CN$3))*(MONTH($AC$2:$AX$2)=MONTH(CN$3))*$AC39:$AX39))</f>
        <v>0</v>
      </c>
      <c r="CO39" s="164" t="n">
        <f aca="false">IF(AND($BA39&gt;0,$BB39&gt;=$BA39),$AA39*MAX(0,MIN($BB39,EOMONTH(CO$3,0))-MAX($BA39,CO$3)+1)/($BB39-$BA39+1),SUMPRODUCT((YEAR($AC$2:$AX$2)=YEAR(CO$3))*(MONTH($AC$2:$AX$2)=MONTH(CO$3))*$AC39:$AX39))</f>
        <v>0</v>
      </c>
      <c r="CP39" s="164" t="n">
        <f aca="false">IF(AND($BA39&gt;0,$BB39&gt;=$BA39),$AA39*MAX(0,MIN($BB39,EOMONTH(CP$3,0))-MAX($BA39,CP$3)+1)/($BB39-$BA39+1),SUMPRODUCT((YEAR($AC$2:$AX$2)=YEAR(CP$3))*(MONTH($AC$2:$AX$2)=MONTH(CP$3))*$AC39:$AX39))</f>
        <v>0</v>
      </c>
      <c r="CQ39" s="164" t="n">
        <f aca="false">IF(AND($BA39&gt;0,$BB39&gt;=$BA39),$AA39*MAX(0,MIN($BB39,EOMONTH(CQ$3,0))-MAX($BA39,CQ$3)+1)/($BB39-$BA39+1),SUMPRODUCT((YEAR($AC$2:$AX$2)=YEAR(CQ$3))*(MONTH($AC$2:$AX$2)=MONTH(CQ$3))*$AC39:$AX39))</f>
        <v>0</v>
      </c>
      <c r="CR39" s="164" t="n">
        <f aca="false">IF(AND($BA39&gt;0,$BB39&gt;=$BA39),$AA39*MAX(0,MIN($BB39,EOMONTH(CR$3,0))-MAX($BA39,CR$3)+1)/($BB39-$BA39+1),SUMPRODUCT((YEAR($AC$2:$AX$2)=YEAR(CR$3))*(MONTH($AC$2:$AX$2)=MONTH(CR$3))*$AC39:$AX39))</f>
        <v>0</v>
      </c>
      <c r="CS39" s="164" t="n">
        <f aca="false">IF(AND($BA39&gt;0,$BB39&gt;=$BA39),$AA39*MAX(0,MIN($BB39,EOMONTH(CS$3,0))-MAX($BA39,CS$3)+1)/($BB39-$BA39+1),SUMPRODUCT((YEAR($AC$2:$AX$2)=YEAR(CS$3))*(MONTH($AC$2:$AX$2)=MONTH(CS$3))*$AC39:$AX39))</f>
        <v>0</v>
      </c>
      <c r="CT39" s="164" t="n">
        <f aca="false">IF(AND($BA39&gt;0,$BB39&gt;=$BA39),$AA39*MAX(0,MIN($BB39,EOMONTH(CT$3,0))-MAX($BA39,CT$3)+1)/($BB39-$BA39+1),SUMPRODUCT((YEAR($AC$2:$AX$2)=YEAR(CT$3))*(MONTH($AC$2:$AX$2)=MONTH(CT$3))*$AC39:$AX39))</f>
        <v>0</v>
      </c>
      <c r="CU39" s="164" t="n">
        <f aca="false">IF(AND($BA39&gt;0,$BB39&gt;=$BA39),$AA39*MAX(0,MIN($BB39,EOMONTH(CU$3,0))-MAX($BA39,CU$3)+1)/($BB39-$BA39+1),SUMPRODUCT((YEAR($AC$2:$AX$2)=YEAR(CU$3))*(MONTH($AC$2:$AX$2)=MONTH(CU$3))*$AC39:$AX39))</f>
        <v>0</v>
      </c>
      <c r="CV39" s="164" t="n">
        <f aca="false">IF(AND($BA39&gt;0,$BB39&gt;=$BA39),$AA39*MAX(0,MIN($BB39,EOMONTH(CV$3,0))-MAX($BA39,CV$3)+1)/($BB39-$BA39+1),SUMPRODUCT((YEAR($AC$2:$AX$2)=YEAR(CV$3))*(MONTH($AC$2:$AX$2)=MONTH(CV$3))*$AC39:$AX39))</f>
        <v>0</v>
      </c>
      <c r="CW39" s="164" t="n">
        <f aca="false">IF(AND($BA39&gt;0,$BB39&gt;=$BA39),$AA39*MAX(0,MIN($BB39,EOMONTH(CW$3,0))-MAX($BA39,CW$3)+1)/($BB39-$BA39+1),SUMPRODUCT((YEAR($AC$2:$AX$2)=YEAR(CW$3))*(MONTH($AC$2:$AX$2)=MONTH(CW$3))*$AC39:$AX39))</f>
        <v>0</v>
      </c>
      <c r="CX39" s="164" t="n">
        <f aca="false">IF(AND($BA39&gt;0,$BB39&gt;=$BA39),$AA39*MAX(0,MIN($BB39,EOMONTH(CX$3,0))-MAX($BA39,CX$3)+1)/($BB39-$BA39+1),SUMPRODUCT((YEAR($AC$2:$AX$2)=YEAR(CX$3))*(MONTH($AC$2:$AX$2)=MONTH(CX$3))*$AC39:$AX39))</f>
        <v>0</v>
      </c>
      <c r="CY39" s="164" t="n">
        <f aca="false">IF(AND($BA39&gt;0,$BB39&gt;=$BA39),$AA39*MAX(0,MIN($BB39,EOMONTH(CY$3,0))-MAX($BA39,CY$3)+1)/($BB39-$BA39+1),SUMPRODUCT((YEAR($AC$2:$AX$2)=YEAR(CY$3))*(MONTH($AC$2:$AX$2)=MONTH(CY$3))*$AC39:$AX39))</f>
        <v>0</v>
      </c>
      <c r="CZ39" s="164" t="n">
        <f aca="false">IF(AND($BA39&gt;0,$BB39&gt;=$BA39),$AA39*MAX(0,MIN($BB39,EOMONTH(CZ$3,0))-MAX($BA39,CZ$3)+1)/($BB39-$BA39+1),SUMPRODUCT((YEAR($AC$2:$AX$2)=YEAR(CZ$3))*(MONTH($AC$2:$AX$2)=MONTH(CZ$3))*$AC39:$AX39))</f>
        <v>0</v>
      </c>
      <c r="DA39" s="164" t="n">
        <f aca="false">IF(AND($BA39&gt;0,$BB39&gt;=$BA39),$AA39*MAX(0,MIN($BB39,EOMONTH(DA$3,0))-MAX($BA39,DA$3)+1)/($BB39-$BA39+1),SUMPRODUCT((YEAR($AC$2:$AX$2)=YEAR(DA$3))*(MONTH($AC$2:$AX$2)=MONTH(DA$3))*$AC39:$AX39))</f>
        <v>0</v>
      </c>
      <c r="DB39" s="164" t="n">
        <f aca="false">IF(AND($BA39&gt;0,$BB39&gt;=$BA39),$AA39*MAX(0,MIN($BB39,EOMONTH(DB$3,0))-MAX($BA39,DB$3)+1)/($BB39-$BA39+1),SUMPRODUCT((YEAR($AC$2:$AX$2)=YEAR(DB$3))*(MONTH($AC$2:$AX$2)=MONTH(DB$3))*$AC39:$AX39))</f>
        <v>0</v>
      </c>
      <c r="DC39" s="164" t="n">
        <f aca="false">IF(AND($BA39&gt;0,$BB39&gt;=$BA39),$AA39*MAX(0,MIN($BB39,EOMONTH(DC$3,0))-MAX($BA39,DC$3)+1)/($BB39-$BA39+1),SUMPRODUCT((YEAR($AC$2:$AX$2)=YEAR(DC$3))*(MONTH($AC$2:$AX$2)=MONTH(DC$3))*$AC39:$AX39))</f>
        <v>0</v>
      </c>
      <c r="DD39" s="164" t="n">
        <f aca="false">IF(AND($BA39&gt;0,$BB39&gt;=$BA39),$AA39*MAX(0,MIN($BB39,EOMONTH(DD$3,0))-MAX($BA39,DD$3)+1)/($BB39-$BA39+1),SUMPRODUCT((YEAR($AC$2:$AX$2)=YEAR(DD$3))*(MONTH($AC$2:$AX$2)=MONTH(DD$3))*$AC39:$AX39))</f>
        <v>0</v>
      </c>
      <c r="DE39" s="164" t="n">
        <f aca="false">IF(AND($BA39&gt;0,$BB39&gt;=$BA39),$AA39*MAX(0,MIN($BB39,EOMONTH(DE$3,0))-MAX($BA39,DE$3)+1)/($BB39-$BA39+1),SUMPRODUCT((YEAR($AC$2:$AX$2)=YEAR(DE$3))*(MONTH($AC$2:$AX$2)=MONTH(DE$3))*$AC39:$AX39))</f>
        <v>0</v>
      </c>
      <c r="DF39" s="164" t="n">
        <f aca="false">IF(AND($BA39&gt;0,$BB39&gt;=$BA39),$AA39*MAX(0,MIN($BB39,EOMONTH(DF$3,0))-MAX($BA39,DF$3)+1)/($BB39-$BA39+1),SUMPRODUCT((YEAR($AC$2:$AX$2)=YEAR(DF$3))*(MONTH($AC$2:$AX$2)=MONTH(DF$3))*$AC39:$AX39))</f>
        <v>0</v>
      </c>
      <c r="DG39" s="164" t="n">
        <f aca="false">IF(AND($BA39&gt;0,$BB39&gt;=$BA39),$AA39*MAX(0,MIN($BB39,EOMONTH(DG$3,0))-MAX($BA39,DG$3)+1)/($BB39-$BA39+1),SUMPRODUCT((YEAR($AC$2:$AX$2)=YEAR(DG$3))*(MONTH($AC$2:$AX$2)=MONTH(DG$3))*$AC39:$AX39))</f>
        <v>0</v>
      </c>
      <c r="DH39" s="164" t="n">
        <f aca="false">IF(AND($BA39&gt;0,$BB39&gt;=$BA39),$AA39*MAX(0,MIN($BB39,EOMONTH(DH$3,0))-MAX($BA39,DH$3)+1)/($BB39-$BA39+1),SUMPRODUCT((YEAR($AC$2:$AX$2)=YEAR(DH$3))*(MONTH($AC$2:$AX$2)=MONTH(DH$3))*$AC39:$AX39))</f>
        <v>0</v>
      </c>
      <c r="DI39" s="164" t="n">
        <f aca="false">IF(AND($BA39&gt;0,$BB39&gt;=$BA39),$AA39*MAX(0,MIN($BB39,EOMONTH(DI$3,0))-MAX($BA39,DI$3)+1)/($BB39-$BA39+1),SUMPRODUCT((YEAR($AC$2:$AX$2)=YEAR(DI$3))*(MONTH($AC$2:$AX$2)=MONTH(DI$3))*$AC39:$AX39))</f>
        <v>0</v>
      </c>
      <c r="DJ39" s="164" t="n">
        <f aca="false">IF(AND($BA39&gt;0,$BB39&gt;=$BA39),$AA39*MAX(0,MIN($BB39,EOMONTH(DJ$3,0))-MAX($BA39,DJ$3)+1)/($BB39-$BA39+1),SUMPRODUCT((YEAR($AC$2:$AX$2)=YEAR(DJ$3))*(MONTH($AC$2:$AX$2)=MONTH(DJ$3))*$AC39:$AX39))</f>
        <v>0</v>
      </c>
      <c r="DK39" s="164" t="n">
        <f aca="false">IF(AND($BA39&gt;0,$BB39&gt;=$BA39),$AA39*MAX(0,MIN($BB39,EOMONTH(DK$3,0))-MAX($BA39,DK$3)+1)/($BB39-$BA39+1),SUMPRODUCT((YEAR($AC$2:$AX$2)=YEAR(DK$3))*(MONTH($AC$2:$AX$2)=MONTH(DK$3))*$AC39:$AX39))</f>
        <v>0</v>
      </c>
      <c r="DL39" s="164" t="n">
        <f aca="false">IF(AND($BA39&gt;0,$BB39&gt;=$BA39),$AA39*MAX(0,MIN($BB39,EOMONTH(DL$3,0))-MAX($BA39,DL$3)+1)/($BB39-$BA39+1),SUMPRODUCT((YEAR($AC$2:$AX$2)=YEAR(DL$3))*(MONTH($AC$2:$AX$2)=MONTH(DL$3))*$AC39:$AX39))</f>
        <v>0</v>
      </c>
      <c r="DM39" s="164" t="n">
        <f aca="false">IF(AND($BA39&gt;0,$BB39&gt;=$BA39),$AA39*MAX(0,MIN($BB39,EOMONTH(DM$3,0))-MAX($BA39,DM$3)+1)/($BB39-$BA39+1),SUMPRODUCT((YEAR($AC$2:$AX$2)=YEAR(DM$3))*(MONTH($AC$2:$AX$2)=MONTH(DM$3))*$AC39:$AX39))</f>
        <v>0</v>
      </c>
      <c r="DN39" s="164" t="n">
        <f aca="false">IF(AND($BA39&gt;0,$BB39&gt;=$BA39),$AA39*MAX(0,MIN($BB39,EOMONTH(DN$3,0))-MAX($BA39,DN$3)+1)/($BB39-$BA39+1),SUMPRODUCT((YEAR($AC$2:$AX$2)=YEAR(DN$3))*(MONTH($AC$2:$AX$2)=MONTH(DN$3))*$AC39:$AX39))</f>
        <v>0</v>
      </c>
      <c r="DO39" s="164" t="n">
        <f aca="false">IF(AND($BA39&gt;0,$BB39&gt;=$BA39),$AA39*MAX(0,MIN($BB39,EOMONTH(DO$3,0))-MAX($BA39,DO$3)+1)/($BB39-$BA39+1),SUMPRODUCT((YEAR($AC$2:$AX$2)=YEAR(DO$3))*(MONTH($AC$2:$AX$2)=MONTH(DO$3))*$AC39:$AX39))</f>
        <v>0</v>
      </c>
      <c r="DP39" s="164" t="n">
        <f aca="false">IF(AND($BA39&gt;0,$BB39&gt;=$BA39),$AA39*MAX(0,MIN($BB39,EOMONTH(DP$3,0))-MAX($BA39,DP$3)+1)/($BB39-$BA39+1),SUMPRODUCT((YEAR($AC$2:$AX$2)=YEAR(DP$3))*(MONTH($AC$2:$AX$2)=MONTH(DP$3))*$AC39:$AX39))</f>
        <v>0</v>
      </c>
      <c r="DQ39" s="164" t="n">
        <f aca="false">IF(AND($BA39&gt;0,$BB39&gt;=$BA39),$AA39*MAX(0,MIN($BB39,EOMONTH(DQ$3,0))-MAX($BA39,DQ$3)+1)/($BB39-$BA39+1),SUMPRODUCT((YEAR($AC$2:$AX$2)=YEAR(DQ$3))*(MONTH($AC$2:$AX$2)=MONTH(DQ$3))*$AC39:$AX39))</f>
        <v>0</v>
      </c>
      <c r="DR39" s="164" t="n">
        <f aca="false">IF(AND($BA39&gt;0,$BB39&gt;=$BA39),$AA39*MAX(0,MIN($BB39,EOMONTH(DR$3,0))-MAX($BA39,DR$3)+1)/($BB39-$BA39+1),SUMPRODUCT((YEAR($AC$2:$AX$2)=YEAR(DR$3))*(MONTH($AC$2:$AX$2)=MONTH(DR$3))*$AC39:$AX39))</f>
        <v>0</v>
      </c>
      <c r="DS39" s="164" t="n">
        <f aca="false">IF(AND($BA39&gt;0,$BB39&gt;=$BA39),$AA39*MAX(0,MIN($BB39,EOMONTH(DS$3,0))-MAX($BA39,DS$3)+1)/($BB39-$BA39+1),SUMPRODUCT((YEAR($AC$2:$AX$2)=YEAR(DS$3))*(MONTH($AC$2:$AX$2)=MONTH(DS$3))*$AC39:$AX39))</f>
        <v>0</v>
      </c>
      <c r="DT39" s="164" t="n">
        <f aca="false">IF(AND($BA39&gt;0,$BB39&gt;=$BA39),$AA39*MAX(0,MIN($BB39,EOMONTH(DT$3,0))-MAX($BA39,DT$3)+1)/($BB39-$BA39+1),SUMPRODUCT((YEAR($AC$2:$AX$2)=YEAR(DT$3))*(MONTH($AC$2:$AX$2)=MONTH(DT$3))*$AC39:$AX39))</f>
        <v>0</v>
      </c>
      <c r="DU39" s="164" t="n">
        <f aca="false">IF(AND($BA39&gt;0,$BB39&gt;=$BA39),$AA39*MAX(0,MIN($BB39,EOMONTH(DU$3,0))-MAX($BA39,DU$3)+1)/($BB39-$BA39+1),SUMPRODUCT((YEAR($AC$2:$AX$2)=YEAR(DU$3))*(MONTH($AC$2:$AX$2)=MONTH(DU$3))*$AC39:$AX39))</f>
        <v>0</v>
      </c>
      <c r="DV39" s="164" t="n">
        <f aca="false">IF(AND($BA39&gt;0,$BB39&gt;=$BA39),$AA39*MAX(0,MIN($BB39,EOMONTH(DV$3,0))-MAX($BA39,DV$3)+1)/($BB39-$BA39+1),SUMPRODUCT((YEAR($AC$2:$AX$2)=YEAR(DV$3))*(MONTH($AC$2:$AX$2)=MONTH(DV$3))*$AC39:$AX39))</f>
        <v>0</v>
      </c>
      <c r="DW39" s="164" t="n">
        <f aca="false">IF(AND($BA39&gt;0,$BB39&gt;=$BA39),$AA39*MAX(0,MIN($BB39,EOMONTH(DW$3,0))-MAX($BA39,DW$3)+1)/($BB39-$BA39+1),SUMPRODUCT((YEAR($AC$2:$AX$2)=YEAR(DW$3))*(MONTH($AC$2:$AX$2)=MONTH(DW$3))*$AC39:$AX39))</f>
        <v>0</v>
      </c>
    </row>
    <row r="40" customFormat="false" ht="15" hidden="false" customHeight="false" outlineLevel="0" collapsed="false">
      <c r="H40" s="151" t="s">
        <v>825</v>
      </c>
      <c r="AA40" s="149" t="n">
        <f aca="false">SUM(S40:Y40)</f>
        <v>0</v>
      </c>
      <c r="AZ40" s="162"/>
      <c r="BA40" s="163" t="n">
        <f aca="false">IF(AZ40="",0,SUMPRODUCT(('CRONOGRAMA ATIVIDADES'!$C$5:$C$6004="ESTRUTURA")*('CRONOGRAMA ATIVIDADES'!$E$5:$E$6004=AZ40)*('CRONOGRAMA ATIVIDADES'!$D$5:$D$6004="-")*'CRONOGRAMA ATIVIDADES'!$F$5:$F$6004))</f>
        <v>0</v>
      </c>
      <c r="BB40" s="163" t="n">
        <f aca="false">IF(AZ40="",0,SUMPRODUCT(('CRONOGRAMA ATIVIDADES'!$C$5:$C$6004="ESTRUTURA")*('CRONOGRAMA ATIVIDADES'!$E$5:$E$6004=AZ40)*('CRONOGRAMA ATIVIDADES'!$D$5:$D$6004="-")*'CRONOGRAMA ATIVIDADES'!$G$5:$G$6004))</f>
        <v>0</v>
      </c>
      <c r="BD40" s="164" t="n">
        <f aca="false">IF(AND($BA40&gt;0,$BB40&gt;=$BA40),$AA40*MAX(0,MIN($BB40,EOMONTH(BD$3,0))-MAX($BA40,BD$3)+1)/($BB40-$BA40+1),SUMPRODUCT((YEAR($AC$2:$AX$2)=YEAR(BD$3))*(MONTH($AC$2:$AX$2)=MONTH(BD$3))*$AC40:$AX40))</f>
        <v>0</v>
      </c>
      <c r="BE40" s="164" t="n">
        <f aca="false">IF(AND($BA40&gt;0,$BB40&gt;=$BA40),$AA40*MAX(0,MIN($BB40,EOMONTH(BE$3,0))-MAX($BA40,BE$3)+1)/($BB40-$BA40+1),SUMPRODUCT((YEAR($AC$2:$AX$2)=YEAR(BE$3))*(MONTH($AC$2:$AX$2)=MONTH(BE$3))*$AC40:$AX40))</f>
        <v>0</v>
      </c>
      <c r="BF40" s="164" t="n">
        <f aca="false">IF(AND($BA40&gt;0,$BB40&gt;=$BA40),$AA40*MAX(0,MIN($BB40,EOMONTH(BF$3,0))-MAX($BA40,BF$3)+1)/($BB40-$BA40+1),SUMPRODUCT((YEAR($AC$2:$AX$2)=YEAR(BF$3))*(MONTH($AC$2:$AX$2)=MONTH(BF$3))*$AC40:$AX40))</f>
        <v>0</v>
      </c>
      <c r="BG40" s="164" t="n">
        <f aca="false">IF(AND($BA40&gt;0,$BB40&gt;=$BA40),$AA40*MAX(0,MIN($BB40,EOMONTH(BG$3,0))-MAX($BA40,BG$3)+1)/($BB40-$BA40+1),SUMPRODUCT((YEAR($AC$2:$AX$2)=YEAR(BG$3))*(MONTH($AC$2:$AX$2)=MONTH(BG$3))*$AC40:$AX40))</f>
        <v>0</v>
      </c>
      <c r="BH40" s="164" t="n">
        <f aca="false">IF(AND($BA40&gt;0,$BB40&gt;=$BA40),$AA40*MAX(0,MIN($BB40,EOMONTH(BH$3,0))-MAX($BA40,BH$3)+1)/($BB40-$BA40+1),SUMPRODUCT((YEAR($AC$2:$AX$2)=YEAR(BH$3))*(MONTH($AC$2:$AX$2)=MONTH(BH$3))*$AC40:$AX40))</f>
        <v>0</v>
      </c>
      <c r="BI40" s="164" t="n">
        <f aca="false">IF(AND($BA40&gt;0,$BB40&gt;=$BA40),$AA40*MAX(0,MIN($BB40,EOMONTH(BI$3,0))-MAX($BA40,BI$3)+1)/($BB40-$BA40+1),SUMPRODUCT((YEAR($AC$2:$AX$2)=YEAR(BI$3))*(MONTH($AC$2:$AX$2)=MONTH(BI$3))*$AC40:$AX40))</f>
        <v>0</v>
      </c>
      <c r="BJ40" s="164" t="n">
        <f aca="false">IF(AND($BA40&gt;0,$BB40&gt;=$BA40),$AA40*MAX(0,MIN($BB40,EOMONTH(BJ$3,0))-MAX($BA40,BJ$3)+1)/($BB40-$BA40+1),SUMPRODUCT((YEAR($AC$2:$AX$2)=YEAR(BJ$3))*(MONTH($AC$2:$AX$2)=MONTH(BJ$3))*$AC40:$AX40))</f>
        <v>0</v>
      </c>
      <c r="BK40" s="164" t="n">
        <f aca="false">IF(AND($BA40&gt;0,$BB40&gt;=$BA40),$AA40*MAX(0,MIN($BB40,EOMONTH(BK$3,0))-MAX($BA40,BK$3)+1)/($BB40-$BA40+1),SUMPRODUCT((YEAR($AC$2:$AX$2)=YEAR(BK$3))*(MONTH($AC$2:$AX$2)=MONTH(BK$3))*$AC40:$AX40))</f>
        <v>0</v>
      </c>
      <c r="BL40" s="164" t="n">
        <f aca="false">IF(AND($BA40&gt;0,$BB40&gt;=$BA40),$AA40*MAX(0,MIN($BB40,EOMONTH(BL$3,0))-MAX($BA40,BL$3)+1)/($BB40-$BA40+1),SUMPRODUCT((YEAR($AC$2:$AX$2)=YEAR(BL$3))*(MONTH($AC$2:$AX$2)=MONTH(BL$3))*$AC40:$AX40))</f>
        <v>0</v>
      </c>
      <c r="BM40" s="164" t="n">
        <f aca="false">IF(AND($BA40&gt;0,$BB40&gt;=$BA40),$AA40*MAX(0,MIN($BB40,EOMONTH(BM$3,0))-MAX($BA40,BM$3)+1)/($BB40-$BA40+1),SUMPRODUCT((YEAR($AC$2:$AX$2)=YEAR(BM$3))*(MONTH($AC$2:$AX$2)=MONTH(BM$3))*$AC40:$AX40))</f>
        <v>0</v>
      </c>
      <c r="BN40" s="164" t="n">
        <f aca="false">IF(AND($BA40&gt;0,$BB40&gt;=$BA40),$AA40*MAX(0,MIN($BB40,EOMONTH(BN$3,0))-MAX($BA40,BN$3)+1)/($BB40-$BA40+1),SUMPRODUCT((YEAR($AC$2:$AX$2)=YEAR(BN$3))*(MONTH($AC$2:$AX$2)=MONTH(BN$3))*$AC40:$AX40))</f>
        <v>0</v>
      </c>
      <c r="BO40" s="164" t="n">
        <f aca="false">IF(AND($BA40&gt;0,$BB40&gt;=$BA40),$AA40*MAX(0,MIN($BB40,EOMONTH(BO$3,0))-MAX($BA40,BO$3)+1)/($BB40-$BA40+1),SUMPRODUCT((YEAR($AC$2:$AX$2)=YEAR(BO$3))*(MONTH($AC$2:$AX$2)=MONTH(BO$3))*$AC40:$AX40))</f>
        <v>0</v>
      </c>
      <c r="BP40" s="164" t="n">
        <f aca="false">IF(AND($BA40&gt;0,$BB40&gt;=$BA40),$AA40*MAX(0,MIN($BB40,EOMONTH(BP$3,0))-MAX($BA40,BP$3)+1)/($BB40-$BA40+1),SUMPRODUCT((YEAR($AC$2:$AX$2)=YEAR(BP$3))*(MONTH($AC$2:$AX$2)=MONTH(BP$3))*$AC40:$AX40))</f>
        <v>0</v>
      </c>
      <c r="BQ40" s="164" t="n">
        <f aca="false">IF(AND($BA40&gt;0,$BB40&gt;=$BA40),$AA40*MAX(0,MIN($BB40,EOMONTH(BQ$3,0))-MAX($BA40,BQ$3)+1)/($BB40-$BA40+1),SUMPRODUCT((YEAR($AC$2:$AX$2)=YEAR(BQ$3))*(MONTH($AC$2:$AX$2)=MONTH(BQ$3))*$AC40:$AX40))</f>
        <v>0</v>
      </c>
      <c r="BR40" s="164" t="n">
        <f aca="false">IF(AND($BA40&gt;0,$BB40&gt;=$BA40),$AA40*MAX(0,MIN($BB40,EOMONTH(BR$3,0))-MAX($BA40,BR$3)+1)/($BB40-$BA40+1),SUMPRODUCT((YEAR($AC$2:$AX$2)=YEAR(BR$3))*(MONTH($AC$2:$AX$2)=MONTH(BR$3))*$AC40:$AX40))</f>
        <v>0</v>
      </c>
      <c r="BS40" s="164" t="n">
        <f aca="false">IF(AND($BA40&gt;0,$BB40&gt;=$BA40),$AA40*MAX(0,MIN($BB40,EOMONTH(BS$3,0))-MAX($BA40,BS$3)+1)/($BB40-$BA40+1),SUMPRODUCT((YEAR($AC$2:$AX$2)=YEAR(BS$3))*(MONTH($AC$2:$AX$2)=MONTH(BS$3))*$AC40:$AX40))</f>
        <v>0</v>
      </c>
      <c r="BT40" s="164" t="n">
        <f aca="false">IF(AND($BA40&gt;0,$BB40&gt;=$BA40),$AA40*MAX(0,MIN($BB40,EOMONTH(BT$3,0))-MAX($BA40,BT$3)+1)/($BB40-$BA40+1),SUMPRODUCT((YEAR($AC$2:$AX$2)=YEAR(BT$3))*(MONTH($AC$2:$AX$2)=MONTH(BT$3))*$AC40:$AX40))</f>
        <v>0</v>
      </c>
      <c r="BU40" s="164" t="n">
        <f aca="false">IF(AND($BA40&gt;0,$BB40&gt;=$BA40),$AA40*MAX(0,MIN($BB40,EOMONTH(BU$3,0))-MAX($BA40,BU$3)+1)/($BB40-$BA40+1),SUMPRODUCT((YEAR($AC$2:$AX$2)=YEAR(BU$3))*(MONTH($AC$2:$AX$2)=MONTH(BU$3))*$AC40:$AX40))</f>
        <v>0</v>
      </c>
      <c r="BV40" s="164" t="n">
        <f aca="false">IF(AND($BA40&gt;0,$BB40&gt;=$BA40),$AA40*MAX(0,MIN($BB40,EOMONTH(BV$3,0))-MAX($BA40,BV$3)+1)/($BB40-$BA40+1),SUMPRODUCT((YEAR($AC$2:$AX$2)=YEAR(BV$3))*(MONTH($AC$2:$AX$2)=MONTH(BV$3))*$AC40:$AX40))</f>
        <v>0</v>
      </c>
      <c r="BW40" s="164" t="n">
        <f aca="false">IF(AND($BA40&gt;0,$BB40&gt;=$BA40),$AA40*MAX(0,MIN($BB40,EOMONTH(BW$3,0))-MAX($BA40,BW$3)+1)/($BB40-$BA40+1),SUMPRODUCT((YEAR($AC$2:$AX$2)=YEAR(BW$3))*(MONTH($AC$2:$AX$2)=MONTH(BW$3))*$AC40:$AX40))</f>
        <v>0</v>
      </c>
      <c r="BX40" s="164" t="n">
        <f aca="false">IF(AND($BA40&gt;0,$BB40&gt;=$BA40),$AA40*MAX(0,MIN($BB40,EOMONTH(BX$3,0))-MAX($BA40,BX$3)+1)/($BB40-$BA40+1),SUMPRODUCT((YEAR($AC$2:$AX$2)=YEAR(BX$3))*(MONTH($AC$2:$AX$2)=MONTH(BX$3))*$AC40:$AX40))</f>
        <v>0</v>
      </c>
      <c r="BY40" s="164" t="n">
        <f aca="false">IF(AND($BA40&gt;0,$BB40&gt;=$BA40),$AA40*MAX(0,MIN($BB40,EOMONTH(BY$3,0))-MAX($BA40,BY$3)+1)/($BB40-$BA40+1),SUMPRODUCT((YEAR($AC$2:$AX$2)=YEAR(BY$3))*(MONTH($AC$2:$AX$2)=MONTH(BY$3))*$AC40:$AX40))</f>
        <v>0</v>
      </c>
      <c r="BZ40" s="164" t="n">
        <f aca="false">IF(AND($BA40&gt;0,$BB40&gt;=$BA40),$AA40*MAX(0,MIN($BB40,EOMONTH(BZ$3,0))-MAX($BA40,BZ$3)+1)/($BB40-$BA40+1),SUMPRODUCT((YEAR($AC$2:$AX$2)=YEAR(BZ$3))*(MONTH($AC$2:$AX$2)=MONTH(BZ$3))*$AC40:$AX40))</f>
        <v>0</v>
      </c>
      <c r="CA40" s="164" t="n">
        <f aca="false">IF(AND($BA40&gt;0,$BB40&gt;=$BA40),$AA40*MAX(0,MIN($BB40,EOMONTH(CA$3,0))-MAX($BA40,CA$3)+1)/($BB40-$BA40+1),SUMPRODUCT((YEAR($AC$2:$AX$2)=YEAR(CA$3))*(MONTH($AC$2:$AX$2)=MONTH(CA$3))*$AC40:$AX40))</f>
        <v>0</v>
      </c>
      <c r="CB40" s="164" t="n">
        <f aca="false">IF(AND($BA40&gt;0,$BB40&gt;=$BA40),$AA40*MAX(0,MIN($BB40,EOMONTH(CB$3,0))-MAX($BA40,CB$3)+1)/($BB40-$BA40+1),SUMPRODUCT((YEAR($AC$2:$AX$2)=YEAR(CB$3))*(MONTH($AC$2:$AX$2)=MONTH(CB$3))*$AC40:$AX40))</f>
        <v>0</v>
      </c>
      <c r="CC40" s="164" t="n">
        <f aca="false">IF(AND($BA40&gt;0,$BB40&gt;=$BA40),$AA40*MAX(0,MIN($BB40,EOMONTH(CC$3,0))-MAX($BA40,CC$3)+1)/($BB40-$BA40+1),SUMPRODUCT((YEAR($AC$2:$AX$2)=YEAR(CC$3))*(MONTH($AC$2:$AX$2)=MONTH(CC$3))*$AC40:$AX40))</f>
        <v>0</v>
      </c>
      <c r="CD40" s="164" t="n">
        <f aca="false">IF(AND($BA40&gt;0,$BB40&gt;=$BA40),$AA40*MAX(0,MIN($BB40,EOMONTH(CD$3,0))-MAX($BA40,CD$3)+1)/($BB40-$BA40+1),SUMPRODUCT((YEAR($AC$2:$AX$2)=YEAR(CD$3))*(MONTH($AC$2:$AX$2)=MONTH(CD$3))*$AC40:$AX40))</f>
        <v>0</v>
      </c>
      <c r="CE40" s="164" t="n">
        <f aca="false">IF(AND($BA40&gt;0,$BB40&gt;=$BA40),$AA40*MAX(0,MIN($BB40,EOMONTH(CE$3,0))-MAX($BA40,CE$3)+1)/($BB40-$BA40+1),SUMPRODUCT((YEAR($AC$2:$AX$2)=YEAR(CE$3))*(MONTH($AC$2:$AX$2)=MONTH(CE$3))*$AC40:$AX40))</f>
        <v>0</v>
      </c>
      <c r="CF40" s="164" t="n">
        <f aca="false">IF(AND($BA40&gt;0,$BB40&gt;=$BA40),$AA40*MAX(0,MIN($BB40,EOMONTH(CF$3,0))-MAX($BA40,CF$3)+1)/($BB40-$BA40+1),SUMPRODUCT((YEAR($AC$2:$AX$2)=YEAR(CF$3))*(MONTH($AC$2:$AX$2)=MONTH(CF$3))*$AC40:$AX40))</f>
        <v>0</v>
      </c>
      <c r="CG40" s="164" t="n">
        <f aca="false">IF(AND($BA40&gt;0,$BB40&gt;=$BA40),$AA40*MAX(0,MIN($BB40,EOMONTH(CG$3,0))-MAX($BA40,CG$3)+1)/($BB40-$BA40+1),SUMPRODUCT((YEAR($AC$2:$AX$2)=YEAR(CG$3))*(MONTH($AC$2:$AX$2)=MONTH(CG$3))*$AC40:$AX40))</f>
        <v>0</v>
      </c>
      <c r="CH40" s="164" t="n">
        <f aca="false">IF(AND($BA40&gt;0,$BB40&gt;=$BA40),$AA40*MAX(0,MIN($BB40,EOMONTH(CH$3,0))-MAX($BA40,CH$3)+1)/($BB40-$BA40+1),SUMPRODUCT((YEAR($AC$2:$AX$2)=YEAR(CH$3))*(MONTH($AC$2:$AX$2)=MONTH(CH$3))*$AC40:$AX40))</f>
        <v>0</v>
      </c>
      <c r="CI40" s="164" t="n">
        <f aca="false">IF(AND($BA40&gt;0,$BB40&gt;=$BA40),$AA40*MAX(0,MIN($BB40,EOMONTH(CI$3,0))-MAX($BA40,CI$3)+1)/($BB40-$BA40+1),SUMPRODUCT((YEAR($AC$2:$AX$2)=YEAR(CI$3))*(MONTH($AC$2:$AX$2)=MONTH(CI$3))*$AC40:$AX40))</f>
        <v>0</v>
      </c>
      <c r="CJ40" s="164" t="n">
        <f aca="false">IF(AND($BA40&gt;0,$BB40&gt;=$BA40),$AA40*MAX(0,MIN($BB40,EOMONTH(CJ$3,0))-MAX($BA40,CJ$3)+1)/($BB40-$BA40+1),SUMPRODUCT((YEAR($AC$2:$AX$2)=YEAR(CJ$3))*(MONTH($AC$2:$AX$2)=MONTH(CJ$3))*$AC40:$AX40))</f>
        <v>0</v>
      </c>
      <c r="CK40" s="164" t="n">
        <f aca="false">IF(AND($BA40&gt;0,$BB40&gt;=$BA40),$AA40*MAX(0,MIN($BB40,EOMONTH(CK$3,0))-MAX($BA40,CK$3)+1)/($BB40-$BA40+1),SUMPRODUCT((YEAR($AC$2:$AX$2)=YEAR(CK$3))*(MONTH($AC$2:$AX$2)=MONTH(CK$3))*$AC40:$AX40))</f>
        <v>0</v>
      </c>
      <c r="CL40" s="164" t="n">
        <f aca="false">IF(AND($BA40&gt;0,$BB40&gt;=$BA40),$AA40*MAX(0,MIN($BB40,EOMONTH(CL$3,0))-MAX($BA40,CL$3)+1)/($BB40-$BA40+1),SUMPRODUCT((YEAR($AC$2:$AX$2)=YEAR(CL$3))*(MONTH($AC$2:$AX$2)=MONTH(CL$3))*$AC40:$AX40))</f>
        <v>0</v>
      </c>
      <c r="CM40" s="164" t="n">
        <f aca="false">IF(AND($BA40&gt;0,$BB40&gt;=$BA40),$AA40*MAX(0,MIN($BB40,EOMONTH(CM$3,0))-MAX($BA40,CM$3)+1)/($BB40-$BA40+1),SUMPRODUCT((YEAR($AC$2:$AX$2)=YEAR(CM$3))*(MONTH($AC$2:$AX$2)=MONTH(CM$3))*$AC40:$AX40))</f>
        <v>0</v>
      </c>
      <c r="CN40" s="164" t="n">
        <f aca="false">IF(AND($BA40&gt;0,$BB40&gt;=$BA40),$AA40*MAX(0,MIN($BB40,EOMONTH(CN$3,0))-MAX($BA40,CN$3)+1)/($BB40-$BA40+1),SUMPRODUCT((YEAR($AC$2:$AX$2)=YEAR(CN$3))*(MONTH($AC$2:$AX$2)=MONTH(CN$3))*$AC40:$AX40))</f>
        <v>0</v>
      </c>
      <c r="CO40" s="164" t="n">
        <f aca="false">IF(AND($BA40&gt;0,$BB40&gt;=$BA40),$AA40*MAX(0,MIN($BB40,EOMONTH(CO$3,0))-MAX($BA40,CO$3)+1)/($BB40-$BA40+1),SUMPRODUCT((YEAR($AC$2:$AX$2)=YEAR(CO$3))*(MONTH($AC$2:$AX$2)=MONTH(CO$3))*$AC40:$AX40))</f>
        <v>0</v>
      </c>
      <c r="CP40" s="164" t="n">
        <f aca="false">IF(AND($BA40&gt;0,$BB40&gt;=$BA40),$AA40*MAX(0,MIN($BB40,EOMONTH(CP$3,0))-MAX($BA40,CP$3)+1)/($BB40-$BA40+1),SUMPRODUCT((YEAR($AC$2:$AX$2)=YEAR(CP$3))*(MONTH($AC$2:$AX$2)=MONTH(CP$3))*$AC40:$AX40))</f>
        <v>0</v>
      </c>
      <c r="CQ40" s="164" t="n">
        <f aca="false">IF(AND($BA40&gt;0,$BB40&gt;=$BA40),$AA40*MAX(0,MIN($BB40,EOMONTH(CQ$3,0))-MAX($BA40,CQ$3)+1)/($BB40-$BA40+1),SUMPRODUCT((YEAR($AC$2:$AX$2)=YEAR(CQ$3))*(MONTH($AC$2:$AX$2)=MONTH(CQ$3))*$AC40:$AX40))</f>
        <v>0</v>
      </c>
      <c r="CR40" s="164" t="n">
        <f aca="false">IF(AND($BA40&gt;0,$BB40&gt;=$BA40),$AA40*MAX(0,MIN($BB40,EOMONTH(CR$3,0))-MAX($BA40,CR$3)+1)/($BB40-$BA40+1),SUMPRODUCT((YEAR($AC$2:$AX$2)=YEAR(CR$3))*(MONTH($AC$2:$AX$2)=MONTH(CR$3))*$AC40:$AX40))</f>
        <v>0</v>
      </c>
      <c r="CS40" s="164" t="n">
        <f aca="false">IF(AND($BA40&gt;0,$BB40&gt;=$BA40),$AA40*MAX(0,MIN($BB40,EOMONTH(CS$3,0))-MAX($BA40,CS$3)+1)/($BB40-$BA40+1),SUMPRODUCT((YEAR($AC$2:$AX$2)=YEAR(CS$3))*(MONTH($AC$2:$AX$2)=MONTH(CS$3))*$AC40:$AX40))</f>
        <v>0</v>
      </c>
      <c r="CT40" s="164" t="n">
        <f aca="false">IF(AND($BA40&gt;0,$BB40&gt;=$BA40),$AA40*MAX(0,MIN($BB40,EOMONTH(CT$3,0))-MAX($BA40,CT$3)+1)/($BB40-$BA40+1),SUMPRODUCT((YEAR($AC$2:$AX$2)=YEAR(CT$3))*(MONTH($AC$2:$AX$2)=MONTH(CT$3))*$AC40:$AX40))</f>
        <v>0</v>
      </c>
      <c r="CU40" s="164" t="n">
        <f aca="false">IF(AND($BA40&gt;0,$BB40&gt;=$BA40),$AA40*MAX(0,MIN($BB40,EOMONTH(CU$3,0))-MAX($BA40,CU$3)+1)/($BB40-$BA40+1),SUMPRODUCT((YEAR($AC$2:$AX$2)=YEAR(CU$3))*(MONTH($AC$2:$AX$2)=MONTH(CU$3))*$AC40:$AX40))</f>
        <v>0</v>
      </c>
      <c r="CV40" s="164" t="n">
        <f aca="false">IF(AND($BA40&gt;0,$BB40&gt;=$BA40),$AA40*MAX(0,MIN($BB40,EOMONTH(CV$3,0))-MAX($BA40,CV$3)+1)/($BB40-$BA40+1),SUMPRODUCT((YEAR($AC$2:$AX$2)=YEAR(CV$3))*(MONTH($AC$2:$AX$2)=MONTH(CV$3))*$AC40:$AX40))</f>
        <v>0</v>
      </c>
      <c r="CW40" s="164" t="n">
        <f aca="false">IF(AND($BA40&gt;0,$BB40&gt;=$BA40),$AA40*MAX(0,MIN($BB40,EOMONTH(CW$3,0))-MAX($BA40,CW$3)+1)/($BB40-$BA40+1),SUMPRODUCT((YEAR($AC$2:$AX$2)=YEAR(CW$3))*(MONTH($AC$2:$AX$2)=MONTH(CW$3))*$AC40:$AX40))</f>
        <v>0</v>
      </c>
      <c r="CX40" s="164" t="n">
        <f aca="false">IF(AND($BA40&gt;0,$BB40&gt;=$BA40),$AA40*MAX(0,MIN($BB40,EOMONTH(CX$3,0))-MAX($BA40,CX$3)+1)/($BB40-$BA40+1),SUMPRODUCT((YEAR($AC$2:$AX$2)=YEAR(CX$3))*(MONTH($AC$2:$AX$2)=MONTH(CX$3))*$AC40:$AX40))</f>
        <v>0</v>
      </c>
      <c r="CY40" s="164" t="n">
        <f aca="false">IF(AND($BA40&gt;0,$BB40&gt;=$BA40),$AA40*MAX(0,MIN($BB40,EOMONTH(CY$3,0))-MAX($BA40,CY$3)+1)/($BB40-$BA40+1),SUMPRODUCT((YEAR($AC$2:$AX$2)=YEAR(CY$3))*(MONTH($AC$2:$AX$2)=MONTH(CY$3))*$AC40:$AX40))</f>
        <v>0</v>
      </c>
      <c r="CZ40" s="164" t="n">
        <f aca="false">IF(AND($BA40&gt;0,$BB40&gt;=$BA40),$AA40*MAX(0,MIN($BB40,EOMONTH(CZ$3,0))-MAX($BA40,CZ$3)+1)/($BB40-$BA40+1),SUMPRODUCT((YEAR($AC$2:$AX$2)=YEAR(CZ$3))*(MONTH($AC$2:$AX$2)=MONTH(CZ$3))*$AC40:$AX40))</f>
        <v>0</v>
      </c>
      <c r="DA40" s="164" t="n">
        <f aca="false">IF(AND($BA40&gt;0,$BB40&gt;=$BA40),$AA40*MAX(0,MIN($BB40,EOMONTH(DA$3,0))-MAX($BA40,DA$3)+1)/($BB40-$BA40+1),SUMPRODUCT((YEAR($AC$2:$AX$2)=YEAR(DA$3))*(MONTH($AC$2:$AX$2)=MONTH(DA$3))*$AC40:$AX40))</f>
        <v>0</v>
      </c>
      <c r="DB40" s="164" t="n">
        <f aca="false">IF(AND($BA40&gt;0,$BB40&gt;=$BA40),$AA40*MAX(0,MIN($BB40,EOMONTH(DB$3,0))-MAX($BA40,DB$3)+1)/($BB40-$BA40+1),SUMPRODUCT((YEAR($AC$2:$AX$2)=YEAR(DB$3))*(MONTH($AC$2:$AX$2)=MONTH(DB$3))*$AC40:$AX40))</f>
        <v>0</v>
      </c>
      <c r="DC40" s="164" t="n">
        <f aca="false">IF(AND($BA40&gt;0,$BB40&gt;=$BA40),$AA40*MAX(0,MIN($BB40,EOMONTH(DC$3,0))-MAX($BA40,DC$3)+1)/($BB40-$BA40+1),SUMPRODUCT((YEAR($AC$2:$AX$2)=YEAR(DC$3))*(MONTH($AC$2:$AX$2)=MONTH(DC$3))*$AC40:$AX40))</f>
        <v>0</v>
      </c>
      <c r="DD40" s="164" t="n">
        <f aca="false">IF(AND($BA40&gt;0,$BB40&gt;=$BA40),$AA40*MAX(0,MIN($BB40,EOMONTH(DD$3,0))-MAX($BA40,DD$3)+1)/($BB40-$BA40+1),SUMPRODUCT((YEAR($AC$2:$AX$2)=YEAR(DD$3))*(MONTH($AC$2:$AX$2)=MONTH(DD$3))*$AC40:$AX40))</f>
        <v>0</v>
      </c>
      <c r="DE40" s="164" t="n">
        <f aca="false">IF(AND($BA40&gt;0,$BB40&gt;=$BA40),$AA40*MAX(0,MIN($BB40,EOMONTH(DE$3,0))-MAX($BA40,DE$3)+1)/($BB40-$BA40+1),SUMPRODUCT((YEAR($AC$2:$AX$2)=YEAR(DE$3))*(MONTH($AC$2:$AX$2)=MONTH(DE$3))*$AC40:$AX40))</f>
        <v>0</v>
      </c>
      <c r="DF40" s="164" t="n">
        <f aca="false">IF(AND($BA40&gt;0,$BB40&gt;=$BA40),$AA40*MAX(0,MIN($BB40,EOMONTH(DF$3,0))-MAX($BA40,DF$3)+1)/($BB40-$BA40+1),SUMPRODUCT((YEAR($AC$2:$AX$2)=YEAR(DF$3))*(MONTH($AC$2:$AX$2)=MONTH(DF$3))*$AC40:$AX40))</f>
        <v>0</v>
      </c>
      <c r="DG40" s="164" t="n">
        <f aca="false">IF(AND($BA40&gt;0,$BB40&gt;=$BA40),$AA40*MAX(0,MIN($BB40,EOMONTH(DG$3,0))-MAX($BA40,DG$3)+1)/($BB40-$BA40+1),SUMPRODUCT((YEAR($AC$2:$AX$2)=YEAR(DG$3))*(MONTH($AC$2:$AX$2)=MONTH(DG$3))*$AC40:$AX40))</f>
        <v>0</v>
      </c>
      <c r="DH40" s="164" t="n">
        <f aca="false">IF(AND($BA40&gt;0,$BB40&gt;=$BA40),$AA40*MAX(0,MIN($BB40,EOMONTH(DH$3,0))-MAX($BA40,DH$3)+1)/($BB40-$BA40+1),SUMPRODUCT((YEAR($AC$2:$AX$2)=YEAR(DH$3))*(MONTH($AC$2:$AX$2)=MONTH(DH$3))*$AC40:$AX40))</f>
        <v>0</v>
      </c>
      <c r="DI40" s="164" t="n">
        <f aca="false">IF(AND($BA40&gt;0,$BB40&gt;=$BA40),$AA40*MAX(0,MIN($BB40,EOMONTH(DI$3,0))-MAX($BA40,DI$3)+1)/($BB40-$BA40+1),SUMPRODUCT((YEAR($AC$2:$AX$2)=YEAR(DI$3))*(MONTH($AC$2:$AX$2)=MONTH(DI$3))*$AC40:$AX40))</f>
        <v>0</v>
      </c>
      <c r="DJ40" s="164" t="n">
        <f aca="false">IF(AND($BA40&gt;0,$BB40&gt;=$BA40),$AA40*MAX(0,MIN($BB40,EOMONTH(DJ$3,0))-MAX($BA40,DJ$3)+1)/($BB40-$BA40+1),SUMPRODUCT((YEAR($AC$2:$AX$2)=YEAR(DJ$3))*(MONTH($AC$2:$AX$2)=MONTH(DJ$3))*$AC40:$AX40))</f>
        <v>0</v>
      </c>
      <c r="DK40" s="164" t="n">
        <f aca="false">IF(AND($BA40&gt;0,$BB40&gt;=$BA40),$AA40*MAX(0,MIN($BB40,EOMONTH(DK$3,0))-MAX($BA40,DK$3)+1)/($BB40-$BA40+1),SUMPRODUCT((YEAR($AC$2:$AX$2)=YEAR(DK$3))*(MONTH($AC$2:$AX$2)=MONTH(DK$3))*$AC40:$AX40))</f>
        <v>0</v>
      </c>
      <c r="DL40" s="164" t="n">
        <f aca="false">IF(AND($BA40&gt;0,$BB40&gt;=$BA40),$AA40*MAX(0,MIN($BB40,EOMONTH(DL$3,0))-MAX($BA40,DL$3)+1)/($BB40-$BA40+1),SUMPRODUCT((YEAR($AC$2:$AX$2)=YEAR(DL$3))*(MONTH($AC$2:$AX$2)=MONTH(DL$3))*$AC40:$AX40))</f>
        <v>0</v>
      </c>
      <c r="DM40" s="164" t="n">
        <f aca="false">IF(AND($BA40&gt;0,$BB40&gt;=$BA40),$AA40*MAX(0,MIN($BB40,EOMONTH(DM$3,0))-MAX($BA40,DM$3)+1)/($BB40-$BA40+1),SUMPRODUCT((YEAR($AC$2:$AX$2)=YEAR(DM$3))*(MONTH($AC$2:$AX$2)=MONTH(DM$3))*$AC40:$AX40))</f>
        <v>0</v>
      </c>
      <c r="DN40" s="164" t="n">
        <f aca="false">IF(AND($BA40&gt;0,$BB40&gt;=$BA40),$AA40*MAX(0,MIN($BB40,EOMONTH(DN$3,0))-MAX($BA40,DN$3)+1)/($BB40-$BA40+1),SUMPRODUCT((YEAR($AC$2:$AX$2)=YEAR(DN$3))*(MONTH($AC$2:$AX$2)=MONTH(DN$3))*$AC40:$AX40))</f>
        <v>0</v>
      </c>
      <c r="DO40" s="164" t="n">
        <f aca="false">IF(AND($BA40&gt;0,$BB40&gt;=$BA40),$AA40*MAX(0,MIN($BB40,EOMONTH(DO$3,0))-MAX($BA40,DO$3)+1)/($BB40-$BA40+1),SUMPRODUCT((YEAR($AC$2:$AX$2)=YEAR(DO$3))*(MONTH($AC$2:$AX$2)=MONTH(DO$3))*$AC40:$AX40))</f>
        <v>0</v>
      </c>
      <c r="DP40" s="164" t="n">
        <f aca="false">IF(AND($BA40&gt;0,$BB40&gt;=$BA40),$AA40*MAX(0,MIN($BB40,EOMONTH(DP$3,0))-MAX($BA40,DP$3)+1)/($BB40-$BA40+1),SUMPRODUCT((YEAR($AC$2:$AX$2)=YEAR(DP$3))*(MONTH($AC$2:$AX$2)=MONTH(DP$3))*$AC40:$AX40))</f>
        <v>0</v>
      </c>
      <c r="DQ40" s="164" t="n">
        <f aca="false">IF(AND($BA40&gt;0,$BB40&gt;=$BA40),$AA40*MAX(0,MIN($BB40,EOMONTH(DQ$3,0))-MAX($BA40,DQ$3)+1)/($BB40-$BA40+1),SUMPRODUCT((YEAR($AC$2:$AX$2)=YEAR(DQ$3))*(MONTH($AC$2:$AX$2)=MONTH(DQ$3))*$AC40:$AX40))</f>
        <v>0</v>
      </c>
      <c r="DR40" s="164" t="n">
        <f aca="false">IF(AND($BA40&gt;0,$BB40&gt;=$BA40),$AA40*MAX(0,MIN($BB40,EOMONTH(DR$3,0))-MAX($BA40,DR$3)+1)/($BB40-$BA40+1),SUMPRODUCT((YEAR($AC$2:$AX$2)=YEAR(DR$3))*(MONTH($AC$2:$AX$2)=MONTH(DR$3))*$AC40:$AX40))</f>
        <v>0</v>
      </c>
      <c r="DS40" s="164" t="n">
        <f aca="false">IF(AND($BA40&gt;0,$BB40&gt;=$BA40),$AA40*MAX(0,MIN($BB40,EOMONTH(DS$3,0))-MAX($BA40,DS$3)+1)/($BB40-$BA40+1),SUMPRODUCT((YEAR($AC$2:$AX$2)=YEAR(DS$3))*(MONTH($AC$2:$AX$2)=MONTH(DS$3))*$AC40:$AX40))</f>
        <v>0</v>
      </c>
      <c r="DT40" s="164" t="n">
        <f aca="false">IF(AND($BA40&gt;0,$BB40&gt;=$BA40),$AA40*MAX(0,MIN($BB40,EOMONTH(DT$3,0))-MAX($BA40,DT$3)+1)/($BB40-$BA40+1),SUMPRODUCT((YEAR($AC$2:$AX$2)=YEAR(DT$3))*(MONTH($AC$2:$AX$2)=MONTH(DT$3))*$AC40:$AX40))</f>
        <v>0</v>
      </c>
      <c r="DU40" s="164" t="n">
        <f aca="false">IF(AND($BA40&gt;0,$BB40&gt;=$BA40),$AA40*MAX(0,MIN($BB40,EOMONTH(DU$3,0))-MAX($BA40,DU$3)+1)/($BB40-$BA40+1),SUMPRODUCT((YEAR($AC$2:$AX$2)=YEAR(DU$3))*(MONTH($AC$2:$AX$2)=MONTH(DU$3))*$AC40:$AX40))</f>
        <v>0</v>
      </c>
      <c r="DV40" s="164" t="n">
        <f aca="false">IF(AND($BA40&gt;0,$BB40&gt;=$BA40),$AA40*MAX(0,MIN($BB40,EOMONTH(DV$3,0))-MAX($BA40,DV$3)+1)/($BB40-$BA40+1),SUMPRODUCT((YEAR($AC$2:$AX$2)=YEAR(DV$3))*(MONTH($AC$2:$AX$2)=MONTH(DV$3))*$AC40:$AX40))</f>
        <v>0</v>
      </c>
      <c r="DW40" s="164" t="n">
        <f aca="false">IF(AND($BA40&gt;0,$BB40&gt;=$BA40),$AA40*MAX(0,MIN($BB40,EOMONTH(DW$3,0))-MAX($BA40,DW$3)+1)/($BB40-$BA40+1),SUMPRODUCT((YEAR($AC$2:$AX$2)=YEAR(DW$3))*(MONTH($AC$2:$AX$2)=MONTH(DW$3))*$AC40:$AX40))</f>
        <v>0</v>
      </c>
    </row>
    <row r="41" customFormat="false" ht="15" hidden="false" customHeight="false" outlineLevel="0" collapsed="false">
      <c r="AZ41" s="165" t="s">
        <v>2998</v>
      </c>
      <c r="BD41" s="166" t="n">
        <f aca="false">SUM(BD4:BD40)</f>
        <v>0</v>
      </c>
      <c r="BE41" s="166" t="n">
        <f aca="false">SUM(BE4:BE40)</f>
        <v>0</v>
      </c>
      <c r="BF41" s="166" t="n">
        <f aca="false">SUM(BF4:BF40)</f>
        <v>0</v>
      </c>
      <c r="BG41" s="166" t="n">
        <f aca="false">SUM(BG4:BG40)</f>
        <v>0</v>
      </c>
      <c r="BH41" s="166" t="n">
        <f aca="false">SUM(BH4:BH40)</f>
        <v>0</v>
      </c>
      <c r="BI41" s="166" t="n">
        <f aca="false">SUM(BI4:BI40)</f>
        <v>0</v>
      </c>
      <c r="BJ41" s="166" t="n">
        <f aca="false">SUM(BJ4:BJ40)</f>
        <v>0</v>
      </c>
      <c r="BK41" s="166" t="n">
        <f aca="false">SUM(BK4:BK40)</f>
        <v>0</v>
      </c>
      <c r="BL41" s="166" t="n">
        <f aca="false">SUM(BL4:BL40)</f>
        <v>0</v>
      </c>
      <c r="BM41" s="166" t="n">
        <f aca="false">SUM(BM4:BM40)</f>
        <v>0</v>
      </c>
      <c r="BN41" s="166" t="n">
        <f aca="false">SUM(BN4:BN40)</f>
        <v>0</v>
      </c>
      <c r="BO41" s="166" t="n">
        <f aca="false">SUM(BO4:BO40)</f>
        <v>0</v>
      </c>
      <c r="BP41" s="166" t="n">
        <f aca="false">SUM(BP4:BP40)</f>
        <v>0</v>
      </c>
      <c r="BQ41" s="166" t="n">
        <f aca="false">SUM(BQ4:BQ40)</f>
        <v>0</v>
      </c>
      <c r="BR41" s="166" t="n">
        <f aca="false">SUM(BR4:BR40)</f>
        <v>0</v>
      </c>
      <c r="BS41" s="166" t="n">
        <f aca="false">SUM(BS4:BS40)</f>
        <v>0</v>
      </c>
      <c r="BT41" s="166" t="n">
        <f aca="false">SUM(BT4:BT40)</f>
        <v>0</v>
      </c>
      <c r="BU41" s="166" t="n">
        <f aca="false">SUM(BU4:BU40)</f>
        <v>0</v>
      </c>
      <c r="BV41" s="166" t="n">
        <f aca="false">SUM(BV4:BV40)</f>
        <v>498754.503596669</v>
      </c>
      <c r="BW41" s="166" t="n">
        <f aca="false">SUM(BW4:BW40)</f>
        <v>966336.850718547</v>
      </c>
      <c r="BX41" s="166" t="n">
        <f aca="false">SUM(BX4:BX40)</f>
        <v>1511805.20847823</v>
      </c>
      <c r="BY41" s="166" t="n">
        <f aca="false">SUM(BY4:BY40)</f>
        <v>1534560.10571574</v>
      </c>
      <c r="BZ41" s="166" t="n">
        <f aca="false">SUM(BZ4:BZ40)</f>
        <v>1721004.61651948</v>
      </c>
      <c r="CA41" s="166" t="n">
        <f aca="false">SUM(CA4:CA40)</f>
        <v>1607767.88124427</v>
      </c>
      <c r="CB41" s="166" t="n">
        <f aca="false">SUM(CB4:CB40)</f>
        <v>1231472.18003348</v>
      </c>
      <c r="CC41" s="166" t="n">
        <f aca="false">SUM(CC4:CC40)</f>
        <v>1980586.2437437</v>
      </c>
      <c r="CD41" s="166" t="n">
        <f aca="false">SUM(CD4:CD40)</f>
        <v>1165000.88889494</v>
      </c>
      <c r="CE41" s="166" t="n">
        <f aca="false">SUM(CE4:CE40)</f>
        <v>1273146.90760608</v>
      </c>
      <c r="CF41" s="166" t="n">
        <f aca="false">SUM(CF4:CF40)</f>
        <v>1364193.05209513</v>
      </c>
      <c r="CG41" s="166" t="n">
        <f aca="false">SUM(CG4:CG40)</f>
        <v>1420648.81822814</v>
      </c>
      <c r="CH41" s="166" t="n">
        <f aca="false">SUM(CH4:CH40)</f>
        <v>1300945.41790741</v>
      </c>
      <c r="CI41" s="166" t="n">
        <f aca="false">SUM(CI4:CI40)</f>
        <v>1370481.98191182</v>
      </c>
      <c r="CJ41" s="166" t="n">
        <f aca="false">SUM(CJ4:CJ40)</f>
        <v>1347667.63284894</v>
      </c>
      <c r="CK41" s="166" t="n">
        <f aca="false">SUM(CK4:CK40)</f>
        <v>1165403.08657575</v>
      </c>
      <c r="CL41" s="166" t="n">
        <f aca="false">SUM(CL4:CL40)</f>
        <v>1177434.59000024</v>
      </c>
      <c r="CM41" s="166" t="n">
        <f aca="false">SUM(CM4:CM40)</f>
        <v>1072184.23187158</v>
      </c>
      <c r="CN41" s="166" t="n">
        <f aca="false">SUM(CN4:CN40)</f>
        <v>732189.723435302</v>
      </c>
      <c r="CO41" s="166" t="n">
        <f aca="false">SUM(CO4:CO40)</f>
        <v>449527.44533201</v>
      </c>
      <c r="CP41" s="166" t="n">
        <f aca="false">SUM(CP4:CP40)</f>
        <v>207161.522269776</v>
      </c>
      <c r="CQ41" s="166" t="n">
        <f aca="false">SUM(CQ4:CQ40)</f>
        <v>0</v>
      </c>
      <c r="CR41" s="166" t="n">
        <f aca="false">SUM(CR4:CR40)</f>
        <v>0</v>
      </c>
      <c r="CS41" s="166" t="n">
        <f aca="false">SUM(CS4:CS40)</f>
        <v>0</v>
      </c>
      <c r="CT41" s="166" t="n">
        <f aca="false">SUM(CT4:CT40)</f>
        <v>0</v>
      </c>
      <c r="CU41" s="166" t="n">
        <f aca="false">SUM(CU4:CU40)</f>
        <v>0</v>
      </c>
      <c r="CV41" s="166" t="n">
        <f aca="false">SUM(CV4:CV40)</f>
        <v>0</v>
      </c>
      <c r="CW41" s="166" t="n">
        <f aca="false">SUM(CW4:CW40)</f>
        <v>0</v>
      </c>
      <c r="CX41" s="166" t="n">
        <f aca="false">SUM(CX4:CX40)</f>
        <v>0</v>
      </c>
      <c r="CY41" s="166" t="n">
        <f aca="false">SUM(CY4:CY40)</f>
        <v>0</v>
      </c>
      <c r="CZ41" s="166" t="n">
        <f aca="false">SUM(CZ4:CZ40)</f>
        <v>0</v>
      </c>
      <c r="DA41" s="166" t="n">
        <f aca="false">SUM(DA4:DA40)</f>
        <v>0</v>
      </c>
      <c r="DB41" s="166" t="n">
        <f aca="false">SUM(DB4:DB40)</f>
        <v>0</v>
      </c>
      <c r="DC41" s="166" t="n">
        <f aca="false">SUM(DC4:DC40)</f>
        <v>0</v>
      </c>
      <c r="DD41" s="166" t="n">
        <f aca="false">SUM(DD4:DD40)</f>
        <v>0</v>
      </c>
      <c r="DE41" s="166" t="n">
        <f aca="false">SUM(DE4:DE40)</f>
        <v>0</v>
      </c>
      <c r="DF41" s="166" t="n">
        <f aca="false">SUM(DF4:DF40)</f>
        <v>0</v>
      </c>
      <c r="DG41" s="166" t="n">
        <f aca="false">SUM(DG4:DG40)</f>
        <v>0</v>
      </c>
      <c r="DH41" s="166" t="n">
        <f aca="false">SUM(DH4:DH40)</f>
        <v>0</v>
      </c>
      <c r="DI41" s="166" t="n">
        <f aca="false">SUM(DI4:DI40)</f>
        <v>0</v>
      </c>
      <c r="DJ41" s="166" t="n">
        <f aca="false">SUM(DJ4:DJ40)</f>
        <v>0</v>
      </c>
      <c r="DK41" s="166" t="n">
        <f aca="false">SUM(DK4:DK40)</f>
        <v>0</v>
      </c>
      <c r="DL41" s="166" t="n">
        <f aca="false">SUM(DL4:DL40)</f>
        <v>0</v>
      </c>
      <c r="DM41" s="166" t="n">
        <f aca="false">SUM(DM4:DM40)</f>
        <v>0</v>
      </c>
      <c r="DN41" s="166" t="n">
        <f aca="false">SUM(DN4:DN40)</f>
        <v>0</v>
      </c>
      <c r="DO41" s="166" t="n">
        <f aca="false">SUM(DO4:DO40)</f>
        <v>0</v>
      </c>
      <c r="DP41" s="166" t="n">
        <f aca="false">SUM(DP4:DP40)</f>
        <v>0</v>
      </c>
      <c r="DQ41" s="166" t="n">
        <f aca="false">SUM(DQ4:DQ40)</f>
        <v>0</v>
      </c>
      <c r="DR41" s="166" t="n">
        <f aca="false">SUM(DR4:DR40)</f>
        <v>0</v>
      </c>
      <c r="DS41" s="166" t="n">
        <f aca="false">SUM(DS4:DS40)</f>
        <v>0</v>
      </c>
      <c r="DT41" s="166" t="n">
        <f aca="false">SUM(DT4:DT40)</f>
        <v>0</v>
      </c>
      <c r="DU41" s="166" t="n">
        <f aca="false">SUM(DU4:DU40)</f>
        <v>0</v>
      </c>
      <c r="DV41" s="166" t="n">
        <f aca="false">SUM(DV4:DV40)</f>
        <v>0</v>
      </c>
      <c r="DW41" s="166" t="n">
        <f aca="false">SUM(DW4:DW40)</f>
        <v>0</v>
      </c>
    </row>
    <row r="42" customFormat="false" ht="15" hidden="false" customHeight="false" outlineLevel="0" collapsed="false">
      <c r="K42" s="152" t="s">
        <v>2999</v>
      </c>
    </row>
    <row r="43" customFormat="false" ht="15" hidden="false" customHeight="false" outlineLevel="0" collapsed="false">
      <c r="H43" s="150" t="s">
        <v>50</v>
      </c>
      <c r="K43" s="152" t="n">
        <v>25651081.5926883</v>
      </c>
      <c r="AA43" s="149" t="n">
        <f aca="false">SUM(AC43:AX43)</f>
        <v>25098272.8890272</v>
      </c>
      <c r="AC43" s="149" t="n">
        <f aca="false">AC38</f>
        <v>341589.550001</v>
      </c>
      <c r="AD43" s="149" t="n">
        <f aca="false">SUM(AD4:AD41)</f>
        <v>650557.023077</v>
      </c>
      <c r="AE43" s="149" t="n">
        <f aca="false">SUM(AE4:AE41)</f>
        <v>715326.3</v>
      </c>
      <c r="AF43" s="149" t="n">
        <f aca="false">SUM(AF4:AF41)</f>
        <v>909721.784717928</v>
      </c>
      <c r="AG43" s="149" t="n">
        <f aca="false">SUM(AG4:AG41)</f>
        <v>1612542.61864309</v>
      </c>
      <c r="AH43" s="149" t="n">
        <f aca="false">SUM(AH4:AH41)</f>
        <v>1620508.15410684</v>
      </c>
      <c r="AI43" s="149" t="n">
        <f aca="false">SUM(AI4:AI41)</f>
        <v>1912666.93172701</v>
      </c>
      <c r="AJ43" s="149" t="n">
        <f aca="false">SUM(AJ4:AJ41)</f>
        <v>1716911.77907799</v>
      </c>
      <c r="AK43" s="149" t="n">
        <f aca="false">SUM(AK4:AK41)</f>
        <v>1732384.31335804</v>
      </c>
      <c r="AL43" s="149" t="n">
        <f aca="false">SUM(AL4:AL41)</f>
        <v>1240873.84205109</v>
      </c>
      <c r="AM43" s="149" t="n">
        <f aca="false">SUM(AM4:AM41)</f>
        <v>1377375.66907169</v>
      </c>
      <c r="AN43" s="149" t="n">
        <f aca="false">SUM(AN4:AN41)</f>
        <v>1690022.89591413</v>
      </c>
      <c r="AO43" s="149" t="n">
        <f aca="false">SUM(AO4:AO41)</f>
        <v>1533152.87671527</v>
      </c>
      <c r="AP43" s="149" t="n">
        <f aca="false">SUM(AP4:AP41)</f>
        <v>1541765.80152811</v>
      </c>
      <c r="AQ43" s="149" t="n">
        <f aca="false">SUM(AQ4:AQ41)</f>
        <v>1266058.13154669</v>
      </c>
      <c r="AR43" s="149" t="n">
        <f aca="false">SUM(AR4:AR41)</f>
        <v>1261900.44339669</v>
      </c>
      <c r="AS43" s="149" t="n">
        <f aca="false">SUM(AS4:AS41)</f>
        <v>1261551.81737169</v>
      </c>
      <c r="AT43" s="149" t="n">
        <f aca="false">SUM(AT4:AT41)</f>
        <v>1261500.16907169</v>
      </c>
      <c r="AU43" s="149" t="n">
        <f aca="false">SUM(AU4:AU41)</f>
        <v>374755.374854661</v>
      </c>
      <c r="AV43" s="149" t="n">
        <f aca="false">SUM(AV4:AV41)</f>
        <v>374517.081145073</v>
      </c>
      <c r="AW43" s="149" t="n">
        <f aca="false">SUM(AW4:AW41)</f>
        <v>361591.020689064</v>
      </c>
      <c r="AX43" s="149" t="n">
        <f aca="false">SUM(AX4:AX41)</f>
        <v>340999.310962519</v>
      </c>
    </row>
    <row r="44" customFormat="false" ht="15" hidden="false" customHeight="false" outlineLevel="0" collapsed="false">
      <c r="H44" s="150" t="s">
        <v>2909</v>
      </c>
      <c r="K44" s="152" t="n">
        <v>21082.3991931398</v>
      </c>
      <c r="AA44" s="147" t="n">
        <f aca="false">SUM(AC44:AX44)</f>
        <v>20481.7315590749</v>
      </c>
      <c r="AC44" s="152" t="n">
        <v>278.758044326007</v>
      </c>
      <c r="AD44" s="152" t="n">
        <v>530.894471083681</v>
      </c>
      <c r="AE44" s="152" t="n">
        <v>583.750177493353</v>
      </c>
      <c r="AF44" s="152" t="n">
        <v>742.388827726117</v>
      </c>
      <c r="AG44" s="152" t="n">
        <v>1315.93377714268</v>
      </c>
      <c r="AH44" s="152" t="n">
        <v>1322.43414311664</v>
      </c>
      <c r="AI44" s="152" t="n">
        <v>1560.85364243047</v>
      </c>
      <c r="AJ44" s="152" t="n">
        <v>1401.10541969057</v>
      </c>
      <c r="AK44" s="152" t="n">
        <v>1413.7319575828</v>
      </c>
      <c r="AL44" s="152" t="n">
        <v>1012.62923723646</v>
      </c>
      <c r="AM44" s="152" t="n">
        <v>1124.02310846899</v>
      </c>
      <c r="AN44" s="152" t="n">
        <v>1379.16244021463</v>
      </c>
      <c r="AO44" s="152" t="n">
        <v>1251.14687368126</v>
      </c>
      <c r="AP44" s="152" t="n">
        <v>1258.17554910985</v>
      </c>
      <c r="AQ44" s="152" t="n">
        <v>1033.1811636274</v>
      </c>
      <c r="AR44" s="152" t="n">
        <v>1029.78823484018</v>
      </c>
      <c r="AS44" s="152" t="n">
        <v>1029.50373460026</v>
      </c>
      <c r="AT44" s="152" t="n">
        <v>1029.46158641657</v>
      </c>
      <c r="AU44" s="152" t="n">
        <v>305.82339358695</v>
      </c>
      <c r="AV44" s="152" t="n">
        <v>305.628931290138</v>
      </c>
      <c r="AW44" s="152" t="n">
        <v>295.080472376374</v>
      </c>
      <c r="AX44" s="152" t="n">
        <v>278.276373033512</v>
      </c>
    </row>
    <row r="45" customFormat="false" ht="15" hidden="false" customHeight="false" outlineLevel="0" collapsed="false">
      <c r="A45" s="150" t="s">
        <v>3000</v>
      </c>
      <c r="C45" s="150" t="n">
        <v>1.075</v>
      </c>
      <c r="D45" s="150" t="n">
        <v>1.075</v>
      </c>
      <c r="E45" s="150" t="n">
        <v>1.075</v>
      </c>
    </row>
    <row r="46" customFormat="false" ht="15" hidden="false" customHeight="false" outlineLevel="0" collapsed="false">
      <c r="B46" s="150" t="n">
        <v>2025</v>
      </c>
      <c r="C46" s="150" t="n">
        <v>2026</v>
      </c>
      <c r="D46" s="150" t="n">
        <v>2027</v>
      </c>
      <c r="E46" s="150" t="n">
        <v>2028</v>
      </c>
    </row>
    <row r="47" customFormat="false" ht="15" hidden="false" customHeight="false" outlineLevel="0" collapsed="false">
      <c r="A47" s="150" t="s">
        <v>3001</v>
      </c>
      <c r="B47" s="167" t="n">
        <v>119.8625</v>
      </c>
      <c r="C47" s="167" t="n">
        <v>124</v>
      </c>
      <c r="D47" s="168" t="n">
        <f aca="false">C47*D45</f>
        <v>133.3</v>
      </c>
      <c r="E47" s="168" t="n">
        <f aca="false">D47*E45</f>
        <v>143.2975</v>
      </c>
    </row>
    <row r="48" customFormat="false" ht="15" hidden="false" customHeight="false" outlineLevel="0" collapsed="false">
      <c r="A48" s="150" t="s">
        <v>3002</v>
      </c>
      <c r="B48" s="150" t="n">
        <v>146.7375</v>
      </c>
      <c r="C48" s="167" t="n">
        <v>147</v>
      </c>
      <c r="D48" s="168" t="n">
        <f aca="false">C48*D45</f>
        <v>158.025</v>
      </c>
      <c r="E48" s="168" t="n">
        <f aca="false">D48*E45</f>
        <v>169.876875</v>
      </c>
      <c r="AF48" s="148" t="s">
        <v>3003</v>
      </c>
      <c r="AG48" s="150" t="n">
        <v>0.1</v>
      </c>
    </row>
    <row r="49" customFormat="false" ht="15" hidden="false" customHeight="false" outlineLevel="0" collapsed="false">
      <c r="A49" s="150" t="s">
        <v>3004</v>
      </c>
      <c r="B49" s="150" t="n">
        <v>2.45</v>
      </c>
      <c r="C49" s="167" t="n">
        <v>2.6</v>
      </c>
      <c r="D49" s="168" t="n">
        <f aca="false">C49*D45</f>
        <v>2.795</v>
      </c>
      <c r="E49" s="168" t="n">
        <f aca="false">D49*E45</f>
        <v>3.004625</v>
      </c>
      <c r="AG49" s="150" t="n">
        <v>0.08</v>
      </c>
    </row>
    <row r="50" customFormat="false" ht="15" hidden="false" customHeight="false" outlineLevel="0" collapsed="false">
      <c r="A50" s="150" t="s">
        <v>3005</v>
      </c>
      <c r="B50" s="169" t="n">
        <f aca="false">7.8+1.4</f>
        <v>9.2</v>
      </c>
      <c r="C50" s="168" t="n">
        <f aca="false">B50*C45</f>
        <v>9.89</v>
      </c>
      <c r="D50" s="168" t="n">
        <f aca="false">C50*D45</f>
        <v>10.63175</v>
      </c>
      <c r="E50" s="168" t="n">
        <f aca="false">D50*E45</f>
        <v>11.42913125</v>
      </c>
    </row>
    <row r="51" customFormat="false" ht="15" hidden="false" customHeight="false" outlineLevel="0" collapsed="false">
      <c r="A51" s="150" t="s">
        <v>3006</v>
      </c>
      <c r="B51" s="169" t="n">
        <f aca="false">9.5+1.4+1.4</f>
        <v>12.3</v>
      </c>
      <c r="C51" s="168" t="n">
        <f aca="false">B51*C45</f>
        <v>13.2225</v>
      </c>
      <c r="D51" s="168" t="n">
        <f aca="false">C51*D45</f>
        <v>14.2141875</v>
      </c>
      <c r="E51" s="168" t="n">
        <f aca="false">D51*E45</f>
        <v>15.2802515625</v>
      </c>
    </row>
    <row r="52" customFormat="false" ht="15" hidden="false" customHeight="false" outlineLevel="0" collapsed="false">
      <c r="A52" s="150" t="s">
        <v>3007</v>
      </c>
      <c r="B52" s="150" t="n">
        <v>2.56</v>
      </c>
      <c r="C52" s="168" t="n">
        <f aca="false">B52*C45</f>
        <v>2.752</v>
      </c>
      <c r="D52" s="168" t="n">
        <f aca="false">C52*D45</f>
        <v>2.9584</v>
      </c>
      <c r="E52" s="168" t="n">
        <f aca="false">D52*E45</f>
        <v>3.18028</v>
      </c>
    </row>
    <row r="53" customFormat="false" ht="15" hidden="false" customHeight="false" outlineLevel="0" collapsed="false">
      <c r="A53" s="150" t="s">
        <v>3000</v>
      </c>
      <c r="C53" s="167" t="n">
        <v>1.055</v>
      </c>
      <c r="D53" s="168" t="n">
        <f aca="false">C53</f>
        <v>1.055</v>
      </c>
      <c r="E53" s="168" t="n">
        <f aca="false">D53</f>
        <v>1.055</v>
      </c>
    </row>
    <row r="54" customFormat="false" ht="15" hidden="false" customHeight="false" outlineLevel="0" collapsed="false">
      <c r="A54" s="150" t="s">
        <v>3008</v>
      </c>
      <c r="B54" s="169" t="n">
        <f aca="false">4.79+0.76</f>
        <v>5.55</v>
      </c>
      <c r="C54" s="167" t="n">
        <v>5.51</v>
      </c>
      <c r="D54" s="168" t="n">
        <f aca="false">C54*D53</f>
        <v>5.81305</v>
      </c>
      <c r="E54" s="168" t="n">
        <f aca="false">D54*E53</f>
        <v>6.13276775</v>
      </c>
    </row>
    <row r="55" customFormat="false" ht="15" hidden="false" customHeight="false" outlineLevel="0" collapsed="false">
      <c r="A55" s="150" t="s">
        <v>3009</v>
      </c>
      <c r="B55" s="169" t="n">
        <f aca="false">475</f>
        <v>475</v>
      </c>
      <c r="C55" s="167" t="n">
        <v>490</v>
      </c>
      <c r="D55" s="168" t="n">
        <f aca="false">C55*D53</f>
        <v>516.95</v>
      </c>
      <c r="E55" s="168" t="n">
        <f aca="false">D55*E53</f>
        <v>545.38225</v>
      </c>
    </row>
    <row r="56" customFormat="false" ht="15" hidden="false" customHeight="false" outlineLevel="0" collapsed="false">
      <c r="A56" s="150" t="s">
        <v>3010</v>
      </c>
      <c r="B56" s="169" t="n">
        <f aca="false">557</f>
        <v>557</v>
      </c>
      <c r="C56" s="168" t="n">
        <f aca="false">590.42*1.03</f>
        <v>608.1326</v>
      </c>
      <c r="D56" s="168" t="n">
        <f aca="false">C56*D53</f>
        <v>641.579893</v>
      </c>
      <c r="E56" s="168" t="n">
        <f aca="false">D56*E53</f>
        <v>676.866787115</v>
      </c>
    </row>
    <row r="57" customFormat="false" ht="15" hidden="false" customHeight="false" outlineLevel="0" collapsed="false">
      <c r="A57" s="150" t="s">
        <v>3011</v>
      </c>
      <c r="B57" s="150" t="n">
        <v>50</v>
      </c>
      <c r="C57" s="167" t="n">
        <v>60</v>
      </c>
      <c r="D57" s="168" t="n">
        <f aca="false">C57*D53</f>
        <v>63.3</v>
      </c>
      <c r="E57" s="168" t="n">
        <f aca="false">D57*E53</f>
        <v>66.7815</v>
      </c>
    </row>
    <row r="58" customFormat="false" ht="15" hidden="false" customHeight="false" outlineLevel="0" collapsed="false">
      <c r="A58" s="150" t="s">
        <v>3012</v>
      </c>
      <c r="B58" s="150" t="n">
        <v>502.082688527333</v>
      </c>
      <c r="C58" s="168" t="n">
        <f aca="false">530*1.03</f>
        <v>545.9</v>
      </c>
      <c r="D58" s="168" t="n">
        <f aca="false">C58*D53</f>
        <v>575.9245</v>
      </c>
      <c r="E58" s="168" t="n">
        <f aca="false">D58*E53</f>
        <v>607.6003475</v>
      </c>
    </row>
    <row r="59" customFormat="false" ht="15" hidden="false" customHeight="false" outlineLevel="0" collapsed="false">
      <c r="A59" s="150" t="s">
        <v>3013</v>
      </c>
      <c r="B59" s="150" t="n">
        <v>563.26240212031</v>
      </c>
      <c r="C59" s="168" t="n">
        <f aca="false">612*1.03</f>
        <v>630.36</v>
      </c>
      <c r="D59" s="168" t="n">
        <f aca="false">C59*D53</f>
        <v>665.0298</v>
      </c>
      <c r="E59" s="168" t="n">
        <f aca="false">D59*E53</f>
        <v>701.606439</v>
      </c>
    </row>
    <row r="60" customFormat="false" ht="15" hidden="false" customHeight="false" outlineLevel="0" collapsed="false">
      <c r="A60" s="150" t="s">
        <v>2950</v>
      </c>
      <c r="C60" s="167" t="n">
        <v>24.5008089599087</v>
      </c>
      <c r="D60" s="169" t="n">
        <f aca="false">C60*D53</f>
        <v>25.8483534527037</v>
      </c>
    </row>
    <row r="61" customFormat="false" ht="15" hidden="false" customHeight="false" outlineLevel="0" collapsed="false">
      <c r="A61" s="150" t="s">
        <v>3014</v>
      </c>
      <c r="C61" s="168" t="n">
        <f aca="false">645*1.03</f>
        <v>664.35</v>
      </c>
    </row>
    <row r="63" customFormat="false" ht="15" hidden="false" customHeight="false" outlineLevel="0" collapsed="false">
      <c r="A63" s="150" t="s">
        <v>3015</v>
      </c>
    </row>
    <row r="64" customFormat="false" ht="15" hidden="false" customHeight="false" outlineLevel="0" collapsed="false">
      <c r="A64" s="150" t="s">
        <v>3016</v>
      </c>
      <c r="B64" s="170" t="n">
        <v>8</v>
      </c>
    </row>
    <row r="66" customFormat="false" ht="15" hidden="false" customHeight="false" outlineLevel="0" collapsed="false">
      <c r="A66" s="150" t="s">
        <v>3017</v>
      </c>
      <c r="B66" s="147" t="n">
        <f aca="false">B68/K1</f>
        <v>95.4412552621508</v>
      </c>
    </row>
    <row r="68" customFormat="false" ht="15" hidden="false" customHeight="false" outlineLevel="0" collapsed="false">
      <c r="A68" s="150" t="s">
        <v>3018</v>
      </c>
      <c r="B68" s="171" t="n">
        <f aca="false">O1</f>
        <v>997552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PL'!D28</f>
        <v>ALVENARIA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HISTORICOS'!D22)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PL'!F28</f>
        <v>5927475.67</v>
      </c>
      <c r="K5" s="56" t="n">
        <f aca="false">'VALOR POR PL'!G28</f>
        <v>4871.740311</v>
      </c>
      <c r="L5" s="56" t="n">
        <f aca="false">'DADOS HISTORICOS'!$BZ$22</f>
        <v>0</v>
      </c>
      <c r="M5" s="139" t="n">
        <f aca="false">'CP RESUMO'!D22</f>
        <v>0</v>
      </c>
      <c r="N5" s="140" t="n">
        <v>0</v>
      </c>
      <c r="O5" s="139" t="n">
        <f aca="false">IF(B5&lt;='VALOR POR PL'!$P$5,'CP RESUMO'!D64,"")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PL'!H28</f>
        <v>4871.740311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RESUMO'!E22</f>
        <v>0</v>
      </c>
      <c r="N6" s="140" t="n">
        <f aca="false">MAX(0,M6-M5)</f>
        <v>0</v>
      </c>
      <c r="O6" s="139" t="n">
        <f aca="false">IF(B6&lt;='VALOR POR PL'!$P$5,'CP RESUMO'!E64,"")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6315607.9667121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RESUMO'!F22</f>
        <v>0</v>
      </c>
      <c r="N7" s="140" t="n">
        <f aca="false">MAX(0,M7-M6)</f>
        <v>0</v>
      </c>
      <c r="O7" s="139" t="n">
        <f aca="false">IF(B7&lt;='VALOR POR PL'!$P$5,'CP RESUMO'!F64,"")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HISTORICOS'!G22)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RESUMO'!G22</f>
        <v>0</v>
      </c>
      <c r="N8" s="140" t="n">
        <f aca="false">MAX(0,M8-M7)</f>
        <v>0</v>
      </c>
      <c r="O8" s="139" t="n">
        <f aca="false">IF(B8&lt;='VALOR POR PL'!$P$5,'CP RESUMO'!G64,"")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6315607.9667121</v>
      </c>
      <c r="K9" s="45" t="n">
        <f aca="false">E78</f>
        <v>4869.81381345057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RESUMO'!H22</f>
        <v>0</v>
      </c>
      <c r="N9" s="140" t="n">
        <f aca="false">MAX(0,M9-M8)</f>
        <v>0</v>
      </c>
      <c r="O9" s="139" t="n">
        <f aca="false">IF(B9&lt;='VALOR POR PL'!$P$5,'CP RESUMO'!H64,"")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HISTORICOS'!I22)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4869.81381345057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RESUMO'!I22</f>
        <v>0</v>
      </c>
      <c r="N10" s="140" t="n">
        <f aca="false">MAX(0,M10-M9)</f>
        <v>0</v>
      </c>
      <c r="O10" s="139" t="n">
        <f aca="false">IF(B10&lt;='VALOR POR PL'!$P$5,'CP RESUMO'!I64,"")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HISTORICOS'!J22)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6245482.95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RESUMO'!J22</f>
        <v>0</v>
      </c>
      <c r="N11" s="140" t="n">
        <f aca="false">MAX(0,M11-M10)</f>
        <v>0</v>
      </c>
      <c r="O11" s="139" t="n">
        <f aca="false">IF(B11&lt;='VALOR POR PL'!$P$5,'CP RESUMO'!J64,"")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HISTORICOS'!K22)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RESUMO'!K22</f>
        <v>0</v>
      </c>
      <c r="N12" s="140" t="n">
        <f aca="false">MAX(0,M12-M11)</f>
        <v>0</v>
      </c>
      <c r="O12" s="139" t="n">
        <f aca="false">IF(B12&lt;='VALOR POR PL'!$P$5,'CP RESUMO'!K64,"")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HISTORICOS'!L22)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PL'!I28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RESUMO'!L22</f>
        <v>0</v>
      </c>
      <c r="N13" s="140" t="n">
        <f aca="false">MAX(0,M13-M12)</f>
        <v>0</v>
      </c>
      <c r="O13" s="139" t="n">
        <f aca="false">IF(B13&lt;='VALOR POR PL'!$P$5,'CP RESUMO'!L64,"")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HISTORICOS'!M22)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RESUMO'!$D$64:$BW$64,MATCH('VALOR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RESUMO'!M22</f>
        <v>0</v>
      </c>
      <c r="N14" s="140" t="n">
        <f aca="false">MAX(0,M14-M13)</f>
        <v>0</v>
      </c>
      <c r="O14" s="139" t="n">
        <f aca="false">IF(B14&lt;='VALOR POR PL'!$P$5,'CP RESUMO'!M64,"")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HISTORICOS'!N22)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RESUMO'!N22</f>
        <v>0</v>
      </c>
      <c r="N15" s="140" t="n">
        <f aca="false">MAX(0,M15-M14)</f>
        <v>0</v>
      </c>
      <c r="O15" s="139" t="n">
        <f aca="false">IF(B15&lt;='VALOR POR PL'!$P$5,'CP RESUMO'!N64,"")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HISTORICOS'!O22)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RESUMO'!O22</f>
        <v>0</v>
      </c>
      <c r="N16" s="140" t="n">
        <f aca="false">MAX(0,M16-M15)</f>
        <v>0</v>
      </c>
      <c r="O16" s="139" t="n">
        <f aca="false">IF(B16&lt;='VALOR POR PL'!$P$5,'CP RESUMO'!O64,"")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6245482.95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RESUMO'!P22</f>
        <v>0</v>
      </c>
      <c r="N17" s="140" t="n">
        <f aca="false">MAX(0,M17-M16)</f>
        <v>0</v>
      </c>
      <c r="O17" s="139" t="n">
        <f aca="false">IF(B17&lt;='VALOR POR PL'!$P$5,'CP RESUMO'!P64,"")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6315607.9667121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RESUMO'!Q22</f>
        <v>0</v>
      </c>
      <c r="N18" s="140" t="n">
        <f aca="false">MAX(0,M18-M17)</f>
        <v>0</v>
      </c>
      <c r="O18" s="139" t="n">
        <f aca="false">IF(B18&lt;='VALOR POR PL'!$P$5,'CP RESUMO'!Q64,"")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0.0112281175488755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RESUMO'!R22</f>
        <v>0</v>
      </c>
      <c r="N19" s="140" t="n">
        <f aca="false">MAX(0,M19-M18)</f>
        <v>0</v>
      </c>
      <c r="O19" s="139" t="n">
        <f aca="false">IF(B19&lt;='VALOR POR PL'!$P$5,'CP RESUMO'!R64,"")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RESUMO'!S22</f>
        <v>0</v>
      </c>
      <c r="N20" s="140" t="n">
        <f aca="false">MAX(0,M20-M19)</f>
        <v>0</v>
      </c>
      <c r="O20" s="139" t="n">
        <f aca="false">IF(B20&lt;='VALOR POR PL'!$P$5,'CP RESUMO'!S64,"")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HISTORICOS'!T22)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RESUMO'!T22</f>
        <v>0</v>
      </c>
      <c r="N21" s="140" t="n">
        <f aca="false">MAX(0,M21-M20)</f>
        <v>0</v>
      </c>
      <c r="O21" s="139" t="n">
        <f aca="false">IF(B21&lt;='VALOR POR PL'!$P$5,'CP RESUMO'!T64,"")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HISTORICOS'!U22)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RESUMO'!U22</f>
        <v>0</v>
      </c>
      <c r="N22" s="140" t="n">
        <f aca="false">MAX(0,M22-M21)</f>
        <v>0</v>
      </c>
      <c r="O22" s="139" t="n">
        <f aca="false">IF(B22&lt;='VALOR POR PL'!$P$5,'CP RESUMO'!U64,"")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HISTORICOS'!V22)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RESUMO'!V22</f>
        <v>0</v>
      </c>
      <c r="N23" s="140" t="n">
        <f aca="false">MAX(0,M23-M22)</f>
        <v>0</v>
      </c>
      <c r="O23" s="139" t="n">
        <f aca="false">IF(B23&lt;='VALOR POR PL'!$P$5,'CP RESUMO'!V64,"")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HISTORICOS'!W22)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RESUMO'!W22</f>
        <v>0</v>
      </c>
      <c r="N24" s="140" t="n">
        <f aca="false">MAX(0,M24-M23)</f>
        <v>0</v>
      </c>
      <c r="O24" s="139" t="n">
        <f aca="false">IF(B24&lt;='VALOR POR PL'!$P$5,'CP RESUMO'!W64,"")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HISTORICOS'!X22)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RESUMO'!X22</f>
        <v>0</v>
      </c>
      <c r="N25" s="140" t="n">
        <f aca="false">MAX(0,M25-M24)</f>
        <v>0</v>
      </c>
      <c r="O25" s="139" t="n">
        <f aca="false">IF(B25&lt;='VALOR POR PL'!$P$5,'CP RESUMO'!X64,"")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HISTORICOS'!Y22)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RESUMO'!Y22</f>
        <v>0</v>
      </c>
      <c r="N26" s="140" t="n">
        <f aca="false">MAX(0,M26-M25)</f>
        <v>0</v>
      </c>
      <c r="O26" s="139" t="str">
        <f aca="false">IF(B26&lt;='VALOR POR PL'!$P$5,'CP RESUMO'!Y64,"")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HISTORICOS'!Z22)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RESUMO'!Z22</f>
        <v>0</v>
      </c>
      <c r="N27" s="140" t="n">
        <f aca="false">MAX(0,M27-M26)</f>
        <v>0</v>
      </c>
      <c r="O27" s="139" t="str">
        <f aca="false">IF(B27&lt;='VALOR POR PL'!$P$5,'CP RESUMO'!Z64,"")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HISTORICOS'!AA22)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RESUMO'!AA22</f>
        <v>0</v>
      </c>
      <c r="N28" s="140" t="n">
        <f aca="false">MAX(0,M28-M27)</f>
        <v>0</v>
      </c>
      <c r="O28" s="139" t="str">
        <f aca="false">IF(B28&lt;='VALOR POR PL'!$P$5,'CP RESUMO'!AA64,"")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HISTORICOS'!AB22)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RESUMO'!AB22</f>
        <v>0</v>
      </c>
      <c r="N29" s="140" t="n">
        <f aca="false">MAX(0,M29-M28)</f>
        <v>0</v>
      </c>
      <c r="O29" s="139" t="str">
        <f aca="false">IF(B29&lt;='VALOR POR PL'!$P$5,'CP RESUMO'!AB64,"")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HISTORICOS'!AC22)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RESUMO'!AC22</f>
        <v>0</v>
      </c>
      <c r="N30" s="140" t="n">
        <f aca="false">MAX(0,M30-M29)</f>
        <v>0</v>
      </c>
      <c r="O30" s="139" t="str">
        <f aca="false">IF(B30&lt;='VALOR POR PL'!$P$5,'CP RESUMO'!AC64,"")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HISTORICOS'!AD22)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RESUMO'!AD22</f>
        <v>0</v>
      </c>
      <c r="N31" s="140" t="n">
        <f aca="false">MAX(0,M31-M30)</f>
        <v>0</v>
      </c>
      <c r="O31" s="139" t="str">
        <f aca="false">IF(B31&lt;='VALOR POR PL'!$P$5,'CP RESUMO'!AD64,"")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HISTORICOS'!AE22)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RESUMO'!AE22</f>
        <v>1.11</v>
      </c>
      <c r="N32" s="140" t="n">
        <f aca="false">MAX(0,M32-M31)</f>
        <v>1.11</v>
      </c>
      <c r="O32" s="139" t="str">
        <f aca="false">IF(B32&lt;='VALOR POR PL'!$P$5,'CP RESUMO'!AE64,"")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HISTORICOS'!AF22)</f>
        <v>0</v>
      </c>
      <c r="D33" s="45" t="n">
        <f aca="false">IF(B33&lt;='VALOR POR PL'!$P$5,0,IF($K$17&gt;0,$K$18*P33/$K$17,0))</f>
        <v>70918.4188872578</v>
      </c>
      <c r="E33" s="45" t="n">
        <f aca="false">L33+D33/$K$2</f>
        <v>54.6834917153726</v>
      </c>
      <c r="F33" s="117" t="n">
        <f aca="false">IF($K$9=0,0,E33/$K$9)</f>
        <v>0.0112290723650122</v>
      </c>
      <c r="G33" s="117" t="n">
        <f aca="false">G32+F33</f>
        <v>0.0112290723650122</v>
      </c>
      <c r="H33" s="138" t="n">
        <v>70130.98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RESUMO'!AF22</f>
        <v>4.06</v>
      </c>
      <c r="N33" s="140" t="n">
        <f aca="false">MAX(0,M33-M32)</f>
        <v>2.95</v>
      </c>
      <c r="O33" s="139" t="str">
        <f aca="false">IF(B33&lt;='VALOR POR PL'!$P$5,'CP RESUMO'!AF64,"")</f>
        <v/>
      </c>
      <c r="P33" s="66" t="n">
        <f aca="false">IF(B33&lt;='VALOR POR PL'!$P$5,0,IF(OR($K$16="CURVA PREVISION",$K$16="MDO PREVISION + MATERIAL PREMISSA"),N33,IF($K$16="PREVISÃO INFORMADA",MAX(0,H33),0)))</f>
        <v>70130.98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HISTORICOS'!AG22)</f>
        <v>0</v>
      </c>
      <c r="D34" s="45" t="n">
        <f aca="false">IF(B34&lt;='VALOR POR PL'!$P$5,0,IF($K$17&gt;0,$K$18*P34/$K$17,0))</f>
        <v>136086.701441979</v>
      </c>
      <c r="E34" s="45" t="n">
        <f aca="false">L34+D34/$K$2</f>
        <v>104.93319123069</v>
      </c>
      <c r="F34" s="117" t="n">
        <f aca="false">IF($K$9=0,0,E34/$K$9)</f>
        <v>0.0215476803118965</v>
      </c>
      <c r="G34" s="117" t="n">
        <f aca="false">G33+F34</f>
        <v>0.0327767526769087</v>
      </c>
      <c r="H34" s="138" t="n">
        <v>134575.67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RESUMO'!AG22</f>
        <v>8.82</v>
      </c>
      <c r="N34" s="140" t="n">
        <f aca="false">MAX(0,M34-M33)</f>
        <v>4.76</v>
      </c>
      <c r="O34" s="139" t="str">
        <f aca="false">IF(B34&lt;='VALOR POR PL'!$P$5,'CP RESUMO'!AG64,"")</f>
        <v/>
      </c>
      <c r="P34" s="66" t="n">
        <f aca="false">IF(B34&lt;='VALOR POR PL'!$P$5,0,IF(OR($K$16="CURVA PREVISION",$K$16="MDO PREVISION + MATERIAL PREMISSA"),N34,IF($K$16="PREVISÃO INFORMADA",MAX(0,H34),0)))</f>
        <v>134575.67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HISTORICOS'!AH22)</f>
        <v>0</v>
      </c>
      <c r="D35" s="45" t="n">
        <f aca="false">IF(B35&lt;='VALOR POR PL'!$P$5,0,IF($K$17&gt;0,$K$18*P35/$K$17,0))</f>
        <v>223616.63540218</v>
      </c>
      <c r="E35" s="45" t="n">
        <f aca="false">L35+D35/$K$2</f>
        <v>172.425423765781</v>
      </c>
      <c r="F35" s="117" t="n">
        <f aca="false">IF($K$9=0,0,E35/$K$9)</f>
        <v>0.0354069848193245</v>
      </c>
      <c r="G35" s="117" t="n">
        <f aca="false">G34+F35</f>
        <v>0.0681837374962332</v>
      </c>
      <c r="H35" s="138" t="n">
        <v>221133.72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RESUMO'!AH22</f>
        <v>14.34</v>
      </c>
      <c r="N35" s="140" t="n">
        <f aca="false">MAX(0,M35-M34)</f>
        <v>5.52</v>
      </c>
      <c r="O35" s="139" t="str">
        <f aca="false">IF(B35&lt;='VALOR POR PL'!$P$5,'CP RESUMO'!AH64,"")</f>
        <v/>
      </c>
      <c r="P35" s="66" t="n">
        <f aca="false">IF(B35&lt;='VALOR POR PL'!$P$5,0,IF(OR($K$16="CURVA PREVISION",$K$16="MDO PREVISION + MATERIAL PREMISSA"),N35,IF($K$16="PREVISÃO INFORMADA",MAX(0,H35),0)))</f>
        <v>221133.72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HISTORICOS'!AI22)</f>
        <v>0</v>
      </c>
      <c r="D36" s="45" t="n">
        <f aca="false">IF(B36&lt;='VALOR POR PL'!$P$5,0,IF($K$17&gt;0,$K$18*P36/$K$17,0))</f>
        <v>421038.185064907</v>
      </c>
      <c r="E36" s="45" t="n">
        <f aca="false">L36+D36/$K$2</f>
        <v>324.652445247748</v>
      </c>
      <c r="F36" s="117" t="n">
        <f aca="false">IF($K$9=0,0,E36/$K$9)</f>
        <v>0.066666295198196</v>
      </c>
      <c r="G36" s="117" t="n">
        <f aca="false">G35+F36</f>
        <v>0.134850032694429</v>
      </c>
      <c r="H36" s="138" t="n">
        <v>416363.21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RESUMO'!AI22</f>
        <v>20.52</v>
      </c>
      <c r="N36" s="140" t="n">
        <f aca="false">MAX(0,M36-M35)</f>
        <v>6.18</v>
      </c>
      <c r="O36" s="139" t="str">
        <f aca="false">IF(B36&lt;='VALOR POR PL'!$P$5,'CP RESUMO'!AI64,"")</f>
        <v/>
      </c>
      <c r="P36" s="66" t="n">
        <f aca="false">IF(B36&lt;='VALOR POR PL'!$P$5,0,IF(OR($K$16="CURVA PREVISION",$K$16="MDO PREVISION + MATERIAL PREMISSA"),N36,IF($K$16="PREVISÃO INFORMADA",MAX(0,H36),0)))</f>
        <v>416363.21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HISTORICOS'!AJ22)</f>
        <v>0</v>
      </c>
      <c r="D37" s="45" t="n">
        <f aca="false">IF(B37&lt;='VALOR POR PL'!$P$5,0,IF($K$17&gt;0,$K$18*P37/$K$17,0))</f>
        <v>391648.56902843</v>
      </c>
      <c r="E37" s="45" t="n">
        <f aca="false">L37+D37/$K$2</f>
        <v>301.990817277678</v>
      </c>
      <c r="F37" s="117" t="n">
        <f aca="false">IF($K$9=0,0,E37/$K$9)</f>
        <v>0.0620128055909591</v>
      </c>
      <c r="G37" s="117" t="n">
        <f aca="false">G36+F37</f>
        <v>0.196862838285388</v>
      </c>
      <c r="H37" s="138" t="n">
        <v>387299.92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RESUMO'!AJ22</f>
        <v>29.11</v>
      </c>
      <c r="N37" s="140" t="n">
        <f aca="false">MAX(0,M37-M36)</f>
        <v>8.59</v>
      </c>
      <c r="O37" s="139" t="str">
        <f aca="false">IF(B37&lt;='VALOR POR PL'!$P$5,'CP RESUMO'!AJ64,"")</f>
        <v/>
      </c>
      <c r="P37" s="66" t="n">
        <f aca="false">IF(B37&lt;='VALOR POR PL'!$P$5,0,IF(OR($K$16="CURVA PREVISION",$K$16="MDO PREVISION + MATERIAL PREMISSA"),N37,IF($K$16="PREVISÃO INFORMADA",MAX(0,H37),0)))</f>
        <v>387299.92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HISTORICOS'!AK22)</f>
        <v>0</v>
      </c>
      <c r="D38" s="45" t="n">
        <f aca="false">IF(B38&lt;='VALOR POR PL'!$P$5,0,IF($K$17&gt;0,$K$18*P38/$K$17,0))</f>
        <v>552013.644099016</v>
      </c>
      <c r="E38" s="45" t="n">
        <f aca="false">L38+D38/$K$2</f>
        <v>425.64448005883</v>
      </c>
      <c r="F38" s="117" t="n">
        <f aca="false">IF($K$9=0,0,E38/$K$9)</f>
        <v>0.0874046722039326</v>
      </c>
      <c r="G38" s="117" t="n">
        <f aca="false">G37+F38</f>
        <v>0.284267510489321</v>
      </c>
      <c r="H38" s="138" t="n">
        <v>545884.39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RESUMO'!AK22</f>
        <v>38.66</v>
      </c>
      <c r="N38" s="140" t="n">
        <f aca="false">MAX(0,M38-M37)</f>
        <v>9.55</v>
      </c>
      <c r="O38" s="139" t="str">
        <f aca="false">IF(B38&lt;='VALOR POR PL'!$P$5,'CP RESUMO'!AK64,"")</f>
        <v/>
      </c>
      <c r="P38" s="66" t="n">
        <f aca="false">IF(B38&lt;='VALOR POR PL'!$P$5,0,IF(OR($K$16="CURVA PREVISION",$K$16="MDO PREVISION + MATERIAL PREMISSA"),N38,IF($K$16="PREVISÃO INFORMADA",MAX(0,H38),0)))</f>
        <v>545884.39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HISTORICOS'!AL22)</f>
        <v>0</v>
      </c>
      <c r="D39" s="45" t="n">
        <f aca="false">IF(B39&lt;='VALOR POR PL'!$P$5,0,IF($K$17&gt;0,$K$18*P39/$K$17,0))</f>
        <v>570541.881395087</v>
      </c>
      <c r="E39" s="45" t="n">
        <f aca="false">L39+D39/$K$2</f>
        <v>439.931159409238</v>
      </c>
      <c r="F39" s="117" t="n">
        <f aca="false">IF($K$9=0,0,E39/$K$9)</f>
        <v>0.0903383940868816</v>
      </c>
      <c r="G39" s="117" t="n">
        <f aca="false">G38+F39</f>
        <v>0.374605904576203</v>
      </c>
      <c r="H39" s="138" t="n">
        <v>564206.9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RESUMO'!AL22</f>
        <v>49.17</v>
      </c>
      <c r="N39" s="140" t="n">
        <f aca="false">MAX(0,M39-M38)</f>
        <v>10.51</v>
      </c>
      <c r="O39" s="139" t="str">
        <f aca="false">IF(B39&lt;='VALOR POR PL'!$P$5,'CP RESUMO'!AL64,"")</f>
        <v/>
      </c>
      <c r="P39" s="66" t="n">
        <f aca="false">IF(B39&lt;='VALOR POR PL'!$P$5,0,IF(OR($K$16="CURVA PREVISION",$K$16="MDO PREVISION + MATERIAL PREMISSA"),N39,IF($K$16="PREVISÃO INFORMADA",MAX(0,H39),0)))</f>
        <v>564206.9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HISTORICOS'!AM22)</f>
        <v>0</v>
      </c>
      <c r="D40" s="45" t="n">
        <f aca="false">IF(B40&lt;='VALOR POR PL'!$P$5,0,IF($K$17&gt;0,$K$18*P40/$K$17,0))</f>
        <v>641460.300282345</v>
      </c>
      <c r="E40" s="45" t="n">
        <f aca="false">L40+D40/$K$2</f>
        <v>494.61465112461</v>
      </c>
      <c r="F40" s="117" t="n">
        <f aca="false">IF($K$9=0,0,E40/$K$9)</f>
        <v>0.101567466451894</v>
      </c>
      <c r="G40" s="117" t="n">
        <f aca="false">G39+F40</f>
        <v>0.476173371028096</v>
      </c>
      <c r="H40" s="138" t="n">
        <v>634337.88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RESUMO'!AM22</f>
        <v>59.6</v>
      </c>
      <c r="N40" s="140" t="n">
        <f aca="false">MAX(0,M40-M39)</f>
        <v>10.43</v>
      </c>
      <c r="O40" s="139" t="str">
        <f aca="false">IF(B40&lt;='VALOR POR PL'!$P$5,'CP RESUMO'!AM64,"")</f>
        <v/>
      </c>
      <c r="P40" s="66" t="n">
        <f aca="false">IF(B40&lt;='VALOR POR PL'!$P$5,0,IF(OR($K$16="CURVA PREVISION",$K$16="MDO PREVISION + MATERIAL PREMISSA"),N40,IF($K$16="PREVISÃO INFORMADA",MAX(0,H40),0)))</f>
        <v>634337.88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HISTORICOS'!AN22)</f>
        <v>0</v>
      </c>
      <c r="D41" s="45" t="n">
        <f aca="false">IF(B41&lt;='VALOR POR PL'!$P$5,0,IF($K$17&gt;0,$K$18*P41/$K$17,0))</f>
        <v>688100.345540995</v>
      </c>
      <c r="E41" s="45" t="n">
        <f aca="false">L41+D41/$K$2</f>
        <v>530.577671289521</v>
      </c>
      <c r="F41" s="117" t="n">
        <f aca="false">IF($K$9=0,0,E41/$K$9)</f>
        <v>0.108952352515829</v>
      </c>
      <c r="G41" s="117" t="n">
        <f aca="false">G40+F41</f>
        <v>0.585125723543925</v>
      </c>
      <c r="H41" s="138" t="n">
        <v>680460.06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RESUMO'!AN22</f>
        <v>66.84</v>
      </c>
      <c r="N41" s="140" t="n">
        <f aca="false">MAX(0,M41-M40)</f>
        <v>7.24</v>
      </c>
      <c r="O41" s="139" t="str">
        <f aca="false">IF(B41&lt;='VALOR POR PL'!$P$5,'CP RESUMO'!AN64,"")</f>
        <v/>
      </c>
      <c r="P41" s="66" t="n">
        <f aca="false">IF(B41&lt;='VALOR POR PL'!$P$5,0,IF(OR($K$16="CURVA PREVISION",$K$16="MDO PREVISION + MATERIAL PREMISSA"),N41,IF($K$16="PREVISÃO INFORMADA",MAX(0,H41),0)))</f>
        <v>680460.06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HISTORICOS'!AO22)</f>
        <v>0</v>
      </c>
      <c r="D42" s="45" t="n">
        <f aca="false">IF(B42&lt;='VALOR POR PL'!$P$5,0,IF($K$17&gt;0,$K$18*P42/$K$17,0))</f>
        <v>490039.891841319</v>
      </c>
      <c r="E42" s="45" t="n">
        <f aca="false">L42+D42/$K$2</f>
        <v>377.858006229769</v>
      </c>
      <c r="F42" s="117" t="n">
        <f aca="false">IF($K$9=0,0,E42/$K$9)</f>
        <v>0.0775918794238322</v>
      </c>
      <c r="G42" s="117" t="n">
        <f aca="false">G41+F42</f>
        <v>0.662717602967758</v>
      </c>
      <c r="H42" s="138" t="n">
        <v>484598.76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RESUMO'!AO22</f>
        <v>74.58</v>
      </c>
      <c r="N42" s="140" t="n">
        <f aca="false">MAX(0,M42-M41)</f>
        <v>7.74</v>
      </c>
      <c r="O42" s="139" t="str">
        <f aca="false">IF(B42&lt;='VALOR POR PL'!$P$5,'CP RESUMO'!AO64,"")</f>
        <v/>
      </c>
      <c r="P42" s="66" t="n">
        <f aca="false">IF(B42&lt;='VALOR POR PL'!$P$5,0,IF(OR($K$16="CURVA PREVISION",$K$16="MDO PREVISION + MATERIAL PREMISSA"),N42,IF($K$16="PREVISÃO INFORMADA",MAX(0,H42),0)))</f>
        <v>484598.76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HISTORICOS'!AP22)</f>
        <v>0</v>
      </c>
      <c r="D43" s="45" t="n">
        <f aca="false">IF(B43&lt;='VALOR POR PL'!$P$5,0,IF($K$17&gt;0,$K$18*P43/$K$17,0))</f>
        <v>524540.750285666</v>
      </c>
      <c r="E43" s="45" t="n">
        <f aca="false">L43+D43/$K$2</f>
        <v>404.460790619449</v>
      </c>
      <c r="F43" s="117" t="n">
        <f aca="false">IF($K$9=0,0,E43/$K$9)</f>
        <v>0.0830546723372289</v>
      </c>
      <c r="G43" s="117" t="n">
        <f aca="false">G42+F43</f>
        <v>0.745772275304987</v>
      </c>
      <c r="H43" s="138" t="n">
        <v>518716.54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RESUMO'!AP22</f>
        <v>82.5</v>
      </c>
      <c r="N43" s="140" t="n">
        <f aca="false">MAX(0,M43-M42)</f>
        <v>7.92</v>
      </c>
      <c r="O43" s="139" t="str">
        <f aca="false">IF(B43&lt;='VALOR POR PL'!$P$5,'CP RESUMO'!AP64,"")</f>
        <v/>
      </c>
      <c r="P43" s="66" t="n">
        <f aca="false">IF(B43&lt;='VALOR POR PL'!$P$5,0,IF(OR($K$16="CURVA PREVISION",$K$16="MDO PREVISION + MATERIAL PREMISSA"),N43,IF($K$16="PREVISÃO INFORMADA",MAX(0,H43),0)))</f>
        <v>518716.54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HISTORICOS'!AQ22)</f>
        <v>0</v>
      </c>
      <c r="D44" s="45" t="n">
        <f aca="false">IF(B44&lt;='VALOR POR PL'!$P$5,0,IF($K$17&gt;0,$K$18*P44/$K$17,0))</f>
        <v>439566.422360978</v>
      </c>
      <c r="E44" s="45" t="n">
        <f aca="false">L44+D44/$K$2</f>
        <v>338.939124598156</v>
      </c>
      <c r="F44" s="117" t="n">
        <f aca="false">IF($K$9=0,0,E44/$K$9)</f>
        <v>0.069600017081145</v>
      </c>
      <c r="G44" s="117" t="n">
        <f aca="false">G43+F44</f>
        <v>0.815372292386132</v>
      </c>
      <c r="H44" s="138" t="n">
        <v>434685.72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RESUMO'!AQ22</f>
        <v>88.86</v>
      </c>
      <c r="N44" s="140" t="n">
        <f aca="false">MAX(0,M44-M43)</f>
        <v>6.36</v>
      </c>
      <c r="O44" s="139" t="str">
        <f aca="false">IF(B44&lt;='VALOR POR PL'!$P$5,'CP RESUMO'!AQ64,"")</f>
        <v/>
      </c>
      <c r="P44" s="66" t="n">
        <f aca="false">IF(B44&lt;='VALOR POR PL'!$P$5,0,IF(OR($K$16="CURVA PREVISION",$K$16="MDO PREVISION + MATERIAL PREMISSA"),N44,IF($K$16="PREVISÃO INFORMADA",MAX(0,H44),0)))</f>
        <v>434685.72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HISTORICOS'!AR22)</f>
        <v>0</v>
      </c>
      <c r="D45" s="45" t="n">
        <f aca="false">IF(B45&lt;='VALOR POR PL'!$P$5,0,IF($K$17&gt;0,$K$18*P45/$K$17,0))</f>
        <v>527735.270470409</v>
      </c>
      <c r="E45" s="45" t="n">
        <f aca="false">L45+D45/$K$2</f>
        <v>406.924008508368</v>
      </c>
      <c r="F45" s="117" t="n">
        <f aca="false">IF($K$9=0,0,E45/$K$9)</f>
        <v>0.0835604859028556</v>
      </c>
      <c r="G45" s="117" t="n">
        <f aca="false">G44+F45</f>
        <v>0.898932778288987</v>
      </c>
      <c r="H45" s="138" t="n">
        <v>521875.59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RESUMO'!AR22</f>
        <v>93.17</v>
      </c>
      <c r="N45" s="140" t="n">
        <f aca="false">MAX(0,M45-M44)</f>
        <v>4.31</v>
      </c>
      <c r="O45" s="139" t="str">
        <f aca="false">IF(B45&lt;='VALOR POR PL'!$P$5,'CP RESUMO'!AR64,"")</f>
        <v/>
      </c>
      <c r="P45" s="66" t="n">
        <f aca="false">IF(B45&lt;='VALOR POR PL'!$P$5,0,IF(OR($K$16="CURVA PREVISION",$K$16="MDO PREVISION + MATERIAL PREMISSA"),N45,IF($K$16="PREVISÃO INFORMADA",MAX(0,H45),0)))</f>
        <v>521875.59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HISTORICOS'!AS22)</f>
        <v>0</v>
      </c>
      <c r="D46" s="45" t="n">
        <f aca="false">IF(B46&lt;='VALOR POR PL'!$P$5,0,IF($K$17&gt;0,$K$18*P46/$K$17,0))</f>
        <v>275367.9230687</v>
      </c>
      <c r="E46" s="45" t="n">
        <f aca="false">L46+D46/$K$2</f>
        <v>212.3296003503</v>
      </c>
      <c r="F46" s="117" t="n">
        <f aca="false">IF($K$9=0,0,E46/$K$9)</f>
        <v>0.0436011741894196</v>
      </c>
      <c r="G46" s="117" t="n">
        <f aca="false">G45+F46</f>
        <v>0.942533952478407</v>
      </c>
      <c r="H46" s="138" t="n">
        <v>272310.39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RESUMO'!AS22</f>
        <v>96.93</v>
      </c>
      <c r="N46" s="140" t="n">
        <f aca="false">MAX(0,M46-M45)</f>
        <v>3.76000000000001</v>
      </c>
      <c r="O46" s="139" t="str">
        <f aca="false">IF(B46&lt;='VALOR POR PL'!$P$5,'CP RESUMO'!AS64,"")</f>
        <v/>
      </c>
      <c r="P46" s="66" t="n">
        <f aca="false">IF(B46&lt;='VALOR POR PL'!$P$5,0,IF(OR($K$16="CURVA PREVISION",$K$16="MDO PREVISION + MATERIAL PREMISSA"),N46,IF($K$16="PREVISÃO INFORMADA",MAX(0,H46),0)))</f>
        <v>272310.39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HISTORICOS'!AT22)</f>
        <v>0</v>
      </c>
      <c r="D47" s="45" t="n">
        <f aca="false">IF(B47&lt;='VALOR POR PL'!$P$5,0,IF($K$17&gt;0,$K$18*P47/$K$17,0))</f>
        <v>240228.160587405</v>
      </c>
      <c r="E47" s="45" t="n">
        <f aca="false">L47+D47/$K$2</f>
        <v>185.234172382837</v>
      </c>
      <c r="F47" s="117" t="n">
        <f aca="false">IF($K$9=0,0,E47/$K$9)</f>
        <v>0.0380372185628975</v>
      </c>
      <c r="G47" s="117" t="n">
        <f aca="false">G46+F47</f>
        <v>0.980571171041304</v>
      </c>
      <c r="H47" s="138" t="n">
        <v>237560.8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RESUMO'!AT22</f>
        <v>98.03</v>
      </c>
      <c r="N47" s="140" t="n">
        <f aca="false">MAX(0,M47-M46)</f>
        <v>1.09999999999999</v>
      </c>
      <c r="O47" s="139" t="str">
        <f aca="false">IF(B47&lt;='VALOR POR PL'!$P$5,'CP RESUMO'!AT64,"")</f>
        <v/>
      </c>
      <c r="P47" s="66" t="n">
        <f aca="false">IF(B47&lt;='VALOR POR PL'!$P$5,0,IF(OR($K$16="CURVA PREVISION",$K$16="MDO PREVISION + MATERIAL PREMISSA"),N47,IF($K$16="PREVISÃO INFORMADA",MAX(0,H47),0)))</f>
        <v>237560.8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HISTORICOS'!AU22)</f>
        <v>0</v>
      </c>
      <c r="D48" s="45" t="n">
        <f aca="false">IF(B48&lt;='VALOR POR PL'!$P$5,0,IF($K$17&gt;0,$K$18*P48/$K$17,0))</f>
        <v>70279.5148503093</v>
      </c>
      <c r="E48" s="45" t="n">
        <f aca="false">L48+D48/$K$2</f>
        <v>54.1908481375887</v>
      </c>
      <c r="F48" s="117" t="n">
        <f aca="false">IF($K$9=0,0,E48/$K$9)</f>
        <v>0.0111279096518869</v>
      </c>
      <c r="G48" s="117" t="n">
        <f aca="false">G47+F48</f>
        <v>0.991699080693191</v>
      </c>
      <c r="H48" s="138" t="n">
        <v>69499.17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RESUMO'!AU22</f>
        <v>99.02</v>
      </c>
      <c r="N48" s="140" t="n">
        <f aca="false">MAX(0,M48-M47)</f>
        <v>0.989999999999995</v>
      </c>
      <c r="O48" s="139" t="str">
        <f aca="false">IF(B48&lt;='VALOR POR PL'!$P$5,'CP RESUMO'!AU64,"")</f>
        <v/>
      </c>
      <c r="P48" s="66" t="n">
        <f aca="false">IF(B48&lt;='VALOR POR PL'!$P$5,0,IF(OR($K$16="CURVA PREVISION",$K$16="MDO PREVISION + MATERIAL PREMISSA"),N48,IF($K$16="PREVISÃO INFORMADA",MAX(0,H48),0)))</f>
        <v>69499.17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HISTORICOS'!AV22)</f>
        <v>0</v>
      </c>
      <c r="D49" s="45" t="n">
        <f aca="false">IF(B49&lt;='VALOR POR PL'!$P$5,0,IF($K$17&gt;0,$K$18*P49/$K$17,0))</f>
        <v>52425.3521051157</v>
      </c>
      <c r="E49" s="45" t="n">
        <f aca="false">L49+D49/$K$2</f>
        <v>40.4239315046359</v>
      </c>
      <c r="F49" s="117" t="n">
        <f aca="false">IF($K$9=0,0,E49/$K$9)</f>
        <v>0.00830091930680877</v>
      </c>
      <c r="G49" s="117" t="n">
        <f aca="false">G48+F49</f>
        <v>1</v>
      </c>
      <c r="H49" s="138" t="n">
        <v>51843.25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RESUMO'!AV22</f>
        <v>100</v>
      </c>
      <c r="N49" s="140" t="n">
        <f aca="false">MAX(0,M49-M48)</f>
        <v>0.980000000000004</v>
      </c>
      <c r="O49" s="139" t="str">
        <f aca="false">IF(B49&lt;='VALOR POR PL'!$P$5,'CP RESUMO'!AV64,"")</f>
        <v/>
      </c>
      <c r="P49" s="66" t="n">
        <f aca="false">IF(B49&lt;='VALOR POR PL'!$P$5,0,IF(OR($K$16="CURVA PREVISION",$K$16="MDO PREVISION + MATERIAL PREMISSA"),N49,IF($K$16="PREVISÃO INFORMADA",MAX(0,H49),0)))</f>
        <v>51843.25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RESUMO'!AW22</f>
        <v>100</v>
      </c>
      <c r="N50" s="140" t="n">
        <f aca="false">MAX(0,M50-M49)</f>
        <v>0</v>
      </c>
      <c r="O50" s="139" t="str">
        <f aca="false">IF(B50&lt;='VALOR POR PL'!$P$5,'CP RESUMO'!AW64,"")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RESUMO'!AX22</f>
        <v>100</v>
      </c>
      <c r="N51" s="140" t="n">
        <f aca="false">MAX(0,M51-M50)</f>
        <v>0</v>
      </c>
      <c r="O51" s="139" t="str">
        <f aca="false">IF(B51&lt;='VALOR POR PL'!$P$5,'CP RESUMO'!AX64,"")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RESUMO'!AY22</f>
        <v>100</v>
      </c>
      <c r="N52" s="140" t="n">
        <f aca="false">MAX(0,M52-M51)</f>
        <v>0</v>
      </c>
      <c r="O52" s="139" t="str">
        <f aca="false">IF(B52&lt;='VALOR POR PL'!$P$5,'CP RESUMO'!AY64,"")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RESUMO'!AZ22</f>
        <v>100</v>
      </c>
      <c r="N53" s="140" t="n">
        <f aca="false">MAX(0,M53-M52)</f>
        <v>0</v>
      </c>
      <c r="O53" s="139" t="str">
        <f aca="false">IF(B53&lt;='VALOR POR PL'!$P$5,'CP RESUMO'!AZ64,"")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RESUMO'!BA22</f>
        <v>100</v>
      </c>
      <c r="N54" s="140" t="n">
        <f aca="false">MAX(0,M54-M53)</f>
        <v>0</v>
      </c>
      <c r="O54" s="139" t="str">
        <f aca="false">IF(B54&lt;='VALOR POR PL'!$P$5,'CP RESUMO'!BA64,"")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RESUMO'!BB22</f>
        <v>100</v>
      </c>
      <c r="N55" s="140" t="n">
        <f aca="false">MAX(0,M55-M54)</f>
        <v>0</v>
      </c>
      <c r="O55" s="139" t="str">
        <f aca="false">IF(B55&lt;='VALOR POR PL'!$P$5,'CP RESUMO'!BB64,"")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RESUMO'!BC22</f>
        <v>100</v>
      </c>
      <c r="N56" s="140" t="n">
        <f aca="false">MAX(0,M56-M55)</f>
        <v>0</v>
      </c>
      <c r="O56" s="139" t="str">
        <f aca="false">IF(B56&lt;='VALOR POR PL'!$P$5,'CP RESUMO'!BC64,"")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RESUMO'!BD22</f>
        <v>100</v>
      </c>
      <c r="N57" s="140" t="n">
        <f aca="false">MAX(0,M57-M56)</f>
        <v>0</v>
      </c>
      <c r="O57" s="139" t="str">
        <f aca="false">IF(B57&lt;='VALOR POR PL'!$P$5,'CP RESUMO'!BD64,"")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RESUMO'!BE22</f>
        <v>100</v>
      </c>
      <c r="N58" s="140" t="n">
        <f aca="false">MAX(0,M58-M57)</f>
        <v>0</v>
      </c>
      <c r="O58" s="139" t="str">
        <f aca="false">IF(B58&lt;='VALOR POR PL'!$P$5,'CP RESUMO'!BE64,"")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RESUMO'!BF22</f>
        <v>100</v>
      </c>
      <c r="N59" s="140" t="n">
        <f aca="false">MAX(0,M59-M58)</f>
        <v>0</v>
      </c>
      <c r="O59" s="139" t="str">
        <f aca="false">IF(B59&lt;='VALOR POR PL'!$P$5,'CP RESUMO'!BF64,"")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RESUMO'!BG22</f>
        <v>100</v>
      </c>
      <c r="N60" s="140" t="n">
        <f aca="false">MAX(0,M60-M59)</f>
        <v>0</v>
      </c>
      <c r="O60" s="139" t="str">
        <f aca="false">IF(B60&lt;='VALOR POR PL'!$P$5,'CP RESUMO'!BG64,"")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RESUMO'!BH22</f>
        <v>100</v>
      </c>
      <c r="N61" s="140" t="n">
        <f aca="false">MAX(0,M61-M60)</f>
        <v>0</v>
      </c>
      <c r="O61" s="139" t="str">
        <f aca="false">IF(B61&lt;='VALOR POR PL'!$P$5,'CP RESUMO'!BH64,"")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RESUMO'!BI22</f>
        <v>100</v>
      </c>
      <c r="N62" s="140" t="n">
        <f aca="false">MAX(0,M62-M61)</f>
        <v>0</v>
      </c>
      <c r="O62" s="139" t="str">
        <f aca="false">IF(B62&lt;='VALOR POR PL'!$P$5,'CP RESUMO'!BI64,"")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RESUMO'!BJ22</f>
        <v>100</v>
      </c>
      <c r="N63" s="140" t="n">
        <f aca="false">MAX(0,M63-M62)</f>
        <v>0</v>
      </c>
      <c r="O63" s="139" t="str">
        <f aca="false">IF(B63&lt;='VALOR POR PL'!$P$5,'CP RESUMO'!BJ64,"")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RESUMO'!BK22</f>
        <v>100</v>
      </c>
      <c r="N64" s="140" t="n">
        <f aca="false">MAX(0,M64-M63)</f>
        <v>0</v>
      </c>
      <c r="O64" s="139" t="str">
        <f aca="false">IF(B64&lt;='VALOR POR PL'!$P$5,'CP RESUMO'!BK64,"")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RESUMO'!BL22</f>
        <v>100</v>
      </c>
      <c r="N65" s="140" t="n">
        <f aca="false">MAX(0,M65-M64)</f>
        <v>0</v>
      </c>
      <c r="O65" s="139" t="str">
        <f aca="false">IF(B65&lt;='VALOR POR PL'!$P$5,'CP RESUMO'!BL64,"")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RESUMO'!BM22</f>
        <v>100</v>
      </c>
      <c r="N66" s="140" t="n">
        <f aca="false">MAX(0,M66-M65)</f>
        <v>0</v>
      </c>
      <c r="O66" s="139" t="str">
        <f aca="false">IF(B66&lt;='VALOR POR PL'!$P$5,'CP RESUMO'!BM64,"")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RESUMO'!BN22</f>
        <v>100</v>
      </c>
      <c r="N67" s="140" t="n">
        <f aca="false">MAX(0,M67-M66)</f>
        <v>0</v>
      </c>
      <c r="O67" s="139" t="str">
        <f aca="false">IF(B67&lt;='VALOR POR PL'!$P$5,'CP RESUMO'!BN64,"")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RESUMO'!BO22</f>
        <v>100</v>
      </c>
      <c r="N68" s="140" t="n">
        <f aca="false">MAX(0,M68-M67)</f>
        <v>0</v>
      </c>
      <c r="O68" s="139" t="str">
        <f aca="false">IF(B68&lt;='VALOR POR PL'!$P$5,'CP RESUMO'!BO64,"")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RESUMO'!BP22</f>
        <v>100</v>
      </c>
      <c r="N69" s="140" t="n">
        <f aca="false">MAX(0,M69-M68)</f>
        <v>0</v>
      </c>
      <c r="O69" s="139" t="str">
        <f aca="false">IF(B69&lt;='VALOR POR PL'!$P$5,'CP RESUMO'!BP64,"")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RESUMO'!BQ22</f>
        <v>100</v>
      </c>
      <c r="N70" s="140" t="n">
        <f aca="false">MAX(0,M70-M69)</f>
        <v>0</v>
      </c>
      <c r="O70" s="139" t="str">
        <f aca="false">IF(B70&lt;='VALOR POR PL'!$P$5,'CP RESUMO'!BQ64,"")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RESUMO'!BR22</f>
        <v>100</v>
      </c>
      <c r="N71" s="140" t="n">
        <f aca="false">MAX(0,M71-M70)</f>
        <v>0</v>
      </c>
      <c r="O71" s="139" t="str">
        <f aca="false">IF(B71&lt;='VALOR POR PL'!$P$5,'CP RESUMO'!BR64,"")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RESUMO'!BS22</f>
        <v>100</v>
      </c>
      <c r="N72" s="140" t="n">
        <f aca="false">MAX(0,M72-M71)</f>
        <v>0</v>
      </c>
      <c r="O72" s="139" t="str">
        <f aca="false">IF(B72&lt;='VALOR POR PL'!$P$5,'CP RESUMO'!BS64,"")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RESUMO'!BT22</f>
        <v>100</v>
      </c>
      <c r="N73" s="140" t="n">
        <f aca="false">MAX(0,M73-M72)</f>
        <v>0</v>
      </c>
      <c r="O73" s="139" t="str">
        <f aca="false">IF(B73&lt;='VALOR POR PL'!$P$5,'CP RESUMO'!BT64,"")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RESUMO'!BU22</f>
        <v>100</v>
      </c>
      <c r="N74" s="140" t="n">
        <f aca="false">MAX(0,M74-M73)</f>
        <v>0</v>
      </c>
      <c r="O74" s="139" t="str">
        <f aca="false">IF(B74&lt;='VALOR POR PL'!$P$5,'CP RESUMO'!BU64,"")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RESUMO'!BV22</f>
        <v>100</v>
      </c>
      <c r="N75" s="140" t="n">
        <f aca="false">MAX(0,M75-M74)</f>
        <v>0</v>
      </c>
      <c r="O75" s="139" t="str">
        <f aca="false">IF(B75&lt;='VALOR POR PL'!$P$5,'CP RESUMO'!BV64,"")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RESUMO'!BW22</f>
        <v>100</v>
      </c>
      <c r="N76" s="140" t="n">
        <f aca="false">MAX(0,M76-M75)</f>
        <v>0</v>
      </c>
      <c r="O76" s="139" t="str">
        <f aca="false">IF(B76&lt;='VALOR POR PL'!$P$5,'CP RESUMO'!BW64,"")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6315607.9667121</v>
      </c>
      <c r="E78" s="61" t="n">
        <f aca="false">SUM(E5:E76)</f>
        <v>4869.81381345057</v>
      </c>
      <c r="F78" s="145" t="n">
        <f aca="false">SUM(F5:F76)</f>
        <v>1</v>
      </c>
      <c r="H78" s="61" t="n">
        <f aca="false">SUM(H5:H76)</f>
        <v>6245482.95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PL'!D29</f>
        <v>IMPERMEABILIZAÇÃO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HISTORICOS'!D23)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PL'!F29</f>
        <v>3928343.29</v>
      </c>
      <c r="K5" s="56" t="n">
        <f aca="false">'VALOR POR PL'!G29</f>
        <v>3228.670926</v>
      </c>
      <c r="L5" s="56" t="n">
        <f aca="false">'DADOS HISTORICOS'!$BZ$23</f>
        <v>0</v>
      </c>
      <c r="M5" s="139" t="n">
        <f aca="false">'CP RESUMO'!D23</f>
        <v>0</v>
      </c>
      <c r="N5" s="140" t="n">
        <v>0</v>
      </c>
      <c r="O5" s="139" t="n">
        <f aca="false">IF(B5&lt;='VALOR POR PL'!$P$5,'CP RESUMO'!D65,"")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PL'!H29</f>
        <v>3228.670926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RESUMO'!E23</f>
        <v>0</v>
      </c>
      <c r="N6" s="140" t="n">
        <f aca="false">MAX(0,M6-M5)</f>
        <v>0</v>
      </c>
      <c r="O6" s="139" t="n">
        <f aca="false">IF(B6&lt;='VALOR POR PL'!$P$5,'CP RESUMO'!E65,"")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HISTORICOS'!F23)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4185571.99695067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RESUMO'!F23</f>
        <v>0</v>
      </c>
      <c r="N7" s="140" t="n">
        <f aca="false">MAX(0,M7-M6)</f>
        <v>0</v>
      </c>
      <c r="O7" s="139" t="n">
        <f aca="false">IF(B7&lt;='VALOR POR PL'!$P$5,'CP RESUMO'!F65,"")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HISTORICOS'!G23)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RESUMO'!G23</f>
        <v>0</v>
      </c>
      <c r="N8" s="140" t="n">
        <f aca="false">MAX(0,M8-M7)</f>
        <v>0</v>
      </c>
      <c r="O8" s="139" t="n">
        <f aca="false">IF(B8&lt;='VALOR POR PL'!$P$5,'CP RESUMO'!G65,"")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4185571.99695067</v>
      </c>
      <c r="K9" s="45" t="n">
        <f aca="false">E78</f>
        <v>3227.39416939358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RESUMO'!H23</f>
        <v>0</v>
      </c>
      <c r="N9" s="140" t="n">
        <f aca="false">MAX(0,M9-M8)</f>
        <v>0</v>
      </c>
      <c r="O9" s="139" t="n">
        <f aca="false">IF(B9&lt;='VALOR POR PL'!$P$5,'CP RESUMO'!H65,"")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3227.39416939358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RESUMO'!I23</f>
        <v>0</v>
      </c>
      <c r="N10" s="140" t="n">
        <f aca="false">MAX(0,M10-M9)</f>
        <v>0</v>
      </c>
      <c r="O10" s="139" t="n">
        <f aca="false">IF(B10&lt;='VALOR POR PL'!$P$5,'CP RESUMO'!I65,"")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4139097.73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RESUMO'!J23</f>
        <v>0</v>
      </c>
      <c r="N11" s="140" t="n">
        <f aca="false">MAX(0,M11-M10)</f>
        <v>0</v>
      </c>
      <c r="O11" s="139" t="n">
        <f aca="false">IF(B11&lt;='VALOR POR PL'!$P$5,'CP RESUMO'!J65,"")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HISTORICOS'!K23)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RESUMO'!K23</f>
        <v>0</v>
      </c>
      <c r="N12" s="140" t="n">
        <f aca="false">MAX(0,M12-M11)</f>
        <v>0</v>
      </c>
      <c r="O12" s="139" t="n">
        <f aca="false">IF(B12&lt;='VALOR POR PL'!$P$5,'CP RESUMO'!K65,"")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HISTORICOS'!L23)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PL'!I29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RESUMO'!L23</f>
        <v>0</v>
      </c>
      <c r="N13" s="140" t="n">
        <f aca="false">MAX(0,M13-M12)</f>
        <v>0</v>
      </c>
      <c r="O13" s="139" t="n">
        <f aca="false">IF(B13&lt;='VALOR POR PL'!$P$5,'CP RESUMO'!L65,"")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HISTORICOS'!M23)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RESUMO'!$D$65:$BW$65,MATCH('VALOR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RESUMO'!M23</f>
        <v>0</v>
      </c>
      <c r="N14" s="140" t="n">
        <f aca="false">MAX(0,M14-M13)</f>
        <v>0</v>
      </c>
      <c r="O14" s="139" t="n">
        <f aca="false">IF(B14&lt;='VALOR POR PL'!$P$5,'CP RESUMO'!M65,"")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HISTORICOS'!N23)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RESUMO'!N23</f>
        <v>0</v>
      </c>
      <c r="N15" s="140" t="n">
        <f aca="false">MAX(0,M15-M14)</f>
        <v>0</v>
      </c>
      <c r="O15" s="139" t="n">
        <f aca="false">IF(B15&lt;='VALOR POR PL'!$P$5,'CP RESUMO'!N65,"")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HISTORICOS'!O23)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RESUMO'!O23</f>
        <v>0</v>
      </c>
      <c r="N16" s="140" t="n">
        <f aca="false">MAX(0,M16-M15)</f>
        <v>0</v>
      </c>
      <c r="O16" s="139" t="n">
        <f aca="false">IF(B16&lt;='VALOR POR PL'!$P$5,'CP RESUMO'!O65,"")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HISTORICOS'!P23)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4139097.73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RESUMO'!P23</f>
        <v>0</v>
      </c>
      <c r="N17" s="140" t="n">
        <f aca="false">MAX(0,M17-M16)</f>
        <v>0</v>
      </c>
      <c r="O17" s="139" t="n">
        <f aca="false">IF(B17&lt;='VALOR POR PL'!$P$5,'CP RESUMO'!P65,"")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HISTORICOS'!Q23)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4185571.99695067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RESUMO'!Q23</f>
        <v>0</v>
      </c>
      <c r="N18" s="140" t="n">
        <f aca="false">MAX(0,M18-M17)</f>
        <v>0</v>
      </c>
      <c r="O18" s="139" t="n">
        <f aca="false">IF(B18&lt;='VALOR POR PL'!$P$5,'CP RESUMO'!Q65,"")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HISTORICOS'!R23)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0.0112281153967015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RESUMO'!R23</f>
        <v>0</v>
      </c>
      <c r="N19" s="140" t="n">
        <f aca="false">MAX(0,M19-M18)</f>
        <v>0</v>
      </c>
      <c r="O19" s="139" t="n">
        <f aca="false">IF(B19&lt;='VALOR POR PL'!$P$5,'CP RESUMO'!R65,"")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HISTORICOS'!S23)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RESUMO'!S23</f>
        <v>0</v>
      </c>
      <c r="N20" s="140" t="n">
        <f aca="false">MAX(0,M20-M19)</f>
        <v>0</v>
      </c>
      <c r="O20" s="139" t="n">
        <f aca="false">IF(B20&lt;='VALOR POR PL'!$P$5,'CP RESUMO'!S65,"")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HISTORICOS'!T23)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RESUMO'!T23</f>
        <v>0</v>
      </c>
      <c r="N21" s="140" t="n">
        <f aca="false">MAX(0,M21-M20)</f>
        <v>0</v>
      </c>
      <c r="O21" s="139" t="n">
        <f aca="false">IF(B21&lt;='VALOR POR PL'!$P$5,'CP RESUMO'!T65,"")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HISTORICOS'!U23)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RESUMO'!U23</f>
        <v>0</v>
      </c>
      <c r="N22" s="140" t="n">
        <f aca="false">MAX(0,M22-M21)</f>
        <v>0</v>
      </c>
      <c r="O22" s="139" t="n">
        <f aca="false">IF(B22&lt;='VALOR POR PL'!$P$5,'CP RESUMO'!U65,"")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HISTORICOS'!V23)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RESUMO'!V23</f>
        <v>0</v>
      </c>
      <c r="N23" s="140" t="n">
        <f aca="false">MAX(0,M23-M22)</f>
        <v>0</v>
      </c>
      <c r="O23" s="139" t="n">
        <f aca="false">IF(B23&lt;='VALOR POR PL'!$P$5,'CP RESUMO'!V65,"")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HISTORICOS'!W23)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RESUMO'!W23</f>
        <v>0</v>
      </c>
      <c r="N24" s="140" t="n">
        <f aca="false">MAX(0,M24-M23)</f>
        <v>0</v>
      </c>
      <c r="O24" s="139" t="n">
        <f aca="false">IF(B24&lt;='VALOR POR PL'!$P$5,'CP RESUMO'!W65,"")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HISTORICOS'!X23)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RESUMO'!X23</f>
        <v>0</v>
      </c>
      <c r="N25" s="140" t="n">
        <f aca="false">MAX(0,M25-M24)</f>
        <v>0</v>
      </c>
      <c r="O25" s="139" t="n">
        <f aca="false">IF(B25&lt;='VALOR POR PL'!$P$5,'CP RESUMO'!X65,"")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HISTORICOS'!Y23)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RESUMO'!Y23</f>
        <v>0</v>
      </c>
      <c r="N26" s="140" t="n">
        <f aca="false">MAX(0,M26-M25)</f>
        <v>0</v>
      </c>
      <c r="O26" s="139" t="str">
        <f aca="false">IF(B26&lt;='VALOR POR PL'!$P$5,'CP RESUMO'!Y65,"")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HISTORICOS'!Z23)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RESUMO'!Z23</f>
        <v>0</v>
      </c>
      <c r="N27" s="140" t="n">
        <f aca="false">MAX(0,M27-M26)</f>
        <v>0</v>
      </c>
      <c r="O27" s="139" t="str">
        <f aca="false">IF(B27&lt;='VALOR POR PL'!$P$5,'CP RESUMO'!Z65,"")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HISTORICOS'!AA23)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RESUMO'!AA23</f>
        <v>0</v>
      </c>
      <c r="N28" s="140" t="n">
        <f aca="false">MAX(0,M28-M27)</f>
        <v>0</v>
      </c>
      <c r="O28" s="139" t="str">
        <f aca="false">IF(B28&lt;='VALOR POR PL'!$P$5,'CP RESUMO'!AA65,"")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HISTORICOS'!AB23)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RESUMO'!AB23</f>
        <v>0</v>
      </c>
      <c r="N29" s="140" t="n">
        <f aca="false">MAX(0,M29-M28)</f>
        <v>0</v>
      </c>
      <c r="O29" s="139" t="str">
        <f aca="false">IF(B29&lt;='VALOR POR PL'!$P$5,'CP RESUMO'!AB65,"")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HISTORICOS'!AC23)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RESUMO'!AC23</f>
        <v>0</v>
      </c>
      <c r="N30" s="140" t="n">
        <f aca="false">MAX(0,M30-M29)</f>
        <v>0</v>
      </c>
      <c r="O30" s="139" t="str">
        <f aca="false">IF(B30&lt;='VALOR POR PL'!$P$5,'CP RESUMO'!AC65,"")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HISTORICOS'!AD23)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RESUMO'!AD23</f>
        <v>0</v>
      </c>
      <c r="N31" s="140" t="n">
        <f aca="false">MAX(0,M31-M30)</f>
        <v>0</v>
      </c>
      <c r="O31" s="139" t="str">
        <f aca="false">IF(B31&lt;='VALOR POR PL'!$P$5,'CP RESUMO'!AD65,"")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HISTORICOS'!AE23)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RESUMO'!AE23</f>
        <v>0</v>
      </c>
      <c r="N32" s="140" t="n">
        <f aca="false">MAX(0,M32-M31)</f>
        <v>0</v>
      </c>
      <c r="O32" s="139" t="str">
        <f aca="false">IF(B32&lt;='VALOR POR PL'!$P$5,'CP RESUMO'!AE65,"")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HISTORICOS'!AF23)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RESUMO'!AF23</f>
        <v>0</v>
      </c>
      <c r="N33" s="140" t="n">
        <f aca="false">MAX(0,M33-M32)</f>
        <v>0</v>
      </c>
      <c r="O33" s="139" t="str">
        <f aca="false">IF(B33&lt;='VALOR POR PL'!$P$5,'CP RESUMO'!AF65,"")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HISTORICOS'!AG23)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RESUMO'!AG23</f>
        <v>0</v>
      </c>
      <c r="N34" s="140" t="n">
        <f aca="false">MAX(0,M34-M33)</f>
        <v>0</v>
      </c>
      <c r="O34" s="139" t="str">
        <f aca="false">IF(B34&lt;='VALOR POR PL'!$P$5,'CP RESUMO'!AG65,"")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HISTORICOS'!AH23)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RESUMO'!AH23</f>
        <v>0</v>
      </c>
      <c r="N35" s="140" t="n">
        <f aca="false">MAX(0,M35-M34)</f>
        <v>0</v>
      </c>
      <c r="O35" s="139" t="str">
        <f aca="false">IF(B35&lt;='VALOR POR PL'!$P$5,'CP RESUMO'!AH65,"")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HISTORICOS'!AI23)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RESUMO'!AI23</f>
        <v>0</v>
      </c>
      <c r="N36" s="140" t="n">
        <f aca="false">MAX(0,M36-M35)</f>
        <v>0</v>
      </c>
      <c r="O36" s="139" t="str">
        <f aca="false">IF(B36&lt;='VALOR POR PL'!$P$5,'CP RESUMO'!AI65,"")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HISTORICOS'!AJ23)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RESUMO'!AJ23</f>
        <v>3.97</v>
      </c>
      <c r="N37" s="140" t="n">
        <f aca="false">MAX(0,M37-M36)</f>
        <v>3.97</v>
      </c>
      <c r="O37" s="139" t="str">
        <f aca="false">IF(B37&lt;='VALOR POR PL'!$P$5,'CP RESUMO'!AJ65,"")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HISTORICOS'!AK23)</f>
        <v>0</v>
      </c>
      <c r="D38" s="45" t="n">
        <f aca="false">IF(B38&lt;='VALOR POR PL'!$P$5,0,IF($K$17&gt;0,$K$18*P38/$K$17,0))</f>
        <v>168099.422633053</v>
      </c>
      <c r="E38" s="45" t="n">
        <f aca="false">L38+D38/$K$2</f>
        <v>129.617432666214</v>
      </c>
      <c r="F38" s="117" t="n">
        <f aca="false">IF($K$9=0,0,E38/$K$9)</f>
        <v>0.040161636869589</v>
      </c>
      <c r="G38" s="117" t="n">
        <f aca="false">G37+F38</f>
        <v>0.040161636869589</v>
      </c>
      <c r="H38" s="138" t="n">
        <v>166232.94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RESUMO'!AK23</f>
        <v>9.52</v>
      </c>
      <c r="N38" s="140" t="n">
        <f aca="false">MAX(0,M38-M37)</f>
        <v>5.55</v>
      </c>
      <c r="O38" s="139" t="str">
        <f aca="false">IF(B38&lt;='VALOR POR PL'!$P$5,'CP RESUMO'!AK65,"")</f>
        <v/>
      </c>
      <c r="P38" s="66" t="n">
        <f aca="false">IF(B38&lt;='VALOR POR PL'!$P$5,0,IF(OR($K$16="CURVA PREVISION",$K$16="MDO PREVISION + MATERIAL PREMISSA"),N38,IF($K$16="PREVISÃO INFORMADA",MAX(0,H38),0)))</f>
        <v>166232.94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HISTORICOS'!AL23)</f>
        <v>0</v>
      </c>
      <c r="D39" s="45" t="n">
        <f aca="false">IF(B39&lt;='VALOR POR PL'!$P$5,0,IF($K$17&gt;0,$K$18*P39/$K$17,0))</f>
        <v>235000.454537091</v>
      </c>
      <c r="E39" s="45" t="n">
        <f aca="false">L39+D39/$K$2</f>
        <v>181.203213642101</v>
      </c>
      <c r="F39" s="117" t="n">
        <f aca="false">IF($K$9=0,0,E39/$K$9)</f>
        <v>0.056145361902339</v>
      </c>
      <c r="G39" s="117" t="n">
        <f aca="false">G38+F39</f>
        <v>0.096306998771928</v>
      </c>
      <c r="H39" s="138" t="n">
        <v>232391.14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RESUMO'!AL23</f>
        <v>17.2</v>
      </c>
      <c r="N39" s="140" t="n">
        <f aca="false">MAX(0,M39-M38)</f>
        <v>7.68</v>
      </c>
      <c r="O39" s="139" t="str">
        <f aca="false">IF(B39&lt;='VALOR POR PL'!$P$5,'CP RESUMO'!AL65,"")</f>
        <v/>
      </c>
      <c r="P39" s="66" t="n">
        <f aca="false">IF(B39&lt;='VALOR POR PL'!$P$5,0,IF(OR($K$16="CURVA PREVISION",$K$16="MDO PREVISION + MATERIAL PREMISSA"),N39,IF($K$16="PREVISÃO INFORMADA",MAX(0,H39),0)))</f>
        <v>232391.14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HISTORICOS'!AM23)</f>
        <v>0</v>
      </c>
      <c r="D40" s="45" t="n">
        <f aca="false">IF(B40&lt;='VALOR POR PL'!$P$5,0,IF($K$17&gt;0,$K$18*P40/$K$17,0))</f>
        <v>223991.426402671</v>
      </c>
      <c r="E40" s="45" t="n">
        <f aca="false">L40+D40/$K$2</f>
        <v>172.714416116315</v>
      </c>
      <c r="F40" s="117" t="n">
        <f aca="false">IF($K$9=0,0,E40/$K$9)</f>
        <v>0.0535151292501615</v>
      </c>
      <c r="G40" s="117" t="n">
        <f aca="false">G39+F40</f>
        <v>0.14982212802209</v>
      </c>
      <c r="H40" s="138" t="n">
        <v>221504.35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RESUMO'!AM23</f>
        <v>24.87</v>
      </c>
      <c r="N40" s="140" t="n">
        <f aca="false">MAX(0,M40-M39)</f>
        <v>7.67</v>
      </c>
      <c r="O40" s="139" t="str">
        <f aca="false">IF(B40&lt;='VALOR POR PL'!$P$5,'CP RESUMO'!AM65,"")</f>
        <v/>
      </c>
      <c r="P40" s="66" t="n">
        <f aca="false">IF(B40&lt;='VALOR POR PL'!$P$5,0,IF(OR($K$16="CURVA PREVISION",$K$16="MDO PREVISION + MATERIAL PREMISSA"),N40,IF($K$16="PREVISÃO INFORMADA",MAX(0,H40),0)))</f>
        <v>221504.35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HISTORICOS'!AN23)</f>
        <v>0</v>
      </c>
      <c r="D41" s="45" t="n">
        <f aca="false">IF(B41&lt;='VALOR POR PL'!$P$5,0,IF($K$17&gt;0,$K$18*P41/$K$17,0))</f>
        <v>425964.796536503</v>
      </c>
      <c r="E41" s="45" t="n">
        <f aca="false">L41+D41/$K$2</f>
        <v>328.451237181057</v>
      </c>
      <c r="F41" s="117" t="n">
        <f aca="false">IF($K$9=0,0,E41/$K$9)</f>
        <v>0.101769793195968</v>
      </c>
      <c r="G41" s="117" t="n">
        <f aca="false">G40+F41</f>
        <v>0.251591921218057</v>
      </c>
      <c r="H41" s="138" t="n">
        <v>421235.12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RESUMO'!AN23</f>
        <v>30.53</v>
      </c>
      <c r="N41" s="140" t="n">
        <f aca="false">MAX(0,M41-M40)</f>
        <v>5.66</v>
      </c>
      <c r="O41" s="139" t="str">
        <f aca="false">IF(B41&lt;='VALOR POR PL'!$P$5,'CP RESUMO'!AN65,"")</f>
        <v/>
      </c>
      <c r="P41" s="66" t="n">
        <f aca="false">IF(B41&lt;='VALOR POR PL'!$P$5,0,IF(OR($K$16="CURVA PREVISION",$K$16="MDO PREVISION + MATERIAL PREMISSA"),N41,IF($K$16="PREVISÃO INFORMADA",MAX(0,H41),0)))</f>
        <v>421235.12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HISTORICOS'!AO23)</f>
        <v>0</v>
      </c>
      <c r="D42" s="45" t="n">
        <f aca="false">IF(B42&lt;='VALOR POR PL'!$P$5,0,IF($K$17&gt;0,$K$18*P42/$K$17,0))</f>
        <v>179108.460879754</v>
      </c>
      <c r="E42" s="45" t="n">
        <f aca="false">L42+D42/$K$2</f>
        <v>138.106237989337</v>
      </c>
      <c r="F42" s="117" t="n">
        <f aca="false">IF($K$9=0,0,E42/$K$9)</f>
        <v>0.042791871937752</v>
      </c>
      <c r="G42" s="117" t="n">
        <f aca="false">G41+F42</f>
        <v>0.294383793155809</v>
      </c>
      <c r="H42" s="138" t="n">
        <v>177119.74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RESUMO'!AO23</f>
        <v>37.04</v>
      </c>
      <c r="N42" s="140" t="n">
        <f aca="false">MAX(0,M42-M41)</f>
        <v>6.51</v>
      </c>
      <c r="O42" s="139" t="str">
        <f aca="false">IF(B42&lt;='VALOR POR PL'!$P$5,'CP RESUMO'!AO65,"")</f>
        <v/>
      </c>
      <c r="P42" s="66" t="n">
        <f aca="false">IF(B42&lt;='VALOR POR PL'!$P$5,0,IF(OR($K$16="CURVA PREVISION",$K$16="MDO PREVISION + MATERIAL PREMISSA"),N42,IF($K$16="PREVISÃO INFORMADA",MAX(0,H42),0)))</f>
        <v>177119.74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HISTORICOS'!AP23)</f>
        <v>0</v>
      </c>
      <c r="D43" s="45" t="n">
        <f aca="false">IF(B43&lt;='VALOR POR PL'!$P$5,0,IF($K$17&gt;0,$K$18*P43/$K$17,0))</f>
        <v>336198.855378387</v>
      </c>
      <c r="E43" s="45" t="n">
        <f aca="false">L43+D43/$K$2</f>
        <v>259.234873129765</v>
      </c>
      <c r="F43" s="117" t="n">
        <f aca="false">IF($K$9=0,0,E43/$K$9)</f>
        <v>0.0803232761551634</v>
      </c>
      <c r="G43" s="117" t="n">
        <f aca="false">G42+F43</f>
        <v>0.374707069310973</v>
      </c>
      <c r="H43" s="138" t="n">
        <v>332465.89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RESUMO'!AP23</f>
        <v>43.54</v>
      </c>
      <c r="N43" s="140" t="n">
        <f aca="false">MAX(0,M43-M42)</f>
        <v>6.5</v>
      </c>
      <c r="O43" s="139" t="str">
        <f aca="false">IF(B43&lt;='VALOR POR PL'!$P$5,'CP RESUMO'!AP65,"")</f>
        <v/>
      </c>
      <c r="P43" s="66" t="n">
        <f aca="false">IF(B43&lt;='VALOR POR PL'!$P$5,0,IF(OR($K$16="CURVA PREVISION",$K$16="MDO PREVISION + MATERIAL PREMISSA"),N43,IF($K$16="PREVISÃO INFORMADA",MAX(0,H43),0)))</f>
        <v>332465.89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HISTORICOS'!AQ23)</f>
        <v>0</v>
      </c>
      <c r="D44" s="45" t="n">
        <f aca="false">IF(B44&lt;='VALOR POR PL'!$P$5,0,IF($K$17&gt;0,$K$18*P44/$K$17,0))</f>
        <v>235000.454537091</v>
      </c>
      <c r="E44" s="45" t="n">
        <f aca="false">L44+D44/$K$2</f>
        <v>181.203213642101</v>
      </c>
      <c r="F44" s="117" t="n">
        <f aca="false">IF($K$9=0,0,E44/$K$9)</f>
        <v>0.056145361902339</v>
      </c>
      <c r="G44" s="117" t="n">
        <f aca="false">G43+F44</f>
        <v>0.430852431213312</v>
      </c>
      <c r="H44" s="138" t="n">
        <v>232391.14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RESUMO'!AQ23</f>
        <v>56.56</v>
      </c>
      <c r="N44" s="140" t="n">
        <f aca="false">MAX(0,M44-M43)</f>
        <v>13.02</v>
      </c>
      <c r="O44" s="139" t="str">
        <f aca="false">IF(B44&lt;='VALOR POR PL'!$P$5,'CP RESUMO'!AQ65,"")</f>
        <v/>
      </c>
      <c r="P44" s="66" t="n">
        <f aca="false">IF(B44&lt;='VALOR POR PL'!$P$5,0,IF(OR($K$16="CURVA PREVISION",$K$16="MDO PREVISION + MATERIAL PREMISSA"),N44,IF($K$16="PREVISÃO INFORMADA",MAX(0,H44),0)))</f>
        <v>232391.14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HISTORICOS'!AR23)</f>
        <v>0</v>
      </c>
      <c r="D45" s="45" t="n">
        <f aca="false">IF(B45&lt;='VALOR POR PL'!$P$5,0,IF($K$17&gt;0,$K$18*P45/$K$17,0))</f>
        <v>580514.642191701</v>
      </c>
      <c r="E45" s="45" t="n">
        <f aca="false">L45+D45/$K$2</f>
        <v>447.620916047326</v>
      </c>
      <c r="F45" s="117" t="n">
        <f aca="false">IF($K$9=0,0,E45/$K$9)</f>
        <v>0.138694219718267</v>
      </c>
      <c r="G45" s="117" t="n">
        <f aca="false">G44+F45</f>
        <v>0.569546650931579</v>
      </c>
      <c r="H45" s="138" t="n">
        <v>574068.93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RESUMO'!AR23</f>
        <v>65.38</v>
      </c>
      <c r="N45" s="140" t="n">
        <f aca="false">MAX(0,M45-M44)</f>
        <v>8.81999999999999</v>
      </c>
      <c r="O45" s="139" t="str">
        <f aca="false">IF(B45&lt;='VALOR POR PL'!$P$5,'CP RESUMO'!AR65,"")</f>
        <v/>
      </c>
      <c r="P45" s="66" t="n">
        <f aca="false">IF(B45&lt;='VALOR POR PL'!$P$5,0,IF(OR($K$16="CURVA PREVISION",$K$16="MDO PREVISION + MATERIAL PREMISSA"),N45,IF($K$16="PREVISÃO INFORMADA",MAX(0,H45),0)))</f>
        <v>574068.93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HISTORICOS'!AS23)</f>
        <v>0</v>
      </c>
      <c r="D46" s="45" t="n">
        <f aca="false">IF(B46&lt;='VALOR POR PL'!$P$5,0,IF($K$17&gt;0,$K$18*P46/$K$17,0))</f>
        <v>363721.430770577</v>
      </c>
      <c r="E46" s="45" t="n">
        <f aca="false">L46+D46/$K$2</f>
        <v>280.456870842899</v>
      </c>
      <c r="F46" s="117" t="n">
        <f aca="false">IF($K$9=0,0,E46/$K$9)</f>
        <v>0.0868988589936</v>
      </c>
      <c r="G46" s="117" t="n">
        <f aca="false">G45+F46</f>
        <v>0.656445509925179</v>
      </c>
      <c r="H46" s="138" t="n">
        <v>359682.87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RESUMO'!AS23</f>
        <v>81.36</v>
      </c>
      <c r="N46" s="140" t="n">
        <f aca="false">MAX(0,M46-M45)</f>
        <v>15.98</v>
      </c>
      <c r="O46" s="139" t="str">
        <f aca="false">IF(B46&lt;='VALOR POR PL'!$P$5,'CP RESUMO'!AS65,"")</f>
        <v/>
      </c>
      <c r="P46" s="66" t="n">
        <f aca="false">IF(B46&lt;='VALOR POR PL'!$P$5,0,IF(OR($K$16="CURVA PREVISION",$K$16="MDO PREVISION + MATERIAL PREMISSA"),N46,IF($K$16="PREVISÃO INFORMADA",MAX(0,H46),0)))</f>
        <v>359682.87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HISTORICOS'!AT23)</f>
        <v>0</v>
      </c>
      <c r="D47" s="45" t="n">
        <f aca="false">IF(B47&lt;='VALOR POR PL'!$P$5,0,IF($K$17&gt;0,$K$18*P47/$K$17,0))</f>
        <v>435703.550249205</v>
      </c>
      <c r="E47" s="45" t="n">
        <f aca="false">L47+D47/$K$2</f>
        <v>335.960556569764</v>
      </c>
      <c r="F47" s="117" t="n">
        <f aca="false">IF($K$9=0,0,E47/$K$9)</f>
        <v>0.104096537000589</v>
      </c>
      <c r="G47" s="117" t="n">
        <f aca="false">G46+F47</f>
        <v>0.760542046925768</v>
      </c>
      <c r="H47" s="138" t="n">
        <v>430865.74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RESUMO'!AT23</f>
        <v>94.76</v>
      </c>
      <c r="N47" s="140" t="n">
        <f aca="false">MAX(0,M47-M46)</f>
        <v>13.4</v>
      </c>
      <c r="O47" s="139" t="str">
        <f aca="false">IF(B47&lt;='VALOR POR PL'!$P$5,'CP RESUMO'!AT65,"")</f>
        <v/>
      </c>
      <c r="P47" s="66" t="n">
        <f aca="false">IF(B47&lt;='VALOR POR PL'!$P$5,0,IF(OR($K$16="CURVA PREVISION",$K$16="MDO PREVISION + MATERIAL PREMISSA"),N47,IF($K$16="PREVISÃO INFORMADA",MAX(0,H47),0)))</f>
        <v>430865.74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HISTORICOS'!AU23)</f>
        <v>0</v>
      </c>
      <c r="D48" s="45" t="n">
        <f aca="false">IF(B48&lt;='VALOR POR PL'!$P$5,0,IF($K$17&gt;0,$K$18*P48/$K$17,0))</f>
        <v>628785.009543293</v>
      </c>
      <c r="E48" s="45" t="n">
        <f aca="false">L48+D48/$K$2</f>
        <v>484.841038472293</v>
      </c>
      <c r="F48" s="117" t="n">
        <f aca="false">IF($K$9=0,0,E48/$K$9)</f>
        <v>0.150226781429488</v>
      </c>
      <c r="G48" s="117" t="n">
        <f aca="false">G47+F48</f>
        <v>0.910768828355256</v>
      </c>
      <c r="H48" s="138" t="n">
        <v>621803.33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RESUMO'!AU23</f>
        <v>97.62</v>
      </c>
      <c r="N48" s="140" t="n">
        <f aca="false">MAX(0,M48-M47)</f>
        <v>2.86</v>
      </c>
      <c r="O48" s="139" t="str">
        <f aca="false">IF(B48&lt;='VALOR POR PL'!$P$5,'CP RESUMO'!AU65,"")</f>
        <v/>
      </c>
      <c r="P48" s="66" t="n">
        <f aca="false">IF(B48&lt;='VALOR POR PL'!$P$5,0,IF(OR($K$16="CURVA PREVISION",$K$16="MDO PREVISION + MATERIAL PREMISSA"),N48,IF($K$16="PREVISÃO INFORMADA",MAX(0,H48),0)))</f>
        <v>621803.33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HISTORICOS'!AV23)</f>
        <v>0</v>
      </c>
      <c r="D49" s="45" t="n">
        <f aca="false">IF(B49&lt;='VALOR POR PL'!$P$5,0,IF($K$17&gt;0,$K$18*P49/$K$17,0))</f>
        <v>321379.003978814</v>
      </c>
      <c r="E49" s="45" t="n">
        <f aca="false">L49+D49/$K$2</f>
        <v>247.807641192742</v>
      </c>
      <c r="F49" s="117" t="n">
        <f aca="false">IF($K$9=0,0,E49/$K$9)</f>
        <v>0.0767825769603174</v>
      </c>
      <c r="G49" s="117" t="n">
        <f aca="false">G48+F49</f>
        <v>0.987551405315573</v>
      </c>
      <c r="H49" s="138" t="n">
        <v>317810.59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RESUMO'!AV23</f>
        <v>99.74</v>
      </c>
      <c r="N49" s="140" t="n">
        <f aca="false">MAX(0,M49-M48)</f>
        <v>2.11999999999999</v>
      </c>
      <c r="O49" s="139" t="str">
        <f aca="false">IF(B49&lt;='VALOR POR PL'!$P$5,'CP RESUMO'!AV65,"")</f>
        <v/>
      </c>
      <c r="P49" s="66" t="n">
        <f aca="false">IF(B49&lt;='VALOR POR PL'!$P$5,0,IF(OR($K$16="CURVA PREVISION",$K$16="MDO PREVISION + MATERIAL PREMISSA"),N49,IF($K$16="PREVISÃO INFORMADA",MAX(0,H49),0)))</f>
        <v>317810.59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HISTORICOS'!AW23)</f>
        <v>0</v>
      </c>
      <c r="D50" s="45" t="n">
        <f aca="false">IF(B50&lt;='VALOR POR PL'!$P$5,0,IF($K$17&gt;0,$K$18*P50/$K$17,0))</f>
        <v>41095.461178105</v>
      </c>
      <c r="E50" s="45" t="n">
        <f aca="false">L50+D50/$K$2</f>
        <v>31.6877243758757</v>
      </c>
      <c r="F50" s="117" t="n">
        <f aca="false">IF($K$9=0,0,E50/$K$9)</f>
        <v>0.009818362032249</v>
      </c>
      <c r="G50" s="117" t="n">
        <f aca="false">G49+F50</f>
        <v>0.997369767347822</v>
      </c>
      <c r="H50" s="138" t="n">
        <v>40639.16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RESUMO'!AW23</f>
        <v>100</v>
      </c>
      <c r="N50" s="140" t="n">
        <f aca="false">MAX(0,M50-M49)</f>
        <v>0.260000000000005</v>
      </c>
      <c r="O50" s="139" t="str">
        <f aca="false">IF(B50&lt;='VALOR POR PL'!$P$5,'CP RESUMO'!AW65,"")</f>
        <v/>
      </c>
      <c r="P50" s="66" t="n">
        <f aca="false">IF(B50&lt;='VALOR POR PL'!$P$5,0,IF(OR($K$16="CURVA PREVISION",$K$16="MDO PREVISION + MATERIAL PREMISSA"),N50,IF($K$16="PREVISÃO INFORMADA",MAX(0,H50),0)))</f>
        <v>40639.16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HISTORICOS'!AX23)</f>
        <v>0</v>
      </c>
      <c r="D51" s="45" t="n">
        <f aca="false">IF(B51&lt;='VALOR POR PL'!$P$5,0,IF($K$17&gt;0,$K$18*P51/$K$17,0))</f>
        <v>11009.0281344197</v>
      </c>
      <c r="E51" s="45" t="n">
        <f aca="false">L51+D51/$K$2</f>
        <v>8.48879752578645</v>
      </c>
      <c r="F51" s="117" t="n">
        <f aca="false">IF($K$9=0,0,E51/$K$9)</f>
        <v>0.00263023265217756</v>
      </c>
      <c r="G51" s="117" t="n">
        <f aca="false">G50+F51</f>
        <v>1</v>
      </c>
      <c r="H51" s="138" t="n">
        <v>10886.79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RESUMO'!AX23</f>
        <v>100</v>
      </c>
      <c r="N51" s="140" t="n">
        <f aca="false">MAX(0,M51-M50)</f>
        <v>0</v>
      </c>
      <c r="O51" s="139" t="str">
        <f aca="false">IF(B51&lt;='VALOR POR PL'!$P$5,'CP RESUMO'!AX65,"")</f>
        <v/>
      </c>
      <c r="P51" s="66" t="n">
        <f aca="false">IF(B51&lt;='VALOR POR PL'!$P$5,0,IF(OR($K$16="CURVA PREVISION",$K$16="MDO PREVISION + MATERIAL PREMISSA"),N51,IF($K$16="PREVISÃO INFORMADA",MAX(0,H51),0)))</f>
        <v>10886.79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RESUMO'!AY23</f>
        <v>100</v>
      </c>
      <c r="N52" s="140" t="n">
        <f aca="false">MAX(0,M52-M51)</f>
        <v>0</v>
      </c>
      <c r="O52" s="139" t="str">
        <f aca="false">IF(B52&lt;='VALOR POR PL'!$P$5,'CP RESUMO'!AY65,"")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HISTORICOS'!AZ23)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RESUMO'!AZ23</f>
        <v>100</v>
      </c>
      <c r="N53" s="140" t="n">
        <f aca="false">MAX(0,M53-M52)</f>
        <v>0</v>
      </c>
      <c r="O53" s="139" t="str">
        <f aca="false">IF(B53&lt;='VALOR POR PL'!$P$5,'CP RESUMO'!AZ65,"")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RESUMO'!BA23</f>
        <v>100</v>
      </c>
      <c r="N54" s="140" t="n">
        <f aca="false">MAX(0,M54-M53)</f>
        <v>0</v>
      </c>
      <c r="O54" s="139" t="str">
        <f aca="false">IF(B54&lt;='VALOR POR PL'!$P$5,'CP RESUMO'!BA65,"")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RESUMO'!BB23</f>
        <v>100</v>
      </c>
      <c r="N55" s="140" t="n">
        <f aca="false">MAX(0,M55-M54)</f>
        <v>0</v>
      </c>
      <c r="O55" s="139" t="str">
        <f aca="false">IF(B55&lt;='VALOR POR PL'!$P$5,'CP RESUMO'!BB65,"")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RESUMO'!BC23</f>
        <v>100</v>
      </c>
      <c r="N56" s="140" t="n">
        <f aca="false">MAX(0,M56-M55)</f>
        <v>0</v>
      </c>
      <c r="O56" s="139" t="str">
        <f aca="false">IF(B56&lt;='VALOR POR PL'!$P$5,'CP RESUMO'!BC65,"")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RESUMO'!BD23</f>
        <v>100</v>
      </c>
      <c r="N57" s="140" t="n">
        <f aca="false">MAX(0,M57-M56)</f>
        <v>0</v>
      </c>
      <c r="O57" s="139" t="str">
        <f aca="false">IF(B57&lt;='VALOR POR PL'!$P$5,'CP RESUMO'!BD65,"")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RESUMO'!BE23</f>
        <v>100</v>
      </c>
      <c r="N58" s="140" t="n">
        <f aca="false">MAX(0,M58-M57)</f>
        <v>0</v>
      </c>
      <c r="O58" s="139" t="str">
        <f aca="false">IF(B58&lt;='VALOR POR PL'!$P$5,'CP RESUMO'!BE65,"")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RESUMO'!BF23</f>
        <v>100</v>
      </c>
      <c r="N59" s="140" t="n">
        <f aca="false">MAX(0,M59-M58)</f>
        <v>0</v>
      </c>
      <c r="O59" s="139" t="str">
        <f aca="false">IF(B59&lt;='VALOR POR PL'!$P$5,'CP RESUMO'!BF65,"")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RESUMO'!BG23</f>
        <v>100</v>
      </c>
      <c r="N60" s="140" t="n">
        <f aca="false">MAX(0,M60-M59)</f>
        <v>0</v>
      </c>
      <c r="O60" s="139" t="str">
        <f aca="false">IF(B60&lt;='VALOR POR PL'!$P$5,'CP RESUMO'!BG65,"")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RESUMO'!BH23</f>
        <v>100</v>
      </c>
      <c r="N61" s="140" t="n">
        <f aca="false">MAX(0,M61-M60)</f>
        <v>0</v>
      </c>
      <c r="O61" s="139" t="str">
        <f aca="false">IF(B61&lt;='VALOR POR PL'!$P$5,'CP RESUMO'!BH65,"")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RESUMO'!BI23</f>
        <v>100</v>
      </c>
      <c r="N62" s="140" t="n">
        <f aca="false">MAX(0,M62-M61)</f>
        <v>0</v>
      </c>
      <c r="O62" s="139" t="str">
        <f aca="false">IF(B62&lt;='VALOR POR PL'!$P$5,'CP RESUMO'!BI65,"")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RESUMO'!BJ23</f>
        <v>100</v>
      </c>
      <c r="N63" s="140" t="n">
        <f aca="false">MAX(0,M63-M62)</f>
        <v>0</v>
      </c>
      <c r="O63" s="139" t="str">
        <f aca="false">IF(B63&lt;='VALOR POR PL'!$P$5,'CP RESUMO'!BJ65,"")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RESUMO'!BK23</f>
        <v>100</v>
      </c>
      <c r="N64" s="140" t="n">
        <f aca="false">MAX(0,M64-M63)</f>
        <v>0</v>
      </c>
      <c r="O64" s="139" t="str">
        <f aca="false">IF(B64&lt;='VALOR POR PL'!$P$5,'CP RESUMO'!BK65,"")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RESUMO'!BL23</f>
        <v>100</v>
      </c>
      <c r="N65" s="140" t="n">
        <f aca="false">MAX(0,M65-M64)</f>
        <v>0</v>
      </c>
      <c r="O65" s="139" t="str">
        <f aca="false">IF(B65&lt;='VALOR POR PL'!$P$5,'CP RESUMO'!BL65,"")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RESUMO'!BM23</f>
        <v>100</v>
      </c>
      <c r="N66" s="140" t="n">
        <f aca="false">MAX(0,M66-M65)</f>
        <v>0</v>
      </c>
      <c r="O66" s="139" t="str">
        <f aca="false">IF(B66&lt;='VALOR POR PL'!$P$5,'CP RESUMO'!BM65,"")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RESUMO'!BN23</f>
        <v>100</v>
      </c>
      <c r="N67" s="140" t="n">
        <f aca="false">MAX(0,M67-M66)</f>
        <v>0</v>
      </c>
      <c r="O67" s="139" t="str">
        <f aca="false">IF(B67&lt;='VALOR POR PL'!$P$5,'CP RESUMO'!BN65,"")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RESUMO'!BO23</f>
        <v>100</v>
      </c>
      <c r="N68" s="140" t="n">
        <f aca="false">MAX(0,M68-M67)</f>
        <v>0</v>
      </c>
      <c r="O68" s="139" t="str">
        <f aca="false">IF(B68&lt;='VALOR POR PL'!$P$5,'CP RESUMO'!BO65,"")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RESUMO'!BP23</f>
        <v>100</v>
      </c>
      <c r="N69" s="140" t="n">
        <f aca="false">MAX(0,M69-M68)</f>
        <v>0</v>
      </c>
      <c r="O69" s="139" t="str">
        <f aca="false">IF(B69&lt;='VALOR POR PL'!$P$5,'CP RESUMO'!BP65,"")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RESUMO'!BQ23</f>
        <v>100</v>
      </c>
      <c r="N70" s="140" t="n">
        <f aca="false">MAX(0,M70-M69)</f>
        <v>0</v>
      </c>
      <c r="O70" s="139" t="str">
        <f aca="false">IF(B70&lt;='VALOR POR PL'!$P$5,'CP RESUMO'!BQ65,"")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RESUMO'!BR23</f>
        <v>100</v>
      </c>
      <c r="N71" s="140" t="n">
        <f aca="false">MAX(0,M71-M70)</f>
        <v>0</v>
      </c>
      <c r="O71" s="139" t="str">
        <f aca="false">IF(B71&lt;='VALOR POR PL'!$P$5,'CP RESUMO'!BR65,"")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RESUMO'!BS23</f>
        <v>100</v>
      </c>
      <c r="N72" s="140" t="n">
        <f aca="false">MAX(0,M72-M71)</f>
        <v>0</v>
      </c>
      <c r="O72" s="139" t="str">
        <f aca="false">IF(B72&lt;='VALOR POR PL'!$P$5,'CP RESUMO'!BS65,"")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RESUMO'!BT23</f>
        <v>100</v>
      </c>
      <c r="N73" s="140" t="n">
        <f aca="false">MAX(0,M73-M72)</f>
        <v>0</v>
      </c>
      <c r="O73" s="139" t="str">
        <f aca="false">IF(B73&lt;='VALOR POR PL'!$P$5,'CP RESUMO'!BT65,"")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RESUMO'!BU23</f>
        <v>100</v>
      </c>
      <c r="N74" s="140" t="n">
        <f aca="false">MAX(0,M74-M73)</f>
        <v>0</v>
      </c>
      <c r="O74" s="139" t="str">
        <f aca="false">IF(B74&lt;='VALOR POR PL'!$P$5,'CP RESUMO'!BU65,"")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RESUMO'!BV23</f>
        <v>100</v>
      </c>
      <c r="N75" s="140" t="n">
        <f aca="false">MAX(0,M75-M74)</f>
        <v>0</v>
      </c>
      <c r="O75" s="139" t="str">
        <f aca="false">IF(B75&lt;='VALOR POR PL'!$P$5,'CP RESUMO'!BV65,"")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RESUMO'!BW23</f>
        <v>100</v>
      </c>
      <c r="N76" s="140" t="n">
        <f aca="false">MAX(0,M76-M75)</f>
        <v>0</v>
      </c>
      <c r="O76" s="139" t="str">
        <f aca="false">IF(B76&lt;='VALOR POR PL'!$P$5,'CP RESUMO'!BW65,"")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4185571.99695067</v>
      </c>
      <c r="E78" s="61" t="n">
        <f aca="false">SUM(E5:E76)</f>
        <v>3227.39416939358</v>
      </c>
      <c r="F78" s="145" t="n">
        <f aca="false">SUM(F5:F76)</f>
        <v>1</v>
      </c>
      <c r="H78" s="61" t="n">
        <f aca="false">SUM(H5:H76)</f>
        <v>4139097.73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4.54747350886464E-013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PL'!D30</f>
        <v>INSTALAÇÕES ELÉTRICAS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HISTORICOS'!D24)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PL'!F30</f>
        <v>11262626.67</v>
      </c>
      <c r="K5" s="56" t="n">
        <f aca="false">'VALOR POR PL'!G30</f>
        <v>9256.654171</v>
      </c>
      <c r="L5" s="56" t="n">
        <f aca="false">'DADOS HISTORICOS'!$BZ$24</f>
        <v>0</v>
      </c>
      <c r="M5" s="139" t="n">
        <f aca="false">'CP RESUMO'!D24</f>
        <v>0</v>
      </c>
      <c r="N5" s="140" t="n">
        <v>0</v>
      </c>
      <c r="O5" s="139" t="n">
        <f aca="false">IF(B5&lt;='VALOR POR PL'!$P$5,'CP RESUMO'!D66,"")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HISTORICOS'!E24)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PL'!H30</f>
        <v>8992.49258772817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RESUMO'!E24</f>
        <v>0</v>
      </c>
      <c r="N6" s="140" t="n">
        <f aca="false">MAX(0,M6-M5)</f>
        <v>0</v>
      </c>
      <c r="O6" s="139" t="n">
        <f aca="false">IF(B6&lt;='VALOR POR PL'!$P$5,'CP RESUMO'!E66,"")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HISTORICOS'!F24)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11650169.6711975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RESUMO'!F24</f>
        <v>0</v>
      </c>
      <c r="N7" s="140" t="n">
        <f aca="false">MAX(0,M7-M6)</f>
        <v>0</v>
      </c>
      <c r="O7" s="139" t="n">
        <f aca="false">IF(B7&lt;='VALOR POR PL'!$P$5,'CP RESUMO'!F66,"")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HISTORICOS'!G24)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257.274705203914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RESUMO'!G24</f>
        <v>0</v>
      </c>
      <c r="N8" s="140" t="n">
        <f aca="false">MAX(0,M8-M7)</f>
        <v>0</v>
      </c>
      <c r="O8" s="139" t="n">
        <f aca="false">IF(B8&lt;='VALOR POR PL'!$P$5,'CP RESUMO'!G66,"")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HISTORICOS'!H24)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11650169.6711975</v>
      </c>
      <c r="K9" s="45" t="n">
        <f aca="false">E78</f>
        <v>8989.03830347447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RESUMO'!H24</f>
        <v>0</v>
      </c>
      <c r="N9" s="140" t="n">
        <f aca="false">MAX(0,M9-M8)</f>
        <v>0</v>
      </c>
      <c r="O9" s="139" t="n">
        <f aca="false">IF(B9&lt;='VALOR POR PL'!$P$5,'CP RESUMO'!H66,"")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HISTORICOS'!I24)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8731.76359827056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RESUMO'!I24</f>
        <v>0</v>
      </c>
      <c r="N10" s="140" t="n">
        <f aca="false">MAX(0,M10-M9)</f>
        <v>0</v>
      </c>
      <c r="O10" s="139" t="n">
        <f aca="false">IF(B10&lt;='VALOR POR PL'!$P$5,'CP RESUMO'!I66,"")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HISTORICOS'!J24)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11269054.48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RESUMO'!J24</f>
        <v>0</v>
      </c>
      <c r="N11" s="140" t="n">
        <f aca="false">MAX(0,M11-M10)</f>
        <v>0</v>
      </c>
      <c r="O11" s="139" t="n">
        <f aca="false">IF(B11&lt;='VALOR POR PL'!$P$5,'CP RESUMO'!J66,"")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HISTORICOS'!K24)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RESUMO'!K24</f>
        <v>0</v>
      </c>
      <c r="N12" s="140" t="n">
        <f aca="false">MAX(0,M12-M11)</f>
        <v>0</v>
      </c>
      <c r="O12" s="139" t="n">
        <f aca="false">IF(B12&lt;='VALOR POR PL'!$P$5,'CP RESUMO'!K66,"")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HISTORICOS'!L24)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PL'!I30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RESUMO'!L24</f>
        <v>0</v>
      </c>
      <c r="N13" s="140" t="n">
        <f aca="false">MAX(0,M13-M12)</f>
        <v>0</v>
      </c>
      <c r="O13" s="139" t="n">
        <f aca="false">IF(B13&lt;='VALOR POR PL'!$P$5,'CP RESUMO'!L66,"")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HISTORICOS'!M24)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RESUMO'!$D$66:$BW$66,MATCH('VALOR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RESUMO'!M24</f>
        <v>0</v>
      </c>
      <c r="N14" s="140" t="n">
        <f aca="false">MAX(0,M14-M13)</f>
        <v>0</v>
      </c>
      <c r="O14" s="139" t="n">
        <f aca="false">IF(B14&lt;='VALOR POR PL'!$P$5,'CP RESUMO'!M66,"")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HISTORICOS'!N24)</f>
        <v>2235.2</v>
      </c>
      <c r="D15" s="45" t="n">
        <f aca="false">IF(B15&lt;='VALOR POR PL'!$P$5,0,IF($K$17&gt;0,$K$18*P15/$K$17,0))</f>
        <v>0</v>
      </c>
      <c r="E15" s="45" t="n">
        <f aca="false">L15+D15/$K$2</f>
        <v>1.82859985143444</v>
      </c>
      <c r="F15" s="117" t="n">
        <f aca="false">IF($K$9=0,0,E15/$K$9)</f>
        <v>0.000203425526702634</v>
      </c>
      <c r="G15" s="117" t="n">
        <f aca="false">G14+F15</f>
        <v>0.000203425526702634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1.82859985143444</v>
      </c>
      <c r="M15" s="139" t="n">
        <f aca="false">'CP RESUMO'!N24</f>
        <v>0</v>
      </c>
      <c r="N15" s="140" t="n">
        <f aca="false">MAX(0,M15-M14)</f>
        <v>0</v>
      </c>
      <c r="O15" s="139" t="n">
        <f aca="false">IF(B15&lt;='VALOR POR PL'!$P$5,'CP RESUMO'!N66,"")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HISTORICOS'!O24)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0.000203425526702634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RESUMO'!O24</f>
        <v>0</v>
      </c>
      <c r="N16" s="140" t="n">
        <f aca="false">MAX(0,M16-M15)</f>
        <v>0</v>
      </c>
      <c r="O16" s="139" t="n">
        <f aca="false">IF(B16&lt;='VALOR POR PL'!$P$5,'CP RESUMO'!O66,"")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HISTORICOS'!P24)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0.000203425526702634</v>
      </c>
      <c r="H17" s="138"/>
      <c r="I17" s="42" t="s">
        <v>2933</v>
      </c>
      <c r="K17" s="45" t="n">
        <f aca="false">SUM(P5:P76)</f>
        <v>11269054.48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RESUMO'!P24</f>
        <v>0</v>
      </c>
      <c r="N17" s="140" t="n">
        <f aca="false">MAX(0,M17-M16)</f>
        <v>0</v>
      </c>
      <c r="O17" s="139" t="n">
        <f aca="false">IF(B17&lt;='VALOR POR PL'!$P$5,'CP RESUMO'!P66,"")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HISTORICOS'!Q24)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0.000203425526702634</v>
      </c>
      <c r="H18" s="138"/>
      <c r="I18" s="42" t="s">
        <v>2934</v>
      </c>
      <c r="K18" s="45" t="n">
        <f aca="false">MAX(0,K10)*$K$2</f>
        <v>11324128.1611975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RESUMO'!Q24</f>
        <v>0</v>
      </c>
      <c r="N18" s="140" t="n">
        <f aca="false">MAX(0,M18-M17)</f>
        <v>0</v>
      </c>
      <c r="O18" s="139" t="n">
        <f aca="false">IF(B18&lt;='VALOR POR PL'!$P$5,'CP RESUMO'!Q66,"")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HISTORICOS'!R24)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0.000203425526702634</v>
      </c>
      <c r="H19" s="138"/>
      <c r="I19" s="42" t="s">
        <v>2935</v>
      </c>
      <c r="K19" s="142" t="n">
        <f aca="false">IF(AND(K16="PREVISÃO INFORMADA",K11&gt;0),K18/K11-1,"")</f>
        <v>0.00488716079021945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RESUMO'!R24</f>
        <v>0</v>
      </c>
      <c r="N19" s="140" t="n">
        <f aca="false">MAX(0,M19-M18)</f>
        <v>0</v>
      </c>
      <c r="O19" s="139" t="n">
        <f aca="false">IF(B19&lt;='VALOR POR PL'!$P$5,'CP RESUMO'!R66,"")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HISTORICOS'!S24)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0.000203425526702634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RESUMO'!S24</f>
        <v>0</v>
      </c>
      <c r="N20" s="140" t="n">
        <f aca="false">MAX(0,M20-M19)</f>
        <v>0</v>
      </c>
      <c r="O20" s="139" t="n">
        <f aca="false">IF(B20&lt;='VALOR POR PL'!$P$5,'CP RESUMO'!S66,"")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HISTORICOS'!T24)</f>
        <v>209001.57</v>
      </c>
      <c r="D21" s="45" t="n">
        <f aca="false">IF(B21&lt;='VALOR POR PL'!$P$5,0,IF($K$17&gt;0,$K$18*P21/$K$17,0))</f>
        <v>0</v>
      </c>
      <c r="E21" s="45" t="n">
        <f aca="false">L21+D21/$K$2</f>
        <v>165.920087452725</v>
      </c>
      <c r="F21" s="117" t="n">
        <f aca="false">IF($K$9=0,0,E21/$K$9)</f>
        <v>0.0184580465508299</v>
      </c>
      <c r="G21" s="117" t="n">
        <f aca="false">G20+F21</f>
        <v>0.0186614720775326</v>
      </c>
      <c r="H21" s="138"/>
      <c r="K21" s="143"/>
      <c r="L21" s="45" t="n">
        <f aca="false">C21/IF(B21&lt;='VALOR POR PL'!$P$5,IFERROR(INDEX('"INCC-FGV"'!$B$2:$B$800,MATCH(B21,'"INCC-FGV"'!$A$2:$A$800,0)),$K$2),$K$2)</f>
        <v>165.920087452725</v>
      </c>
      <c r="M21" s="139" t="n">
        <f aca="false">'CP RESUMO'!T24</f>
        <v>0</v>
      </c>
      <c r="N21" s="140" t="n">
        <f aca="false">MAX(0,M21-M20)</f>
        <v>0</v>
      </c>
      <c r="O21" s="139" t="n">
        <f aca="false">IF(B21&lt;='VALOR POR PL'!$P$5,'CP RESUMO'!T66,"")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HISTORICOS'!U24)</f>
        <v>3214.66</v>
      </c>
      <c r="D22" s="45" t="n">
        <f aca="false">IF(B22&lt;='VALOR POR PL'!$P$5,0,IF($K$17&gt;0,$K$18*P22/$K$17,0))</f>
        <v>0</v>
      </c>
      <c r="E22" s="45" t="n">
        <f aca="false">L22+D22/$K$2</f>
        <v>2.52984390432008</v>
      </c>
      <c r="F22" s="117" t="n">
        <f aca="false">IF($K$9=0,0,E22/$K$9)</f>
        <v>0.000281436547371506</v>
      </c>
      <c r="G22" s="117" t="n">
        <f aca="false">G21+F22</f>
        <v>0.0189429086249041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2.52984390432008</v>
      </c>
      <c r="M22" s="139" t="n">
        <f aca="false">'CP RESUMO'!U24</f>
        <v>0</v>
      </c>
      <c r="N22" s="140" t="n">
        <f aca="false">MAX(0,M22-M21)</f>
        <v>0</v>
      </c>
      <c r="O22" s="139" t="n">
        <f aca="false">IF(B22&lt;='VALOR POR PL'!$P$5,'CP RESUMO'!U66,"")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HISTORICOS'!V24)</f>
        <v>94109.06</v>
      </c>
      <c r="D23" s="45" t="n">
        <f aca="false">IF(B23&lt;='VALOR POR PL'!$P$5,0,IF($K$17&gt;0,$K$18*P23/$K$17,0))</f>
        <v>0</v>
      </c>
      <c r="E23" s="45" t="n">
        <f aca="false">L23+D23/$K$2</f>
        <v>73.4859027627571</v>
      </c>
      <c r="F23" s="117" t="n">
        <f aca="false">IF($K$9=0,0,E23/$K$9)</f>
        <v>0.00817505725104688</v>
      </c>
      <c r="G23" s="117" t="n">
        <f aca="false">G22+F23</f>
        <v>0.0271179658759509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73.4859027627571</v>
      </c>
      <c r="M23" s="139" t="n">
        <f aca="false">'CP RESUMO'!V24</f>
        <v>0</v>
      </c>
      <c r="N23" s="140" t="n">
        <f aca="false">MAX(0,M23-M22)</f>
        <v>0</v>
      </c>
      <c r="O23" s="139" t="n">
        <f aca="false">IF(B23&lt;='VALOR POR PL'!$P$5,'CP RESUMO'!V66,"")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HISTORICOS'!W24)</f>
        <v>6139.34</v>
      </c>
      <c r="D24" s="45" t="n">
        <f aca="false">IF(B24&lt;='VALOR POR PL'!$P$5,0,IF($K$17&gt;0,$K$18*P24/$K$17,0))</f>
        <v>0</v>
      </c>
      <c r="E24" s="45" t="n">
        <f aca="false">L24+D24/$K$2</f>
        <v>4.76497383251412</v>
      </c>
      <c r="F24" s="117" t="n">
        <f aca="false">IF($K$9=0,0,E24/$K$9)</f>
        <v>0.000530087165239061</v>
      </c>
      <c r="G24" s="117" t="n">
        <f aca="false">G23+F24</f>
        <v>0.02764805304119</v>
      </c>
      <c r="H24" s="138"/>
      <c r="I24" s="144" t="s">
        <v>3019</v>
      </c>
      <c r="J24" s="144"/>
      <c r="K24" s="144"/>
      <c r="L24" s="45" t="n">
        <f aca="false">C24/IF(B24&lt;='VALOR POR PL'!$P$5,IFERROR(INDEX('"INCC-FGV"'!$B$2:$B$800,MATCH(B24,'"INCC-FGV"'!$A$2:$A$800,0)),$K$2),$K$2)</f>
        <v>4.76497383251412</v>
      </c>
      <c r="M24" s="139" t="n">
        <f aca="false">'CP RESUMO'!W24</f>
        <v>0</v>
      </c>
      <c r="N24" s="140" t="n">
        <f aca="false">MAX(0,M24-M23)</f>
        <v>0</v>
      </c>
      <c r="O24" s="139" t="n">
        <f aca="false">IF(B24&lt;='VALOR POR PL'!$P$5,'CP RESUMO'!W66,"")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HISTORICOS'!X24)</f>
        <v>6662.65</v>
      </c>
      <c r="D25" s="45" t="n">
        <f aca="false">IF(B25&lt;='VALOR POR PL'!$P$5,0,IF($K$17&gt;0,$K$18*P25/$K$17,0))</f>
        <v>0</v>
      </c>
      <c r="E25" s="45" t="n">
        <f aca="false">L25+D25/$K$2</f>
        <v>5.13740960097587</v>
      </c>
      <c r="F25" s="117" t="n">
        <f aca="false">IF($K$9=0,0,E25/$K$9)</f>
        <v>0.000571519380331281</v>
      </c>
      <c r="G25" s="117" t="n">
        <f aca="false">G24+F25</f>
        <v>0.0282195724215213</v>
      </c>
      <c r="H25" s="138"/>
      <c r="L25" s="45" t="n">
        <f aca="false">C25/IF(B25&lt;='VALOR POR PL'!$P$5,IFERROR(INDEX('"INCC-FGV"'!$B$2:$B$800,MATCH(B25,'"INCC-FGV"'!$A$2:$A$800,0)),$K$2),$K$2)</f>
        <v>5.13740960097587</v>
      </c>
      <c r="M25" s="139" t="n">
        <f aca="false">'CP RESUMO'!X24</f>
        <v>0</v>
      </c>
      <c r="N25" s="140" t="n">
        <f aca="false">MAX(0,M25-M24)</f>
        <v>0</v>
      </c>
      <c r="O25" s="139" t="n">
        <f aca="false">IF(B25&lt;='VALOR POR PL'!$P$5,'CP RESUMO'!X66,"")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HISTORICOS'!Y24)</f>
        <v>4679.03</v>
      </c>
      <c r="D26" s="45" t="n">
        <f aca="false">IF(B26&lt;='VALOR POR PL'!$P$5,0,IF($K$17&gt;0,$K$18*P26/$K$17,0))</f>
        <v>0</v>
      </c>
      <c r="E26" s="45" t="n">
        <f aca="false">L26+D26/$K$2</f>
        <v>3.60788779918713</v>
      </c>
      <c r="F26" s="117" t="n">
        <f aca="false">IF($K$9=0,0,E26/$K$9)</f>
        <v>0.000401365271498799</v>
      </c>
      <c r="G26" s="117" t="n">
        <f aca="false">G25+F26</f>
        <v>0.0286209376930201</v>
      </c>
      <c r="H26" s="138"/>
      <c r="L26" s="45" t="n">
        <f aca="false">C26/IF(B26&lt;='VALOR POR PL'!$P$5,IFERROR(INDEX('"INCC-FGV"'!$B$2:$B$800,MATCH(B26,'"INCC-FGV"'!$A$2:$A$800,0)),$K$2),$K$2)</f>
        <v>3.60788779918713</v>
      </c>
      <c r="M26" s="139" t="n">
        <f aca="false">'CP RESUMO'!Y24</f>
        <v>0</v>
      </c>
      <c r="N26" s="140" t="n">
        <f aca="false">MAX(0,M26-M25)</f>
        <v>0</v>
      </c>
      <c r="O26" s="139" t="str">
        <f aca="false">IF(B26&lt;='VALOR POR PL'!$P$5,'CP RESUMO'!Y66,"")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HISTORICOS'!Z24)</f>
        <v>0</v>
      </c>
      <c r="D27" s="45" t="n">
        <f aca="false">IF(B27&lt;='VALOR POR PL'!$P$5,0,IF($K$17&gt;0,$K$18*P27/$K$17,0))</f>
        <v>7034.21012553154</v>
      </c>
      <c r="E27" s="45" t="n">
        <f aca="false">L27+D27/$K$2</f>
        <v>5.42391070132566</v>
      </c>
      <c r="F27" s="117" t="n">
        <f aca="false">IF($K$9=0,0,E27/$K$9)</f>
        <v>0.000603391655281878</v>
      </c>
      <c r="G27" s="117" t="n">
        <f aca="false">G26+F27</f>
        <v>0.029224329348302</v>
      </c>
      <c r="H27" s="138" t="n">
        <v>7000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RESUMO'!Z24</f>
        <v>0</v>
      </c>
      <c r="N27" s="140" t="n">
        <f aca="false">MAX(0,M27-M26)</f>
        <v>0</v>
      </c>
      <c r="O27" s="139" t="str">
        <f aca="false">IF(B27&lt;='VALOR POR PL'!$P$5,'CP RESUMO'!Z66,"")</f>
        <v/>
      </c>
      <c r="P27" s="66" t="n">
        <f aca="false">IF(B27&lt;='VALOR POR PL'!$P$5,0,IF(OR($K$16="CURVA PREVISION",$K$16="MDO PREVISION + MATERIAL PREMISSA"),N27,IF($K$16="PREVISÃO INFORMADA",MAX(0,H27),0)))</f>
        <v>7000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HISTORICOS'!AA24)</f>
        <v>0</v>
      </c>
      <c r="D28" s="45" t="n">
        <f aca="false">IF(B28&lt;='VALOR POR PL'!$P$5,0,IF($K$17&gt;0,$K$18*P28/$K$17,0))</f>
        <v>7034.21012553154</v>
      </c>
      <c r="E28" s="45" t="n">
        <f aca="false">L28+D28/$K$2</f>
        <v>5.42391070132566</v>
      </c>
      <c r="F28" s="117" t="n">
        <f aca="false">IF($K$9=0,0,E28/$K$9)</f>
        <v>0.000603391655281878</v>
      </c>
      <c r="G28" s="117" t="n">
        <f aca="false">G27+F28</f>
        <v>0.0298277210035838</v>
      </c>
      <c r="H28" s="138" t="n">
        <v>7000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RESUMO'!AA24</f>
        <v>0</v>
      </c>
      <c r="N28" s="140" t="n">
        <f aca="false">MAX(0,M28-M27)</f>
        <v>0</v>
      </c>
      <c r="O28" s="139" t="str">
        <f aca="false">IF(B28&lt;='VALOR POR PL'!$P$5,'CP RESUMO'!AA66,"")</f>
        <v/>
      </c>
      <c r="P28" s="66" t="n">
        <f aca="false">IF(B28&lt;='VALOR POR PL'!$P$5,0,IF(OR($K$16="CURVA PREVISION",$K$16="MDO PREVISION + MATERIAL PREMISSA"),N28,IF($K$16="PREVISÃO INFORMADA",MAX(0,H28),0)))</f>
        <v>7000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HISTORICOS'!AB24)</f>
        <v>0</v>
      </c>
      <c r="D29" s="45" t="n">
        <f aca="false">IF(B29&lt;='VALOR POR PL'!$P$5,0,IF($K$17&gt;0,$K$18*P29/$K$17,0))</f>
        <v>7034.21012553154</v>
      </c>
      <c r="E29" s="45" t="n">
        <f aca="false">L29+D29/$K$2</f>
        <v>5.42391070132566</v>
      </c>
      <c r="F29" s="117" t="n">
        <f aca="false">IF($K$9=0,0,E29/$K$9)</f>
        <v>0.000603391655281878</v>
      </c>
      <c r="G29" s="117" t="n">
        <f aca="false">G28+F29</f>
        <v>0.0304311126588657</v>
      </c>
      <c r="H29" s="138" t="n">
        <v>7000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RESUMO'!AB24</f>
        <v>0</v>
      </c>
      <c r="N29" s="140" t="n">
        <f aca="false">MAX(0,M29-M28)</f>
        <v>0</v>
      </c>
      <c r="O29" s="139" t="str">
        <f aca="false">IF(B29&lt;='VALOR POR PL'!$P$5,'CP RESUMO'!AB66,"")</f>
        <v/>
      </c>
      <c r="P29" s="66" t="n">
        <f aca="false">IF(B29&lt;='VALOR POR PL'!$P$5,0,IF(OR($K$16="CURVA PREVISION",$K$16="MDO PREVISION + MATERIAL PREMISSA"),N29,IF($K$16="PREVISÃO INFORMADA",MAX(0,H29),0)))</f>
        <v>7000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HISTORICOS'!AC24)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0.0304311126588657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RESUMO'!AC24</f>
        <v>2.78</v>
      </c>
      <c r="N30" s="140" t="n">
        <f aca="false">MAX(0,M30-M29)</f>
        <v>2.78</v>
      </c>
      <c r="O30" s="139" t="str">
        <f aca="false">IF(B30&lt;='VALOR POR PL'!$P$5,'CP RESUMO'!AC66,"")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HISTORICOS'!AD24)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0.0304311126588657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RESUMO'!AD24</f>
        <v>4.17</v>
      </c>
      <c r="N31" s="140" t="n">
        <f aca="false">MAX(0,M31-M30)</f>
        <v>1.39</v>
      </c>
      <c r="O31" s="139" t="str">
        <f aca="false">IF(B31&lt;='VALOR POR PL'!$P$5,'CP RESUMO'!AD66,"")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HISTORICOS'!AE24)</f>
        <v>0</v>
      </c>
      <c r="D32" s="45" t="n">
        <f aca="false">IF(B32&lt;='VALOR POR PL'!$P$5,0,IF($K$17&gt;0,$K$18*P32/$K$17,0))</f>
        <v>105322.163029193</v>
      </c>
      <c r="E32" s="45" t="n">
        <f aca="false">L32+D32/$K$2</f>
        <v>81.2113935959001</v>
      </c>
      <c r="F32" s="117" t="n">
        <f aca="false">IF($K$9=0,0,E32/$K$9)</f>
        <v>0.00903449188379918</v>
      </c>
      <c r="G32" s="117" t="n">
        <f aca="false">G31+F32</f>
        <v>0.0394656045426649</v>
      </c>
      <c r="H32" s="138" t="n">
        <v>104809.94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RESUMO'!AE24</f>
        <v>4.17</v>
      </c>
      <c r="N32" s="140" t="n">
        <f aca="false">MAX(0,M32-M31)</f>
        <v>0</v>
      </c>
      <c r="O32" s="139" t="str">
        <f aca="false">IF(B32&lt;='VALOR POR PL'!$P$5,'CP RESUMO'!AE66,"")</f>
        <v/>
      </c>
      <c r="P32" s="66" t="n">
        <f aca="false">IF(B32&lt;='VALOR POR PL'!$P$5,0,IF(OR($K$16="CURVA PREVISION",$K$16="MDO PREVISION + MATERIAL PREMISSA"),N32,IF($K$16="PREVISÃO INFORMADA",MAX(0,H32),0)))</f>
        <v>104809.94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HISTORICOS'!AF24)</f>
        <v>0</v>
      </c>
      <c r="D33" s="45" t="n">
        <f aca="false">IF(B33&lt;='VALOR POR PL'!$P$5,0,IF($K$17&gt;0,$K$18*P33/$K$17,0))</f>
        <v>89139.0883835781</v>
      </c>
      <c r="E33" s="45" t="n">
        <f aca="false">L33+D33/$K$2</f>
        <v>68.7330129128847</v>
      </c>
      <c r="F33" s="117" t="n">
        <f aca="false">IF($K$9=0,0,E33/$K$9)</f>
        <v>0.00764631438786035</v>
      </c>
      <c r="G33" s="117" t="n">
        <f aca="false">G32+F33</f>
        <v>0.0471119189305253</v>
      </c>
      <c r="H33" s="138" t="n">
        <v>88705.57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RESUMO'!AF24</f>
        <v>4.22</v>
      </c>
      <c r="N33" s="140" t="n">
        <f aca="false">MAX(0,M33-M32)</f>
        <v>0.0499999999999998</v>
      </c>
      <c r="O33" s="139" t="str">
        <f aca="false">IF(B33&lt;='VALOR POR PL'!$P$5,'CP RESUMO'!AF66,"")</f>
        <v/>
      </c>
      <c r="P33" s="66" t="n">
        <f aca="false">IF(B33&lt;='VALOR POR PL'!$P$5,0,IF(OR($K$16="CURVA PREVISION",$K$16="MDO PREVISION + MATERIAL PREMISSA"),N33,IF($K$16="PREVISÃO INFORMADA",MAX(0,H33),0)))</f>
        <v>88705.57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HISTORICOS'!AG24)</f>
        <v>0</v>
      </c>
      <c r="D34" s="45" t="n">
        <f aca="false">IF(B34&lt;='VALOR POR PL'!$P$5,0,IF($K$17&gt;0,$K$18*P34/$K$17,0))</f>
        <v>56070.2415985503</v>
      </c>
      <c r="E34" s="45" t="n">
        <f aca="false">L34+D34/$K$2</f>
        <v>43.2344183646791</v>
      </c>
      <c r="F34" s="117" t="n">
        <f aca="false">IF($K$9=0,0,E34/$K$9)</f>
        <v>0.00480968229359619</v>
      </c>
      <c r="G34" s="117" t="n">
        <f aca="false">G33+F34</f>
        <v>0.0519216012241215</v>
      </c>
      <c r="H34" s="138" t="n">
        <v>55797.55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RESUMO'!AG24</f>
        <v>5.36</v>
      </c>
      <c r="N34" s="140" t="n">
        <f aca="false">MAX(0,M34-M33)</f>
        <v>1.14</v>
      </c>
      <c r="O34" s="139" t="str">
        <f aca="false">IF(B34&lt;='VALOR POR PL'!$P$5,'CP RESUMO'!AG66,"")</f>
        <v/>
      </c>
      <c r="P34" s="66" t="n">
        <f aca="false">IF(B34&lt;='VALOR POR PL'!$P$5,0,IF(OR($K$16="CURVA PREVISION",$K$16="MDO PREVISION + MATERIAL PREMISSA"),N34,IF($K$16="PREVISÃO INFORMADA",MAX(0,H34),0)))</f>
        <v>55797.55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HISTORICOS'!AH24)</f>
        <v>0</v>
      </c>
      <c r="D35" s="45" t="n">
        <f aca="false">IF(B35&lt;='VALOR POR PL'!$P$5,0,IF($K$17&gt;0,$K$18*P35/$K$17,0))</f>
        <v>82585.7368622279</v>
      </c>
      <c r="E35" s="45" t="n">
        <f aca="false">L35+D35/$K$2</f>
        <v>63.6798807471016</v>
      </c>
      <c r="F35" s="117" t="n">
        <f aca="false">IF($K$9=0,0,E35/$K$9)</f>
        <v>0.00708417058613354</v>
      </c>
      <c r="G35" s="117" t="n">
        <f aca="false">G34+F35</f>
        <v>0.059005771810255</v>
      </c>
      <c r="H35" s="138" t="n">
        <v>82184.09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RESUMO'!AH24</f>
        <v>6.88</v>
      </c>
      <c r="N35" s="140" t="n">
        <f aca="false">MAX(0,M35-M34)</f>
        <v>1.52</v>
      </c>
      <c r="O35" s="139" t="str">
        <f aca="false">IF(B35&lt;='VALOR POR PL'!$P$5,'CP RESUMO'!AH66,"")</f>
        <v/>
      </c>
      <c r="P35" s="66" t="n">
        <f aca="false">IF(B35&lt;='VALOR POR PL'!$P$5,0,IF(OR($K$16="CURVA PREVISION",$K$16="MDO PREVISION + MATERIAL PREMISSA"),N35,IF($K$16="PREVISÃO INFORMADA",MAX(0,H35),0)))</f>
        <v>82184.09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HISTORICOS'!AI24)</f>
        <v>0</v>
      </c>
      <c r="D36" s="45" t="n">
        <f aca="false">IF(B36&lt;='VALOR POR PL'!$P$5,0,IF($K$17&gt;0,$K$18*P36/$K$17,0))</f>
        <v>81568.5297848464</v>
      </c>
      <c r="E36" s="45" t="n">
        <f aca="false">L36+D36/$K$2</f>
        <v>62.8955367690268</v>
      </c>
      <c r="F36" s="117" t="n">
        <f aca="false">IF($K$9=0,0,E36/$K$9)</f>
        <v>0.00699691498085131</v>
      </c>
      <c r="G36" s="117" t="n">
        <f aca="false">G35+F36</f>
        <v>0.0660026867911063</v>
      </c>
      <c r="H36" s="138" t="n">
        <v>81171.83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RESUMO'!AI24</f>
        <v>10.34</v>
      </c>
      <c r="N36" s="140" t="n">
        <f aca="false">MAX(0,M36-M35)</f>
        <v>3.46</v>
      </c>
      <c r="O36" s="139" t="str">
        <f aca="false">IF(B36&lt;='VALOR POR PL'!$P$5,'CP RESUMO'!AI66,"")</f>
        <v/>
      </c>
      <c r="P36" s="66" t="n">
        <f aca="false">IF(B36&lt;='VALOR POR PL'!$P$5,0,IF(OR($K$16="CURVA PREVISION",$K$16="MDO PREVISION + MATERIAL PREMISSA"),N36,IF($K$16="PREVISÃO INFORMADA",MAX(0,H36),0)))</f>
        <v>81171.83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HISTORICOS'!AJ24)</f>
        <v>0</v>
      </c>
      <c r="D37" s="45" t="n">
        <f aca="false">IF(B37&lt;='VALOR POR PL'!$P$5,0,IF($K$17&gt;0,$K$18*P37/$K$17,0))</f>
        <v>189640.184672421</v>
      </c>
      <c r="E37" s="45" t="n">
        <f aca="false">L37+D37/$K$2</f>
        <v>146.226997586086</v>
      </c>
      <c r="F37" s="117" t="n">
        <f aca="false">IF($K$9=0,0,E37/$K$9)</f>
        <v>0.0162672571469148</v>
      </c>
      <c r="G37" s="117" t="n">
        <f aca="false">G36+F37</f>
        <v>0.0822699439380211</v>
      </c>
      <c r="H37" s="138" t="n">
        <v>188717.89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RESUMO'!AJ24</f>
        <v>13.32</v>
      </c>
      <c r="N37" s="140" t="n">
        <f aca="false">MAX(0,M37-M36)</f>
        <v>2.98</v>
      </c>
      <c r="O37" s="139" t="str">
        <f aca="false">IF(B37&lt;='VALOR POR PL'!$P$5,'CP RESUMO'!AJ66,"")</f>
        <v/>
      </c>
      <c r="P37" s="66" t="n">
        <f aca="false">IF(B37&lt;='VALOR POR PL'!$P$5,0,IF(OR($K$16="CURVA PREVISION",$K$16="MDO PREVISION + MATERIAL PREMISSA"),N37,IF($K$16="PREVISÃO INFORMADA",MAX(0,H37),0)))</f>
        <v>188717.89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HISTORICOS'!AK24)</f>
        <v>0</v>
      </c>
      <c r="D38" s="45" t="n">
        <f aca="false">IF(B38&lt;='VALOR POR PL'!$P$5,0,IF($K$17&gt;0,$K$18*P38/$K$17,0))</f>
        <v>213825.336561354</v>
      </c>
      <c r="E38" s="45" t="n">
        <f aca="false">L38+D38/$K$2</f>
        <v>164.875588089154</v>
      </c>
      <c r="F38" s="117" t="n">
        <f aca="false">IF($K$9=0,0,E38/$K$9)</f>
        <v>0.0183418495419499</v>
      </c>
      <c r="G38" s="117" t="n">
        <f aca="false">G37+F38</f>
        <v>0.100611793479971</v>
      </c>
      <c r="H38" s="138" t="n">
        <v>212785.42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RESUMO'!AK24</f>
        <v>15.84</v>
      </c>
      <c r="N38" s="140" t="n">
        <f aca="false">MAX(0,M38-M37)</f>
        <v>2.52</v>
      </c>
      <c r="O38" s="139" t="str">
        <f aca="false">IF(B38&lt;='VALOR POR PL'!$P$5,'CP RESUMO'!AK66,"")</f>
        <v/>
      </c>
      <c r="P38" s="66" t="n">
        <f aca="false">IF(B38&lt;='VALOR POR PL'!$P$5,0,IF(OR($K$16="CURVA PREVISION",$K$16="MDO PREVISION + MATERIAL PREMISSA"),N38,IF($K$16="PREVISÃO INFORMADA",MAX(0,H38),0)))</f>
        <v>212785.42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HISTORICOS'!AL24)</f>
        <v>0</v>
      </c>
      <c r="D39" s="45" t="n">
        <f aca="false">IF(B39&lt;='VALOR POR PL'!$P$5,0,IF($K$17&gt;0,$K$18*P39/$K$17,0))</f>
        <v>258669.139581502</v>
      </c>
      <c r="E39" s="45" t="n">
        <f aca="false">L39+D39/$K$2</f>
        <v>199.453568949619</v>
      </c>
      <c r="F39" s="117" t="n">
        <f aca="false">IF($K$9=0,0,E39/$K$9)</f>
        <v>0.0221885325455255</v>
      </c>
      <c r="G39" s="117" t="n">
        <f aca="false">G38+F39</f>
        <v>0.122800326025497</v>
      </c>
      <c r="H39" s="138" t="n">
        <v>257411.13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RESUMO'!AL24</f>
        <v>20.04</v>
      </c>
      <c r="N39" s="140" t="n">
        <f aca="false">MAX(0,M39-M38)</f>
        <v>4.2</v>
      </c>
      <c r="O39" s="139" t="str">
        <f aca="false">IF(B39&lt;='VALOR POR PL'!$P$5,'CP RESUMO'!AL66,"")</f>
        <v/>
      </c>
      <c r="P39" s="66" t="n">
        <f aca="false">IF(B39&lt;='VALOR POR PL'!$P$5,0,IF(OR($K$16="CURVA PREVISION",$K$16="MDO PREVISION + MATERIAL PREMISSA"),N39,IF($K$16="PREVISÃO INFORMADA",MAX(0,H39),0)))</f>
        <v>257411.13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HISTORICOS'!AM24)</f>
        <v>0</v>
      </c>
      <c r="D40" s="45" t="n">
        <f aca="false">IF(B40&lt;='VALOR POR PL'!$P$5,0,IF($K$17&gt;0,$K$18*P40/$K$17,0))</f>
        <v>538311.459975546</v>
      </c>
      <c r="E40" s="45" t="n">
        <f aca="false">L40+D40/$K$2</f>
        <v>415.079054549422</v>
      </c>
      <c r="F40" s="117" t="n">
        <f aca="false">IF($K$9=0,0,E40/$K$9)</f>
        <v>0.0461761359264633</v>
      </c>
      <c r="G40" s="117" t="n">
        <f aca="false">G39+F40</f>
        <v>0.16897646195196</v>
      </c>
      <c r="H40" s="138" t="n">
        <v>535693.44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RESUMO'!AM24</f>
        <v>26.14</v>
      </c>
      <c r="N40" s="140" t="n">
        <f aca="false">MAX(0,M40-M39)</f>
        <v>6.1</v>
      </c>
      <c r="O40" s="139" t="str">
        <f aca="false">IF(B40&lt;='VALOR POR PL'!$P$5,'CP RESUMO'!AM66,"")</f>
        <v/>
      </c>
      <c r="P40" s="66" t="n">
        <f aca="false">IF(B40&lt;='VALOR POR PL'!$P$5,0,IF(OR($K$16="CURVA PREVISION",$K$16="MDO PREVISION + MATERIAL PREMISSA"),N40,IF($K$16="PREVISÃO INFORMADA",MAX(0,H40),0)))</f>
        <v>535693.44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HISTORICOS'!AN24)</f>
        <v>0</v>
      </c>
      <c r="D41" s="45" t="n">
        <f aca="false">IF(B41&lt;='VALOR POR PL'!$P$5,0,IF($K$17&gt;0,$K$18*P41/$K$17,0))</f>
        <v>469566.054076625</v>
      </c>
      <c r="E41" s="45" t="n">
        <f aca="false">L41+D41/$K$2</f>
        <v>362.07112102626</v>
      </c>
      <c r="F41" s="117" t="n">
        <f aca="false">IF($K$9=0,0,E41/$K$9)</f>
        <v>0.040279183245477</v>
      </c>
      <c r="G41" s="117" t="n">
        <f aca="false">G40+F41</f>
        <v>0.209255645197437</v>
      </c>
      <c r="H41" s="138" t="n">
        <v>467282.37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RESUMO'!AN24</f>
        <v>30.26</v>
      </c>
      <c r="N41" s="140" t="n">
        <f aca="false">MAX(0,M41-M40)</f>
        <v>4.12</v>
      </c>
      <c r="O41" s="139" t="str">
        <f aca="false">IF(B41&lt;='VALOR POR PL'!$P$5,'CP RESUMO'!AN66,"")</f>
        <v/>
      </c>
      <c r="P41" s="66" t="n">
        <f aca="false">IF(B41&lt;='VALOR POR PL'!$P$5,0,IF(OR($K$16="CURVA PREVISION",$K$16="MDO PREVISION + MATERIAL PREMISSA"),N41,IF($K$16="PREVISÃO INFORMADA",MAX(0,H41),0)))</f>
        <v>467282.37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HISTORICOS'!AO24)</f>
        <v>0</v>
      </c>
      <c r="D42" s="45" t="n">
        <f aca="false">IF(B42&lt;='VALOR POR PL'!$P$5,0,IF($K$17&gt;0,$K$18*P42/$K$17,0))</f>
        <v>629195.203301073</v>
      </c>
      <c r="E42" s="45" t="n">
        <f aca="false">L42+D42/$K$2</f>
        <v>485.157329039781</v>
      </c>
      <c r="F42" s="117" t="n">
        <f aca="false">IF($K$9=0,0,E42/$K$9)</f>
        <v>0.0539721060986309</v>
      </c>
      <c r="G42" s="117" t="n">
        <f aca="false">G41+F42</f>
        <v>0.263227751296068</v>
      </c>
      <c r="H42" s="138" t="n">
        <v>626135.18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RESUMO'!AO24</f>
        <v>39.29</v>
      </c>
      <c r="N42" s="140" t="n">
        <f aca="false">MAX(0,M42-M41)</f>
        <v>9.03</v>
      </c>
      <c r="O42" s="139" t="str">
        <f aca="false">IF(B42&lt;='VALOR POR PL'!$P$5,'CP RESUMO'!AO66,"")</f>
        <v/>
      </c>
      <c r="P42" s="66" t="n">
        <f aca="false">IF(B42&lt;='VALOR POR PL'!$P$5,0,IF(OR($K$16="CURVA PREVISION",$K$16="MDO PREVISION + MATERIAL PREMISSA"),N42,IF($K$16="PREVISÃO INFORMADA",MAX(0,H42),0)))</f>
        <v>626135.18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HISTORICOS'!AP24)</f>
        <v>0</v>
      </c>
      <c r="D43" s="45" t="n">
        <f aca="false">IF(B43&lt;='VALOR POR PL'!$P$5,0,IF($K$17&gt;0,$K$18*P43/$K$17,0))</f>
        <v>676967.438436324</v>
      </c>
      <c r="E43" s="45" t="n">
        <f aca="false">L43+D43/$K$2</f>
        <v>521.993353661203</v>
      </c>
      <c r="F43" s="117" t="n">
        <f aca="false">IF($K$9=0,0,E43/$K$9)</f>
        <v>0.058069988806193</v>
      </c>
      <c r="G43" s="117" t="n">
        <f aca="false">G42+F43</f>
        <v>0.321297740102261</v>
      </c>
      <c r="H43" s="138" t="n">
        <v>673675.08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RESUMO'!AP24</f>
        <v>49.99</v>
      </c>
      <c r="N43" s="140" t="n">
        <f aca="false">MAX(0,M43-M42)</f>
        <v>10.7</v>
      </c>
      <c r="O43" s="139" t="str">
        <f aca="false">IF(B43&lt;='VALOR POR PL'!$P$5,'CP RESUMO'!AP66,"")</f>
        <v/>
      </c>
      <c r="P43" s="66" t="n">
        <f aca="false">IF(B43&lt;='VALOR POR PL'!$P$5,0,IF(OR($K$16="CURVA PREVISION",$K$16="MDO PREVISION + MATERIAL PREMISSA"),N43,IF($K$16="PREVISÃO INFORMADA",MAX(0,H43),0)))</f>
        <v>673675.08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HISTORICOS'!AQ24)</f>
        <v>0</v>
      </c>
      <c r="D44" s="45" t="n">
        <f aca="false">IF(B44&lt;='VALOR POR PL'!$P$5,0,IF($K$17&gt;0,$K$18*P44/$K$17,0))</f>
        <v>1457635.56402806</v>
      </c>
      <c r="E44" s="45" t="n">
        <f aca="false">L44+D44/$K$2</f>
        <v>1123.94781976566</v>
      </c>
      <c r="F44" s="117" t="n">
        <f aca="false">IF($K$9=0,0,E44/$K$9)</f>
        <v>0.12503537996175</v>
      </c>
      <c r="G44" s="117" t="n">
        <f aca="false">G43+F44</f>
        <v>0.446333120064011</v>
      </c>
      <c r="H44" s="138" t="n">
        <v>1450546.51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RESUMO'!AQ24</f>
        <v>56.15</v>
      </c>
      <c r="N44" s="140" t="n">
        <f aca="false">MAX(0,M44-M43)</f>
        <v>6.16</v>
      </c>
      <c r="O44" s="139" t="str">
        <f aca="false">IF(B44&lt;='VALOR POR PL'!$P$5,'CP RESUMO'!AQ66,"")</f>
        <v/>
      </c>
      <c r="P44" s="66" t="n">
        <f aca="false">IF(B44&lt;='VALOR POR PL'!$P$5,0,IF(OR($K$16="CURVA PREVISION",$K$16="MDO PREVISION + MATERIAL PREMISSA"),N44,IF($K$16="PREVISÃO INFORMADA",MAX(0,H44),0)))</f>
        <v>1450546.51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HISTORICOS'!AR24)</f>
        <v>0</v>
      </c>
      <c r="D45" s="45" t="n">
        <f aca="false">IF(B45&lt;='VALOR POR PL'!$P$5,0,IF($K$17&gt;0,$K$18*P45/$K$17,0))</f>
        <v>816788.59360891</v>
      </c>
      <c r="E45" s="45" t="n">
        <f aca="false">L45+D45/$K$2</f>
        <v>629.806092586883</v>
      </c>
      <c r="F45" s="117" t="n">
        <f aca="false">IF($K$9=0,0,E45/$K$9)</f>
        <v>0.0700637900656679</v>
      </c>
      <c r="G45" s="117" t="n">
        <f aca="false">G44+F45</f>
        <v>0.516396910129679</v>
      </c>
      <c r="H45" s="138" t="n">
        <v>812816.23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RESUMO'!AR24</f>
        <v>59.98</v>
      </c>
      <c r="N45" s="140" t="n">
        <f aca="false">MAX(0,M45-M44)</f>
        <v>3.83</v>
      </c>
      <c r="O45" s="139" t="str">
        <f aca="false">IF(B45&lt;='VALOR POR PL'!$P$5,'CP RESUMO'!AR66,"")</f>
        <v/>
      </c>
      <c r="P45" s="66" t="n">
        <f aca="false">IF(B45&lt;='VALOR POR PL'!$P$5,0,IF(OR($K$16="CURVA PREVISION",$K$16="MDO PREVISION + MATERIAL PREMISSA"),N45,IF($K$16="PREVISÃO INFORMADA",MAX(0,H45),0)))</f>
        <v>812816.23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HISTORICOS'!AS24)</f>
        <v>0</v>
      </c>
      <c r="D46" s="45" t="n">
        <f aca="false">IF(B46&lt;='VALOR POR PL'!$P$5,0,IF($K$17&gt;0,$K$18*P46/$K$17,0))</f>
        <v>541806.980062098</v>
      </c>
      <c r="E46" s="45" t="n">
        <f aca="false">L46+D46/$K$2</f>
        <v>417.774366242676</v>
      </c>
      <c r="F46" s="117" t="n">
        <f aca="false">IF($K$9=0,0,E46/$K$9)</f>
        <v>0.0464759802037106</v>
      </c>
      <c r="G46" s="117" t="n">
        <f aca="false">G45+F46</f>
        <v>0.562872890333389</v>
      </c>
      <c r="H46" s="138" t="n">
        <v>539171.96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RESUMO'!AS24</f>
        <v>69.23</v>
      </c>
      <c r="N46" s="140" t="n">
        <f aca="false">MAX(0,M46-M45)</f>
        <v>9.25000000000001</v>
      </c>
      <c r="O46" s="139" t="str">
        <f aca="false">IF(B46&lt;='VALOR POR PL'!$P$5,'CP RESUMO'!AS66,"")</f>
        <v/>
      </c>
      <c r="P46" s="66" t="n">
        <f aca="false">IF(B46&lt;='VALOR POR PL'!$P$5,0,IF(OR($K$16="CURVA PREVISION",$K$16="MDO PREVISION + MATERIAL PREMISSA"),N46,IF($K$16="PREVISÃO INFORMADA",MAX(0,H46),0)))</f>
        <v>539171.96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HISTORICOS'!AT24)</f>
        <v>0</v>
      </c>
      <c r="D47" s="45" t="n">
        <f aca="false">IF(B47&lt;='VALOR POR PL'!$P$5,0,IF($K$17&gt;0,$K$18*P47/$K$17,0))</f>
        <v>868056.348830713</v>
      </c>
      <c r="E47" s="45" t="n">
        <f aca="false">L47+D47/$K$2</f>
        <v>669.337428901558</v>
      </c>
      <c r="F47" s="117" t="n">
        <f aca="false">IF($K$9=0,0,E47/$K$9)</f>
        <v>0.0744615170504773</v>
      </c>
      <c r="G47" s="117" t="n">
        <f aca="false">G46+F47</f>
        <v>0.637334407383867</v>
      </c>
      <c r="H47" s="138" t="n">
        <v>863834.65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RESUMO'!AT24</f>
        <v>74.53</v>
      </c>
      <c r="N47" s="140" t="n">
        <f aca="false">MAX(0,M47-M46)</f>
        <v>5.3</v>
      </c>
      <c r="O47" s="139" t="str">
        <f aca="false">IF(B47&lt;='VALOR POR PL'!$P$5,'CP RESUMO'!AT66,"")</f>
        <v/>
      </c>
      <c r="P47" s="66" t="n">
        <f aca="false">IF(B47&lt;='VALOR POR PL'!$P$5,0,IF(OR($K$16="CURVA PREVISION",$K$16="MDO PREVISION + MATERIAL PREMISSA"),N47,IF($K$16="PREVISÃO INFORMADA",MAX(0,H47),0)))</f>
        <v>863834.65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HISTORICOS'!AU24)</f>
        <v>0</v>
      </c>
      <c r="D48" s="45" t="n">
        <f aca="false">IF(B48&lt;='VALOR POR PL'!$P$5,0,IF($K$17&gt;0,$K$18*P48/$K$17,0))</f>
        <v>817953.770320718</v>
      </c>
      <c r="E48" s="45" t="n">
        <f aca="false">L48+D48/$K$2</f>
        <v>630.704532400782</v>
      </c>
      <c r="F48" s="117" t="n">
        <f aca="false">IF($K$9=0,0,E48/$K$9)</f>
        <v>0.070163738445413</v>
      </c>
      <c r="G48" s="117" t="n">
        <f aca="false">G47+F48</f>
        <v>0.70749814582928</v>
      </c>
      <c r="H48" s="138" t="n">
        <v>813975.74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RESUMO'!AU24</f>
        <v>78.92</v>
      </c>
      <c r="N48" s="140" t="n">
        <f aca="false">MAX(0,M48-M47)</f>
        <v>4.39</v>
      </c>
      <c r="O48" s="139" t="str">
        <f aca="false">IF(B48&lt;='VALOR POR PL'!$P$5,'CP RESUMO'!AU66,"")</f>
        <v/>
      </c>
      <c r="P48" s="66" t="n">
        <f aca="false">IF(B48&lt;='VALOR POR PL'!$P$5,0,IF(OR($K$16="CURVA PREVISION",$K$16="MDO PREVISION + MATERIAL PREMISSA"),N48,IF($K$16="PREVISÃO INFORMADA",MAX(0,H48),0)))</f>
        <v>813975.74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HISTORICOS'!AV24)</f>
        <v>0</v>
      </c>
      <c r="D49" s="45" t="n">
        <f aca="false">IF(B49&lt;='VALOR POR PL'!$P$5,0,IF($K$17&gt;0,$K$18*P49/$K$17,0))</f>
        <v>545302.510197521</v>
      </c>
      <c r="E49" s="45" t="n">
        <f aca="false">L49+D49/$K$2</f>
        <v>420.469685684373</v>
      </c>
      <c r="F49" s="117" t="n">
        <f aca="false">IF($K$9=0,0,E49/$K$9)</f>
        <v>0.046775825342946</v>
      </c>
      <c r="G49" s="117" t="n">
        <f aca="false">G48+F49</f>
        <v>0.754273971172226</v>
      </c>
      <c r="H49" s="138" t="n">
        <v>542650.49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RESUMO'!AV24</f>
        <v>84.83</v>
      </c>
      <c r="N49" s="140" t="n">
        <f aca="false">MAX(0,M49-M48)</f>
        <v>5.91</v>
      </c>
      <c r="O49" s="139" t="str">
        <f aca="false">IF(B49&lt;='VALOR POR PL'!$P$5,'CP RESUMO'!AV66,"")</f>
        <v/>
      </c>
      <c r="P49" s="66" t="n">
        <f aca="false">IF(B49&lt;='VALOR POR PL'!$P$5,0,IF(OR($K$16="CURVA PREVISION",$K$16="MDO PREVISION + MATERIAL PREMISSA"),N49,IF($K$16="PREVISÃO INFORMADA",MAX(0,H49),0)))</f>
        <v>542650.49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HISTORICOS'!AW24)</f>
        <v>0</v>
      </c>
      <c r="D50" s="45" t="n">
        <f aca="false">IF(B50&lt;='VALOR POR PL'!$P$5,0,IF($K$17&gt;0,$K$18*P50/$K$17,0))</f>
        <v>746878.010998181</v>
      </c>
      <c r="E50" s="45" t="n">
        <f aca="false">L50+D50/$K$2</f>
        <v>575.899719249821</v>
      </c>
      <c r="F50" s="117" t="n">
        <f aca="false">IF($K$9=0,0,E50/$K$9)</f>
        <v>0.0640668890049365</v>
      </c>
      <c r="G50" s="117" t="n">
        <f aca="false">G49+F50</f>
        <v>0.818340860177162</v>
      </c>
      <c r="H50" s="138" t="n">
        <v>743245.65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RESUMO'!AW24</f>
        <v>87.3</v>
      </c>
      <c r="N50" s="140" t="n">
        <f aca="false">MAX(0,M50-M49)</f>
        <v>2.47</v>
      </c>
      <c r="O50" s="139" t="str">
        <f aca="false">IF(B50&lt;='VALOR POR PL'!$P$5,'CP RESUMO'!AW66,"")</f>
        <v/>
      </c>
      <c r="P50" s="66" t="n">
        <f aca="false">IF(B50&lt;='VALOR POR PL'!$P$5,0,IF(OR($K$16="CURVA PREVISION",$K$16="MDO PREVISION + MATERIAL PREMISSA"),N50,IF($K$16="PREVISÃO INFORMADA",MAX(0,H50),0)))</f>
        <v>743245.65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HISTORICOS'!AX24)</f>
        <v>0</v>
      </c>
      <c r="D51" s="45" t="n">
        <f aca="false">IF(B51&lt;='VALOR POR PL'!$P$5,0,IF($K$17&gt;0,$K$18*P51/$K$17,0))</f>
        <v>165455.032783488</v>
      </c>
      <c r="E51" s="45" t="n">
        <f aca="false">L51+D51/$K$2</f>
        <v>127.578407083018</v>
      </c>
      <c r="F51" s="117" t="n">
        <f aca="false">IF($K$9=0,0,E51/$K$9)</f>
        <v>0.0141926647518796</v>
      </c>
      <c r="G51" s="117" t="n">
        <f aca="false">G50+F51</f>
        <v>0.832533524929042</v>
      </c>
      <c r="H51" s="138" t="n">
        <v>164650.36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RESUMO'!AX24</f>
        <v>91.31</v>
      </c>
      <c r="N51" s="140" t="n">
        <f aca="false">MAX(0,M51-M50)</f>
        <v>4.01000000000001</v>
      </c>
      <c r="O51" s="139" t="str">
        <f aca="false">IF(B51&lt;='VALOR POR PL'!$P$5,'CP RESUMO'!AX66,"")</f>
        <v/>
      </c>
      <c r="P51" s="66" t="n">
        <f aca="false">IF(B51&lt;='VALOR POR PL'!$P$5,0,IF(OR($K$16="CURVA PREVISION",$K$16="MDO PREVISION + MATERIAL PREMISSA"),N51,IF($K$16="PREVISÃO INFORMADA",MAX(0,H51),0)))</f>
        <v>164650.36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HISTORICOS'!AY24)</f>
        <v>0</v>
      </c>
      <c r="D52" s="45" t="n">
        <f aca="false">IF(B52&lt;='VALOR POR PL'!$P$5,0,IF($K$17&gt;0,$K$18*P52/$K$17,0))</f>
        <v>443932.176465723</v>
      </c>
      <c r="E52" s="45" t="n">
        <f aca="false">L52+D52/$K$2</f>
        <v>342.305452868922</v>
      </c>
      <c r="F52" s="117" t="n">
        <f aca="false">IF($K$9=0,0,E52/$K$9)</f>
        <v>0.0380803197530723</v>
      </c>
      <c r="G52" s="117" t="n">
        <f aca="false">G51+F52</f>
        <v>0.870613844682114</v>
      </c>
      <c r="H52" s="138" t="n">
        <v>441773.16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RESUMO'!AY24</f>
        <v>93.1</v>
      </c>
      <c r="N52" s="140" t="n">
        <f aca="false">MAX(0,M52-M51)</f>
        <v>1.78999999999999</v>
      </c>
      <c r="O52" s="139" t="str">
        <f aca="false">IF(B52&lt;='VALOR POR PL'!$P$5,'CP RESUMO'!AY66,"")</f>
        <v/>
      </c>
      <c r="P52" s="66" t="n">
        <f aca="false">IF(B52&lt;='VALOR POR PL'!$P$5,0,IF(OR($K$16="CURVA PREVISION",$K$16="MDO PREVISION + MATERIAL PREMISSA"),N52,IF($K$16="PREVISÃO INFORMADA",MAX(0,H52),0)))</f>
        <v>441773.16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HISTORICOS'!AZ24)</f>
        <v>0</v>
      </c>
      <c r="D53" s="45" t="n">
        <f aca="false">IF(B53&lt;='VALOR POR PL'!$P$5,0,IF($K$17&gt;0,$K$18*P53/$K$17,0))</f>
        <v>290128.900751443</v>
      </c>
      <c r="E53" s="45" t="n">
        <f aca="false">L53+D53/$K$2</f>
        <v>223.711436176452</v>
      </c>
      <c r="F53" s="117" t="n">
        <f aca="false">IF($K$9=0,0,E53/$K$9)</f>
        <v>0.0248871379366559</v>
      </c>
      <c r="G53" s="117" t="n">
        <f aca="false">G52+F53</f>
        <v>0.89550098261877</v>
      </c>
      <c r="H53" s="138" t="n">
        <v>288717.89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RESUMO'!AZ24</f>
        <v>94.68</v>
      </c>
      <c r="N53" s="140" t="n">
        <f aca="false">MAX(0,M53-M52)</f>
        <v>1.58000000000001</v>
      </c>
      <c r="O53" s="139" t="str">
        <f aca="false">IF(B53&lt;='VALOR POR PL'!$P$5,'CP RESUMO'!AZ66,"")</f>
        <v/>
      </c>
      <c r="P53" s="66" t="n">
        <f aca="false">IF(B53&lt;='VALOR POR PL'!$P$5,0,IF(OR($K$16="CURVA PREVISION",$K$16="MDO PREVISION + MATERIAL PREMISSA"),N53,IF($K$16="PREVISÃO INFORMADA",MAX(0,H53),0)))</f>
        <v>288717.89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HISTORICOS'!BA24)</f>
        <v>0</v>
      </c>
      <c r="D54" s="45" t="n">
        <f aca="false">IF(B54&lt;='VALOR POR PL'!$P$5,0,IF($K$17&gt;0,$K$18*P54/$K$17,0))</f>
        <v>154968.452426088</v>
      </c>
      <c r="E54" s="45" t="n">
        <f aca="false">L54+D54/$K$2</f>
        <v>119.492456506369</v>
      </c>
      <c r="F54" s="117" t="n">
        <f aca="false">IF($K$9=0,0,E54/$K$9)</f>
        <v>0.0132931301961615</v>
      </c>
      <c r="G54" s="117" t="n">
        <f aca="false">G53+F54</f>
        <v>0.908794112814931</v>
      </c>
      <c r="H54" s="138" t="n">
        <v>154214.78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RESUMO'!BA24</f>
        <v>97.6</v>
      </c>
      <c r="N54" s="140" t="n">
        <f aca="false">MAX(0,M54-M53)</f>
        <v>2.91999999999999</v>
      </c>
      <c r="O54" s="139" t="str">
        <f aca="false">IF(B54&lt;='VALOR POR PL'!$P$5,'CP RESUMO'!BA66,"")</f>
        <v/>
      </c>
      <c r="P54" s="66" t="n">
        <f aca="false">IF(B54&lt;='VALOR POR PL'!$P$5,0,IF(OR($K$16="CURVA PREVISION",$K$16="MDO PREVISION + MATERIAL PREMISSA"),N54,IF($K$16="PREVISÃO INFORMADA",MAX(0,H54),0)))</f>
        <v>154214.78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HISTORICOS'!BB24)</f>
        <v>0</v>
      </c>
      <c r="D55" s="45" t="n">
        <f aca="false">IF(B55&lt;='VALOR POR PL'!$P$5,0,IF($K$17&gt;0,$K$18*P55/$K$17,0))</f>
        <v>337901.125837822</v>
      </c>
      <c r="E55" s="45" t="n">
        <f aca="false">L55+D55/$K$2</f>
        <v>260.54745304943</v>
      </c>
      <c r="F55" s="117" t="n">
        <f aca="false">IF($K$9=0,0,E55/$K$9)</f>
        <v>0.0289850197822299</v>
      </c>
      <c r="G55" s="117" t="n">
        <f aca="false">G54+F55</f>
        <v>0.937779132597161</v>
      </c>
      <c r="H55" s="138" t="n">
        <v>336257.78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RESUMO'!BB24</f>
        <v>99.91</v>
      </c>
      <c r="N55" s="140" t="n">
        <f aca="false">MAX(0,M55-M54)</f>
        <v>2.31</v>
      </c>
      <c r="O55" s="139" t="str">
        <f aca="false">IF(B55&lt;='VALOR POR PL'!$P$5,'CP RESUMO'!BB66,"")</f>
        <v/>
      </c>
      <c r="P55" s="66" t="n">
        <f aca="false">IF(B55&lt;='VALOR POR PL'!$P$5,0,IF(OR($K$16="CURVA PREVISION",$K$16="MDO PREVISION + MATERIAL PREMISSA"),N55,IF($K$16="PREVISÃO INFORMADA",MAX(0,H55),0)))</f>
        <v>336257.78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HISTORICOS'!BC24)</f>
        <v>0</v>
      </c>
      <c r="D56" s="45" t="n">
        <f aca="false">IF(B56&lt;='VALOR POR PL'!$P$5,0,IF($K$17&gt;0,$K$18*P56/$K$17,0))</f>
        <v>725357.4882469</v>
      </c>
      <c r="E56" s="45" t="n">
        <f aca="false">L56+D56/$K$2</f>
        <v>559.305760359522</v>
      </c>
      <c r="F56" s="117" t="n">
        <f aca="false">IF($K$9=0,0,E56/$K$9)</f>
        <v>0.0622208674028386</v>
      </c>
      <c r="G56" s="117" t="n">
        <f aca="false">G55+F56</f>
        <v>1</v>
      </c>
      <c r="H56" s="138" t="n">
        <v>721829.79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RESUMO'!BC24</f>
        <v>100</v>
      </c>
      <c r="N56" s="140" t="n">
        <f aca="false">MAX(0,M56-M55)</f>
        <v>0.0900000000000034</v>
      </c>
      <c r="O56" s="139" t="str">
        <f aca="false">IF(B56&lt;='VALOR POR PL'!$P$5,'CP RESUMO'!BC66,"")</f>
        <v/>
      </c>
      <c r="P56" s="66" t="n">
        <f aca="false">IF(B56&lt;='VALOR POR PL'!$P$5,0,IF(OR($K$16="CURVA PREVISION",$K$16="MDO PREVISION + MATERIAL PREMISSA"),N56,IF($K$16="PREVISÃO INFORMADA",MAX(0,H56),0)))</f>
        <v>721829.79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RESUMO'!BD24</f>
        <v>100</v>
      </c>
      <c r="N57" s="140" t="n">
        <f aca="false">MAX(0,M57-M56)</f>
        <v>0</v>
      </c>
      <c r="O57" s="139" t="str">
        <f aca="false">IF(B57&lt;='VALOR POR PL'!$P$5,'CP RESUMO'!BD66,"")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RESUMO'!BE24</f>
        <v>100</v>
      </c>
      <c r="N58" s="140" t="n">
        <f aca="false">MAX(0,M58-M57)</f>
        <v>0</v>
      </c>
      <c r="O58" s="139" t="str">
        <f aca="false">IF(B58&lt;='VALOR POR PL'!$P$5,'CP RESUMO'!BE66,"")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RESUMO'!BF24</f>
        <v>100</v>
      </c>
      <c r="N59" s="140" t="n">
        <f aca="false">MAX(0,M59-M58)</f>
        <v>0</v>
      </c>
      <c r="O59" s="139" t="str">
        <f aca="false">IF(B59&lt;='VALOR POR PL'!$P$5,'CP RESUMO'!BF66,"")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RESUMO'!BG24</f>
        <v>100</v>
      </c>
      <c r="N60" s="140" t="n">
        <f aca="false">MAX(0,M60-M59)</f>
        <v>0</v>
      </c>
      <c r="O60" s="139" t="str">
        <f aca="false">IF(B60&lt;='VALOR POR PL'!$P$5,'CP RESUMO'!BG66,"")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RESUMO'!BH24</f>
        <v>100</v>
      </c>
      <c r="N61" s="140" t="n">
        <f aca="false">MAX(0,M61-M60)</f>
        <v>0</v>
      </c>
      <c r="O61" s="139" t="str">
        <f aca="false">IF(B61&lt;='VALOR POR PL'!$P$5,'CP RESUMO'!BH66,"")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RESUMO'!BI24</f>
        <v>100</v>
      </c>
      <c r="N62" s="140" t="n">
        <f aca="false">MAX(0,M62-M61)</f>
        <v>0</v>
      </c>
      <c r="O62" s="139" t="str">
        <f aca="false">IF(B62&lt;='VALOR POR PL'!$P$5,'CP RESUMO'!BI66,"")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RESUMO'!BJ24</f>
        <v>100</v>
      </c>
      <c r="N63" s="140" t="n">
        <f aca="false">MAX(0,M63-M62)</f>
        <v>0</v>
      </c>
      <c r="O63" s="139" t="str">
        <f aca="false">IF(B63&lt;='VALOR POR PL'!$P$5,'CP RESUMO'!BJ66,"")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RESUMO'!BK24</f>
        <v>100</v>
      </c>
      <c r="N64" s="140" t="n">
        <f aca="false">MAX(0,M64-M63)</f>
        <v>0</v>
      </c>
      <c r="O64" s="139" t="str">
        <f aca="false">IF(B64&lt;='VALOR POR PL'!$P$5,'CP RESUMO'!BK66,"")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RESUMO'!BL24</f>
        <v>100</v>
      </c>
      <c r="N65" s="140" t="n">
        <f aca="false">MAX(0,M65-M64)</f>
        <v>0</v>
      </c>
      <c r="O65" s="139" t="str">
        <f aca="false">IF(B65&lt;='VALOR POR PL'!$P$5,'CP RESUMO'!BL66,"")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RESUMO'!BM24</f>
        <v>100</v>
      </c>
      <c r="N66" s="140" t="n">
        <f aca="false">MAX(0,M66-M65)</f>
        <v>0</v>
      </c>
      <c r="O66" s="139" t="str">
        <f aca="false">IF(B66&lt;='VALOR POR PL'!$P$5,'CP RESUMO'!BM66,"")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RESUMO'!BN24</f>
        <v>100</v>
      </c>
      <c r="N67" s="140" t="n">
        <f aca="false">MAX(0,M67-M66)</f>
        <v>0</v>
      </c>
      <c r="O67" s="139" t="str">
        <f aca="false">IF(B67&lt;='VALOR POR PL'!$P$5,'CP RESUMO'!BN66,"")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RESUMO'!BO24</f>
        <v>100</v>
      </c>
      <c r="N68" s="140" t="n">
        <f aca="false">MAX(0,M68-M67)</f>
        <v>0</v>
      </c>
      <c r="O68" s="139" t="str">
        <f aca="false">IF(B68&lt;='VALOR POR PL'!$P$5,'CP RESUMO'!BO66,"")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RESUMO'!BP24</f>
        <v>100</v>
      </c>
      <c r="N69" s="140" t="n">
        <f aca="false">MAX(0,M69-M68)</f>
        <v>0</v>
      </c>
      <c r="O69" s="139" t="str">
        <f aca="false">IF(B69&lt;='VALOR POR PL'!$P$5,'CP RESUMO'!BP66,"")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RESUMO'!BQ24</f>
        <v>100</v>
      </c>
      <c r="N70" s="140" t="n">
        <f aca="false">MAX(0,M70-M69)</f>
        <v>0</v>
      </c>
      <c r="O70" s="139" t="str">
        <f aca="false">IF(B70&lt;='VALOR POR PL'!$P$5,'CP RESUMO'!BQ66,"")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RESUMO'!BR24</f>
        <v>100</v>
      </c>
      <c r="N71" s="140" t="n">
        <f aca="false">MAX(0,M71-M70)</f>
        <v>0</v>
      </c>
      <c r="O71" s="139" t="str">
        <f aca="false">IF(B71&lt;='VALOR POR PL'!$P$5,'CP RESUMO'!BR66,"")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RESUMO'!BS24</f>
        <v>100</v>
      </c>
      <c r="N72" s="140" t="n">
        <f aca="false">MAX(0,M72-M71)</f>
        <v>0</v>
      </c>
      <c r="O72" s="139" t="str">
        <f aca="false">IF(B72&lt;='VALOR POR PL'!$P$5,'CP RESUMO'!BS66,"")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RESUMO'!BT24</f>
        <v>100</v>
      </c>
      <c r="N73" s="140" t="n">
        <f aca="false">MAX(0,M73-M72)</f>
        <v>0</v>
      </c>
      <c r="O73" s="139" t="str">
        <f aca="false">IF(B73&lt;='VALOR POR PL'!$P$5,'CP RESUMO'!BT66,"")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RESUMO'!BU24</f>
        <v>100</v>
      </c>
      <c r="N74" s="140" t="n">
        <f aca="false">MAX(0,M74-M73)</f>
        <v>0</v>
      </c>
      <c r="O74" s="139" t="str">
        <f aca="false">IF(B74&lt;='VALOR POR PL'!$P$5,'CP RESUMO'!BU66,"")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RESUMO'!BV24</f>
        <v>100</v>
      </c>
      <c r="N75" s="140" t="n">
        <f aca="false">MAX(0,M75-M74)</f>
        <v>0</v>
      </c>
      <c r="O75" s="139" t="str">
        <f aca="false">IF(B75&lt;='VALOR POR PL'!$P$5,'CP RESUMO'!BV66,"")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RESUMO'!BW24</f>
        <v>100</v>
      </c>
      <c r="N76" s="140" t="n">
        <f aca="false">MAX(0,M76-M75)</f>
        <v>0</v>
      </c>
      <c r="O76" s="139" t="str">
        <f aca="false">IF(B76&lt;='VALOR POR PL'!$P$5,'CP RESUMO'!BW66,"")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326041.51</v>
      </c>
      <c r="D78" s="61" t="n">
        <f aca="false">SUM(D5:D76)</f>
        <v>11324128.1611975</v>
      </c>
      <c r="E78" s="61" t="n">
        <f aca="false">SUM(E5:E76)</f>
        <v>8989.03830347447</v>
      </c>
      <c r="F78" s="145" t="n">
        <f aca="false">SUM(F5:F76)</f>
        <v>1</v>
      </c>
      <c r="H78" s="61" t="n">
        <f aca="false">SUM(H5:H76)</f>
        <v>11269054.48</v>
      </c>
      <c r="L78" s="61" t="n">
        <f aca="false">SUM(L5:L76)</f>
        <v>257.274705203914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PL'!D31</f>
        <v>INSTALAÇÕES HIDROSANITÁRIAS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HISTORICOS'!D25)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PL'!F31</f>
        <v>7374040</v>
      </c>
      <c r="K5" s="56" t="n">
        <f aca="false">'VALOR POR PL'!G31</f>
        <v>6060.658861</v>
      </c>
      <c r="L5" s="56" t="n">
        <f aca="false">'DADOS HISTORICOS'!$BZ$25</f>
        <v>0</v>
      </c>
      <c r="M5" s="139" t="n">
        <f aca="false">'CP RESUMO'!D25</f>
        <v>0</v>
      </c>
      <c r="N5" s="140" t="n">
        <v>0</v>
      </c>
      <c r="O5" s="139" t="n">
        <f aca="false">IF(B5&lt;='VALOR POR PL'!$P$5,'CP RESUMO'!D67,"")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HISTORICOS'!E25)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PL'!H31</f>
        <v>6060.658861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RESUMO'!E25</f>
        <v>0</v>
      </c>
      <c r="N6" s="140" t="n">
        <f aca="false">MAX(0,M6-M5)</f>
        <v>0</v>
      </c>
      <c r="O6" s="139" t="n">
        <f aca="false">IF(B6&lt;='VALOR POR PL'!$P$5,'CP RESUMO'!E67,"")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HISTORICOS'!F25)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7856893.62374879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RESUMO'!F25</f>
        <v>0</v>
      </c>
      <c r="N7" s="140" t="n">
        <f aca="false">MAX(0,M7-M6)</f>
        <v>0</v>
      </c>
      <c r="O7" s="139" t="n">
        <f aca="false">IF(B7&lt;='VALOR POR PL'!$P$5,'CP RESUMO'!F67,"")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RESUMO'!G25</f>
        <v>0</v>
      </c>
      <c r="N8" s="140" t="n">
        <f aca="false">MAX(0,M8-M7)</f>
        <v>0</v>
      </c>
      <c r="O8" s="139" t="n">
        <f aca="false">IF(B8&lt;='VALOR POR PL'!$P$5,'CP RESUMO'!G67,"")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HISTORICOS'!H25)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7856893.62374879</v>
      </c>
      <c r="K9" s="45" t="n">
        <f aca="false">E78</f>
        <v>6058.26221345759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RESUMO'!H25</f>
        <v>0</v>
      </c>
      <c r="N9" s="140" t="n">
        <f aca="false">MAX(0,M9-M8)</f>
        <v>0</v>
      </c>
      <c r="O9" s="139" t="n">
        <f aca="false">IF(B9&lt;='VALOR POR PL'!$P$5,'CP RESUMO'!H67,"")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HISTORICOS'!I25)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6058.26221345759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RESUMO'!I25</f>
        <v>0</v>
      </c>
      <c r="N10" s="140" t="n">
        <f aca="false">MAX(0,M10-M9)</f>
        <v>0</v>
      </c>
      <c r="O10" s="139" t="n">
        <f aca="false">IF(B10&lt;='VALOR POR PL'!$P$5,'CP RESUMO'!I67,"")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7741725.07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RESUMO'!J25</f>
        <v>0</v>
      </c>
      <c r="N11" s="140" t="n">
        <f aca="false">MAX(0,M11-M10)</f>
        <v>0</v>
      </c>
      <c r="O11" s="139" t="n">
        <f aca="false">IF(B11&lt;='VALOR POR PL'!$P$5,'CP RESUMO'!J67,"")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HISTORICOS'!K25)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RESUMO'!K25</f>
        <v>0</v>
      </c>
      <c r="N12" s="140" t="n">
        <f aca="false">MAX(0,M12-M11)</f>
        <v>0</v>
      </c>
      <c r="O12" s="139" t="n">
        <f aca="false">IF(B12&lt;='VALOR POR PL'!$P$5,'CP RESUMO'!K67,"")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HISTORICOS'!L25)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PL'!I31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RESUMO'!L25</f>
        <v>0</v>
      </c>
      <c r="N13" s="140" t="n">
        <f aca="false">MAX(0,M13-M12)</f>
        <v>0</v>
      </c>
      <c r="O13" s="139" t="n">
        <f aca="false">IF(B13&lt;='VALOR POR PL'!$P$5,'CP RESUMO'!L67,"")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HISTORICOS'!M25)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RESUMO'!$D$67:$BW$67,MATCH('VALOR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RESUMO'!M25</f>
        <v>0</v>
      </c>
      <c r="N14" s="140" t="n">
        <f aca="false">MAX(0,M14-M13)</f>
        <v>0</v>
      </c>
      <c r="O14" s="139" t="n">
        <f aca="false">IF(B14&lt;='VALOR POR PL'!$P$5,'CP RESUMO'!M67,"")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HISTORICOS'!N25)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RESUMO'!N25</f>
        <v>0</v>
      </c>
      <c r="N15" s="140" t="n">
        <f aca="false">MAX(0,M15-M14)</f>
        <v>0</v>
      </c>
      <c r="O15" s="139" t="n">
        <f aca="false">IF(B15&lt;='VALOR POR PL'!$P$5,'CP RESUMO'!N67,"")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HISTORICOS'!O25)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RESUMO'!O25</f>
        <v>0</v>
      </c>
      <c r="N16" s="140" t="n">
        <f aca="false">MAX(0,M16-M15)</f>
        <v>0</v>
      </c>
      <c r="O16" s="139" t="n">
        <f aca="false">IF(B16&lt;='VALOR POR PL'!$P$5,'CP RESUMO'!O67,"")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HISTORICOS'!P25)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7741725.07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RESUMO'!P25</f>
        <v>0</v>
      </c>
      <c r="N17" s="140" t="n">
        <f aca="false">MAX(0,M17-M16)</f>
        <v>0</v>
      </c>
      <c r="O17" s="139" t="n">
        <f aca="false">IF(B17&lt;='VALOR POR PL'!$P$5,'CP RESUMO'!P67,"")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HISTORICOS'!Q25)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7856893.62374879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RESUMO'!Q25</f>
        <v>0</v>
      </c>
      <c r="N18" s="140" t="n">
        <f aca="false">MAX(0,M18-M17)</f>
        <v>0</v>
      </c>
      <c r="O18" s="139" t="n">
        <f aca="false">IF(B18&lt;='VALOR POR PL'!$P$5,'CP RESUMO'!Q67,"")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HISTORICOS'!R25)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0.0148763425086076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RESUMO'!R25</f>
        <v>0</v>
      </c>
      <c r="N19" s="140" t="n">
        <f aca="false">MAX(0,M19-M18)</f>
        <v>0</v>
      </c>
      <c r="O19" s="139" t="n">
        <f aca="false">IF(B19&lt;='VALOR POR PL'!$P$5,'CP RESUMO'!R67,"")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HISTORICOS'!S25)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RESUMO'!S25</f>
        <v>0</v>
      </c>
      <c r="N20" s="140" t="n">
        <f aca="false">MAX(0,M20-M19)</f>
        <v>0</v>
      </c>
      <c r="O20" s="139" t="n">
        <f aca="false">IF(B20&lt;='VALOR POR PL'!$P$5,'CP RESUMO'!S67,"")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HISTORICOS'!T25)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RESUMO'!T25</f>
        <v>0</v>
      </c>
      <c r="N21" s="140" t="n">
        <f aca="false">MAX(0,M21-M20)</f>
        <v>0</v>
      </c>
      <c r="O21" s="139" t="n">
        <f aca="false">IF(B21&lt;='VALOR POR PL'!$P$5,'CP RESUMO'!T67,"")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HISTORICOS'!U25)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RESUMO'!U25</f>
        <v>0</v>
      </c>
      <c r="N22" s="140" t="n">
        <f aca="false">MAX(0,M22-M21)</f>
        <v>0</v>
      </c>
      <c r="O22" s="139" t="n">
        <f aca="false">IF(B22&lt;='VALOR POR PL'!$P$5,'CP RESUMO'!U67,"")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HISTORICOS'!V25)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RESUMO'!V25</f>
        <v>0</v>
      </c>
      <c r="N23" s="140" t="n">
        <f aca="false">MAX(0,M23-M22)</f>
        <v>0</v>
      </c>
      <c r="O23" s="139" t="n">
        <f aca="false">IF(B23&lt;='VALOR POR PL'!$P$5,'CP RESUMO'!V67,"")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HISTORICOS'!W25)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RESUMO'!W25</f>
        <v>0</v>
      </c>
      <c r="N24" s="140" t="n">
        <f aca="false">MAX(0,M24-M23)</f>
        <v>0</v>
      </c>
      <c r="O24" s="139" t="n">
        <f aca="false">IF(B24&lt;='VALOR POR PL'!$P$5,'CP RESUMO'!W67,"")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HISTORICOS'!X25)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RESUMO'!X25</f>
        <v>0</v>
      </c>
      <c r="N25" s="140" t="n">
        <f aca="false">MAX(0,M25-M24)</f>
        <v>0</v>
      </c>
      <c r="O25" s="139" t="n">
        <f aca="false">IF(B25&lt;='VALOR POR PL'!$P$5,'CP RESUMO'!X67,"")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HISTORICOS'!Y25)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RESUMO'!Y25</f>
        <v>0</v>
      </c>
      <c r="N26" s="140" t="n">
        <f aca="false">MAX(0,M26-M25)</f>
        <v>0</v>
      </c>
      <c r="O26" s="139" t="str">
        <f aca="false">IF(B26&lt;='VALOR POR PL'!$P$5,'CP RESUMO'!Y67,"")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HISTORICOS'!Z25)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RESUMO'!Z25</f>
        <v>0</v>
      </c>
      <c r="N27" s="140" t="n">
        <f aca="false">MAX(0,M27-M26)</f>
        <v>0</v>
      </c>
      <c r="O27" s="139" t="str">
        <f aca="false">IF(B27&lt;='VALOR POR PL'!$P$5,'CP RESUMO'!Z67,"")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HISTORICOS'!AA25)</f>
        <v>0</v>
      </c>
      <c r="D28" s="45" t="n">
        <f aca="false">IF(B28&lt;='VALOR POR PL'!$P$5,0,IF($K$17&gt;0,$K$18*P28/$K$17,0))</f>
        <v>152231.451376291</v>
      </c>
      <c r="E28" s="45" t="n">
        <f aca="false">L28+D28/$K$2</f>
        <v>117.382020648098</v>
      </c>
      <c r="F28" s="117" t="n">
        <f aca="false">IF($K$9=0,0,E28/$K$9)</f>
        <v>0.0193755265969423</v>
      </c>
      <c r="G28" s="117" t="n">
        <f aca="false">G27+F28</f>
        <v>0.0193755265969423</v>
      </c>
      <c r="H28" s="138" t="n">
        <v>150000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RESUMO'!AA25</f>
        <v>0</v>
      </c>
      <c r="N28" s="140" t="n">
        <f aca="false">MAX(0,M28-M27)</f>
        <v>0</v>
      </c>
      <c r="O28" s="139" t="str">
        <f aca="false">IF(B28&lt;='VALOR POR PL'!$P$5,'CP RESUMO'!AA67,"")</f>
        <v/>
      </c>
      <c r="P28" s="66" t="n">
        <f aca="false">IF(B28&lt;='VALOR POR PL'!$P$5,0,IF(OR($K$16="CURVA PREVISION",$K$16="MDO PREVISION + MATERIAL PREMISSA"),N28,IF($K$16="PREVISÃO INFORMADA",MAX(0,H28),0)))</f>
        <v>150000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HISTORICOS'!AB25)</f>
        <v>0</v>
      </c>
      <c r="D29" s="45" t="n">
        <f aca="false">IF(B29&lt;='VALOR POR PL'!$P$5,0,IF($K$17&gt;0,$K$18*P29/$K$17,0))</f>
        <v>50743.8171254304</v>
      </c>
      <c r="E29" s="45" t="n">
        <f aca="false">L29+D29/$K$2</f>
        <v>39.1273402160327</v>
      </c>
      <c r="F29" s="117" t="n">
        <f aca="false">IF($K$9=0,0,E29/$K$9)</f>
        <v>0.00645850886564743</v>
      </c>
      <c r="G29" s="117" t="n">
        <f aca="false">G28+F29</f>
        <v>0.0258340354625897</v>
      </c>
      <c r="H29" s="138" t="n">
        <v>50000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RESUMO'!AB25</f>
        <v>0</v>
      </c>
      <c r="N29" s="140" t="n">
        <f aca="false">MAX(0,M29-M28)</f>
        <v>0</v>
      </c>
      <c r="O29" s="139" t="str">
        <f aca="false">IF(B29&lt;='VALOR POR PL'!$P$5,'CP RESUMO'!AB67,"")</f>
        <v/>
      </c>
      <c r="P29" s="66" t="n">
        <f aca="false">IF(B29&lt;='VALOR POR PL'!$P$5,0,IF(OR($K$16="CURVA PREVISION",$K$16="MDO PREVISION + MATERIAL PREMISSA"),N29,IF($K$16="PREVISÃO INFORMADA",MAX(0,H29),0)))</f>
        <v>50000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HISTORICOS'!AC25)</f>
        <v>0</v>
      </c>
      <c r="D30" s="45" t="n">
        <f aca="false">IF(B30&lt;='VALOR POR PL'!$P$5,0,IF($K$17&gt;0,$K$18*P30/$K$17,0))</f>
        <v>50743.8171254304</v>
      </c>
      <c r="E30" s="45" t="n">
        <f aca="false">L30+D30/$K$2</f>
        <v>39.1273402160327</v>
      </c>
      <c r="F30" s="117" t="n">
        <f aca="false">IF($K$9=0,0,E30/$K$9)</f>
        <v>0.00645850886564743</v>
      </c>
      <c r="G30" s="117" t="n">
        <f aca="false">G29+F30</f>
        <v>0.0322925443282372</v>
      </c>
      <c r="H30" s="138" t="n">
        <v>50000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RESUMO'!AC25</f>
        <v>10.58</v>
      </c>
      <c r="N30" s="140" t="n">
        <f aca="false">MAX(0,M30-M29)</f>
        <v>10.58</v>
      </c>
      <c r="O30" s="139" t="str">
        <f aca="false">IF(B30&lt;='VALOR POR PL'!$P$5,'CP RESUMO'!AC67,"")</f>
        <v/>
      </c>
      <c r="P30" s="66" t="n">
        <f aca="false">IF(B30&lt;='VALOR POR PL'!$P$5,0,IF(OR($K$16="CURVA PREVISION",$K$16="MDO PREVISION + MATERIAL PREMISSA"),N30,IF($K$16="PREVISÃO INFORMADA",MAX(0,H30),0)))</f>
        <v>50000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HISTORICOS'!AD25)</f>
        <v>0</v>
      </c>
      <c r="D31" s="45" t="n">
        <f aca="false">IF(B31&lt;='VALOR POR PL'!$P$5,0,IF($K$17&gt;0,$K$18*P31/$K$17,0))</f>
        <v>71041.3439756025</v>
      </c>
      <c r="E31" s="45" t="n">
        <f aca="false">L31+D31/$K$2</f>
        <v>54.7782763024457</v>
      </c>
      <c r="F31" s="117" t="n">
        <f aca="false">IF($K$9=0,0,E31/$K$9)</f>
        <v>0.00904191241190641</v>
      </c>
      <c r="G31" s="117" t="n">
        <f aca="false">G30+F31</f>
        <v>0.0413344567401436</v>
      </c>
      <c r="H31" s="138" t="n">
        <v>70000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RESUMO'!AD25</f>
        <v>14.11</v>
      </c>
      <c r="N31" s="140" t="n">
        <f aca="false">MAX(0,M31-M30)</f>
        <v>3.53</v>
      </c>
      <c r="O31" s="139" t="str">
        <f aca="false">IF(B31&lt;='VALOR POR PL'!$P$5,'CP RESUMO'!AD67,"")</f>
        <v/>
      </c>
      <c r="P31" s="66" t="n">
        <f aca="false">IF(B31&lt;='VALOR POR PL'!$P$5,0,IF(OR($K$16="CURVA PREVISION",$K$16="MDO PREVISION + MATERIAL PREMISSA"),N31,IF($K$16="PREVISÃO INFORMADA",MAX(0,H31),0)))</f>
        <v>70000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HISTORICOS'!AE25)</f>
        <v>0</v>
      </c>
      <c r="D32" s="45" t="n">
        <f aca="false">IF(B32&lt;='VALOR POR PL'!$P$5,0,IF($K$17&gt;0,$K$18*P32/$K$17,0))</f>
        <v>122047.02964369</v>
      </c>
      <c r="E32" s="45" t="n">
        <f aca="false">L32+D32/$K$2</f>
        <v>94.1075370703972</v>
      </c>
      <c r="F32" s="117" t="n">
        <f aca="false">IF($K$9=0,0,E32/$K$9)</f>
        <v>0.0155337510584059</v>
      </c>
      <c r="G32" s="117" t="n">
        <f aca="false">G31+F32</f>
        <v>0.0568682077985495</v>
      </c>
      <c r="H32" s="138" t="n">
        <v>120258.03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RESUMO'!AE25</f>
        <v>14.11</v>
      </c>
      <c r="N32" s="140" t="n">
        <f aca="false">MAX(0,M32-M31)</f>
        <v>0</v>
      </c>
      <c r="O32" s="139" t="str">
        <f aca="false">IF(B32&lt;='VALOR POR PL'!$P$5,'CP RESUMO'!AE67,"")</f>
        <v/>
      </c>
      <c r="P32" s="66" t="n">
        <f aca="false">IF(B32&lt;='VALOR POR PL'!$P$5,0,IF(OR($K$16="CURVA PREVISION",$K$16="MDO PREVISION + MATERIAL PREMISSA"),N32,IF($K$16="PREVISÃO INFORMADA",MAX(0,H32),0)))</f>
        <v>120258.03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HISTORICOS'!AF25)</f>
        <v>0</v>
      </c>
      <c r="D33" s="45" t="n">
        <f aca="false">IF(B33&lt;='VALOR POR PL'!$P$5,0,IF($K$17&gt;0,$K$18*P33/$K$17,0))</f>
        <v>122047.02964369</v>
      </c>
      <c r="E33" s="45" t="n">
        <f aca="false">L33+D33/$K$2</f>
        <v>94.1075370703972</v>
      </c>
      <c r="F33" s="117" t="n">
        <f aca="false">IF($K$9=0,0,E33/$K$9)</f>
        <v>0.0155337510584059</v>
      </c>
      <c r="G33" s="117" t="n">
        <f aca="false">G32+F33</f>
        <v>0.0724019588569554</v>
      </c>
      <c r="H33" s="138" t="n">
        <v>120258.03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RESUMO'!AF25</f>
        <v>14.99</v>
      </c>
      <c r="N33" s="140" t="n">
        <f aca="false">MAX(0,M33-M32)</f>
        <v>0.880000000000001</v>
      </c>
      <c r="O33" s="139" t="str">
        <f aca="false">IF(B33&lt;='VALOR POR PL'!$P$5,'CP RESUMO'!AF67,"")</f>
        <v/>
      </c>
      <c r="P33" s="66" t="n">
        <f aca="false">IF(B33&lt;='VALOR POR PL'!$P$5,0,IF(OR($K$16="CURVA PREVISION",$K$16="MDO PREVISION + MATERIAL PREMISSA"),N33,IF($K$16="PREVISÃO INFORMADA",MAX(0,H33),0)))</f>
        <v>120258.03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HISTORICOS'!AG25)</f>
        <v>0</v>
      </c>
      <c r="D34" s="45" t="n">
        <f aca="false">IF(B34&lt;='VALOR POR PL'!$P$5,0,IF($K$17&gt;0,$K$18*P34/$K$17,0))</f>
        <v>88543.9216760328</v>
      </c>
      <c r="E34" s="45" t="n">
        <f aca="false">L34+D34/$K$2</f>
        <v>68.2740941406958</v>
      </c>
      <c r="F34" s="117" t="n">
        <f aca="false">IF($K$9=0,0,E34/$K$9)</f>
        <v>0.0112695838732491</v>
      </c>
      <c r="G34" s="117" t="n">
        <f aca="false">G33+F34</f>
        <v>0.0836715427302044</v>
      </c>
      <c r="H34" s="138" t="n">
        <v>87246.02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RESUMO'!AG25</f>
        <v>20.09</v>
      </c>
      <c r="N34" s="140" t="n">
        <f aca="false">MAX(0,M34-M33)</f>
        <v>5.1</v>
      </c>
      <c r="O34" s="139" t="str">
        <f aca="false">IF(B34&lt;='VALOR POR PL'!$P$5,'CP RESUMO'!AG67,"")</f>
        <v/>
      </c>
      <c r="P34" s="66" t="n">
        <f aca="false">IF(B34&lt;='VALOR POR PL'!$P$5,0,IF(OR($K$16="CURVA PREVISION",$K$16="MDO PREVISION + MATERIAL PREMISSA"),N34,IF($K$16="PREVISÃO INFORMADA",MAX(0,H34),0)))</f>
        <v>87246.02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HISTORICOS'!AH25)</f>
        <v>0</v>
      </c>
      <c r="D35" s="45" t="n">
        <f aca="false">IF(B35&lt;='VALOR POR PL'!$P$5,0,IF($K$17&gt;0,$K$18*P35/$K$17,0))</f>
        <v>3988.46402605883</v>
      </c>
      <c r="E35" s="45" t="n">
        <f aca="false">L35+D35/$K$2</f>
        <v>3.07540894098017</v>
      </c>
      <c r="F35" s="117" t="n">
        <f aca="false">IF($K$9=0,0,E35/$K$9)</f>
        <v>0.000507638796839888</v>
      </c>
      <c r="G35" s="117" t="n">
        <f aca="false">G34+F35</f>
        <v>0.0841791815270443</v>
      </c>
      <c r="H35" s="138" t="n">
        <v>3930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RESUMO'!AH25</f>
        <v>25.71</v>
      </c>
      <c r="N35" s="140" t="n">
        <f aca="false">MAX(0,M35-M34)</f>
        <v>5.62</v>
      </c>
      <c r="O35" s="139" t="str">
        <f aca="false">IF(B35&lt;='VALOR POR PL'!$P$5,'CP RESUMO'!AH67,"")</f>
        <v/>
      </c>
      <c r="P35" s="66" t="n">
        <f aca="false">IF(B35&lt;='VALOR POR PL'!$P$5,0,IF(OR($K$16="CURVA PREVISION",$K$16="MDO PREVISION + MATERIAL PREMISSA"),N35,IF($K$16="PREVISÃO INFORMADA",MAX(0,H35),0)))</f>
        <v>3930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HISTORICOS'!AI25)</f>
        <v>0</v>
      </c>
      <c r="D36" s="45" t="n">
        <f aca="false">IF(B36&lt;='VALOR POR PL'!$P$5,0,IF($K$17&gt;0,$K$18*P36/$K$17,0))</f>
        <v>90937.0000916681</v>
      </c>
      <c r="E36" s="45" t="n">
        <f aca="false">L36+D36/$K$2</f>
        <v>70.1193395052839</v>
      </c>
      <c r="F36" s="117" t="n">
        <f aca="false">IF($K$9=0,0,E36/$K$9)</f>
        <v>0.011574167151353</v>
      </c>
      <c r="G36" s="117" t="n">
        <f aca="false">G35+F36</f>
        <v>0.0957533486783973</v>
      </c>
      <c r="H36" s="138" t="n">
        <v>89604.02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RESUMO'!AI25</f>
        <v>31.52</v>
      </c>
      <c r="N36" s="140" t="n">
        <f aca="false">MAX(0,M36-M35)</f>
        <v>5.81</v>
      </c>
      <c r="O36" s="139" t="str">
        <f aca="false">IF(B36&lt;='VALOR POR PL'!$P$5,'CP RESUMO'!AI67,"")</f>
        <v/>
      </c>
      <c r="P36" s="66" t="n">
        <f aca="false">IF(B36&lt;='VALOR POR PL'!$P$5,0,IF(OR($K$16="CURVA PREVISION",$K$16="MDO PREVISION + MATERIAL PREMISSA"),N36,IF($K$16="PREVISÃO INFORMADA",MAX(0,H36),0)))</f>
        <v>89604.02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HISTORICOS'!AJ25)</f>
        <v>0</v>
      </c>
      <c r="D37" s="45" t="n">
        <f aca="false">IF(B37&lt;='VALOR POR PL'!$P$5,0,IF($K$17&gt;0,$K$18*P37/$K$17,0))</f>
        <v>110879.330370726</v>
      </c>
      <c r="E37" s="45" t="n">
        <f aca="false">L37+D37/$K$2</f>
        <v>85.4963920356528</v>
      </c>
      <c r="F37" s="117" t="n">
        <f aca="false">IF($K$9=0,0,E37/$K$9)</f>
        <v>0.0141123624272542</v>
      </c>
      <c r="G37" s="117" t="n">
        <f aca="false">G36+F37</f>
        <v>0.109865711105652</v>
      </c>
      <c r="H37" s="138" t="n">
        <v>109254.03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RESUMO'!AJ25</f>
        <v>37.47</v>
      </c>
      <c r="N37" s="140" t="n">
        <f aca="false">MAX(0,M37-M36)</f>
        <v>5.95</v>
      </c>
      <c r="O37" s="139" t="str">
        <f aca="false">IF(B37&lt;='VALOR POR PL'!$P$5,'CP RESUMO'!AJ67,"")</f>
        <v/>
      </c>
      <c r="P37" s="66" t="n">
        <f aca="false">IF(B37&lt;='VALOR POR PL'!$P$5,0,IF(OR($K$16="CURVA PREVISION",$K$16="MDO PREVISION + MATERIAL PREMISSA"),N37,IF($K$16="PREVISÃO INFORMADA",MAX(0,H37),0)))</f>
        <v>109254.03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HISTORICOS'!AK25)</f>
        <v>0</v>
      </c>
      <c r="D38" s="45" t="n">
        <f aca="false">IF(B38&lt;='VALOR POR PL'!$P$5,0,IF($K$17&gt;0,$K$18*P38/$K$17,0))</f>
        <v>198625.559241547</v>
      </c>
      <c r="E38" s="45" t="n">
        <f aca="false">L38+D38/$K$2</f>
        <v>153.155404388153</v>
      </c>
      <c r="F38" s="117" t="n">
        <f aca="false">IF($K$9=0,0,E38/$K$9)</f>
        <v>0.0252804185411353</v>
      </c>
      <c r="G38" s="117" t="n">
        <f aca="false">G37+F38</f>
        <v>0.135146129646787</v>
      </c>
      <c r="H38" s="138" t="n">
        <v>195714.05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RESUMO'!AK25</f>
        <v>43.29</v>
      </c>
      <c r="N38" s="140" t="n">
        <f aca="false">MAX(0,M38-M37)</f>
        <v>5.82</v>
      </c>
      <c r="O38" s="139" t="str">
        <f aca="false">IF(B38&lt;='VALOR POR PL'!$P$5,'CP RESUMO'!AK67,"")</f>
        <v/>
      </c>
      <c r="P38" s="66" t="n">
        <f aca="false">IF(B38&lt;='VALOR POR PL'!$P$5,0,IF(OR($K$16="CURVA PREVISION",$K$16="MDO PREVISION + MATERIAL PREMISSA"),N38,IF($K$16="PREVISÃO INFORMADA",MAX(0,H38),0)))</f>
        <v>195714.05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HISTORICOS'!AL25)</f>
        <v>0</v>
      </c>
      <c r="D39" s="45" t="n">
        <f aca="false">IF(B39&lt;='VALOR POR PL'!$P$5,0,IF($K$17&gt;0,$K$18*P39/$K$17,0))</f>
        <v>283978.699547969</v>
      </c>
      <c r="E39" s="45" t="n">
        <f aca="false">L39+D39/$K$2</f>
        <v>218.969163550596</v>
      </c>
      <c r="F39" s="117" t="n">
        <f aca="false">IF($K$9=0,0,E39/$K$9)</f>
        <v>0.0361438900852107</v>
      </c>
      <c r="G39" s="117" t="n">
        <f aca="false">G38+F39</f>
        <v>0.171290019731998</v>
      </c>
      <c r="H39" s="138" t="n">
        <v>279816.06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RESUMO'!AL25</f>
        <v>51.98</v>
      </c>
      <c r="N39" s="140" t="n">
        <f aca="false">MAX(0,M39-M38)</f>
        <v>8.69</v>
      </c>
      <c r="O39" s="139" t="str">
        <f aca="false">IF(B39&lt;='VALOR POR PL'!$P$5,'CP RESUMO'!AL67,"")</f>
        <v/>
      </c>
      <c r="P39" s="66" t="n">
        <f aca="false">IF(B39&lt;='VALOR POR PL'!$P$5,0,IF(OR($K$16="CURVA PREVISION",$K$16="MDO PREVISION + MATERIAL PREMISSA"),N39,IF($K$16="PREVISÃO INFORMADA",MAX(0,H39),0)))</f>
        <v>279816.06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HISTORICOS'!AM25)</f>
        <v>0</v>
      </c>
      <c r="D40" s="45" t="n">
        <f aca="false">IF(B40&lt;='VALOR POR PL'!$P$5,0,IF($K$17&gt;0,$K$18*P40/$K$17,0))</f>
        <v>177087.843352066</v>
      </c>
      <c r="E40" s="45" t="n">
        <f aca="false">L40+D40/$K$2</f>
        <v>136.548188281392</v>
      </c>
      <c r="F40" s="117" t="n">
        <f aca="false">IF($K$9=0,0,E40/$K$9)</f>
        <v>0.0225391677464981</v>
      </c>
      <c r="G40" s="117" t="n">
        <f aca="false">G39+F40</f>
        <v>0.193829187478496</v>
      </c>
      <c r="H40" s="138" t="n">
        <v>174492.04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RESUMO'!AM25</f>
        <v>60.16</v>
      </c>
      <c r="N40" s="140" t="n">
        <f aca="false">MAX(0,M40-M39)</f>
        <v>8.18</v>
      </c>
      <c r="O40" s="139" t="str">
        <f aca="false">IF(B40&lt;='VALOR POR PL'!$P$5,'CP RESUMO'!AM67,"")</f>
        <v/>
      </c>
      <c r="P40" s="66" t="n">
        <f aca="false">IF(B40&lt;='VALOR POR PL'!$P$5,0,IF(OR($K$16="CURVA PREVISION",$K$16="MDO PREVISION + MATERIAL PREMISSA"),N40,IF($K$16="PREVISÃO INFORMADA",MAX(0,H40),0)))</f>
        <v>174492.04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HISTORICOS'!AN25)</f>
        <v>0</v>
      </c>
      <c r="D41" s="45" t="n">
        <f aca="false">IF(B41&lt;='VALOR POR PL'!$P$5,0,IF($K$17&gt;0,$K$18*P41/$K$17,0))</f>
        <v>368534.157197943</v>
      </c>
      <c r="E41" s="45" t="n">
        <f aca="false">L41+D41/$K$2</f>
        <v>284.167848750312</v>
      </c>
      <c r="F41" s="117" t="n">
        <f aca="false">IF($K$9=0,0,E41/$K$9)</f>
        <v>0.0469058351616199</v>
      </c>
      <c r="G41" s="117" t="n">
        <f aca="false">G40+F41</f>
        <v>0.240735022640116</v>
      </c>
      <c r="H41" s="138" t="n">
        <v>363132.08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RESUMO'!AN25</f>
        <v>65.07</v>
      </c>
      <c r="N41" s="140" t="n">
        <f aca="false">MAX(0,M41-M40)</f>
        <v>4.91</v>
      </c>
      <c r="O41" s="139" t="str">
        <f aca="false">IF(B41&lt;='VALOR POR PL'!$P$5,'CP RESUMO'!AN67,"")</f>
        <v/>
      </c>
      <c r="P41" s="66" t="n">
        <f aca="false">IF(B41&lt;='VALOR POR PL'!$P$5,0,IF(OR($K$16="CURVA PREVISION",$K$16="MDO PREVISION + MATERIAL PREMISSA"),N41,IF($K$16="PREVISÃO INFORMADA",MAX(0,H41),0)))</f>
        <v>363132.08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HISTORICOS'!AO25)</f>
        <v>0</v>
      </c>
      <c r="D42" s="45" t="n">
        <f aca="false">IF(B42&lt;='VALOR POR PL'!$P$5,0,IF($K$17&gt;0,$K$18*P42/$K$17,0))</f>
        <v>321470.271541686</v>
      </c>
      <c r="E42" s="45" t="n">
        <f aca="false">L42+D42/$K$2</f>
        <v>247.878015421278</v>
      </c>
      <c r="F42" s="117" t="n">
        <f aca="false">IF($K$9=0,0,E42/$K$9)</f>
        <v>0.0409156960672074</v>
      </c>
      <c r="G42" s="117" t="n">
        <f aca="false">G41+F42</f>
        <v>0.281650718707323</v>
      </c>
      <c r="H42" s="138" t="n">
        <v>316758.07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RESUMO'!AO25</f>
        <v>71.19</v>
      </c>
      <c r="N42" s="140" t="n">
        <f aca="false">MAX(0,M42-M41)</f>
        <v>6.12</v>
      </c>
      <c r="O42" s="139" t="str">
        <f aca="false">IF(B42&lt;='VALOR POR PL'!$P$5,'CP RESUMO'!AO67,"")</f>
        <v/>
      </c>
      <c r="P42" s="66" t="n">
        <f aca="false">IF(B42&lt;='VALOR POR PL'!$P$5,0,IF(OR($K$16="CURVA PREVISION",$K$16="MDO PREVISION + MATERIAL PREMISSA"),N42,IF($K$16="PREVISÃO INFORMADA",MAX(0,H42),0)))</f>
        <v>316758.07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HISTORICOS'!AP25)</f>
        <v>0</v>
      </c>
      <c r="D43" s="45" t="n">
        <f aca="false">IF(B43&lt;='VALOR POR PL'!$P$5,0,IF($K$17&gt;0,$K$18*P43/$K$17,0))</f>
        <v>430754.216301988</v>
      </c>
      <c r="E43" s="45" t="n">
        <f aca="false">L43+D43/$K$2</f>
        <v>332.144243880538</v>
      </c>
      <c r="F43" s="117" t="n">
        <f aca="false">IF($K$9=0,0,E43/$K$9)</f>
        <v>0.0548250029757257</v>
      </c>
      <c r="G43" s="117" t="n">
        <f aca="false">G42+F43</f>
        <v>0.336475721683049</v>
      </c>
      <c r="H43" s="138" t="n">
        <v>424440.1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RESUMO'!AP25</f>
        <v>76.79</v>
      </c>
      <c r="N43" s="140" t="n">
        <f aca="false">MAX(0,M43-M42)</f>
        <v>5.60000000000001</v>
      </c>
      <c r="O43" s="139" t="str">
        <f aca="false">IF(B43&lt;='VALOR POR PL'!$P$5,'CP RESUMO'!AP67,"")</f>
        <v/>
      </c>
      <c r="P43" s="66" t="n">
        <f aca="false">IF(B43&lt;='VALOR POR PL'!$P$5,0,IF(OR($K$16="CURVA PREVISION",$K$16="MDO PREVISION + MATERIAL PREMISSA"),N43,IF($K$16="PREVISÃO INFORMADA",MAX(0,H43),0)))</f>
        <v>424440.1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HISTORICOS'!AQ25)</f>
        <v>0</v>
      </c>
      <c r="D44" s="45" t="n">
        <f aca="false">IF(B44&lt;='VALOR POR PL'!$P$5,0,IF($K$17&gt;0,$K$18*P44/$K$17,0))</f>
        <v>463459.631464433</v>
      </c>
      <c r="E44" s="45" t="n">
        <f aca="false">L44+D44/$K$2</f>
        <v>357.362605022044</v>
      </c>
      <c r="F44" s="117" t="n">
        <f aca="false">IF($K$9=0,0,E44/$K$9)</f>
        <v>0.0589876424015145</v>
      </c>
      <c r="G44" s="117" t="n">
        <f aca="false">G43+F44</f>
        <v>0.395463364084563</v>
      </c>
      <c r="H44" s="138" t="n">
        <v>456666.11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RESUMO'!AQ25</f>
        <v>80.38</v>
      </c>
      <c r="N44" s="140" t="n">
        <f aca="false">MAX(0,M44-M43)</f>
        <v>3.58999999999999</v>
      </c>
      <c r="O44" s="139" t="str">
        <f aca="false">IF(B44&lt;='VALOR POR PL'!$P$5,'CP RESUMO'!AQ67,"")</f>
        <v/>
      </c>
      <c r="P44" s="66" t="n">
        <f aca="false">IF(B44&lt;='VALOR POR PL'!$P$5,0,IF(OR($K$16="CURVA PREVISION",$K$16="MDO PREVISION + MATERIAL PREMISSA"),N44,IF($K$16="PREVISÃO INFORMADA",MAX(0,H44),0)))</f>
        <v>456666.11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HISTORICOS'!AR25)</f>
        <v>0</v>
      </c>
      <c r="D45" s="45" t="n">
        <f aca="false">IF(B45&lt;='VALOR POR PL'!$P$5,0,IF($K$17&gt;0,$K$18*P45/$K$17,0))</f>
        <v>997913.932741478</v>
      </c>
      <c r="E45" s="45" t="n">
        <f aca="false">L45+D45/$K$2</f>
        <v>769.467497019003</v>
      </c>
      <c r="F45" s="117" t="n">
        <f aca="false">IF($K$9=0,0,E45/$K$9)</f>
        <v>0.127011256678481</v>
      </c>
      <c r="G45" s="117" t="n">
        <f aca="false">G44+F45</f>
        <v>0.522474620763044</v>
      </c>
      <c r="H45" s="138" t="n">
        <v>983286.23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RESUMO'!AR25</f>
        <v>84.42</v>
      </c>
      <c r="N45" s="140" t="n">
        <f aca="false">MAX(0,M45-M44)</f>
        <v>4.04000000000001</v>
      </c>
      <c r="O45" s="139" t="str">
        <f aca="false">IF(B45&lt;='VALOR POR PL'!$P$5,'CP RESUMO'!AR67,"")</f>
        <v/>
      </c>
      <c r="P45" s="66" t="n">
        <f aca="false">IF(B45&lt;='VALOR POR PL'!$P$5,0,IF(OR($K$16="CURVA PREVISION",$K$16="MDO PREVISION + MATERIAL PREMISSA"),N45,IF($K$16="PREVISÃO INFORMADA",MAX(0,H45),0)))</f>
        <v>983286.23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HISTORICOS'!AS25)</f>
        <v>0</v>
      </c>
      <c r="D46" s="45" t="n">
        <f aca="false">IF(B46&lt;='VALOR POR PL'!$P$5,0,IF($K$17&gt;0,$K$18*P46/$K$17,0))</f>
        <v>559182.788387372</v>
      </c>
      <c r="E46" s="45" t="n">
        <f aca="false">L46+D46/$K$2</f>
        <v>431.172435256504</v>
      </c>
      <c r="F46" s="117" t="n">
        <f aca="false">IF($K$9=0,0,E46/$K$9)</f>
        <v>0.0711709761090754</v>
      </c>
      <c r="G46" s="117" t="n">
        <f aca="false">G45+F46</f>
        <v>0.593645596872119</v>
      </c>
      <c r="H46" s="138" t="n">
        <v>550986.13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RESUMO'!AS25</f>
        <v>92.53</v>
      </c>
      <c r="N46" s="140" t="n">
        <f aca="false">MAX(0,M46-M45)</f>
        <v>8.11</v>
      </c>
      <c r="O46" s="139" t="str">
        <f aca="false">IF(B46&lt;='VALOR POR PL'!$P$5,'CP RESUMO'!AS67,"")</f>
        <v/>
      </c>
      <c r="P46" s="66" t="n">
        <f aca="false">IF(B46&lt;='VALOR POR PL'!$P$5,0,IF(OR($K$16="CURVA PREVISION",$K$16="MDO PREVISION + MATERIAL PREMISSA"),N46,IF($K$16="PREVISÃO INFORMADA",MAX(0,H46),0)))</f>
        <v>550986.13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HISTORICOS'!AT25)</f>
        <v>0</v>
      </c>
      <c r="D47" s="45" t="n">
        <f aca="false">IF(B47&lt;='VALOR POR PL'!$P$5,0,IF($K$17&gt;0,$K$18*P47/$K$17,0))</f>
        <v>370927.235613578</v>
      </c>
      <c r="E47" s="45" t="n">
        <f aca="false">L47+D47/$K$2</f>
        <v>286.0130941149</v>
      </c>
      <c r="F47" s="117" t="n">
        <f aca="false">IF($K$9=0,0,E47/$K$9)</f>
        <v>0.0472104184397238</v>
      </c>
      <c r="G47" s="117" t="n">
        <f aca="false">G46+F47</f>
        <v>0.640856015311843</v>
      </c>
      <c r="H47" s="138" t="n">
        <v>365490.08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RESUMO'!AT25</f>
        <v>95.68</v>
      </c>
      <c r="N47" s="140" t="n">
        <f aca="false">MAX(0,M47-M46)</f>
        <v>3.15000000000001</v>
      </c>
      <c r="O47" s="139" t="str">
        <f aca="false">IF(B47&lt;='VALOR POR PL'!$P$5,'CP RESUMO'!AT67,"")</f>
        <v/>
      </c>
      <c r="P47" s="66" t="n">
        <f aca="false">IF(B47&lt;='VALOR POR PL'!$P$5,0,IF(OR($K$16="CURVA PREVISION",$K$16="MDO PREVISION + MATERIAL PREMISSA"),N47,IF($K$16="PREVISÃO INFORMADA",MAX(0,H47),0)))</f>
        <v>365490.08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HISTORICOS'!AU25)</f>
        <v>0</v>
      </c>
      <c r="D48" s="45" t="n">
        <f aca="false">IF(B48&lt;='VALOR POR PL'!$P$5,0,IF($K$17&gt;0,$K$18*P48/$K$17,0))</f>
        <v>594281.27181669</v>
      </c>
      <c r="E48" s="45" t="n">
        <f aca="false">L48+D48/$K$2</f>
        <v>458.23603393713</v>
      </c>
      <c r="F48" s="117" t="n">
        <f aca="false">IF($K$9=0,0,E48/$K$9)</f>
        <v>0.0756381975212664</v>
      </c>
      <c r="G48" s="117" t="n">
        <f aca="false">G47+F48</f>
        <v>0.71649421283311</v>
      </c>
      <c r="H48" s="138" t="n">
        <v>585570.13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RESUMO'!AU25</f>
        <v>98.41</v>
      </c>
      <c r="N48" s="140" t="n">
        <f aca="false">MAX(0,M48-M47)</f>
        <v>2.72999999999999</v>
      </c>
      <c r="O48" s="139" t="str">
        <f aca="false">IF(B48&lt;='VALOR POR PL'!$P$5,'CP RESUMO'!AU67,"")</f>
        <v/>
      </c>
      <c r="P48" s="66" t="n">
        <f aca="false">IF(B48&lt;='VALOR POR PL'!$P$5,0,IF(OR($K$16="CURVA PREVISION",$K$16="MDO PREVISION + MATERIAL PREMISSA"),N48,IF($K$16="PREVISÃO INFORMADA",MAX(0,H48),0)))</f>
        <v>585570.13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HISTORICOS'!AV25)</f>
        <v>0</v>
      </c>
      <c r="D49" s="45" t="n">
        <f aca="false">IF(B49&lt;='VALOR POR PL'!$P$5,0,IF($K$17&gt;0,$K$18*P49/$K$17,0))</f>
        <v>559980.481192584</v>
      </c>
      <c r="E49" s="45" t="n">
        <f aca="false">L49+D49/$K$2</f>
        <v>431.7875170447</v>
      </c>
      <c r="F49" s="117" t="n">
        <f aca="false">IF($K$9=0,0,E49/$K$9)</f>
        <v>0.0712725038684434</v>
      </c>
      <c r="G49" s="117" t="n">
        <f aca="false">G48+F49</f>
        <v>0.787766716701553</v>
      </c>
      <c r="H49" s="138" t="n">
        <v>551772.13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RESUMO'!AV25</f>
        <v>100</v>
      </c>
      <c r="N49" s="140" t="n">
        <f aca="false">MAX(0,M49-M48)</f>
        <v>1.59</v>
      </c>
      <c r="O49" s="139" t="str">
        <f aca="false">IF(B49&lt;='VALOR POR PL'!$P$5,'CP RESUMO'!AV67,"")</f>
        <v/>
      </c>
      <c r="P49" s="66" t="n">
        <f aca="false">IF(B49&lt;='VALOR POR PL'!$P$5,0,IF(OR($K$16="CURVA PREVISION",$K$16="MDO PREVISION + MATERIAL PREMISSA"),N49,IF($K$16="PREVISÃO INFORMADA",MAX(0,H49),0)))</f>
        <v>551772.13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HISTORICOS'!AW25)</f>
        <v>0</v>
      </c>
      <c r="D50" s="45" t="n">
        <f aca="false">IF(B50&lt;='VALOR POR PL'!$P$5,0,IF($K$17&gt;0,$K$18*P50/$K$17,0))</f>
        <v>373320.314029214</v>
      </c>
      <c r="E50" s="45" t="n">
        <f aca="false">L50+D50/$K$2</f>
        <v>287.858339479488</v>
      </c>
      <c r="F50" s="117" t="n">
        <f aca="false">IF($K$9=0,0,E50/$K$9)</f>
        <v>0.0475150017178277</v>
      </c>
      <c r="G50" s="117" t="n">
        <f aca="false">G49+F50</f>
        <v>0.835281718419381</v>
      </c>
      <c r="H50" s="138" t="n">
        <v>367848.08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RESUMO'!AW25</f>
        <v>100</v>
      </c>
      <c r="N50" s="140" t="n">
        <f aca="false">MAX(0,M50-M49)</f>
        <v>0</v>
      </c>
      <c r="O50" s="139" t="str">
        <f aca="false">IF(B50&lt;='VALOR POR PL'!$P$5,'CP RESUMO'!AW67,"")</f>
        <v/>
      </c>
      <c r="P50" s="66" t="n">
        <f aca="false">IF(B50&lt;='VALOR POR PL'!$P$5,0,IF(OR($K$16="CURVA PREVISION",$K$16="MDO PREVISION + MATERIAL PREMISSA"),N50,IF($K$16="PREVISÃO INFORMADA",MAX(0,H50),0)))</f>
        <v>367848.08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HISTORICOS'!AX25)</f>
        <v>0</v>
      </c>
      <c r="D51" s="45" t="n">
        <f aca="false">IF(B51&lt;='VALOR POR PL'!$P$5,0,IF($K$17&gt;0,$K$18*P51/$K$17,0))</f>
        <v>511321.209925903</v>
      </c>
      <c r="E51" s="45" t="n">
        <f aca="false">L51+D51/$K$2</f>
        <v>394.267520139274</v>
      </c>
      <c r="F51" s="117" t="n">
        <f aca="false">IF($K$9=0,0,E51/$K$9)</f>
        <v>0.065079309255295</v>
      </c>
      <c r="G51" s="117" t="n">
        <f aca="false">G50+F51</f>
        <v>0.900361027674676</v>
      </c>
      <c r="H51" s="138" t="n">
        <v>503826.12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RESUMO'!AX25</f>
        <v>100</v>
      </c>
      <c r="N51" s="140" t="n">
        <f aca="false">MAX(0,M51-M50)</f>
        <v>0</v>
      </c>
      <c r="O51" s="139" t="str">
        <f aca="false">IF(B51&lt;='VALOR POR PL'!$P$5,'CP RESUMO'!AX67,"")</f>
        <v/>
      </c>
      <c r="P51" s="66" t="n">
        <f aca="false">IF(B51&lt;='VALOR POR PL'!$P$5,0,IF(OR($K$16="CURVA PREVISION",$K$16="MDO PREVISION + MATERIAL PREMISSA"),N51,IF($K$16="PREVISÃO INFORMADA",MAX(0,H51),0)))</f>
        <v>503826.12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HISTORICOS'!AY25)</f>
        <v>0</v>
      </c>
      <c r="D52" s="45" t="n">
        <f aca="false">IF(B52&lt;='VALOR POR PL'!$P$5,0,IF($K$17&gt;0,$K$18*P52/$K$17,0))</f>
        <v>113272.408786361</v>
      </c>
      <c r="E52" s="45" t="n">
        <f aca="false">L52+D52/$K$2</f>
        <v>87.3416374002409</v>
      </c>
      <c r="F52" s="117" t="n">
        <f aca="false">IF($K$9=0,0,E52/$K$9)</f>
        <v>0.0144169457053581</v>
      </c>
      <c r="G52" s="117" t="n">
        <f aca="false">G51+F52</f>
        <v>0.914777973380034</v>
      </c>
      <c r="H52" s="138" t="n">
        <v>111612.03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RESUMO'!AY25</f>
        <v>100</v>
      </c>
      <c r="N52" s="140" t="n">
        <f aca="false">MAX(0,M52-M51)</f>
        <v>0</v>
      </c>
      <c r="O52" s="139" t="str">
        <f aca="false">IF(B52&lt;='VALOR POR PL'!$P$5,'CP RESUMO'!AY67,"")</f>
        <v/>
      </c>
      <c r="P52" s="66" t="n">
        <f aca="false">IF(B52&lt;='VALOR POR PL'!$P$5,0,IF(OR($K$16="CURVA PREVISION",$K$16="MDO PREVISION + MATERIAL PREMISSA"),N52,IF($K$16="PREVISÃO INFORMADA",MAX(0,H52),0)))</f>
        <v>111612.03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HISTORICOS'!AZ25)</f>
        <v>0</v>
      </c>
      <c r="D53" s="45" t="n">
        <f aca="false">IF(B53&lt;='VALOR POR PL'!$P$5,0,IF($K$17&gt;0,$K$18*P53/$K$17,0))</f>
        <v>303921.029827027</v>
      </c>
      <c r="E53" s="45" t="n">
        <f aca="false">L53+D53/$K$2</f>
        <v>234.346216080965</v>
      </c>
      <c r="F53" s="117" t="n">
        <f aca="false">IF($K$9=0,0,E53/$K$9)</f>
        <v>0.0386820853611119</v>
      </c>
      <c r="G53" s="117" t="n">
        <f aca="false">G52+F53</f>
        <v>0.953460058741146</v>
      </c>
      <c r="H53" s="138" t="n">
        <v>299466.07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RESUMO'!AZ25</f>
        <v>100</v>
      </c>
      <c r="N53" s="140" t="n">
        <f aca="false">MAX(0,M53-M52)</f>
        <v>0</v>
      </c>
      <c r="O53" s="139" t="str">
        <f aca="false">IF(B53&lt;='VALOR POR PL'!$P$5,'CP RESUMO'!AZ67,"")</f>
        <v/>
      </c>
      <c r="P53" s="66" t="n">
        <f aca="false">IF(B53&lt;='VALOR POR PL'!$P$5,0,IF(OR($K$16="CURVA PREVISION",$K$16="MDO PREVISION + MATERIAL PREMISSA"),N53,IF($K$16="PREVISÃO INFORMADA",MAX(0,H53),0)))</f>
        <v>299466.07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HISTORICOS'!BA25)</f>
        <v>0</v>
      </c>
      <c r="D54" s="45" t="n">
        <f aca="false">IF(B54&lt;='VALOR POR PL'!$P$5,0,IF($K$17&gt;0,$K$18*P54/$K$17,0))</f>
        <v>198625.559241547</v>
      </c>
      <c r="E54" s="45" t="n">
        <f aca="false">L54+D54/$K$2</f>
        <v>153.155404388153</v>
      </c>
      <c r="F54" s="117" t="n">
        <f aca="false">IF($K$9=0,0,E54/$K$9)</f>
        <v>0.0252804185411353</v>
      </c>
      <c r="G54" s="117" t="n">
        <f aca="false">G53+F54</f>
        <v>0.978740477282281</v>
      </c>
      <c r="H54" s="138" t="n">
        <v>195714.05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RESUMO'!BA25</f>
        <v>100</v>
      </c>
      <c r="N54" s="140" t="n">
        <f aca="false">MAX(0,M54-M53)</f>
        <v>0</v>
      </c>
      <c r="O54" s="139" t="str">
        <f aca="false">IF(B54&lt;='VALOR POR PL'!$P$5,'CP RESUMO'!BA67,"")</f>
        <v/>
      </c>
      <c r="P54" s="66" t="n">
        <f aca="false">IF(B54&lt;='VALOR POR PL'!$P$5,0,IF(OR($K$16="CURVA PREVISION",$K$16="MDO PREVISION + MATERIAL PREMISSA"),N54,IF($K$16="PREVISÃO INFORMADA",MAX(0,H54),0)))</f>
        <v>195714.05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HISTORICOS'!BB25)</f>
        <v>0</v>
      </c>
      <c r="D55" s="45" t="n">
        <f aca="false">IF(B55&lt;='VALOR POR PL'!$P$5,0,IF($K$17&gt;0,$K$18*P55/$K$17,0))</f>
        <v>106093.163390692</v>
      </c>
      <c r="E55" s="45" t="n">
        <f aca="false">L55+D55/$K$2</f>
        <v>81.8058934810085</v>
      </c>
      <c r="F55" s="117" t="n">
        <f aca="false">IF($K$9=0,0,E55/$K$9)</f>
        <v>0.0135031945793446</v>
      </c>
      <c r="G55" s="117" t="n">
        <f aca="false">G54+F55</f>
        <v>0.992243671861626</v>
      </c>
      <c r="H55" s="138" t="n">
        <v>104538.02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RESUMO'!BB25</f>
        <v>100</v>
      </c>
      <c r="N55" s="140" t="n">
        <f aca="false">MAX(0,M55-M54)</f>
        <v>0</v>
      </c>
      <c r="O55" s="139" t="str">
        <f aca="false">IF(B55&lt;='VALOR POR PL'!$P$5,'CP RESUMO'!BB67,"")</f>
        <v/>
      </c>
      <c r="P55" s="66" t="n">
        <f aca="false">IF(B55&lt;='VALOR POR PL'!$P$5,0,IF(OR($K$16="CURVA PREVISION",$K$16="MDO PREVISION + MATERIAL PREMISSA"),N55,IF($K$16="PREVISÃO INFORMADA",MAX(0,H55),0)))</f>
        <v>104538.02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HISTORICOS'!BC25)</f>
        <v>0</v>
      </c>
      <c r="D56" s="45" t="n">
        <f aca="false">IF(B56&lt;='VALOR POR PL'!$P$5,0,IF($K$17&gt;0,$K$18*P56/$K$17,0))</f>
        <v>60940.6450940977</v>
      </c>
      <c r="E56" s="45" t="n">
        <f aca="false">L56+D56/$K$2</f>
        <v>46.9898696758918</v>
      </c>
      <c r="F56" s="117" t="n">
        <f aca="false">IF($K$9=0,0,E56/$K$9)</f>
        <v>0.00775632813837446</v>
      </c>
      <c r="G56" s="117" t="n">
        <f aca="false">G55+F56</f>
        <v>1</v>
      </c>
      <c r="H56" s="138" t="n">
        <v>60047.36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RESUMO'!BC25</f>
        <v>100</v>
      </c>
      <c r="N56" s="140" t="n">
        <f aca="false">MAX(0,M56-M55)</f>
        <v>0</v>
      </c>
      <c r="O56" s="139" t="str">
        <f aca="false">IF(B56&lt;='VALOR POR PL'!$P$5,'CP RESUMO'!BC67,"")</f>
        <v/>
      </c>
      <c r="P56" s="66" t="n">
        <f aca="false">IF(B56&lt;='VALOR POR PL'!$P$5,0,IF(OR($K$16="CURVA PREVISION",$K$16="MDO PREVISION + MATERIAL PREMISSA"),N56,IF($K$16="PREVISÃO INFORMADA",MAX(0,H56),0)))</f>
        <v>60047.36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RESUMO'!BD25</f>
        <v>100</v>
      </c>
      <c r="N57" s="140" t="n">
        <f aca="false">MAX(0,M57-M56)</f>
        <v>0</v>
      </c>
      <c r="O57" s="139" t="str">
        <f aca="false">IF(B57&lt;='VALOR POR PL'!$P$5,'CP RESUMO'!BD67,"")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RESUMO'!BE25</f>
        <v>100</v>
      </c>
      <c r="N58" s="140" t="n">
        <f aca="false">MAX(0,M58-M57)</f>
        <v>0</v>
      </c>
      <c r="O58" s="139" t="str">
        <f aca="false">IF(B58&lt;='VALOR POR PL'!$P$5,'CP RESUMO'!BE67,"")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RESUMO'!BF25</f>
        <v>100</v>
      </c>
      <c r="N59" s="140" t="n">
        <f aca="false">MAX(0,M59-M58)</f>
        <v>0</v>
      </c>
      <c r="O59" s="139" t="str">
        <f aca="false">IF(B59&lt;='VALOR POR PL'!$P$5,'CP RESUMO'!BF67,"")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RESUMO'!BG25</f>
        <v>100</v>
      </c>
      <c r="N60" s="140" t="n">
        <f aca="false">MAX(0,M60-M59)</f>
        <v>0</v>
      </c>
      <c r="O60" s="139" t="str">
        <f aca="false">IF(B60&lt;='VALOR POR PL'!$P$5,'CP RESUMO'!BG67,"")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RESUMO'!BH25</f>
        <v>100</v>
      </c>
      <c r="N61" s="140" t="n">
        <f aca="false">MAX(0,M61-M60)</f>
        <v>0</v>
      </c>
      <c r="O61" s="139" t="str">
        <f aca="false">IF(B61&lt;='VALOR POR PL'!$P$5,'CP RESUMO'!BH67,"")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RESUMO'!BI25</f>
        <v>100</v>
      </c>
      <c r="N62" s="140" t="n">
        <f aca="false">MAX(0,M62-M61)</f>
        <v>0</v>
      </c>
      <c r="O62" s="139" t="str">
        <f aca="false">IF(B62&lt;='VALOR POR PL'!$P$5,'CP RESUMO'!BI67,"")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RESUMO'!BJ25</f>
        <v>100</v>
      </c>
      <c r="N63" s="140" t="n">
        <f aca="false">MAX(0,M63-M62)</f>
        <v>0</v>
      </c>
      <c r="O63" s="139" t="str">
        <f aca="false">IF(B63&lt;='VALOR POR PL'!$P$5,'CP RESUMO'!BJ67,"")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RESUMO'!BK25</f>
        <v>100</v>
      </c>
      <c r="N64" s="140" t="n">
        <f aca="false">MAX(0,M64-M63)</f>
        <v>0</v>
      </c>
      <c r="O64" s="139" t="str">
        <f aca="false">IF(B64&lt;='VALOR POR PL'!$P$5,'CP RESUMO'!BK67,"")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RESUMO'!BL25</f>
        <v>100</v>
      </c>
      <c r="N65" s="140" t="n">
        <f aca="false">MAX(0,M65-M64)</f>
        <v>0</v>
      </c>
      <c r="O65" s="139" t="str">
        <f aca="false">IF(B65&lt;='VALOR POR PL'!$P$5,'CP RESUMO'!BL67,"")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RESUMO'!BM25</f>
        <v>100</v>
      </c>
      <c r="N66" s="140" t="n">
        <f aca="false">MAX(0,M66-M65)</f>
        <v>0</v>
      </c>
      <c r="O66" s="139" t="str">
        <f aca="false">IF(B66&lt;='VALOR POR PL'!$P$5,'CP RESUMO'!BM67,"")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RESUMO'!BN25</f>
        <v>100</v>
      </c>
      <c r="N67" s="140" t="n">
        <f aca="false">MAX(0,M67-M66)</f>
        <v>0</v>
      </c>
      <c r="O67" s="139" t="str">
        <f aca="false">IF(B67&lt;='VALOR POR PL'!$P$5,'CP RESUMO'!BN67,"")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RESUMO'!BO25</f>
        <v>100</v>
      </c>
      <c r="N68" s="140" t="n">
        <f aca="false">MAX(0,M68-M67)</f>
        <v>0</v>
      </c>
      <c r="O68" s="139" t="str">
        <f aca="false">IF(B68&lt;='VALOR POR PL'!$P$5,'CP RESUMO'!BO67,"")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RESUMO'!BP25</f>
        <v>100</v>
      </c>
      <c r="N69" s="140" t="n">
        <f aca="false">MAX(0,M69-M68)</f>
        <v>0</v>
      </c>
      <c r="O69" s="139" t="str">
        <f aca="false">IF(B69&lt;='VALOR POR PL'!$P$5,'CP RESUMO'!BP67,"")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RESUMO'!BQ25</f>
        <v>100</v>
      </c>
      <c r="N70" s="140" t="n">
        <f aca="false">MAX(0,M70-M69)</f>
        <v>0</v>
      </c>
      <c r="O70" s="139" t="str">
        <f aca="false">IF(B70&lt;='VALOR POR PL'!$P$5,'CP RESUMO'!BQ67,"")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RESUMO'!BR25</f>
        <v>100</v>
      </c>
      <c r="N71" s="140" t="n">
        <f aca="false">MAX(0,M71-M70)</f>
        <v>0</v>
      </c>
      <c r="O71" s="139" t="str">
        <f aca="false">IF(B71&lt;='VALOR POR PL'!$P$5,'CP RESUMO'!BR67,"")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RESUMO'!BS25</f>
        <v>100</v>
      </c>
      <c r="N72" s="140" t="n">
        <f aca="false">MAX(0,M72-M71)</f>
        <v>0</v>
      </c>
      <c r="O72" s="139" t="str">
        <f aca="false">IF(B72&lt;='VALOR POR PL'!$P$5,'CP RESUMO'!BS67,"")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RESUMO'!BT25</f>
        <v>100</v>
      </c>
      <c r="N73" s="140" t="n">
        <f aca="false">MAX(0,M73-M72)</f>
        <v>0</v>
      </c>
      <c r="O73" s="139" t="str">
        <f aca="false">IF(B73&lt;='VALOR POR PL'!$P$5,'CP RESUMO'!BT67,"")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RESUMO'!BU25</f>
        <v>100</v>
      </c>
      <c r="N74" s="140" t="n">
        <f aca="false">MAX(0,M74-M73)</f>
        <v>0</v>
      </c>
      <c r="O74" s="139" t="str">
        <f aca="false">IF(B74&lt;='VALOR POR PL'!$P$5,'CP RESUMO'!BU67,"")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RESUMO'!BV25</f>
        <v>100</v>
      </c>
      <c r="N75" s="140" t="n">
        <f aca="false">MAX(0,M75-M74)</f>
        <v>0</v>
      </c>
      <c r="O75" s="139" t="str">
        <f aca="false">IF(B75&lt;='VALOR POR PL'!$P$5,'CP RESUMO'!BV67,"")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RESUMO'!BW25</f>
        <v>100</v>
      </c>
      <c r="N76" s="140" t="n">
        <f aca="false">MAX(0,M76-M75)</f>
        <v>0</v>
      </c>
      <c r="O76" s="139" t="str">
        <f aca="false">IF(B76&lt;='VALOR POR PL'!$P$5,'CP RESUMO'!BW67,"")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7856893.62374879</v>
      </c>
      <c r="E78" s="61" t="n">
        <f aca="false">SUM(E5:E76)</f>
        <v>6058.26221345759</v>
      </c>
      <c r="F78" s="145" t="n">
        <f aca="false">SUM(F5:F76)</f>
        <v>1</v>
      </c>
      <c r="H78" s="61" t="n">
        <f aca="false">SUM(H5:H76)</f>
        <v>7741725.07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PL'!D32</f>
        <v>INSTALAÇÕES COMBATE INCÊNDIO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PL'!F32</f>
        <v>781560</v>
      </c>
      <c r="K5" s="56" t="n">
        <f aca="false">'VALOR POR PL'!G32</f>
        <v>642.357316</v>
      </c>
      <c r="L5" s="56" t="n">
        <f aca="false">'DADOS HISTORICOS'!$BZ$26</f>
        <v>0</v>
      </c>
      <c r="M5" s="139" t="n">
        <f aca="false">'CP RESUMO'!D26</f>
        <v>0</v>
      </c>
      <c r="N5" s="140" t="n">
        <v>0</v>
      </c>
      <c r="O5" s="139" t="n">
        <f aca="false">IF(B5&lt;='VALOR POR PL'!$P$5,'CP RESUMO'!D68,"")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PL'!H32</f>
        <v>642.357316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RESUMO'!E26</f>
        <v>0</v>
      </c>
      <c r="N6" s="140" t="n">
        <f aca="false">MAX(0,M6-M5)</f>
        <v>0</v>
      </c>
      <c r="O6" s="139" t="n">
        <f aca="false">IF(B6&lt;='VALOR POR PL'!$P$5,'CP RESUMO'!E68,"")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832736.706684734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RESUMO'!F26</f>
        <v>0</v>
      </c>
      <c r="N7" s="140" t="n">
        <f aca="false">MAX(0,M7-M6)</f>
        <v>0</v>
      </c>
      <c r="O7" s="139" t="n">
        <f aca="false">IF(B7&lt;='VALOR POR PL'!$P$5,'CP RESUMO'!F68,"")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RESUMO'!G26</f>
        <v>0</v>
      </c>
      <c r="N8" s="140" t="n">
        <f aca="false">MAX(0,M8-M7)</f>
        <v>0</v>
      </c>
      <c r="O8" s="139" t="n">
        <f aca="false">IF(B8&lt;='VALOR POR PL'!$P$5,'CP RESUMO'!G68,"")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832736.706684734</v>
      </c>
      <c r="K9" s="45" t="n">
        <f aca="false">E78</f>
        <v>642.103300039351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RESUMO'!H26</f>
        <v>0</v>
      </c>
      <c r="N9" s="140" t="n">
        <f aca="false">MAX(0,M9-M8)</f>
        <v>0</v>
      </c>
      <c r="O9" s="139" t="n">
        <f aca="false">IF(B9&lt;='VALOR POR PL'!$P$5,'CP RESUMO'!H68,"")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642.103300039351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RESUMO'!I26</f>
        <v>0</v>
      </c>
      <c r="N10" s="140" t="n">
        <f aca="false">MAX(0,M10-M9)</f>
        <v>0</v>
      </c>
      <c r="O10" s="139" t="n">
        <f aca="false">IF(B10&lt;='VALOR POR PL'!$P$5,'CP RESUMO'!I68,"")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823490.46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RESUMO'!J26</f>
        <v>0</v>
      </c>
      <c r="N11" s="140" t="n">
        <f aca="false">MAX(0,M11-M10)</f>
        <v>0</v>
      </c>
      <c r="O11" s="139" t="n">
        <f aca="false">IF(B11&lt;='VALOR POR PL'!$P$5,'CP RESUMO'!J68,"")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RESUMO'!K26</f>
        <v>0</v>
      </c>
      <c r="N12" s="140" t="n">
        <f aca="false">MAX(0,M12-M11)</f>
        <v>0</v>
      </c>
      <c r="O12" s="139" t="n">
        <f aca="false">IF(B12&lt;='VALOR POR PL'!$P$5,'CP RESUMO'!K68,"")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PL'!I32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RESUMO'!L26</f>
        <v>0</v>
      </c>
      <c r="N13" s="140" t="n">
        <f aca="false">MAX(0,M13-M12)</f>
        <v>0</v>
      </c>
      <c r="O13" s="139" t="n">
        <f aca="false">IF(B13&lt;='VALOR POR PL'!$P$5,'CP RESUMO'!L68,"")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HISTORICOS'!M26)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RESUMO'!$D$68:$BW$68,MATCH('VALOR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RESUMO'!M26</f>
        <v>0</v>
      </c>
      <c r="N14" s="140" t="n">
        <f aca="false">MAX(0,M14-M13)</f>
        <v>0</v>
      </c>
      <c r="O14" s="139" t="n">
        <f aca="false">IF(B14&lt;='VALOR POR PL'!$P$5,'CP RESUMO'!M68,"")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RESUMO'!N26</f>
        <v>0</v>
      </c>
      <c r="N15" s="140" t="n">
        <f aca="false">MAX(0,M15-M14)</f>
        <v>0</v>
      </c>
      <c r="O15" s="139" t="n">
        <f aca="false">IF(B15&lt;='VALOR POR PL'!$P$5,'CP RESUMO'!N68,"")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RESUMO'!O26</f>
        <v>0</v>
      </c>
      <c r="N16" s="140" t="n">
        <f aca="false">MAX(0,M16-M15)</f>
        <v>0</v>
      </c>
      <c r="O16" s="139" t="n">
        <f aca="false">IF(B16&lt;='VALOR POR PL'!$P$5,'CP RESUMO'!O68,"")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823490.46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RESUMO'!P26</f>
        <v>0</v>
      </c>
      <c r="N17" s="140" t="n">
        <f aca="false">MAX(0,M17-M16)</f>
        <v>0</v>
      </c>
      <c r="O17" s="139" t="n">
        <f aca="false">IF(B17&lt;='VALOR POR PL'!$P$5,'CP RESUMO'!P68,"")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832736.706684734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RESUMO'!Q26</f>
        <v>0</v>
      </c>
      <c r="N18" s="140" t="n">
        <f aca="false">MAX(0,M18-M17)</f>
        <v>0</v>
      </c>
      <c r="O18" s="139" t="n">
        <f aca="false">IF(B18&lt;='VALOR POR PL'!$P$5,'CP RESUMO'!Q68,"")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0.0112281163338963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RESUMO'!R26</f>
        <v>0</v>
      </c>
      <c r="N19" s="140" t="n">
        <f aca="false">MAX(0,M19-M18)</f>
        <v>0</v>
      </c>
      <c r="O19" s="139" t="n">
        <f aca="false">IF(B19&lt;='VALOR POR PL'!$P$5,'CP RESUMO'!R68,"")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RESUMO'!S26</f>
        <v>0</v>
      </c>
      <c r="N20" s="140" t="n">
        <f aca="false">MAX(0,M20-M19)</f>
        <v>0</v>
      </c>
      <c r="O20" s="139" t="n">
        <f aca="false">IF(B20&lt;='VALOR POR PL'!$P$5,'CP RESUMO'!S68,"")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RESUMO'!T26</f>
        <v>0</v>
      </c>
      <c r="N21" s="140" t="n">
        <f aca="false">MAX(0,M21-M20)</f>
        <v>0</v>
      </c>
      <c r="O21" s="139" t="n">
        <f aca="false">IF(B21&lt;='VALOR POR PL'!$P$5,'CP RESUMO'!T68,"")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RESUMO'!U26</f>
        <v>0</v>
      </c>
      <c r="N22" s="140" t="n">
        <f aca="false">MAX(0,M22-M21)</f>
        <v>0</v>
      </c>
      <c r="O22" s="139" t="n">
        <f aca="false">IF(B22&lt;='VALOR POR PL'!$P$5,'CP RESUMO'!U68,"")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RESUMO'!V26</f>
        <v>0</v>
      </c>
      <c r="N23" s="140" t="n">
        <f aca="false">MAX(0,M23-M22)</f>
        <v>0</v>
      </c>
      <c r="O23" s="139" t="n">
        <f aca="false">IF(B23&lt;='VALOR POR PL'!$P$5,'CP RESUMO'!V68,"")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RESUMO'!W26</f>
        <v>0</v>
      </c>
      <c r="N24" s="140" t="n">
        <f aca="false">MAX(0,M24-M23)</f>
        <v>0</v>
      </c>
      <c r="O24" s="139" t="n">
        <f aca="false">IF(B24&lt;='VALOR POR PL'!$P$5,'CP RESUMO'!W68,"")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RESUMO'!X26</f>
        <v>0</v>
      </c>
      <c r="N25" s="140" t="n">
        <f aca="false">MAX(0,M25-M24)</f>
        <v>0</v>
      </c>
      <c r="O25" s="139" t="n">
        <f aca="false">IF(B25&lt;='VALOR POR PL'!$P$5,'CP RESUMO'!X68,"")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HISTORICOS'!Y26)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RESUMO'!Y26</f>
        <v>0</v>
      </c>
      <c r="N26" s="140" t="n">
        <f aca="false">MAX(0,M26-M25)</f>
        <v>0</v>
      </c>
      <c r="O26" s="139" t="str">
        <f aca="false">IF(B26&lt;='VALOR POR PL'!$P$5,'CP RESUMO'!Y68,"")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HISTORICOS'!Z26)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RESUMO'!Z26</f>
        <v>0</v>
      </c>
      <c r="N27" s="140" t="n">
        <f aca="false">MAX(0,M27-M26)</f>
        <v>0</v>
      </c>
      <c r="O27" s="139" t="str">
        <f aca="false">IF(B27&lt;='VALOR POR PL'!$P$5,'CP RESUMO'!Z68,"")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HISTORICOS'!AA26)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RESUMO'!AA26</f>
        <v>0</v>
      </c>
      <c r="N28" s="140" t="n">
        <f aca="false">MAX(0,M28-M27)</f>
        <v>0</v>
      </c>
      <c r="O28" s="139" t="str">
        <f aca="false">IF(B28&lt;='VALOR POR PL'!$P$5,'CP RESUMO'!AA68,"")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HISTORICOS'!AB26)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RESUMO'!AB26</f>
        <v>0</v>
      </c>
      <c r="N29" s="140" t="n">
        <f aca="false">MAX(0,M29-M28)</f>
        <v>0</v>
      </c>
      <c r="O29" s="139" t="str">
        <f aca="false">IF(B29&lt;='VALOR POR PL'!$P$5,'CP RESUMO'!AB68,"")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HISTORICOS'!AC26)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RESUMO'!AC26</f>
        <v>0</v>
      </c>
      <c r="N30" s="140" t="n">
        <f aca="false">MAX(0,M30-M29)</f>
        <v>0</v>
      </c>
      <c r="O30" s="139" t="str">
        <f aca="false">IF(B30&lt;='VALOR POR PL'!$P$5,'CP RESUMO'!AC68,"")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HISTORICOS'!AD26)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RESUMO'!AD26</f>
        <v>0</v>
      </c>
      <c r="N31" s="140" t="n">
        <f aca="false">MAX(0,M31-M30)</f>
        <v>0</v>
      </c>
      <c r="O31" s="139" t="str">
        <f aca="false">IF(B31&lt;='VALOR POR PL'!$P$5,'CP RESUMO'!AD68,"")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HISTORICOS'!AE26)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RESUMO'!AE26</f>
        <v>0.59</v>
      </c>
      <c r="N32" s="140" t="n">
        <f aca="false">MAX(0,M32-M31)</f>
        <v>0.59</v>
      </c>
      <c r="O32" s="139" t="str">
        <f aca="false">IF(B32&lt;='VALOR POR PL'!$P$5,'CP RESUMO'!AE68,"")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HISTORICOS'!AF26)</f>
        <v>0</v>
      </c>
      <c r="D33" s="45" t="n">
        <f aca="false">IF(B33&lt;='VALOR POR PL'!$P$5,0,IF($K$17&gt;0,$K$18*P33/$K$17,0))</f>
        <v>4913.14281373871</v>
      </c>
      <c r="E33" s="45" t="n">
        <f aca="false">L33+D33/$K$2</f>
        <v>3.78840657430104</v>
      </c>
      <c r="F33" s="117" t="n">
        <f aca="false">IF($K$9=0,0,E33/$K$9)</f>
        <v>0.00589999548992954</v>
      </c>
      <c r="G33" s="117" t="n">
        <f aca="false">G32+F33</f>
        <v>0.00589999548992954</v>
      </c>
      <c r="H33" s="138" t="n">
        <v>4858.59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RESUMO'!AF26</f>
        <v>6.82</v>
      </c>
      <c r="N33" s="140" t="n">
        <f aca="false">MAX(0,M33-M32)</f>
        <v>6.23</v>
      </c>
      <c r="O33" s="139" t="str">
        <f aca="false">IF(B33&lt;='VALOR POR PL'!$P$5,'CP RESUMO'!AF68,"")</f>
        <v/>
      </c>
      <c r="P33" s="66" t="n">
        <f aca="false">IF(B33&lt;='VALOR POR PL'!$P$5,0,IF(OR($K$16="CURVA PREVISION",$K$16="MDO PREVISION + MATERIAL PREMISSA"),N33,IF($K$16="PREVISÃO INFORMADA",MAX(0,H33),0)))</f>
        <v>4858.59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HISTORICOS'!AG26)</f>
        <v>0</v>
      </c>
      <c r="D34" s="45" t="n">
        <f aca="false">IF(B34&lt;='VALOR POR PL'!$P$5,0,IF($K$17&gt;0,$K$18*P34/$K$17,0))</f>
        <v>51879.5012172114</v>
      </c>
      <c r="E34" s="45" t="n">
        <f aca="false">L34+D34/$K$2</f>
        <v>40.0030389780555</v>
      </c>
      <c r="F34" s="117" t="n">
        <f aca="false">IF($K$9=0,0,E34/$K$9)</f>
        <v>0.062300005272678</v>
      </c>
      <c r="G34" s="117" t="n">
        <f aca="false">G33+F34</f>
        <v>0.0682000007626075</v>
      </c>
      <c r="H34" s="138" t="n">
        <v>51303.46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RESUMO'!AG26</f>
        <v>12.76</v>
      </c>
      <c r="N34" s="140" t="n">
        <f aca="false">MAX(0,M34-M33)</f>
        <v>5.94</v>
      </c>
      <c r="O34" s="139" t="str">
        <f aca="false">IF(B34&lt;='VALOR POR PL'!$P$5,'CP RESUMO'!AG68,"")</f>
        <v/>
      </c>
      <c r="P34" s="66" t="n">
        <f aca="false">IF(B34&lt;='VALOR POR PL'!$P$5,0,IF(OR($K$16="CURVA PREVISION",$K$16="MDO PREVISION + MATERIAL PREMISSA"),N34,IF($K$16="PREVISÃO INFORMADA",MAX(0,H34),0)))</f>
        <v>51303.46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HISTORICOS'!AH26)</f>
        <v>0</v>
      </c>
      <c r="D35" s="45" t="n">
        <f aca="false">IF(B35&lt;='VALOR POR PL'!$P$5,0,IF($K$17&gt;0,$K$18*P35/$K$17,0))</f>
        <v>49464.5570157509</v>
      </c>
      <c r="E35" s="45" t="n">
        <f aca="false">L35+D35/$K$2</f>
        <v>38.1409334305025</v>
      </c>
      <c r="F35" s="117" t="n">
        <f aca="false">IF($K$9=0,0,E35/$K$9)</f>
        <v>0.0593999959635234</v>
      </c>
      <c r="G35" s="117" t="n">
        <f aca="false">G34+F35</f>
        <v>0.127599996726131</v>
      </c>
      <c r="H35" s="138" t="n">
        <v>48915.33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RESUMO'!AH26</f>
        <v>19.28</v>
      </c>
      <c r="N35" s="140" t="n">
        <f aca="false">MAX(0,M35-M34)</f>
        <v>6.52</v>
      </c>
      <c r="O35" s="139" t="str">
        <f aca="false">IF(B35&lt;='VALOR POR PL'!$P$5,'CP RESUMO'!AH68,"")</f>
        <v/>
      </c>
      <c r="P35" s="66" t="n">
        <f aca="false">IF(B35&lt;='VALOR POR PL'!$P$5,0,IF(OR($K$16="CURVA PREVISION",$K$16="MDO PREVISION + MATERIAL PREMISSA"),N35,IF($K$16="PREVISÃO INFORMADA",MAX(0,H35),0)))</f>
        <v>48915.33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HISTORICOS'!AI26)</f>
        <v>0</v>
      </c>
      <c r="D36" s="45" t="n">
        <f aca="false">IF(B36&lt;='VALOR POR PL'!$P$5,0,IF($K$17&gt;0,$K$18*P36/$K$17,0))</f>
        <v>54294.4353063907</v>
      </c>
      <c r="E36" s="45" t="n">
        <f aca="false">L36+D36/$K$2</f>
        <v>41.865136728271</v>
      </c>
      <c r="F36" s="117" t="n">
        <f aca="false">IF($K$9=0,0,E36/$K$9)</f>
        <v>0.0652000024384011</v>
      </c>
      <c r="G36" s="117" t="n">
        <f aca="false">G35+F36</f>
        <v>0.192799999164532</v>
      </c>
      <c r="H36" s="138" t="n">
        <v>53691.58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RESUMO'!AI26</f>
        <v>26.58</v>
      </c>
      <c r="N36" s="140" t="n">
        <f aca="false">MAX(0,M36-M35)</f>
        <v>7.3</v>
      </c>
      <c r="O36" s="139" t="str">
        <f aca="false">IF(B36&lt;='VALOR POR PL'!$P$5,'CP RESUMO'!AI68,"")</f>
        <v/>
      </c>
      <c r="P36" s="66" t="n">
        <f aca="false">IF(B36&lt;='VALOR POR PL'!$P$5,0,IF(OR($K$16="CURVA PREVISION",$K$16="MDO PREVISION + MATERIAL PREMISSA"),N36,IF($K$16="PREVISÃO INFORMADA",MAX(0,H36),0)))</f>
        <v>53691.58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HISTORICOS'!AJ26)</f>
        <v>0</v>
      </c>
      <c r="D37" s="45" t="n">
        <f aca="false">IF(B37&lt;='VALOR POR PL'!$P$5,0,IF($K$17&gt;0,$K$18*P37/$K$17,0))</f>
        <v>58624.6657847499</v>
      </c>
      <c r="E37" s="45" t="n">
        <f aca="false">L37+D37/$K$2</f>
        <v>45.20407358282</v>
      </c>
      <c r="F37" s="117" t="n">
        <f aca="false">IF($K$9=0,0,E37/$K$9)</f>
        <v>0.0704000019623785</v>
      </c>
      <c r="G37" s="117" t="n">
        <f aca="false">G36+F37</f>
        <v>0.263200001126911</v>
      </c>
      <c r="H37" s="138" t="n">
        <v>57973.73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RESUMO'!AJ26</f>
        <v>34.26</v>
      </c>
      <c r="N37" s="140" t="n">
        <f aca="false">MAX(0,M37-M36)</f>
        <v>7.68</v>
      </c>
      <c r="O37" s="139" t="str">
        <f aca="false">IF(B37&lt;='VALOR POR PL'!$P$5,'CP RESUMO'!AJ68,"")</f>
        <v/>
      </c>
      <c r="P37" s="66" t="n">
        <f aca="false">IF(B37&lt;='VALOR POR PL'!$P$5,0,IF(OR($K$16="CURVA PREVISION",$K$16="MDO PREVISION + MATERIAL PREMISSA"),N37,IF($K$16="PREVISÃO INFORMADA",MAX(0,H37),0)))</f>
        <v>57973.73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HISTORICOS'!AK26)</f>
        <v>0</v>
      </c>
      <c r="D38" s="45" t="n">
        <f aca="false">IF(B38&lt;='VALOR POR PL'!$P$5,0,IF($K$17&gt;0,$K$18*P38/$K$17,0))</f>
        <v>63371.2593277284</v>
      </c>
      <c r="E38" s="45" t="n">
        <f aca="false">L38+D38/$K$2</f>
        <v>48.8640580093812</v>
      </c>
      <c r="F38" s="117" t="n">
        <f aca="false">IF($K$9=0,0,E38/$K$9)</f>
        <v>0.0760999951353413</v>
      </c>
      <c r="G38" s="117" t="n">
        <f aca="false">G37+F38</f>
        <v>0.339299996262252</v>
      </c>
      <c r="H38" s="138" t="n">
        <v>62667.62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RESUMO'!AK26</f>
        <v>41.25</v>
      </c>
      <c r="N38" s="140" t="n">
        <f aca="false">MAX(0,M38-M37)</f>
        <v>6.99</v>
      </c>
      <c r="O38" s="139" t="str">
        <f aca="false">IF(B38&lt;='VALOR POR PL'!$P$5,'CP RESUMO'!AK68,"")</f>
        <v/>
      </c>
      <c r="P38" s="66" t="n">
        <f aca="false">IF(B38&lt;='VALOR POR PL'!$P$5,0,IF(OR($K$16="CURVA PREVISION",$K$16="MDO PREVISION + MATERIAL PREMISSA"),N38,IF($K$16="PREVISÃO INFORMADA",MAX(0,H38),0)))</f>
        <v>62667.62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HISTORICOS'!AL26)</f>
        <v>0</v>
      </c>
      <c r="D39" s="45" t="n">
        <f aca="false">IF(B39&lt;='VALOR POR PL'!$P$5,0,IF($K$17&gt;0,$K$18*P39/$K$17,0))</f>
        <v>59290.8527555095</v>
      </c>
      <c r="E39" s="45" t="n">
        <f aca="false">L39+D39/$K$2</f>
        <v>45.717754376442</v>
      </c>
      <c r="F39" s="117" t="n">
        <f aca="false">IF($K$9=0,0,E39/$K$9)</f>
        <v>0.0711999990868139</v>
      </c>
      <c r="G39" s="117" t="n">
        <f aca="false">G38+F39</f>
        <v>0.410499995349066</v>
      </c>
      <c r="H39" s="138" t="n">
        <v>58632.52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RESUMO'!AL26</f>
        <v>51.31</v>
      </c>
      <c r="N39" s="140" t="n">
        <f aca="false">MAX(0,M39-M38)</f>
        <v>10.06</v>
      </c>
      <c r="O39" s="139" t="str">
        <f aca="false">IF(B39&lt;='VALOR POR PL'!$P$5,'CP RESUMO'!AL68,"")</f>
        <v/>
      </c>
      <c r="P39" s="66" t="n">
        <f aca="false">IF(B39&lt;='VALOR POR PL'!$P$5,0,IF(OR($K$16="CURVA PREVISION",$K$16="MDO PREVISION + MATERIAL PREMISSA"),N39,IF($K$16="PREVISÃO INFORMADA",MAX(0,H39),0)))</f>
        <v>58632.52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HISTORICOS'!AM26)</f>
        <v>0</v>
      </c>
      <c r="D40" s="45" t="n">
        <f aca="false">IF(B40&lt;='VALOR POR PL'!$P$5,0,IF($K$17&gt;0,$K$18*P40/$K$17,0))</f>
        <v>71282.2586783071</v>
      </c>
      <c r="E40" s="45" t="n">
        <f aca="false">L40+D40/$K$2</f>
        <v>54.9640398509873</v>
      </c>
      <c r="F40" s="117" t="n">
        <f aca="false">IF($K$9=0,0,E40/$K$9)</f>
        <v>0.0855999959003775</v>
      </c>
      <c r="G40" s="117" t="n">
        <f aca="false">G39+F40</f>
        <v>0.496099991249443</v>
      </c>
      <c r="H40" s="138" t="n">
        <v>70490.78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RESUMO'!AM26</f>
        <v>59.31</v>
      </c>
      <c r="N40" s="140" t="n">
        <f aca="false">MAX(0,M40-M39)</f>
        <v>8</v>
      </c>
      <c r="O40" s="139" t="str">
        <f aca="false">IF(B40&lt;='VALOR POR PL'!$P$5,'CP RESUMO'!AM68,"")</f>
        <v/>
      </c>
      <c r="P40" s="66" t="n">
        <f aca="false">IF(B40&lt;='VALOR POR PL'!$P$5,0,IF(OR($K$16="CURVA PREVISION",$K$16="MDO PREVISION + MATERIAL PREMISSA"),N40,IF($K$16="PREVISÃO INFORMADA",MAX(0,H40),0)))</f>
        <v>70490.78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HISTORICOS'!AN26)</f>
        <v>0</v>
      </c>
      <c r="D41" s="45" t="n">
        <f aca="false">IF(B41&lt;='VALOR POR PL'!$P$5,0,IF($K$17&gt;0,$K$18*P41/$K$17,0))</f>
        <v>68534.2361598886</v>
      </c>
      <c r="E41" s="45" t="n">
        <f aca="false">L41+D41/$K$2</f>
        <v>52.8451056026295</v>
      </c>
      <c r="F41" s="117" t="n">
        <f aca="false">IF($K$9=0,0,E41/$K$9)</f>
        <v>0.0823000062441525</v>
      </c>
      <c r="G41" s="117" t="n">
        <f aca="false">G40+F41</f>
        <v>0.578399997493596</v>
      </c>
      <c r="H41" s="138" t="n">
        <v>67773.27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RESUMO'!AN26</f>
        <v>65.85</v>
      </c>
      <c r="N41" s="140" t="n">
        <f aca="false">MAX(0,M41-M40)</f>
        <v>6.53999999999999</v>
      </c>
      <c r="O41" s="139" t="str">
        <f aca="false">IF(B41&lt;='VALOR POR PL'!$P$5,'CP RESUMO'!AN68,"")</f>
        <v/>
      </c>
      <c r="P41" s="66" t="n">
        <f aca="false">IF(B41&lt;='VALOR POR PL'!$P$5,0,IF(OR($K$16="CURVA PREVISION",$K$16="MDO PREVISION + MATERIAL PREMISSA"),N41,IF($K$16="PREVISÃO INFORMADA",MAX(0,H41),0)))</f>
        <v>67773.27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HISTORICOS'!AO26)</f>
        <v>0</v>
      </c>
      <c r="D42" s="45" t="n">
        <f aca="false">IF(B42&lt;='VALOR POR PL'!$P$5,0,IF($K$17&gt;0,$K$18*P42/$K$17,0))</f>
        <v>61122.8745093093</v>
      </c>
      <c r="E42" s="45" t="n">
        <f aca="false">L42+D42/$K$2</f>
        <v>47.1303824069055</v>
      </c>
      <c r="F42" s="117" t="n">
        <f aca="false">IF($K$9=0,0,E42/$K$9)</f>
        <v>0.073400000286585</v>
      </c>
      <c r="G42" s="117" t="n">
        <f aca="false">G41+F42</f>
        <v>0.651799997780181</v>
      </c>
      <c r="H42" s="138" t="n">
        <v>60444.2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RESUMO'!AO26</f>
        <v>74.56</v>
      </c>
      <c r="N42" s="140" t="n">
        <f aca="false">MAX(0,M42-M41)</f>
        <v>8.71000000000001</v>
      </c>
      <c r="O42" s="139" t="str">
        <f aca="false">IF(B42&lt;='VALOR POR PL'!$P$5,'CP RESUMO'!AO68,"")</f>
        <v/>
      </c>
      <c r="P42" s="66" t="n">
        <f aca="false">IF(B42&lt;='VALOR POR PL'!$P$5,0,IF(OR($K$16="CURVA PREVISION",$K$16="MDO PREVISION + MATERIAL PREMISSA"),N42,IF($K$16="PREVISÃO INFORMADA",MAX(0,H42),0)))</f>
        <v>60444.2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HISTORICOS'!AP26)</f>
        <v>0</v>
      </c>
      <c r="D43" s="45" t="n">
        <f aca="false">IF(B43&lt;='VALOR POR PL'!$P$5,0,IF($K$17&gt;0,$K$18*P43/$K$17,0))</f>
        <v>61206.1491446894</v>
      </c>
      <c r="E43" s="45" t="n">
        <f aca="false">L43+D43/$K$2</f>
        <v>47.1945934807755</v>
      </c>
      <c r="F43" s="117" t="n">
        <f aca="false">IF($K$9=0,0,E43/$K$9)</f>
        <v>0.0735000014450684</v>
      </c>
      <c r="G43" s="117" t="n">
        <f aca="false">G42+F43</f>
        <v>0.725299999225249</v>
      </c>
      <c r="H43" s="138" t="n">
        <v>60526.55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RESUMO'!AP26</f>
        <v>90.28</v>
      </c>
      <c r="N43" s="140" t="n">
        <f aca="false">MAX(0,M43-M42)</f>
        <v>15.72</v>
      </c>
      <c r="O43" s="139" t="str">
        <f aca="false">IF(B43&lt;='VALOR POR PL'!$P$5,'CP RESUMO'!AP68,"")</f>
        <v/>
      </c>
      <c r="P43" s="66" t="n">
        <f aca="false">IF(B43&lt;='VALOR POR PL'!$P$5,0,IF(OR($K$16="CURVA PREVISION",$K$16="MDO PREVISION + MATERIAL PREMISSA"),N43,IF($K$16="PREVISÃO INFORMADA",MAX(0,H43),0)))</f>
        <v>60526.55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HISTORICOS'!AQ26)</f>
        <v>0</v>
      </c>
      <c r="D44" s="45" t="n">
        <f aca="false">IF(B44&lt;='VALOR POR PL'!$P$5,0,IF($K$17&gt;0,$K$18*P44/$K$17,0))</f>
        <v>69117.1484952681</v>
      </c>
      <c r="E44" s="45" t="n">
        <f aca="false">L44+D44/$K$2</f>
        <v>53.2945753223815</v>
      </c>
      <c r="F44" s="117" t="n">
        <f aca="false">IF($K$9=0,0,E44/$K$9)</f>
        <v>0.0830000022101045</v>
      </c>
      <c r="G44" s="117" t="n">
        <f aca="false">G43+F44</f>
        <v>0.808300001435354</v>
      </c>
      <c r="H44" s="138" t="n">
        <v>68349.71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RESUMO'!AQ26</f>
        <v>92.38</v>
      </c>
      <c r="N44" s="140" t="n">
        <f aca="false">MAX(0,M44-M43)</f>
        <v>2.09999999999999</v>
      </c>
      <c r="O44" s="139" t="str">
        <f aca="false">IF(B44&lt;='VALOR POR PL'!$P$5,'CP RESUMO'!AQ68,"")</f>
        <v/>
      </c>
      <c r="P44" s="66" t="n">
        <f aca="false">IF(B44&lt;='VALOR POR PL'!$P$5,0,IF(OR($K$16="CURVA PREVISION",$K$16="MDO PREVISION + MATERIAL PREMISSA"),N44,IF($K$16="PREVISÃO INFORMADA",MAX(0,H44),0)))</f>
        <v>68349.71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HISTORICOS'!AR26)</f>
        <v>0</v>
      </c>
      <c r="D45" s="45" t="n">
        <f aca="false">IF(B45&lt;='VALOR POR PL'!$P$5,0,IF($K$17&gt;0,$K$18*P45/$K$17,0))</f>
        <v>86771.1689502252</v>
      </c>
      <c r="E45" s="45" t="n">
        <f aca="false">L45+D45/$K$2</f>
        <v>66.9071670360572</v>
      </c>
      <c r="F45" s="117" t="n">
        <f aca="false">IF($K$9=0,0,E45/$K$9)</f>
        <v>0.104200004939948</v>
      </c>
      <c r="G45" s="117" t="n">
        <f aca="false">G44+F45</f>
        <v>0.912500006375302</v>
      </c>
      <c r="H45" s="138" t="n">
        <v>85807.71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RESUMO'!AR26</f>
        <v>95.4</v>
      </c>
      <c r="N45" s="140" t="n">
        <f aca="false">MAX(0,M45-M44)</f>
        <v>3.02000000000001</v>
      </c>
      <c r="O45" s="139" t="str">
        <f aca="false">IF(B45&lt;='VALOR POR PL'!$P$5,'CP RESUMO'!AR68,"")</f>
        <v/>
      </c>
      <c r="P45" s="66" t="n">
        <f aca="false">IF(B45&lt;='VALOR POR PL'!$P$5,0,IF(OR($K$16="CURVA PREVISION",$K$16="MDO PREVISION + MATERIAL PREMISSA"),N45,IF($K$16="PREVISÃO INFORMADA",MAX(0,H45),0)))</f>
        <v>85807.71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HISTORICOS'!AS26)</f>
        <v>0</v>
      </c>
      <c r="D46" s="45" t="n">
        <f aca="false">IF(B46&lt;='VALOR POR PL'!$P$5,0,IF($K$17&gt;0,$K$18*P46/$K$17,0))</f>
        <v>33559.2937914946</v>
      </c>
      <c r="E46" s="45" t="n">
        <f aca="false">L46+D46/$K$2</f>
        <v>25.8767664707578</v>
      </c>
      <c r="F46" s="117" t="n">
        <f aca="false">IF($K$9=0,0,E46/$K$9)</f>
        <v>0.0403000054183991</v>
      </c>
      <c r="G46" s="117" t="n">
        <f aca="false">G45+F46</f>
        <v>0.952800011793701</v>
      </c>
      <c r="H46" s="138" t="n">
        <v>33186.67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RESUMO'!AS26</f>
        <v>97.82</v>
      </c>
      <c r="N46" s="140" t="n">
        <f aca="false">MAX(0,M46-M45)</f>
        <v>2.41999999999999</v>
      </c>
      <c r="O46" s="139" t="str">
        <f aca="false">IF(B46&lt;='VALOR POR PL'!$P$5,'CP RESUMO'!AS68,"")</f>
        <v/>
      </c>
      <c r="P46" s="66" t="n">
        <f aca="false">IF(B46&lt;='VALOR POR PL'!$P$5,0,IF(OR($K$16="CURVA PREVISION",$K$16="MDO PREVISION + MATERIAL PREMISSA"),N46,IF($K$16="PREVISÃO INFORMADA",MAX(0,H46),0)))</f>
        <v>33186.67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HISTORICOS'!AT26)</f>
        <v>0</v>
      </c>
      <c r="D47" s="45" t="n">
        <f aca="false">IF(B47&lt;='VALOR POR PL'!$P$5,0,IF($K$17&gt;0,$K$18*P47/$K$17,0))</f>
        <v>7994.27398595878</v>
      </c>
      <c r="E47" s="45" t="n">
        <f aca="false">L47+D47/$K$2</f>
        <v>6.16419291547602</v>
      </c>
      <c r="F47" s="117" t="n">
        <f aca="false">IF($K$9=0,0,E47/$K$9)</f>
        <v>0.00960000192351955</v>
      </c>
      <c r="G47" s="117" t="n">
        <f aca="false">G46+F47</f>
        <v>0.96240001371722</v>
      </c>
      <c r="H47" s="138" t="n">
        <v>7905.51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RESUMO'!AT26</f>
        <v>98.09</v>
      </c>
      <c r="N47" s="140" t="n">
        <f aca="false">MAX(0,M47-M46)</f>
        <v>0.27000000000001</v>
      </c>
      <c r="O47" s="139" t="str">
        <f aca="false">IF(B47&lt;='VALOR POR PL'!$P$5,'CP RESUMO'!AT68,"")</f>
        <v/>
      </c>
      <c r="P47" s="66" t="n">
        <f aca="false">IF(B47&lt;='VALOR POR PL'!$P$5,0,IF(OR($K$16="CURVA PREVISION",$K$16="MDO PREVISION + MATERIAL PREMISSA"),N47,IF($K$16="PREVISÃO INFORMADA",MAX(0,H47),0)))</f>
        <v>7905.51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HISTORICOS'!AU26)</f>
        <v>0</v>
      </c>
      <c r="D48" s="45" t="n">
        <f aca="false">IF(B48&lt;='VALOR POR PL'!$P$5,0,IF($K$17&gt;0,$K$18*P48/$K$17,0))</f>
        <v>15405.6255242569</v>
      </c>
      <c r="E48" s="45" t="n">
        <f aca="false">L48+D48/$K$2</f>
        <v>11.8789083138625</v>
      </c>
      <c r="F48" s="117" t="n">
        <f aca="false">IF($K$9=0,0,E48/$K$9)</f>
        <v>0.0184999957376555</v>
      </c>
      <c r="G48" s="117" t="n">
        <f aca="false">G47+F48</f>
        <v>0.980900009454876</v>
      </c>
      <c r="H48" s="138" t="n">
        <v>15234.57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RESUMO'!AU26</f>
        <v>98.37</v>
      </c>
      <c r="N48" s="140" t="n">
        <f aca="false">MAX(0,M48-M47)</f>
        <v>0.280000000000001</v>
      </c>
      <c r="O48" s="139" t="str">
        <f aca="false">IF(B48&lt;='VALOR POR PL'!$P$5,'CP RESUMO'!AU68,"")</f>
        <v/>
      </c>
      <c r="P48" s="66" t="n">
        <f aca="false">IF(B48&lt;='VALOR POR PL'!$P$5,0,IF(OR($K$16="CURVA PREVISION",$K$16="MDO PREVISION + MATERIAL PREMISSA"),N48,IF($K$16="PREVISÃO INFORMADA",MAX(0,H48),0)))</f>
        <v>15234.57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HISTORICOS'!AV26)</f>
        <v>0</v>
      </c>
      <c r="D49" s="45" t="n">
        <f aca="false">IF(B49&lt;='VALOR POR PL'!$P$5,0,IF($K$17&gt;0,$K$18*P49/$K$17,0))</f>
        <v>2331.65945379921</v>
      </c>
      <c r="E49" s="45" t="n">
        <f aca="false">L49+D49/$K$2</f>
        <v>1.79788667634563</v>
      </c>
      <c r="F49" s="117" t="n">
        <f aca="false">IF($K$9=0,0,E49/$K$9)</f>
        <v>0.00279999600723972</v>
      </c>
      <c r="G49" s="117" t="n">
        <f aca="false">G48+F49</f>
        <v>0.983700005462116</v>
      </c>
      <c r="H49" s="138" t="n">
        <v>2305.77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RESUMO'!AV26</f>
        <v>98.66</v>
      </c>
      <c r="N49" s="140" t="n">
        <f aca="false">MAX(0,M49-M48)</f>
        <v>0.289999999999992</v>
      </c>
      <c r="O49" s="139" t="str">
        <f aca="false">IF(B49&lt;='VALOR POR PL'!$P$5,'CP RESUMO'!AV68,"")</f>
        <v/>
      </c>
      <c r="P49" s="66" t="n">
        <f aca="false">IF(B49&lt;='VALOR POR PL'!$P$5,0,IF(OR($K$16="CURVA PREVISION",$K$16="MDO PREVISION + MATERIAL PREMISSA"),N49,IF($K$16="PREVISÃO INFORMADA",MAX(0,H49),0)))</f>
        <v>2305.77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HISTORICOS'!AW26)</f>
        <v>0</v>
      </c>
      <c r="D50" s="45" t="n">
        <f aca="false">IF(B50&lt;='VALOR POR PL'!$P$5,0,IF($K$17&gt;0,$K$18*P50/$K$17,0))</f>
        <v>2331.65945379921</v>
      </c>
      <c r="E50" s="45" t="n">
        <f aca="false">L50+D50/$K$2</f>
        <v>1.79788667634563</v>
      </c>
      <c r="F50" s="117" t="n">
        <f aca="false">IF($K$9=0,0,E50/$K$9)</f>
        <v>0.00279999600723972</v>
      </c>
      <c r="G50" s="117" t="n">
        <f aca="false">G49+F50</f>
        <v>0.986500001469355</v>
      </c>
      <c r="H50" s="138" t="n">
        <v>2305.77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RESUMO'!AW26</f>
        <v>98.93</v>
      </c>
      <c r="N50" s="140" t="n">
        <f aca="false">MAX(0,M50-M49)</f>
        <v>0.27000000000001</v>
      </c>
      <c r="O50" s="139" t="str">
        <f aca="false">IF(B50&lt;='VALOR POR PL'!$P$5,'CP RESUMO'!AW68,"")</f>
        <v/>
      </c>
      <c r="P50" s="66" t="n">
        <f aca="false">IF(B50&lt;='VALOR POR PL'!$P$5,0,IF(OR($K$16="CURVA PREVISION",$K$16="MDO PREVISION + MATERIAL PREMISSA"),N50,IF($K$16="PREVISÃO INFORMADA",MAX(0,H50),0)))</f>
        <v>2305.77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HISTORICOS'!AX26)</f>
        <v>0</v>
      </c>
      <c r="D51" s="45" t="n">
        <f aca="false">IF(B51&lt;='VALOR POR PL'!$P$5,0,IF($K$17&gt;0,$K$18*P51/$K$17,0))</f>
        <v>2248.38481841911</v>
      </c>
      <c r="E51" s="45" t="n">
        <f aca="false">L51+D51/$K$2</f>
        <v>1.7336756024757</v>
      </c>
      <c r="F51" s="117" t="n">
        <f aca="false">IF($K$9=0,0,E51/$K$9)</f>
        <v>0.00269999484875635</v>
      </c>
      <c r="G51" s="117" t="n">
        <f aca="false">G50+F51</f>
        <v>0.989199996318112</v>
      </c>
      <c r="H51" s="138" t="n">
        <v>2223.42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RESUMO'!AX26</f>
        <v>99.22</v>
      </c>
      <c r="N51" s="140" t="n">
        <f aca="false">MAX(0,M51-M50)</f>
        <v>0.289999999999992</v>
      </c>
      <c r="O51" s="139" t="str">
        <f aca="false">IF(B51&lt;='VALOR POR PL'!$P$5,'CP RESUMO'!AX68,"")</f>
        <v/>
      </c>
      <c r="P51" s="66" t="n">
        <f aca="false">IF(B51&lt;='VALOR POR PL'!$P$5,0,IF(OR($K$16="CURVA PREVISION",$K$16="MDO PREVISION + MATERIAL PREMISSA"),N51,IF($K$16="PREVISÃO INFORMADA",MAX(0,H51),0)))</f>
        <v>2223.42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HISTORICOS'!AY26)</f>
        <v>0</v>
      </c>
      <c r="D52" s="45" t="n">
        <f aca="false">IF(B52&lt;='VALOR POR PL'!$P$5,0,IF($K$17&gt;0,$K$18*P52/$K$17,0))</f>
        <v>2331.65945379921</v>
      </c>
      <c r="E52" s="45" t="n">
        <f aca="false">L52+D52/$K$2</f>
        <v>1.79788667634563</v>
      </c>
      <c r="F52" s="117" t="n">
        <f aca="false">IF($K$9=0,0,E52/$K$9)</f>
        <v>0.00279999600723972</v>
      </c>
      <c r="G52" s="117" t="n">
        <f aca="false">G51+F52</f>
        <v>0.991999992325351</v>
      </c>
      <c r="H52" s="138" t="n">
        <v>2305.77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RESUMO'!AY26</f>
        <v>99.51</v>
      </c>
      <c r="N52" s="140" t="n">
        <f aca="false">MAX(0,M52-M51)</f>
        <v>0.290000000000006</v>
      </c>
      <c r="O52" s="139" t="str">
        <f aca="false">IF(B52&lt;='VALOR POR PL'!$P$5,'CP RESUMO'!AY68,"")</f>
        <v/>
      </c>
      <c r="P52" s="66" t="n">
        <f aca="false">IF(B52&lt;='VALOR POR PL'!$P$5,0,IF(OR($K$16="CURVA PREVISION",$K$16="MDO PREVISION + MATERIAL PREMISSA"),N52,IF($K$16="PREVISÃO INFORMADA",MAX(0,H52),0)))</f>
        <v>2305.77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HISTORICOS'!AZ26)</f>
        <v>0</v>
      </c>
      <c r="D53" s="45" t="n">
        <f aca="false">IF(B53&lt;='VALOR POR PL'!$P$5,0,IF($K$17&gt;0,$K$18*P53/$K$17,0))</f>
        <v>2248.38481841911</v>
      </c>
      <c r="E53" s="45" t="n">
        <f aca="false">L53+D53/$K$2</f>
        <v>1.7336756024757</v>
      </c>
      <c r="F53" s="117" t="n">
        <f aca="false">IF($K$9=0,0,E53/$K$9)</f>
        <v>0.00269999484875635</v>
      </c>
      <c r="G53" s="117" t="n">
        <f aca="false">G52+F53</f>
        <v>0.994699987174108</v>
      </c>
      <c r="H53" s="138" t="n">
        <v>2223.42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RESUMO'!AZ26</f>
        <v>99.7</v>
      </c>
      <c r="N53" s="140" t="n">
        <f aca="false">MAX(0,M53-M52)</f>
        <v>0.189999999999998</v>
      </c>
      <c r="O53" s="139" t="str">
        <f aca="false">IF(B53&lt;='VALOR POR PL'!$P$5,'CP RESUMO'!AZ68,"")</f>
        <v/>
      </c>
      <c r="P53" s="66" t="n">
        <f aca="false">IF(B53&lt;='VALOR POR PL'!$P$5,0,IF(OR($K$16="CURVA PREVISION",$K$16="MDO PREVISION + MATERIAL PREMISSA"),N53,IF($K$16="PREVISÃO INFORMADA",MAX(0,H53),0)))</f>
        <v>2223.42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HISTORICOS'!BA26)</f>
        <v>0</v>
      </c>
      <c r="D54" s="45" t="n">
        <f aca="false">IF(B54&lt;='VALOR POR PL'!$P$5,0,IF($K$17&gt;0,$K$18*P54/$K$17,0))</f>
        <v>1915.29638917989</v>
      </c>
      <c r="E54" s="45" t="n">
        <f aca="false">L54+D54/$K$2</f>
        <v>1.47683910433344</v>
      </c>
      <c r="F54" s="117" t="n">
        <f aca="false">IF($K$9=0,0,E54/$K$9)</f>
        <v>0.0023000023582544</v>
      </c>
      <c r="G54" s="117" t="n">
        <f aca="false">G53+F54</f>
        <v>0.996999989532362</v>
      </c>
      <c r="H54" s="138" t="n">
        <v>1894.03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RESUMO'!BA26</f>
        <v>99.96</v>
      </c>
      <c r="N54" s="140" t="n">
        <f aca="false">MAX(0,M54-M53)</f>
        <v>0.259999999999991</v>
      </c>
      <c r="O54" s="139" t="str">
        <f aca="false">IF(B54&lt;='VALOR POR PL'!$P$5,'CP RESUMO'!BA68,"")</f>
        <v/>
      </c>
      <c r="P54" s="66" t="n">
        <f aca="false">IF(B54&lt;='VALOR POR PL'!$P$5,0,IF(OR($K$16="CURVA PREVISION",$K$16="MDO PREVISION + MATERIAL PREMISSA"),N54,IF($K$16="PREVISÃO INFORMADA",MAX(0,H54),0)))</f>
        <v>1894.03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HISTORICOS'!BB26)</f>
        <v>0</v>
      </c>
      <c r="D55" s="45" t="n">
        <f aca="false">IF(B55&lt;='VALOR POR PL'!$P$5,0,IF($K$17&gt;0,$K$18*P55/$K$17,0))</f>
        <v>2165.12029532018</v>
      </c>
      <c r="E55" s="45" t="n">
        <f aca="false">L55+D55/$K$2</f>
        <v>1.66947232594322</v>
      </c>
      <c r="F55" s="117" t="n">
        <f aca="false">IF($K$9=0,0,E55/$K$9)</f>
        <v>0.0026000058337045</v>
      </c>
      <c r="G55" s="117" t="n">
        <f aca="false">G54+F55</f>
        <v>0.999599995366067</v>
      </c>
      <c r="H55" s="138" t="n">
        <v>2141.08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RESUMO'!BB26</f>
        <v>100</v>
      </c>
      <c r="N55" s="140" t="n">
        <f aca="false">MAX(0,M55-M54)</f>
        <v>0.0400000000000063</v>
      </c>
      <c r="O55" s="139" t="str">
        <f aca="false">IF(B55&lt;='VALOR POR PL'!$P$5,'CP RESUMO'!BB68,"")</f>
        <v/>
      </c>
      <c r="P55" s="66" t="n">
        <f aca="false">IF(B55&lt;='VALOR POR PL'!$P$5,0,IF(OR($K$16="CURVA PREVISION",$K$16="MDO PREVISION + MATERIAL PREMISSA"),N55,IF($K$16="PREVISÃO INFORMADA",MAX(0,H55),0)))</f>
        <v>2141.08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HISTORICOS'!BC26)</f>
        <v>0</v>
      </c>
      <c r="D56" s="45" t="n">
        <f aca="false">IF(B56&lt;='VALOR POR PL'!$P$5,0,IF($K$17&gt;0,$K$18*P56/$K$17,0))</f>
        <v>333.098541520385</v>
      </c>
      <c r="E56" s="45" t="n">
        <f aca="false">L56+D56/$K$2</f>
        <v>0.25684429547971</v>
      </c>
      <c r="F56" s="117" t="n">
        <f aca="false">IF($K$9=0,0,E56/$K$9)</f>
        <v>0.000400004633933464</v>
      </c>
      <c r="G56" s="117" t="n">
        <f aca="false">G55+F56</f>
        <v>1</v>
      </c>
      <c r="H56" s="138" t="n">
        <v>329.4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RESUMO'!BC26</f>
        <v>100</v>
      </c>
      <c r="N56" s="140" t="n">
        <f aca="false">MAX(0,M56-M55)</f>
        <v>0</v>
      </c>
      <c r="O56" s="139" t="str">
        <f aca="false">IF(B56&lt;='VALOR POR PL'!$P$5,'CP RESUMO'!BC68,"")</f>
        <v/>
      </c>
      <c r="P56" s="66" t="n">
        <f aca="false">IF(B56&lt;='VALOR POR PL'!$P$5,0,IF(OR($K$16="CURVA PREVISION",$K$16="MDO PREVISION + MATERIAL PREMISSA"),N56,IF($K$16="PREVISÃO INFORMADA",MAX(0,H56),0)))</f>
        <v>329.4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RESUMO'!BD26</f>
        <v>100</v>
      </c>
      <c r="N57" s="140" t="n">
        <f aca="false">MAX(0,M57-M56)</f>
        <v>0</v>
      </c>
      <c r="O57" s="139" t="str">
        <f aca="false">IF(B57&lt;='VALOR POR PL'!$P$5,'CP RESUMO'!BD68,"")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RESUMO'!BE26</f>
        <v>100</v>
      </c>
      <c r="N58" s="140" t="n">
        <f aca="false">MAX(0,M58-M57)</f>
        <v>0</v>
      </c>
      <c r="O58" s="139" t="str">
        <f aca="false">IF(B58&lt;='VALOR POR PL'!$P$5,'CP RESUMO'!BE68,"")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RESUMO'!BF26</f>
        <v>100</v>
      </c>
      <c r="N59" s="140" t="n">
        <f aca="false">MAX(0,M59-M58)</f>
        <v>0</v>
      </c>
      <c r="O59" s="139" t="str">
        <f aca="false">IF(B59&lt;='VALOR POR PL'!$P$5,'CP RESUMO'!BF68,"")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RESUMO'!BG26</f>
        <v>100</v>
      </c>
      <c r="N60" s="140" t="n">
        <f aca="false">MAX(0,M60-M59)</f>
        <v>0</v>
      </c>
      <c r="O60" s="139" t="str">
        <f aca="false">IF(B60&lt;='VALOR POR PL'!$P$5,'CP RESUMO'!BG68,"")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RESUMO'!BH26</f>
        <v>100</v>
      </c>
      <c r="N61" s="140" t="n">
        <f aca="false">MAX(0,M61-M60)</f>
        <v>0</v>
      </c>
      <c r="O61" s="139" t="str">
        <f aca="false">IF(B61&lt;='VALOR POR PL'!$P$5,'CP RESUMO'!BH68,"")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RESUMO'!BI26</f>
        <v>100</v>
      </c>
      <c r="N62" s="140" t="n">
        <f aca="false">MAX(0,M62-M61)</f>
        <v>0</v>
      </c>
      <c r="O62" s="139" t="str">
        <f aca="false">IF(B62&lt;='VALOR POR PL'!$P$5,'CP RESUMO'!BI68,"")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RESUMO'!BJ26</f>
        <v>100</v>
      </c>
      <c r="N63" s="140" t="n">
        <f aca="false">MAX(0,M63-M62)</f>
        <v>0</v>
      </c>
      <c r="O63" s="139" t="str">
        <f aca="false">IF(B63&lt;='VALOR POR PL'!$P$5,'CP RESUMO'!BJ68,"")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RESUMO'!BK26</f>
        <v>100</v>
      </c>
      <c r="N64" s="140" t="n">
        <f aca="false">MAX(0,M64-M63)</f>
        <v>0</v>
      </c>
      <c r="O64" s="139" t="str">
        <f aca="false">IF(B64&lt;='VALOR POR PL'!$P$5,'CP RESUMO'!BK68,"")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RESUMO'!BL26</f>
        <v>100</v>
      </c>
      <c r="N65" s="140" t="n">
        <f aca="false">MAX(0,M65-M64)</f>
        <v>0</v>
      </c>
      <c r="O65" s="139" t="str">
        <f aca="false">IF(B65&lt;='VALOR POR PL'!$P$5,'CP RESUMO'!BL68,"")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RESUMO'!BM26</f>
        <v>100</v>
      </c>
      <c r="N66" s="140" t="n">
        <f aca="false">MAX(0,M66-M65)</f>
        <v>0</v>
      </c>
      <c r="O66" s="139" t="str">
        <f aca="false">IF(B66&lt;='VALOR POR PL'!$P$5,'CP RESUMO'!BM68,"")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RESUMO'!BN26</f>
        <v>100</v>
      </c>
      <c r="N67" s="140" t="n">
        <f aca="false">MAX(0,M67-M66)</f>
        <v>0</v>
      </c>
      <c r="O67" s="139" t="str">
        <f aca="false">IF(B67&lt;='VALOR POR PL'!$P$5,'CP RESUMO'!BN68,"")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RESUMO'!BO26</f>
        <v>100</v>
      </c>
      <c r="N68" s="140" t="n">
        <f aca="false">MAX(0,M68-M67)</f>
        <v>0</v>
      </c>
      <c r="O68" s="139" t="str">
        <f aca="false">IF(B68&lt;='VALOR POR PL'!$P$5,'CP RESUMO'!BO68,"")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RESUMO'!BP26</f>
        <v>100</v>
      </c>
      <c r="N69" s="140" t="n">
        <f aca="false">MAX(0,M69-M68)</f>
        <v>0</v>
      </c>
      <c r="O69" s="139" t="str">
        <f aca="false">IF(B69&lt;='VALOR POR PL'!$P$5,'CP RESUMO'!BP68,"")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RESUMO'!BQ26</f>
        <v>100</v>
      </c>
      <c r="N70" s="140" t="n">
        <f aca="false">MAX(0,M70-M69)</f>
        <v>0</v>
      </c>
      <c r="O70" s="139" t="str">
        <f aca="false">IF(B70&lt;='VALOR POR PL'!$P$5,'CP RESUMO'!BQ68,"")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RESUMO'!BR26</f>
        <v>100</v>
      </c>
      <c r="N71" s="140" t="n">
        <f aca="false">MAX(0,M71-M70)</f>
        <v>0</v>
      </c>
      <c r="O71" s="139" t="str">
        <f aca="false">IF(B71&lt;='VALOR POR PL'!$P$5,'CP RESUMO'!BR68,"")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RESUMO'!BS26</f>
        <v>100</v>
      </c>
      <c r="N72" s="140" t="n">
        <f aca="false">MAX(0,M72-M71)</f>
        <v>0</v>
      </c>
      <c r="O72" s="139" t="str">
        <f aca="false">IF(B72&lt;='VALOR POR PL'!$P$5,'CP RESUMO'!BS68,"")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RESUMO'!BT26</f>
        <v>100</v>
      </c>
      <c r="N73" s="140" t="n">
        <f aca="false">MAX(0,M73-M72)</f>
        <v>0</v>
      </c>
      <c r="O73" s="139" t="str">
        <f aca="false">IF(B73&lt;='VALOR POR PL'!$P$5,'CP RESUMO'!BT68,"")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RESUMO'!BU26</f>
        <v>100</v>
      </c>
      <c r="N74" s="140" t="n">
        <f aca="false">MAX(0,M74-M73)</f>
        <v>0</v>
      </c>
      <c r="O74" s="139" t="str">
        <f aca="false">IF(B74&lt;='VALOR POR PL'!$P$5,'CP RESUMO'!BU68,"")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RESUMO'!BV26</f>
        <v>100</v>
      </c>
      <c r="N75" s="140" t="n">
        <f aca="false">MAX(0,M75-M74)</f>
        <v>0</v>
      </c>
      <c r="O75" s="139" t="str">
        <f aca="false">IF(B75&lt;='VALOR POR PL'!$P$5,'CP RESUMO'!BV68,"")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RESUMO'!BW26</f>
        <v>100</v>
      </c>
      <c r="N76" s="140" t="n">
        <f aca="false">MAX(0,M76-M75)</f>
        <v>0</v>
      </c>
      <c r="O76" s="139" t="str">
        <f aca="false">IF(B76&lt;='VALOR POR PL'!$P$5,'CP RESUMO'!BW68,"")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832736.706684734</v>
      </c>
      <c r="E78" s="61" t="n">
        <f aca="false">SUM(E5:E76)</f>
        <v>642.103300039351</v>
      </c>
      <c r="F78" s="145" t="n">
        <f aca="false">SUM(F5:F76)</f>
        <v>1</v>
      </c>
      <c r="H78" s="61" t="n">
        <f aca="false">SUM(H5:H76)</f>
        <v>823490.46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-1.13686837721616E-013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PL'!D33</f>
        <v>INSTALAÇÕES ESPECIAIS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PL'!F33</f>
        <v>2684762.92</v>
      </c>
      <c r="K5" s="56" t="n">
        <f aca="false">'VALOR POR PL'!G33</f>
        <v>2206.583122</v>
      </c>
      <c r="L5" s="56" t="n">
        <f aca="false">'DADOS HISTORICOS'!$BZ$27</f>
        <v>0</v>
      </c>
      <c r="M5" s="139" t="n">
        <f aca="false">'CP RESUMO'!D27</f>
        <v>0</v>
      </c>
      <c r="N5" s="140" t="n">
        <v>0</v>
      </c>
      <c r="O5" s="139" t="n">
        <f aca="false">IF(B5&lt;='VALOR POR PL'!$P$5,'CP RESUMO'!D69,"")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PL'!H33</f>
        <v>2206.583122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RESUMO'!E27</f>
        <v>0</v>
      </c>
      <c r="N6" s="140" t="n">
        <f aca="false">MAX(0,M6-M5)</f>
        <v>0</v>
      </c>
      <c r="O6" s="139" t="n">
        <f aca="false">IF(B6&lt;='VALOR POR PL'!$P$5,'CP RESUMO'!E69,"")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2860561.74074991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RESUMO'!F27</f>
        <v>0</v>
      </c>
      <c r="N7" s="140" t="n">
        <f aca="false">MAX(0,M7-M6)</f>
        <v>0</v>
      </c>
      <c r="O7" s="139" t="n">
        <f aca="false">IF(B7&lt;='VALOR POR PL'!$P$5,'CP RESUMO'!F69,"")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RESUMO'!G27</f>
        <v>0</v>
      </c>
      <c r="N8" s="140" t="n">
        <f aca="false">MAX(0,M8-M7)</f>
        <v>0</v>
      </c>
      <c r="O8" s="139" t="n">
        <f aca="false">IF(B8&lt;='VALOR POR PL'!$P$5,'CP RESUMO'!G69,"")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2860561.74074991</v>
      </c>
      <c r="K9" s="45" t="n">
        <f aca="false">E78</f>
        <v>2205.71054326924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RESUMO'!H27</f>
        <v>0</v>
      </c>
      <c r="N9" s="140" t="n">
        <f aca="false">MAX(0,M9-M8)</f>
        <v>0</v>
      </c>
      <c r="O9" s="139" t="n">
        <f aca="false">IF(B9&lt;='VALOR POR PL'!$P$5,'CP RESUMO'!H69,"")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2205.71054326924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RESUMO'!I27</f>
        <v>0</v>
      </c>
      <c r="N10" s="140" t="n">
        <f aca="false">MAX(0,M10-M9)</f>
        <v>0</v>
      </c>
      <c r="O10" s="139" t="n">
        <f aca="false">IF(B10&lt;='VALOR POR PL'!$P$5,'CP RESUMO'!I69,"")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2828799.65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RESUMO'!J27</f>
        <v>0</v>
      </c>
      <c r="N11" s="140" t="n">
        <f aca="false">MAX(0,M11-M10)</f>
        <v>0</v>
      </c>
      <c r="O11" s="139" t="n">
        <f aca="false">IF(B11&lt;='VALOR POR PL'!$P$5,'CP RESUMO'!J69,"")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RESUMO'!K27</f>
        <v>0</v>
      </c>
      <c r="N12" s="140" t="n">
        <f aca="false">MAX(0,M12-M11)</f>
        <v>0</v>
      </c>
      <c r="O12" s="139" t="n">
        <f aca="false">IF(B12&lt;='VALOR POR PL'!$P$5,'CP RESUMO'!K69,"")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PL'!I33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RESUMO'!L27</f>
        <v>0</v>
      </c>
      <c r="N13" s="140" t="n">
        <f aca="false">MAX(0,M13-M12)</f>
        <v>0</v>
      </c>
      <c r="O13" s="139" t="n">
        <f aca="false">IF(B13&lt;='VALOR POR PL'!$P$5,'CP RESUMO'!L69,"")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RESUMO'!$D$69:$BW$69,MATCH('VALOR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RESUMO'!M27</f>
        <v>0</v>
      </c>
      <c r="N14" s="140" t="n">
        <f aca="false">MAX(0,M14-M13)</f>
        <v>0</v>
      </c>
      <c r="O14" s="139" t="n">
        <f aca="false">IF(B14&lt;='VALOR POR PL'!$P$5,'CP RESUMO'!M69,"")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RESUMO'!N27</f>
        <v>0</v>
      </c>
      <c r="N15" s="140" t="n">
        <f aca="false">MAX(0,M15-M14)</f>
        <v>0</v>
      </c>
      <c r="O15" s="139" t="n">
        <f aca="false">IF(B15&lt;='VALOR POR PL'!$P$5,'CP RESUMO'!N69,"")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RESUMO'!O27</f>
        <v>0</v>
      </c>
      <c r="N16" s="140" t="n">
        <f aca="false">MAX(0,M16-M15)</f>
        <v>0</v>
      </c>
      <c r="O16" s="139" t="n">
        <f aca="false">IF(B16&lt;='VALOR POR PL'!$P$5,'CP RESUMO'!O69,"")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2828799.65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RESUMO'!P27</f>
        <v>0</v>
      </c>
      <c r="N17" s="140" t="n">
        <f aca="false">MAX(0,M17-M16)</f>
        <v>0</v>
      </c>
      <c r="O17" s="139" t="n">
        <f aca="false">IF(B17&lt;='VALOR POR PL'!$P$5,'CP RESUMO'!P69,"")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2860561.74074991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RESUMO'!Q27</f>
        <v>0</v>
      </c>
      <c r="N18" s="140" t="n">
        <f aca="false">MAX(0,M18-M17)</f>
        <v>0</v>
      </c>
      <c r="O18" s="139" t="n">
        <f aca="false">IF(B18&lt;='VALOR POR PL'!$P$5,'CP RESUMO'!Q69,"")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0.011228116049119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RESUMO'!R27</f>
        <v>0</v>
      </c>
      <c r="N19" s="140" t="n">
        <f aca="false">MAX(0,M19-M18)</f>
        <v>0</v>
      </c>
      <c r="O19" s="139" t="n">
        <f aca="false">IF(B19&lt;='VALOR POR PL'!$P$5,'CP RESUMO'!R69,"")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RESUMO'!S27</f>
        <v>0</v>
      </c>
      <c r="N20" s="140" t="n">
        <f aca="false">MAX(0,M20-M19)</f>
        <v>0</v>
      </c>
      <c r="O20" s="139" t="n">
        <f aca="false">IF(B20&lt;='VALOR POR PL'!$P$5,'CP RESUMO'!S69,"")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RESUMO'!T27</f>
        <v>0</v>
      </c>
      <c r="N21" s="140" t="n">
        <f aca="false">MAX(0,M21-M20)</f>
        <v>0</v>
      </c>
      <c r="O21" s="139" t="n">
        <f aca="false">IF(B21&lt;='VALOR POR PL'!$P$5,'CP RESUMO'!T69,"")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RESUMO'!U27</f>
        <v>0</v>
      </c>
      <c r="N22" s="140" t="n">
        <f aca="false">MAX(0,M22-M21)</f>
        <v>0</v>
      </c>
      <c r="O22" s="139" t="n">
        <f aca="false">IF(B22&lt;='VALOR POR PL'!$P$5,'CP RESUMO'!U69,"")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RESUMO'!V27</f>
        <v>0</v>
      </c>
      <c r="N23" s="140" t="n">
        <f aca="false">MAX(0,M23-M22)</f>
        <v>0</v>
      </c>
      <c r="O23" s="139" t="n">
        <f aca="false">IF(B23&lt;='VALOR POR PL'!$P$5,'CP RESUMO'!V69,"")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RESUMO'!W27</f>
        <v>0</v>
      </c>
      <c r="N24" s="140" t="n">
        <f aca="false">MAX(0,M24-M23)</f>
        <v>0</v>
      </c>
      <c r="O24" s="139" t="n">
        <f aca="false">IF(B24&lt;='VALOR POR PL'!$P$5,'CP RESUMO'!W69,"")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RESUMO'!X27</f>
        <v>0</v>
      </c>
      <c r="N25" s="140" t="n">
        <f aca="false">MAX(0,M25-M24)</f>
        <v>0</v>
      </c>
      <c r="O25" s="139" t="n">
        <f aca="false">IF(B25&lt;='VALOR POR PL'!$P$5,'CP RESUMO'!X69,"")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RESUMO'!Y27</f>
        <v>0</v>
      </c>
      <c r="N26" s="140" t="n">
        <f aca="false">MAX(0,M26-M25)</f>
        <v>0</v>
      </c>
      <c r="O26" s="139" t="str">
        <f aca="false">IF(B26&lt;='VALOR POR PL'!$P$5,'CP RESUMO'!Y69,"")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RESUMO'!Z27</f>
        <v>0</v>
      </c>
      <c r="N27" s="140" t="n">
        <f aca="false">MAX(0,M27-M26)</f>
        <v>0</v>
      </c>
      <c r="O27" s="139" t="str">
        <f aca="false">IF(B27&lt;='VALOR POR PL'!$P$5,'CP RESUMO'!Z69,"")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RESUMO'!AA27</f>
        <v>0</v>
      </c>
      <c r="N28" s="140" t="n">
        <f aca="false">MAX(0,M28-M27)</f>
        <v>0</v>
      </c>
      <c r="O28" s="139" t="str">
        <f aca="false">IF(B28&lt;='VALOR POR PL'!$P$5,'CP RESUMO'!AA69,"")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HISTORICOS'!AB27)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RESUMO'!AB27</f>
        <v>0</v>
      </c>
      <c r="N29" s="140" t="n">
        <f aca="false">MAX(0,M29-M28)</f>
        <v>0</v>
      </c>
      <c r="O29" s="139" t="str">
        <f aca="false">IF(B29&lt;='VALOR POR PL'!$P$5,'CP RESUMO'!AB69,"")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RESUMO'!AC27</f>
        <v>0</v>
      </c>
      <c r="N30" s="140" t="n">
        <f aca="false">MAX(0,M30-M29)</f>
        <v>0</v>
      </c>
      <c r="O30" s="139" t="str">
        <f aca="false">IF(B30&lt;='VALOR POR PL'!$P$5,'CP RESUMO'!AC69,"")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RESUMO'!AD27</f>
        <v>0</v>
      </c>
      <c r="N31" s="140" t="n">
        <f aca="false">MAX(0,M31-M30)</f>
        <v>0</v>
      </c>
      <c r="O31" s="139" t="str">
        <f aca="false">IF(B31&lt;='VALOR POR PL'!$P$5,'CP RESUMO'!AD69,"")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HISTORICOS'!AE27)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RESUMO'!AE27</f>
        <v>0</v>
      </c>
      <c r="N32" s="140" t="n">
        <f aca="false">MAX(0,M32-M31)</f>
        <v>0</v>
      </c>
      <c r="O32" s="139" t="str">
        <f aca="false">IF(B32&lt;='VALOR POR PL'!$P$5,'CP RESUMO'!AE69,"")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RESUMO'!AF27</f>
        <v>0</v>
      </c>
      <c r="N33" s="140" t="n">
        <f aca="false">MAX(0,M33-M32)</f>
        <v>0</v>
      </c>
      <c r="O33" s="139" t="str">
        <f aca="false">IF(B33&lt;='VALOR POR PL'!$P$5,'CP RESUMO'!AF69,"")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RESUMO'!AG27</f>
        <v>0</v>
      </c>
      <c r="N34" s="140" t="n">
        <f aca="false">MAX(0,M34-M33)</f>
        <v>0</v>
      </c>
      <c r="O34" s="139" t="str">
        <f aca="false">IF(B34&lt;='VALOR POR PL'!$P$5,'CP RESUMO'!AG69,"")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HISTORICOS'!AH27)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RESUMO'!AH27</f>
        <v>0.54</v>
      </c>
      <c r="N35" s="140" t="n">
        <f aca="false">MAX(0,M35-M34)</f>
        <v>0.54</v>
      </c>
      <c r="O35" s="139" t="str">
        <f aca="false">IF(B35&lt;='VALOR POR PL'!$P$5,'CP RESUMO'!AH69,"")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HISTORICOS'!AI27)</f>
        <v>0</v>
      </c>
      <c r="D36" s="45" t="n">
        <f aca="false">IF(B36&lt;='VALOR POR PL'!$P$5,0,IF($K$17&gt;0,$K$18*P36/$K$17,0))</f>
        <v>15447.0353112706</v>
      </c>
      <c r="E36" s="45" t="n">
        <f aca="false">L36+D36/$K$2</f>
        <v>11.9108384073507</v>
      </c>
      <c r="F36" s="117" t="n">
        <f aca="false">IF($K$9=0,0,E36/$K$9)</f>
        <v>0.00540000066812791</v>
      </c>
      <c r="G36" s="117" t="n">
        <f aca="false">G35+F36</f>
        <v>0.00540000066812791</v>
      </c>
      <c r="H36" s="138" t="n">
        <v>15275.52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RESUMO'!AI27</f>
        <v>3.95</v>
      </c>
      <c r="N36" s="140" t="n">
        <f aca="false">MAX(0,M36-M35)</f>
        <v>3.41</v>
      </c>
      <c r="O36" s="139" t="str">
        <f aca="false">IF(B36&lt;='VALOR POR PL'!$P$5,'CP RESUMO'!AI69,"")</f>
        <v/>
      </c>
      <c r="P36" s="66" t="n">
        <f aca="false">IF(B36&lt;='VALOR POR PL'!$P$5,0,IF(OR($K$16="CURVA PREVISION",$K$16="MDO PREVISION + MATERIAL PREMISSA"),N36,IF($K$16="PREVISÃO INFORMADA",MAX(0,H36),0)))</f>
        <v>15275.52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HISTORICOS'!AJ27)</f>
        <v>0</v>
      </c>
      <c r="D37" s="45" t="n">
        <f aca="false">IF(B37&lt;='VALOR POR PL'!$P$5,0,IF($K$17&gt;0,$K$18*P37/$K$17,0))</f>
        <v>97545.1573162983</v>
      </c>
      <c r="E37" s="45" t="n">
        <f aca="false">L37+D37/$K$2</f>
        <v>75.2147310342661</v>
      </c>
      <c r="F37" s="117" t="n">
        <f aca="false">IF($K$9=0,0,E37/$K$9)</f>
        <v>0.0341000006840357</v>
      </c>
      <c r="G37" s="117" t="n">
        <f aca="false">G36+F37</f>
        <v>0.0395000013521636</v>
      </c>
      <c r="H37" s="138" t="n">
        <v>96462.07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RESUMO'!AJ27</f>
        <v>9.08</v>
      </c>
      <c r="N37" s="140" t="n">
        <f aca="false">MAX(0,M37-M36)</f>
        <v>5.13</v>
      </c>
      <c r="O37" s="139" t="str">
        <f aca="false">IF(B37&lt;='VALOR POR PL'!$P$5,'CP RESUMO'!AJ69,"")</f>
        <v/>
      </c>
      <c r="P37" s="66" t="n">
        <f aca="false">IF(B37&lt;='VALOR POR PL'!$P$5,0,IF(OR($K$16="CURVA PREVISION",$K$16="MDO PREVISION + MATERIAL PREMISSA"),N37,IF($K$16="PREVISÃO INFORMADA",MAX(0,H37),0)))</f>
        <v>96462.07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HISTORICOS'!AK27)</f>
        <v>0</v>
      </c>
      <c r="D38" s="45" t="n">
        <f aca="false">IF(B38&lt;='VALOR POR PL'!$P$5,0,IF($K$17&gt;0,$K$18*P38/$K$17,0))</f>
        <v>146746.815232509</v>
      </c>
      <c r="E38" s="45" t="n">
        <f aca="false">L38+D38/$K$2</f>
        <v>113.152949275157</v>
      </c>
      <c r="F38" s="117" t="n">
        <f aca="false">IF($K$9=0,0,E38/$K$9)</f>
        <v>0.0512999992770785</v>
      </c>
      <c r="G38" s="117" t="n">
        <f aca="false">G37+F38</f>
        <v>0.0908000006292422</v>
      </c>
      <c r="H38" s="138" t="n">
        <v>145117.42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RESUMO'!AK27</f>
        <v>13.99</v>
      </c>
      <c r="N38" s="140" t="n">
        <f aca="false">MAX(0,M38-M37)</f>
        <v>4.91</v>
      </c>
      <c r="O38" s="139" t="str">
        <f aca="false">IF(B38&lt;='VALOR POR PL'!$P$5,'CP RESUMO'!AK69,"")</f>
        <v/>
      </c>
      <c r="P38" s="66" t="n">
        <f aca="false">IF(B38&lt;='VALOR POR PL'!$P$5,0,IF(OR($K$16="CURVA PREVISION",$K$16="MDO PREVISION + MATERIAL PREMISSA"),N38,IF($K$16="PREVISÃO INFORMADA",MAX(0,H38),0)))</f>
        <v>145117.42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HISTORICOS'!AL27)</f>
        <v>0</v>
      </c>
      <c r="D39" s="45" t="n">
        <f aca="false">IF(B39&lt;='VALOR POR PL'!$P$5,0,IF($K$17&gt;0,$K$18*P39/$K$17,0))</f>
        <v>140453.578624213</v>
      </c>
      <c r="E39" s="45" t="n">
        <f aca="false">L39+D39/$K$2</f>
        <v>108.300385479569</v>
      </c>
      <c r="F39" s="117" t="n">
        <f aca="false">IF($K$9=0,0,E39/$K$9)</f>
        <v>0.0490999990048783</v>
      </c>
      <c r="G39" s="117" t="n">
        <f aca="false">G38+F39</f>
        <v>0.13989999963412</v>
      </c>
      <c r="H39" s="138" t="n">
        <v>138894.06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RESUMO'!AL27</f>
        <v>20.43</v>
      </c>
      <c r="N39" s="140" t="n">
        <f aca="false">MAX(0,M39-M38)</f>
        <v>6.44</v>
      </c>
      <c r="O39" s="139" t="str">
        <f aca="false">IF(B39&lt;='VALOR POR PL'!$P$5,'CP RESUMO'!AL69,"")</f>
        <v/>
      </c>
      <c r="P39" s="66" t="n">
        <f aca="false">IF(B39&lt;='VALOR POR PL'!$P$5,0,IF(OR($K$16="CURVA PREVISION",$K$16="MDO PREVISION + MATERIAL PREMISSA"),N39,IF($K$16="PREVISÃO INFORMADA",MAX(0,H39),0)))</f>
        <v>138894.06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HISTORICOS'!AM27)</f>
        <v>0</v>
      </c>
      <c r="D40" s="45" t="n">
        <f aca="false">IF(B40&lt;='VALOR POR PL'!$P$5,0,IF($K$17&gt;0,$K$18*P40/$K$17,0))</f>
        <v>145316.534185169</v>
      </c>
      <c r="E40" s="45" t="n">
        <f aca="false">L40+D40/$K$2</f>
        <v>112.050093867069</v>
      </c>
      <c r="F40" s="117" t="n">
        <f aca="false">IF($K$9=0,0,E40/$K$9)</f>
        <v>0.0507999992152148</v>
      </c>
      <c r="G40" s="117" t="n">
        <f aca="false">G39+F40</f>
        <v>0.190699998849335</v>
      </c>
      <c r="H40" s="138" t="n">
        <v>143703.02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RESUMO'!AM27</f>
        <v>29.02</v>
      </c>
      <c r="N40" s="140" t="n">
        <f aca="false">MAX(0,M40-M39)</f>
        <v>8.59</v>
      </c>
      <c r="O40" s="139" t="str">
        <f aca="false">IF(B40&lt;='VALOR POR PL'!$P$5,'CP RESUMO'!AM69,"")</f>
        <v/>
      </c>
      <c r="P40" s="66" t="n">
        <f aca="false">IF(B40&lt;='VALOR POR PL'!$P$5,0,IF(OR($K$16="CURVA PREVISION",$K$16="MDO PREVISION + MATERIAL PREMISSA"),N40,IF($K$16="PREVISÃO INFORMADA",MAX(0,H40),0)))</f>
        <v>143703.02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HISTORICOS'!AN27)</f>
        <v>0</v>
      </c>
      <c r="D41" s="45" t="n">
        <f aca="false">IF(B41&lt;='VALOR POR PL'!$P$5,0,IF($K$17&gt;0,$K$18*P41/$K$17,0))</f>
        <v>245436.197386679</v>
      </c>
      <c r="E41" s="45" t="n">
        <f aca="false">L41+D41/$K$2</f>
        <v>189.249964635893</v>
      </c>
      <c r="F41" s="117" t="n">
        <f aca="false">IF($K$9=0,0,E41/$K$9)</f>
        <v>0.0858000000106052</v>
      </c>
      <c r="G41" s="117" t="n">
        <f aca="false">G40+F41</f>
        <v>0.276499998859941</v>
      </c>
      <c r="H41" s="138" t="n">
        <v>242711.01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RESUMO'!AN27</f>
        <v>33.57</v>
      </c>
      <c r="N41" s="140" t="n">
        <f aca="false">MAX(0,M41-M40)</f>
        <v>4.55</v>
      </c>
      <c r="O41" s="139" t="str">
        <f aca="false">IF(B41&lt;='VALOR POR PL'!$P$5,'CP RESUMO'!AN69,"")</f>
        <v/>
      </c>
      <c r="P41" s="66" t="n">
        <f aca="false">IF(B41&lt;='VALOR POR PL'!$P$5,0,IF(OR($K$16="CURVA PREVISION",$K$16="MDO PREVISION + MATERIAL PREMISSA"),N41,IF($K$16="PREVISÃO INFORMADA",MAX(0,H41),0)))</f>
        <v>242711.01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HISTORICOS'!AO27)</f>
        <v>0</v>
      </c>
      <c r="D42" s="45" t="n">
        <f aca="false">IF(B42&lt;='VALOR POR PL'!$P$5,0,IF($K$17&gt;0,$K$18*P42/$K$17,0))</f>
        <v>169059.199571011</v>
      </c>
      <c r="E42" s="45" t="n">
        <f aca="false">L42+D42/$K$2</f>
        <v>130.35749364133</v>
      </c>
      <c r="F42" s="117" t="n">
        <f aca="false">IF($K$9=0,0,E42/$K$9)</f>
        <v>0.0591000002421522</v>
      </c>
      <c r="G42" s="117" t="n">
        <f aca="false">G41+F42</f>
        <v>0.335599999102093</v>
      </c>
      <c r="H42" s="138" t="n">
        <v>167182.06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RESUMO'!AO27</f>
        <v>38.54</v>
      </c>
      <c r="N42" s="140" t="n">
        <f aca="false">MAX(0,M42-M41)</f>
        <v>4.97</v>
      </c>
      <c r="O42" s="139" t="str">
        <f aca="false">IF(B42&lt;='VALOR POR PL'!$P$5,'CP RESUMO'!AO69,"")</f>
        <v/>
      </c>
      <c r="P42" s="66" t="n">
        <f aca="false">IF(B42&lt;='VALOR POR PL'!$P$5,0,IF(OR($K$16="CURVA PREVISION",$K$16="MDO PREVISION + MATERIAL PREMISSA"),N42,IF($K$16="PREVISÃO INFORMADA",MAX(0,H42),0)))</f>
        <v>167182.06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HISTORICOS'!AP27)</f>
        <v>0</v>
      </c>
      <c r="D43" s="45" t="n">
        <f aca="false">IF(B43&lt;='VALOR POR PL'!$P$5,0,IF($K$17&gt;0,$K$18*P43/$K$17,0))</f>
        <v>142169.915881021</v>
      </c>
      <c r="E43" s="45" t="n">
        <f aca="false">L43+D43/$K$2</f>
        <v>109.623811969275</v>
      </c>
      <c r="F43" s="117" t="n">
        <f aca="false">IF($K$9=0,0,E43/$K$9)</f>
        <v>0.0496999990791147</v>
      </c>
      <c r="G43" s="117" t="n">
        <f aca="false">G42+F43</f>
        <v>0.385299998181207</v>
      </c>
      <c r="H43" s="138" t="n">
        <v>140591.34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RESUMO'!AP27</f>
        <v>43.48</v>
      </c>
      <c r="N43" s="140" t="n">
        <f aca="false">MAX(0,M43-M42)</f>
        <v>4.94</v>
      </c>
      <c r="O43" s="139" t="str">
        <f aca="false">IF(B43&lt;='VALOR POR PL'!$P$5,'CP RESUMO'!AP69,"")</f>
        <v/>
      </c>
      <c r="P43" s="66" t="n">
        <f aca="false">IF(B43&lt;='VALOR POR PL'!$P$5,0,IF(OR($K$16="CURVA PREVISION",$K$16="MDO PREVISION + MATERIAL PREMISSA"),N43,IF($K$16="PREVISÃO INFORMADA",MAX(0,H43),0)))</f>
        <v>140591.34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HISTORICOS'!AQ27)</f>
        <v>0</v>
      </c>
      <c r="D44" s="45" t="n">
        <f aca="false">IF(B44&lt;='VALOR POR PL'!$P$5,0,IF($K$17&gt;0,$K$18*P44/$K$17,0))</f>
        <v>141597.803462085</v>
      </c>
      <c r="E44" s="45" t="n">
        <f aca="false">L44+D44/$K$2</f>
        <v>109.18266980604</v>
      </c>
      <c r="F44" s="117" t="n">
        <f aca="false">IF($K$9=0,0,E44/$K$9)</f>
        <v>0.0494999990543692</v>
      </c>
      <c r="G44" s="117" t="n">
        <f aca="false">G43+F44</f>
        <v>0.434799997235577</v>
      </c>
      <c r="H44" s="138" t="n">
        <v>140025.58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RESUMO'!AQ27</f>
        <v>51.13</v>
      </c>
      <c r="N44" s="140" t="n">
        <f aca="false">MAX(0,M44-M43)</f>
        <v>7.65000000000001</v>
      </c>
      <c r="O44" s="139" t="str">
        <f aca="false">IF(B44&lt;='VALOR POR PL'!$P$5,'CP RESUMO'!AQ69,"")</f>
        <v/>
      </c>
      <c r="P44" s="66" t="n">
        <f aca="false">IF(B44&lt;='VALOR POR PL'!$P$5,0,IF(OR($K$16="CURVA PREVISION",$K$16="MDO PREVISION + MATERIAL PREMISSA"),N44,IF($K$16="PREVISÃO INFORMADA",MAX(0,H44),0)))</f>
        <v>140025.58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HISTORICOS'!AR27)</f>
        <v>0</v>
      </c>
      <c r="D45" s="45" t="n">
        <f aca="false">IF(B45&lt;='VALOR POR PL'!$P$5,0,IF($K$17&gt;0,$K$18*P45/$K$17,0))</f>
        <v>218832.969906157</v>
      </c>
      <c r="E45" s="45" t="n">
        <f aca="false">L45+D45/$K$2</f>
        <v>168.736854045456</v>
      </c>
      <c r="F45" s="117" t="n">
        <f aca="false">IF($K$9=0,0,E45/$K$9)</f>
        <v>0.0764999988599405</v>
      </c>
      <c r="G45" s="117" t="n">
        <f aca="false">G44+F45</f>
        <v>0.511299996095517</v>
      </c>
      <c r="H45" s="138" t="n">
        <v>216403.17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RESUMO'!AR27</f>
        <v>56.64</v>
      </c>
      <c r="N45" s="140" t="n">
        <f aca="false">MAX(0,M45-M44)</f>
        <v>5.51</v>
      </c>
      <c r="O45" s="139" t="str">
        <f aca="false">IF(B45&lt;='VALOR POR PL'!$P$5,'CP RESUMO'!AR69,"")</f>
        <v/>
      </c>
      <c r="P45" s="66" t="n">
        <f aca="false">IF(B45&lt;='VALOR POR PL'!$P$5,0,IF(OR($K$16="CURVA PREVISION",$K$16="MDO PREVISION + MATERIAL PREMISSA"),N45,IF($K$16="PREVISÃO INFORMADA",MAX(0,H45),0)))</f>
        <v>216403.17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HISTORICOS'!AS27)</f>
        <v>0</v>
      </c>
      <c r="D46" s="45" t="n">
        <f aca="false">IF(B46&lt;='VALOR POR PL'!$P$5,0,IF($K$17&gt;0,$K$18*P46/$K$17,0))</f>
        <v>155042.44530708</v>
      </c>
      <c r="E46" s="45" t="n">
        <f aca="false">L46+D46/$K$2</f>
        <v>119.549510642067</v>
      </c>
      <c r="F46" s="117" t="n">
        <f aca="false">IF($K$9=0,0,E46/$K$9)</f>
        <v>0.054199999635888</v>
      </c>
      <c r="G46" s="117" t="n">
        <f aca="false">G45+F46</f>
        <v>0.565499995731405</v>
      </c>
      <c r="H46" s="138" t="n">
        <v>153320.94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RESUMO'!AS27</f>
        <v>63.52</v>
      </c>
      <c r="N46" s="140" t="n">
        <f aca="false">MAX(0,M46-M45)</f>
        <v>6.88</v>
      </c>
      <c r="O46" s="139" t="str">
        <f aca="false">IF(B46&lt;='VALOR POR PL'!$P$5,'CP RESUMO'!AS69,"")</f>
        <v/>
      </c>
      <c r="P46" s="66" t="n">
        <f aca="false">IF(B46&lt;='VALOR POR PL'!$P$5,0,IF(OR($K$16="CURVA PREVISION",$K$16="MDO PREVISION + MATERIAL PREMISSA"),N46,IF($K$16="PREVISÃO INFORMADA",MAX(0,H46),0)))</f>
        <v>153320.94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HISTORICOS'!AT27)</f>
        <v>0</v>
      </c>
      <c r="D47" s="45" t="n">
        <f aca="false">IF(B47&lt;='VALOR POR PL'!$P$5,0,IF($K$17&gt;0,$K$18*P47/$K$17,0))</f>
        <v>122432.047540012</v>
      </c>
      <c r="E47" s="45" t="n">
        <f aca="false">L47+D47/$K$2</f>
        <v>94.4044151349977</v>
      </c>
      <c r="F47" s="117" t="n">
        <f aca="false">IF($K$9=0,0,E47/$K$9)</f>
        <v>0.042800001760464</v>
      </c>
      <c r="G47" s="117" t="n">
        <f aca="false">G46+F47</f>
        <v>0.608299997491869</v>
      </c>
      <c r="H47" s="138" t="n">
        <v>121072.63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RESUMO'!AT27</f>
        <v>67.56</v>
      </c>
      <c r="N47" s="140" t="n">
        <f aca="false">MAX(0,M47-M46)</f>
        <v>4.04</v>
      </c>
      <c r="O47" s="139" t="str">
        <f aca="false">IF(B47&lt;='VALOR POR PL'!$P$5,'CP RESUMO'!AT69,"")</f>
        <v/>
      </c>
      <c r="P47" s="66" t="n">
        <f aca="false">IF(B47&lt;='VALOR POR PL'!$P$5,0,IF(OR($K$16="CURVA PREVISION",$K$16="MDO PREVISION + MATERIAL PREMISSA"),N47,IF($K$16="PREVISÃO INFORMADA",MAX(0,H47),0)))</f>
        <v>121072.63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HISTORICOS'!AU27)</f>
        <v>0</v>
      </c>
      <c r="D48" s="45" t="n">
        <f aca="false">IF(B48&lt;='VALOR POR PL'!$P$5,0,IF($K$17&gt;0,$K$18*P48/$K$17,0))</f>
        <v>188224.965605365</v>
      </c>
      <c r="E48" s="45" t="n">
        <f aca="false">L48+D48/$K$2</f>
        <v>145.13575610971</v>
      </c>
      <c r="F48" s="117" t="n">
        <f aca="false">IF($K$9=0,0,E48/$K$9)</f>
        <v>0.0658000010711257</v>
      </c>
      <c r="G48" s="117" t="n">
        <f aca="false">G47+F48</f>
        <v>0.674099998562995</v>
      </c>
      <c r="H48" s="138" t="n">
        <v>186135.02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RESUMO'!AU27</f>
        <v>72.81</v>
      </c>
      <c r="N48" s="140" t="n">
        <f aca="false">MAX(0,M48-M47)</f>
        <v>5.25</v>
      </c>
      <c r="O48" s="139" t="str">
        <f aca="false">IF(B48&lt;='VALOR POR PL'!$P$5,'CP RESUMO'!AU69,"")</f>
        <v/>
      </c>
      <c r="P48" s="66" t="n">
        <f aca="false">IF(B48&lt;='VALOR POR PL'!$P$5,0,IF(OR($K$16="CURVA PREVISION",$K$16="MDO PREVISION + MATERIAL PREMISSA"),N48,IF($K$16="PREVISÃO INFORMADA",MAX(0,H48),0)))</f>
        <v>186135.02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HISTORICOS'!AV27)</f>
        <v>0</v>
      </c>
      <c r="D49" s="45" t="n">
        <f aca="false">IF(B49&lt;='VALOR POR PL'!$P$5,0,IF($K$17&gt;0,$K$18*P49/$K$17,0))</f>
        <v>139881.466205277</v>
      </c>
      <c r="E49" s="45" t="n">
        <f aca="false">L49+D49/$K$2</f>
        <v>107.859243316334</v>
      </c>
      <c r="F49" s="117" t="n">
        <f aca="false">IF($K$9=0,0,E49/$K$9)</f>
        <v>0.0488999989801328</v>
      </c>
      <c r="G49" s="117" t="n">
        <f aca="false">G48+F49</f>
        <v>0.722999997543128</v>
      </c>
      <c r="H49" s="138" t="n">
        <v>138328.3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RESUMO'!AV27</f>
        <v>83.13</v>
      </c>
      <c r="N49" s="140" t="n">
        <f aca="false">MAX(0,M49-M48)</f>
        <v>10.32</v>
      </c>
      <c r="O49" s="139" t="str">
        <f aca="false">IF(B49&lt;='VALOR POR PL'!$P$5,'CP RESUMO'!AV69,"")</f>
        <v/>
      </c>
      <c r="P49" s="66" t="n">
        <f aca="false">IF(B49&lt;='VALOR POR PL'!$P$5,0,IF(OR($K$16="CURVA PREVISION",$K$16="MDO PREVISION + MATERIAL PREMISSA"),N49,IF($K$16="PREVISÃO INFORMADA",MAX(0,H49),0)))</f>
        <v>138328.3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HISTORICOS'!AW27)</f>
        <v>0</v>
      </c>
      <c r="D50" s="45" t="n">
        <f aca="false">IF(B50&lt;='VALOR POR PL'!$P$5,0,IF($K$17&gt;0,$K$18*P50/$K$17,0))</f>
        <v>276330.26800922</v>
      </c>
      <c r="E50" s="45" t="n">
        <f aca="false">L50+D50/$K$2</f>
        <v>213.071641450595</v>
      </c>
      <c r="F50" s="117" t="n">
        <f aca="false">IF($K$9=0,0,E50/$K$9)</f>
        <v>0.096600001346861</v>
      </c>
      <c r="G50" s="117" t="n">
        <f aca="false">G49+F50</f>
        <v>0.819599998889989</v>
      </c>
      <c r="H50" s="138" t="n">
        <v>273262.05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RESUMO'!AW27</f>
        <v>88.59</v>
      </c>
      <c r="N50" s="140" t="n">
        <f aca="false">MAX(0,M50-M49)</f>
        <v>5.46000000000001</v>
      </c>
      <c r="O50" s="139" t="str">
        <f aca="false">IF(B50&lt;='VALOR POR PL'!$P$5,'CP RESUMO'!AW69,"")</f>
        <v/>
      </c>
      <c r="P50" s="66" t="n">
        <f aca="false">IF(B50&lt;='VALOR POR PL'!$P$5,0,IF(OR($K$16="CURVA PREVISION",$K$16="MDO PREVISION + MATERIAL PREMISSA"),N50,IF($K$16="PREVISÃO INFORMADA",MAX(0,H50),0)))</f>
        <v>273262.05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HISTORICOS'!AX27)</f>
        <v>0</v>
      </c>
      <c r="D51" s="45" t="n">
        <f aca="false">IF(B51&lt;='VALOR POR PL'!$P$5,0,IF($K$17&gt;0,$K$18*P51/$K$17,0))</f>
        <v>156758.782563888</v>
      </c>
      <c r="E51" s="45" t="n">
        <f aca="false">L51+D51/$K$2</f>
        <v>120.872937131773</v>
      </c>
      <c r="F51" s="117" t="n">
        <f aca="false">IF($K$9=0,0,E51/$K$9)</f>
        <v>0.0547999997101244</v>
      </c>
      <c r="G51" s="117" t="n">
        <f aca="false">G50+F51</f>
        <v>0.874399998600113</v>
      </c>
      <c r="H51" s="138" t="n">
        <v>155018.22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RESUMO'!AX27</f>
        <v>91.6</v>
      </c>
      <c r="N51" s="140" t="n">
        <f aca="false">MAX(0,M51-M50)</f>
        <v>3.00999999999999</v>
      </c>
      <c r="O51" s="139" t="str">
        <f aca="false">IF(B51&lt;='VALOR POR PL'!$P$5,'CP RESUMO'!AX69,"")</f>
        <v/>
      </c>
      <c r="P51" s="66" t="n">
        <f aca="false">IF(B51&lt;='VALOR POR PL'!$P$5,0,IF(OR($K$16="CURVA PREVISION",$K$16="MDO PREVISION + MATERIAL PREMISSA"),N51,IF($K$16="PREVISÃO INFORMADA",MAX(0,H51),0)))</f>
        <v>155018.22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HISTORICOS'!AY27)</f>
        <v>0</v>
      </c>
      <c r="D52" s="45" t="n">
        <f aca="false">IF(B52&lt;='VALOR POR PL'!$P$5,0,IF($K$17&gt;0,$K$18*P52/$K$17,0))</f>
        <v>40906.0379539204</v>
      </c>
      <c r="E52" s="45" t="n">
        <f aca="false">L52+D52/$K$2</f>
        <v>31.5416646713176</v>
      </c>
      <c r="F52" s="117" t="n">
        <f aca="false">IF($K$9=0,0,E52/$K$9)</f>
        <v>0.0143000017693017</v>
      </c>
      <c r="G52" s="117" t="n">
        <f aca="false">G51+F52</f>
        <v>0.888700000369415</v>
      </c>
      <c r="H52" s="138" t="n">
        <v>40451.84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RESUMO'!AY27</f>
        <v>93.8</v>
      </c>
      <c r="N52" s="140" t="n">
        <f aca="false">MAX(0,M52-M51)</f>
        <v>2.2</v>
      </c>
      <c r="O52" s="139" t="str">
        <f aca="false">IF(B52&lt;='VALOR POR PL'!$P$5,'CP RESUMO'!AY69,"")</f>
        <v/>
      </c>
      <c r="P52" s="66" t="n">
        <f aca="false">IF(B52&lt;='VALOR POR PL'!$P$5,0,IF(OR($K$16="CURVA PREVISION",$K$16="MDO PREVISION + MATERIAL PREMISSA"),N52,IF($K$16="PREVISÃO INFORMADA",MAX(0,H52),0)))</f>
        <v>40451.84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HISTORICOS'!AZ27)</f>
        <v>0</v>
      </c>
      <c r="D53" s="45" t="n">
        <f aca="false">IF(B53&lt;='VALOR POR PL'!$P$5,0,IF($K$17&gt;0,$K$18*P53/$K$17,0))</f>
        <v>80381.7847482198</v>
      </c>
      <c r="E53" s="45" t="n">
        <f aca="false">L53+D53/$K$2</f>
        <v>61.9804661372097</v>
      </c>
      <c r="F53" s="117" t="n">
        <f aca="false">IF($K$9=0,0,E53/$K$9)</f>
        <v>0.0280999999416714</v>
      </c>
      <c r="G53" s="117" t="n">
        <f aca="false">G52+F53</f>
        <v>0.916800000311086</v>
      </c>
      <c r="H53" s="138" t="n">
        <v>79489.27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RESUMO'!AZ27</f>
        <v>95.43</v>
      </c>
      <c r="N53" s="140" t="n">
        <f aca="false">MAX(0,M53-M52)</f>
        <v>1.63000000000001</v>
      </c>
      <c r="O53" s="139" t="str">
        <f aca="false">IF(B53&lt;='VALOR POR PL'!$P$5,'CP RESUMO'!AZ69,"")</f>
        <v/>
      </c>
      <c r="P53" s="66" t="n">
        <f aca="false">IF(B53&lt;='VALOR POR PL'!$P$5,0,IF(OR($K$16="CURVA PREVISION",$K$16="MDO PREVISION + MATERIAL PREMISSA"),N53,IF($K$16="PREVISÃO INFORMADA",MAX(0,H53),0)))</f>
        <v>79489.27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HISTORICOS'!BA27)</f>
        <v>0</v>
      </c>
      <c r="D54" s="45" t="n">
        <f aca="false">IF(B54&lt;='VALOR POR PL'!$P$5,0,IF($K$17&gt;0,$K$18*P54/$K$17,0))</f>
        <v>44624.7585647229</v>
      </c>
      <c r="E54" s="45" t="n">
        <f aca="false">L54+D54/$K$2</f>
        <v>34.409080935009</v>
      </c>
      <c r="F54" s="117" t="n">
        <f aca="false">IF($K$9=0,0,E54/$K$9)</f>
        <v>0.015599998395079</v>
      </c>
      <c r="G54" s="117" t="n">
        <f aca="false">G53+F54</f>
        <v>0.932399998706165</v>
      </c>
      <c r="H54" s="138" t="n">
        <v>44129.27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RESUMO'!BA27</f>
        <v>98.32</v>
      </c>
      <c r="N54" s="140" t="n">
        <f aca="false">MAX(0,M54-M53)</f>
        <v>2.88999999999999</v>
      </c>
      <c r="O54" s="139" t="str">
        <f aca="false">IF(B54&lt;='VALOR POR PL'!$P$5,'CP RESUMO'!BA69,"")</f>
        <v/>
      </c>
      <c r="P54" s="66" t="n">
        <f aca="false">IF(B54&lt;='VALOR POR PL'!$P$5,0,IF(OR($K$16="CURVA PREVISION",$K$16="MDO PREVISION + MATERIAL PREMISSA"),N54,IF($K$16="PREVISÃO INFORMADA",MAX(0,H54),0)))</f>
        <v>44129.27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HISTORICOS'!BB27)</f>
        <v>0</v>
      </c>
      <c r="D55" s="45" t="n">
        <f aca="false">IF(B55&lt;='VALOR POR PL'!$P$5,0,IF($K$17&gt;0,$K$18*P55/$K$17,0))</f>
        <v>96973.0448973623</v>
      </c>
      <c r="E55" s="45" t="n">
        <f aca="false">L55+D55/$K$2</f>
        <v>74.7735888710308</v>
      </c>
      <c r="F55" s="117" t="n">
        <f aca="false">IF($K$9=0,0,E55/$K$9)</f>
        <v>0.0339000006592903</v>
      </c>
      <c r="G55" s="117" t="n">
        <f aca="false">G54+F55</f>
        <v>0.966299999365455</v>
      </c>
      <c r="H55" s="138" t="n">
        <v>95896.31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RESUMO'!BB27</f>
        <v>100</v>
      </c>
      <c r="N55" s="140" t="n">
        <f aca="false">MAX(0,M55-M54)</f>
        <v>1.68000000000001</v>
      </c>
      <c r="O55" s="139" t="str">
        <f aca="false">IF(B55&lt;='VALOR POR PL'!$P$5,'CP RESUMO'!BB69,"")</f>
        <v/>
      </c>
      <c r="P55" s="66" t="n">
        <f aca="false">IF(B55&lt;='VALOR POR PL'!$P$5,0,IF(OR($K$16="CURVA PREVISION",$K$16="MDO PREVISION + MATERIAL PREMISSA"),N55,IF($K$16="PREVISÃO INFORMADA",MAX(0,H55),0)))</f>
        <v>95896.31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HISTORICOS'!BC27)</f>
        <v>0</v>
      </c>
      <c r="D56" s="45" t="n">
        <f aca="false">IF(B56&lt;='VALOR POR PL'!$P$5,0,IF($K$17&gt;0,$K$18*P56/$K$17,0))</f>
        <v>68939.5363695008</v>
      </c>
      <c r="E56" s="45" t="n">
        <f aca="false">L56+D56/$K$2</f>
        <v>53.1576228725055</v>
      </c>
      <c r="F56" s="117" t="n">
        <f aca="false">IF($K$9=0,0,E56/$K$9)</f>
        <v>0.0240999994467618</v>
      </c>
      <c r="G56" s="117" t="n">
        <f aca="false">G55+F56</f>
        <v>0.990399998812217</v>
      </c>
      <c r="H56" s="138" t="n">
        <v>68174.07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RESUMO'!BC27</f>
        <v>100</v>
      </c>
      <c r="N56" s="140" t="n">
        <f aca="false">MAX(0,M56-M55)</f>
        <v>0</v>
      </c>
      <c r="O56" s="139" t="str">
        <f aca="false">IF(B56&lt;='VALOR POR PL'!$P$5,'CP RESUMO'!BC69,"")</f>
        <v/>
      </c>
      <c r="P56" s="66" t="n">
        <f aca="false">IF(B56&lt;='VALOR POR PL'!$P$5,0,IF(OR($K$16="CURVA PREVISION",$K$16="MDO PREVISION + MATERIAL PREMISSA"),N56,IF($K$16="PREVISÃO INFORMADA",MAX(0,H56),0)))</f>
        <v>68174.07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HISTORICOS'!BD27)</f>
        <v>0</v>
      </c>
      <c r="D57" s="45" t="n">
        <f aca="false">IF(B57&lt;='VALOR POR PL'!$P$5,0,IF($K$17&gt;0,$K$18*P57/$K$17,0))</f>
        <v>27461.3961089256</v>
      </c>
      <c r="E57" s="45" t="n">
        <f aca="false">L57+D57/$K$2</f>
        <v>21.1748238352901</v>
      </c>
      <c r="F57" s="117" t="n">
        <f aca="false">IF($K$9=0,0,E57/$K$9)</f>
        <v>0.00960000118778295</v>
      </c>
      <c r="G57" s="117" t="n">
        <f aca="false">G56+F57</f>
        <v>1</v>
      </c>
      <c r="H57" s="138" t="n">
        <v>27156.48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RESUMO'!BD27</f>
        <v>100</v>
      </c>
      <c r="N57" s="140" t="n">
        <f aca="false">MAX(0,M57-M56)</f>
        <v>0</v>
      </c>
      <c r="O57" s="139" t="str">
        <f aca="false">IF(B57&lt;='VALOR POR PL'!$P$5,'CP RESUMO'!BD69,"")</f>
        <v/>
      </c>
      <c r="P57" s="66" t="n">
        <f aca="false">IF(B57&lt;='VALOR POR PL'!$P$5,0,IF(OR($K$16="CURVA PREVISION",$K$16="MDO PREVISION + MATERIAL PREMISSA"),N57,IF($K$16="PREVISÃO INFORMADA",MAX(0,H57),0)))</f>
        <v>27156.48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RESUMO'!BE27</f>
        <v>100</v>
      </c>
      <c r="N58" s="140" t="n">
        <f aca="false">MAX(0,M58-M57)</f>
        <v>0</v>
      </c>
      <c r="O58" s="139" t="str">
        <f aca="false">IF(B58&lt;='VALOR POR PL'!$P$5,'CP RESUMO'!BE69,"")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RESUMO'!BF27</f>
        <v>100</v>
      </c>
      <c r="N59" s="140" t="n">
        <f aca="false">MAX(0,M59-M58)</f>
        <v>0</v>
      </c>
      <c r="O59" s="139" t="str">
        <f aca="false">IF(B59&lt;='VALOR POR PL'!$P$5,'CP RESUMO'!BF69,"")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RESUMO'!BG27</f>
        <v>100</v>
      </c>
      <c r="N60" s="140" t="n">
        <f aca="false">MAX(0,M60-M59)</f>
        <v>0</v>
      </c>
      <c r="O60" s="139" t="str">
        <f aca="false">IF(B60&lt;='VALOR POR PL'!$P$5,'CP RESUMO'!BG69,"")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RESUMO'!BH27</f>
        <v>100</v>
      </c>
      <c r="N61" s="140" t="n">
        <f aca="false">MAX(0,M61-M60)</f>
        <v>0</v>
      </c>
      <c r="O61" s="139" t="str">
        <f aca="false">IF(B61&lt;='VALOR POR PL'!$P$5,'CP RESUMO'!BH69,"")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RESUMO'!BI27</f>
        <v>100</v>
      </c>
      <c r="N62" s="140" t="n">
        <f aca="false">MAX(0,M62-M61)</f>
        <v>0</v>
      </c>
      <c r="O62" s="139" t="str">
        <f aca="false">IF(B62&lt;='VALOR POR PL'!$P$5,'CP RESUMO'!BI69,"")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RESUMO'!BJ27</f>
        <v>100</v>
      </c>
      <c r="N63" s="140" t="n">
        <f aca="false">MAX(0,M63-M62)</f>
        <v>0</v>
      </c>
      <c r="O63" s="139" t="str">
        <f aca="false">IF(B63&lt;='VALOR POR PL'!$P$5,'CP RESUMO'!BJ69,"")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RESUMO'!BK27</f>
        <v>100</v>
      </c>
      <c r="N64" s="140" t="n">
        <f aca="false">MAX(0,M64-M63)</f>
        <v>0</v>
      </c>
      <c r="O64" s="139" t="str">
        <f aca="false">IF(B64&lt;='VALOR POR PL'!$P$5,'CP RESUMO'!BK69,"")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RESUMO'!BL27</f>
        <v>100</v>
      </c>
      <c r="N65" s="140" t="n">
        <f aca="false">MAX(0,M65-M64)</f>
        <v>0</v>
      </c>
      <c r="O65" s="139" t="str">
        <f aca="false">IF(B65&lt;='VALOR POR PL'!$P$5,'CP RESUMO'!BL69,"")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RESUMO'!BM27</f>
        <v>100</v>
      </c>
      <c r="N66" s="140" t="n">
        <f aca="false">MAX(0,M66-M65)</f>
        <v>0</v>
      </c>
      <c r="O66" s="139" t="str">
        <f aca="false">IF(B66&lt;='VALOR POR PL'!$P$5,'CP RESUMO'!BM69,"")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RESUMO'!BN27</f>
        <v>100</v>
      </c>
      <c r="N67" s="140" t="n">
        <f aca="false">MAX(0,M67-M66)</f>
        <v>0</v>
      </c>
      <c r="O67" s="139" t="str">
        <f aca="false">IF(B67&lt;='VALOR POR PL'!$P$5,'CP RESUMO'!BN69,"")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RESUMO'!BO27</f>
        <v>100</v>
      </c>
      <c r="N68" s="140" t="n">
        <f aca="false">MAX(0,M68-M67)</f>
        <v>0</v>
      </c>
      <c r="O68" s="139" t="str">
        <f aca="false">IF(B68&lt;='VALOR POR PL'!$P$5,'CP RESUMO'!BO69,"")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RESUMO'!BP27</f>
        <v>100</v>
      </c>
      <c r="N69" s="140" t="n">
        <f aca="false">MAX(0,M69-M68)</f>
        <v>0</v>
      </c>
      <c r="O69" s="139" t="str">
        <f aca="false">IF(B69&lt;='VALOR POR PL'!$P$5,'CP RESUMO'!BP69,"")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RESUMO'!BQ27</f>
        <v>100</v>
      </c>
      <c r="N70" s="140" t="n">
        <f aca="false">MAX(0,M70-M69)</f>
        <v>0</v>
      </c>
      <c r="O70" s="139" t="str">
        <f aca="false">IF(B70&lt;='VALOR POR PL'!$P$5,'CP RESUMO'!BQ69,"")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RESUMO'!BR27</f>
        <v>100</v>
      </c>
      <c r="N71" s="140" t="n">
        <f aca="false">MAX(0,M71-M70)</f>
        <v>0</v>
      </c>
      <c r="O71" s="139" t="str">
        <f aca="false">IF(B71&lt;='VALOR POR PL'!$P$5,'CP RESUMO'!BR69,"")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RESUMO'!BS27</f>
        <v>100</v>
      </c>
      <c r="N72" s="140" t="n">
        <f aca="false">MAX(0,M72-M71)</f>
        <v>0</v>
      </c>
      <c r="O72" s="139" t="str">
        <f aca="false">IF(B72&lt;='VALOR POR PL'!$P$5,'CP RESUMO'!BS69,"")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RESUMO'!BT27</f>
        <v>100</v>
      </c>
      <c r="N73" s="140" t="n">
        <f aca="false">MAX(0,M73-M72)</f>
        <v>0</v>
      </c>
      <c r="O73" s="139" t="str">
        <f aca="false">IF(B73&lt;='VALOR POR PL'!$P$5,'CP RESUMO'!BT69,"")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RESUMO'!BU27</f>
        <v>100</v>
      </c>
      <c r="N74" s="140" t="n">
        <f aca="false">MAX(0,M74-M73)</f>
        <v>0</v>
      </c>
      <c r="O74" s="139" t="str">
        <f aca="false">IF(B74&lt;='VALOR POR PL'!$P$5,'CP RESUMO'!BU69,"")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RESUMO'!BV27</f>
        <v>100</v>
      </c>
      <c r="N75" s="140" t="n">
        <f aca="false">MAX(0,M75-M74)</f>
        <v>0</v>
      </c>
      <c r="O75" s="139" t="str">
        <f aca="false">IF(B75&lt;='VALOR POR PL'!$P$5,'CP RESUMO'!BV69,"")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RESUMO'!BW27</f>
        <v>100</v>
      </c>
      <c r="N76" s="140" t="n">
        <f aca="false">MAX(0,M76-M75)</f>
        <v>0</v>
      </c>
      <c r="O76" s="139" t="str">
        <f aca="false">IF(B76&lt;='VALOR POR PL'!$P$5,'CP RESUMO'!BW69,"")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2860561.74074991</v>
      </c>
      <c r="E78" s="61" t="n">
        <f aca="false">SUM(E5:E76)</f>
        <v>2205.71054326924</v>
      </c>
      <c r="F78" s="145" t="n">
        <f aca="false">SUM(F5:F76)</f>
        <v>1</v>
      </c>
      <c r="H78" s="61" t="n">
        <f aca="false">SUM(H5:H76)</f>
        <v>2828799.65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PL'!D34</f>
        <v>ELEVADORES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HISTORICOS'!D28)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PL'!F34</f>
        <v>3236182.09</v>
      </c>
      <c r="K5" s="56" t="n">
        <f aca="false">'VALOR POR PL'!G34</f>
        <v>2659.789702</v>
      </c>
      <c r="L5" s="56" t="n">
        <f aca="false">'DADOS HISTORICOS'!$BZ$28</f>
        <v>0</v>
      </c>
      <c r="M5" s="139" t="n">
        <f aca="false">'CP RESUMO'!D28</f>
        <v>0</v>
      </c>
      <c r="N5" s="140" t="n">
        <v>0</v>
      </c>
      <c r="O5" s="139" t="n">
        <f aca="false">IF(B5&lt;='VALOR POR PL'!$P$5,'CP RESUMO'!D70,"")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HISTORICOS'!E28)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PL'!H34</f>
        <v>2659.789702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RESUMO'!E28</f>
        <v>0</v>
      </c>
      <c r="N6" s="140" t="n">
        <f aca="false">MAX(0,M6-M5)</f>
        <v>0</v>
      </c>
      <c r="O6" s="139" t="n">
        <f aca="false">IF(B6&lt;='VALOR POR PL'!$P$5,'CP RESUMO'!E70,"")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HISTORICOS'!F28)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3448087.94380953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RESUMO'!F28</f>
        <v>0</v>
      </c>
      <c r="N7" s="140" t="n">
        <f aca="false">MAX(0,M7-M6)</f>
        <v>0</v>
      </c>
      <c r="O7" s="139" t="n">
        <f aca="false">IF(B7&lt;='VALOR POR PL'!$P$5,'CP RESUMO'!F70,"")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HISTORICOS'!G28)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RESUMO'!G28</f>
        <v>0</v>
      </c>
      <c r="N8" s="140" t="n">
        <f aca="false">MAX(0,M8-M7)</f>
        <v>0</v>
      </c>
      <c r="O8" s="139" t="n">
        <f aca="false">IF(B8&lt;='VALOR POR PL'!$P$5,'CP RESUMO'!G70,"")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HISTORICOS'!H28)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3448087.94380953</v>
      </c>
      <c r="K9" s="45" t="n">
        <f aca="false">E78</f>
        <v>2658.73790571863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RESUMO'!H28</f>
        <v>0</v>
      </c>
      <c r="N9" s="140" t="n">
        <f aca="false">MAX(0,M9-M8)</f>
        <v>0</v>
      </c>
      <c r="O9" s="139" t="n">
        <f aca="false">IF(B9&lt;='VALOR POR PL'!$P$5,'CP RESUMO'!H70,"")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HISTORICOS'!I28)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2658.73790571863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RESUMO'!I28</f>
        <v>0</v>
      </c>
      <c r="N10" s="140" t="n">
        <f aca="false">MAX(0,M10-M9)</f>
        <v>0</v>
      </c>
      <c r="O10" s="139" t="n">
        <f aca="false">IF(B10&lt;='VALOR POR PL'!$P$5,'CP RESUMO'!I70,"")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HISTORICOS'!J28)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3409802.34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RESUMO'!J28</f>
        <v>0</v>
      </c>
      <c r="N11" s="140" t="n">
        <f aca="false">MAX(0,M11-M10)</f>
        <v>0</v>
      </c>
      <c r="O11" s="139" t="n">
        <f aca="false">IF(B11&lt;='VALOR POR PL'!$P$5,'CP RESUMO'!J70,"")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HISTORICOS'!K28)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RESUMO'!K28</f>
        <v>0</v>
      </c>
      <c r="N12" s="140" t="n">
        <f aca="false">MAX(0,M12-M11)</f>
        <v>0</v>
      </c>
      <c r="O12" s="139" t="n">
        <f aca="false">IF(B12&lt;='VALOR POR PL'!$P$5,'CP RESUMO'!K70,"")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HISTORICOS'!L28)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PL'!I34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RESUMO'!L28</f>
        <v>0</v>
      </c>
      <c r="N13" s="140" t="n">
        <f aca="false">MAX(0,M13-M12)</f>
        <v>0</v>
      </c>
      <c r="O13" s="139" t="n">
        <f aca="false">IF(B13&lt;='VALOR POR PL'!$P$5,'CP RESUMO'!L70,"")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HISTORICOS'!M28)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RESUMO'!$D$70:$BW$70,MATCH('VALOR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RESUMO'!M28</f>
        <v>0</v>
      </c>
      <c r="N14" s="140" t="n">
        <f aca="false">MAX(0,M14-M13)</f>
        <v>0</v>
      </c>
      <c r="O14" s="139" t="n">
        <f aca="false">IF(B14&lt;='VALOR POR PL'!$P$5,'CP RESUMO'!M70,"")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HISTORICOS'!N28)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2941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RESUMO'!N28</f>
        <v>0</v>
      </c>
      <c r="N15" s="140" t="n">
        <f aca="false">MAX(0,M15-M14)</f>
        <v>0</v>
      </c>
      <c r="O15" s="139" t="n">
        <f aca="false">IF(B15&lt;='VALOR POR PL'!$P$5,'CP RESUMO'!N70,"")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HISTORICOS'!O28)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RESUMO'!O28</f>
        <v>0</v>
      </c>
      <c r="N16" s="140" t="n">
        <f aca="false">MAX(0,M16-M15)</f>
        <v>0</v>
      </c>
      <c r="O16" s="139" t="n">
        <f aca="false">IF(B16&lt;='VALOR POR PL'!$P$5,'CP RESUMO'!O70,"")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HISTORICOS'!P28)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3409802.34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RESUMO'!P28</f>
        <v>0</v>
      </c>
      <c r="N17" s="140" t="n">
        <f aca="false">MAX(0,M17-M16)</f>
        <v>0</v>
      </c>
      <c r="O17" s="139" t="n">
        <f aca="false">IF(B17&lt;='VALOR POR PL'!$P$5,'CP RESUMO'!P70,"")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HISTORICOS'!Q28)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3448087.94380953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RESUMO'!Q28</f>
        <v>0</v>
      </c>
      <c r="N18" s="140" t="n">
        <f aca="false">MAX(0,M18-M17)</f>
        <v>0</v>
      </c>
      <c r="O18" s="139" t="n">
        <f aca="false">IF(B18&lt;='VALOR POR PL'!$P$5,'CP RESUMO'!Q70,"")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HISTORICOS'!R28)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0.0112281006322295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RESUMO'!R28</f>
        <v>0</v>
      </c>
      <c r="N19" s="140" t="n">
        <f aca="false">MAX(0,M19-M18)</f>
        <v>0</v>
      </c>
      <c r="O19" s="139" t="n">
        <f aca="false">IF(B19&lt;='VALOR POR PL'!$P$5,'CP RESUMO'!R70,"")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HISTORICOS'!S28)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RESUMO'!S28</f>
        <v>0</v>
      </c>
      <c r="N20" s="140" t="n">
        <f aca="false">MAX(0,M20-M19)</f>
        <v>0</v>
      </c>
      <c r="O20" s="139" t="n">
        <f aca="false">IF(B20&lt;='VALOR POR PL'!$P$5,'CP RESUMO'!S70,"")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HISTORICOS'!T28)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RESUMO'!T28</f>
        <v>0</v>
      </c>
      <c r="N21" s="140" t="n">
        <f aca="false">MAX(0,M21-M20)</f>
        <v>0</v>
      </c>
      <c r="O21" s="139" t="n">
        <f aca="false">IF(B21&lt;='VALOR POR PL'!$P$5,'CP RESUMO'!T70,"")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HISTORICOS'!U28)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RESUMO'!U28</f>
        <v>0</v>
      </c>
      <c r="N22" s="140" t="n">
        <f aca="false">MAX(0,M22-M21)</f>
        <v>0</v>
      </c>
      <c r="O22" s="139" t="n">
        <f aca="false">IF(B22&lt;='VALOR POR PL'!$P$5,'CP RESUMO'!U70,"")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HISTORICOS'!V28)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RESUMO'!V28</f>
        <v>0</v>
      </c>
      <c r="N23" s="140" t="n">
        <f aca="false">MAX(0,M23-M22)</f>
        <v>0</v>
      </c>
      <c r="O23" s="139" t="n">
        <f aca="false">IF(B23&lt;='VALOR POR PL'!$P$5,'CP RESUMO'!V70,"")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HISTORICOS'!W28)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 t="s">
        <v>3020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RESUMO'!W28</f>
        <v>0</v>
      </c>
      <c r="N24" s="140" t="n">
        <f aca="false">MAX(0,M24-M23)</f>
        <v>0</v>
      </c>
      <c r="O24" s="139" t="n">
        <f aca="false">IF(B24&lt;='VALOR POR PL'!$P$5,'CP RESUMO'!W70,"")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HISTORICOS'!X28)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RESUMO'!X28</f>
        <v>0</v>
      </c>
      <c r="N25" s="140" t="n">
        <f aca="false">MAX(0,M25-M24)</f>
        <v>0</v>
      </c>
      <c r="O25" s="139" t="n">
        <f aca="false">IF(B25&lt;='VALOR POR PL'!$P$5,'CP RESUMO'!X70,"")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HISTORICOS'!Y28)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RESUMO'!Y28</f>
        <v>0</v>
      </c>
      <c r="N26" s="140" t="n">
        <f aca="false">MAX(0,M26-M25)</f>
        <v>0</v>
      </c>
      <c r="O26" s="139" t="str">
        <f aca="false">IF(B26&lt;='VALOR POR PL'!$P$5,'CP RESUMO'!Y70,"")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HISTORICOS'!Z28)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RESUMO'!Z28</f>
        <v>0</v>
      </c>
      <c r="N27" s="140" t="n">
        <f aca="false">MAX(0,M27-M26)</f>
        <v>0</v>
      </c>
      <c r="O27" s="139" t="str">
        <f aca="false">IF(B27&lt;='VALOR POR PL'!$P$5,'CP RESUMO'!Z70,"")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HISTORICOS'!AA28)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RESUMO'!AA28</f>
        <v>0</v>
      </c>
      <c r="N28" s="140" t="n">
        <f aca="false">MAX(0,M28-M27)</f>
        <v>0</v>
      </c>
      <c r="O28" s="139" t="str">
        <f aca="false">IF(B28&lt;='VALOR POR PL'!$P$5,'CP RESUMO'!AA70,"")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HISTORICOS'!AB28)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RESUMO'!AB28</f>
        <v>0</v>
      </c>
      <c r="N29" s="140" t="n">
        <f aca="false">MAX(0,M29-M28)</f>
        <v>0</v>
      </c>
      <c r="O29" s="139" t="str">
        <f aca="false">IF(B29&lt;='VALOR POR PL'!$P$5,'CP RESUMO'!AB70,"")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HISTORICOS'!AC28)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RESUMO'!AC28</f>
        <v>0</v>
      </c>
      <c r="N30" s="140" t="n">
        <f aca="false">MAX(0,M30-M29)</f>
        <v>0</v>
      </c>
      <c r="O30" s="139" t="str">
        <f aca="false">IF(B30&lt;='VALOR POR PL'!$P$5,'CP RESUMO'!AC70,"")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HISTORICOS'!AD28)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RESUMO'!AD28</f>
        <v>0</v>
      </c>
      <c r="N31" s="140" t="n">
        <f aca="false">MAX(0,M31-M30)</f>
        <v>0</v>
      </c>
      <c r="O31" s="139" t="str">
        <f aca="false">IF(B31&lt;='VALOR POR PL'!$P$5,'CP RESUMO'!AD70,"")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HISTORICOS'!AE28)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RESUMO'!AE28</f>
        <v>0</v>
      </c>
      <c r="N32" s="140" t="n">
        <f aca="false">MAX(0,M32-M31)</f>
        <v>0</v>
      </c>
      <c r="O32" s="139" t="str">
        <f aca="false">IF(B32&lt;='VALOR POR PL'!$P$5,'CP RESUMO'!AE70,"")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HISTORICOS'!AF28)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RESUMO'!AF28</f>
        <v>0</v>
      </c>
      <c r="N33" s="140" t="n">
        <f aca="false">MAX(0,M33-M32)</f>
        <v>0</v>
      </c>
      <c r="O33" s="139" t="str">
        <f aca="false">IF(B33&lt;='VALOR POR PL'!$P$5,'CP RESUMO'!AF70,"")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HISTORICOS'!AG28)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RESUMO'!AG28</f>
        <v>0</v>
      </c>
      <c r="N34" s="140" t="n">
        <f aca="false">MAX(0,M34-M33)</f>
        <v>0</v>
      </c>
      <c r="O34" s="139" t="str">
        <f aca="false">IF(B34&lt;='VALOR POR PL'!$P$5,'CP RESUMO'!AG70,"")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HISTORICOS'!AH28)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RESUMO'!AH28</f>
        <v>0</v>
      </c>
      <c r="N35" s="140" t="n">
        <f aca="false">MAX(0,M35-M34)</f>
        <v>0</v>
      </c>
      <c r="O35" s="139" t="str">
        <f aca="false">IF(B35&lt;='VALOR POR PL'!$P$5,'CP RESUMO'!AH70,"")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HISTORICOS'!AI28)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RESUMO'!AI28</f>
        <v>0</v>
      </c>
      <c r="N36" s="140" t="n">
        <f aca="false">MAX(0,M36-M35)</f>
        <v>0</v>
      </c>
      <c r="O36" s="139" t="str">
        <f aca="false">IF(B36&lt;='VALOR POR PL'!$P$5,'CP RESUMO'!AI70,"")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HISTORICOS'!AJ28)</f>
        <v>0</v>
      </c>
      <c r="D37" s="45" t="n">
        <f aca="false">IF(B37&lt;='VALOR POR PL'!$P$5,0,IF($K$17&gt;0,$K$18*P37/$K$17,0))</f>
        <v>308884.224425972</v>
      </c>
      <c r="E37" s="45" t="n">
        <f aca="false">L37+D37/$K$2</f>
        <v>238.173216386269</v>
      </c>
      <c r="F37" s="117" t="n">
        <f aca="false">IF($K$9=0,0,E37/$K$9)</f>
        <v>0.0895813069328822</v>
      </c>
      <c r="G37" s="117" t="n">
        <f aca="false">G36+F37</f>
        <v>0.0895813069328822</v>
      </c>
      <c r="H37" s="138" t="n">
        <v>305454.55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RESUMO'!AJ28</f>
        <v>0</v>
      </c>
      <c r="N37" s="140" t="n">
        <f aca="false">MAX(0,M37-M36)</f>
        <v>0</v>
      </c>
      <c r="O37" s="139" t="str">
        <f aca="false">IF(B37&lt;='VALOR POR PL'!$P$5,'CP RESUMO'!AJ70,"")</f>
        <v/>
      </c>
      <c r="P37" s="66" t="n">
        <f aca="false">IF(B37&lt;='VALOR POR PL'!$P$5,0,IF(OR($K$16="CURVA PREVISION",$K$16="MDO PREVISION + MATERIAL PREMISSA"),N37,IF($K$16="PREVISÃO INFORMADA",MAX(0,H37),0)))</f>
        <v>305454.55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HISTORICOS'!AK28)</f>
        <v>0</v>
      </c>
      <c r="D38" s="45" t="n">
        <f aca="false">IF(B38&lt;='VALOR POR PL'!$P$5,0,IF($K$17&gt;0,$K$18*P38/$K$17,0))</f>
        <v>308884.224425972</v>
      </c>
      <c r="E38" s="45" t="n">
        <f aca="false">L38+D38/$K$2</f>
        <v>238.173216386269</v>
      </c>
      <c r="F38" s="117" t="n">
        <f aca="false">IF($K$9=0,0,E38/$K$9)</f>
        <v>0.0895813069328822</v>
      </c>
      <c r="G38" s="117" t="n">
        <f aca="false">G37+F38</f>
        <v>0.179162613865764</v>
      </c>
      <c r="H38" s="138" t="n">
        <v>305454.55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RESUMO'!AK28</f>
        <v>0</v>
      </c>
      <c r="N38" s="140" t="n">
        <f aca="false">MAX(0,M38-M37)</f>
        <v>0</v>
      </c>
      <c r="O38" s="139" t="str">
        <f aca="false">IF(B38&lt;='VALOR POR PL'!$P$5,'CP RESUMO'!AK70,"")</f>
        <v/>
      </c>
      <c r="P38" s="66" t="n">
        <f aca="false">IF(B38&lt;='VALOR POR PL'!$P$5,0,IF(OR($K$16="CURVA PREVISION",$K$16="MDO PREVISION + MATERIAL PREMISSA"),N38,IF($K$16="PREVISÃO INFORMADA",MAX(0,H38),0)))</f>
        <v>305454.55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HISTORICOS'!AL28)</f>
        <v>0</v>
      </c>
      <c r="D39" s="45" t="n">
        <f aca="false">IF(B39&lt;='VALOR POR PL'!$P$5,0,IF($K$17&gt;0,$K$18*P39/$K$17,0))</f>
        <v>308884.224425972</v>
      </c>
      <c r="E39" s="45" t="n">
        <f aca="false">L39+D39/$K$2</f>
        <v>238.173216386269</v>
      </c>
      <c r="F39" s="117" t="n">
        <f aca="false">IF($K$9=0,0,E39/$K$9)</f>
        <v>0.0895813069328822</v>
      </c>
      <c r="G39" s="117" t="n">
        <f aca="false">G38+F39</f>
        <v>0.268743920798647</v>
      </c>
      <c r="H39" s="138" t="n">
        <v>305454.55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RESUMO'!AL28</f>
        <v>0</v>
      </c>
      <c r="N39" s="140" t="n">
        <f aca="false">MAX(0,M39-M38)</f>
        <v>0</v>
      </c>
      <c r="O39" s="139" t="str">
        <f aca="false">IF(B39&lt;='VALOR POR PL'!$P$5,'CP RESUMO'!AL70,"")</f>
        <v/>
      </c>
      <c r="P39" s="66" t="n">
        <f aca="false">IF(B39&lt;='VALOR POR PL'!$P$5,0,IF(OR($K$16="CURVA PREVISION",$K$16="MDO PREVISION + MATERIAL PREMISSA"),N39,IF($K$16="PREVISÃO INFORMADA",MAX(0,H39),0)))</f>
        <v>305454.55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HISTORICOS'!AM28)</f>
        <v>0</v>
      </c>
      <c r="D40" s="45" t="n">
        <f aca="false">IF(B40&lt;='VALOR POR PL'!$P$5,0,IF($K$17&gt;0,$K$18*P40/$K$17,0))</f>
        <v>308884.224425972</v>
      </c>
      <c r="E40" s="45" t="n">
        <f aca="false">L40+D40/$K$2</f>
        <v>238.173216386269</v>
      </c>
      <c r="F40" s="117" t="n">
        <f aca="false">IF($K$9=0,0,E40/$K$9)</f>
        <v>0.0895813069328822</v>
      </c>
      <c r="G40" s="117" t="n">
        <f aca="false">G39+F40</f>
        <v>0.358325227731529</v>
      </c>
      <c r="H40" s="138" t="n">
        <v>305454.55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RESUMO'!AM28</f>
        <v>0</v>
      </c>
      <c r="N40" s="140" t="n">
        <f aca="false">MAX(0,M40-M39)</f>
        <v>0</v>
      </c>
      <c r="O40" s="139" t="str">
        <f aca="false">IF(B40&lt;='VALOR POR PL'!$P$5,'CP RESUMO'!AM70,"")</f>
        <v/>
      </c>
      <c r="P40" s="66" t="n">
        <f aca="false">IF(B40&lt;='VALOR POR PL'!$P$5,0,IF(OR($K$16="CURVA PREVISION",$K$16="MDO PREVISION + MATERIAL PREMISSA"),N40,IF($K$16="PREVISÃO INFORMADA",MAX(0,H40),0)))</f>
        <v>305454.55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HISTORICOS'!AN28)</f>
        <v>0</v>
      </c>
      <c r="D41" s="45" t="n">
        <f aca="false">IF(B41&lt;='VALOR POR PL'!$P$5,0,IF($K$17&gt;0,$K$18*P41/$K$17,0))</f>
        <v>308884.224425972</v>
      </c>
      <c r="E41" s="45" t="n">
        <f aca="false">L41+D41/$K$2</f>
        <v>238.173216386269</v>
      </c>
      <c r="F41" s="117" t="n">
        <f aca="false">IF($K$9=0,0,E41/$K$9)</f>
        <v>0.0895813069328822</v>
      </c>
      <c r="G41" s="117" t="n">
        <f aca="false">G40+F41</f>
        <v>0.447906534664411</v>
      </c>
      <c r="H41" s="138" t="n">
        <v>305454.55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RESUMO'!AN28</f>
        <v>0</v>
      </c>
      <c r="N41" s="140" t="n">
        <f aca="false">MAX(0,M41-M40)</f>
        <v>0</v>
      </c>
      <c r="O41" s="139" t="str">
        <f aca="false">IF(B41&lt;='VALOR POR PL'!$P$5,'CP RESUMO'!AN70,"")</f>
        <v/>
      </c>
      <c r="P41" s="66" t="n">
        <f aca="false">IF(B41&lt;='VALOR POR PL'!$P$5,0,IF(OR($K$16="CURVA PREVISION",$K$16="MDO PREVISION + MATERIAL PREMISSA"),N41,IF($K$16="PREVISÃO INFORMADA",MAX(0,H41),0)))</f>
        <v>305454.55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HISTORICOS'!AO28)</f>
        <v>0</v>
      </c>
      <c r="D42" s="45" t="n">
        <f aca="false">IF(B42&lt;='VALOR POR PL'!$P$5,0,IF($K$17&gt;0,$K$18*P42/$K$17,0))</f>
        <v>308884.224425972</v>
      </c>
      <c r="E42" s="45" t="n">
        <f aca="false">L42+D42/$K$2</f>
        <v>238.173216386269</v>
      </c>
      <c r="F42" s="117" t="n">
        <f aca="false">IF($K$9=0,0,E42/$K$9)</f>
        <v>0.0895813069328822</v>
      </c>
      <c r="G42" s="117" t="n">
        <f aca="false">G41+F42</f>
        <v>0.537487841597293</v>
      </c>
      <c r="H42" s="138" t="n">
        <v>305454.55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RESUMO'!AO28</f>
        <v>0</v>
      </c>
      <c r="N42" s="140" t="n">
        <f aca="false">MAX(0,M42-M41)</f>
        <v>0</v>
      </c>
      <c r="O42" s="139" t="str">
        <f aca="false">IF(B42&lt;='VALOR POR PL'!$P$5,'CP RESUMO'!AO70,"")</f>
        <v/>
      </c>
      <c r="P42" s="66" t="n">
        <f aca="false">IF(B42&lt;='VALOR POR PL'!$P$5,0,IF(OR($K$16="CURVA PREVISION",$K$16="MDO PREVISION + MATERIAL PREMISSA"),N42,IF($K$16="PREVISÃO INFORMADA",MAX(0,H42),0)))</f>
        <v>305454.55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HISTORICOS'!AP28)</f>
        <v>0</v>
      </c>
      <c r="D43" s="45" t="n">
        <f aca="false">IF(B43&lt;='VALOR POR PL'!$P$5,0,IF($K$17&gt;0,$K$18*P43/$K$17,0))</f>
        <v>308884.224425972</v>
      </c>
      <c r="E43" s="45" t="n">
        <f aca="false">L43+D43/$K$2</f>
        <v>238.173216386269</v>
      </c>
      <c r="F43" s="117" t="n">
        <f aca="false">IF($K$9=0,0,E43/$K$9)</f>
        <v>0.0895813069328822</v>
      </c>
      <c r="G43" s="117" t="n">
        <f aca="false">G42+F43</f>
        <v>0.627069148530176</v>
      </c>
      <c r="H43" s="138" t="n">
        <v>305454.55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RESUMO'!AP28</f>
        <v>0</v>
      </c>
      <c r="N43" s="140" t="n">
        <f aca="false">MAX(0,M43-M42)</f>
        <v>0</v>
      </c>
      <c r="O43" s="139" t="str">
        <f aca="false">IF(B43&lt;='VALOR POR PL'!$P$5,'CP RESUMO'!AP70,"")</f>
        <v/>
      </c>
      <c r="P43" s="66" t="n">
        <f aca="false">IF(B43&lt;='VALOR POR PL'!$P$5,0,IF(OR($K$16="CURVA PREVISION",$K$16="MDO PREVISION + MATERIAL PREMISSA"),N43,IF($K$16="PREVISÃO INFORMADA",MAX(0,H43),0)))</f>
        <v>305454.55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HISTORICOS'!AQ28)</f>
        <v>0</v>
      </c>
      <c r="D44" s="45" t="n">
        <f aca="false">IF(B44&lt;='VALOR POR PL'!$P$5,0,IF($K$17&gt;0,$K$18*P44/$K$17,0))</f>
        <v>315555.741146207</v>
      </c>
      <c r="E44" s="45" t="n">
        <f aca="false">L44+D44/$K$2</f>
        <v>243.317462902536</v>
      </c>
      <c r="F44" s="117" t="n">
        <f aca="false">IF($K$9=0,0,E44/$K$9)</f>
        <v>0.0915161522236506</v>
      </c>
      <c r="G44" s="117" t="n">
        <f aca="false">G43+F44</f>
        <v>0.718585300753826</v>
      </c>
      <c r="H44" s="138" t="n">
        <v>312051.99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RESUMO'!AQ28</f>
        <v>0</v>
      </c>
      <c r="N44" s="140" t="n">
        <f aca="false">MAX(0,M44-M43)</f>
        <v>0</v>
      </c>
      <c r="O44" s="139" t="str">
        <f aca="false">IF(B44&lt;='VALOR POR PL'!$P$5,'CP RESUMO'!AQ70,"")</f>
        <v/>
      </c>
      <c r="P44" s="66" t="n">
        <f aca="false">IF(B44&lt;='VALOR POR PL'!$P$5,0,IF(OR($K$16="CURVA PREVISION",$K$16="MDO PREVISION + MATERIAL PREMISSA"),N44,IF($K$16="PREVISÃO INFORMADA",MAX(0,H44),0)))</f>
        <v>312051.99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HISTORICOS'!AR28)</f>
        <v>0</v>
      </c>
      <c r="D45" s="45" t="n">
        <f aca="false">IF(B45&lt;='VALOR POR PL'!$P$5,0,IF($K$17&gt;0,$K$18*P45/$K$17,0))</f>
        <v>315555.741146207</v>
      </c>
      <c r="E45" s="45" t="n">
        <f aca="false">L45+D45/$K$2</f>
        <v>243.317462902536</v>
      </c>
      <c r="F45" s="117" t="n">
        <f aca="false">IF($K$9=0,0,E45/$K$9)</f>
        <v>0.0915161522236506</v>
      </c>
      <c r="G45" s="117" t="n">
        <f aca="false">G44+F45</f>
        <v>0.810101452977477</v>
      </c>
      <c r="H45" s="138" t="n">
        <v>312051.99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RESUMO'!AR28</f>
        <v>0</v>
      </c>
      <c r="N45" s="140" t="n">
        <f aca="false">MAX(0,M45-M44)</f>
        <v>0</v>
      </c>
      <c r="O45" s="139" t="str">
        <f aca="false">IF(B45&lt;='VALOR POR PL'!$P$5,'CP RESUMO'!AR70,"")</f>
        <v/>
      </c>
      <c r="P45" s="66" t="n">
        <f aca="false">IF(B45&lt;='VALOR POR PL'!$P$5,0,IF(OR($K$16="CURVA PREVISION",$K$16="MDO PREVISION + MATERIAL PREMISSA"),N45,IF($K$16="PREVISÃO INFORMADA",MAX(0,H45),0)))</f>
        <v>312051.99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HISTORICOS'!AS28)</f>
        <v>0</v>
      </c>
      <c r="D46" s="45" t="n">
        <f aca="false">IF(B46&lt;='VALOR POR PL'!$P$5,0,IF($K$17&gt;0,$K$18*P46/$K$17,0))</f>
        <v>315555.741146207</v>
      </c>
      <c r="E46" s="45" t="n">
        <f aca="false">L46+D46/$K$2</f>
        <v>243.317462902536</v>
      </c>
      <c r="F46" s="117" t="n">
        <f aca="false">IF($K$9=0,0,E46/$K$9)</f>
        <v>0.0915161522236506</v>
      </c>
      <c r="G46" s="117" t="n">
        <f aca="false">G45+F46</f>
        <v>0.901617605201127</v>
      </c>
      <c r="H46" s="138" t="n">
        <v>312051.99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RESUMO'!AS28</f>
        <v>9.09</v>
      </c>
      <c r="N46" s="140" t="n">
        <f aca="false">MAX(0,M46-M45)</f>
        <v>9.09</v>
      </c>
      <c r="O46" s="139" t="str">
        <f aca="false">IF(B46&lt;='VALOR POR PL'!$P$5,'CP RESUMO'!AS70,"")</f>
        <v/>
      </c>
      <c r="P46" s="66" t="n">
        <f aca="false">IF(B46&lt;='VALOR POR PL'!$P$5,0,IF(OR($K$16="CURVA PREVISION",$K$16="MDO PREVISION + MATERIAL PREMISSA"),N46,IF($K$16="PREVISÃO INFORMADA",MAX(0,H46),0)))</f>
        <v>312051.99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HISTORICOS'!AT28)</f>
        <v>0</v>
      </c>
      <c r="D47" s="45" t="n">
        <f aca="false">IF(B47&lt;='VALOR POR PL'!$P$5,0,IF($K$17&gt;0,$K$18*P47/$K$17,0))</f>
        <v>308884.224425972</v>
      </c>
      <c r="E47" s="45" t="n">
        <f aca="false">L47+D47/$K$2</f>
        <v>238.173216386269</v>
      </c>
      <c r="F47" s="117" t="n">
        <f aca="false">IF($K$9=0,0,E47/$K$9)</f>
        <v>0.0895813069328822</v>
      </c>
      <c r="G47" s="117" t="n">
        <f aca="false">G46+F47</f>
        <v>0.99119891213401</v>
      </c>
      <c r="H47" s="138" t="n">
        <v>305454.55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RESUMO'!AT28</f>
        <v>30.3</v>
      </c>
      <c r="N47" s="140" t="n">
        <f aca="false">MAX(0,M47-M46)</f>
        <v>21.21</v>
      </c>
      <c r="O47" s="139" t="str">
        <f aca="false">IF(B47&lt;='VALOR POR PL'!$P$5,'CP RESUMO'!AT70,"")</f>
        <v/>
      </c>
      <c r="P47" s="66" t="n">
        <f aca="false">IF(B47&lt;='VALOR POR PL'!$P$5,0,IF(OR($K$16="CURVA PREVISION",$K$16="MDO PREVISION + MATERIAL PREMISSA"),N47,IF($K$16="PREVISÃO INFORMADA",MAX(0,H47),0)))</f>
        <v>305454.55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HISTORICOS'!AU28)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0.99119891213401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RESUMO'!AU28</f>
        <v>51.52</v>
      </c>
      <c r="N48" s="140" t="n">
        <f aca="false">MAX(0,M48-M47)</f>
        <v>21.22</v>
      </c>
      <c r="O48" s="139" t="str">
        <f aca="false">IF(B48&lt;='VALOR POR PL'!$P$5,'CP RESUMO'!AU70,"")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0.99119891213401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RESUMO'!AV28</f>
        <v>73.74</v>
      </c>
      <c r="N49" s="140" t="n">
        <f aca="false">MAX(0,M49-M48)</f>
        <v>22.22</v>
      </c>
      <c r="O49" s="139" t="str">
        <f aca="false">IF(B49&lt;='VALOR POR PL'!$P$5,'CP RESUMO'!AV70,"")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HISTORICOS'!AW28)</f>
        <v>0</v>
      </c>
      <c r="D50" s="45" t="n">
        <f aca="false">IF(B50&lt;='VALOR POR PL'!$P$5,0,IF($K$17&gt;0,$K$18*P50/$K$17,0))</f>
        <v>30346.9249631302</v>
      </c>
      <c r="E50" s="45" t="n">
        <f aca="false">L50+D50/$K$2</f>
        <v>23.3997859208692</v>
      </c>
      <c r="F50" s="117" t="n">
        <f aca="false">IF($K$9=0,0,E50/$K$9)</f>
        <v>0.0088010878659905</v>
      </c>
      <c r="G50" s="117" t="n">
        <f aca="false">G49+F50</f>
        <v>1</v>
      </c>
      <c r="H50" s="138" t="n">
        <v>30009.97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RESUMO'!AW28</f>
        <v>93.94</v>
      </c>
      <c r="N50" s="140" t="n">
        <f aca="false">MAX(0,M50-M49)</f>
        <v>20.2</v>
      </c>
      <c r="O50" s="139" t="str">
        <f aca="false">IF(B50&lt;='VALOR POR PL'!$P$5,'CP RESUMO'!AW70,"")</f>
        <v/>
      </c>
      <c r="P50" s="66" t="n">
        <f aca="false">IF(B50&lt;='VALOR POR PL'!$P$5,0,IF(OR($K$16="CURVA PREVISION",$K$16="MDO PREVISION + MATERIAL PREMISSA"),N50,IF($K$16="PREVISÃO INFORMADA",MAX(0,H50),0)))</f>
        <v>30009.97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RESUMO'!AX28</f>
        <v>100</v>
      </c>
      <c r="N51" s="140" t="n">
        <f aca="false">MAX(0,M51-M50)</f>
        <v>6.06</v>
      </c>
      <c r="O51" s="139" t="str">
        <f aca="false">IF(B51&lt;='VALOR POR PL'!$P$5,'CP RESUMO'!AX70,"")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RESUMO'!AY28</f>
        <v>100</v>
      </c>
      <c r="N52" s="140" t="n">
        <f aca="false">MAX(0,M52-M51)</f>
        <v>0</v>
      </c>
      <c r="O52" s="139" t="str">
        <f aca="false">IF(B52&lt;='VALOR POR PL'!$P$5,'CP RESUMO'!AY70,"")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RESUMO'!AZ28</f>
        <v>100</v>
      </c>
      <c r="N53" s="140" t="n">
        <f aca="false">MAX(0,M53-M52)</f>
        <v>0</v>
      </c>
      <c r="O53" s="139" t="str">
        <f aca="false">IF(B53&lt;='VALOR POR PL'!$P$5,'CP RESUMO'!AZ70,"")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RESUMO'!BA28</f>
        <v>100</v>
      </c>
      <c r="N54" s="140" t="n">
        <f aca="false">MAX(0,M54-M53)</f>
        <v>0</v>
      </c>
      <c r="O54" s="139" t="str">
        <f aca="false">IF(B54&lt;='VALOR POR PL'!$P$5,'CP RESUMO'!BA70,"")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RESUMO'!BB28</f>
        <v>100</v>
      </c>
      <c r="N55" s="140" t="n">
        <f aca="false">MAX(0,M55-M54)</f>
        <v>0</v>
      </c>
      <c r="O55" s="139" t="str">
        <f aca="false">IF(B55&lt;='VALOR POR PL'!$P$5,'CP RESUMO'!BB70,"")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RESUMO'!BC28</f>
        <v>100</v>
      </c>
      <c r="N56" s="140" t="n">
        <f aca="false">MAX(0,M56-M55)</f>
        <v>0</v>
      </c>
      <c r="O56" s="139" t="str">
        <f aca="false">IF(B56&lt;='VALOR POR PL'!$P$5,'CP RESUMO'!BC70,"")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RESUMO'!BD28</f>
        <v>100</v>
      </c>
      <c r="N57" s="140" t="n">
        <f aca="false">MAX(0,M57-M56)</f>
        <v>0</v>
      </c>
      <c r="O57" s="139" t="str">
        <f aca="false">IF(B57&lt;='VALOR POR PL'!$P$5,'CP RESUMO'!BD70,"")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RESUMO'!BE28</f>
        <v>100</v>
      </c>
      <c r="N58" s="140" t="n">
        <f aca="false">MAX(0,M58-M57)</f>
        <v>0</v>
      </c>
      <c r="O58" s="139" t="str">
        <f aca="false">IF(B58&lt;='VALOR POR PL'!$P$5,'CP RESUMO'!BE70,"")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RESUMO'!BF28</f>
        <v>100</v>
      </c>
      <c r="N59" s="140" t="n">
        <f aca="false">MAX(0,M59-M58)</f>
        <v>0</v>
      </c>
      <c r="O59" s="139" t="str">
        <f aca="false">IF(B59&lt;='VALOR POR PL'!$P$5,'CP RESUMO'!BF70,"")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RESUMO'!BG28</f>
        <v>100</v>
      </c>
      <c r="N60" s="140" t="n">
        <f aca="false">MAX(0,M60-M59)</f>
        <v>0</v>
      </c>
      <c r="O60" s="139" t="str">
        <f aca="false">IF(B60&lt;='VALOR POR PL'!$P$5,'CP RESUMO'!BG70,"")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RESUMO'!BH28</f>
        <v>100</v>
      </c>
      <c r="N61" s="140" t="n">
        <f aca="false">MAX(0,M61-M60)</f>
        <v>0</v>
      </c>
      <c r="O61" s="139" t="str">
        <f aca="false">IF(B61&lt;='VALOR POR PL'!$P$5,'CP RESUMO'!BH70,"")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RESUMO'!BI28</f>
        <v>100</v>
      </c>
      <c r="N62" s="140" t="n">
        <f aca="false">MAX(0,M62-M61)</f>
        <v>0</v>
      </c>
      <c r="O62" s="139" t="str">
        <f aca="false">IF(B62&lt;='VALOR POR PL'!$P$5,'CP RESUMO'!BI70,"")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RESUMO'!BJ28</f>
        <v>100</v>
      </c>
      <c r="N63" s="140" t="n">
        <f aca="false">MAX(0,M63-M62)</f>
        <v>0</v>
      </c>
      <c r="O63" s="139" t="str">
        <f aca="false">IF(B63&lt;='VALOR POR PL'!$P$5,'CP RESUMO'!BJ70,"")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RESUMO'!BK28</f>
        <v>100</v>
      </c>
      <c r="N64" s="140" t="n">
        <f aca="false">MAX(0,M64-M63)</f>
        <v>0</v>
      </c>
      <c r="O64" s="139" t="str">
        <f aca="false">IF(B64&lt;='VALOR POR PL'!$P$5,'CP RESUMO'!BK70,"")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RESUMO'!BL28</f>
        <v>100</v>
      </c>
      <c r="N65" s="140" t="n">
        <f aca="false">MAX(0,M65-M64)</f>
        <v>0</v>
      </c>
      <c r="O65" s="139" t="str">
        <f aca="false">IF(B65&lt;='VALOR POR PL'!$P$5,'CP RESUMO'!BL70,"")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RESUMO'!BM28</f>
        <v>100</v>
      </c>
      <c r="N66" s="140" t="n">
        <f aca="false">MAX(0,M66-M65)</f>
        <v>0</v>
      </c>
      <c r="O66" s="139" t="str">
        <f aca="false">IF(B66&lt;='VALOR POR PL'!$P$5,'CP RESUMO'!BM70,"")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RESUMO'!BN28</f>
        <v>100</v>
      </c>
      <c r="N67" s="140" t="n">
        <f aca="false">MAX(0,M67-M66)</f>
        <v>0</v>
      </c>
      <c r="O67" s="139" t="str">
        <f aca="false">IF(B67&lt;='VALOR POR PL'!$P$5,'CP RESUMO'!BN70,"")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RESUMO'!BO28</f>
        <v>100</v>
      </c>
      <c r="N68" s="140" t="n">
        <f aca="false">MAX(0,M68-M67)</f>
        <v>0</v>
      </c>
      <c r="O68" s="139" t="str">
        <f aca="false">IF(B68&lt;='VALOR POR PL'!$P$5,'CP RESUMO'!BO70,"")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RESUMO'!BP28</f>
        <v>100</v>
      </c>
      <c r="N69" s="140" t="n">
        <f aca="false">MAX(0,M69-M68)</f>
        <v>0</v>
      </c>
      <c r="O69" s="139" t="str">
        <f aca="false">IF(B69&lt;='VALOR POR PL'!$P$5,'CP RESUMO'!BP70,"")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RESUMO'!BQ28</f>
        <v>100</v>
      </c>
      <c r="N70" s="140" t="n">
        <f aca="false">MAX(0,M70-M69)</f>
        <v>0</v>
      </c>
      <c r="O70" s="139" t="str">
        <f aca="false">IF(B70&lt;='VALOR POR PL'!$P$5,'CP RESUMO'!BQ70,"")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RESUMO'!BR28</f>
        <v>100</v>
      </c>
      <c r="N71" s="140" t="n">
        <f aca="false">MAX(0,M71-M70)</f>
        <v>0</v>
      </c>
      <c r="O71" s="139" t="str">
        <f aca="false">IF(B71&lt;='VALOR POR PL'!$P$5,'CP RESUMO'!BR70,"")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RESUMO'!BS28</f>
        <v>100</v>
      </c>
      <c r="N72" s="140" t="n">
        <f aca="false">MAX(0,M72-M71)</f>
        <v>0</v>
      </c>
      <c r="O72" s="139" t="str">
        <f aca="false">IF(B72&lt;='VALOR POR PL'!$P$5,'CP RESUMO'!BS70,"")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RESUMO'!BT28</f>
        <v>100</v>
      </c>
      <c r="N73" s="140" t="n">
        <f aca="false">MAX(0,M73-M72)</f>
        <v>0</v>
      </c>
      <c r="O73" s="139" t="str">
        <f aca="false">IF(B73&lt;='VALOR POR PL'!$P$5,'CP RESUMO'!BT70,"")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RESUMO'!BU28</f>
        <v>100</v>
      </c>
      <c r="N74" s="140" t="n">
        <f aca="false">MAX(0,M74-M73)</f>
        <v>0</v>
      </c>
      <c r="O74" s="139" t="str">
        <f aca="false">IF(B74&lt;='VALOR POR PL'!$P$5,'CP RESUMO'!BU70,"")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RESUMO'!BV28</f>
        <v>100</v>
      </c>
      <c r="N75" s="140" t="n">
        <f aca="false">MAX(0,M75-M74)</f>
        <v>0</v>
      </c>
      <c r="O75" s="139" t="str">
        <f aca="false">IF(B75&lt;='VALOR POR PL'!$P$5,'CP RESUMO'!BV70,"")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RESUMO'!BW28</f>
        <v>100</v>
      </c>
      <c r="N76" s="140" t="n">
        <f aca="false">MAX(0,M76-M75)</f>
        <v>0</v>
      </c>
      <c r="O76" s="139" t="str">
        <f aca="false">IF(B76&lt;='VALOR POR PL'!$P$5,'CP RESUMO'!BW70,"")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3448087.94380953</v>
      </c>
      <c r="E78" s="61" t="n">
        <f aca="false">SUM(E5:E76)</f>
        <v>2658.73790571863</v>
      </c>
      <c r="F78" s="145" t="n">
        <f aca="false">SUM(F5:F76)</f>
        <v>1</v>
      </c>
      <c r="H78" s="61" t="n">
        <f aca="false">SUM(H5:H76)</f>
        <v>3409802.34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PL'!D35</f>
        <v>ESQUADRIAS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PL'!F35</f>
        <v>11181479.74</v>
      </c>
      <c r="K5" s="56" t="n">
        <f aca="false">'VALOR POR PL'!G35</f>
        <v>9189.960224</v>
      </c>
      <c r="L5" s="56" t="n">
        <f aca="false">'DADOS HISTORICOS'!$BZ$29</f>
        <v>0</v>
      </c>
      <c r="M5" s="139" t="n">
        <f aca="false">'CP RESUMO'!D29</f>
        <v>0</v>
      </c>
      <c r="N5" s="140" t="n">
        <v>0</v>
      </c>
      <c r="O5" s="139" t="n">
        <f aca="false">IF(B5&lt;='VALOR POR PL'!$P$5,'CP RESUMO'!D71,"")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PL'!H35</f>
        <v>9189.960224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RESUMO'!E29</f>
        <v>0</v>
      </c>
      <c r="N6" s="140" t="n">
        <f aca="false">MAX(0,M6-M5)</f>
        <v>0</v>
      </c>
      <c r="O6" s="139" t="n">
        <f aca="false">IF(B6&lt;='VALOR POR PL'!$P$5,'CP RESUMO'!E71,"")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11913645.2888122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RESUMO'!F29</f>
        <v>0</v>
      </c>
      <c r="N7" s="140" t="n">
        <f aca="false">MAX(0,M7-M6)</f>
        <v>0</v>
      </c>
      <c r="O7" s="139" t="n">
        <f aca="false">IF(B7&lt;='VALOR POR PL'!$P$5,'CP RESUMO'!F71,"")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RESUMO'!G29</f>
        <v>0</v>
      </c>
      <c r="N8" s="140" t="n">
        <f aca="false">MAX(0,M8-M7)</f>
        <v>0</v>
      </c>
      <c r="O8" s="139" t="n">
        <f aca="false">IF(B8&lt;='VALOR POR PL'!$P$5,'CP RESUMO'!G71,"")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11913645.2888122</v>
      </c>
      <c r="K9" s="45" t="n">
        <f aca="false">E78</f>
        <v>9186.32611488895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RESUMO'!H29</f>
        <v>0</v>
      </c>
      <c r="N9" s="140" t="n">
        <f aca="false">MAX(0,M9-M8)</f>
        <v>0</v>
      </c>
      <c r="O9" s="139" t="n">
        <f aca="false">IF(B9&lt;='VALOR POR PL'!$P$5,'CP RESUMO'!H71,"")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9186.32611488895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RESUMO'!I29</f>
        <v>0</v>
      </c>
      <c r="N10" s="140" t="n">
        <f aca="false">MAX(0,M10-M9)</f>
        <v>0</v>
      </c>
      <c r="O10" s="139" t="n">
        <f aca="false">IF(B10&lt;='VALOR POR PL'!$P$5,'CP RESUMO'!I71,"")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11781362.78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RESUMO'!J29</f>
        <v>0</v>
      </c>
      <c r="N11" s="140" t="n">
        <f aca="false">MAX(0,M11-M10)</f>
        <v>0</v>
      </c>
      <c r="O11" s="139" t="n">
        <f aca="false">IF(B11&lt;='VALOR POR PL'!$P$5,'CP RESUMO'!J71,"")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RESUMO'!K29</f>
        <v>0</v>
      </c>
      <c r="N12" s="140" t="n">
        <f aca="false">MAX(0,M12-M11)</f>
        <v>0</v>
      </c>
      <c r="O12" s="139" t="n">
        <f aca="false">IF(B12&lt;='VALOR POR PL'!$P$5,'CP RESUMO'!K71,"")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PL'!I35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RESUMO'!L29</f>
        <v>0</v>
      </c>
      <c r="N13" s="140" t="n">
        <f aca="false">MAX(0,M13-M12)</f>
        <v>0</v>
      </c>
      <c r="O13" s="139" t="n">
        <f aca="false">IF(B13&lt;='VALOR POR PL'!$P$5,'CP RESUMO'!L71,"")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RESUMO'!$D$71:$BW$71,MATCH('VALOR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RESUMO'!M29</f>
        <v>0</v>
      </c>
      <c r="N14" s="140" t="n">
        <f aca="false">MAX(0,M14-M13)</f>
        <v>0</v>
      </c>
      <c r="O14" s="139" t="n">
        <f aca="false">IF(B14&lt;='VALOR POR PL'!$P$5,'CP RESUMO'!M71,"")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HISTORICOS'!N29)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2941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RESUMO'!N29</f>
        <v>0</v>
      </c>
      <c r="N15" s="140" t="n">
        <f aca="false">MAX(0,M15-M14)</f>
        <v>0</v>
      </c>
      <c r="O15" s="139" t="n">
        <f aca="false">IF(B15&lt;='VALOR POR PL'!$P$5,'CP RESUMO'!N71,"")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RESUMO'!O29</f>
        <v>0</v>
      </c>
      <c r="N16" s="140" t="n">
        <f aca="false">MAX(0,M16-M15)</f>
        <v>0</v>
      </c>
      <c r="O16" s="139" t="n">
        <f aca="false">IF(B16&lt;='VALOR POR PL'!$P$5,'CP RESUMO'!O71,"")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11781362.78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RESUMO'!P29</f>
        <v>0</v>
      </c>
      <c r="N17" s="140" t="n">
        <f aca="false">MAX(0,M17-M16)</f>
        <v>0</v>
      </c>
      <c r="O17" s="139" t="n">
        <f aca="false">IF(B17&lt;='VALOR POR PL'!$P$5,'CP RESUMO'!P71,"")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11913645.2888122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RESUMO'!Q29</f>
        <v>0</v>
      </c>
      <c r="N18" s="140" t="n">
        <f aca="false">MAX(0,M18-M17)</f>
        <v>0</v>
      </c>
      <c r="O18" s="139" t="n">
        <f aca="false">IF(B18&lt;='VALOR POR PL'!$P$5,'CP RESUMO'!Q71,"")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HISTORICOS'!R29)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0.011228116074719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RESUMO'!R29</f>
        <v>0</v>
      </c>
      <c r="N19" s="140" t="n">
        <f aca="false">MAX(0,M19-M18)</f>
        <v>0</v>
      </c>
      <c r="O19" s="139" t="n">
        <f aca="false">IF(B19&lt;='VALOR POR PL'!$P$5,'CP RESUMO'!R71,"")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HISTORICOS'!S29)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RESUMO'!S29</f>
        <v>0</v>
      </c>
      <c r="N20" s="140" t="n">
        <f aca="false">MAX(0,M20-M19)</f>
        <v>0</v>
      </c>
      <c r="O20" s="139" t="n">
        <f aca="false">IF(B20&lt;='VALOR POR PL'!$P$5,'CP RESUMO'!S71,"")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HISTORICOS'!T29)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RESUMO'!T29</f>
        <v>0</v>
      </c>
      <c r="N21" s="140" t="n">
        <f aca="false">MAX(0,M21-M20)</f>
        <v>0</v>
      </c>
      <c r="O21" s="139" t="n">
        <f aca="false">IF(B21&lt;='VALOR POR PL'!$P$5,'CP RESUMO'!T71,"")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HISTORICOS'!U29)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RESUMO'!U29</f>
        <v>0</v>
      </c>
      <c r="N22" s="140" t="n">
        <f aca="false">MAX(0,M22-M21)</f>
        <v>0</v>
      </c>
      <c r="O22" s="139" t="n">
        <f aca="false">IF(B22&lt;='VALOR POR PL'!$P$5,'CP RESUMO'!U71,"")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RESUMO'!V29</f>
        <v>0</v>
      </c>
      <c r="N23" s="140" t="n">
        <f aca="false">MAX(0,M23-M22)</f>
        <v>0</v>
      </c>
      <c r="O23" s="139" t="n">
        <f aca="false">IF(B23&lt;='VALOR POR PL'!$P$5,'CP RESUMO'!V71,"")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HISTORICOS'!W29)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 t="s">
        <v>3021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RESUMO'!W29</f>
        <v>0</v>
      </c>
      <c r="N24" s="140" t="n">
        <f aca="false">MAX(0,M24-M23)</f>
        <v>0</v>
      </c>
      <c r="O24" s="139" t="n">
        <f aca="false">IF(B24&lt;='VALOR POR PL'!$P$5,'CP RESUMO'!W71,"")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RESUMO'!X29</f>
        <v>0</v>
      </c>
      <c r="N25" s="140" t="n">
        <f aca="false">MAX(0,M25-M24)</f>
        <v>0</v>
      </c>
      <c r="O25" s="139" t="n">
        <f aca="false">IF(B25&lt;='VALOR POR PL'!$P$5,'CP RESUMO'!X71,"")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HISTORICOS'!Y29)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RESUMO'!Y29</f>
        <v>0</v>
      </c>
      <c r="N26" s="140" t="n">
        <f aca="false">MAX(0,M26-M25)</f>
        <v>0</v>
      </c>
      <c r="O26" s="139" t="str">
        <f aca="false">IF(B26&lt;='VALOR POR PL'!$P$5,'CP RESUMO'!Y71,"")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HISTORICOS'!Z29)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RESUMO'!Z29</f>
        <v>0</v>
      </c>
      <c r="N27" s="140" t="n">
        <f aca="false">MAX(0,M27-M26)</f>
        <v>0</v>
      </c>
      <c r="O27" s="139" t="str">
        <f aca="false">IF(B27&lt;='VALOR POR PL'!$P$5,'CP RESUMO'!Z71,"")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HISTORICOS'!AA29)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RESUMO'!AA29</f>
        <v>0</v>
      </c>
      <c r="N28" s="140" t="n">
        <f aca="false">MAX(0,M28-M27)</f>
        <v>0</v>
      </c>
      <c r="O28" s="139" t="str">
        <f aca="false">IF(B28&lt;='VALOR POR PL'!$P$5,'CP RESUMO'!AA71,"")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HISTORICOS'!AB29)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RESUMO'!AB29</f>
        <v>0</v>
      </c>
      <c r="N29" s="140" t="n">
        <f aca="false">MAX(0,M29-M28)</f>
        <v>0</v>
      </c>
      <c r="O29" s="139" t="str">
        <f aca="false">IF(B29&lt;='VALOR POR PL'!$P$5,'CP RESUMO'!AB71,"")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HISTORICOS'!AC29)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RESUMO'!AC29</f>
        <v>0</v>
      </c>
      <c r="N30" s="140" t="n">
        <f aca="false">MAX(0,M30-M29)</f>
        <v>0</v>
      </c>
      <c r="O30" s="139" t="str">
        <f aca="false">IF(B30&lt;='VALOR POR PL'!$P$5,'CP RESUMO'!AC71,"")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HISTORICOS'!AD29)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RESUMO'!AD29</f>
        <v>0</v>
      </c>
      <c r="N31" s="140" t="n">
        <f aca="false">MAX(0,M31-M30)</f>
        <v>0</v>
      </c>
      <c r="O31" s="139" t="str">
        <f aca="false">IF(B31&lt;='VALOR POR PL'!$P$5,'CP RESUMO'!AD71,"")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HISTORICOS'!AE29)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RESUMO'!AE29</f>
        <v>0</v>
      </c>
      <c r="N32" s="140" t="n">
        <f aca="false">MAX(0,M32-M31)</f>
        <v>0</v>
      </c>
      <c r="O32" s="139" t="str">
        <f aca="false">IF(B32&lt;='VALOR POR PL'!$P$5,'CP RESUMO'!AE71,"")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HISTORICOS'!AF29)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RESUMO'!AF29</f>
        <v>0</v>
      </c>
      <c r="N33" s="140" t="n">
        <f aca="false">MAX(0,M33-M32)</f>
        <v>0</v>
      </c>
      <c r="O33" s="139" t="str">
        <f aca="false">IF(B33&lt;='VALOR POR PL'!$P$5,'CP RESUMO'!AF71,"")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HISTORICOS'!AG29)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RESUMO'!AG29</f>
        <v>0</v>
      </c>
      <c r="N34" s="140" t="n">
        <f aca="false">MAX(0,M34-M33)</f>
        <v>0</v>
      </c>
      <c r="O34" s="139" t="str">
        <f aca="false">IF(B34&lt;='VALOR POR PL'!$P$5,'CP RESUMO'!AG71,"")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HISTORICOS'!AH29)</f>
        <v>0</v>
      </c>
      <c r="D35" s="45" t="n">
        <f aca="false">IF(B35&lt;='VALOR POR PL'!$P$5,0,IF($K$17&gt;0,$K$18*P35/$K$17,0))</f>
        <v>792026.219809434</v>
      </c>
      <c r="E35" s="45" t="n">
        <f aca="false">L35+D35/$K$2</f>
        <v>610.712420114161</v>
      </c>
      <c r="F35" s="117" t="n">
        <f aca="false">IF($K$9=0,0,E35/$K$9)</f>
        <v>0.0664805943612578</v>
      </c>
      <c r="G35" s="117" t="n">
        <f aca="false">G34+F35</f>
        <v>0.0664805943612578</v>
      </c>
      <c r="H35" s="138" t="n">
        <v>783232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RESUMO'!AH29</f>
        <v>0</v>
      </c>
      <c r="N35" s="140" t="n">
        <f aca="false">MAX(0,M35-M34)</f>
        <v>0</v>
      </c>
      <c r="O35" s="139" t="str">
        <f aca="false">IF(B35&lt;='VALOR POR PL'!$P$5,'CP RESUMO'!AH71,"")</f>
        <v/>
      </c>
      <c r="P35" s="66" t="n">
        <f aca="false">IF(B35&lt;='VALOR POR PL'!$P$5,0,IF(OR($K$16="CURVA PREVISION",$K$16="MDO PREVISION + MATERIAL PREMISSA"),N35,IF($K$16="PREVISÃO INFORMADA",MAX(0,H35),0)))</f>
        <v>783232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HISTORICOS'!AI29)</f>
        <v>0</v>
      </c>
      <c r="D36" s="45" t="n">
        <f aca="false">IF(B36&lt;='VALOR POR PL'!$P$5,0,IF($K$17&gt;0,$K$18*P36/$K$17,0))</f>
        <v>950431.463771321</v>
      </c>
      <c r="E36" s="45" t="n">
        <f aca="false">L36+D36/$K$2</f>
        <v>732.854904136994</v>
      </c>
      <c r="F36" s="117" t="n">
        <f aca="false">IF($K$9=0,0,E36/$K$9)</f>
        <v>0.0797767132335093</v>
      </c>
      <c r="G36" s="117" t="n">
        <f aca="false">G35+F36</f>
        <v>0.146257307594767</v>
      </c>
      <c r="H36" s="138" t="n">
        <v>939878.4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RESUMO'!AI29</f>
        <v>0</v>
      </c>
      <c r="N36" s="140" t="n">
        <f aca="false">MAX(0,M36-M35)</f>
        <v>0</v>
      </c>
      <c r="O36" s="139" t="str">
        <f aca="false">IF(B36&lt;='VALOR POR PL'!$P$5,'CP RESUMO'!AI71,"")</f>
        <v/>
      </c>
      <c r="P36" s="66" t="n">
        <f aca="false">IF(B36&lt;='VALOR POR PL'!$P$5,0,IF(OR($K$16="CURVA PREVISION",$K$16="MDO PREVISION + MATERIAL PREMISSA"),N36,IF($K$16="PREVISÃO INFORMADA",MAX(0,H36),0)))</f>
        <v>939878.4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HISTORICOS'!AJ29)</f>
        <v>0</v>
      </c>
      <c r="D37" s="45" t="n">
        <f aca="false">IF(B37&lt;='VALOR POR PL'!$P$5,0,IF($K$17&gt;0,$K$18*P37/$K$17,0))</f>
        <v>950431.463771321</v>
      </c>
      <c r="E37" s="45" t="n">
        <f aca="false">L37+D37/$K$2</f>
        <v>732.854904136994</v>
      </c>
      <c r="F37" s="117" t="n">
        <f aca="false">IF($K$9=0,0,E37/$K$9)</f>
        <v>0.0797767132335093</v>
      </c>
      <c r="G37" s="117" t="n">
        <f aca="false">G36+F37</f>
        <v>0.226034020828276</v>
      </c>
      <c r="H37" s="138" t="n">
        <v>939878.4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RESUMO'!AJ29</f>
        <v>0</v>
      </c>
      <c r="N37" s="140" t="n">
        <f aca="false">MAX(0,M37-M36)</f>
        <v>0</v>
      </c>
      <c r="O37" s="139" t="str">
        <f aca="false">IF(B37&lt;='VALOR POR PL'!$P$5,'CP RESUMO'!AJ71,"")</f>
        <v/>
      </c>
      <c r="P37" s="66" t="n">
        <f aca="false">IF(B37&lt;='VALOR POR PL'!$P$5,0,IF(OR($K$16="CURVA PREVISION",$K$16="MDO PREVISION + MATERIAL PREMISSA"),N37,IF($K$16="PREVISÃO INFORMADA",MAX(0,H37),0)))</f>
        <v>939878.4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HISTORICOS'!AK29)</f>
        <v>0</v>
      </c>
      <c r="D38" s="45" t="n">
        <f aca="false">IF(B38&lt;='VALOR POR PL'!$P$5,0,IF($K$17&gt;0,$K$18*P38/$K$17,0))</f>
        <v>158405.243961887</v>
      </c>
      <c r="E38" s="45" t="n">
        <f aca="false">L38+D38/$K$2</f>
        <v>122.142484022832</v>
      </c>
      <c r="F38" s="117" t="n">
        <f aca="false">IF($K$9=0,0,E38/$K$9)</f>
        <v>0.0132961188722516</v>
      </c>
      <c r="G38" s="117" t="n">
        <f aca="false">G37+F38</f>
        <v>0.239330139700528</v>
      </c>
      <c r="H38" s="138" t="n">
        <v>156646.4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RESUMO'!AK29</f>
        <v>0</v>
      </c>
      <c r="N38" s="140" t="n">
        <f aca="false">MAX(0,M38-M37)</f>
        <v>0</v>
      </c>
      <c r="O38" s="139" t="str">
        <f aca="false">IF(B38&lt;='VALOR POR PL'!$P$5,'CP RESUMO'!AK71,"")</f>
        <v/>
      </c>
      <c r="P38" s="66" t="n">
        <f aca="false">IF(B38&lt;='VALOR POR PL'!$P$5,0,IF(OR($K$16="CURVA PREVISION",$K$16="MDO PREVISION + MATERIAL PREMISSA"),N38,IF($K$16="PREVISÃO INFORMADA",MAX(0,H38),0)))</f>
        <v>156646.4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HISTORICOS'!AL29)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0.239330139700528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RESUMO'!AL29</f>
        <v>0</v>
      </c>
      <c r="N39" s="140" t="n">
        <f aca="false">MAX(0,M39-M38)</f>
        <v>0</v>
      </c>
      <c r="O39" s="139" t="str">
        <f aca="false">IF(B39&lt;='VALOR POR PL'!$P$5,'CP RESUMO'!AL71,"")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HISTORICOS'!AM29)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0.239330139700528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RESUMO'!AM29</f>
        <v>0</v>
      </c>
      <c r="N40" s="140" t="n">
        <f aca="false">MAX(0,M40-M39)</f>
        <v>0</v>
      </c>
      <c r="O40" s="139" t="str">
        <f aca="false">IF(B40&lt;='VALOR POR PL'!$P$5,'CP RESUMO'!AM71,"")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HISTORICOS'!AN29)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0.239330139700528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RESUMO'!AN29</f>
        <v>4.72</v>
      </c>
      <c r="N41" s="140" t="n">
        <f aca="false">MAX(0,M41-M40)</f>
        <v>4.72</v>
      </c>
      <c r="O41" s="139" t="str">
        <f aca="false">IF(B41&lt;='VALOR POR PL'!$P$5,'CP RESUMO'!AN71,"")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HISTORICOS'!AO29)</f>
        <v>0</v>
      </c>
      <c r="D42" s="45" t="n">
        <f aca="false">IF(B42&lt;='VALOR POR PL'!$P$5,0,IF($K$17&gt;0,$K$18*P42/$K$17,0))</f>
        <v>1425129.24461593</v>
      </c>
      <c r="E42" s="45" t="n">
        <f aca="false">L42+D42/$K$2</f>
        <v>1098.8829765816</v>
      </c>
      <c r="F42" s="117" t="n">
        <f aca="false">IF($K$9=0,0,E42/$K$9)</f>
        <v>0.119621594404378</v>
      </c>
      <c r="G42" s="117" t="n">
        <f aca="false">G41+F42</f>
        <v>0.358951734104906</v>
      </c>
      <c r="H42" s="138" t="n">
        <v>1409305.4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RESUMO'!AO29</f>
        <v>12.97</v>
      </c>
      <c r="N42" s="140" t="n">
        <f aca="false">MAX(0,M42-M41)</f>
        <v>8.25</v>
      </c>
      <c r="O42" s="139" t="str">
        <f aca="false">IF(B42&lt;='VALOR POR PL'!$P$5,'CP RESUMO'!AO71,"")</f>
        <v/>
      </c>
      <c r="P42" s="66" t="n">
        <f aca="false">IF(B42&lt;='VALOR POR PL'!$P$5,0,IF(OR($K$16="CURVA PREVISION",$K$16="MDO PREVISION + MATERIAL PREMISSA"),N42,IF($K$16="PREVISÃO INFORMADA",MAX(0,H42),0)))</f>
        <v>1409305.4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HISTORICOS'!AP29)</f>
        <v>0</v>
      </c>
      <c r="D43" s="45" t="n">
        <f aca="false">IF(B43&lt;='VALOR POR PL'!$P$5,0,IF($K$17&gt;0,$K$18*P43/$K$17,0))</f>
        <v>1643624.88905266</v>
      </c>
      <c r="E43" s="45" t="n">
        <f aca="false">L43+D43/$K$2</f>
        <v>1267.35972704886</v>
      </c>
      <c r="F43" s="117" t="n">
        <f aca="false">IF($K$9=0,0,E43/$K$9)</f>
        <v>0.137961543189149</v>
      </c>
      <c r="G43" s="117" t="n">
        <f aca="false">G42+F43</f>
        <v>0.496913277294055</v>
      </c>
      <c r="H43" s="138" t="n">
        <v>1625374.99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RESUMO'!AP29</f>
        <v>22.75</v>
      </c>
      <c r="N43" s="140" t="n">
        <f aca="false">MAX(0,M43-M42)</f>
        <v>9.78</v>
      </c>
      <c r="O43" s="139" t="str">
        <f aca="false">IF(B43&lt;='VALOR POR PL'!$P$5,'CP RESUMO'!AP71,"")</f>
        <v/>
      </c>
      <c r="P43" s="66" t="n">
        <f aca="false">IF(B43&lt;='VALOR POR PL'!$P$5,0,IF(OR($K$16="CURVA PREVISION",$K$16="MDO PREVISION + MATERIAL PREMISSA"),N43,IF($K$16="PREVISÃO INFORMADA",MAX(0,H43),0)))</f>
        <v>1625374.99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HISTORICOS'!AQ29)</f>
        <v>0</v>
      </c>
      <c r="D44" s="45" t="n">
        <f aca="false">IF(B44&lt;='VALOR POR PL'!$P$5,0,IF($K$17&gt;0,$K$18*P44/$K$17,0))</f>
        <v>1643624.88905266</v>
      </c>
      <c r="E44" s="45" t="n">
        <f aca="false">L44+D44/$K$2</f>
        <v>1267.35972704886</v>
      </c>
      <c r="F44" s="117" t="n">
        <f aca="false">IF($K$9=0,0,E44/$K$9)</f>
        <v>0.137961543189149</v>
      </c>
      <c r="G44" s="117" t="n">
        <f aca="false">G43+F44</f>
        <v>0.634874820483204</v>
      </c>
      <c r="H44" s="138" t="n">
        <v>1625374.99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RESUMO'!AQ29</f>
        <v>33.92</v>
      </c>
      <c r="N44" s="140" t="n">
        <f aca="false">MAX(0,M44-M43)</f>
        <v>11.17</v>
      </c>
      <c r="O44" s="139" t="str">
        <f aca="false">IF(B44&lt;='VALOR POR PL'!$P$5,'CP RESUMO'!AQ71,"")</f>
        <v/>
      </c>
      <c r="P44" s="66" t="n">
        <f aca="false">IF(B44&lt;='VALOR POR PL'!$P$5,0,IF(OR($K$16="CURVA PREVISION",$K$16="MDO PREVISION + MATERIAL PREMISSA"),N44,IF($K$16="PREVISÃO INFORMADA",MAX(0,H44),0)))</f>
        <v>1625374.99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HISTORICOS'!AR29)</f>
        <v>0</v>
      </c>
      <c r="D45" s="45" t="n">
        <f aca="false">IF(B45&lt;='VALOR POR PL'!$P$5,0,IF($K$17&gt;0,$K$18*P45/$K$17,0))</f>
        <v>551146.656756699</v>
      </c>
      <c r="E45" s="45" t="n">
        <f aca="false">L45+D45/$K$2</f>
        <v>424.97596691521</v>
      </c>
      <c r="F45" s="117" t="n">
        <f aca="false">IF($K$9=0,0,E45/$K$9)</f>
        <v>0.0462617984164987</v>
      </c>
      <c r="G45" s="117" t="n">
        <f aca="false">G44+F45</f>
        <v>0.681136618899703</v>
      </c>
      <c r="H45" s="138" t="n">
        <v>545027.03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RESUMO'!AR29</f>
        <v>41.06</v>
      </c>
      <c r="N45" s="140" t="n">
        <f aca="false">MAX(0,M45-M44)</f>
        <v>7.14</v>
      </c>
      <c r="O45" s="139" t="str">
        <f aca="false">IF(B45&lt;='VALOR POR PL'!$P$5,'CP RESUMO'!AR71,"")</f>
        <v/>
      </c>
      <c r="P45" s="66" t="n">
        <f aca="false">IF(B45&lt;='VALOR POR PL'!$P$5,0,IF(OR($K$16="CURVA PREVISION",$K$16="MDO PREVISION + MATERIAL PREMISSA"),N45,IF($K$16="PREVISÃO INFORMADA",MAX(0,H45),0)))</f>
        <v>545027.03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HISTORICOS'!AS29)</f>
        <v>0</v>
      </c>
      <c r="D46" s="45" t="n">
        <f aca="false">IF(B46&lt;='VALOR POR PL'!$P$5,0,IF($K$17&gt;0,$K$18*P46/$K$17,0))</f>
        <v>95043.1463771321</v>
      </c>
      <c r="E46" s="45" t="n">
        <f aca="false">L46+D46/$K$2</f>
        <v>73.2854904136993</v>
      </c>
      <c r="F46" s="117" t="n">
        <f aca="false">IF($K$9=0,0,E46/$K$9)</f>
        <v>0.00797767132335093</v>
      </c>
      <c r="G46" s="117" t="n">
        <f aca="false">G45+F46</f>
        <v>0.689114290223054</v>
      </c>
      <c r="H46" s="138" t="n">
        <v>93987.84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RESUMO'!AS29</f>
        <v>49.88</v>
      </c>
      <c r="N46" s="140" t="n">
        <f aca="false">MAX(0,M46-M45)</f>
        <v>8.82</v>
      </c>
      <c r="O46" s="139" t="str">
        <f aca="false">IF(B46&lt;='VALOR POR PL'!$P$5,'CP RESUMO'!AS71,"")</f>
        <v/>
      </c>
      <c r="P46" s="66" t="n">
        <f aca="false">IF(B46&lt;='VALOR POR PL'!$P$5,0,IF(OR($K$16="CURVA PREVISION",$K$16="MDO PREVISION + MATERIAL PREMISSA"),N46,IF($K$16="PREVISÃO INFORMADA",MAX(0,H46),0)))</f>
        <v>93987.84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HISTORICOS'!AT29)</f>
        <v>0</v>
      </c>
      <c r="D47" s="45" t="n">
        <f aca="false">IF(B47&lt;='VALOR POR PL'!$P$5,0,IF($K$17&gt;0,$K$18*P47/$K$17,0))</f>
        <v>422786.618088378</v>
      </c>
      <c r="E47" s="45" t="n">
        <f aca="false">L47+D47/$K$2</f>
        <v>326.000620013261</v>
      </c>
      <c r="F47" s="117" t="n">
        <f aca="false">IF($K$9=0,0,E47/$K$9)</f>
        <v>0.0354875949249056</v>
      </c>
      <c r="G47" s="117" t="n">
        <f aca="false">G46+F47</f>
        <v>0.724601885147959</v>
      </c>
      <c r="H47" s="138" t="n">
        <v>418092.23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RESUMO'!AT29</f>
        <v>59.45</v>
      </c>
      <c r="N47" s="140" t="n">
        <f aca="false">MAX(0,M47-M46)</f>
        <v>9.57</v>
      </c>
      <c r="O47" s="139" t="str">
        <f aca="false">IF(B47&lt;='VALOR POR PL'!$P$5,'CP RESUMO'!AT71,"")</f>
        <v/>
      </c>
      <c r="P47" s="66" t="n">
        <f aca="false">IF(B47&lt;='VALOR POR PL'!$P$5,0,IF(OR($K$16="CURVA PREVISION",$K$16="MDO PREVISION + MATERIAL PREMISSA"),N47,IF($K$16="PREVISÃO INFORMADA",MAX(0,H47),0)))</f>
        <v>418092.23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HISTORICOS'!AU29)</f>
        <v>0</v>
      </c>
      <c r="D48" s="45" t="n">
        <f aca="false">IF(B48&lt;='VALOR POR PL'!$P$5,0,IF($K$17&gt;0,$K$18*P48/$K$17,0))</f>
        <v>553884.000705508</v>
      </c>
      <c r="E48" s="45" t="n">
        <f aca="false">L48+D48/$K$2</f>
        <v>427.086667174683</v>
      </c>
      <c r="F48" s="117" t="n">
        <f aca="false">IF($K$9=0,0,E48/$K$9)</f>
        <v>0.0464915638562486</v>
      </c>
      <c r="G48" s="117" t="n">
        <f aca="false">G47+F48</f>
        <v>0.771093449004208</v>
      </c>
      <c r="H48" s="138" t="n">
        <v>547733.98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RESUMO'!AU29</f>
        <v>68.87</v>
      </c>
      <c r="N48" s="140" t="n">
        <f aca="false">MAX(0,M48-M47)</f>
        <v>9.42</v>
      </c>
      <c r="O48" s="139" t="str">
        <f aca="false">IF(B48&lt;='VALOR POR PL'!$P$5,'CP RESUMO'!AU71,"")</f>
        <v/>
      </c>
      <c r="P48" s="66" t="n">
        <f aca="false">IF(B48&lt;='VALOR POR PL'!$P$5,0,IF(OR($K$16="CURVA PREVISION",$K$16="MDO PREVISION + MATERIAL PREMISSA"),N48,IF($K$16="PREVISÃO INFORMADA",MAX(0,H48),0)))</f>
        <v>547733.98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HISTORICOS'!AV29)</f>
        <v>0</v>
      </c>
      <c r="D49" s="45" t="n">
        <f aca="false">IF(B49&lt;='VALOR POR PL'!$P$5,0,IF($K$17&gt;0,$K$18*P49/$K$17,0))</f>
        <v>553884.000705508</v>
      </c>
      <c r="E49" s="45" t="n">
        <f aca="false">L49+D49/$K$2</f>
        <v>427.086667174683</v>
      </c>
      <c r="F49" s="117" t="n">
        <f aca="false">IF($K$9=0,0,E49/$K$9)</f>
        <v>0.0464915638562486</v>
      </c>
      <c r="G49" s="117" t="n">
        <f aca="false">G48+F49</f>
        <v>0.817585012860456</v>
      </c>
      <c r="H49" s="138" t="n">
        <v>547733.98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RESUMO'!AV29</f>
        <v>79.82</v>
      </c>
      <c r="N49" s="140" t="n">
        <f aca="false">MAX(0,M49-M48)</f>
        <v>10.95</v>
      </c>
      <c r="O49" s="139" t="str">
        <f aca="false">IF(B49&lt;='VALOR POR PL'!$P$5,'CP RESUMO'!AV71,"")</f>
        <v/>
      </c>
      <c r="P49" s="66" t="n">
        <f aca="false">IF(B49&lt;='VALOR POR PL'!$P$5,0,IF(OR($K$16="CURVA PREVISION",$K$16="MDO PREVISION + MATERIAL PREMISSA"),N49,IF($K$16="PREVISÃO INFORMADA",MAX(0,H49),0)))</f>
        <v>547733.98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HISTORICOS'!AW29)</f>
        <v>0</v>
      </c>
      <c r="D50" s="45" t="n">
        <f aca="false">IF(B50&lt;='VALOR POR PL'!$P$5,0,IF($K$17&gt;0,$K$18*P50/$K$17,0))</f>
        <v>553884.000705508</v>
      </c>
      <c r="E50" s="45" t="n">
        <f aca="false">L50+D50/$K$2</f>
        <v>427.086667174683</v>
      </c>
      <c r="F50" s="117" t="n">
        <f aca="false">IF($K$9=0,0,E50/$K$9)</f>
        <v>0.0464915638562486</v>
      </c>
      <c r="G50" s="117" t="n">
        <f aca="false">G49+F50</f>
        <v>0.864076576716705</v>
      </c>
      <c r="H50" s="138" t="n">
        <v>547733.98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RESUMO'!AW29</f>
        <v>90.05</v>
      </c>
      <c r="N50" s="140" t="n">
        <f aca="false">MAX(0,M50-M49)</f>
        <v>10.23</v>
      </c>
      <c r="O50" s="139" t="str">
        <f aca="false">IF(B50&lt;='VALOR POR PL'!$P$5,'CP RESUMO'!AW71,"")</f>
        <v/>
      </c>
      <c r="P50" s="66" t="n">
        <f aca="false">IF(B50&lt;='VALOR POR PL'!$P$5,0,IF(OR($K$16="CURVA PREVISION",$K$16="MDO PREVISION + MATERIAL PREMISSA"),N50,IF($K$16="PREVISÃO INFORMADA",MAX(0,H50),0)))</f>
        <v>547733.98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HISTORICOS'!AX29)</f>
        <v>0</v>
      </c>
      <c r="D51" s="45" t="n">
        <f aca="false">IF(B51&lt;='VALOR POR PL'!$P$5,0,IF($K$17&gt;0,$K$18*P51/$K$17,0))</f>
        <v>226140.528994262</v>
      </c>
      <c r="E51" s="45" t="n">
        <f aca="false">L51+D51/$K$2</f>
        <v>174.371537575122</v>
      </c>
      <c r="F51" s="117" t="n">
        <f aca="false">IF($K$9=0,0,E51/$K$9)</f>
        <v>0.0189816402546939</v>
      </c>
      <c r="G51" s="117" t="n">
        <f aca="false">G50+F51</f>
        <v>0.883058216971399</v>
      </c>
      <c r="H51" s="138" t="n">
        <v>223629.59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RESUMO'!AX29</f>
        <v>96.21</v>
      </c>
      <c r="N51" s="140" t="n">
        <f aca="false">MAX(0,M51-M50)</f>
        <v>6.16</v>
      </c>
      <c r="O51" s="139" t="str">
        <f aca="false">IF(B51&lt;='VALOR POR PL'!$P$5,'CP RESUMO'!AX71,"")</f>
        <v/>
      </c>
      <c r="P51" s="66" t="n">
        <f aca="false">IF(B51&lt;='VALOR POR PL'!$P$5,0,IF(OR($K$16="CURVA PREVISION",$K$16="MDO PREVISION + MATERIAL PREMISSA"),N51,IF($K$16="PREVISÃO INFORMADA",MAX(0,H51),0)))</f>
        <v>223629.59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HISTORICOS'!AY29)</f>
        <v>0</v>
      </c>
      <c r="D52" s="45" t="n">
        <f aca="false">IF(B52&lt;='VALOR POR PL'!$P$5,0,IF($K$17&gt;0,$K$18*P52/$K$17,0))</f>
        <v>131097.38261713</v>
      </c>
      <c r="E52" s="45" t="n">
        <f aca="false">L52+D52/$K$2</f>
        <v>101.086047161422</v>
      </c>
      <c r="F52" s="117" t="n">
        <f aca="false">IF($K$9=0,0,E52/$K$9)</f>
        <v>0.0110039689313429</v>
      </c>
      <c r="G52" s="117" t="n">
        <f aca="false">G51+F52</f>
        <v>0.894062185902742</v>
      </c>
      <c r="H52" s="138" t="n">
        <v>129641.75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RESUMO'!AY29</f>
        <v>100</v>
      </c>
      <c r="N52" s="140" t="n">
        <f aca="false">MAX(0,M52-M51)</f>
        <v>3.79000000000001</v>
      </c>
      <c r="O52" s="139" t="str">
        <f aca="false">IF(B52&lt;='VALOR POR PL'!$P$5,'CP RESUMO'!AY71,"")</f>
        <v/>
      </c>
      <c r="P52" s="66" t="n">
        <f aca="false">IF(B52&lt;='VALOR POR PL'!$P$5,0,IF(OR($K$16="CURVA PREVISION",$K$16="MDO PREVISION + MATERIAL PREMISSA"),N52,IF($K$16="PREVISÃO INFORMADA",MAX(0,H52),0)))</f>
        <v>129641.75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HISTORICOS'!AZ29)</f>
        <v>0</v>
      </c>
      <c r="D53" s="45" t="n">
        <f aca="false">IF(B53&lt;='VALOR POR PL'!$P$5,0,IF($K$17&gt;0,$K$18*P53/$K$17,0))</f>
        <v>131097.38261713</v>
      </c>
      <c r="E53" s="45" t="n">
        <f aca="false">L53+D53/$K$2</f>
        <v>101.086047161422</v>
      </c>
      <c r="F53" s="117" t="n">
        <f aca="false">IF($K$9=0,0,E53/$K$9)</f>
        <v>0.0110039689313429</v>
      </c>
      <c r="G53" s="117" t="n">
        <f aca="false">G52+F53</f>
        <v>0.905066154834085</v>
      </c>
      <c r="H53" s="138" t="n">
        <v>129641.75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RESUMO'!AZ29</f>
        <v>100</v>
      </c>
      <c r="N53" s="140" t="n">
        <f aca="false">MAX(0,M53-M52)</f>
        <v>0</v>
      </c>
      <c r="O53" s="139" t="str">
        <f aca="false">IF(B53&lt;='VALOR POR PL'!$P$5,'CP RESUMO'!AZ71,"")</f>
        <v/>
      </c>
      <c r="P53" s="66" t="n">
        <f aca="false">IF(B53&lt;='VALOR POR PL'!$P$5,0,IF(OR($K$16="CURVA PREVISION",$K$16="MDO PREVISION + MATERIAL PREMISSA"),N53,IF($K$16="PREVISÃO INFORMADA",MAX(0,H53),0)))</f>
        <v>129641.75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HISTORICOS'!BA29)</f>
        <v>0</v>
      </c>
      <c r="D54" s="45" t="n">
        <f aca="false">IF(B54&lt;='VALOR POR PL'!$P$5,0,IF($K$17&gt;0,$K$18*P54/$K$17,0))</f>
        <v>131097.38261713</v>
      </c>
      <c r="E54" s="45" t="n">
        <f aca="false">L54+D54/$K$2</f>
        <v>101.086047161422</v>
      </c>
      <c r="F54" s="117" t="n">
        <f aca="false">IF($K$9=0,0,E54/$K$9)</f>
        <v>0.0110039689313429</v>
      </c>
      <c r="G54" s="117" t="n">
        <f aca="false">G53+F54</f>
        <v>0.916070123765427</v>
      </c>
      <c r="H54" s="138" t="n">
        <v>129641.75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RESUMO'!BA29</f>
        <v>100</v>
      </c>
      <c r="N54" s="140" t="n">
        <f aca="false">MAX(0,M54-M53)</f>
        <v>0</v>
      </c>
      <c r="O54" s="139" t="str">
        <f aca="false">IF(B54&lt;='VALOR POR PL'!$P$5,'CP RESUMO'!BA71,"")</f>
        <v/>
      </c>
      <c r="P54" s="66" t="n">
        <f aca="false">IF(B54&lt;='VALOR POR PL'!$P$5,0,IF(OR($K$16="CURVA PREVISION",$K$16="MDO PREVISION + MATERIAL PREMISSA"),N54,IF($K$16="PREVISÃO INFORMADA",MAX(0,H54),0)))</f>
        <v>129641.75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HISTORICOS'!BB29)</f>
        <v>0</v>
      </c>
      <c r="D55" s="45" t="n">
        <f aca="false">IF(B55&lt;='VALOR POR PL'!$P$5,0,IF($K$17&gt;0,$K$18*P55/$K$17,0))</f>
        <v>131097.38261713</v>
      </c>
      <c r="E55" s="45" t="n">
        <f aca="false">L55+D55/$K$2</f>
        <v>101.086047161422</v>
      </c>
      <c r="F55" s="117" t="n">
        <f aca="false">IF($K$9=0,0,E55/$K$9)</f>
        <v>0.0110039689313429</v>
      </c>
      <c r="G55" s="117" t="n">
        <f aca="false">G54+F55</f>
        <v>0.92707409269677</v>
      </c>
      <c r="H55" s="138" t="n">
        <v>129641.75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RESUMO'!BB29</f>
        <v>100</v>
      </c>
      <c r="N55" s="140" t="n">
        <f aca="false">MAX(0,M55-M54)</f>
        <v>0</v>
      </c>
      <c r="O55" s="139" t="str">
        <f aca="false">IF(B55&lt;='VALOR POR PL'!$P$5,'CP RESUMO'!BB71,"")</f>
        <v/>
      </c>
      <c r="P55" s="66" t="n">
        <f aca="false">IF(B55&lt;='VALOR POR PL'!$P$5,0,IF(OR($K$16="CURVA PREVISION",$K$16="MDO PREVISION + MATERIAL PREMISSA"),N55,IF($K$16="PREVISÃO INFORMADA",MAX(0,H55),0)))</f>
        <v>129641.75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HISTORICOS'!BC29)</f>
        <v>0</v>
      </c>
      <c r="D56" s="45" t="n">
        <f aca="false">IF(B56&lt;='VALOR POR PL'!$P$5,0,IF($K$17&gt;0,$K$18*P56/$K$17,0))</f>
        <v>131097.38261713</v>
      </c>
      <c r="E56" s="45" t="n">
        <f aca="false">L56+D56/$K$2</f>
        <v>101.086047161422</v>
      </c>
      <c r="F56" s="117" t="n">
        <f aca="false">IF($K$9=0,0,E56/$K$9)</f>
        <v>0.0110039689313429</v>
      </c>
      <c r="G56" s="117" t="n">
        <f aca="false">G55+F56</f>
        <v>0.938078061628113</v>
      </c>
      <c r="H56" s="138" t="n">
        <v>129641.75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RESUMO'!BC29</f>
        <v>100</v>
      </c>
      <c r="N56" s="140" t="n">
        <f aca="false">MAX(0,M56-M55)</f>
        <v>0</v>
      </c>
      <c r="O56" s="139" t="str">
        <f aca="false">IF(B56&lt;='VALOR POR PL'!$P$5,'CP RESUMO'!BC71,"")</f>
        <v/>
      </c>
      <c r="P56" s="66" t="n">
        <f aca="false">IF(B56&lt;='VALOR POR PL'!$P$5,0,IF(OR($K$16="CURVA PREVISION",$K$16="MDO PREVISION + MATERIAL PREMISSA"),N56,IF($K$16="PREVISÃO INFORMADA",MAX(0,H56),0)))</f>
        <v>129641.75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HISTORICOS'!BD29)</f>
        <v>0</v>
      </c>
      <c r="D57" s="45" t="n">
        <f aca="false">IF(B57&lt;='VALOR POR PL'!$P$5,0,IF($K$17&gt;0,$K$18*P57/$K$17,0))</f>
        <v>131097.38261713</v>
      </c>
      <c r="E57" s="45" t="n">
        <f aca="false">L57+D57/$K$2</f>
        <v>101.086047161422</v>
      </c>
      <c r="F57" s="117" t="n">
        <f aca="false">IF($K$9=0,0,E57/$K$9)</f>
        <v>0.0110039689313429</v>
      </c>
      <c r="G57" s="117" t="n">
        <f aca="false">G56+F57</f>
        <v>0.949082030559456</v>
      </c>
      <c r="H57" s="138" t="n">
        <v>129641.75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RESUMO'!BD29</f>
        <v>100</v>
      </c>
      <c r="N57" s="140" t="n">
        <f aca="false">MAX(0,M57-M56)</f>
        <v>0</v>
      </c>
      <c r="O57" s="139" t="str">
        <f aca="false">IF(B57&lt;='VALOR POR PL'!$P$5,'CP RESUMO'!BD71,"")</f>
        <v/>
      </c>
      <c r="P57" s="66" t="n">
        <f aca="false">IF(B57&lt;='VALOR POR PL'!$P$5,0,IF(OR($K$16="CURVA PREVISION",$K$16="MDO PREVISION + MATERIAL PREMISSA"),N57,IF($K$16="PREVISÃO INFORMADA",MAX(0,H57),0)))</f>
        <v>129641.75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0.949082030559456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RESUMO'!BE29</f>
        <v>100</v>
      </c>
      <c r="N58" s="140" t="n">
        <f aca="false">MAX(0,M58-M57)</f>
        <v>0</v>
      </c>
      <c r="O58" s="139" t="str">
        <f aca="false">IF(B58&lt;='VALOR POR PL'!$P$5,'CP RESUMO'!BE71,"")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HISTORICOS'!BF29)</f>
        <v>0</v>
      </c>
      <c r="D59" s="45" t="n">
        <f aca="false">IF(B59&lt;='VALOR POR PL'!$P$5,0,IF($K$17&gt;0,$K$18*P59/$K$17,0))</f>
        <v>606618.626741219</v>
      </c>
      <c r="E59" s="45" t="n">
        <f aca="false">L59+D59/$K$2</f>
        <v>467.749072388785</v>
      </c>
      <c r="F59" s="117" t="n">
        <f aca="false">IF($K$9=0,0,E59/$K$9)</f>
        <v>0.0509179694405438</v>
      </c>
      <c r="G59" s="117" t="n">
        <f aca="false">G58+F59</f>
        <v>1</v>
      </c>
      <c r="H59" s="138" t="n">
        <v>599883.07</v>
      </c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RESUMO'!BF29</f>
        <v>100</v>
      </c>
      <c r="N59" s="140" t="n">
        <f aca="false">MAX(0,M59-M58)</f>
        <v>0</v>
      </c>
      <c r="O59" s="139" t="str">
        <f aca="false">IF(B59&lt;='VALOR POR PL'!$P$5,'CP RESUMO'!BF71,"")</f>
        <v/>
      </c>
      <c r="P59" s="66" t="n">
        <f aca="false">IF(B59&lt;='VALOR POR PL'!$P$5,0,IF(OR($K$16="CURVA PREVISION",$K$16="MDO PREVISION + MATERIAL PREMISSA"),N59,IF($K$16="PREVISÃO INFORMADA",MAX(0,H59),0)))</f>
        <v>599883.07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RESUMO'!BG29</f>
        <v>100</v>
      </c>
      <c r="N60" s="140" t="n">
        <f aca="false">MAX(0,M60-M59)</f>
        <v>0</v>
      </c>
      <c r="O60" s="139" t="str">
        <f aca="false">IF(B60&lt;='VALOR POR PL'!$P$5,'CP RESUMO'!BG71,"")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RESUMO'!BH29</f>
        <v>100</v>
      </c>
      <c r="N61" s="140" t="n">
        <f aca="false">MAX(0,M61-M60)</f>
        <v>0</v>
      </c>
      <c r="O61" s="139" t="str">
        <f aca="false">IF(B61&lt;='VALOR POR PL'!$P$5,'CP RESUMO'!BH71,"")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RESUMO'!BI29</f>
        <v>100</v>
      </c>
      <c r="N62" s="140" t="n">
        <f aca="false">MAX(0,M62-M61)</f>
        <v>0</v>
      </c>
      <c r="O62" s="139" t="str">
        <f aca="false">IF(B62&lt;='VALOR POR PL'!$P$5,'CP RESUMO'!BI71,"")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RESUMO'!BJ29</f>
        <v>100</v>
      </c>
      <c r="N63" s="140" t="n">
        <f aca="false">MAX(0,M63-M62)</f>
        <v>0</v>
      </c>
      <c r="O63" s="139" t="str">
        <f aca="false">IF(B63&lt;='VALOR POR PL'!$P$5,'CP RESUMO'!BJ71,"")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RESUMO'!BK29</f>
        <v>100</v>
      </c>
      <c r="N64" s="140" t="n">
        <f aca="false">MAX(0,M64-M63)</f>
        <v>0</v>
      </c>
      <c r="O64" s="139" t="str">
        <f aca="false">IF(B64&lt;='VALOR POR PL'!$P$5,'CP RESUMO'!BK71,"")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RESUMO'!BL29</f>
        <v>100</v>
      </c>
      <c r="N65" s="140" t="n">
        <f aca="false">MAX(0,M65-M64)</f>
        <v>0</v>
      </c>
      <c r="O65" s="139" t="str">
        <f aca="false">IF(B65&lt;='VALOR POR PL'!$P$5,'CP RESUMO'!BL71,"")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RESUMO'!BM29</f>
        <v>100</v>
      </c>
      <c r="N66" s="140" t="n">
        <f aca="false">MAX(0,M66-M65)</f>
        <v>0</v>
      </c>
      <c r="O66" s="139" t="str">
        <f aca="false">IF(B66&lt;='VALOR POR PL'!$P$5,'CP RESUMO'!BM71,"")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RESUMO'!BN29</f>
        <v>100</v>
      </c>
      <c r="N67" s="140" t="n">
        <f aca="false">MAX(0,M67-M66)</f>
        <v>0</v>
      </c>
      <c r="O67" s="139" t="str">
        <f aca="false">IF(B67&lt;='VALOR POR PL'!$P$5,'CP RESUMO'!BN71,"")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RESUMO'!BO29</f>
        <v>100</v>
      </c>
      <c r="N68" s="140" t="n">
        <f aca="false">MAX(0,M68-M67)</f>
        <v>0</v>
      </c>
      <c r="O68" s="139" t="str">
        <f aca="false">IF(B68&lt;='VALOR POR PL'!$P$5,'CP RESUMO'!BO71,"")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RESUMO'!BP29</f>
        <v>100</v>
      </c>
      <c r="N69" s="140" t="n">
        <f aca="false">MAX(0,M69-M68)</f>
        <v>0</v>
      </c>
      <c r="O69" s="139" t="str">
        <f aca="false">IF(B69&lt;='VALOR POR PL'!$P$5,'CP RESUMO'!BP71,"")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RESUMO'!BQ29</f>
        <v>100</v>
      </c>
      <c r="N70" s="140" t="n">
        <f aca="false">MAX(0,M70-M69)</f>
        <v>0</v>
      </c>
      <c r="O70" s="139" t="str">
        <f aca="false">IF(B70&lt;='VALOR POR PL'!$P$5,'CP RESUMO'!BQ71,"")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RESUMO'!BR29</f>
        <v>100</v>
      </c>
      <c r="N71" s="140" t="n">
        <f aca="false">MAX(0,M71-M70)</f>
        <v>0</v>
      </c>
      <c r="O71" s="139" t="str">
        <f aca="false">IF(B71&lt;='VALOR POR PL'!$P$5,'CP RESUMO'!BR71,"")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RESUMO'!BS29</f>
        <v>100</v>
      </c>
      <c r="N72" s="140" t="n">
        <f aca="false">MAX(0,M72-M71)</f>
        <v>0</v>
      </c>
      <c r="O72" s="139" t="str">
        <f aca="false">IF(B72&lt;='VALOR POR PL'!$P$5,'CP RESUMO'!BS71,"")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RESUMO'!BT29</f>
        <v>100</v>
      </c>
      <c r="N73" s="140" t="n">
        <f aca="false">MAX(0,M73-M72)</f>
        <v>0</v>
      </c>
      <c r="O73" s="139" t="str">
        <f aca="false">IF(B73&lt;='VALOR POR PL'!$P$5,'CP RESUMO'!BT71,"")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RESUMO'!BU29</f>
        <v>100</v>
      </c>
      <c r="N74" s="140" t="n">
        <f aca="false">MAX(0,M74-M73)</f>
        <v>0</v>
      </c>
      <c r="O74" s="139" t="str">
        <f aca="false">IF(B74&lt;='VALOR POR PL'!$P$5,'CP RESUMO'!BU71,"")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RESUMO'!BV29</f>
        <v>100</v>
      </c>
      <c r="N75" s="140" t="n">
        <f aca="false">MAX(0,M75-M74)</f>
        <v>0</v>
      </c>
      <c r="O75" s="139" t="str">
        <f aca="false">IF(B75&lt;='VALOR POR PL'!$P$5,'CP RESUMO'!BV71,"")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RESUMO'!BW29</f>
        <v>100</v>
      </c>
      <c r="N76" s="140" t="n">
        <f aca="false">MAX(0,M76-M75)</f>
        <v>0</v>
      </c>
      <c r="O76" s="139" t="str">
        <f aca="false">IF(B76&lt;='VALOR POR PL'!$P$5,'CP RESUMO'!BW71,"")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11913645.2888122</v>
      </c>
      <c r="E78" s="61" t="n">
        <f aca="false">SUM(E5:E76)</f>
        <v>9186.32611488895</v>
      </c>
      <c r="F78" s="145" t="n">
        <f aca="false">SUM(F5:F76)</f>
        <v>1</v>
      </c>
      <c r="H78" s="61" t="n">
        <f aca="false">SUM(H5:H76)</f>
        <v>11781362.78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PL'!D36</f>
        <v>SERRALHERIA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PL'!F36</f>
        <v>482766.76</v>
      </c>
      <c r="K5" s="56" t="n">
        <f aca="false">'VALOR POR PL'!G36</f>
        <v>396.781767</v>
      </c>
      <c r="L5" s="56" t="n">
        <f aca="false">'DADOS HISTORICOS'!$BZ$30</f>
        <v>0</v>
      </c>
      <c r="M5" s="139" t="n">
        <f aca="false">'CP RESUMO'!D30</f>
        <v>0</v>
      </c>
      <c r="N5" s="140" t="n">
        <v>0</v>
      </c>
      <c r="O5" s="139" t="n">
        <f aca="false">IF(B5&lt;='VALOR POR PL'!$P$5,'CP RESUMO'!D72,"")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PL'!H36</f>
        <v>396.781767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RESUMO'!E30</f>
        <v>0</v>
      </c>
      <c r="N6" s="140" t="n">
        <f aca="false">MAX(0,M6-M5)</f>
        <v>0</v>
      </c>
      <c r="O6" s="139" t="n">
        <f aca="false">IF(B6&lt;='VALOR POR PL'!$P$5,'CP RESUMO'!E72,"")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514378.421003505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RESUMO'!F30</f>
        <v>0</v>
      </c>
      <c r="N7" s="140" t="n">
        <f aca="false">MAX(0,M7-M6)</f>
        <v>0</v>
      </c>
      <c r="O7" s="139" t="n">
        <f aca="false">IF(B7&lt;='VALOR POR PL'!$P$5,'CP RESUMO'!F72,"")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RESUMO'!G30</f>
        <v>0</v>
      </c>
      <c r="N8" s="140" t="n">
        <f aca="false">MAX(0,M8-M7)</f>
        <v>0</v>
      </c>
      <c r="O8" s="139" t="n">
        <f aca="false">IF(B8&lt;='VALOR POR PL'!$P$5,'CP RESUMO'!G72,"")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514378.421003505</v>
      </c>
      <c r="K9" s="45" t="n">
        <f aca="false">E78</f>
        <v>396.62486226925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RESUMO'!H30</f>
        <v>0</v>
      </c>
      <c r="N9" s="140" t="n">
        <f aca="false">MAX(0,M9-M8)</f>
        <v>0</v>
      </c>
      <c r="O9" s="139" t="n">
        <f aca="false">IF(B9&lt;='VALOR POR PL'!$P$5,'CP RESUMO'!H72,"")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396.62486226925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RESUMO'!I30</f>
        <v>0</v>
      </c>
      <c r="N10" s="140" t="n">
        <f aca="false">MAX(0,M10-M9)</f>
        <v>0</v>
      </c>
      <c r="O10" s="139" t="n">
        <f aca="false">IF(B10&lt;='VALOR POR PL'!$P$5,'CP RESUMO'!I72,"")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HISTORICOS'!J30)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508667.04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RESUMO'!J30</f>
        <v>0</v>
      </c>
      <c r="N11" s="140" t="n">
        <f aca="false">MAX(0,M11-M10)</f>
        <v>0</v>
      </c>
      <c r="O11" s="139" t="n">
        <f aca="false">IF(B11&lt;='VALOR POR PL'!$P$5,'CP RESUMO'!J72,"")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RESUMO'!K30</f>
        <v>0</v>
      </c>
      <c r="N12" s="140" t="n">
        <f aca="false">MAX(0,M12-M11)</f>
        <v>0</v>
      </c>
      <c r="O12" s="139" t="n">
        <f aca="false">IF(B12&lt;='VALOR POR PL'!$P$5,'CP RESUMO'!K72,"")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PL'!I36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RESUMO'!L30</f>
        <v>0</v>
      </c>
      <c r="N13" s="140" t="n">
        <f aca="false">MAX(0,M13-M12)</f>
        <v>0</v>
      </c>
      <c r="O13" s="139" t="n">
        <f aca="false">IF(B13&lt;='VALOR POR PL'!$P$5,'CP RESUMO'!L72,"")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RESUMO'!$D$72:$BW$72,MATCH('VALOR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RESUMO'!M30</f>
        <v>0</v>
      </c>
      <c r="N14" s="140" t="n">
        <f aca="false">MAX(0,M14-M13)</f>
        <v>0</v>
      </c>
      <c r="O14" s="139" t="n">
        <f aca="false">IF(B14&lt;='VALOR POR PL'!$P$5,'CP RESUMO'!M72,"")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RESUMO'!N30</f>
        <v>0</v>
      </c>
      <c r="N15" s="140" t="n">
        <f aca="false">MAX(0,M15-M14)</f>
        <v>0</v>
      </c>
      <c r="O15" s="139" t="n">
        <f aca="false">IF(B15&lt;='VALOR POR PL'!$P$5,'CP RESUMO'!N72,"")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HISTORICOS'!O30)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RESUMO'!O30</f>
        <v>0</v>
      </c>
      <c r="N16" s="140" t="n">
        <f aca="false">MAX(0,M16-M15)</f>
        <v>0</v>
      </c>
      <c r="O16" s="139" t="n">
        <f aca="false">IF(B16&lt;='VALOR POR PL'!$P$5,'CP RESUMO'!O72,"")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508667.04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RESUMO'!P30</f>
        <v>0</v>
      </c>
      <c r="N17" s="140" t="n">
        <f aca="false">MAX(0,M17-M16)</f>
        <v>0</v>
      </c>
      <c r="O17" s="139" t="n">
        <f aca="false">IF(B17&lt;='VALOR POR PL'!$P$5,'CP RESUMO'!P72,"")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HISTORICOS'!Q30)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514378.421003505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RESUMO'!Q30</f>
        <v>0</v>
      </c>
      <c r="N18" s="140" t="n">
        <f aca="false">MAX(0,M18-M17)</f>
        <v>0</v>
      </c>
      <c r="O18" s="139" t="n">
        <f aca="false">IF(B18&lt;='VALOR POR PL'!$P$5,'CP RESUMO'!Q72,"")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HISTORICOS'!R30)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0.0112281326572778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RESUMO'!R30</f>
        <v>0</v>
      </c>
      <c r="N19" s="140" t="n">
        <f aca="false">MAX(0,M19-M18)</f>
        <v>0</v>
      </c>
      <c r="O19" s="139" t="n">
        <f aca="false">IF(B19&lt;='VALOR POR PL'!$P$5,'CP RESUMO'!R72,"")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HISTORICOS'!S30)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RESUMO'!S30</f>
        <v>0</v>
      </c>
      <c r="N20" s="140" t="n">
        <f aca="false">MAX(0,M20-M19)</f>
        <v>0</v>
      </c>
      <c r="O20" s="139" t="n">
        <f aca="false">IF(B20&lt;='VALOR POR PL'!$P$5,'CP RESUMO'!S72,"")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HISTORICOS'!T30)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RESUMO'!T30</f>
        <v>0</v>
      </c>
      <c r="N21" s="140" t="n">
        <f aca="false">MAX(0,M21-M20)</f>
        <v>0</v>
      </c>
      <c r="O21" s="139" t="n">
        <f aca="false">IF(B21&lt;='VALOR POR PL'!$P$5,'CP RESUMO'!T72,"")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HISTORICOS'!U30)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RESUMO'!U30</f>
        <v>0</v>
      </c>
      <c r="N22" s="140" t="n">
        <f aca="false">MAX(0,M22-M21)</f>
        <v>0</v>
      </c>
      <c r="O22" s="139" t="n">
        <f aca="false">IF(B22&lt;='VALOR POR PL'!$P$5,'CP RESUMO'!U72,"")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HISTORICOS'!V30)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RESUMO'!V30</f>
        <v>0</v>
      </c>
      <c r="N23" s="140" t="n">
        <f aca="false">MAX(0,M23-M22)</f>
        <v>0</v>
      </c>
      <c r="O23" s="139" t="n">
        <f aca="false">IF(B23&lt;='VALOR POR PL'!$P$5,'CP RESUMO'!V72,"")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HISTORICOS'!W30)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RESUMO'!W30</f>
        <v>0</v>
      </c>
      <c r="N24" s="140" t="n">
        <f aca="false">MAX(0,M24-M23)</f>
        <v>0</v>
      </c>
      <c r="O24" s="139" t="n">
        <f aca="false">IF(B24&lt;='VALOR POR PL'!$P$5,'CP RESUMO'!W72,"")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HISTORICOS'!X30)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RESUMO'!X30</f>
        <v>0</v>
      </c>
      <c r="N25" s="140" t="n">
        <f aca="false">MAX(0,M25-M24)</f>
        <v>0</v>
      </c>
      <c r="O25" s="139" t="n">
        <f aca="false">IF(B25&lt;='VALOR POR PL'!$P$5,'CP RESUMO'!X72,"")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HISTORICOS'!Y30)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RESUMO'!Y30</f>
        <v>0</v>
      </c>
      <c r="N26" s="140" t="n">
        <f aca="false">MAX(0,M26-M25)</f>
        <v>0</v>
      </c>
      <c r="O26" s="139" t="str">
        <f aca="false">IF(B26&lt;='VALOR POR PL'!$P$5,'CP RESUMO'!Y72,"")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HISTORICOS'!Z30)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RESUMO'!Z30</f>
        <v>0</v>
      </c>
      <c r="N27" s="140" t="n">
        <f aca="false">MAX(0,M27-M26)</f>
        <v>0</v>
      </c>
      <c r="O27" s="139" t="str">
        <f aca="false">IF(B27&lt;='VALOR POR PL'!$P$5,'CP RESUMO'!Z72,"")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HISTORICOS'!AA30)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RESUMO'!AA30</f>
        <v>0</v>
      </c>
      <c r="N28" s="140" t="n">
        <f aca="false">MAX(0,M28-M27)</f>
        <v>0</v>
      </c>
      <c r="O28" s="139" t="str">
        <f aca="false">IF(B28&lt;='VALOR POR PL'!$P$5,'CP RESUMO'!AA72,"")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RESUMO'!AB30</f>
        <v>0</v>
      </c>
      <c r="N29" s="140" t="n">
        <f aca="false">MAX(0,M29-M28)</f>
        <v>0</v>
      </c>
      <c r="O29" s="139" t="str">
        <f aca="false">IF(B29&lt;='VALOR POR PL'!$P$5,'CP RESUMO'!AB72,"")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HISTORICOS'!AC30)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RESUMO'!AC30</f>
        <v>0</v>
      </c>
      <c r="N30" s="140" t="n">
        <f aca="false">MAX(0,M30-M29)</f>
        <v>0</v>
      </c>
      <c r="O30" s="139" t="str">
        <f aca="false">IF(B30&lt;='VALOR POR PL'!$P$5,'CP RESUMO'!AC72,"")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HISTORICOS'!AD30)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RESUMO'!AD30</f>
        <v>0</v>
      </c>
      <c r="N31" s="140" t="n">
        <f aca="false">MAX(0,M31-M30)</f>
        <v>0</v>
      </c>
      <c r="O31" s="139" t="str">
        <f aca="false">IF(B31&lt;='VALOR POR PL'!$P$5,'CP RESUMO'!AD72,"")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HISTORICOS'!AE30)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RESUMO'!AE30</f>
        <v>0</v>
      </c>
      <c r="N32" s="140" t="n">
        <f aca="false">MAX(0,M32-M31)</f>
        <v>0</v>
      </c>
      <c r="O32" s="139" t="str">
        <f aca="false">IF(B32&lt;='VALOR POR PL'!$P$5,'CP RESUMO'!AE72,"")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HISTORICOS'!AF30)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RESUMO'!AF30</f>
        <v>0</v>
      </c>
      <c r="N33" s="140" t="n">
        <f aca="false">MAX(0,M33-M32)</f>
        <v>0</v>
      </c>
      <c r="O33" s="139" t="str">
        <f aca="false">IF(B33&lt;='VALOR POR PL'!$P$5,'CP RESUMO'!AF72,"")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HISTORICOS'!AG30)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RESUMO'!AG30</f>
        <v>0</v>
      </c>
      <c r="N34" s="140" t="n">
        <f aca="false">MAX(0,M34-M33)</f>
        <v>0</v>
      </c>
      <c r="O34" s="139" t="str">
        <f aca="false">IF(B34&lt;='VALOR POR PL'!$P$5,'CP RESUMO'!AG72,"")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HISTORICOS'!AH30)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RESUMO'!AH30</f>
        <v>0</v>
      </c>
      <c r="N35" s="140" t="n">
        <f aca="false">MAX(0,M35-M34)</f>
        <v>0</v>
      </c>
      <c r="O35" s="139" t="str">
        <f aca="false">IF(B35&lt;='VALOR POR PL'!$P$5,'CP RESUMO'!AH72,"")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HISTORICOS'!AI30)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RESUMO'!AI30</f>
        <v>0</v>
      </c>
      <c r="N36" s="140" t="n">
        <f aca="false">MAX(0,M36-M35)</f>
        <v>0</v>
      </c>
      <c r="O36" s="139" t="str">
        <f aca="false">IF(B36&lt;='VALOR POR PL'!$P$5,'CP RESUMO'!AI72,"")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HISTORICOS'!AJ30)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RESUMO'!AJ30</f>
        <v>10.61</v>
      </c>
      <c r="N37" s="140" t="n">
        <f aca="false">MAX(0,M37-M36)</f>
        <v>10.61</v>
      </c>
      <c r="O37" s="139" t="str">
        <f aca="false">IF(B37&lt;='VALOR POR PL'!$P$5,'CP RESUMO'!AJ72,"")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HISTORICOS'!AK30)</f>
        <v>0</v>
      </c>
      <c r="D38" s="45" t="n">
        <f aca="false">IF(B38&lt;='VALOR POR PL'!$P$5,0,IF($K$17&gt;0,$K$18*P38/$K$17,0))</f>
        <v>27313.4943332623</v>
      </c>
      <c r="E38" s="45" t="n">
        <f aca="false">L38+D38/$K$2</f>
        <v>21.0607803237303</v>
      </c>
      <c r="F38" s="117" t="n">
        <f aca="false">IF($K$9=0,0,E38/$K$9)</f>
        <v>0.0531000003460024</v>
      </c>
      <c r="G38" s="117" t="n">
        <f aca="false">G37+F38</f>
        <v>0.0531000003460024</v>
      </c>
      <c r="H38" s="138" t="n">
        <v>27010.22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RESUMO'!AK30</f>
        <v>10.61</v>
      </c>
      <c r="N38" s="140" t="n">
        <f aca="false">MAX(0,M38-M37)</f>
        <v>0</v>
      </c>
      <c r="O38" s="139" t="str">
        <f aca="false">IF(B38&lt;='VALOR POR PL'!$P$5,'CP RESUMO'!AK72,"")</f>
        <v/>
      </c>
      <c r="P38" s="66" t="n">
        <f aca="false">IF(B38&lt;='VALOR POR PL'!$P$5,0,IF(OR($K$16="CURVA PREVISION",$K$16="MDO PREVISION + MATERIAL PREMISSA"),N38,IF($K$16="PREVISÃO INFORMADA",MAX(0,H38),0)))</f>
        <v>27010.22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HISTORICOS'!AL30)</f>
        <v>0</v>
      </c>
      <c r="D39" s="45" t="n">
        <f aca="false">IF(B39&lt;='VALOR POR PL'!$P$5,0,IF($K$17&gt;0,$K$18*P39/$K$17,0))</f>
        <v>27262.053158154</v>
      </c>
      <c r="E39" s="45" t="n">
        <f aca="false">L39+D39/$K$2</f>
        <v>21.0211152675009</v>
      </c>
      <c r="F39" s="117" t="n">
        <f aca="false">IF($K$9=0,0,E39/$K$9)</f>
        <v>0.0529999938663217</v>
      </c>
      <c r="G39" s="117" t="n">
        <f aca="false">G38+F39</f>
        <v>0.106099994212324</v>
      </c>
      <c r="H39" s="138" t="n">
        <v>26959.35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RESUMO'!AL30</f>
        <v>15.92</v>
      </c>
      <c r="N39" s="140" t="n">
        <f aca="false">MAX(0,M39-M38)</f>
        <v>5.31</v>
      </c>
      <c r="O39" s="139" t="str">
        <f aca="false">IF(B39&lt;='VALOR POR PL'!$P$5,'CP RESUMO'!AL72,"")</f>
        <v/>
      </c>
      <c r="P39" s="66" t="n">
        <f aca="false">IF(B39&lt;='VALOR POR PL'!$P$5,0,IF(OR($K$16="CURVA PREVISION",$K$16="MDO PREVISION + MATERIAL PREMISSA"),N39,IF($K$16="PREVISÃO INFORMADA",MAX(0,H39),0)))</f>
        <v>26959.35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HISTORICOS'!AM30)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0.106099994212324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RESUMO'!AM30</f>
        <v>15.92</v>
      </c>
      <c r="N40" s="140" t="n">
        <f aca="false">MAX(0,M40-M39)</f>
        <v>0</v>
      </c>
      <c r="O40" s="139" t="str">
        <f aca="false">IF(B40&lt;='VALOR POR PL'!$P$5,'CP RESUMO'!AM72,"")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HISTORICOS'!AN30)</f>
        <v>0</v>
      </c>
      <c r="D41" s="45" t="n">
        <f aca="false">IF(B41&lt;='VALOR POR PL'!$P$5,0,IF($K$17&gt;0,$K$18*P41/$K$17,0))</f>
        <v>27313.4943332623</v>
      </c>
      <c r="E41" s="45" t="n">
        <f aca="false">L41+D41/$K$2</f>
        <v>21.0607803237303</v>
      </c>
      <c r="F41" s="117" t="n">
        <f aca="false">IF($K$9=0,0,E41/$K$9)</f>
        <v>0.0531000003460024</v>
      </c>
      <c r="G41" s="117" t="n">
        <f aca="false">G40+F41</f>
        <v>0.159199994558326</v>
      </c>
      <c r="H41" s="138" t="n">
        <v>27010.22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RESUMO'!AN30</f>
        <v>19.1</v>
      </c>
      <c r="N41" s="140" t="n">
        <f aca="false">MAX(0,M41-M40)</f>
        <v>3.18</v>
      </c>
      <c r="O41" s="139" t="str">
        <f aca="false">IF(B41&lt;='VALOR POR PL'!$P$5,'CP RESUMO'!AN72,"")</f>
        <v/>
      </c>
      <c r="P41" s="66" t="n">
        <f aca="false">IF(B41&lt;='VALOR POR PL'!$P$5,0,IF(OR($K$16="CURVA PREVISION",$K$16="MDO PREVISION + MATERIAL PREMISSA"),N41,IF($K$16="PREVISÃO INFORMADA",MAX(0,H41),0)))</f>
        <v>27010.22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HISTORICOS'!AO30)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0.159199994558326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RESUMO'!AO30</f>
        <v>21.22</v>
      </c>
      <c r="N42" s="140" t="n">
        <f aca="false">MAX(0,M42-M41)</f>
        <v>2.12</v>
      </c>
      <c r="O42" s="139" t="str">
        <f aca="false">IF(B42&lt;='VALOR POR PL'!$P$5,'CP RESUMO'!AO72,"")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HISTORICOS'!AP30)</f>
        <v>0</v>
      </c>
      <c r="D43" s="45" t="n">
        <f aca="false">IF(B43&lt;='VALOR POR PL'!$P$5,0,IF($K$17&gt;0,$K$18*P43/$K$17,0))</f>
        <v>27262.053158154</v>
      </c>
      <c r="E43" s="45" t="n">
        <f aca="false">L43+D43/$K$2</f>
        <v>21.0211152675009</v>
      </c>
      <c r="F43" s="117" t="n">
        <f aca="false">IF($K$9=0,0,E43/$K$9)</f>
        <v>0.0529999938663217</v>
      </c>
      <c r="G43" s="117" t="n">
        <f aca="false">G42+F43</f>
        <v>0.212199988424648</v>
      </c>
      <c r="H43" s="138" t="n">
        <v>26959.35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RESUMO'!AP30</f>
        <v>27.68</v>
      </c>
      <c r="N43" s="140" t="n">
        <f aca="false">MAX(0,M43-M42)</f>
        <v>6.46</v>
      </c>
      <c r="O43" s="139" t="str">
        <f aca="false">IF(B43&lt;='VALOR POR PL'!$P$5,'CP RESUMO'!AP72,"")</f>
        <v/>
      </c>
      <c r="P43" s="66" t="n">
        <f aca="false">IF(B43&lt;='VALOR POR PL'!$P$5,0,IF(OR($K$16="CURVA PREVISION",$K$16="MDO PREVISION + MATERIAL PREMISSA"),N43,IF($K$16="PREVISÃO INFORMADA",MAX(0,H43),0)))</f>
        <v>26959.35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HISTORICOS'!AQ30)</f>
        <v>0</v>
      </c>
      <c r="D44" s="45" t="n">
        <f aca="false">IF(B44&lt;='VALOR POR PL'!$P$5,0,IF($K$17&gt;0,$K$18*P44/$K$17,0))</f>
        <v>22324.023940762</v>
      </c>
      <c r="E44" s="45" t="n">
        <f aca="false">L44+D44/$K$2</f>
        <v>17.2135193842819</v>
      </c>
      <c r="F44" s="117" t="n">
        <f aca="false">IF($K$9=0,0,E44/$K$9)</f>
        <v>0.0434000009121881</v>
      </c>
      <c r="G44" s="117" t="n">
        <f aca="false">G43+F44</f>
        <v>0.255599989336836</v>
      </c>
      <c r="H44" s="138" t="n">
        <v>22076.15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RESUMO'!AQ30</f>
        <v>45.74</v>
      </c>
      <c r="N44" s="140" t="n">
        <f aca="false">MAX(0,M44-M43)</f>
        <v>18.06</v>
      </c>
      <c r="O44" s="139" t="str">
        <f aca="false">IF(B44&lt;='VALOR POR PL'!$P$5,'CP RESUMO'!AQ72,"")</f>
        <v/>
      </c>
      <c r="P44" s="66" t="n">
        <f aca="false">IF(B44&lt;='VALOR POR PL'!$P$5,0,IF(OR($K$16="CURVA PREVISION",$K$16="MDO PREVISION + MATERIAL PREMISSA"),N44,IF($K$16="PREVISÃO INFORMADA",MAX(0,H44),0)))</f>
        <v>22076.15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HISTORICOS'!AR30)</f>
        <v>0</v>
      </c>
      <c r="D45" s="45" t="n">
        <f aca="false">IF(B45&lt;='VALOR POR PL'!$P$5,0,IF($K$17&gt;0,$K$18*P45/$K$17,0))</f>
        <v>103801.566701418</v>
      </c>
      <c r="E45" s="45" t="n">
        <f aca="false">L45+D45/$K$2</f>
        <v>80.038898241421</v>
      </c>
      <c r="F45" s="117" t="n">
        <f aca="false">IF($K$9=0,0,E45/$K$9)</f>
        <v>0.201800002610745</v>
      </c>
      <c r="G45" s="117" t="n">
        <f aca="false">G44+F45</f>
        <v>0.457399991947581</v>
      </c>
      <c r="H45" s="138" t="n">
        <v>102649.01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RESUMO'!AR30</f>
        <v>57.39</v>
      </c>
      <c r="N45" s="140" t="n">
        <f aca="false">MAX(0,M45-M44)</f>
        <v>11.65</v>
      </c>
      <c r="O45" s="139" t="str">
        <f aca="false">IF(B45&lt;='VALOR POR PL'!$P$5,'CP RESUMO'!AR72,"")</f>
        <v/>
      </c>
      <c r="P45" s="66" t="n">
        <f aca="false">IF(B45&lt;='VALOR POR PL'!$P$5,0,IF(OR($K$16="CURVA PREVISION",$K$16="MDO PREVISION + MATERIAL PREMISSA"),N45,IF($K$16="PREVISÃO INFORMADA",MAX(0,H45),0)))</f>
        <v>102649.01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HISTORICOS'!AS30)</f>
        <v>0</v>
      </c>
      <c r="D46" s="45" t="n">
        <f aca="false">IF(B46&lt;='VALOR POR PL'!$P$5,0,IF($K$17&gt;0,$K$18*P46/$K$17,0))</f>
        <v>59925.0858851118</v>
      </c>
      <c r="E46" s="45" t="n">
        <f aca="false">L46+D46/$K$2</f>
        <v>46.2067963296102</v>
      </c>
      <c r="F46" s="117" t="n">
        <f aca="false">IF($K$9=0,0,E46/$K$9)</f>
        <v>0.116499999685452</v>
      </c>
      <c r="G46" s="117" t="n">
        <f aca="false">G45+F46</f>
        <v>0.573899991633034</v>
      </c>
      <c r="H46" s="138" t="n">
        <v>59259.71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RESUMO'!AS30</f>
        <v>62.18</v>
      </c>
      <c r="N46" s="140" t="n">
        <f aca="false">MAX(0,M46-M45)</f>
        <v>4.79</v>
      </c>
      <c r="O46" s="139" t="str">
        <f aca="false">IF(B46&lt;='VALOR POR PL'!$P$5,'CP RESUMO'!AS72,"")</f>
        <v/>
      </c>
      <c r="P46" s="66" t="n">
        <f aca="false">IF(B46&lt;='VALOR POR PL'!$P$5,0,IF(OR($K$16="CURVA PREVISION",$K$16="MDO PREVISION + MATERIAL PREMISSA"),N46,IF($K$16="PREVISÃO INFORMADA",MAX(0,H46),0)))</f>
        <v>59259.71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HISTORICOS'!AT30)</f>
        <v>0</v>
      </c>
      <c r="D47" s="45" t="n">
        <f aca="false">IF(B47&lt;='VALOR POR PL'!$P$5,0,IF($K$17&gt;0,$K$18*P47/$K$17,0))</f>
        <v>24638.7251364145</v>
      </c>
      <c r="E47" s="45" t="n">
        <f aca="false">L47+D47/$K$2</f>
        <v>18.9983299545408</v>
      </c>
      <c r="F47" s="117" t="n">
        <f aca="false">IF($K$9=0,0,E47/$K$9)</f>
        <v>0.0478999976094382</v>
      </c>
      <c r="G47" s="117" t="n">
        <f aca="false">G46+F47</f>
        <v>0.621799989242472</v>
      </c>
      <c r="H47" s="138" t="n">
        <v>24365.15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RESUMO'!AT30</f>
        <v>72.97</v>
      </c>
      <c r="N47" s="140" t="n">
        <f aca="false">MAX(0,M47-M46)</f>
        <v>10.79</v>
      </c>
      <c r="O47" s="139" t="str">
        <f aca="false">IF(B47&lt;='VALOR POR PL'!$P$5,'CP RESUMO'!AT72,"")</f>
        <v/>
      </c>
      <c r="P47" s="66" t="n">
        <f aca="false">IF(B47&lt;='VALOR POR PL'!$P$5,0,IF(OR($K$16="CURVA PREVISION",$K$16="MDO PREVISION + MATERIAL PREMISSA"),N47,IF($K$16="PREVISÃO INFORMADA",MAX(0,H47),0)))</f>
        <v>24365.15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HISTORICOS'!AU30)</f>
        <v>0</v>
      </c>
      <c r="D48" s="45" t="n">
        <f aca="false">IF(B48&lt;='VALOR POR PL'!$P$5,0,IF($K$17&gt;0,$K$18*P48/$K$17,0))</f>
        <v>39144.1960747849</v>
      </c>
      <c r="E48" s="45" t="n">
        <f aca="false">L48+D48/$K$2</f>
        <v>30.1831506588342</v>
      </c>
      <c r="F48" s="117" t="n">
        <f aca="false">IF($K$9=0,0,E48/$K$9)</f>
        <v>0.0760999965714311</v>
      </c>
      <c r="G48" s="117" t="n">
        <f aca="false">G47+F48</f>
        <v>0.697899985813903</v>
      </c>
      <c r="H48" s="138" t="n">
        <v>38709.56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RESUMO'!AU30</f>
        <v>74.58</v>
      </c>
      <c r="N48" s="140" t="n">
        <f aca="false">MAX(0,M48-M47)</f>
        <v>1.61</v>
      </c>
      <c r="O48" s="139" t="str">
        <f aca="false">IF(B48&lt;='VALOR POR PL'!$P$5,'CP RESUMO'!AU72,"")</f>
        <v/>
      </c>
      <c r="P48" s="66" t="n">
        <f aca="false">IF(B48&lt;='VALOR POR PL'!$P$5,0,IF(OR($K$16="CURVA PREVISION",$K$16="MDO PREVISION + MATERIAL PREMISSA"),N48,IF($K$16="PREVISÃO INFORMADA",MAX(0,H48),0)))</f>
        <v>38709.56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HISTORICOS'!AV30)</f>
        <v>0</v>
      </c>
      <c r="D49" s="45" t="n">
        <f aca="false">IF(B49&lt;='VALOR POR PL'!$P$5,0,IF($K$17&gt;0,$K$18*P49/$K$17,0))</f>
        <v>24535.8528984792</v>
      </c>
      <c r="E49" s="45" t="n">
        <f aca="false">L49+D49/$K$2</f>
        <v>18.9190076394196</v>
      </c>
      <c r="F49" s="117" t="n">
        <f aca="false">IF($K$9=0,0,E49/$K$9)</f>
        <v>0.0477000043093022</v>
      </c>
      <c r="G49" s="117" t="n">
        <f aca="false">G48+F49</f>
        <v>0.745599990123205</v>
      </c>
      <c r="H49" s="138" t="n">
        <v>24263.42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RESUMO'!AV30</f>
        <v>76.34</v>
      </c>
      <c r="N49" s="140" t="n">
        <f aca="false">MAX(0,M49-M48)</f>
        <v>1.76000000000001</v>
      </c>
      <c r="O49" s="139" t="str">
        <f aca="false">IF(B49&lt;='VALOR POR PL'!$P$5,'CP RESUMO'!AV72,"")</f>
        <v/>
      </c>
      <c r="P49" s="66" t="n">
        <f aca="false">IF(B49&lt;='VALOR POR PL'!$P$5,0,IF(OR($K$16="CURVA PREVISION",$K$16="MDO PREVISION + MATERIAL PREMISSA"),N49,IF($K$16="PREVISÃO INFORMADA",MAX(0,H49),0)))</f>
        <v>24263.42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HISTORICOS'!AW30)</f>
        <v>0</v>
      </c>
      <c r="D50" s="45" t="n">
        <f aca="false">IF(B50&lt;='VALOR POR PL'!$P$5,0,IF($K$17&gt;0,$K$18*P50/$K$17,0))</f>
        <v>8744.43348065258</v>
      </c>
      <c r="E50" s="45" t="n">
        <f aca="false">L50+D50/$K$2</f>
        <v>6.74262290809205</v>
      </c>
      <c r="F50" s="117" t="n">
        <f aca="false">IF($K$9=0,0,E50/$K$9)</f>
        <v>0.0170000006290952</v>
      </c>
      <c r="G50" s="117" t="n">
        <f aca="false">G49+F50</f>
        <v>0.7625999907523</v>
      </c>
      <c r="H50" s="138" t="n">
        <v>8647.34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RESUMO'!AW30</f>
        <v>77.91</v>
      </c>
      <c r="N50" s="140" t="n">
        <f aca="false">MAX(0,M50-M49)</f>
        <v>1.56999999999999</v>
      </c>
      <c r="O50" s="139" t="str">
        <f aca="false">IF(B50&lt;='VALOR POR PL'!$P$5,'CP RESUMO'!AW72,"")</f>
        <v/>
      </c>
      <c r="P50" s="66" t="n">
        <f aca="false">IF(B50&lt;='VALOR POR PL'!$P$5,0,IF(OR($K$16="CURVA PREVISION",$K$16="MDO PREVISION + MATERIAL PREMISSA"),N50,IF($K$16="PREVISÃO INFORMADA",MAX(0,H50),0)))</f>
        <v>8647.34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HISTORICOS'!AX30)</f>
        <v>0</v>
      </c>
      <c r="D51" s="45" t="n">
        <f aca="false">IF(B51&lt;='VALOR POR PL'!$P$5,0,IF($K$17&gt;0,$K$18*P51/$K$17,0))</f>
        <v>8281.49324152208</v>
      </c>
      <c r="E51" s="45" t="n">
        <f aca="false">L51+D51/$K$2</f>
        <v>6.38566079404026</v>
      </c>
      <c r="F51" s="117" t="n">
        <f aca="false">IF($K$9=0,0,E51/$K$9)</f>
        <v>0.0161000012896452</v>
      </c>
      <c r="G51" s="117" t="n">
        <f aca="false">G50+F51</f>
        <v>0.778699992041946</v>
      </c>
      <c r="H51" s="138" t="n">
        <v>8189.54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RESUMO'!AX30</f>
        <v>79.51</v>
      </c>
      <c r="N51" s="140" t="n">
        <f aca="false">MAX(0,M51-M50)</f>
        <v>1.60000000000001</v>
      </c>
      <c r="O51" s="139" t="str">
        <f aca="false">IF(B51&lt;='VALOR POR PL'!$P$5,'CP RESUMO'!AX72,"")</f>
        <v/>
      </c>
      <c r="P51" s="66" t="n">
        <f aca="false">IF(B51&lt;='VALOR POR PL'!$P$5,0,IF(OR($K$16="CURVA PREVISION",$K$16="MDO PREVISION + MATERIAL PREMISSA"),N51,IF($K$16="PREVISÃO INFORMADA",MAX(0,H51),0)))</f>
        <v>8189.54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HISTORICOS'!AY30)</f>
        <v>0</v>
      </c>
      <c r="D52" s="45" t="n">
        <f aca="false">IF(B52&lt;='VALOR POR PL'!$P$5,0,IF($K$17&gt;0,$K$18*P52/$K$17,0))</f>
        <v>8435.80665456558</v>
      </c>
      <c r="E52" s="45" t="n">
        <f aca="false">L52+D52/$K$2</f>
        <v>6.50464816539086</v>
      </c>
      <c r="F52" s="117" t="n">
        <f aca="false">IF($K$9=0,0,E52/$K$9)</f>
        <v>0.0164000010694619</v>
      </c>
      <c r="G52" s="117" t="n">
        <f aca="false">G51+F52</f>
        <v>0.795099993111407</v>
      </c>
      <c r="H52" s="138" t="n">
        <v>8342.14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RESUMO'!AY30</f>
        <v>97.99</v>
      </c>
      <c r="N52" s="140" t="n">
        <f aca="false">MAX(0,M52-M51)</f>
        <v>18.48</v>
      </c>
      <c r="O52" s="139" t="str">
        <f aca="false">IF(B52&lt;='VALOR POR PL'!$P$5,'CP RESUMO'!AY72,"")</f>
        <v/>
      </c>
      <c r="P52" s="66" t="n">
        <f aca="false">IF(B52&lt;='VALOR POR PL'!$P$5,0,IF(OR($K$16="CURVA PREVISION",$K$16="MDO PREVISION + MATERIAL PREMISSA"),N52,IF($K$16="PREVISÃO INFORMADA",MAX(0,H52),0)))</f>
        <v>8342.14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HISTORICOS'!AZ30)</f>
        <v>0</v>
      </c>
      <c r="D53" s="45" t="n">
        <f aca="false">IF(B53&lt;='VALOR POR PL'!$P$5,0,IF($K$17&gt;0,$K$18*P53/$K$17,0))</f>
        <v>24895.9208996745</v>
      </c>
      <c r="E53" s="45" t="n">
        <f aca="false">L53+D53/$K$2</f>
        <v>19.1966474383502</v>
      </c>
      <c r="F53" s="117" t="n">
        <f aca="false">IF($K$9=0,0,E53/$K$9)</f>
        <v>0.0484000103486163</v>
      </c>
      <c r="G53" s="117" t="n">
        <f aca="false">G52+F53</f>
        <v>0.843500003460024</v>
      </c>
      <c r="H53" s="138" t="n">
        <v>24619.49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RESUMO'!AZ30</f>
        <v>99.13</v>
      </c>
      <c r="N53" s="140" t="n">
        <f aca="false">MAX(0,M53-M52)</f>
        <v>1.14</v>
      </c>
      <c r="O53" s="139" t="str">
        <f aca="false">IF(B53&lt;='VALOR POR PL'!$P$5,'CP RESUMO'!AZ72,"")</f>
        <v/>
      </c>
      <c r="P53" s="66" t="n">
        <f aca="false">IF(B53&lt;='VALOR POR PL'!$P$5,0,IF(OR($K$16="CURVA PREVISION",$K$16="MDO PREVISION + MATERIAL PREMISSA"),N53,IF($K$16="PREVISÃO INFORMADA",MAX(0,H53),0)))</f>
        <v>24619.49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HISTORICOS'!BA30)</f>
        <v>0</v>
      </c>
      <c r="D54" s="45" t="n">
        <f aca="false">IF(B54&lt;='VALOR POR PL'!$P$5,0,IF($K$17&gt;0,$K$18*P54/$K$17,0))</f>
        <v>75973.6909539172</v>
      </c>
      <c r="E54" s="45" t="n">
        <f aca="false">L54+D54/$K$2</f>
        <v>58.5814907474095</v>
      </c>
      <c r="F54" s="117" t="n">
        <f aca="false">IF($K$9=0,0,E54/$K$9)</f>
        <v>0.147699996445612</v>
      </c>
      <c r="G54" s="117" t="n">
        <f aca="false">G53+F54</f>
        <v>0.991199999905636</v>
      </c>
      <c r="H54" s="138" t="n">
        <v>75130.12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RESUMO'!BA30</f>
        <v>100</v>
      </c>
      <c r="N54" s="140" t="n">
        <f aca="false">MAX(0,M54-M53)</f>
        <v>0.870000000000005</v>
      </c>
      <c r="O54" s="139" t="str">
        <f aca="false">IF(B54&lt;='VALOR POR PL'!$P$5,'CP RESUMO'!BA72,"")</f>
        <v/>
      </c>
      <c r="P54" s="66" t="n">
        <f aca="false">IF(B54&lt;='VALOR POR PL'!$P$5,0,IF(OR($K$16="CURVA PREVISION",$K$16="MDO PREVISION + MATERIAL PREMISSA"),N54,IF($K$16="PREVISÃO INFORMADA",MAX(0,H54),0)))</f>
        <v>75130.12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HISTORICOS'!BB30)</f>
        <v>0</v>
      </c>
      <c r="D55" s="45" t="n">
        <f aca="false">IF(B55&lt;='VALOR POR PL'!$P$5,0,IF($K$17&gt;0,$K$18*P55/$K$17,0))</f>
        <v>4372.21674032629</v>
      </c>
      <c r="E55" s="45" t="n">
        <f aca="false">L55+D55/$K$2</f>
        <v>3.37131145404602</v>
      </c>
      <c r="F55" s="117" t="n">
        <f aca="false">IF($K$9=0,0,E55/$K$9)</f>
        <v>0.0085000003145476</v>
      </c>
      <c r="G55" s="117" t="n">
        <f aca="false">G54+F55</f>
        <v>0.999700000220183</v>
      </c>
      <c r="H55" s="138" t="n">
        <v>4323.67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RESUMO'!BB30</f>
        <v>100</v>
      </c>
      <c r="N55" s="140" t="n">
        <f aca="false">MAX(0,M55-M54)</f>
        <v>0</v>
      </c>
      <c r="O55" s="139" t="str">
        <f aca="false">IF(B55&lt;='VALOR POR PL'!$P$5,'CP RESUMO'!BB72,"")</f>
        <v/>
      </c>
      <c r="P55" s="66" t="n">
        <f aca="false">IF(B55&lt;='VALOR POR PL'!$P$5,0,IF(OR($K$16="CURVA PREVISION",$K$16="MDO PREVISION + MATERIAL PREMISSA"),N55,IF($K$16="PREVISÃO INFORMADA",MAX(0,H55),0)))</f>
        <v>4323.67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HISTORICOS'!BC30)</f>
        <v>0</v>
      </c>
      <c r="D56" s="45" t="n">
        <f aca="false">IF(B56&lt;='VALOR POR PL'!$P$5,0,IF($K$17&gt;0,$K$18*P56/$K$17,0))</f>
        <v>154.313413043501</v>
      </c>
      <c r="E56" s="45" t="n">
        <f aca="false">L56+D56/$K$2</f>
        <v>0.118987371350594</v>
      </c>
      <c r="F56" s="117" t="n">
        <f aca="false">IF($K$9=0,0,E56/$K$9)</f>
        <v>0.000299999779816675</v>
      </c>
      <c r="G56" s="117" t="n">
        <f aca="false">G55+F56</f>
        <v>1</v>
      </c>
      <c r="H56" s="138" t="n">
        <v>152.6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RESUMO'!BC30</f>
        <v>100</v>
      </c>
      <c r="N56" s="140" t="n">
        <f aca="false">MAX(0,M56-M55)</f>
        <v>0</v>
      </c>
      <c r="O56" s="139" t="str">
        <f aca="false">IF(B56&lt;='VALOR POR PL'!$P$5,'CP RESUMO'!BC72,"")</f>
        <v/>
      </c>
      <c r="P56" s="66" t="n">
        <f aca="false">IF(B56&lt;='VALOR POR PL'!$P$5,0,IF(OR($K$16="CURVA PREVISION",$K$16="MDO PREVISION + MATERIAL PREMISSA"),N56,IF($K$16="PREVISÃO INFORMADA",MAX(0,H56),0)))</f>
        <v>152.6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RESUMO'!BD30</f>
        <v>100</v>
      </c>
      <c r="N57" s="140" t="n">
        <f aca="false">MAX(0,M57-M56)</f>
        <v>0</v>
      </c>
      <c r="O57" s="139" t="str">
        <f aca="false">IF(B57&lt;='VALOR POR PL'!$P$5,'CP RESUMO'!BD72,"")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RESUMO'!BE30</f>
        <v>100</v>
      </c>
      <c r="N58" s="140" t="n">
        <f aca="false">MAX(0,M58-M57)</f>
        <v>0</v>
      </c>
      <c r="O58" s="139" t="str">
        <f aca="false">IF(B58&lt;='VALOR POR PL'!$P$5,'CP RESUMO'!BE72,"")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RESUMO'!BF30</f>
        <v>100</v>
      </c>
      <c r="N59" s="140" t="n">
        <f aca="false">MAX(0,M59-M58)</f>
        <v>0</v>
      </c>
      <c r="O59" s="139" t="str">
        <f aca="false">IF(B59&lt;='VALOR POR PL'!$P$5,'CP RESUMO'!BF72,"")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RESUMO'!BG30</f>
        <v>100</v>
      </c>
      <c r="N60" s="140" t="n">
        <f aca="false">MAX(0,M60-M59)</f>
        <v>0</v>
      </c>
      <c r="O60" s="139" t="str">
        <f aca="false">IF(B60&lt;='VALOR POR PL'!$P$5,'CP RESUMO'!BG72,"")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RESUMO'!BH30</f>
        <v>100</v>
      </c>
      <c r="N61" s="140" t="n">
        <f aca="false">MAX(0,M61-M60)</f>
        <v>0</v>
      </c>
      <c r="O61" s="139" t="str">
        <f aca="false">IF(B61&lt;='VALOR POR PL'!$P$5,'CP RESUMO'!BH72,"")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RESUMO'!BI30</f>
        <v>100</v>
      </c>
      <c r="N62" s="140" t="n">
        <f aca="false">MAX(0,M62-M61)</f>
        <v>0</v>
      </c>
      <c r="O62" s="139" t="str">
        <f aca="false">IF(B62&lt;='VALOR POR PL'!$P$5,'CP RESUMO'!BI72,"")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RESUMO'!BJ30</f>
        <v>100</v>
      </c>
      <c r="N63" s="140" t="n">
        <f aca="false">MAX(0,M63-M62)</f>
        <v>0</v>
      </c>
      <c r="O63" s="139" t="str">
        <f aca="false">IF(B63&lt;='VALOR POR PL'!$P$5,'CP RESUMO'!BJ72,"")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RESUMO'!BK30</f>
        <v>100</v>
      </c>
      <c r="N64" s="140" t="n">
        <f aca="false">MAX(0,M64-M63)</f>
        <v>0</v>
      </c>
      <c r="O64" s="139" t="str">
        <f aca="false">IF(B64&lt;='VALOR POR PL'!$P$5,'CP RESUMO'!BK72,"")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RESUMO'!BL30</f>
        <v>100</v>
      </c>
      <c r="N65" s="140" t="n">
        <f aca="false">MAX(0,M65-M64)</f>
        <v>0</v>
      </c>
      <c r="O65" s="139" t="str">
        <f aca="false">IF(B65&lt;='VALOR POR PL'!$P$5,'CP RESUMO'!BL72,"")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RESUMO'!BM30</f>
        <v>100</v>
      </c>
      <c r="N66" s="140" t="n">
        <f aca="false">MAX(0,M66-M65)</f>
        <v>0</v>
      </c>
      <c r="O66" s="139" t="str">
        <f aca="false">IF(B66&lt;='VALOR POR PL'!$P$5,'CP RESUMO'!BM72,"")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RESUMO'!BN30</f>
        <v>100</v>
      </c>
      <c r="N67" s="140" t="n">
        <f aca="false">MAX(0,M67-M66)</f>
        <v>0</v>
      </c>
      <c r="O67" s="139" t="str">
        <f aca="false">IF(B67&lt;='VALOR POR PL'!$P$5,'CP RESUMO'!BN72,"")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RESUMO'!BO30</f>
        <v>100</v>
      </c>
      <c r="N68" s="140" t="n">
        <f aca="false">MAX(0,M68-M67)</f>
        <v>0</v>
      </c>
      <c r="O68" s="139" t="str">
        <f aca="false">IF(B68&lt;='VALOR POR PL'!$P$5,'CP RESUMO'!BO72,"")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RESUMO'!BP30</f>
        <v>100</v>
      </c>
      <c r="N69" s="140" t="n">
        <f aca="false">MAX(0,M69-M68)</f>
        <v>0</v>
      </c>
      <c r="O69" s="139" t="str">
        <f aca="false">IF(B69&lt;='VALOR POR PL'!$P$5,'CP RESUMO'!BP72,"")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RESUMO'!BQ30</f>
        <v>100</v>
      </c>
      <c r="N70" s="140" t="n">
        <f aca="false">MAX(0,M70-M69)</f>
        <v>0</v>
      </c>
      <c r="O70" s="139" t="str">
        <f aca="false">IF(B70&lt;='VALOR POR PL'!$P$5,'CP RESUMO'!BQ72,"")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RESUMO'!BR30</f>
        <v>100</v>
      </c>
      <c r="N71" s="140" t="n">
        <f aca="false">MAX(0,M71-M70)</f>
        <v>0</v>
      </c>
      <c r="O71" s="139" t="str">
        <f aca="false">IF(B71&lt;='VALOR POR PL'!$P$5,'CP RESUMO'!BR72,"")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RESUMO'!BS30</f>
        <v>100</v>
      </c>
      <c r="N72" s="140" t="n">
        <f aca="false">MAX(0,M72-M71)</f>
        <v>0</v>
      </c>
      <c r="O72" s="139" t="str">
        <f aca="false">IF(B72&lt;='VALOR POR PL'!$P$5,'CP RESUMO'!BS72,"")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RESUMO'!BT30</f>
        <v>100</v>
      </c>
      <c r="N73" s="140" t="n">
        <f aca="false">MAX(0,M73-M72)</f>
        <v>0</v>
      </c>
      <c r="O73" s="139" t="str">
        <f aca="false">IF(B73&lt;='VALOR POR PL'!$P$5,'CP RESUMO'!BT72,"")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RESUMO'!BU30</f>
        <v>100</v>
      </c>
      <c r="N74" s="140" t="n">
        <f aca="false">MAX(0,M74-M73)</f>
        <v>0</v>
      </c>
      <c r="O74" s="139" t="str">
        <f aca="false">IF(B74&lt;='VALOR POR PL'!$P$5,'CP RESUMO'!BU72,"")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RESUMO'!BV30</f>
        <v>100</v>
      </c>
      <c r="N75" s="140" t="n">
        <f aca="false">MAX(0,M75-M74)</f>
        <v>0</v>
      </c>
      <c r="O75" s="139" t="str">
        <f aca="false">IF(B75&lt;='VALOR POR PL'!$P$5,'CP RESUMO'!BV72,"")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RESUMO'!BW30</f>
        <v>100</v>
      </c>
      <c r="N76" s="140" t="n">
        <f aca="false">MAX(0,M76-M75)</f>
        <v>0</v>
      </c>
      <c r="O76" s="139" t="str">
        <f aca="false">IF(B76&lt;='VALOR POR PL'!$P$5,'CP RESUMO'!BW72,"")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514378.421003505</v>
      </c>
      <c r="E78" s="61" t="n">
        <f aca="false">SUM(E5:E76)</f>
        <v>396.62486226925</v>
      </c>
      <c r="F78" s="145" t="n">
        <f aca="false">SUM(F5:F76)</f>
        <v>1</v>
      </c>
      <c r="H78" s="61" t="n">
        <f aca="false">SUM(H5:H76)</f>
        <v>508667.04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5.6843418860808E-014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PL'!D37</f>
        <v>MARCENARIA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PL'!F37</f>
        <v>2977368.36</v>
      </c>
      <c r="K5" s="56" t="n">
        <f aca="false">'VALOR POR PL'!G37</f>
        <v>2447.072966</v>
      </c>
      <c r="L5" s="56" t="n">
        <f aca="false">'DADOS HISTORICOS'!$BZ$31</f>
        <v>0</v>
      </c>
      <c r="M5" s="139" t="n">
        <f aca="false">'CP RESUMO'!D31</f>
        <v>0</v>
      </c>
      <c r="N5" s="140" t="n">
        <v>0</v>
      </c>
      <c r="O5" s="139" t="n">
        <f aca="false">IF(B5&lt;='VALOR POR PL'!$P$5,'CP RESUMO'!D73,"")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PL'!H37</f>
        <v>2447.072966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RESUMO'!E31</f>
        <v>0</v>
      </c>
      <c r="N6" s="140" t="n">
        <f aca="false">MAX(0,M6-M5)</f>
        <v>0</v>
      </c>
      <c r="O6" s="139" t="n">
        <f aca="false">IF(B6&lt;='VALOR POR PL'!$P$5,'CP RESUMO'!E73,"")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3172327.03974385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RESUMO'!F31</f>
        <v>0</v>
      </c>
      <c r="N7" s="140" t="n">
        <f aca="false">MAX(0,M7-M6)</f>
        <v>0</v>
      </c>
      <c r="O7" s="139" t="n">
        <f aca="false">IF(B7&lt;='VALOR POR PL'!$P$5,'CP RESUMO'!F73,"")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RESUMO'!G31</f>
        <v>0</v>
      </c>
      <c r="N8" s="140" t="n">
        <f aca="false">MAX(0,M8-M7)</f>
        <v>0</v>
      </c>
      <c r="O8" s="139" t="n">
        <f aca="false">IF(B8&lt;='VALOR POR PL'!$P$5,'CP RESUMO'!G73,"")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3172327.03974385</v>
      </c>
      <c r="K9" s="45" t="n">
        <f aca="false">E78</f>
        <v>2446.10528714782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RESUMO'!H31</f>
        <v>0</v>
      </c>
      <c r="N9" s="140" t="n">
        <f aca="false">MAX(0,M9-M8)</f>
        <v>0</v>
      </c>
      <c r="O9" s="139" t="n">
        <f aca="false">IF(B9&lt;='VALOR POR PL'!$P$5,'CP RESUMO'!H73,"")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2446.10528714782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RESUMO'!I31</f>
        <v>0</v>
      </c>
      <c r="N10" s="140" t="n">
        <f aca="false">MAX(0,M10-M9)</f>
        <v>0</v>
      </c>
      <c r="O10" s="139" t="n">
        <f aca="false">IF(B10&lt;='VALOR POR PL'!$P$5,'CP RESUMO'!I73,"")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3137103.29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RESUMO'!J31</f>
        <v>0</v>
      </c>
      <c r="N11" s="140" t="n">
        <f aca="false">MAX(0,M11-M10)</f>
        <v>0</v>
      </c>
      <c r="O11" s="139" t="n">
        <f aca="false">IF(B11&lt;='VALOR POR PL'!$P$5,'CP RESUMO'!J73,"")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RESUMO'!K31</f>
        <v>0</v>
      </c>
      <c r="N12" s="140" t="n">
        <f aca="false">MAX(0,M12-M11)</f>
        <v>0</v>
      </c>
      <c r="O12" s="139" t="n">
        <f aca="false">IF(B12&lt;='VALOR POR PL'!$P$5,'CP RESUMO'!K73,"")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PL'!I37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RESUMO'!L31</f>
        <v>0</v>
      </c>
      <c r="N13" s="140" t="n">
        <f aca="false">MAX(0,M13-M12)</f>
        <v>0</v>
      </c>
      <c r="O13" s="139" t="n">
        <f aca="false">IF(B13&lt;='VALOR POR PL'!$P$5,'CP RESUMO'!L73,"")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RESUMO'!$D$73:$BW$73,MATCH('VALOR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RESUMO'!M31</f>
        <v>0</v>
      </c>
      <c r="N14" s="140" t="n">
        <f aca="false">MAX(0,M14-M13)</f>
        <v>0</v>
      </c>
      <c r="O14" s="139" t="n">
        <f aca="false">IF(B14&lt;='VALOR POR PL'!$P$5,'CP RESUMO'!M73,"")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RESUMO'!N31</f>
        <v>0</v>
      </c>
      <c r="N15" s="140" t="n">
        <f aca="false">MAX(0,M15-M14)</f>
        <v>0</v>
      </c>
      <c r="O15" s="139" t="n">
        <f aca="false">IF(B15&lt;='VALOR POR PL'!$P$5,'CP RESUMO'!N73,"")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RESUMO'!O31</f>
        <v>0</v>
      </c>
      <c r="N16" s="140" t="n">
        <f aca="false">MAX(0,M16-M15)</f>
        <v>0</v>
      </c>
      <c r="O16" s="139" t="n">
        <f aca="false">IF(B16&lt;='VALOR POR PL'!$P$5,'CP RESUMO'!O73,"")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3137103.29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RESUMO'!P31</f>
        <v>0</v>
      </c>
      <c r="N17" s="140" t="n">
        <f aca="false">MAX(0,M17-M16)</f>
        <v>0</v>
      </c>
      <c r="O17" s="139" t="n">
        <f aca="false">IF(B17&lt;='VALOR POR PL'!$P$5,'CP RESUMO'!P73,"")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3172327.03974385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RESUMO'!Q31</f>
        <v>0</v>
      </c>
      <c r="N18" s="140" t="n">
        <f aca="false">MAX(0,M18-M17)</f>
        <v>0</v>
      </c>
      <c r="O18" s="139" t="n">
        <f aca="false">IF(B18&lt;='VALOR POR PL'!$P$5,'CP RESUMO'!Q73,"")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0.0112281128441416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RESUMO'!R31</f>
        <v>0</v>
      </c>
      <c r="N19" s="140" t="n">
        <f aca="false">MAX(0,M19-M18)</f>
        <v>0</v>
      </c>
      <c r="O19" s="139" t="n">
        <f aca="false">IF(B19&lt;='VALOR POR PL'!$P$5,'CP RESUMO'!R73,"")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RESUMO'!S31</f>
        <v>0</v>
      </c>
      <c r="N20" s="140" t="n">
        <f aca="false">MAX(0,M20-M19)</f>
        <v>0</v>
      </c>
      <c r="O20" s="139" t="n">
        <f aca="false">IF(B20&lt;='VALOR POR PL'!$P$5,'CP RESUMO'!S73,"")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RESUMO'!T31</f>
        <v>0</v>
      </c>
      <c r="N21" s="140" t="n">
        <f aca="false">MAX(0,M21-M20)</f>
        <v>0</v>
      </c>
      <c r="O21" s="139" t="n">
        <f aca="false">IF(B21&lt;='VALOR POR PL'!$P$5,'CP RESUMO'!T73,"")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HISTORICOS'!U31)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RESUMO'!U31</f>
        <v>0</v>
      </c>
      <c r="N22" s="140" t="n">
        <f aca="false">MAX(0,M22-M21)</f>
        <v>0</v>
      </c>
      <c r="O22" s="139" t="n">
        <f aca="false">IF(B22&lt;='VALOR POR PL'!$P$5,'CP RESUMO'!U73,"")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HISTORICOS'!V31)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RESUMO'!V31</f>
        <v>0</v>
      </c>
      <c r="N23" s="140" t="n">
        <f aca="false">MAX(0,M23-M22)</f>
        <v>0</v>
      </c>
      <c r="O23" s="139" t="n">
        <f aca="false">IF(B23&lt;='VALOR POR PL'!$P$5,'CP RESUMO'!V73,"")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HISTORICOS'!W31)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RESUMO'!W31</f>
        <v>0</v>
      </c>
      <c r="N24" s="140" t="n">
        <f aca="false">MAX(0,M24-M23)</f>
        <v>0</v>
      </c>
      <c r="O24" s="139" t="n">
        <f aca="false">IF(B24&lt;='VALOR POR PL'!$P$5,'CP RESUMO'!W73,"")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HISTORICOS'!X31)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RESUMO'!X31</f>
        <v>0</v>
      </c>
      <c r="N25" s="140" t="n">
        <f aca="false">MAX(0,M25-M24)</f>
        <v>0</v>
      </c>
      <c r="O25" s="139" t="n">
        <f aca="false">IF(B25&lt;='VALOR POR PL'!$P$5,'CP RESUMO'!X73,"")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HISTORICOS'!Y31)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RESUMO'!Y31</f>
        <v>0</v>
      </c>
      <c r="N26" s="140" t="n">
        <f aca="false">MAX(0,M26-M25)</f>
        <v>0</v>
      </c>
      <c r="O26" s="139" t="str">
        <f aca="false">IF(B26&lt;='VALOR POR PL'!$P$5,'CP RESUMO'!Y73,"")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HISTORICOS'!Z31)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RESUMO'!Z31</f>
        <v>0</v>
      </c>
      <c r="N27" s="140" t="n">
        <f aca="false">MAX(0,M27-M26)</f>
        <v>0</v>
      </c>
      <c r="O27" s="139" t="str">
        <f aca="false">IF(B27&lt;='VALOR POR PL'!$P$5,'CP RESUMO'!Z73,"")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HISTORICOS'!AA31)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RESUMO'!AA31</f>
        <v>0</v>
      </c>
      <c r="N28" s="140" t="n">
        <f aca="false">MAX(0,M28-M27)</f>
        <v>0</v>
      </c>
      <c r="O28" s="139" t="str">
        <f aca="false">IF(B28&lt;='VALOR POR PL'!$P$5,'CP RESUMO'!AA73,"")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HISTORICOS'!AB31)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RESUMO'!AB31</f>
        <v>0</v>
      </c>
      <c r="N29" s="140" t="n">
        <f aca="false">MAX(0,M29-M28)</f>
        <v>0</v>
      </c>
      <c r="O29" s="139" t="str">
        <f aca="false">IF(B29&lt;='VALOR POR PL'!$P$5,'CP RESUMO'!AB73,"")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HISTORICOS'!AC31)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RESUMO'!AC31</f>
        <v>0</v>
      </c>
      <c r="N30" s="140" t="n">
        <f aca="false">MAX(0,M30-M29)</f>
        <v>0</v>
      </c>
      <c r="O30" s="139" t="str">
        <f aca="false">IF(B30&lt;='VALOR POR PL'!$P$5,'CP RESUMO'!AC73,"")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HISTORICOS'!AD31)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RESUMO'!AD31</f>
        <v>0</v>
      </c>
      <c r="N31" s="140" t="n">
        <f aca="false">MAX(0,M31-M30)</f>
        <v>0</v>
      </c>
      <c r="O31" s="139" t="str">
        <f aca="false">IF(B31&lt;='VALOR POR PL'!$P$5,'CP RESUMO'!AD73,"")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HISTORICOS'!AE31)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RESUMO'!AE31</f>
        <v>0</v>
      </c>
      <c r="N32" s="140" t="n">
        <f aca="false">MAX(0,M32-M31)</f>
        <v>0</v>
      </c>
      <c r="O32" s="139" t="str">
        <f aca="false">IF(B32&lt;='VALOR POR PL'!$P$5,'CP RESUMO'!AE73,"")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HISTORICOS'!AF31)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RESUMO'!AF31</f>
        <v>0</v>
      </c>
      <c r="N33" s="140" t="n">
        <f aca="false">MAX(0,M33-M32)</f>
        <v>0</v>
      </c>
      <c r="O33" s="139" t="str">
        <f aca="false">IF(B33&lt;='VALOR POR PL'!$P$5,'CP RESUMO'!AF73,"")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HISTORICOS'!AG31)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RESUMO'!AG31</f>
        <v>0</v>
      </c>
      <c r="N34" s="140" t="n">
        <f aca="false">MAX(0,M34-M33)</f>
        <v>0</v>
      </c>
      <c r="O34" s="139" t="str">
        <f aca="false">IF(B34&lt;='VALOR POR PL'!$P$5,'CP RESUMO'!AG73,"")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HISTORICOS'!AH31)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RESUMO'!AH31</f>
        <v>0</v>
      </c>
      <c r="N35" s="140" t="n">
        <f aca="false">MAX(0,M35-M34)</f>
        <v>0</v>
      </c>
      <c r="O35" s="139" t="str">
        <f aca="false">IF(B35&lt;='VALOR POR PL'!$P$5,'CP RESUMO'!AH73,"")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HISTORICOS'!AI31)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RESUMO'!AI31</f>
        <v>0</v>
      </c>
      <c r="N36" s="140" t="n">
        <f aca="false">MAX(0,M36-M35)</f>
        <v>0</v>
      </c>
      <c r="O36" s="139" t="str">
        <f aca="false">IF(B36&lt;='VALOR POR PL'!$P$5,'CP RESUMO'!AI73,"")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HISTORICOS'!AJ31)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RESUMO'!AJ31</f>
        <v>0</v>
      </c>
      <c r="N37" s="140" t="n">
        <f aca="false">MAX(0,M37-M36)</f>
        <v>0</v>
      </c>
      <c r="O37" s="139" t="str">
        <f aca="false">IF(B37&lt;='VALOR POR PL'!$P$5,'CP RESUMO'!AJ73,"")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HISTORICOS'!AK31)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RESUMO'!AK31</f>
        <v>0</v>
      </c>
      <c r="N38" s="140" t="n">
        <f aca="false">MAX(0,M38-M37)</f>
        <v>0</v>
      </c>
      <c r="O38" s="139" t="str">
        <f aca="false">IF(B38&lt;='VALOR POR PL'!$P$5,'CP RESUMO'!AK73,"")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HISTORICOS'!AL31)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RESUMO'!AL31</f>
        <v>0</v>
      </c>
      <c r="N39" s="140" t="n">
        <f aca="false">MAX(0,M39-M38)</f>
        <v>0</v>
      </c>
      <c r="O39" s="139" t="str">
        <f aca="false">IF(B39&lt;='VALOR POR PL'!$P$5,'CP RESUMO'!AL73,"")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HISTORICOS'!AM31)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RESUMO'!AM31</f>
        <v>0</v>
      </c>
      <c r="N40" s="140" t="n">
        <f aca="false">MAX(0,M40-M39)</f>
        <v>0</v>
      </c>
      <c r="O40" s="139" t="str">
        <f aca="false">IF(B40&lt;='VALOR POR PL'!$P$5,'CP RESUMO'!AM73,"")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HISTORICOS'!AN31)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RESUMO'!AN31</f>
        <v>0</v>
      </c>
      <c r="N41" s="140" t="n">
        <f aca="false">MAX(0,M41-M40)</f>
        <v>0</v>
      </c>
      <c r="O41" s="139" t="str">
        <f aca="false">IF(B41&lt;='VALOR POR PL'!$P$5,'CP RESUMO'!AN73,"")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HISTORICOS'!AO31)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RESUMO'!AO31</f>
        <v>0</v>
      </c>
      <c r="N42" s="140" t="n">
        <f aca="false">MAX(0,M42-M41)</f>
        <v>0</v>
      </c>
      <c r="O42" s="139" t="str">
        <f aca="false">IF(B42&lt;='VALOR POR PL'!$P$5,'CP RESUMO'!AO73,"")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HISTORICOS'!AP31)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RESUMO'!AP31</f>
        <v>6.61</v>
      </c>
      <c r="N43" s="140" t="n">
        <f aca="false">MAX(0,M43-M42)</f>
        <v>6.61</v>
      </c>
      <c r="O43" s="139" t="str">
        <f aca="false">IF(B43&lt;='VALOR POR PL'!$P$5,'CP RESUMO'!AP73,"")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HISTORICOS'!AQ31)</f>
        <v>0</v>
      </c>
      <c r="D44" s="45" t="n">
        <f aca="false">IF(B44&lt;='VALOR POR PL'!$P$5,0,IF($K$17&gt;0,$K$18*P44/$K$17,0))</f>
        <v>209690.819886487</v>
      </c>
      <c r="E44" s="45" t="n">
        <f aca="false">L44+D44/$K$2</f>
        <v>161.687561453977</v>
      </c>
      <c r="F44" s="117" t="n">
        <f aca="false">IF($K$9=0,0,E44/$K$9)</f>
        <v>0.0661000008067952</v>
      </c>
      <c r="G44" s="117" t="n">
        <f aca="false">G43+F44</f>
        <v>0.0661000008067952</v>
      </c>
      <c r="H44" s="138" t="n">
        <v>207362.53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RESUMO'!AQ31</f>
        <v>15.47</v>
      </c>
      <c r="N44" s="140" t="n">
        <f aca="false">MAX(0,M44-M43)</f>
        <v>8.86</v>
      </c>
      <c r="O44" s="139" t="str">
        <f aca="false">IF(B44&lt;='VALOR POR PL'!$P$5,'CP RESUMO'!AQ73,"")</f>
        <v/>
      </c>
      <c r="P44" s="66" t="n">
        <f aca="false">IF(B44&lt;='VALOR POR PL'!$P$5,0,IF(OR($K$16="CURVA PREVISION",$K$16="MDO PREVISION + MATERIAL PREMISSA"),N44,IF($K$16="PREVISÃO INFORMADA",MAX(0,H44),0)))</f>
        <v>207362.53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HISTORICOS'!AR31)</f>
        <v>0</v>
      </c>
      <c r="D45" s="45" t="n">
        <f aca="false">IF(B45&lt;='VALOR POR PL'!$P$5,0,IF($K$17&gt;0,$K$18*P45/$K$17,0))</f>
        <v>277261.385755166</v>
      </c>
      <c r="E45" s="45" t="n">
        <f aca="false">L45+D45/$K$2</f>
        <v>213.789604010186</v>
      </c>
      <c r="F45" s="117" t="n">
        <f aca="false">IF($K$9=0,0,E45/$K$9)</f>
        <v>0.0874000007822503</v>
      </c>
      <c r="G45" s="117" t="n">
        <f aca="false">G44+F45</f>
        <v>0.153500001589046</v>
      </c>
      <c r="H45" s="138" t="n">
        <v>274182.83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RESUMO'!AR31</f>
        <v>23.01</v>
      </c>
      <c r="N45" s="140" t="n">
        <f aca="false">MAX(0,M45-M44)</f>
        <v>7.54</v>
      </c>
      <c r="O45" s="139" t="str">
        <f aca="false">IF(B45&lt;='VALOR POR PL'!$P$5,'CP RESUMO'!AR73,"")</f>
        <v/>
      </c>
      <c r="P45" s="66" t="n">
        <f aca="false">IF(B45&lt;='VALOR POR PL'!$P$5,0,IF(OR($K$16="CURVA PREVISION",$K$16="MDO PREVISION + MATERIAL PREMISSA"),N45,IF($K$16="PREVISÃO INFORMADA",MAX(0,H45),0)))</f>
        <v>274182.83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HISTORICOS'!AS31)</f>
        <v>0</v>
      </c>
      <c r="D46" s="45" t="n">
        <f aca="false">IF(B46&lt;='VALOR POR PL'!$P$5,0,IF($K$17&gt;0,$K$18*P46/$K$17,0))</f>
        <v>234117.732699635</v>
      </c>
      <c r="E46" s="45" t="n">
        <f aca="false">L46+D46/$K$2</f>
        <v>180.522568006695</v>
      </c>
      <c r="F46" s="117" t="n">
        <f aca="false">IF($K$9=0,0,E46/$K$9)</f>
        <v>0.0737999991068193</v>
      </c>
      <c r="G46" s="117" t="n">
        <f aca="false">G45+F46</f>
        <v>0.227300000695865</v>
      </c>
      <c r="H46" s="138" t="n">
        <v>231518.22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RESUMO'!AS31</f>
        <v>32.71</v>
      </c>
      <c r="N46" s="140" t="n">
        <f aca="false">MAX(0,M46-M45)</f>
        <v>9.7</v>
      </c>
      <c r="O46" s="139" t="str">
        <f aca="false">IF(B46&lt;='VALOR POR PL'!$P$5,'CP RESUMO'!AS73,"")</f>
        <v/>
      </c>
      <c r="P46" s="66" t="n">
        <f aca="false">IF(B46&lt;='VALOR POR PL'!$P$5,0,IF(OR($K$16="CURVA PREVISION",$K$16="MDO PREVISION + MATERIAL PREMISSA"),N46,IF($K$16="PREVISÃO INFORMADA",MAX(0,H46),0)))</f>
        <v>231518.22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HISTORICOS'!AT31)</f>
        <v>0</v>
      </c>
      <c r="D47" s="45" t="n">
        <f aca="false">IF(B47&lt;='VALOR POR PL'!$P$5,0,IF($K$17&gt;0,$K$18*P47/$K$17,0))</f>
        <v>303908.935279558</v>
      </c>
      <c r="E47" s="45" t="n">
        <f aca="false">L47+D47/$K$2</f>
        <v>234.336890265518</v>
      </c>
      <c r="F47" s="117" t="n">
        <f aca="false">IF($K$9=0,0,E47/$K$9)</f>
        <v>0.0958000015358117</v>
      </c>
      <c r="G47" s="117" t="n">
        <f aca="false">G46+F47</f>
        <v>0.323100002231677</v>
      </c>
      <c r="H47" s="138" t="n">
        <v>300534.5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RESUMO'!AT31</f>
        <v>41.61</v>
      </c>
      <c r="N47" s="140" t="n">
        <f aca="false">MAX(0,M47-M46)</f>
        <v>8.9</v>
      </c>
      <c r="O47" s="139" t="str">
        <f aca="false">IF(B47&lt;='VALOR POR PL'!$P$5,'CP RESUMO'!AT73,"")</f>
        <v/>
      </c>
      <c r="P47" s="66" t="n">
        <f aca="false">IF(B47&lt;='VALOR POR PL'!$P$5,0,IF(OR($K$16="CURVA PREVISION",$K$16="MDO PREVISION + MATERIAL PREMISSA"),N47,IF($K$16="PREVISÃO INFORMADA",MAX(0,H47),0)))</f>
        <v>300534.5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HISTORICOS'!AU31)</f>
        <v>0</v>
      </c>
      <c r="D48" s="45" t="n">
        <f aca="false">IF(B48&lt;='VALOR POR PL'!$P$5,0,IF($K$17&gt;0,$K$18*P48/$K$17,0))</f>
        <v>286143.902263297</v>
      </c>
      <c r="E48" s="45" t="n">
        <f aca="false">L48+D48/$K$2</f>
        <v>220.63869942863</v>
      </c>
      <c r="F48" s="117" t="n">
        <f aca="false">IF($K$9=0,0,E48/$K$9)</f>
        <v>0.0902000010334374</v>
      </c>
      <c r="G48" s="117" t="n">
        <f aca="false">G47+F48</f>
        <v>0.413300003265114</v>
      </c>
      <c r="H48" s="138" t="n">
        <v>282966.72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RESUMO'!AU31</f>
        <v>50.55</v>
      </c>
      <c r="N48" s="140" t="n">
        <f aca="false">MAX(0,M48-M47)</f>
        <v>8.94</v>
      </c>
      <c r="O48" s="139" t="str">
        <f aca="false">IF(B48&lt;='VALOR POR PL'!$P$5,'CP RESUMO'!AU73,"")</f>
        <v/>
      </c>
      <c r="P48" s="66" t="n">
        <f aca="false">IF(B48&lt;='VALOR POR PL'!$P$5,0,IF(OR($K$16="CURVA PREVISION",$K$16="MDO PREVISION + MATERIAL PREMISSA"),N48,IF($K$16="PREVISÃO INFORMADA",MAX(0,H48),0)))</f>
        <v>282966.72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HISTORICOS'!AV31)</f>
        <v>0</v>
      </c>
      <c r="D49" s="45" t="n">
        <f aca="false">IF(B49&lt;='VALOR POR PL'!$P$5,0,IF($K$17&gt;0,$K$18*P49/$K$17,0))</f>
        <v>278213.082869007</v>
      </c>
      <c r="E49" s="45" t="n">
        <f aca="false">L49+D49/$K$2</f>
        <v>214.523434826733</v>
      </c>
      <c r="F49" s="117" t="n">
        <f aca="false">IF($K$9=0,0,E49/$K$9)</f>
        <v>0.0877000004676288</v>
      </c>
      <c r="G49" s="117" t="n">
        <f aca="false">G48+F49</f>
        <v>0.501000003732743</v>
      </c>
      <c r="H49" s="138" t="n">
        <v>275123.96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RESUMO'!AV31</f>
        <v>59.64</v>
      </c>
      <c r="N49" s="140" t="n">
        <f aca="false">MAX(0,M49-M48)</f>
        <v>9.09</v>
      </c>
      <c r="O49" s="139" t="str">
        <f aca="false">IF(B49&lt;='VALOR POR PL'!$P$5,'CP RESUMO'!AV73,"")</f>
        <v/>
      </c>
      <c r="P49" s="66" t="n">
        <f aca="false">IF(B49&lt;='VALOR POR PL'!$P$5,0,IF(OR($K$16="CURVA PREVISION",$K$16="MDO PREVISION + MATERIAL PREMISSA"),N49,IF($K$16="PREVISÃO INFORMADA",MAX(0,H49),0)))</f>
        <v>275123.96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HISTORICOS'!AW31)</f>
        <v>0</v>
      </c>
      <c r="D50" s="45" t="n">
        <f aca="false">IF(B50&lt;='VALOR POR PL'!$P$5,0,IF($K$17&gt;0,$K$18*P50/$K$17,0))</f>
        <v>302639.995682155</v>
      </c>
      <c r="E50" s="45" t="n">
        <f aca="false">L50+D50/$K$2</f>
        <v>233.358441379451</v>
      </c>
      <c r="F50" s="117" t="n">
        <f aca="false">IF($K$9=0,0,E50/$K$9)</f>
        <v>0.0953999987676529</v>
      </c>
      <c r="G50" s="117" t="n">
        <f aca="false">G49+F50</f>
        <v>0.596400002500396</v>
      </c>
      <c r="H50" s="138" t="n">
        <v>299279.65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RESUMO'!AW31</f>
        <v>67.24</v>
      </c>
      <c r="N50" s="140" t="n">
        <f aca="false">MAX(0,M50-M49)</f>
        <v>7.59999999999999</v>
      </c>
      <c r="O50" s="139" t="str">
        <f aca="false">IF(B50&lt;='VALOR POR PL'!$P$5,'CP RESUMO'!AW73,"")</f>
        <v/>
      </c>
      <c r="P50" s="66" t="n">
        <f aca="false">IF(B50&lt;='VALOR POR PL'!$P$5,0,IF(OR($K$16="CURVA PREVISION",$K$16="MDO PREVISION + MATERIAL PREMISSA"),N50,IF($K$16="PREVISÃO INFORMADA",MAX(0,H50),0)))</f>
        <v>299279.65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HISTORICOS'!AX31)</f>
        <v>0</v>
      </c>
      <c r="D51" s="45" t="n">
        <f aca="false">IF(B51&lt;='VALOR POR PL'!$P$5,0,IF($K$17&gt;0,$K$18*P51/$K$17,0))</f>
        <v>241096.854980083</v>
      </c>
      <c r="E51" s="45" t="n">
        <f aca="false">L51+D51/$K$2</f>
        <v>185.904001792045</v>
      </c>
      <c r="F51" s="117" t="n">
        <f aca="false">IF($K$9=0,0,E51/$K$9)</f>
        <v>0.0759999999872494</v>
      </c>
      <c r="G51" s="117" t="n">
        <f aca="false">G50+F51</f>
        <v>0.672400002487645</v>
      </c>
      <c r="H51" s="138" t="n">
        <v>238419.85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RESUMO'!AX31</f>
        <v>75.9</v>
      </c>
      <c r="N51" s="140" t="n">
        <f aca="false">MAX(0,M51-M50)</f>
        <v>8.66000000000001</v>
      </c>
      <c r="O51" s="139" t="str">
        <f aca="false">IF(B51&lt;='VALOR POR PL'!$P$5,'CP RESUMO'!AX73,"")</f>
        <v/>
      </c>
      <c r="P51" s="66" t="n">
        <f aca="false">IF(B51&lt;='VALOR POR PL'!$P$5,0,IF(OR($K$16="CURVA PREVISION",$K$16="MDO PREVISION + MATERIAL PREMISSA"),N51,IF($K$16="PREVISÃO INFORMADA",MAX(0,H51),0)))</f>
        <v>238419.85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HISTORICOS'!AY31)</f>
        <v>0</v>
      </c>
      <c r="D52" s="45" t="n">
        <f aca="false">IF(B52&lt;='VALOR POR PL'!$P$5,0,IF($K$17&gt;0,$K$18*P52/$K$17,0))</f>
        <v>252834.462829737</v>
      </c>
      <c r="E52" s="45" t="n">
        <f aca="false">L52+D52/$K$2</f>
        <v>194.95458966013</v>
      </c>
      <c r="F52" s="117" t="n">
        <f aca="false">IF($K$9=0,0,E52/$K$9)</f>
        <v>0.0796999992945722</v>
      </c>
      <c r="G52" s="117" t="n">
        <f aca="false">G51+F52</f>
        <v>0.752100001782217</v>
      </c>
      <c r="H52" s="138" t="n">
        <v>250027.13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RESUMO'!AY31</f>
        <v>92.18</v>
      </c>
      <c r="N52" s="140" t="n">
        <f aca="false">MAX(0,M52-M51)</f>
        <v>16.28</v>
      </c>
      <c r="O52" s="139" t="str">
        <f aca="false">IF(B52&lt;='VALOR POR PL'!$P$5,'CP RESUMO'!AY73,"")</f>
        <v/>
      </c>
      <c r="P52" s="66" t="n">
        <f aca="false">IF(B52&lt;='VALOR POR PL'!$P$5,0,IF(OR($K$16="CURVA PREVISION",$K$16="MDO PREVISION + MATERIAL PREMISSA"),N52,IF($K$16="PREVISÃO INFORMADA",MAX(0,H52),0)))</f>
        <v>250027.13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HISTORICOS'!AZ31)</f>
        <v>0</v>
      </c>
      <c r="D53" s="45" t="n">
        <f aca="false">IF(B53&lt;='VALOR POR PL'!$P$5,0,IF($K$17&gt;0,$K$18*P53/$K$17,0))</f>
        <v>303591.692795996</v>
      </c>
      <c r="E53" s="45" t="n">
        <f aca="false">L53+D53/$K$2</f>
        <v>234.092272195999</v>
      </c>
      <c r="F53" s="117" t="n">
        <f aca="false">IF($K$9=0,0,E53/$K$9)</f>
        <v>0.0956999984530315</v>
      </c>
      <c r="G53" s="117" t="n">
        <f aca="false">G52+F53</f>
        <v>0.847800000235249</v>
      </c>
      <c r="H53" s="138" t="n">
        <v>300220.78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RESUMO'!AZ31</f>
        <v>96.14</v>
      </c>
      <c r="N53" s="140" t="n">
        <f aca="false">MAX(0,M53-M52)</f>
        <v>3.95999999999999</v>
      </c>
      <c r="O53" s="139" t="str">
        <f aca="false">IF(B53&lt;='VALOR POR PL'!$P$5,'CP RESUMO'!AZ73,"")</f>
        <v/>
      </c>
      <c r="P53" s="66" t="n">
        <f aca="false">IF(B53&lt;='VALOR POR PL'!$P$5,0,IF(OR($K$16="CURVA PREVISION",$K$16="MDO PREVISION + MATERIAL PREMISSA"),N53,IF($K$16="PREVISÃO INFORMADA",MAX(0,H53),0)))</f>
        <v>300220.78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HISTORICOS'!BA31)</f>
        <v>0</v>
      </c>
      <c r="D54" s="45" t="n">
        <f aca="false">IF(B54&lt;='VALOR POR PL'!$P$5,0,IF($K$17&gt;0,$K$18*P54/$K$17,0))</f>
        <v>360376.347928863</v>
      </c>
      <c r="E54" s="45" t="n">
        <f aca="false">L54+D54/$K$2</f>
        <v>277.877557700669</v>
      </c>
      <c r="F54" s="117" t="n">
        <f aca="false">IF($K$9=0,0,E54/$K$9)</f>
        <v>0.113599998806542</v>
      </c>
      <c r="G54" s="117" t="n">
        <f aca="false">G53+F54</f>
        <v>0.961399999041791</v>
      </c>
      <c r="H54" s="138" t="n">
        <v>356374.93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RESUMO'!BA31</f>
        <v>100</v>
      </c>
      <c r="N54" s="140" t="n">
        <f aca="false">MAX(0,M54-M53)</f>
        <v>3.86</v>
      </c>
      <c r="O54" s="139" t="str">
        <f aca="false">IF(B54&lt;='VALOR POR PL'!$P$5,'CP RESUMO'!BA73,"")</f>
        <v/>
      </c>
      <c r="P54" s="66" t="n">
        <f aca="false">IF(B54&lt;='VALOR POR PL'!$P$5,0,IF(OR($K$16="CURVA PREVISION",$K$16="MDO PREVISION + MATERIAL PREMISSA"),N54,IF($K$16="PREVISÃO INFORMADA",MAX(0,H54),0)))</f>
        <v>356374.93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HISTORICOS'!BB31)</f>
        <v>0</v>
      </c>
      <c r="D55" s="45" t="n">
        <f aca="false">IF(B55&lt;='VALOR POR PL'!$P$5,0,IF($K$17&gt;0,$K$18*P55/$K$17,0))</f>
        <v>122451.826773864</v>
      </c>
      <c r="E55" s="45" t="n">
        <f aca="false">L55+D55/$K$2</f>
        <v>94.4196664277855</v>
      </c>
      <c r="F55" s="117" t="n">
        <f aca="false">IF($K$9=0,0,E55/$K$9)</f>
        <v>0.0386000009582088</v>
      </c>
      <c r="G55" s="117" t="n">
        <f aca="false">G54+F55</f>
        <v>1</v>
      </c>
      <c r="H55" s="138" t="n">
        <v>121092.19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RESUMO'!BB31</f>
        <v>100</v>
      </c>
      <c r="N55" s="140" t="n">
        <f aca="false">MAX(0,M55-M54)</f>
        <v>0</v>
      </c>
      <c r="O55" s="139" t="str">
        <f aca="false">IF(B55&lt;='VALOR POR PL'!$P$5,'CP RESUMO'!BB73,"")</f>
        <v/>
      </c>
      <c r="P55" s="66" t="n">
        <f aca="false">IF(B55&lt;='VALOR POR PL'!$P$5,0,IF(OR($K$16="CURVA PREVISION",$K$16="MDO PREVISION + MATERIAL PREMISSA"),N55,IF($K$16="PREVISÃO INFORMADA",MAX(0,H55),0)))</f>
        <v>121092.19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RESUMO'!BC31</f>
        <v>100</v>
      </c>
      <c r="N56" s="140" t="n">
        <f aca="false">MAX(0,M56-M55)</f>
        <v>0</v>
      </c>
      <c r="O56" s="139" t="str">
        <f aca="false">IF(B56&lt;='VALOR POR PL'!$P$5,'CP RESUMO'!BC73,"")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RESUMO'!BD31</f>
        <v>100</v>
      </c>
      <c r="N57" s="140" t="n">
        <f aca="false">MAX(0,M57-M56)</f>
        <v>0</v>
      </c>
      <c r="O57" s="139" t="str">
        <f aca="false">IF(B57&lt;='VALOR POR PL'!$P$5,'CP RESUMO'!BD73,"")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RESUMO'!BE31</f>
        <v>100</v>
      </c>
      <c r="N58" s="140" t="n">
        <f aca="false">MAX(0,M58-M57)</f>
        <v>0</v>
      </c>
      <c r="O58" s="139" t="str">
        <f aca="false">IF(B58&lt;='VALOR POR PL'!$P$5,'CP RESUMO'!BE73,"")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RESUMO'!BF31</f>
        <v>100</v>
      </c>
      <c r="N59" s="140" t="n">
        <f aca="false">MAX(0,M59-M58)</f>
        <v>0</v>
      </c>
      <c r="O59" s="139" t="str">
        <f aca="false">IF(B59&lt;='VALOR POR PL'!$P$5,'CP RESUMO'!BF73,"")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RESUMO'!BG31</f>
        <v>100</v>
      </c>
      <c r="N60" s="140" t="n">
        <f aca="false">MAX(0,M60-M59)</f>
        <v>0</v>
      </c>
      <c r="O60" s="139" t="str">
        <f aca="false">IF(B60&lt;='VALOR POR PL'!$P$5,'CP RESUMO'!BG73,"")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RESUMO'!BH31</f>
        <v>100</v>
      </c>
      <c r="N61" s="140" t="n">
        <f aca="false">MAX(0,M61-M60)</f>
        <v>0</v>
      </c>
      <c r="O61" s="139" t="str">
        <f aca="false">IF(B61&lt;='VALOR POR PL'!$P$5,'CP RESUMO'!BH73,"")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RESUMO'!BI31</f>
        <v>100</v>
      </c>
      <c r="N62" s="140" t="n">
        <f aca="false">MAX(0,M62-M61)</f>
        <v>0</v>
      </c>
      <c r="O62" s="139" t="str">
        <f aca="false">IF(B62&lt;='VALOR POR PL'!$P$5,'CP RESUMO'!BI73,"")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RESUMO'!BJ31</f>
        <v>100</v>
      </c>
      <c r="N63" s="140" t="n">
        <f aca="false">MAX(0,M63-M62)</f>
        <v>0</v>
      </c>
      <c r="O63" s="139" t="str">
        <f aca="false">IF(B63&lt;='VALOR POR PL'!$P$5,'CP RESUMO'!BJ73,"")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RESUMO'!BK31</f>
        <v>100</v>
      </c>
      <c r="N64" s="140" t="n">
        <f aca="false">MAX(0,M64-M63)</f>
        <v>0</v>
      </c>
      <c r="O64" s="139" t="str">
        <f aca="false">IF(B64&lt;='VALOR POR PL'!$P$5,'CP RESUMO'!BK73,"")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RESUMO'!BL31</f>
        <v>100</v>
      </c>
      <c r="N65" s="140" t="n">
        <f aca="false">MAX(0,M65-M64)</f>
        <v>0</v>
      </c>
      <c r="O65" s="139" t="str">
        <f aca="false">IF(B65&lt;='VALOR POR PL'!$P$5,'CP RESUMO'!BL73,"")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RESUMO'!BM31</f>
        <v>100</v>
      </c>
      <c r="N66" s="140" t="n">
        <f aca="false">MAX(0,M66-M65)</f>
        <v>0</v>
      </c>
      <c r="O66" s="139" t="str">
        <f aca="false">IF(B66&lt;='VALOR POR PL'!$P$5,'CP RESUMO'!BM73,"")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RESUMO'!BN31</f>
        <v>100</v>
      </c>
      <c r="N67" s="140" t="n">
        <f aca="false">MAX(0,M67-M66)</f>
        <v>0</v>
      </c>
      <c r="O67" s="139" t="str">
        <f aca="false">IF(B67&lt;='VALOR POR PL'!$P$5,'CP RESUMO'!BN73,"")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RESUMO'!BO31</f>
        <v>100</v>
      </c>
      <c r="N68" s="140" t="n">
        <f aca="false">MAX(0,M68-M67)</f>
        <v>0</v>
      </c>
      <c r="O68" s="139" t="str">
        <f aca="false">IF(B68&lt;='VALOR POR PL'!$P$5,'CP RESUMO'!BO73,"")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RESUMO'!BP31</f>
        <v>100</v>
      </c>
      <c r="N69" s="140" t="n">
        <f aca="false">MAX(0,M69-M68)</f>
        <v>0</v>
      </c>
      <c r="O69" s="139" t="str">
        <f aca="false">IF(B69&lt;='VALOR POR PL'!$P$5,'CP RESUMO'!BP73,"")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RESUMO'!BQ31</f>
        <v>100</v>
      </c>
      <c r="N70" s="140" t="n">
        <f aca="false">MAX(0,M70-M69)</f>
        <v>0</v>
      </c>
      <c r="O70" s="139" t="str">
        <f aca="false">IF(B70&lt;='VALOR POR PL'!$P$5,'CP RESUMO'!BQ73,"")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RESUMO'!BR31</f>
        <v>100</v>
      </c>
      <c r="N71" s="140" t="n">
        <f aca="false">MAX(0,M71-M70)</f>
        <v>0</v>
      </c>
      <c r="O71" s="139" t="str">
        <f aca="false">IF(B71&lt;='VALOR POR PL'!$P$5,'CP RESUMO'!BR73,"")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RESUMO'!BS31</f>
        <v>100</v>
      </c>
      <c r="N72" s="140" t="n">
        <f aca="false">MAX(0,M72-M71)</f>
        <v>0</v>
      </c>
      <c r="O72" s="139" t="str">
        <f aca="false">IF(B72&lt;='VALOR POR PL'!$P$5,'CP RESUMO'!BS73,"")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RESUMO'!BT31</f>
        <v>100</v>
      </c>
      <c r="N73" s="140" t="n">
        <f aca="false">MAX(0,M73-M72)</f>
        <v>0</v>
      </c>
      <c r="O73" s="139" t="str">
        <f aca="false">IF(B73&lt;='VALOR POR PL'!$P$5,'CP RESUMO'!BT73,"")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RESUMO'!BU31</f>
        <v>100</v>
      </c>
      <c r="N74" s="140" t="n">
        <f aca="false">MAX(0,M74-M73)</f>
        <v>0</v>
      </c>
      <c r="O74" s="139" t="str">
        <f aca="false">IF(B74&lt;='VALOR POR PL'!$P$5,'CP RESUMO'!BU73,"")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RESUMO'!BV31</f>
        <v>100</v>
      </c>
      <c r="N75" s="140" t="n">
        <f aca="false">MAX(0,M75-M74)</f>
        <v>0</v>
      </c>
      <c r="O75" s="139" t="str">
        <f aca="false">IF(B75&lt;='VALOR POR PL'!$P$5,'CP RESUMO'!BV73,"")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RESUMO'!BW31</f>
        <v>100</v>
      </c>
      <c r="N76" s="140" t="n">
        <f aca="false">MAX(0,M76-M75)</f>
        <v>0</v>
      </c>
      <c r="O76" s="139" t="str">
        <f aca="false">IF(B76&lt;='VALOR POR PL'!$P$5,'CP RESUMO'!BW73,"")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3172327.03974385</v>
      </c>
      <c r="E78" s="61" t="n">
        <f aca="false">SUM(E5:E76)</f>
        <v>2446.10528714782</v>
      </c>
      <c r="F78" s="145" t="n">
        <f aca="false">SUM(F5:F76)</f>
        <v>1</v>
      </c>
      <c r="H78" s="61" t="n">
        <f aca="false">SUM(H5:H76)</f>
        <v>3137103.29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PL'!D38</f>
        <v>REVESTIMENTOS DE MASSA EM PISOS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HISTORICOS'!D32)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PL'!F38</f>
        <v>1096073.33</v>
      </c>
      <c r="K5" s="56" t="n">
        <f aca="false">'VALOR POR PL'!G38</f>
        <v>900.853067</v>
      </c>
      <c r="L5" s="56" t="n">
        <f aca="false">'DADOS HISTORICOS'!$BZ$32</f>
        <v>0</v>
      </c>
      <c r="M5" s="139" t="n">
        <f aca="false">'CP RESUMO'!D32</f>
        <v>0</v>
      </c>
      <c r="N5" s="140" t="n">
        <v>0</v>
      </c>
      <c r="O5" s="139" t="n">
        <f aca="false">IF(B5&lt;='VALOR POR PL'!$P$5,'CP RESUMO'!D74,"")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PL'!H38</f>
        <v>900.853067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RESUMO'!E32</f>
        <v>0</v>
      </c>
      <c r="N6" s="140" t="n">
        <f aca="false">MAX(0,M6-M5)</f>
        <v>0</v>
      </c>
      <c r="O6" s="139" t="n">
        <f aca="false">IF(B6&lt;='VALOR POR PL'!$P$5,'CP RESUMO'!E74,"")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1167844.43414111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RESUMO'!F32</f>
        <v>0</v>
      </c>
      <c r="N7" s="140" t="n">
        <f aca="false">MAX(0,M7-M6)</f>
        <v>0</v>
      </c>
      <c r="O7" s="139" t="n">
        <f aca="false">IF(B7&lt;='VALOR POR PL'!$P$5,'CP RESUMO'!F74,"")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HISTORICOS'!G32)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RESUMO'!G32</f>
        <v>0</v>
      </c>
      <c r="N8" s="140" t="n">
        <f aca="false">MAX(0,M8-M7)</f>
        <v>0</v>
      </c>
      <c r="O8" s="139" t="n">
        <f aca="false">IF(B8&lt;='VALOR POR PL'!$P$5,'CP RESUMO'!G74,"")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1167844.43414111</v>
      </c>
      <c r="K9" s="45" t="n">
        <f aca="false">E78</f>
        <v>900.496830600853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RESUMO'!H32</f>
        <v>0</v>
      </c>
      <c r="N9" s="140" t="n">
        <f aca="false">MAX(0,M9-M8)</f>
        <v>0</v>
      </c>
      <c r="O9" s="139" t="n">
        <f aca="false">IF(B9&lt;='VALOR POR PL'!$P$5,'CP RESUMO'!H74,"")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HISTORICOS'!I32)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900.496830600853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RESUMO'!I32</f>
        <v>0</v>
      </c>
      <c r="N10" s="140" t="n">
        <f aca="false">MAX(0,M10-M9)</f>
        <v>0</v>
      </c>
      <c r="O10" s="139" t="n">
        <f aca="false">IF(B10&lt;='VALOR POR PL'!$P$5,'CP RESUMO'!I74,"")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HISTORICOS'!J32)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1154877.35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RESUMO'!J32</f>
        <v>0</v>
      </c>
      <c r="N11" s="140" t="n">
        <f aca="false">MAX(0,M11-M10)</f>
        <v>0</v>
      </c>
      <c r="O11" s="139" t="n">
        <f aca="false">IF(B11&lt;='VALOR POR PL'!$P$5,'CP RESUMO'!J74,"")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HISTORICOS'!K32)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RESUMO'!K32</f>
        <v>0</v>
      </c>
      <c r="N12" s="140" t="n">
        <f aca="false">MAX(0,M12-M11)</f>
        <v>0</v>
      </c>
      <c r="O12" s="139" t="n">
        <f aca="false">IF(B12&lt;='VALOR POR PL'!$P$5,'CP RESUMO'!K74,"")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HISTORICOS'!L32)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PL'!I38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RESUMO'!L32</f>
        <v>0</v>
      </c>
      <c r="N13" s="140" t="n">
        <f aca="false">MAX(0,M13-M12)</f>
        <v>0</v>
      </c>
      <c r="O13" s="139" t="n">
        <f aca="false">IF(B13&lt;='VALOR POR PL'!$P$5,'CP RESUMO'!L74,"")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HISTORICOS'!M32)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RESUMO'!$D$74:$BW$74,MATCH('VALOR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RESUMO'!M32</f>
        <v>0</v>
      </c>
      <c r="N14" s="140" t="n">
        <f aca="false">MAX(0,M14-M13)</f>
        <v>0</v>
      </c>
      <c r="O14" s="139" t="n">
        <f aca="false">IF(B14&lt;='VALOR POR PL'!$P$5,'CP RESUMO'!M74,"")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HISTORICOS'!N32)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RESUMO'!N32</f>
        <v>0</v>
      </c>
      <c r="N15" s="140" t="n">
        <f aca="false">MAX(0,M15-M14)</f>
        <v>0</v>
      </c>
      <c r="O15" s="139" t="n">
        <f aca="false">IF(B15&lt;='VALOR POR PL'!$P$5,'CP RESUMO'!N74,"")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HISTORICOS'!O32)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RESUMO'!O32</f>
        <v>0</v>
      </c>
      <c r="N16" s="140" t="n">
        <f aca="false">MAX(0,M16-M15)</f>
        <v>0</v>
      </c>
      <c r="O16" s="139" t="n">
        <f aca="false">IF(B16&lt;='VALOR POR PL'!$P$5,'CP RESUMO'!O74,"")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1154877.35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RESUMO'!P32</f>
        <v>0</v>
      </c>
      <c r="N17" s="140" t="n">
        <f aca="false">MAX(0,M17-M16)</f>
        <v>0</v>
      </c>
      <c r="O17" s="139" t="n">
        <f aca="false">IF(B17&lt;='VALOR POR PL'!$P$5,'CP RESUMO'!P74,"")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1167844.43414111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RESUMO'!Q32</f>
        <v>0</v>
      </c>
      <c r="N18" s="140" t="n">
        <f aca="false">MAX(0,M18-M17)</f>
        <v>0</v>
      </c>
      <c r="O18" s="139" t="n">
        <f aca="false">IF(B18&lt;='VALOR POR PL'!$P$5,'CP RESUMO'!Q74,"")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0.0112281049941012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RESUMO'!R32</f>
        <v>0</v>
      </c>
      <c r="N19" s="140" t="n">
        <f aca="false">MAX(0,M19-M18)</f>
        <v>0</v>
      </c>
      <c r="O19" s="139" t="n">
        <f aca="false">IF(B19&lt;='VALOR POR PL'!$P$5,'CP RESUMO'!R74,"")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RESUMO'!S32</f>
        <v>0</v>
      </c>
      <c r="N20" s="140" t="n">
        <f aca="false">MAX(0,M20-M19)</f>
        <v>0</v>
      </c>
      <c r="O20" s="139" t="n">
        <f aca="false">IF(B20&lt;='VALOR POR PL'!$P$5,'CP RESUMO'!S74,"")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HISTORICOS'!T32)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RESUMO'!T32</f>
        <v>0</v>
      </c>
      <c r="N21" s="140" t="n">
        <f aca="false">MAX(0,M21-M20)</f>
        <v>0</v>
      </c>
      <c r="O21" s="139" t="n">
        <f aca="false">IF(B21&lt;='VALOR POR PL'!$P$5,'CP RESUMO'!T74,"")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HISTORICOS'!U32)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RESUMO'!U32</f>
        <v>0</v>
      </c>
      <c r="N22" s="140" t="n">
        <f aca="false">MAX(0,M22-M21)</f>
        <v>0</v>
      </c>
      <c r="O22" s="139" t="n">
        <f aca="false">IF(B22&lt;='VALOR POR PL'!$P$5,'CP RESUMO'!U74,"")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HISTORICOS'!V32)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RESUMO'!V32</f>
        <v>0</v>
      </c>
      <c r="N23" s="140" t="n">
        <f aca="false">MAX(0,M23-M22)</f>
        <v>0</v>
      </c>
      <c r="O23" s="139" t="n">
        <f aca="false">IF(B23&lt;='VALOR POR PL'!$P$5,'CP RESUMO'!V74,"")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HISTORICOS'!W32)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RESUMO'!W32</f>
        <v>0</v>
      </c>
      <c r="N24" s="140" t="n">
        <f aca="false">MAX(0,M24-M23)</f>
        <v>0</v>
      </c>
      <c r="O24" s="139" t="n">
        <f aca="false">IF(B24&lt;='VALOR POR PL'!$P$5,'CP RESUMO'!W74,"")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HISTORICOS'!X32)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RESUMO'!X32</f>
        <v>0</v>
      </c>
      <c r="N25" s="140" t="n">
        <f aca="false">MAX(0,M25-M24)</f>
        <v>0</v>
      </c>
      <c r="O25" s="139" t="n">
        <f aca="false">IF(B25&lt;='VALOR POR PL'!$P$5,'CP RESUMO'!X74,"")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HISTORICOS'!Y32)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RESUMO'!Y32</f>
        <v>0</v>
      </c>
      <c r="N26" s="140" t="n">
        <f aca="false">MAX(0,M26-M25)</f>
        <v>0</v>
      </c>
      <c r="O26" s="139" t="str">
        <f aca="false">IF(B26&lt;='VALOR POR PL'!$P$5,'CP RESUMO'!Y74,"")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HISTORICOS'!Z32)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RESUMO'!Z32</f>
        <v>0</v>
      </c>
      <c r="N27" s="140" t="n">
        <f aca="false">MAX(0,M27-M26)</f>
        <v>0</v>
      </c>
      <c r="O27" s="139" t="str">
        <f aca="false">IF(B27&lt;='VALOR POR PL'!$P$5,'CP RESUMO'!Z74,"")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HISTORICOS'!AA32)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RESUMO'!AA32</f>
        <v>0</v>
      </c>
      <c r="N28" s="140" t="n">
        <f aca="false">MAX(0,M28-M27)</f>
        <v>0</v>
      </c>
      <c r="O28" s="139" t="str">
        <f aca="false">IF(B28&lt;='VALOR POR PL'!$P$5,'CP RESUMO'!AA74,"")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HISTORICOS'!AB32)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RESUMO'!AB32</f>
        <v>0</v>
      </c>
      <c r="N29" s="140" t="n">
        <f aca="false">MAX(0,M29-M28)</f>
        <v>0</v>
      </c>
      <c r="O29" s="139" t="str">
        <f aca="false">IF(B29&lt;='VALOR POR PL'!$P$5,'CP RESUMO'!AB74,"")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HISTORICOS'!AC32)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RESUMO'!AC32</f>
        <v>0</v>
      </c>
      <c r="N30" s="140" t="n">
        <f aca="false">MAX(0,M30-M29)</f>
        <v>0</v>
      </c>
      <c r="O30" s="139" t="str">
        <f aca="false">IF(B30&lt;='VALOR POR PL'!$P$5,'CP RESUMO'!AC74,"")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HISTORICOS'!AD32)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RESUMO'!AD32</f>
        <v>0</v>
      </c>
      <c r="N31" s="140" t="n">
        <f aca="false">MAX(0,M31-M30)</f>
        <v>0</v>
      </c>
      <c r="O31" s="139" t="str">
        <f aca="false">IF(B31&lt;='VALOR POR PL'!$P$5,'CP RESUMO'!AD74,"")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HISTORICOS'!AE32)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RESUMO'!AE32</f>
        <v>0</v>
      </c>
      <c r="N32" s="140" t="n">
        <f aca="false">MAX(0,M32-M31)</f>
        <v>0</v>
      </c>
      <c r="O32" s="139" t="str">
        <f aca="false">IF(B32&lt;='VALOR POR PL'!$P$5,'CP RESUMO'!AE74,"")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HISTORICOS'!AF32)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RESUMO'!AF32</f>
        <v>0.16</v>
      </c>
      <c r="N33" s="140" t="n">
        <f aca="false">MAX(0,M33-M32)</f>
        <v>0.16</v>
      </c>
      <c r="O33" s="139" t="str">
        <f aca="false">IF(B33&lt;='VALOR POR PL'!$P$5,'CP RESUMO'!AF74,"")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HISTORICOS'!AG32)</f>
        <v>0</v>
      </c>
      <c r="D34" s="45" t="n">
        <f aca="false">IF(B34&lt;='VALOR POR PL'!$P$5,0,IF($K$17&gt;0,$K$18*P34/$K$17,0))</f>
        <v>1868.5472924081</v>
      </c>
      <c r="E34" s="45" t="n">
        <f aca="false">L34+D34/$K$2</f>
        <v>1.44079199716252</v>
      </c>
      <c r="F34" s="117" t="n">
        <f aca="false">IF($K$9=0,0,E34/$K$9)</f>
        <v>0.00159999674424301</v>
      </c>
      <c r="G34" s="117" t="n">
        <f aca="false">G33+F34</f>
        <v>0.00159999674424301</v>
      </c>
      <c r="H34" s="138" t="n">
        <v>1847.8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RESUMO'!AG32</f>
        <v>0.49</v>
      </c>
      <c r="N34" s="140" t="n">
        <f aca="false">MAX(0,M34-M33)</f>
        <v>0.33</v>
      </c>
      <c r="O34" s="139" t="str">
        <f aca="false">IF(B34&lt;='VALOR POR PL'!$P$5,'CP RESUMO'!AG74,"")</f>
        <v/>
      </c>
      <c r="P34" s="66" t="n">
        <f aca="false">IF(B34&lt;='VALOR POR PL'!$P$5,0,IF(OR($K$16="CURVA PREVISION",$K$16="MDO PREVISION + MATERIAL PREMISSA"),N34,IF($K$16="PREVISÃO INFORMADA",MAX(0,H34),0)))</f>
        <v>1847.8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HISTORICOS'!AH32)</f>
        <v>0</v>
      </c>
      <c r="D35" s="45" t="n">
        <f aca="false">IF(B35&lt;='VALOR POR PL'!$P$5,0,IF($K$17&gt;0,$K$18*P35/$K$17,0))</f>
        <v>3853.89143094302</v>
      </c>
      <c r="E35" s="45" t="n">
        <f aca="false">L35+D35/$K$2</f>
        <v>2.97164324081939</v>
      </c>
      <c r="F35" s="117" t="n">
        <f aca="false">IF($K$9=0,0,E35/$K$9)</f>
        <v>0.00330000410866141</v>
      </c>
      <c r="G35" s="117" t="n">
        <f aca="false">G34+F35</f>
        <v>0.00490000085290442</v>
      </c>
      <c r="H35" s="138" t="n">
        <v>3811.1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RESUMO'!AH32</f>
        <v>4.11</v>
      </c>
      <c r="N35" s="140" t="n">
        <f aca="false">MAX(0,M35-M34)</f>
        <v>3.62</v>
      </c>
      <c r="O35" s="139" t="str">
        <f aca="false">IF(B35&lt;='VALOR POR PL'!$P$5,'CP RESUMO'!AH74,"")</f>
        <v/>
      </c>
      <c r="P35" s="66" t="n">
        <f aca="false">IF(B35&lt;='VALOR POR PL'!$P$5,0,IF(OR($K$16="CURVA PREVISION",$K$16="MDO PREVISION + MATERIAL PREMISSA"),N35,IF($K$16="PREVISÃO INFORMADA",MAX(0,H35),0)))</f>
        <v>3811.1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HISTORICOS'!AI32)</f>
        <v>0</v>
      </c>
      <c r="D36" s="45" t="n">
        <f aca="false">IF(B36&lt;='VALOR POR PL'!$P$5,0,IF($K$17&gt;0,$K$18*P36/$K$17,0))</f>
        <v>32933.2117585196</v>
      </c>
      <c r="E36" s="45" t="n">
        <f aca="false">L36+D36/$K$2</f>
        <v>25.3940096326822</v>
      </c>
      <c r="F36" s="117" t="n">
        <f aca="false">IF($K$9=0,0,E36/$K$9)</f>
        <v>0.0281999989003161</v>
      </c>
      <c r="G36" s="117" t="n">
        <f aca="false">G35+F36</f>
        <v>0.0330999997532205</v>
      </c>
      <c r="H36" s="138" t="n">
        <v>32567.54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RESUMO'!AI32</f>
        <v>11.69</v>
      </c>
      <c r="N36" s="140" t="n">
        <f aca="false">MAX(0,M36-M35)</f>
        <v>7.58</v>
      </c>
      <c r="O36" s="139" t="str">
        <f aca="false">IF(B36&lt;='VALOR POR PL'!$P$5,'CP RESUMO'!AI74,"")</f>
        <v/>
      </c>
      <c r="P36" s="66" t="n">
        <f aca="false">IF(B36&lt;='VALOR POR PL'!$P$5,0,IF(OR($K$16="CURVA PREVISION",$K$16="MDO PREVISION + MATERIAL PREMISSA"),N36,IF($K$16="PREVISÃO INFORMADA",MAX(0,H36),0)))</f>
        <v>32567.54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HISTORICOS'!AJ32)</f>
        <v>0</v>
      </c>
      <c r="D37" s="45" t="n">
        <f aca="false">IF(B37&lt;='VALOR POR PL'!$P$5,0,IF($K$17&gt;0,$K$18*P37/$K$17,0))</f>
        <v>97631.7982739442</v>
      </c>
      <c r="E37" s="45" t="n">
        <f aca="false">L37+D37/$K$2</f>
        <v>75.2815377984887</v>
      </c>
      <c r="F37" s="117" t="n">
        <f aca="false">IF($K$9=0,0,E37/$K$9)</f>
        <v>0.0836000030652606</v>
      </c>
      <c r="G37" s="117" t="n">
        <f aca="false">G36+F37</f>
        <v>0.116700002818481</v>
      </c>
      <c r="H37" s="138" t="n">
        <v>96547.75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RESUMO'!AJ32</f>
        <v>19.84</v>
      </c>
      <c r="N37" s="140" t="n">
        <f aca="false">MAX(0,M37-M36)</f>
        <v>8.15</v>
      </c>
      <c r="O37" s="139" t="str">
        <f aca="false">IF(B37&lt;='VALOR POR PL'!$P$5,'CP RESUMO'!AJ74,"")</f>
        <v/>
      </c>
      <c r="P37" s="66" t="n">
        <f aca="false">IF(B37&lt;='VALOR POR PL'!$P$5,0,IF(OR($K$16="CURVA PREVISION",$K$16="MDO PREVISION + MATERIAL PREMISSA"),N37,IF($K$16="PREVISÃO INFORMADA",MAX(0,H37),0)))</f>
        <v>96547.75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HISTORICOS'!AK32)</f>
        <v>0</v>
      </c>
      <c r="D38" s="45" t="n">
        <f aca="false">IF(B38&lt;='VALOR POR PL'!$P$5,0,IF($K$17&gt;0,$K$18*P38/$K$17,0))</f>
        <v>88872.9651442894</v>
      </c>
      <c r="E38" s="45" t="n">
        <f aca="false">L38+D38/$K$2</f>
        <v>68.527811666449</v>
      </c>
      <c r="F38" s="117" t="n">
        <f aca="false">IF($K$9=0,0,E38/$K$9)</f>
        <v>0.0761000031734972</v>
      </c>
      <c r="G38" s="117" t="n">
        <f aca="false">G37+F38</f>
        <v>0.192800005991978</v>
      </c>
      <c r="H38" s="138" t="n">
        <v>87886.17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RESUMO'!AK32</f>
        <v>27.98</v>
      </c>
      <c r="N38" s="140" t="n">
        <f aca="false">MAX(0,M38-M37)</f>
        <v>8.14</v>
      </c>
      <c r="O38" s="139" t="str">
        <f aca="false">IF(B38&lt;='VALOR POR PL'!$P$5,'CP RESUMO'!AK74,"")</f>
        <v/>
      </c>
      <c r="P38" s="66" t="n">
        <f aca="false">IF(B38&lt;='VALOR POR PL'!$P$5,0,IF(OR($K$16="CURVA PREVISION",$K$16="MDO PREVISION + MATERIAL PREMISSA"),N38,IF($K$16="PREVISÃO INFORMADA",MAX(0,H38),0)))</f>
        <v>87886.17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HISTORICOS'!AL32)</f>
        <v>0</v>
      </c>
      <c r="D39" s="45" t="n">
        <f aca="false">IF(B39&lt;='VALOR POR PL'!$P$5,0,IF($K$17&gt;0,$K$18*P39/$K$17,0))</f>
        <v>97047.8747169965</v>
      </c>
      <c r="E39" s="45" t="n">
        <f aca="false">L39+D39/$K$2</f>
        <v>74.8312883500411</v>
      </c>
      <c r="F39" s="117" t="n">
        <f aca="false">IF($K$9=0,0,E39/$K$9)</f>
        <v>0.0831000019179526</v>
      </c>
      <c r="G39" s="117" t="n">
        <f aca="false">G38+F39</f>
        <v>0.275900007909931</v>
      </c>
      <c r="H39" s="138" t="n">
        <v>95970.31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RESUMO'!AL32</f>
        <v>36.39</v>
      </c>
      <c r="N39" s="140" t="n">
        <f aca="false">MAX(0,M39-M38)</f>
        <v>8.41</v>
      </c>
      <c r="O39" s="139" t="str">
        <f aca="false">IF(B39&lt;='VALOR POR PL'!$P$5,'CP RESUMO'!AL74,"")</f>
        <v/>
      </c>
      <c r="P39" s="66" t="n">
        <f aca="false">IF(B39&lt;='VALOR POR PL'!$P$5,0,IF(OR($K$16="CURVA PREVISION",$K$16="MDO PREVISION + MATERIAL PREMISSA"),N39,IF($K$16="PREVISÃO INFORMADA",MAX(0,H39),0)))</f>
        <v>95970.31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HISTORICOS'!AM32)</f>
        <v>0</v>
      </c>
      <c r="D40" s="45" t="n">
        <f aca="false">IF(B40&lt;='VALOR POR PL'!$P$5,0,IF($K$17&gt;0,$K$18*P40/$K$17,0))</f>
        <v>94128.2569322575</v>
      </c>
      <c r="E40" s="45" t="n">
        <f aca="false">L40+D40/$K$2</f>
        <v>72.580041107803</v>
      </c>
      <c r="F40" s="117" t="n">
        <f aca="false">IF($K$9=0,0,E40/$K$9)</f>
        <v>0.0805999961814127</v>
      </c>
      <c r="G40" s="117" t="n">
        <f aca="false">G39+F40</f>
        <v>0.356500004091344</v>
      </c>
      <c r="H40" s="138" t="n">
        <v>93083.11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RESUMO'!AM32</f>
        <v>54.58</v>
      </c>
      <c r="N40" s="140" t="n">
        <f aca="false">MAX(0,M40-M39)</f>
        <v>18.19</v>
      </c>
      <c r="O40" s="139" t="str">
        <f aca="false">IF(B40&lt;='VALOR POR PL'!$P$5,'CP RESUMO'!AM74,"")</f>
        <v/>
      </c>
      <c r="P40" s="66" t="n">
        <f aca="false">IF(B40&lt;='VALOR POR PL'!$P$5,0,IF(OR($K$16="CURVA PREVISION",$K$16="MDO PREVISION + MATERIAL PREMISSA"),N40,IF($K$16="PREVISÃO INFORMADA",MAX(0,H40),0)))</f>
        <v>93083.11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HISTORICOS'!AN32)</f>
        <v>0</v>
      </c>
      <c r="D41" s="45" t="n">
        <f aca="false">IF(B41&lt;='VALOR POR PL'!$P$5,0,IF($K$17&gt;0,$K$18*P41/$K$17,0))</f>
        <v>122857.237282859</v>
      </c>
      <c r="E41" s="45" t="n">
        <f aca="false">L41+D41/$K$2</f>
        <v>94.7322687468695</v>
      </c>
      <c r="F41" s="117" t="n">
        <f aca="false">IF($K$9=0,0,E41/$K$9)</f>
        <v>0.105200002407182</v>
      </c>
      <c r="G41" s="117" t="n">
        <f aca="false">G40+F41</f>
        <v>0.461700006498526</v>
      </c>
      <c r="H41" s="138" t="n">
        <v>121493.1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RESUMO'!AN32</f>
        <v>61.51</v>
      </c>
      <c r="N41" s="140" t="n">
        <f aca="false">MAX(0,M41-M40)</f>
        <v>6.93</v>
      </c>
      <c r="O41" s="139" t="str">
        <f aca="false">IF(B41&lt;='VALOR POR PL'!$P$5,'CP RESUMO'!AN74,"")</f>
        <v/>
      </c>
      <c r="P41" s="66" t="n">
        <f aca="false">IF(B41&lt;='VALOR POR PL'!$P$5,0,IF(OR($K$16="CURVA PREVISION",$K$16="MDO PREVISION + MATERIAL PREMISSA"),N41,IF($K$16="PREVISÃO INFORMADA",MAX(0,H41),0)))</f>
        <v>121493.1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HISTORICOS'!AO32)</f>
        <v>0</v>
      </c>
      <c r="D42" s="45" t="n">
        <f aca="false">IF(B42&lt;='VALOR POR PL'!$P$5,0,IF($K$17&gt;0,$K$18*P42/$K$17,0))</f>
        <v>177862.706910144</v>
      </c>
      <c r="E42" s="45" t="n">
        <f aca="false">L42+D42/$K$2</f>
        <v>137.145666984718</v>
      </c>
      <c r="F42" s="117" t="n">
        <f aca="false">IF($K$9=0,0,E42/$K$9)</f>
        <v>0.152299999649313</v>
      </c>
      <c r="G42" s="117" t="n">
        <f aca="false">G41+F42</f>
        <v>0.614000006147839</v>
      </c>
      <c r="H42" s="138" t="n">
        <v>175887.82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RESUMO'!AO32</f>
        <v>69.43</v>
      </c>
      <c r="N42" s="140" t="n">
        <f aca="false">MAX(0,M42-M41)</f>
        <v>7.92000000000001</v>
      </c>
      <c r="O42" s="139" t="str">
        <f aca="false">IF(B42&lt;='VALOR POR PL'!$P$5,'CP RESUMO'!AO74,"")</f>
        <v/>
      </c>
      <c r="P42" s="66" t="n">
        <f aca="false">IF(B42&lt;='VALOR POR PL'!$P$5,0,IF(OR($K$16="CURVA PREVISION",$K$16="MDO PREVISION + MATERIAL PREMISSA"),N42,IF($K$16="PREVISÃO INFORMADA",MAX(0,H42),0)))</f>
        <v>175887.82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HISTORICOS'!AP32)</f>
        <v>0</v>
      </c>
      <c r="D43" s="45" t="n">
        <f aca="false">IF(B43&lt;='VALOR POR PL'!$P$5,0,IF($K$17&gt;0,$K$18*P43/$K$17,0))</f>
        <v>89573.6653228019</v>
      </c>
      <c r="E43" s="45" t="n">
        <f aca="false">L43+D43/$K$2</f>
        <v>69.0681047667163</v>
      </c>
      <c r="F43" s="117" t="n">
        <f aca="false">IF($K$9=0,0,E43/$K$9)</f>
        <v>0.0766999976231242</v>
      </c>
      <c r="G43" s="117" t="n">
        <f aca="false">G42+F43</f>
        <v>0.690700003770963</v>
      </c>
      <c r="H43" s="138" t="n">
        <v>88579.09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RESUMO'!AP32</f>
        <v>77.74</v>
      </c>
      <c r="N43" s="140" t="n">
        <f aca="false">MAX(0,M43-M42)</f>
        <v>8.30999999999999</v>
      </c>
      <c r="O43" s="139" t="str">
        <f aca="false">IF(B43&lt;='VALOR POR PL'!$P$5,'CP RESUMO'!AP74,"")</f>
        <v/>
      </c>
      <c r="P43" s="66" t="n">
        <f aca="false">IF(B43&lt;='VALOR POR PL'!$P$5,0,IF(OR($K$16="CURVA PREVISION",$K$16="MDO PREVISION + MATERIAL PREMISSA"),N43,IF($K$16="PREVISÃO INFORMADA",MAX(0,H43),0)))</f>
        <v>88579.09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HISTORICOS'!AQ32)</f>
        <v>0</v>
      </c>
      <c r="D44" s="45" t="n">
        <f aca="false">IF(B44&lt;='VALOR POR PL'!$P$5,0,IF($K$17&gt;0,$K$18*P44/$K$17,0))</f>
        <v>101018.542769504</v>
      </c>
      <c r="E44" s="45" t="n">
        <f aca="false">L44+D44/$K$2</f>
        <v>77.8929752426801</v>
      </c>
      <c r="F44" s="117" t="n">
        <f aca="false">IF($K$9=0,0,E44/$K$9)</f>
        <v>0.0864999993289331</v>
      </c>
      <c r="G44" s="117" t="n">
        <f aca="false">G43+F44</f>
        <v>0.777200003099896</v>
      </c>
      <c r="H44" s="138" t="n">
        <v>99896.89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RESUMO'!AQ32</f>
        <v>85.33</v>
      </c>
      <c r="N44" s="140" t="n">
        <f aca="false">MAX(0,M44-M43)</f>
        <v>7.59</v>
      </c>
      <c r="O44" s="139" t="str">
        <f aca="false">IF(B44&lt;='VALOR POR PL'!$P$5,'CP RESUMO'!AQ74,"")</f>
        <v/>
      </c>
      <c r="P44" s="66" t="n">
        <f aca="false">IF(B44&lt;='VALOR POR PL'!$P$5,0,IF(OR($K$16="CURVA PREVISION",$K$16="MDO PREVISION + MATERIAL PREMISSA"),N44,IF($K$16="PREVISÃO INFORMADA",MAX(0,H44),0)))</f>
        <v>99896.89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HISTORICOS'!AR32)</f>
        <v>0</v>
      </c>
      <c r="D45" s="45" t="n">
        <f aca="false">IF(B45&lt;='VALOR POR PL'!$P$5,0,IF($K$17&gt;0,$K$18*P45/$K$17,0))</f>
        <v>88522.6049427521</v>
      </c>
      <c r="E45" s="45" t="n">
        <f aca="false">L45+D45/$K$2</f>
        <v>68.2576573189781</v>
      </c>
      <c r="F45" s="117" t="n">
        <f aca="false">IF($K$9=0,0,E45/$K$9)</f>
        <v>0.0757999972897555</v>
      </c>
      <c r="G45" s="117" t="n">
        <f aca="false">G44+F45</f>
        <v>0.853000000389652</v>
      </c>
      <c r="H45" s="138" t="n">
        <v>87539.7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RESUMO'!AR32</f>
        <v>91.33</v>
      </c>
      <c r="N45" s="140" t="n">
        <f aca="false">MAX(0,M45-M44)</f>
        <v>6</v>
      </c>
      <c r="O45" s="139" t="str">
        <f aca="false">IF(B45&lt;='VALOR POR PL'!$P$5,'CP RESUMO'!AR74,"")</f>
        <v/>
      </c>
      <c r="P45" s="66" t="n">
        <f aca="false">IF(B45&lt;='VALOR POR PL'!$P$5,0,IF(OR($K$16="CURVA PREVISION",$K$16="MDO PREVISION + MATERIAL PREMISSA"),N45,IF($K$16="PREVISÃO INFORMADA",MAX(0,H45),0)))</f>
        <v>87539.7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HISTORICOS'!AS32)</f>
        <v>0</v>
      </c>
      <c r="D46" s="45" t="n">
        <f aca="false">IF(B46&lt;='VALOR POR PL'!$P$5,0,IF($K$17&gt;0,$K$18*P46/$K$17,0))</f>
        <v>66450.347073987</v>
      </c>
      <c r="E46" s="45" t="n">
        <f aca="false">L46+D46/$K$2</f>
        <v>51.238268713812</v>
      </c>
      <c r="F46" s="117" t="n">
        <f aca="false">IF($K$9=0,0,E46/$K$9)</f>
        <v>0.0568999989479402</v>
      </c>
      <c r="G46" s="117" t="n">
        <f aca="false">G45+F46</f>
        <v>0.909899999337592</v>
      </c>
      <c r="H46" s="138" t="n">
        <v>65712.52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RESUMO'!AS32</f>
        <v>94.29</v>
      </c>
      <c r="N46" s="140" t="n">
        <f aca="false">MAX(0,M46-M45)</f>
        <v>2.96000000000001</v>
      </c>
      <c r="O46" s="139" t="str">
        <f aca="false">IF(B46&lt;='VALOR POR PL'!$P$5,'CP RESUMO'!AS74,"")</f>
        <v/>
      </c>
      <c r="P46" s="66" t="n">
        <f aca="false">IF(B46&lt;='VALOR POR PL'!$P$5,0,IF(OR($K$16="CURVA PREVISION",$K$16="MDO PREVISION + MATERIAL PREMISSA"),N46,IF($K$16="PREVISÃO INFORMADA",MAX(0,H46),0)))</f>
        <v>65712.52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HISTORICOS'!AT32)</f>
        <v>0</v>
      </c>
      <c r="D47" s="45" t="n">
        <f aca="false">IF(B47&lt;='VALOR POR PL'!$P$5,0,IF($K$17&gt;0,$K$18*P47/$K$17,0))</f>
        <v>37254.2400125646</v>
      </c>
      <c r="E47" s="45" t="n">
        <f aca="false">L47+D47/$K$2</f>
        <v>28.7258508727922</v>
      </c>
      <c r="F47" s="117" t="n">
        <f aca="false">IF($K$9=0,0,E47/$K$9)</f>
        <v>0.0319000021950383</v>
      </c>
      <c r="G47" s="117" t="n">
        <f aca="false">G46+F47</f>
        <v>0.94180000153263</v>
      </c>
      <c r="H47" s="138" t="n">
        <v>36840.59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RESUMO'!AT32</f>
        <v>95.9</v>
      </c>
      <c r="N47" s="140" t="n">
        <f aca="false">MAX(0,M47-M46)</f>
        <v>1.61</v>
      </c>
      <c r="O47" s="139" t="str">
        <f aca="false">IF(B47&lt;='VALOR POR PL'!$P$5,'CP RESUMO'!AT74,"")</f>
        <v/>
      </c>
      <c r="P47" s="66" t="n">
        <f aca="false">IF(B47&lt;='VALOR POR PL'!$P$5,0,IF(OR($K$16="CURVA PREVISION",$K$16="MDO PREVISION + MATERIAL PREMISSA"),N47,IF($K$16="PREVISÃO INFORMADA",MAX(0,H47),0)))</f>
        <v>36840.59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HISTORICOS'!AU32)</f>
        <v>0</v>
      </c>
      <c r="D48" s="45" t="n">
        <f aca="false">IF(B48&lt;='VALOR POR PL'!$P$5,0,IF($K$17&gt;0,$K$18*P48/$K$17,0))</f>
        <v>9225.96995275683</v>
      </c>
      <c r="E48" s="45" t="n">
        <f aca="false">L48+D48/$K$2</f>
        <v>7.11392413133031</v>
      </c>
      <c r="F48" s="117" t="n">
        <f aca="false">IF($K$9=0,0,E48/$K$9)</f>
        <v>0.00789999907782415</v>
      </c>
      <c r="G48" s="117" t="n">
        <f aca="false">G47+F48</f>
        <v>0.949700000610455</v>
      </c>
      <c r="H48" s="138" t="n">
        <v>9123.53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RESUMO'!AU32</f>
        <v>99.92</v>
      </c>
      <c r="N48" s="140" t="n">
        <f aca="false">MAX(0,M48-M47)</f>
        <v>4.02</v>
      </c>
      <c r="O48" s="139" t="str">
        <f aca="false">IF(B48&lt;='VALOR POR PL'!$P$5,'CP RESUMO'!AU74,"")</f>
        <v/>
      </c>
      <c r="P48" s="66" t="n">
        <f aca="false">IF(B48&lt;='VALOR POR PL'!$P$5,0,IF(OR($K$16="CURVA PREVISION",$K$16="MDO PREVISION + MATERIAL PREMISSA"),N48,IF($K$16="PREVISÃO INFORMADA",MAX(0,H48),0)))</f>
        <v>9123.53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HISTORICOS'!AV32)</f>
        <v>0</v>
      </c>
      <c r="D49" s="45" t="n">
        <f aca="false">IF(B49&lt;='VALOR POR PL'!$P$5,0,IF($K$17&gt;0,$K$18*P49/$K$17,0))</f>
        <v>50334.0912839834</v>
      </c>
      <c r="E49" s="45" t="n">
        <f aca="false">L49+D49/$K$2</f>
        <v>38.8114104476046</v>
      </c>
      <c r="F49" s="117" t="n">
        <f aca="false">IF($K$9=0,0,E49/$K$9)</f>
        <v>0.0430999967225957</v>
      </c>
      <c r="G49" s="117" t="n">
        <f aca="false">G48+F49</f>
        <v>0.99279999733305</v>
      </c>
      <c r="H49" s="138" t="n">
        <v>49775.21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RESUMO'!AV32</f>
        <v>100</v>
      </c>
      <c r="N49" s="140" t="n">
        <f aca="false">MAX(0,M49-M48)</f>
        <v>0.0799999999999983</v>
      </c>
      <c r="O49" s="139" t="str">
        <f aca="false">IF(B49&lt;='VALOR POR PL'!$P$5,'CP RESUMO'!AV74,"")</f>
        <v/>
      </c>
      <c r="P49" s="66" t="n">
        <f aca="false">IF(B49&lt;='VALOR POR PL'!$P$5,0,IF(OR($K$16="CURVA PREVISION",$K$16="MDO PREVISION + MATERIAL PREMISSA"),N49,IF($K$16="PREVISÃO INFORMADA",MAX(0,H49),0)))</f>
        <v>49775.21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HISTORICOS'!AW32)</f>
        <v>0</v>
      </c>
      <c r="D50" s="45" t="n">
        <f aca="false">IF(B50&lt;='VALOR POR PL'!$P$5,0,IF($K$17&gt;0,$K$18*P50/$K$17,0))</f>
        <v>8408.48304039855</v>
      </c>
      <c r="E50" s="45" t="n">
        <f aca="false">L50+D50/$K$2</f>
        <v>6.48357958190605</v>
      </c>
      <c r="F50" s="117" t="n">
        <f aca="false">IF($K$9=0,0,E50/$K$9)</f>
        <v>0.00720000266694987</v>
      </c>
      <c r="G50" s="117" t="n">
        <f aca="false">G49+F50</f>
        <v>1</v>
      </c>
      <c r="H50" s="138" t="n">
        <v>8315.12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RESUMO'!AW32</f>
        <v>100</v>
      </c>
      <c r="N50" s="140" t="n">
        <f aca="false">MAX(0,M50-M49)</f>
        <v>0</v>
      </c>
      <c r="O50" s="139" t="str">
        <f aca="false">IF(B50&lt;='VALOR POR PL'!$P$5,'CP RESUMO'!AW74,"")</f>
        <v/>
      </c>
      <c r="P50" s="66" t="n">
        <f aca="false">IF(B50&lt;='VALOR POR PL'!$P$5,0,IF(OR($K$16="CURVA PREVISION",$K$16="MDO PREVISION + MATERIAL PREMISSA"),N50,IF($K$16="PREVISÃO INFORMADA",MAX(0,H50),0)))</f>
        <v>8315.12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RESUMO'!AX32</f>
        <v>100</v>
      </c>
      <c r="N51" s="140" t="n">
        <f aca="false">MAX(0,M51-M50)</f>
        <v>0</v>
      </c>
      <c r="O51" s="139" t="str">
        <f aca="false">IF(B51&lt;='VALOR POR PL'!$P$5,'CP RESUMO'!AX74,"")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RESUMO'!AY32</f>
        <v>100</v>
      </c>
      <c r="N52" s="140" t="n">
        <f aca="false">MAX(0,M52-M51)</f>
        <v>0</v>
      </c>
      <c r="O52" s="139" t="str">
        <f aca="false">IF(B52&lt;='VALOR POR PL'!$P$5,'CP RESUMO'!AY74,"")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RESUMO'!AZ32</f>
        <v>100</v>
      </c>
      <c r="N53" s="140" t="n">
        <f aca="false">MAX(0,M53-M52)</f>
        <v>0</v>
      </c>
      <c r="O53" s="139" t="str">
        <f aca="false">IF(B53&lt;='VALOR POR PL'!$P$5,'CP RESUMO'!AZ74,"")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RESUMO'!BA32</f>
        <v>100</v>
      </c>
      <c r="N54" s="140" t="n">
        <f aca="false">MAX(0,M54-M53)</f>
        <v>0</v>
      </c>
      <c r="O54" s="139" t="str">
        <f aca="false">IF(B54&lt;='VALOR POR PL'!$P$5,'CP RESUMO'!BA74,"")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RESUMO'!BB32</f>
        <v>100</v>
      </c>
      <c r="N55" s="140" t="n">
        <f aca="false">MAX(0,M55-M54)</f>
        <v>0</v>
      </c>
      <c r="O55" s="139" t="str">
        <f aca="false">IF(B55&lt;='VALOR POR PL'!$P$5,'CP RESUMO'!BB74,"")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RESUMO'!BC32</f>
        <v>100</v>
      </c>
      <c r="N56" s="140" t="n">
        <f aca="false">MAX(0,M56-M55)</f>
        <v>0</v>
      </c>
      <c r="O56" s="139" t="str">
        <f aca="false">IF(B56&lt;='VALOR POR PL'!$P$5,'CP RESUMO'!BC74,"")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RESUMO'!BD32</f>
        <v>100</v>
      </c>
      <c r="N57" s="140" t="n">
        <f aca="false">MAX(0,M57-M56)</f>
        <v>0</v>
      </c>
      <c r="O57" s="139" t="str">
        <f aca="false">IF(B57&lt;='VALOR POR PL'!$P$5,'CP RESUMO'!BD74,"")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RESUMO'!BE32</f>
        <v>100</v>
      </c>
      <c r="N58" s="140" t="n">
        <f aca="false">MAX(0,M58-M57)</f>
        <v>0</v>
      </c>
      <c r="O58" s="139" t="str">
        <f aca="false">IF(B58&lt;='VALOR POR PL'!$P$5,'CP RESUMO'!BE74,"")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RESUMO'!BF32</f>
        <v>100</v>
      </c>
      <c r="N59" s="140" t="n">
        <f aca="false">MAX(0,M59-M58)</f>
        <v>0</v>
      </c>
      <c r="O59" s="139" t="str">
        <f aca="false">IF(B59&lt;='VALOR POR PL'!$P$5,'CP RESUMO'!BF74,"")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RESUMO'!BG32</f>
        <v>100</v>
      </c>
      <c r="N60" s="140" t="n">
        <f aca="false">MAX(0,M60-M59)</f>
        <v>0</v>
      </c>
      <c r="O60" s="139" t="str">
        <f aca="false">IF(B60&lt;='VALOR POR PL'!$P$5,'CP RESUMO'!BG74,"")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RESUMO'!BH32</f>
        <v>100</v>
      </c>
      <c r="N61" s="140" t="n">
        <f aca="false">MAX(0,M61-M60)</f>
        <v>0</v>
      </c>
      <c r="O61" s="139" t="str">
        <f aca="false">IF(B61&lt;='VALOR POR PL'!$P$5,'CP RESUMO'!BH74,"")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RESUMO'!BI32</f>
        <v>100</v>
      </c>
      <c r="N62" s="140" t="n">
        <f aca="false">MAX(0,M62-M61)</f>
        <v>0</v>
      </c>
      <c r="O62" s="139" t="str">
        <f aca="false">IF(B62&lt;='VALOR POR PL'!$P$5,'CP RESUMO'!BI74,"")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RESUMO'!BJ32</f>
        <v>100</v>
      </c>
      <c r="N63" s="140" t="n">
        <f aca="false">MAX(0,M63-M62)</f>
        <v>0</v>
      </c>
      <c r="O63" s="139" t="str">
        <f aca="false">IF(B63&lt;='VALOR POR PL'!$P$5,'CP RESUMO'!BJ74,"")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RESUMO'!BK32</f>
        <v>100</v>
      </c>
      <c r="N64" s="140" t="n">
        <f aca="false">MAX(0,M64-M63)</f>
        <v>0</v>
      </c>
      <c r="O64" s="139" t="str">
        <f aca="false">IF(B64&lt;='VALOR POR PL'!$P$5,'CP RESUMO'!BK74,"")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RESUMO'!BL32</f>
        <v>100</v>
      </c>
      <c r="N65" s="140" t="n">
        <f aca="false">MAX(0,M65-M64)</f>
        <v>0</v>
      </c>
      <c r="O65" s="139" t="str">
        <f aca="false">IF(B65&lt;='VALOR POR PL'!$P$5,'CP RESUMO'!BL74,"")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RESUMO'!BM32</f>
        <v>100</v>
      </c>
      <c r="N66" s="140" t="n">
        <f aca="false">MAX(0,M66-M65)</f>
        <v>0</v>
      </c>
      <c r="O66" s="139" t="str">
        <f aca="false">IF(B66&lt;='VALOR POR PL'!$P$5,'CP RESUMO'!BM74,"")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RESUMO'!BN32</f>
        <v>100</v>
      </c>
      <c r="N67" s="140" t="n">
        <f aca="false">MAX(0,M67-M66)</f>
        <v>0</v>
      </c>
      <c r="O67" s="139" t="str">
        <f aca="false">IF(B67&lt;='VALOR POR PL'!$P$5,'CP RESUMO'!BN74,"")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RESUMO'!BO32</f>
        <v>100</v>
      </c>
      <c r="N68" s="140" t="n">
        <f aca="false">MAX(0,M68-M67)</f>
        <v>0</v>
      </c>
      <c r="O68" s="139" t="str">
        <f aca="false">IF(B68&lt;='VALOR POR PL'!$P$5,'CP RESUMO'!BO74,"")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RESUMO'!BP32</f>
        <v>100</v>
      </c>
      <c r="N69" s="140" t="n">
        <f aca="false">MAX(0,M69-M68)</f>
        <v>0</v>
      </c>
      <c r="O69" s="139" t="str">
        <f aca="false">IF(B69&lt;='VALOR POR PL'!$P$5,'CP RESUMO'!BP74,"")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RESUMO'!BQ32</f>
        <v>100</v>
      </c>
      <c r="N70" s="140" t="n">
        <f aca="false">MAX(0,M70-M69)</f>
        <v>0</v>
      </c>
      <c r="O70" s="139" t="str">
        <f aca="false">IF(B70&lt;='VALOR POR PL'!$P$5,'CP RESUMO'!BQ74,"")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RESUMO'!BR32</f>
        <v>100</v>
      </c>
      <c r="N71" s="140" t="n">
        <f aca="false">MAX(0,M71-M70)</f>
        <v>0</v>
      </c>
      <c r="O71" s="139" t="str">
        <f aca="false">IF(B71&lt;='VALOR POR PL'!$P$5,'CP RESUMO'!BR74,"")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RESUMO'!BS32</f>
        <v>100</v>
      </c>
      <c r="N72" s="140" t="n">
        <f aca="false">MAX(0,M72-M71)</f>
        <v>0</v>
      </c>
      <c r="O72" s="139" t="str">
        <f aca="false">IF(B72&lt;='VALOR POR PL'!$P$5,'CP RESUMO'!BS74,"")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RESUMO'!BT32</f>
        <v>100</v>
      </c>
      <c r="N73" s="140" t="n">
        <f aca="false">MAX(0,M73-M72)</f>
        <v>0</v>
      </c>
      <c r="O73" s="139" t="str">
        <f aca="false">IF(B73&lt;='VALOR POR PL'!$P$5,'CP RESUMO'!BT74,"")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RESUMO'!BU32</f>
        <v>100</v>
      </c>
      <c r="N74" s="140" t="n">
        <f aca="false">MAX(0,M74-M73)</f>
        <v>0</v>
      </c>
      <c r="O74" s="139" t="str">
        <f aca="false">IF(B74&lt;='VALOR POR PL'!$P$5,'CP RESUMO'!BU74,"")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RESUMO'!BV32</f>
        <v>100</v>
      </c>
      <c r="N75" s="140" t="n">
        <f aca="false">MAX(0,M75-M74)</f>
        <v>0</v>
      </c>
      <c r="O75" s="139" t="str">
        <f aca="false">IF(B75&lt;='VALOR POR PL'!$P$5,'CP RESUMO'!BV74,"")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RESUMO'!BW32</f>
        <v>100</v>
      </c>
      <c r="N76" s="140" t="n">
        <f aca="false">MAX(0,M76-M75)</f>
        <v>0</v>
      </c>
      <c r="O76" s="139" t="str">
        <f aca="false">IF(B76&lt;='VALOR POR PL'!$P$5,'CP RESUMO'!BW74,"")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1167844.43414111</v>
      </c>
      <c r="E78" s="61" t="n">
        <f aca="false">SUM(E5:E76)</f>
        <v>900.496830600853</v>
      </c>
      <c r="F78" s="145" t="n">
        <f aca="false">SUM(F5:F76)</f>
        <v>1</v>
      </c>
      <c r="H78" s="61" t="n">
        <f aca="false">SUM(H5:H76)</f>
        <v>1154877.35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-1.13686837721616E-013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PL'!D39</f>
        <v>REVESTIMENTOS DE MASSA EM PAREDES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HISTORICOS'!D33)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PL'!F39</f>
        <v>2518191.19</v>
      </c>
      <c r="K5" s="56" t="n">
        <f aca="false">'VALOR POR PL'!G39</f>
        <v>2069.679275</v>
      </c>
      <c r="L5" s="56" t="n">
        <f aca="false">'DADOS HISTORICOS'!$BZ$33</f>
        <v>0</v>
      </c>
      <c r="M5" s="139" t="n">
        <f aca="false">'CP RESUMO'!D33</f>
        <v>0</v>
      </c>
      <c r="N5" s="140" t="n">
        <v>0</v>
      </c>
      <c r="O5" s="139" t="n">
        <f aca="false">IF(B5&lt;='VALOR POR PL'!$P$5,'CP RESUMO'!D75,"")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PL'!H39</f>
        <v>2069.679275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RESUMO'!E33</f>
        <v>0</v>
      </c>
      <c r="N6" s="140" t="n">
        <f aca="false">MAX(0,M6-M5)</f>
        <v>0</v>
      </c>
      <c r="O6" s="139" t="n">
        <f aca="false">IF(B6&lt;='VALOR POR PL'!$P$5,'CP RESUMO'!E75,"")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HISTORICOS'!F33)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2683082.85813491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RESUMO'!F33</f>
        <v>0</v>
      </c>
      <c r="N7" s="140" t="n">
        <f aca="false">MAX(0,M7-M6)</f>
        <v>0</v>
      </c>
      <c r="O7" s="139" t="n">
        <f aca="false">IF(B7&lt;='VALOR POR PL'!$P$5,'CP RESUMO'!F75,"")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HISTORICOS'!G33)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RESUMO'!G33</f>
        <v>0</v>
      </c>
      <c r="N8" s="140" t="n">
        <f aca="false">MAX(0,M8-M7)</f>
        <v>0</v>
      </c>
      <c r="O8" s="139" t="n">
        <f aca="false">IF(B8&lt;='VALOR POR PL'!$P$5,'CP RESUMO'!G75,"")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2683082.85813491</v>
      </c>
      <c r="K9" s="45" t="n">
        <f aca="false">E78</f>
        <v>2068.86083399189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RESUMO'!H33</f>
        <v>0</v>
      </c>
      <c r="N9" s="140" t="n">
        <f aca="false">MAX(0,M9-M8)</f>
        <v>0</v>
      </c>
      <c r="O9" s="139" t="n">
        <f aca="false">IF(B9&lt;='VALOR POR PL'!$P$5,'CP RESUMO'!H75,"")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2068.86083399189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RESUMO'!I33</f>
        <v>0</v>
      </c>
      <c r="N10" s="140" t="n">
        <f aca="false">MAX(0,M10-M9)</f>
        <v>0</v>
      </c>
      <c r="O10" s="139" t="n">
        <f aca="false">IF(B10&lt;='VALOR POR PL'!$P$5,'CP RESUMO'!I75,"")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2653291.42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RESUMO'!J33</f>
        <v>0</v>
      </c>
      <c r="N11" s="140" t="n">
        <f aca="false">MAX(0,M11-M10)</f>
        <v>0</v>
      </c>
      <c r="O11" s="139" t="n">
        <f aca="false">IF(B11&lt;='VALOR POR PL'!$P$5,'CP RESUMO'!J75,"")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HISTORICOS'!K33)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RESUMO'!K33</f>
        <v>0</v>
      </c>
      <c r="N12" s="140" t="n">
        <f aca="false">MAX(0,M12-M11)</f>
        <v>0</v>
      </c>
      <c r="O12" s="139" t="n">
        <f aca="false">IF(B12&lt;='VALOR POR PL'!$P$5,'CP RESUMO'!K75,"")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HISTORICOS'!L33)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PL'!I39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RESUMO'!L33</f>
        <v>0</v>
      </c>
      <c r="N13" s="140" t="n">
        <f aca="false">MAX(0,M13-M12)</f>
        <v>0</v>
      </c>
      <c r="O13" s="139" t="n">
        <f aca="false">IF(B13&lt;='VALOR POR PL'!$P$5,'CP RESUMO'!L75,"")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HISTORICOS'!M33)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RESUMO'!$D$75:$BW$75,MATCH('VALOR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RESUMO'!M33</f>
        <v>0</v>
      </c>
      <c r="N14" s="140" t="n">
        <f aca="false">MAX(0,M14-M13)</f>
        <v>0</v>
      </c>
      <c r="O14" s="139" t="n">
        <f aca="false">IF(B14&lt;='VALOR POR PL'!$P$5,'CP RESUMO'!M75,"")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HISTORICOS'!N33)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RESUMO'!N33</f>
        <v>0</v>
      </c>
      <c r="N15" s="140" t="n">
        <f aca="false">MAX(0,M15-M14)</f>
        <v>0</v>
      </c>
      <c r="O15" s="139" t="n">
        <f aca="false">IF(B15&lt;='VALOR POR PL'!$P$5,'CP RESUMO'!N75,"")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HISTORICOS'!O33)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RESUMO'!O33</f>
        <v>0</v>
      </c>
      <c r="N16" s="140" t="n">
        <f aca="false">MAX(0,M16-M15)</f>
        <v>0</v>
      </c>
      <c r="O16" s="139" t="n">
        <f aca="false">IF(B16&lt;='VALOR POR PL'!$P$5,'CP RESUMO'!O75,"")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HISTORICOS'!P33)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2653291.42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RESUMO'!P33</f>
        <v>0</v>
      </c>
      <c r="N17" s="140" t="n">
        <f aca="false">MAX(0,M17-M16)</f>
        <v>0</v>
      </c>
      <c r="O17" s="139" t="n">
        <f aca="false">IF(B17&lt;='VALOR POR PL'!$P$5,'CP RESUMO'!P75,"")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HISTORICOS'!Q33)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2683082.85813491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RESUMO'!Q33</f>
        <v>0</v>
      </c>
      <c r="N18" s="140" t="n">
        <f aca="false">MAX(0,M18-M17)</f>
        <v>0</v>
      </c>
      <c r="O18" s="139" t="n">
        <f aca="false">IF(B18&lt;='VALOR POR PL'!$P$5,'CP RESUMO'!Q75,"")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HISTORICOS'!R33)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0.0112281063099002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RESUMO'!R33</f>
        <v>0</v>
      </c>
      <c r="N19" s="140" t="n">
        <f aca="false">MAX(0,M19-M18)</f>
        <v>0</v>
      </c>
      <c r="O19" s="139" t="n">
        <f aca="false">IF(B19&lt;='VALOR POR PL'!$P$5,'CP RESUMO'!R75,"")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HISTORICOS'!S33)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RESUMO'!S33</f>
        <v>0</v>
      </c>
      <c r="N20" s="140" t="n">
        <f aca="false">MAX(0,M20-M19)</f>
        <v>0</v>
      </c>
      <c r="O20" s="139" t="n">
        <f aca="false">IF(B20&lt;='VALOR POR PL'!$P$5,'CP RESUMO'!S75,"")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HISTORICOS'!T33)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RESUMO'!T33</f>
        <v>0</v>
      </c>
      <c r="N21" s="140" t="n">
        <f aca="false">MAX(0,M21-M20)</f>
        <v>0</v>
      </c>
      <c r="O21" s="139" t="n">
        <f aca="false">IF(B21&lt;='VALOR POR PL'!$P$5,'CP RESUMO'!T75,"")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HISTORICOS'!U33)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RESUMO'!U33</f>
        <v>0</v>
      </c>
      <c r="N22" s="140" t="n">
        <f aca="false">MAX(0,M22-M21)</f>
        <v>0</v>
      </c>
      <c r="O22" s="139" t="n">
        <f aca="false">IF(B22&lt;='VALOR POR PL'!$P$5,'CP RESUMO'!U75,"")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HISTORICOS'!V33)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RESUMO'!V33</f>
        <v>0</v>
      </c>
      <c r="N23" s="140" t="n">
        <f aca="false">MAX(0,M23-M22)</f>
        <v>0</v>
      </c>
      <c r="O23" s="139" t="n">
        <f aca="false">IF(B23&lt;='VALOR POR PL'!$P$5,'CP RESUMO'!V75,"")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HISTORICOS'!W33)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RESUMO'!W33</f>
        <v>0</v>
      </c>
      <c r="N24" s="140" t="n">
        <f aca="false">MAX(0,M24-M23)</f>
        <v>0</v>
      </c>
      <c r="O24" s="139" t="n">
        <f aca="false">IF(B24&lt;='VALOR POR PL'!$P$5,'CP RESUMO'!W75,"")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HISTORICOS'!X33)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RESUMO'!X33</f>
        <v>0</v>
      </c>
      <c r="N25" s="140" t="n">
        <f aca="false">MAX(0,M25-M24)</f>
        <v>0</v>
      </c>
      <c r="O25" s="139" t="n">
        <f aca="false">IF(B25&lt;='VALOR POR PL'!$P$5,'CP RESUMO'!X75,"")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HISTORICOS'!Y33)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RESUMO'!Y33</f>
        <v>0</v>
      </c>
      <c r="N26" s="140" t="n">
        <f aca="false">MAX(0,M26-M25)</f>
        <v>0</v>
      </c>
      <c r="O26" s="139" t="str">
        <f aca="false">IF(B26&lt;='VALOR POR PL'!$P$5,'CP RESUMO'!Y75,"")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HISTORICOS'!Z33)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RESUMO'!Z33</f>
        <v>0</v>
      </c>
      <c r="N27" s="140" t="n">
        <f aca="false">MAX(0,M27-M26)</f>
        <v>0</v>
      </c>
      <c r="O27" s="139" t="str">
        <f aca="false">IF(B27&lt;='VALOR POR PL'!$P$5,'CP RESUMO'!Z75,"")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HISTORICOS'!AA33)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RESUMO'!AA33</f>
        <v>0</v>
      </c>
      <c r="N28" s="140" t="n">
        <f aca="false">MAX(0,M28-M27)</f>
        <v>0</v>
      </c>
      <c r="O28" s="139" t="str">
        <f aca="false">IF(B28&lt;='VALOR POR PL'!$P$5,'CP RESUMO'!AA75,"")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HISTORICOS'!AB33)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RESUMO'!AB33</f>
        <v>0</v>
      </c>
      <c r="N29" s="140" t="n">
        <f aca="false">MAX(0,M29-M28)</f>
        <v>0</v>
      </c>
      <c r="O29" s="139" t="str">
        <f aca="false">IF(B29&lt;='VALOR POR PL'!$P$5,'CP RESUMO'!AB75,"")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HISTORICOS'!AC33)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RESUMO'!AC33</f>
        <v>0</v>
      </c>
      <c r="N30" s="140" t="n">
        <f aca="false">MAX(0,M30-M29)</f>
        <v>0</v>
      </c>
      <c r="O30" s="139" t="str">
        <f aca="false">IF(B30&lt;='VALOR POR PL'!$P$5,'CP RESUMO'!AC75,"")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HISTORICOS'!AD33)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RESUMO'!AD33</f>
        <v>0</v>
      </c>
      <c r="N31" s="140" t="n">
        <f aca="false">MAX(0,M31-M30)</f>
        <v>0</v>
      </c>
      <c r="O31" s="139" t="str">
        <f aca="false">IF(B31&lt;='VALOR POR PL'!$P$5,'CP RESUMO'!AD75,"")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HISTORICOS'!AE33)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RESUMO'!AE33</f>
        <v>0</v>
      </c>
      <c r="N32" s="140" t="n">
        <f aca="false">MAX(0,M32-M31)</f>
        <v>0</v>
      </c>
      <c r="O32" s="139" t="str">
        <f aca="false">IF(B32&lt;='VALOR POR PL'!$P$5,'CP RESUMO'!AE75,"")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HISTORICOS'!AF33)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RESUMO'!AF33</f>
        <v>0.23</v>
      </c>
      <c r="N33" s="140" t="n">
        <f aca="false">MAX(0,M33-M32)</f>
        <v>0.23</v>
      </c>
      <c r="O33" s="139" t="str">
        <f aca="false">IF(B33&lt;='VALOR POR PL'!$P$5,'CP RESUMO'!AF75,"")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HISTORICOS'!AG33)</f>
        <v>0</v>
      </c>
      <c r="D34" s="45" t="n">
        <f aca="false">IF(B34&lt;='VALOR POR PL'!$P$5,0,IF($K$17&gt;0,$K$18*P34/$K$17,0))</f>
        <v>6171.09030472361</v>
      </c>
      <c r="E34" s="45" t="n">
        <f aca="false">L34+D34/$K$2</f>
        <v>4.75837971077217</v>
      </c>
      <c r="F34" s="117" t="n">
        <f aca="false">IF($K$9=0,0,E34/$K$9)</f>
        <v>0.00229999989974716</v>
      </c>
      <c r="G34" s="117" t="n">
        <f aca="false">G33+F34</f>
        <v>0.00229999989974716</v>
      </c>
      <c r="H34" s="138" t="n">
        <v>6102.57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RESUMO'!AG33</f>
        <v>1.42</v>
      </c>
      <c r="N34" s="140" t="n">
        <f aca="false">MAX(0,M34-M33)</f>
        <v>1.19</v>
      </c>
      <c r="O34" s="139" t="str">
        <f aca="false">IF(B34&lt;='VALOR POR PL'!$P$5,'CP RESUMO'!AG75,"")</f>
        <v/>
      </c>
      <c r="P34" s="66" t="n">
        <f aca="false">IF(B34&lt;='VALOR POR PL'!$P$5,0,IF(OR($K$16="CURVA PREVISION",$K$16="MDO PREVISION + MATERIAL PREMISSA"),N34,IF($K$16="PREVISÃO INFORMADA",MAX(0,H34),0)))</f>
        <v>6102.57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HISTORICOS'!AH33)</f>
        <v>0</v>
      </c>
      <c r="D35" s="45" t="n">
        <f aca="false">IF(B35&lt;='VALOR POR PL'!$P$5,0,IF($K$17&gt;0,$K$18*P35/$K$17,0))</f>
        <v>31928.6881374069</v>
      </c>
      <c r="E35" s="45" t="n">
        <f aca="false">L35+D35/$K$2</f>
        <v>24.6194455635038</v>
      </c>
      <c r="F35" s="117" t="n">
        <f aca="false">IF($K$9=0,0,E35/$K$9)</f>
        <v>0.0119000007922236</v>
      </c>
      <c r="G35" s="117" t="n">
        <f aca="false">G34+F35</f>
        <v>0.0142000006919707</v>
      </c>
      <c r="H35" s="138" t="n">
        <v>31574.17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RESUMO'!AH33</f>
        <v>8.62</v>
      </c>
      <c r="N35" s="140" t="n">
        <f aca="false">MAX(0,M35-M34)</f>
        <v>7.2</v>
      </c>
      <c r="O35" s="139" t="str">
        <f aca="false">IF(B35&lt;='VALOR POR PL'!$P$5,'CP RESUMO'!AH75,"")</f>
        <v/>
      </c>
      <c r="P35" s="66" t="n">
        <f aca="false">IF(B35&lt;='VALOR POR PL'!$P$5,0,IF(OR($K$16="CURVA PREVISION",$K$16="MDO PREVISION + MATERIAL PREMISSA"),N35,IF($K$16="PREVISÃO INFORMADA",MAX(0,H35),0)))</f>
        <v>31574.17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HISTORICOS'!AI33)</f>
        <v>0</v>
      </c>
      <c r="D36" s="45" t="n">
        <f aca="false">IF(B36&lt;='VALOR POR PL'!$P$5,0,IF($K$17&gt;0,$K$18*P36/$K$17,0))</f>
        <v>163131.439457286</v>
      </c>
      <c r="E36" s="45" t="n">
        <f aca="false">L36+D36/$K$2</f>
        <v>125.786740004184</v>
      </c>
      <c r="F36" s="117" t="n">
        <f aca="false">IF($K$9=0,0,E36/$K$9)</f>
        <v>0.0608000006271456</v>
      </c>
      <c r="G36" s="117" t="n">
        <f aca="false">G35+F36</f>
        <v>0.0750000013191163</v>
      </c>
      <c r="H36" s="138" t="n">
        <v>161320.12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RESUMO'!AI33</f>
        <v>14.49</v>
      </c>
      <c r="N36" s="140" t="n">
        <f aca="false">MAX(0,M36-M35)</f>
        <v>5.87</v>
      </c>
      <c r="O36" s="139" t="str">
        <f aca="false">IF(B36&lt;='VALOR POR PL'!$P$5,'CP RESUMO'!AI75,"")</f>
        <v/>
      </c>
      <c r="P36" s="66" t="n">
        <f aca="false">IF(B36&lt;='VALOR POR PL'!$P$5,0,IF(OR($K$16="CURVA PREVISION",$K$16="MDO PREVISION + MATERIAL PREMISSA"),N36,IF($K$16="PREVISÃO INFORMADA",MAX(0,H36),0)))</f>
        <v>161320.12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HISTORICOS'!AJ33)</f>
        <v>0</v>
      </c>
      <c r="D37" s="45" t="n">
        <f aca="false">IF(B37&lt;='VALOR POR PL'!$P$5,0,IF($K$17&gt;0,$K$18*P37/$K$17,0))</f>
        <v>187010.873215839</v>
      </c>
      <c r="E37" s="45" t="n">
        <f aca="false">L37+D37/$K$2</f>
        <v>144.19959859004</v>
      </c>
      <c r="F37" s="117" t="n">
        <f aca="false">IF($K$9=0,0,E37/$K$9)</f>
        <v>0.0696999992560184</v>
      </c>
      <c r="G37" s="117" t="n">
        <f aca="false">G36+F37</f>
        <v>0.144700000575135</v>
      </c>
      <c r="H37" s="138" t="n">
        <v>184934.41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RESUMO'!AJ33</f>
        <v>23.54</v>
      </c>
      <c r="N37" s="140" t="n">
        <f aca="false">MAX(0,M37-M36)</f>
        <v>9.05</v>
      </c>
      <c r="O37" s="139" t="str">
        <f aca="false">IF(B37&lt;='VALOR POR PL'!$P$5,'CP RESUMO'!AJ75,"")</f>
        <v/>
      </c>
      <c r="P37" s="66" t="n">
        <f aca="false">IF(B37&lt;='VALOR POR PL'!$P$5,0,IF(OR($K$16="CURVA PREVISION",$K$16="MDO PREVISION + MATERIAL PREMISSA"),N37,IF($K$16="PREVISÃO INFORMADA",MAX(0,H37),0)))</f>
        <v>184934.41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HISTORICOS'!AK33)</f>
        <v>0</v>
      </c>
      <c r="D38" s="45" t="n">
        <f aca="false">IF(B38&lt;='VALOR POR PL'!$P$5,0,IF($K$17&gt;0,$K$18*P38/$K$17,0))</f>
        <v>163668.05776418</v>
      </c>
      <c r="E38" s="45" t="n">
        <f aca="false">L38+D38/$K$2</f>
        <v>126.200513509005</v>
      </c>
      <c r="F38" s="117" t="n">
        <f aca="false">IF($K$9=0,0,E38/$K$9)</f>
        <v>0.0610000012738895</v>
      </c>
      <c r="G38" s="117" t="n">
        <f aca="false">G37+F38</f>
        <v>0.205700001849024</v>
      </c>
      <c r="H38" s="138" t="n">
        <v>161850.78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RESUMO'!AK33</f>
        <v>40.97</v>
      </c>
      <c r="N38" s="140" t="n">
        <f aca="false">MAX(0,M38-M37)</f>
        <v>17.43</v>
      </c>
      <c r="O38" s="139" t="str">
        <f aca="false">IF(B38&lt;='VALOR POR PL'!$P$5,'CP RESUMO'!AK75,"")</f>
        <v/>
      </c>
      <c r="P38" s="66" t="n">
        <f aca="false">IF(B38&lt;='VALOR POR PL'!$P$5,0,IF(OR($K$16="CURVA PREVISION",$K$16="MDO PREVISION + MATERIAL PREMISSA"),N38,IF($K$16="PREVISÃO INFORMADA",MAX(0,H38),0)))</f>
        <v>161850.78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HISTORICOS'!AL33)</f>
        <v>0</v>
      </c>
      <c r="D39" s="45" t="n">
        <f aca="false">IF(B39&lt;='VALOR POR PL'!$P$5,0,IF($K$17&gt;0,$K$18*P39/$K$17,0))</f>
        <v>271527.98352012</v>
      </c>
      <c r="E39" s="45" t="n">
        <f aca="false">L39+D39/$K$2</f>
        <v>209.368715071313</v>
      </c>
      <c r="F39" s="117" t="n">
        <f aca="false">IF($K$9=0,0,E39/$K$9)</f>
        <v>0.101199999357779</v>
      </c>
      <c r="G39" s="117" t="n">
        <f aca="false">G38+F39</f>
        <v>0.306900001206803</v>
      </c>
      <c r="H39" s="138" t="n">
        <v>268513.09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RESUMO'!AL33</f>
        <v>50.56</v>
      </c>
      <c r="N39" s="140" t="n">
        <f aca="false">MAX(0,M39-M38)</f>
        <v>9.59</v>
      </c>
      <c r="O39" s="139" t="str">
        <f aca="false">IF(B39&lt;='VALOR POR PL'!$P$5,'CP RESUMO'!AL75,"")</f>
        <v/>
      </c>
      <c r="P39" s="66" t="n">
        <f aca="false">IF(B39&lt;='VALOR POR PL'!$P$5,0,IF(OR($K$16="CURVA PREVISION",$K$16="MDO PREVISION + MATERIAL PREMISSA"),N39,IF($K$16="PREVISÃO INFORMADA",MAX(0,H39),0)))</f>
        <v>268513.09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HISTORICOS'!AM33)</f>
        <v>0</v>
      </c>
      <c r="D40" s="45" t="n">
        <f aca="false">IF(B40&lt;='VALOR POR PL'!$P$5,0,IF($K$17&gt;0,$K$18*P40/$K$17,0))</f>
        <v>319286.861149507</v>
      </c>
      <c r="E40" s="45" t="n">
        <f aca="false">L40+D40/$K$2</f>
        <v>246.194440040363</v>
      </c>
      <c r="F40" s="117" t="n">
        <f aca="false">IF($K$9=0,0,E40/$K$9)</f>
        <v>0.119000000384428</v>
      </c>
      <c r="G40" s="117" t="n">
        <f aca="false">G39+F40</f>
        <v>0.425900001591231</v>
      </c>
      <c r="H40" s="138" t="n">
        <v>315741.68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RESUMO'!AM33</f>
        <v>58.85</v>
      </c>
      <c r="N40" s="140" t="n">
        <f aca="false">MAX(0,M40-M39)</f>
        <v>8.29</v>
      </c>
      <c r="O40" s="139" t="str">
        <f aca="false">IF(B40&lt;='VALOR POR PL'!$P$5,'CP RESUMO'!AM75,"")</f>
        <v/>
      </c>
      <c r="P40" s="66" t="n">
        <f aca="false">IF(B40&lt;='VALOR POR PL'!$P$5,0,IF(OR($K$16="CURVA PREVISION",$K$16="MDO PREVISION + MATERIAL PREMISSA"),N40,IF($K$16="PREVISÃO INFORMADA",MAX(0,H40),0)))</f>
        <v>315741.68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HISTORICOS'!AN33)</f>
        <v>0</v>
      </c>
      <c r="D41" s="45" t="n">
        <f aca="false">IF(B41&lt;='VALOR POR PL'!$P$5,0,IF($K$17&gt;0,$K$18*P41/$K$17,0))</f>
        <v>241477.459456843</v>
      </c>
      <c r="E41" s="45" t="n">
        <f aca="false">L41+D41/$K$2</f>
        <v>186.197476774684</v>
      </c>
      <c r="F41" s="117" t="n">
        <f aca="false">IF($K$9=0,0,E41/$K$9)</f>
        <v>0.0900000008291588</v>
      </c>
      <c r="G41" s="117" t="n">
        <f aca="false">G40+F41</f>
        <v>0.51590000242039</v>
      </c>
      <c r="H41" s="138" t="n">
        <v>238796.23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RESUMO'!AN33</f>
        <v>65.45</v>
      </c>
      <c r="N41" s="140" t="n">
        <f aca="false">MAX(0,M41-M40)</f>
        <v>6.6</v>
      </c>
      <c r="O41" s="139" t="str">
        <f aca="false">IF(B41&lt;='VALOR POR PL'!$P$5,'CP RESUMO'!AN75,"")</f>
        <v/>
      </c>
      <c r="P41" s="66" t="n">
        <f aca="false">IF(B41&lt;='VALOR POR PL'!$P$5,0,IF(OR($K$16="CURVA PREVISION",$K$16="MDO PREVISION + MATERIAL PREMISSA"),N41,IF($K$16="PREVISÃO INFORMADA",MAX(0,H41),0)))</f>
        <v>238796.23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HISTORICOS'!AO33)</f>
        <v>0</v>
      </c>
      <c r="D42" s="45" t="n">
        <f aca="false">IF(B42&lt;='VALOR POR PL'!$P$5,0,IF($K$17&gt;0,$K$18*P42/$K$17,0))</f>
        <v>172790.538644542</v>
      </c>
      <c r="E42" s="45" t="n">
        <f aca="false">L42+D42/$K$2</f>
        <v>133.234639698958</v>
      </c>
      <c r="F42" s="117" t="n">
        <f aca="false">IF($K$9=0,0,E42/$K$9)</f>
        <v>0.0644000009618242</v>
      </c>
      <c r="G42" s="117" t="n">
        <f aca="false">G41+F42</f>
        <v>0.580300003382214</v>
      </c>
      <c r="H42" s="138" t="n">
        <v>170871.97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RESUMO'!AO33</f>
        <v>75.03</v>
      </c>
      <c r="N42" s="140" t="n">
        <f aca="false">MAX(0,M42-M41)</f>
        <v>9.58</v>
      </c>
      <c r="O42" s="139" t="str">
        <f aca="false">IF(B42&lt;='VALOR POR PL'!$P$5,'CP RESUMO'!AO75,"")</f>
        <v/>
      </c>
      <c r="P42" s="66" t="n">
        <f aca="false">IF(B42&lt;='VALOR POR PL'!$P$5,0,IF(OR($K$16="CURVA PREVISION",$K$16="MDO PREVISION + MATERIAL PREMISSA"),N42,IF($K$16="PREVISÃO INFORMADA",MAX(0,H42),0)))</f>
        <v>170871.97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HISTORICOS'!AP33)</f>
        <v>0</v>
      </c>
      <c r="D43" s="45" t="n">
        <f aca="false">IF(B43&lt;='VALOR POR PL'!$P$5,0,IF($K$17&gt;0,$K$18*P43/$K$17,0))</f>
        <v>247648.549761567</v>
      </c>
      <c r="E43" s="45" t="n">
        <f aca="false">L43+D43/$K$2</f>
        <v>190.955856485456</v>
      </c>
      <c r="F43" s="117" t="n">
        <f aca="false">IF($K$9=0,0,E43/$K$9)</f>
        <v>0.092300000728906</v>
      </c>
      <c r="G43" s="117" t="n">
        <f aca="false">G42+F43</f>
        <v>0.67260000411112</v>
      </c>
      <c r="H43" s="138" t="n">
        <v>244898.8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RESUMO'!AP33</f>
        <v>83.46</v>
      </c>
      <c r="N43" s="140" t="n">
        <f aca="false">MAX(0,M43-M42)</f>
        <v>8.42999999999999</v>
      </c>
      <c r="O43" s="139" t="str">
        <f aca="false">IF(B43&lt;='VALOR POR PL'!$P$5,'CP RESUMO'!AP75,"")</f>
        <v/>
      </c>
      <c r="P43" s="66" t="n">
        <f aca="false">IF(B43&lt;='VALOR POR PL'!$P$5,0,IF(OR($K$16="CURVA PREVISION",$K$16="MDO PREVISION + MATERIAL PREMISSA"),N43,IF($K$16="PREVISÃO INFORMADA",MAX(0,H43),0)))</f>
        <v>244898.8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HISTORICOS'!AQ33)</f>
        <v>0</v>
      </c>
      <c r="D44" s="45" t="n">
        <f aca="false">IF(B44&lt;='VALOR POR PL'!$P$5,0,IF($K$17&gt;0,$K$18*P44/$K$17,0))</f>
        <v>240672.531996502</v>
      </c>
      <c r="E44" s="45" t="n">
        <f aca="false">L44+D44/$K$2</f>
        <v>185.576816517452</v>
      </c>
      <c r="F44" s="117" t="n">
        <f aca="false">IF($K$9=0,0,E44/$K$9)</f>
        <v>0.089699999859043</v>
      </c>
      <c r="G44" s="117" t="n">
        <f aca="false">G43+F44</f>
        <v>0.762300003970163</v>
      </c>
      <c r="H44" s="138" t="n">
        <v>238000.24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RESUMO'!AQ33</f>
        <v>92.18</v>
      </c>
      <c r="N44" s="140" t="n">
        <f aca="false">MAX(0,M44-M43)</f>
        <v>8.72000000000001</v>
      </c>
      <c r="O44" s="139" t="str">
        <f aca="false">IF(B44&lt;='VALOR POR PL'!$P$5,'CP RESUMO'!AQ75,"")</f>
        <v/>
      </c>
      <c r="P44" s="66" t="n">
        <f aca="false">IF(B44&lt;='VALOR POR PL'!$P$5,0,IF(OR($K$16="CURVA PREVISION",$K$16="MDO PREVISION + MATERIAL PREMISSA"),N44,IF($K$16="PREVISÃO INFORMADA",MAX(0,H44),0)))</f>
        <v>238000.24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HISTORICOS'!AR33)</f>
        <v>0</v>
      </c>
      <c r="D45" s="45" t="n">
        <f aca="false">IF(B45&lt;='VALOR POR PL'!$P$5,0,IF($K$17&gt;0,$K$18*P45/$K$17,0))</f>
        <v>226452.187312924</v>
      </c>
      <c r="E45" s="45" t="n">
        <f aca="false">L45+D45/$K$2</f>
        <v>174.611849829033</v>
      </c>
      <c r="F45" s="117" t="n">
        <f aca="false">IF($K$9=0,0,E45/$K$9)</f>
        <v>0.0843999977959451</v>
      </c>
      <c r="G45" s="117" t="n">
        <f aca="false">G44+F45</f>
        <v>0.846700001766108</v>
      </c>
      <c r="H45" s="138" t="n">
        <v>223937.79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RESUMO'!AR33</f>
        <v>96.15</v>
      </c>
      <c r="N45" s="140" t="n">
        <f aca="false">MAX(0,M45-M44)</f>
        <v>3.97</v>
      </c>
      <c r="O45" s="139" t="str">
        <f aca="false">IF(B45&lt;='VALOR POR PL'!$P$5,'CP RESUMO'!AR75,"")</f>
        <v/>
      </c>
      <c r="P45" s="66" t="n">
        <f aca="false">IF(B45&lt;='VALOR POR PL'!$P$5,0,IF(OR($K$16="CURVA PREVISION",$K$16="MDO PREVISION + MATERIAL PREMISSA"),N45,IF($K$16="PREVISÃO INFORMADA",MAX(0,H45),0)))</f>
        <v>223937.79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HISTORICOS'!AS33)</f>
        <v>0</v>
      </c>
      <c r="D46" s="45" t="n">
        <f aca="false">IF(B46&lt;='VALOR POR PL'!$P$5,0,IF($K$17&gt;0,$K$18*P46/$K$17,0))</f>
        <v>111079.625485025</v>
      </c>
      <c r="E46" s="45" t="n">
        <f aca="false">L46+D46/$K$2</f>
        <v>85.6508347938991</v>
      </c>
      <c r="F46" s="117" t="n">
        <f aca="false">IF($K$9=0,0,E46/$K$9)</f>
        <v>0.0413999981954489</v>
      </c>
      <c r="G46" s="117" t="n">
        <f aca="false">G45+F46</f>
        <v>0.888099999961557</v>
      </c>
      <c r="H46" s="138" t="n">
        <v>109846.26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RESUMO'!AS33</f>
        <v>97.6</v>
      </c>
      <c r="N46" s="140" t="n">
        <f aca="false">MAX(0,M46-M45)</f>
        <v>1.44999999999999</v>
      </c>
      <c r="O46" s="139" t="str">
        <f aca="false">IF(B46&lt;='VALOR POR PL'!$P$5,'CP RESUMO'!AS75,"")</f>
        <v/>
      </c>
      <c r="P46" s="66" t="n">
        <f aca="false">IF(B46&lt;='VALOR POR PL'!$P$5,0,IF(OR($K$16="CURVA PREVISION",$K$16="MDO PREVISION + MATERIAL PREMISSA"),N46,IF($K$16="PREVISÃO INFORMADA",MAX(0,H46),0)))</f>
        <v>109846.26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HISTORICOS'!AT33)</f>
        <v>0</v>
      </c>
      <c r="D47" s="45" t="n">
        <f aca="false">IF(B47&lt;='VALOR POR PL'!$P$5,0,IF($K$17&gt;0,$K$18*P47/$K$17,0))</f>
        <v>207402.30820414</v>
      </c>
      <c r="E47" s="45" t="n">
        <f aca="false">L47+D47/$K$2</f>
        <v>159.922944989232</v>
      </c>
      <c r="F47" s="117" t="n">
        <f aca="false">IF($K$9=0,0,E47/$K$9)</f>
        <v>0.0773000012188635</v>
      </c>
      <c r="G47" s="117" t="n">
        <f aca="false">G46+F47</f>
        <v>0.965400001180421</v>
      </c>
      <c r="H47" s="138" t="n">
        <v>205099.43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RESUMO'!AT33</f>
        <v>100</v>
      </c>
      <c r="N47" s="140" t="n">
        <f aca="false">MAX(0,M47-M46)</f>
        <v>2.40000000000001</v>
      </c>
      <c r="O47" s="139" t="str">
        <f aca="false">IF(B47&lt;='VALOR POR PL'!$P$5,'CP RESUMO'!AT75,"")</f>
        <v/>
      </c>
      <c r="P47" s="66" t="n">
        <f aca="false">IF(B47&lt;='VALOR POR PL'!$P$5,0,IF(OR($K$16="CURVA PREVISION",$K$16="MDO PREVISION + MATERIAL PREMISSA"),N47,IF($K$16="PREVISÃO INFORMADA",MAX(0,H47),0)))</f>
        <v>205099.43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HISTORICOS'!AU33)</f>
        <v>0</v>
      </c>
      <c r="D48" s="45" t="n">
        <f aca="false">IF(B48&lt;='VALOR POR PL'!$P$5,0,IF($K$17&gt;0,$K$18*P48/$K$17,0))</f>
        <v>92834.6637243013</v>
      </c>
      <c r="E48" s="45" t="n">
        <f aca="false">L48+D48/$K$2</f>
        <v>71.5825824139933</v>
      </c>
      <c r="F48" s="117" t="n">
        <f aca="false">IF($K$9=0,0,E48/$K$9)</f>
        <v>0.0345999988195794</v>
      </c>
      <c r="G48" s="117" t="n">
        <f aca="false">G47+F48</f>
        <v>1</v>
      </c>
      <c r="H48" s="138" t="n">
        <v>91803.88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RESUMO'!AU33</f>
        <v>100</v>
      </c>
      <c r="N48" s="140" t="n">
        <f aca="false">MAX(0,M48-M47)</f>
        <v>0</v>
      </c>
      <c r="O48" s="139" t="str">
        <f aca="false">IF(B48&lt;='VALOR POR PL'!$P$5,'CP RESUMO'!AU75,"")</f>
        <v/>
      </c>
      <c r="P48" s="66" t="n">
        <f aca="false">IF(B48&lt;='VALOR POR PL'!$P$5,0,IF(OR($K$16="CURVA PREVISION",$K$16="MDO PREVISION + MATERIAL PREMISSA"),N48,IF($K$16="PREVISÃO INFORMADA",MAX(0,H48),0)))</f>
        <v>91803.88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HISTORICOS'!AV33)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RESUMO'!AV33</f>
        <v>100</v>
      </c>
      <c r="N49" s="140" t="n">
        <f aca="false">MAX(0,M49-M48)</f>
        <v>0</v>
      </c>
      <c r="O49" s="139" t="str">
        <f aca="false">IF(B49&lt;='VALOR POR PL'!$P$5,'CP RESUMO'!AV75,"")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HISTORICOS'!AW33)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RESUMO'!AW33</f>
        <v>100</v>
      </c>
      <c r="N50" s="140" t="n">
        <f aca="false">MAX(0,M50-M49)</f>
        <v>0</v>
      </c>
      <c r="O50" s="139" t="str">
        <f aca="false">IF(B50&lt;='VALOR POR PL'!$P$5,'CP RESUMO'!AW75,"")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RESUMO'!AX33</f>
        <v>100</v>
      </c>
      <c r="N51" s="140" t="n">
        <f aca="false">MAX(0,M51-M50)</f>
        <v>0</v>
      </c>
      <c r="O51" s="139" t="str">
        <f aca="false">IF(B51&lt;='VALOR POR PL'!$P$5,'CP RESUMO'!AX75,"")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RESUMO'!AY33</f>
        <v>100</v>
      </c>
      <c r="N52" s="140" t="n">
        <f aca="false">MAX(0,M52-M51)</f>
        <v>0</v>
      </c>
      <c r="O52" s="139" t="str">
        <f aca="false">IF(B52&lt;='VALOR POR PL'!$P$5,'CP RESUMO'!AY75,"")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HISTORICOS'!AZ33)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RESUMO'!AZ33</f>
        <v>100</v>
      </c>
      <c r="N53" s="140" t="n">
        <f aca="false">MAX(0,M53-M52)</f>
        <v>0</v>
      </c>
      <c r="O53" s="139" t="str">
        <f aca="false">IF(B53&lt;='VALOR POR PL'!$P$5,'CP RESUMO'!AZ75,"")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RESUMO'!BA33</f>
        <v>100</v>
      </c>
      <c r="N54" s="140" t="n">
        <f aca="false">MAX(0,M54-M53)</f>
        <v>0</v>
      </c>
      <c r="O54" s="139" t="str">
        <f aca="false">IF(B54&lt;='VALOR POR PL'!$P$5,'CP RESUMO'!BA75,"")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RESUMO'!BB33</f>
        <v>100</v>
      </c>
      <c r="N55" s="140" t="n">
        <f aca="false">MAX(0,M55-M54)</f>
        <v>0</v>
      </c>
      <c r="O55" s="139" t="str">
        <f aca="false">IF(B55&lt;='VALOR POR PL'!$P$5,'CP RESUMO'!BB75,"")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RESUMO'!BC33</f>
        <v>100</v>
      </c>
      <c r="N56" s="140" t="n">
        <f aca="false">MAX(0,M56-M55)</f>
        <v>0</v>
      </c>
      <c r="O56" s="139" t="str">
        <f aca="false">IF(B56&lt;='VALOR POR PL'!$P$5,'CP RESUMO'!BC75,"")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RESUMO'!BD33</f>
        <v>100</v>
      </c>
      <c r="N57" s="140" t="n">
        <f aca="false">MAX(0,M57-M56)</f>
        <v>0</v>
      </c>
      <c r="O57" s="139" t="str">
        <f aca="false">IF(B57&lt;='VALOR POR PL'!$P$5,'CP RESUMO'!BD75,"")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RESUMO'!BE33</f>
        <v>100</v>
      </c>
      <c r="N58" s="140" t="n">
        <f aca="false">MAX(0,M58-M57)</f>
        <v>0</v>
      </c>
      <c r="O58" s="139" t="str">
        <f aca="false">IF(B58&lt;='VALOR POR PL'!$P$5,'CP RESUMO'!BE75,"")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RESUMO'!BF33</f>
        <v>100</v>
      </c>
      <c r="N59" s="140" t="n">
        <f aca="false">MAX(0,M59-M58)</f>
        <v>0</v>
      </c>
      <c r="O59" s="139" t="str">
        <f aca="false">IF(B59&lt;='VALOR POR PL'!$P$5,'CP RESUMO'!BF75,"")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RESUMO'!BG33</f>
        <v>100</v>
      </c>
      <c r="N60" s="140" t="n">
        <f aca="false">MAX(0,M60-M59)</f>
        <v>0</v>
      </c>
      <c r="O60" s="139" t="str">
        <f aca="false">IF(B60&lt;='VALOR POR PL'!$P$5,'CP RESUMO'!BG75,"")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RESUMO'!BH33</f>
        <v>100</v>
      </c>
      <c r="N61" s="140" t="n">
        <f aca="false">MAX(0,M61-M60)</f>
        <v>0</v>
      </c>
      <c r="O61" s="139" t="str">
        <f aca="false">IF(B61&lt;='VALOR POR PL'!$P$5,'CP RESUMO'!BH75,"")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RESUMO'!BI33</f>
        <v>100</v>
      </c>
      <c r="N62" s="140" t="n">
        <f aca="false">MAX(0,M62-M61)</f>
        <v>0</v>
      </c>
      <c r="O62" s="139" t="str">
        <f aca="false">IF(B62&lt;='VALOR POR PL'!$P$5,'CP RESUMO'!BI75,"")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RESUMO'!BJ33</f>
        <v>100</v>
      </c>
      <c r="N63" s="140" t="n">
        <f aca="false">MAX(0,M63-M62)</f>
        <v>0</v>
      </c>
      <c r="O63" s="139" t="str">
        <f aca="false">IF(B63&lt;='VALOR POR PL'!$P$5,'CP RESUMO'!BJ75,"")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RESUMO'!BK33</f>
        <v>100</v>
      </c>
      <c r="N64" s="140" t="n">
        <f aca="false">MAX(0,M64-M63)</f>
        <v>0</v>
      </c>
      <c r="O64" s="139" t="str">
        <f aca="false">IF(B64&lt;='VALOR POR PL'!$P$5,'CP RESUMO'!BK75,"")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RESUMO'!BL33</f>
        <v>100</v>
      </c>
      <c r="N65" s="140" t="n">
        <f aca="false">MAX(0,M65-M64)</f>
        <v>0</v>
      </c>
      <c r="O65" s="139" t="str">
        <f aca="false">IF(B65&lt;='VALOR POR PL'!$P$5,'CP RESUMO'!BL75,"")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RESUMO'!BM33</f>
        <v>100</v>
      </c>
      <c r="N66" s="140" t="n">
        <f aca="false">MAX(0,M66-M65)</f>
        <v>0</v>
      </c>
      <c r="O66" s="139" t="str">
        <f aca="false">IF(B66&lt;='VALOR POR PL'!$P$5,'CP RESUMO'!BM75,"")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RESUMO'!BN33</f>
        <v>100</v>
      </c>
      <c r="N67" s="140" t="n">
        <f aca="false">MAX(0,M67-M66)</f>
        <v>0</v>
      </c>
      <c r="O67" s="139" t="str">
        <f aca="false">IF(B67&lt;='VALOR POR PL'!$P$5,'CP RESUMO'!BN75,"")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RESUMO'!BO33</f>
        <v>100</v>
      </c>
      <c r="N68" s="140" t="n">
        <f aca="false">MAX(0,M68-M67)</f>
        <v>0</v>
      </c>
      <c r="O68" s="139" t="str">
        <f aca="false">IF(B68&lt;='VALOR POR PL'!$P$5,'CP RESUMO'!BO75,"")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RESUMO'!BP33</f>
        <v>100</v>
      </c>
      <c r="N69" s="140" t="n">
        <f aca="false">MAX(0,M69-M68)</f>
        <v>0</v>
      </c>
      <c r="O69" s="139" t="str">
        <f aca="false">IF(B69&lt;='VALOR POR PL'!$P$5,'CP RESUMO'!BP75,"")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RESUMO'!BQ33</f>
        <v>100</v>
      </c>
      <c r="N70" s="140" t="n">
        <f aca="false">MAX(0,M70-M69)</f>
        <v>0</v>
      </c>
      <c r="O70" s="139" t="str">
        <f aca="false">IF(B70&lt;='VALOR POR PL'!$P$5,'CP RESUMO'!BQ75,"")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RESUMO'!BR33</f>
        <v>100</v>
      </c>
      <c r="N71" s="140" t="n">
        <f aca="false">MAX(0,M71-M70)</f>
        <v>0</v>
      </c>
      <c r="O71" s="139" t="str">
        <f aca="false">IF(B71&lt;='VALOR POR PL'!$P$5,'CP RESUMO'!BR75,"")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RESUMO'!BS33</f>
        <v>100</v>
      </c>
      <c r="N72" s="140" t="n">
        <f aca="false">MAX(0,M72-M71)</f>
        <v>0</v>
      </c>
      <c r="O72" s="139" t="str">
        <f aca="false">IF(B72&lt;='VALOR POR PL'!$P$5,'CP RESUMO'!BS75,"")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RESUMO'!BT33</f>
        <v>100</v>
      </c>
      <c r="N73" s="140" t="n">
        <f aca="false">MAX(0,M73-M72)</f>
        <v>0</v>
      </c>
      <c r="O73" s="139" t="str">
        <f aca="false">IF(B73&lt;='VALOR POR PL'!$P$5,'CP RESUMO'!BT75,"")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RESUMO'!BU33</f>
        <v>100</v>
      </c>
      <c r="N74" s="140" t="n">
        <f aca="false">MAX(0,M74-M73)</f>
        <v>0</v>
      </c>
      <c r="O74" s="139" t="str">
        <f aca="false">IF(B74&lt;='VALOR POR PL'!$P$5,'CP RESUMO'!BU75,"")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RESUMO'!BV33</f>
        <v>100</v>
      </c>
      <c r="N75" s="140" t="n">
        <f aca="false">MAX(0,M75-M74)</f>
        <v>0</v>
      </c>
      <c r="O75" s="139" t="str">
        <f aca="false">IF(B75&lt;='VALOR POR PL'!$P$5,'CP RESUMO'!BV75,"")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RESUMO'!BW33</f>
        <v>100</v>
      </c>
      <c r="N76" s="140" t="n">
        <f aca="false">MAX(0,M76-M75)</f>
        <v>0</v>
      </c>
      <c r="O76" s="139" t="str">
        <f aca="false">IF(B76&lt;='VALOR POR PL'!$P$5,'CP RESUMO'!BW75,"")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2683082.85813491</v>
      </c>
      <c r="E78" s="61" t="n">
        <f aca="false">SUM(E5:E76)</f>
        <v>2068.86083399189</v>
      </c>
      <c r="F78" s="145" t="n">
        <f aca="false">SUM(F5:F76)</f>
        <v>1</v>
      </c>
      <c r="H78" s="61" t="n">
        <f aca="false">SUM(H5:H76)</f>
        <v>2653291.42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PL'!D40</f>
        <v>REVESTIMENTOS DE ACABAMENTO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HISTORICOS'!D34)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PL'!F40</f>
        <v>10402356.25</v>
      </c>
      <c r="K5" s="56" t="n">
        <f aca="false">'VALOR POR PL'!G40</f>
        <v>8549.605448</v>
      </c>
      <c r="L5" s="56" t="n">
        <f aca="false">'DADOS HISTORICOS'!$BZ$34</f>
        <v>0</v>
      </c>
      <c r="M5" s="139" t="n">
        <f aca="false">'CP RESUMO'!D34</f>
        <v>0</v>
      </c>
      <c r="N5" s="140" t="n">
        <v>0</v>
      </c>
      <c r="O5" s="139" t="n">
        <f aca="false">IF(B5&lt;='VALOR POR PL'!$P$5,'CP RESUMO'!D76,"")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HISTORICOS'!E34)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PL'!H40</f>
        <v>8549.605448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RESUMO'!E34</f>
        <v>0</v>
      </c>
      <c r="N6" s="140" t="n">
        <f aca="false">MAX(0,M6-M5)</f>
        <v>0</v>
      </c>
      <c r="O6" s="139" t="n">
        <f aca="false">IF(B6&lt;='VALOR POR PL'!$P$5,'CP RESUMO'!E76,"")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HISTORICOS'!F34)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11083504.6272305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RESUMO'!F34</f>
        <v>0</v>
      </c>
      <c r="N7" s="140" t="n">
        <f aca="false">MAX(0,M7-M6)</f>
        <v>0</v>
      </c>
      <c r="O7" s="139" t="n">
        <f aca="false">IF(B7&lt;='VALOR POR PL'!$P$5,'CP RESUMO'!F76,"")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HISTORICOS'!G34)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RESUMO'!G34</f>
        <v>0</v>
      </c>
      <c r="N8" s="140" t="n">
        <f aca="false">MAX(0,M8-M7)</f>
        <v>0</v>
      </c>
      <c r="O8" s="139" t="n">
        <f aca="false">IF(B8&lt;='VALOR POR PL'!$P$5,'CP RESUMO'!G76,"")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HISTORICOS'!H34)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11083504.6272305</v>
      </c>
      <c r="K9" s="45" t="n">
        <f aca="false">E78</f>
        <v>8546.22456295837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RESUMO'!H34</f>
        <v>0</v>
      </c>
      <c r="N9" s="140" t="n">
        <f aca="false">MAX(0,M9-M8)</f>
        <v>0</v>
      </c>
      <c r="O9" s="139" t="n">
        <f aca="false">IF(B9&lt;='VALOR POR PL'!$P$5,'CP RESUMO'!H76,"")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HISTORICOS'!I34)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8546.22456295837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RESUMO'!I34</f>
        <v>0</v>
      </c>
      <c r="N10" s="140" t="n">
        <f aca="false">MAX(0,M10-M9)</f>
        <v>0</v>
      </c>
      <c r="O10" s="139" t="n">
        <f aca="false">IF(B10&lt;='VALOR POR PL'!$P$5,'CP RESUMO'!I76,"")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HISTORICOS'!J34)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10951845.09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RESUMO'!J34</f>
        <v>0</v>
      </c>
      <c r="N11" s="140" t="n">
        <f aca="false">MAX(0,M11-M10)</f>
        <v>0</v>
      </c>
      <c r="O11" s="139" t="n">
        <f aca="false">IF(B11&lt;='VALOR POR PL'!$P$5,'CP RESUMO'!J76,"")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HISTORICOS'!K34)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99.97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RESUMO'!K34</f>
        <v>0</v>
      </c>
      <c r="N12" s="140" t="n">
        <f aca="false">MAX(0,M12-M11)</f>
        <v>0</v>
      </c>
      <c r="O12" s="139" t="n">
        <f aca="false">IF(B12&lt;='VALOR POR PL'!$P$5,'CP RESUMO'!K76,"")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HISTORICOS'!L34)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PL'!I40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RESUMO'!L34</f>
        <v>0</v>
      </c>
      <c r="N13" s="140" t="n">
        <f aca="false">MAX(0,M13-M12)</f>
        <v>0</v>
      </c>
      <c r="O13" s="139" t="n">
        <f aca="false">IF(B13&lt;='VALOR POR PL'!$P$5,'CP RESUMO'!L76,"")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HISTORICOS'!M34)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RESUMO'!$D$76:$BW$76,MATCH('VALOR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RESUMO'!M34</f>
        <v>0</v>
      </c>
      <c r="N14" s="140" t="n">
        <f aca="false">MAX(0,M14-M13)</f>
        <v>0</v>
      </c>
      <c r="O14" s="139" t="n">
        <f aca="false">IF(B14&lt;='VALOR POR PL'!$P$5,'CP RESUMO'!M76,"")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HISTORICOS'!N34)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RESUMO'!N34</f>
        <v>0</v>
      </c>
      <c r="N15" s="140" t="n">
        <f aca="false">MAX(0,M15-M14)</f>
        <v>0</v>
      </c>
      <c r="O15" s="139" t="n">
        <f aca="false">IF(B15&lt;='VALOR POR PL'!$P$5,'CP RESUMO'!N76,"")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HISTORICOS'!O34)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RESUMO'!O34</f>
        <v>0</v>
      </c>
      <c r="N16" s="140" t="n">
        <f aca="false">MAX(0,M16-M15)</f>
        <v>0</v>
      </c>
      <c r="O16" s="139" t="n">
        <f aca="false">IF(B16&lt;='VALOR POR PL'!$P$5,'CP RESUMO'!O76,"")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HISTORICOS'!P34)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10951845.09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RESUMO'!P34</f>
        <v>0</v>
      </c>
      <c r="N17" s="140" t="n">
        <f aca="false">MAX(0,M17-M16)</f>
        <v>0</v>
      </c>
      <c r="O17" s="139" t="n">
        <f aca="false">IF(B17&lt;='VALOR POR PL'!$P$5,'CP RESUMO'!P76,"")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HISTORICOS'!Q34)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11083504.6272305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RESUMO'!Q34</f>
        <v>0</v>
      </c>
      <c r="N18" s="140" t="n">
        <f aca="false">MAX(0,M18-M17)</f>
        <v>0</v>
      </c>
      <c r="O18" s="139" t="n">
        <f aca="false">IF(B18&lt;='VALOR POR PL'!$P$5,'CP RESUMO'!Q76,"")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HISTORICOS'!R34)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0.0120216763612497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RESUMO'!R34</f>
        <v>0</v>
      </c>
      <c r="N19" s="140" t="n">
        <f aca="false">MAX(0,M19-M18)</f>
        <v>0</v>
      </c>
      <c r="O19" s="139" t="n">
        <f aca="false">IF(B19&lt;='VALOR POR PL'!$P$5,'CP RESUMO'!R76,"")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HISTORICOS'!S34)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RESUMO'!S34</f>
        <v>0</v>
      </c>
      <c r="N20" s="140" t="n">
        <f aca="false">MAX(0,M20-M19)</f>
        <v>0</v>
      </c>
      <c r="O20" s="139" t="n">
        <f aca="false">IF(B20&lt;='VALOR POR PL'!$P$5,'CP RESUMO'!S76,"")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HISTORICOS'!T34)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RESUMO'!T34</f>
        <v>0</v>
      </c>
      <c r="N21" s="140" t="n">
        <f aca="false">MAX(0,M21-M20)</f>
        <v>0</v>
      </c>
      <c r="O21" s="139" t="n">
        <f aca="false">IF(B21&lt;='VALOR POR PL'!$P$5,'CP RESUMO'!T76,"")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HISTORICOS'!U34)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RESUMO'!U34</f>
        <v>0</v>
      </c>
      <c r="N22" s="140" t="n">
        <f aca="false">MAX(0,M22-M21)</f>
        <v>0</v>
      </c>
      <c r="O22" s="139" t="n">
        <f aca="false">IF(B22&lt;='VALOR POR PL'!$P$5,'CP RESUMO'!U76,"")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HISTORICOS'!V34)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RESUMO'!V34</f>
        <v>0</v>
      </c>
      <c r="N23" s="140" t="n">
        <f aca="false">MAX(0,M23-M22)</f>
        <v>0</v>
      </c>
      <c r="O23" s="139" t="n">
        <f aca="false">IF(B23&lt;='VALOR POR PL'!$P$5,'CP RESUMO'!V76,"")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HISTORICOS'!W34)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RESUMO'!W34</f>
        <v>0</v>
      </c>
      <c r="N24" s="140" t="n">
        <f aca="false">MAX(0,M24-M23)</f>
        <v>0</v>
      </c>
      <c r="O24" s="139" t="n">
        <f aca="false">IF(B24&lt;='VALOR POR PL'!$P$5,'CP RESUMO'!W76,"")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HISTORICOS'!X34)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RESUMO'!X34</f>
        <v>0</v>
      </c>
      <c r="N25" s="140" t="n">
        <f aca="false">MAX(0,M25-M24)</f>
        <v>0</v>
      </c>
      <c r="O25" s="139" t="n">
        <f aca="false">IF(B25&lt;='VALOR POR PL'!$P$5,'CP RESUMO'!X76,"")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HISTORICOS'!Y34)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RESUMO'!Y34</f>
        <v>0</v>
      </c>
      <c r="N26" s="140" t="n">
        <f aca="false">MAX(0,M26-M25)</f>
        <v>0</v>
      </c>
      <c r="O26" s="139" t="str">
        <f aca="false">IF(B26&lt;='VALOR POR PL'!$P$5,'CP RESUMO'!Y76,"")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HISTORICOS'!Z34)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RESUMO'!Z34</f>
        <v>0</v>
      </c>
      <c r="N27" s="140" t="n">
        <f aca="false">MAX(0,M27-M26)</f>
        <v>0</v>
      </c>
      <c r="O27" s="139" t="str">
        <f aca="false">IF(B27&lt;='VALOR POR PL'!$P$5,'CP RESUMO'!Z76,"")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HISTORICOS'!AA34)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RESUMO'!AA34</f>
        <v>0</v>
      </c>
      <c r="N28" s="140" t="n">
        <f aca="false">MAX(0,M28-M27)</f>
        <v>0</v>
      </c>
      <c r="O28" s="139" t="str">
        <f aca="false">IF(B28&lt;='VALOR POR PL'!$P$5,'CP RESUMO'!AA76,"")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HISTORICOS'!AB34)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RESUMO'!AB34</f>
        <v>0</v>
      </c>
      <c r="N29" s="140" t="n">
        <f aca="false">MAX(0,M29-M28)</f>
        <v>0</v>
      </c>
      <c r="O29" s="139" t="str">
        <f aca="false">IF(B29&lt;='VALOR POR PL'!$P$5,'CP RESUMO'!AB76,"")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HISTORICOS'!AC34)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RESUMO'!AC34</f>
        <v>0</v>
      </c>
      <c r="N30" s="140" t="n">
        <f aca="false">MAX(0,M30-M29)</f>
        <v>0</v>
      </c>
      <c r="O30" s="139" t="str">
        <f aca="false">IF(B30&lt;='VALOR POR PL'!$P$5,'CP RESUMO'!AC76,"")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HISTORICOS'!AD34)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RESUMO'!AD34</f>
        <v>0</v>
      </c>
      <c r="N31" s="140" t="n">
        <f aca="false">MAX(0,M31-M30)</f>
        <v>0</v>
      </c>
      <c r="O31" s="139" t="str">
        <f aca="false">IF(B31&lt;='VALOR POR PL'!$P$5,'CP RESUMO'!AD76,"")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HISTORICOS'!AE34)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RESUMO'!AE34</f>
        <v>0</v>
      </c>
      <c r="N32" s="140" t="n">
        <f aca="false">MAX(0,M32-M31)</f>
        <v>0</v>
      </c>
      <c r="O32" s="139" t="str">
        <f aca="false">IF(B32&lt;='VALOR POR PL'!$P$5,'CP RESUMO'!AE76,"")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HISTORICOS'!AF34)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RESUMO'!AF34</f>
        <v>0</v>
      </c>
      <c r="N33" s="140" t="n">
        <f aca="false">MAX(0,M33-M32)</f>
        <v>0</v>
      </c>
      <c r="O33" s="139" t="str">
        <f aca="false">IF(B33&lt;='VALOR POR PL'!$P$5,'CP RESUMO'!AF76,"")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HISTORICOS'!AG34)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RESUMO'!AG34</f>
        <v>0</v>
      </c>
      <c r="N34" s="140" t="n">
        <f aca="false">MAX(0,M34-M33)</f>
        <v>0</v>
      </c>
      <c r="O34" s="139" t="str">
        <f aca="false">IF(B34&lt;='VALOR POR PL'!$P$5,'CP RESUMO'!AG76,"")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HISTORICOS'!AH34)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RESUMO'!AH34</f>
        <v>0</v>
      </c>
      <c r="N35" s="140" t="n">
        <f aca="false">MAX(0,M35-M34)</f>
        <v>0</v>
      </c>
      <c r="O35" s="139" t="str">
        <f aca="false">IF(B35&lt;='VALOR POR PL'!$P$5,'CP RESUMO'!AH76,"")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HISTORICOS'!AI34)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RESUMO'!AI34</f>
        <v>0</v>
      </c>
      <c r="N36" s="140" t="n">
        <f aca="false">MAX(0,M36-M35)</f>
        <v>0</v>
      </c>
      <c r="O36" s="139" t="str">
        <f aca="false">IF(B36&lt;='VALOR POR PL'!$P$5,'CP RESUMO'!AI76,"")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HISTORICOS'!AJ34)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RESUMO'!AJ34</f>
        <v>0.48</v>
      </c>
      <c r="N37" s="140" t="n">
        <f aca="false">MAX(0,M37-M36)</f>
        <v>0.48</v>
      </c>
      <c r="O37" s="139" t="str">
        <f aca="false">IF(B37&lt;='VALOR POR PL'!$P$5,'CP RESUMO'!AJ76,"")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HISTORICOS'!AK34)</f>
        <v>0</v>
      </c>
      <c r="D38" s="45" t="n">
        <f aca="false">IF(B38&lt;='VALOR POR PL'!$P$5,0,IF($K$17&gt;0,$K$18*P38/$K$17,0))</f>
        <v>53242.5717157497</v>
      </c>
      <c r="E38" s="45" t="n">
        <f aca="false">L38+D38/$K$2</f>
        <v>41.0540699441122</v>
      </c>
      <c r="F38" s="117" t="n">
        <f aca="false">IF($K$9=0,0,E38/$K$9)</f>
        <v>0.00480376681441903</v>
      </c>
      <c r="G38" s="117" t="n">
        <f aca="false">G37+F38</f>
        <v>0.00480376681441903</v>
      </c>
      <c r="H38" s="138" t="n">
        <v>52610.11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RESUMO'!AK34</f>
        <v>4.53</v>
      </c>
      <c r="N38" s="140" t="n">
        <f aca="false">MAX(0,M38-M37)</f>
        <v>4.05</v>
      </c>
      <c r="O38" s="139" t="str">
        <f aca="false">IF(B38&lt;='VALOR POR PL'!$P$5,'CP RESUMO'!AK76,"")</f>
        <v/>
      </c>
      <c r="P38" s="66" t="n">
        <f aca="false">IF(B38&lt;='VALOR POR PL'!$P$5,0,IF(OR($K$16="CURVA PREVISION",$K$16="MDO PREVISION + MATERIAL PREMISSA"),N38,IF($K$16="PREVISÃO INFORMADA",MAX(0,H38),0)))</f>
        <v>52610.11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HISTORICOS'!AL34)</f>
        <v>0</v>
      </c>
      <c r="D39" s="45" t="n">
        <f aca="false">IF(B39&lt;='VALOR POR PL'!$P$5,0,IF($K$17&gt;0,$K$18*P39/$K$17,0))</f>
        <v>443688.094257842</v>
      </c>
      <c r="E39" s="45" t="n">
        <f aca="false">L39+D39/$K$2</f>
        <v>342.117246933116</v>
      </c>
      <c r="F39" s="117" t="n">
        <f aca="false">IF($K$9=0,0,E39/$K$9)</f>
        <v>0.0400313898157959</v>
      </c>
      <c r="G39" s="117" t="n">
        <f aca="false">G38+F39</f>
        <v>0.0448351566302149</v>
      </c>
      <c r="H39" s="138" t="n">
        <v>438417.58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RESUMO'!AL34</f>
        <v>10.04</v>
      </c>
      <c r="N39" s="140" t="n">
        <f aca="false">MAX(0,M39-M38)</f>
        <v>5.51</v>
      </c>
      <c r="O39" s="139" t="str">
        <f aca="false">IF(B39&lt;='VALOR POR PL'!$P$5,'CP RESUMO'!AL76,"")</f>
        <v/>
      </c>
      <c r="P39" s="66" t="n">
        <f aca="false">IF(B39&lt;='VALOR POR PL'!$P$5,0,IF(OR($K$16="CURVA PREVISION",$K$16="MDO PREVISION + MATERIAL PREMISSA"),N39,IF($K$16="PREVISÃO INFORMADA",MAX(0,H39),0)))</f>
        <v>438417.58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HISTORICOS'!AM34)</f>
        <v>0</v>
      </c>
      <c r="D40" s="45" t="n">
        <f aca="false">IF(B40&lt;='VALOR POR PL'!$P$5,0,IF($K$17&gt;0,$K$18*P40/$K$17,0))</f>
        <v>600088.150570398</v>
      </c>
      <c r="E40" s="45" t="n">
        <f aca="false">L40+D40/$K$2</f>
        <v>462.713578857094</v>
      </c>
      <c r="F40" s="117" t="n">
        <f aca="false">IF($K$9=0,0,E40/$K$9)</f>
        <v>0.0541424550043558</v>
      </c>
      <c r="G40" s="117" t="n">
        <f aca="false">G39+F40</f>
        <v>0.0989776116345707</v>
      </c>
      <c r="H40" s="138" t="n">
        <v>592959.78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RESUMO'!AM34</f>
        <v>15.79</v>
      </c>
      <c r="N40" s="140" t="n">
        <f aca="false">MAX(0,M40-M39)</f>
        <v>5.75</v>
      </c>
      <c r="O40" s="139" t="str">
        <f aca="false">IF(B40&lt;='VALOR POR PL'!$P$5,'CP RESUMO'!AM76,"")</f>
        <v/>
      </c>
      <c r="P40" s="66" t="n">
        <f aca="false">IF(B40&lt;='VALOR POR PL'!$P$5,0,IF(OR($K$16="CURVA PREVISION",$K$16="MDO PREVISION + MATERIAL PREMISSA"),N40,IF($K$16="PREVISÃO INFORMADA",MAX(0,H40),0)))</f>
        <v>592959.78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HISTORICOS'!AN34)</f>
        <v>0</v>
      </c>
      <c r="D41" s="45" t="n">
        <f aca="false">IF(B41&lt;='VALOR POR PL'!$P$5,0,IF($K$17&gt;0,$K$18*P41/$K$17,0))</f>
        <v>633364.759157769</v>
      </c>
      <c r="E41" s="45" t="n">
        <f aca="false">L41+D41/$K$2</f>
        <v>488.372373547596</v>
      </c>
      <c r="F41" s="117" t="n">
        <f aca="false">IF($K$9=0,0,E41/$K$9)</f>
        <v>0.0571448093775037</v>
      </c>
      <c r="G41" s="117" t="n">
        <f aca="false">G40+F41</f>
        <v>0.156122421012074</v>
      </c>
      <c r="H41" s="138" t="n">
        <v>625841.1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RESUMO'!AN34</f>
        <v>23.29</v>
      </c>
      <c r="N41" s="140" t="n">
        <f aca="false">MAX(0,M41-M40)</f>
        <v>7.5</v>
      </c>
      <c r="O41" s="139" t="str">
        <f aca="false">IF(B41&lt;='VALOR POR PL'!$P$5,'CP RESUMO'!AN76,"")</f>
        <v/>
      </c>
      <c r="P41" s="66" t="n">
        <f aca="false">IF(B41&lt;='VALOR POR PL'!$P$5,0,IF(OR($K$16="CURVA PREVISION",$K$16="MDO PREVISION + MATERIAL PREMISSA"),N41,IF($K$16="PREVISÃO INFORMADA",MAX(0,H41),0)))</f>
        <v>625841.1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HISTORICOS'!AO34)</f>
        <v>0</v>
      </c>
      <c r="D42" s="45" t="n">
        <f aca="false">IF(B42&lt;='VALOR POR PL'!$P$5,0,IF($K$17&gt;0,$K$18*P42/$K$17,0))</f>
        <v>437032.776588455</v>
      </c>
      <c r="E42" s="45" t="n">
        <f aca="false">L42+D42/$K$2</f>
        <v>336.985491116398</v>
      </c>
      <c r="F42" s="117" t="n">
        <f aca="false">IF($K$9=0,0,E42/$K$9)</f>
        <v>0.0394309193064015</v>
      </c>
      <c r="G42" s="117" t="n">
        <f aca="false">G41+F42</f>
        <v>0.195553340318476</v>
      </c>
      <c r="H42" s="138" t="n">
        <v>431841.32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RESUMO'!AO34</f>
        <v>32.46</v>
      </c>
      <c r="N42" s="140" t="n">
        <f aca="false">MAX(0,M42-M41)</f>
        <v>9.17</v>
      </c>
      <c r="O42" s="139" t="str">
        <f aca="false">IF(B42&lt;='VALOR POR PL'!$P$5,'CP RESUMO'!AO76,"")</f>
        <v/>
      </c>
      <c r="P42" s="66" t="n">
        <f aca="false">IF(B42&lt;='VALOR POR PL'!$P$5,0,IF(OR($K$16="CURVA PREVISION",$K$16="MDO PREVISION + MATERIAL PREMISSA"),N42,IF($K$16="PREVISÃO INFORMADA",MAX(0,H42),0)))</f>
        <v>431841.32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HISTORICOS'!AP34)</f>
        <v>0</v>
      </c>
      <c r="D43" s="45" t="n">
        <f aca="false">IF(B43&lt;='VALOR POR PL'!$P$5,0,IF($K$17&gt;0,$K$18*P43/$K$17,0))</f>
        <v>614508.012267548</v>
      </c>
      <c r="E43" s="45" t="n">
        <f aca="false">L43+D43/$K$2</f>
        <v>473.832388328954</v>
      </c>
      <c r="F43" s="117" t="n">
        <f aca="false">IF($K$9=0,0,E43/$K$9)</f>
        <v>0.0554434750501023</v>
      </c>
      <c r="G43" s="117" t="n">
        <f aca="false">G42+F43</f>
        <v>0.250996815368578</v>
      </c>
      <c r="H43" s="138" t="n">
        <v>607208.35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RESUMO'!AP34</f>
        <v>39.16</v>
      </c>
      <c r="N43" s="140" t="n">
        <f aca="false">MAX(0,M43-M42)</f>
        <v>6.7</v>
      </c>
      <c r="O43" s="139" t="str">
        <f aca="false">IF(B43&lt;='VALOR POR PL'!$P$5,'CP RESUMO'!AP76,"")</f>
        <v/>
      </c>
      <c r="P43" s="66" t="n">
        <f aca="false">IF(B43&lt;='VALOR POR PL'!$P$5,0,IF(OR($K$16="CURVA PREVISION",$K$16="MDO PREVISION + MATERIAL PREMISSA"),N43,IF($K$16="PREVISÃO INFORMADA",MAX(0,H43),0)))</f>
        <v>607208.35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HISTORICOS'!AQ34)</f>
        <v>0</v>
      </c>
      <c r="D44" s="45" t="n">
        <f aca="false">IF(B44&lt;='VALOR POR PL'!$P$5,0,IF($K$17&gt;0,$K$18*P44/$K$17,0))</f>
        <v>783109.48768072</v>
      </c>
      <c r="E44" s="45" t="n">
        <f aca="false">L44+D44/$K$2</f>
        <v>603.8369418514</v>
      </c>
      <c r="F44" s="117" t="n">
        <f aca="false">IF($K$9=0,0,E44/$K$9)</f>
        <v>0.0706554031435812</v>
      </c>
      <c r="G44" s="117" t="n">
        <f aca="false">G43+F44</f>
        <v>0.321652218512159</v>
      </c>
      <c r="H44" s="138" t="n">
        <v>773807.03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RESUMO'!AQ34</f>
        <v>47.69</v>
      </c>
      <c r="N44" s="140" t="n">
        <f aca="false">MAX(0,M44-M43)</f>
        <v>8.53</v>
      </c>
      <c r="O44" s="139" t="str">
        <f aca="false">IF(B44&lt;='VALOR POR PL'!$P$5,'CP RESUMO'!AQ76,"")</f>
        <v/>
      </c>
      <c r="P44" s="66" t="n">
        <f aca="false">IF(B44&lt;='VALOR POR PL'!$P$5,0,IF(OR($K$16="CURVA PREVISION",$K$16="MDO PREVISION + MATERIAL PREMISSA"),N44,IF($K$16="PREVISÃO INFORMADA",MAX(0,H44),0)))</f>
        <v>773807.03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HISTORICOS'!AR34)</f>
        <v>0</v>
      </c>
      <c r="D45" s="45" t="n">
        <f aca="false">IF(B45&lt;='VALOR POR PL'!$P$5,0,IF($K$17&gt;0,$K$18*P45/$K$17,0))</f>
        <v>898468.401498358</v>
      </c>
      <c r="E45" s="45" t="n">
        <f aca="false">L45+D45/$K$2</f>
        <v>692.78743323319</v>
      </c>
      <c r="F45" s="117" t="n">
        <f aca="false">IF($K$9=0,0,E45/$K$9)</f>
        <v>0.0810635653357292</v>
      </c>
      <c r="G45" s="117" t="n">
        <f aca="false">G44+F45</f>
        <v>0.402715783847889</v>
      </c>
      <c r="H45" s="138" t="n">
        <v>887795.61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RESUMO'!AR34</f>
        <v>54.65</v>
      </c>
      <c r="N45" s="140" t="n">
        <f aca="false">MAX(0,M45-M44)</f>
        <v>6.96</v>
      </c>
      <c r="O45" s="139" t="str">
        <f aca="false">IF(B45&lt;='VALOR POR PL'!$P$5,'CP RESUMO'!AR76,"")</f>
        <v/>
      </c>
      <c r="P45" s="66" t="n">
        <f aca="false">IF(B45&lt;='VALOR POR PL'!$P$5,0,IF(OR($K$16="CURVA PREVISION",$K$16="MDO PREVISION + MATERIAL PREMISSA"),N45,IF($K$16="PREVISÃO INFORMADA",MAX(0,H45),0)))</f>
        <v>887795.61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HISTORICOS'!AS34)</f>
        <v>0</v>
      </c>
      <c r="D46" s="45" t="n">
        <f aca="false">IF(B46&lt;='VALOR POR PL'!$P$5,0,IF($K$17&gt;0,$K$18*P46/$K$17,0))</f>
        <v>797529.359498087</v>
      </c>
      <c r="E46" s="45" t="n">
        <f aca="false">L46+D46/$K$2</f>
        <v>614.955759126716</v>
      </c>
      <c r="F46" s="117" t="n">
        <f aca="false">IF($K$9=0,0,E46/$K$9)</f>
        <v>0.0719564241024158</v>
      </c>
      <c r="G46" s="117" t="n">
        <f aca="false">G45+F46</f>
        <v>0.474672207950304</v>
      </c>
      <c r="H46" s="138" t="n">
        <v>788055.61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RESUMO'!AS34</f>
        <v>62.47</v>
      </c>
      <c r="N46" s="140" t="n">
        <f aca="false">MAX(0,M46-M45)</f>
        <v>7.82</v>
      </c>
      <c r="O46" s="139" t="str">
        <f aca="false">IF(B46&lt;='VALOR POR PL'!$P$5,'CP RESUMO'!AS76,"")</f>
        <v/>
      </c>
      <c r="P46" s="66" t="n">
        <f aca="false">IF(B46&lt;='VALOR POR PL'!$P$5,0,IF(OR($K$16="CURVA PREVISION",$K$16="MDO PREVISION + MATERIAL PREMISSA"),N46,IF($K$16="PREVISÃO INFORMADA",MAX(0,H46),0)))</f>
        <v>788055.61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HISTORICOS'!AT34)</f>
        <v>0</v>
      </c>
      <c r="D47" s="45" t="n">
        <f aca="false">IF(B47&lt;='VALOR POR PL'!$P$5,0,IF($K$17&gt;0,$K$18*P47/$K$17,0))</f>
        <v>849662.704855461</v>
      </c>
      <c r="E47" s="45" t="n">
        <f aca="false">L47+D47/$K$2</f>
        <v>655.154531232404</v>
      </c>
      <c r="F47" s="117" t="n">
        <f aca="false">IF($K$9=0,0,E47/$K$9)</f>
        <v>0.076660111889877</v>
      </c>
      <c r="G47" s="117" t="n">
        <f aca="false">G46+F47</f>
        <v>0.551332319840181</v>
      </c>
      <c r="H47" s="138" t="n">
        <v>839569.67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RESUMO'!AT34</f>
        <v>70.44</v>
      </c>
      <c r="N47" s="140" t="n">
        <f aca="false">MAX(0,M47-M46)</f>
        <v>7.97</v>
      </c>
      <c r="O47" s="139" t="str">
        <f aca="false">IF(B47&lt;='VALOR POR PL'!$P$5,'CP RESUMO'!AT76,"")</f>
        <v/>
      </c>
      <c r="P47" s="66" t="n">
        <f aca="false">IF(B47&lt;='VALOR POR PL'!$P$5,0,IF(OR($K$16="CURVA PREVISION",$K$16="MDO PREVISION + MATERIAL PREMISSA"),N47,IF($K$16="PREVISÃO INFORMADA",MAX(0,H47),0)))</f>
        <v>839569.67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HISTORICOS'!AU34)</f>
        <v>0</v>
      </c>
      <c r="D48" s="45" t="n">
        <f aca="false">IF(B48&lt;='VALOR POR PL'!$P$5,0,IF($K$17&gt;0,$K$18*P48/$K$17,0))</f>
        <v>916215.922030203</v>
      </c>
      <c r="E48" s="45" t="n">
        <f aca="false">L48+D48/$K$2</f>
        <v>706.472120613408</v>
      </c>
      <c r="F48" s="117" t="n">
        <f aca="false">IF($K$9=0,0,E48/$K$9)</f>
        <v>0.0826648206361728</v>
      </c>
      <c r="G48" s="117" t="n">
        <f aca="false">G47+F48</f>
        <v>0.633997140476354</v>
      </c>
      <c r="H48" s="138" t="n">
        <v>905332.31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RESUMO'!AU34</f>
        <v>77.42</v>
      </c>
      <c r="N48" s="140" t="n">
        <f aca="false">MAX(0,M48-M47)</f>
        <v>6.98</v>
      </c>
      <c r="O48" s="139" t="str">
        <f aca="false">IF(B48&lt;='VALOR POR PL'!$P$5,'CP RESUMO'!AU76,"")</f>
        <v/>
      </c>
      <c r="P48" s="66" t="n">
        <f aca="false">IF(B48&lt;='VALOR POR PL'!$P$5,0,IF(OR($K$16="CURVA PREVISION",$K$16="MDO PREVISION + MATERIAL PREMISSA"),N48,IF($K$16="PREVISÃO INFORMADA",MAX(0,H48),0)))</f>
        <v>905332.31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HISTORICOS'!AV34)</f>
        <v>0</v>
      </c>
      <c r="D49" s="45" t="n">
        <f aca="false">IF(B49&lt;='VALOR POR PL'!$P$5,0,IF($K$17&gt;0,$K$18*P49/$K$17,0))</f>
        <v>716556.280626195</v>
      </c>
      <c r="E49" s="45" t="n">
        <f aca="false">L49+D49/$K$2</f>
        <v>552.519360273852</v>
      </c>
      <c r="F49" s="117" t="n">
        <f aca="false">IF($K$9=0,0,E49/$K$9)</f>
        <v>0.0646506953103735</v>
      </c>
      <c r="G49" s="117" t="n">
        <f aca="false">G48+F49</f>
        <v>0.698647835786728</v>
      </c>
      <c r="H49" s="138" t="n">
        <v>708044.4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RESUMO'!AV34</f>
        <v>81.29</v>
      </c>
      <c r="N49" s="140" t="n">
        <f aca="false">MAX(0,M49-M48)</f>
        <v>3.87</v>
      </c>
      <c r="O49" s="139" t="str">
        <f aca="false">IF(B49&lt;='VALOR POR PL'!$P$5,'CP RESUMO'!AV76,"")</f>
        <v/>
      </c>
      <c r="P49" s="66" t="n">
        <f aca="false">IF(B49&lt;='VALOR POR PL'!$P$5,0,IF(OR($K$16="CURVA PREVISION",$K$16="MDO PREVISION + MATERIAL PREMISSA"),N49,IF($K$16="PREVISÃO INFORMADA",MAX(0,H49),0)))</f>
        <v>708044.4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HISTORICOS'!AW34)</f>
        <v>0</v>
      </c>
      <c r="D50" s="45" t="n">
        <f aca="false">IF(B50&lt;='VALOR POR PL'!$P$5,0,IF($K$17&gt;0,$K$18*P50/$K$17,0))</f>
        <v>581231.403680178</v>
      </c>
      <c r="E50" s="45" t="n">
        <f aca="false">L50+D50/$K$2</f>
        <v>448.173593638452</v>
      </c>
      <c r="F50" s="117" t="n">
        <f aca="false">IF($K$9=0,0,E50/$K$9)</f>
        <v>0.0524411206769544</v>
      </c>
      <c r="G50" s="117" t="n">
        <f aca="false">G49+F50</f>
        <v>0.751088956463682</v>
      </c>
      <c r="H50" s="138" t="n">
        <v>574327.03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RESUMO'!AW34</f>
        <v>86.33</v>
      </c>
      <c r="N50" s="140" t="n">
        <f aca="false">MAX(0,M50-M49)</f>
        <v>5.03999999999999</v>
      </c>
      <c r="O50" s="139" t="str">
        <f aca="false">IF(B50&lt;='VALOR POR PL'!$P$5,'CP RESUMO'!AW76,"")</f>
        <v/>
      </c>
      <c r="P50" s="66" t="n">
        <f aca="false">IF(B50&lt;='VALOR POR PL'!$P$5,0,IF(OR($K$16="CURVA PREVISION",$K$16="MDO PREVISION + MATERIAL PREMISSA"),N50,IF($K$16="PREVISÃO INFORMADA",MAX(0,H50),0)))</f>
        <v>574327.03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HISTORICOS'!AX34)</f>
        <v>0</v>
      </c>
      <c r="D51" s="45" t="n">
        <f aca="false">IF(B51&lt;='VALOR POR PL'!$P$5,0,IF($K$17&gt;0,$K$18*P51/$K$17,0))</f>
        <v>591214.390304476</v>
      </c>
      <c r="E51" s="45" t="n">
        <f aca="false">L51+D51/$K$2</f>
        <v>455.871235166985</v>
      </c>
      <c r="F51" s="117" t="n">
        <f aca="false">IF($K$9=0,0,E51/$K$9)</f>
        <v>0.053341827354134</v>
      </c>
      <c r="G51" s="117" t="n">
        <f aca="false">G50+F51</f>
        <v>0.804430783817816</v>
      </c>
      <c r="H51" s="138" t="n">
        <v>584191.43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RESUMO'!AX34</f>
        <v>90.42</v>
      </c>
      <c r="N51" s="140" t="n">
        <f aca="false">MAX(0,M51-M50)</f>
        <v>4.09</v>
      </c>
      <c r="O51" s="139" t="str">
        <f aca="false">IF(B51&lt;='VALOR POR PL'!$P$5,'CP RESUMO'!AX76,"")</f>
        <v/>
      </c>
      <c r="P51" s="66" t="n">
        <f aca="false">IF(B51&lt;='VALOR POR PL'!$P$5,0,IF(OR($K$16="CURVA PREVISION",$K$16="MDO PREVISION + MATERIAL PREMISSA"),N51,IF($K$16="PREVISÃO INFORMADA",MAX(0,H51),0)))</f>
        <v>584191.43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HISTORICOS'!AY34)</f>
        <v>0</v>
      </c>
      <c r="D52" s="45" t="n">
        <f aca="false">IF(B52&lt;='VALOR POR PL'!$P$5,0,IF($K$17&gt;0,$K$18*P52/$K$17,0))</f>
        <v>492493.790900739</v>
      </c>
      <c r="E52" s="45" t="n">
        <f aca="false">L52+D52/$K$2</f>
        <v>379.750148933902</v>
      </c>
      <c r="F52" s="117" t="n">
        <f aca="false">IF($K$9=0,0,E52/$K$9)</f>
        <v>0.0444348432616481</v>
      </c>
      <c r="G52" s="117" t="n">
        <f aca="false">G51+F52</f>
        <v>0.848865627079464</v>
      </c>
      <c r="H52" s="138" t="n">
        <v>486643.52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RESUMO'!AY34</f>
        <v>93.64</v>
      </c>
      <c r="N52" s="140" t="n">
        <f aca="false">MAX(0,M52-M51)</f>
        <v>3.22</v>
      </c>
      <c r="O52" s="139" t="str">
        <f aca="false">IF(B52&lt;='VALOR POR PL'!$P$5,'CP RESUMO'!AY76,"")</f>
        <v/>
      </c>
      <c r="P52" s="66" t="n">
        <f aca="false">IF(B52&lt;='VALOR POR PL'!$P$5,0,IF(OR($K$16="CURVA PREVISION",$K$16="MDO PREVISION + MATERIAL PREMISSA"),N52,IF($K$16="PREVISÃO INFORMADA",MAX(0,H52),0)))</f>
        <v>486643.52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HISTORICOS'!AZ34)</f>
        <v>0</v>
      </c>
      <c r="D53" s="45" t="n">
        <f aca="false">IF(B53&lt;='VALOR POR PL'!$P$5,0,IF($K$17&gt;0,$K$18*P53/$K$17,0))</f>
        <v>569029.984579562</v>
      </c>
      <c r="E53" s="45" t="n">
        <f aca="false">L53+D53/$K$2</f>
        <v>438.765372039983</v>
      </c>
      <c r="F53" s="117" t="n">
        <f aca="false">IF($K$9=0,0,E53/$K$9)</f>
        <v>0.0513402577720354</v>
      </c>
      <c r="G53" s="117" t="n">
        <f aca="false">G52+F53</f>
        <v>0.900205884851499</v>
      </c>
      <c r="H53" s="138" t="n">
        <v>562270.55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RESUMO'!AZ34</f>
        <v>96.52</v>
      </c>
      <c r="N53" s="140" t="n">
        <f aca="false">MAX(0,M53-M52)</f>
        <v>2.88</v>
      </c>
      <c r="O53" s="139" t="str">
        <f aca="false">IF(B53&lt;='VALOR POR PL'!$P$5,'CP RESUMO'!AZ76,"")</f>
        <v/>
      </c>
      <c r="P53" s="66" t="n">
        <f aca="false">IF(B53&lt;='VALOR POR PL'!$P$5,0,IF(OR($K$16="CURVA PREVISION",$K$16="MDO PREVISION + MATERIAL PREMISSA"),N53,IF($K$16="PREVISÃO INFORMADA",MAX(0,H53),0)))</f>
        <v>562270.55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HISTORICOS'!BA34)</f>
        <v>0</v>
      </c>
      <c r="D54" s="45" t="n">
        <f aca="false">IF(B54&lt;='VALOR POR PL'!$P$5,0,IF($K$17&gt;0,$K$18*P54/$K$17,0))</f>
        <v>522442.7305332</v>
      </c>
      <c r="E54" s="45" t="n">
        <f aca="false">L54+D54/$K$2</f>
        <v>402.843057912589</v>
      </c>
      <c r="F54" s="117" t="n">
        <f aca="false">IF($K$9=0,0,E54/$K$9)</f>
        <v>0.0471369614670107</v>
      </c>
      <c r="G54" s="117" t="n">
        <f aca="false">G53+F54</f>
        <v>0.94734284631851</v>
      </c>
      <c r="H54" s="138" t="n">
        <v>516236.7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RESUMO'!BA34</f>
        <v>99.05</v>
      </c>
      <c r="N54" s="140" t="n">
        <f aca="false">MAX(0,M54-M53)</f>
        <v>2.53</v>
      </c>
      <c r="O54" s="139" t="str">
        <f aca="false">IF(B54&lt;='VALOR POR PL'!$P$5,'CP RESUMO'!BA76,"")</f>
        <v/>
      </c>
      <c r="P54" s="66" t="n">
        <f aca="false">IF(B54&lt;='VALOR POR PL'!$P$5,0,IF(OR($K$16="CURVA PREVISION",$K$16="MDO PREVISION + MATERIAL PREMISSA"),N54,IF($K$16="PREVISÃO INFORMADA",MAX(0,H54),0)))</f>
        <v>516236.7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HISTORICOS'!BB34)</f>
        <v>0</v>
      </c>
      <c r="D55" s="45" t="n">
        <f aca="false">IF(B55&lt;='VALOR POR PL'!$P$5,0,IF($K$17&gt;0,$K$18*P55/$K$17,0))</f>
        <v>421503.688532928</v>
      </c>
      <c r="E55" s="45" t="n">
        <f aca="false">L55+D55/$K$2</f>
        <v>325.011383806115</v>
      </c>
      <c r="F55" s="117" t="n">
        <f aca="false">IF($K$9=0,0,E55/$K$9)</f>
        <v>0.0380298202336973</v>
      </c>
      <c r="G55" s="117" t="n">
        <f aca="false">G54+F55</f>
        <v>0.985372666552207</v>
      </c>
      <c r="H55" s="138" t="n">
        <v>416496.7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RESUMO'!BB34</f>
        <v>99.97</v>
      </c>
      <c r="N55" s="140" t="n">
        <f aca="false">MAX(0,M55-M54)</f>
        <v>0.920000000000002</v>
      </c>
      <c r="O55" s="139" t="str">
        <f aca="false">IF(B55&lt;='VALOR POR PL'!$P$5,'CP RESUMO'!BB76,"")</f>
        <v/>
      </c>
      <c r="P55" s="66" t="n">
        <f aca="false">IF(B55&lt;='VALOR POR PL'!$P$5,0,IF(OR($K$16="CURVA PREVISION",$K$16="MDO PREVISION + MATERIAL PREMISSA"),N55,IF($K$16="PREVISÃO INFORMADA",MAX(0,H55),0)))</f>
        <v>416496.7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HISTORICOS'!BC34)</f>
        <v>0</v>
      </c>
      <c r="D56" s="45" t="n">
        <f aca="false">IF(B56&lt;='VALOR POR PL'!$P$5,0,IF($K$17&gt;0,$K$18*P56/$K$17,0))</f>
        <v>162122.117952653</v>
      </c>
      <c r="E56" s="45" t="n">
        <f aca="false">L56+D56/$K$2</f>
        <v>125.008476402108</v>
      </c>
      <c r="F56" s="117" t="n">
        <f aca="false">IF($K$9=0,0,E56/$K$9)</f>
        <v>0.0146273334477926</v>
      </c>
      <c r="G56" s="117" t="n">
        <f aca="false">G55+F56</f>
        <v>1</v>
      </c>
      <c r="H56" s="138" t="n">
        <v>160196.29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RESUMO'!BC34</f>
        <v>99.97</v>
      </c>
      <c r="N56" s="140" t="n">
        <f aca="false">MAX(0,M56-M55)</f>
        <v>0</v>
      </c>
      <c r="O56" s="139" t="str">
        <f aca="false">IF(B56&lt;='VALOR POR PL'!$P$5,'CP RESUMO'!BC76,"")</f>
        <v/>
      </c>
      <c r="P56" s="66" t="n">
        <f aca="false">IF(B56&lt;='VALOR POR PL'!$P$5,0,IF(OR($K$16="CURVA PREVISION",$K$16="MDO PREVISION + MATERIAL PREMISSA"),N56,IF($K$16="PREVISÃO INFORMADA",MAX(0,H56),0)))</f>
        <v>160196.29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RESUMO'!BD34</f>
        <v>99.97</v>
      </c>
      <c r="N57" s="140" t="n">
        <f aca="false">MAX(0,M57-M56)</f>
        <v>0</v>
      </c>
      <c r="O57" s="139" t="str">
        <f aca="false">IF(B57&lt;='VALOR POR PL'!$P$5,'CP RESUMO'!BD76,"")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RESUMO'!BE34</f>
        <v>99.97</v>
      </c>
      <c r="N58" s="140" t="n">
        <f aca="false">MAX(0,M58-M57)</f>
        <v>0</v>
      </c>
      <c r="O58" s="139" t="str">
        <f aca="false">IF(B58&lt;='VALOR POR PL'!$P$5,'CP RESUMO'!BE76,"")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RESUMO'!BF34</f>
        <v>99.97</v>
      </c>
      <c r="N59" s="140" t="n">
        <f aca="false">MAX(0,M59-M58)</f>
        <v>0</v>
      </c>
      <c r="O59" s="139" t="str">
        <f aca="false">IF(B59&lt;='VALOR POR PL'!$P$5,'CP RESUMO'!BF76,"")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RESUMO'!BG34</f>
        <v>99.97</v>
      </c>
      <c r="N60" s="140" t="n">
        <f aca="false">MAX(0,M60-M59)</f>
        <v>0</v>
      </c>
      <c r="O60" s="139" t="str">
        <f aca="false">IF(B60&lt;='VALOR POR PL'!$P$5,'CP RESUMO'!BG76,"")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RESUMO'!BH34</f>
        <v>99.97</v>
      </c>
      <c r="N61" s="140" t="n">
        <f aca="false">MAX(0,M61-M60)</f>
        <v>0</v>
      </c>
      <c r="O61" s="139" t="str">
        <f aca="false">IF(B61&lt;='VALOR POR PL'!$P$5,'CP RESUMO'!BH76,"")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RESUMO'!BI34</f>
        <v>99.97</v>
      </c>
      <c r="N62" s="140" t="n">
        <f aca="false">MAX(0,M62-M61)</f>
        <v>0</v>
      </c>
      <c r="O62" s="139" t="str">
        <f aca="false">IF(B62&lt;='VALOR POR PL'!$P$5,'CP RESUMO'!BI76,"")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RESUMO'!BJ34</f>
        <v>99.97</v>
      </c>
      <c r="N63" s="140" t="n">
        <f aca="false">MAX(0,M63-M62)</f>
        <v>0</v>
      </c>
      <c r="O63" s="139" t="str">
        <f aca="false">IF(B63&lt;='VALOR POR PL'!$P$5,'CP RESUMO'!BJ76,"")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RESUMO'!BK34</f>
        <v>99.97</v>
      </c>
      <c r="N64" s="140" t="n">
        <f aca="false">MAX(0,M64-M63)</f>
        <v>0</v>
      </c>
      <c r="O64" s="139" t="str">
        <f aca="false">IF(B64&lt;='VALOR POR PL'!$P$5,'CP RESUMO'!BK76,"")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RESUMO'!BL34</f>
        <v>99.97</v>
      </c>
      <c r="N65" s="140" t="n">
        <f aca="false">MAX(0,M65-M64)</f>
        <v>0</v>
      </c>
      <c r="O65" s="139" t="str">
        <f aca="false">IF(B65&lt;='VALOR POR PL'!$P$5,'CP RESUMO'!BL76,"")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RESUMO'!BM34</f>
        <v>99.97</v>
      </c>
      <c r="N66" s="140" t="n">
        <f aca="false">MAX(0,M66-M65)</f>
        <v>0</v>
      </c>
      <c r="O66" s="139" t="str">
        <f aca="false">IF(B66&lt;='VALOR POR PL'!$P$5,'CP RESUMO'!BM76,"")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RESUMO'!BN34</f>
        <v>99.97</v>
      </c>
      <c r="N67" s="140" t="n">
        <f aca="false">MAX(0,M67-M66)</f>
        <v>0</v>
      </c>
      <c r="O67" s="139" t="str">
        <f aca="false">IF(B67&lt;='VALOR POR PL'!$P$5,'CP RESUMO'!BN76,"")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RESUMO'!BO34</f>
        <v>99.97</v>
      </c>
      <c r="N68" s="140" t="n">
        <f aca="false">MAX(0,M68-M67)</f>
        <v>0</v>
      </c>
      <c r="O68" s="139" t="str">
        <f aca="false">IF(B68&lt;='VALOR POR PL'!$P$5,'CP RESUMO'!BO76,"")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RESUMO'!BP34</f>
        <v>99.97</v>
      </c>
      <c r="N69" s="140" t="n">
        <f aca="false">MAX(0,M69-M68)</f>
        <v>0</v>
      </c>
      <c r="O69" s="139" t="str">
        <f aca="false">IF(B69&lt;='VALOR POR PL'!$P$5,'CP RESUMO'!BP76,"")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RESUMO'!BQ34</f>
        <v>99.97</v>
      </c>
      <c r="N70" s="140" t="n">
        <f aca="false">MAX(0,M70-M69)</f>
        <v>0</v>
      </c>
      <c r="O70" s="139" t="str">
        <f aca="false">IF(B70&lt;='VALOR POR PL'!$P$5,'CP RESUMO'!BQ76,"")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RESUMO'!BR34</f>
        <v>99.97</v>
      </c>
      <c r="N71" s="140" t="n">
        <f aca="false">MAX(0,M71-M70)</f>
        <v>0</v>
      </c>
      <c r="O71" s="139" t="str">
        <f aca="false">IF(B71&lt;='VALOR POR PL'!$P$5,'CP RESUMO'!BR76,"")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RESUMO'!BS34</f>
        <v>99.97</v>
      </c>
      <c r="N72" s="140" t="n">
        <f aca="false">MAX(0,M72-M71)</f>
        <v>0</v>
      </c>
      <c r="O72" s="139" t="str">
        <f aca="false">IF(B72&lt;='VALOR POR PL'!$P$5,'CP RESUMO'!BS76,"")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RESUMO'!BT34</f>
        <v>99.97</v>
      </c>
      <c r="N73" s="140" t="n">
        <f aca="false">MAX(0,M73-M72)</f>
        <v>0</v>
      </c>
      <c r="O73" s="139" t="str">
        <f aca="false">IF(B73&lt;='VALOR POR PL'!$P$5,'CP RESUMO'!BT76,"")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RESUMO'!BU34</f>
        <v>99.97</v>
      </c>
      <c r="N74" s="140" t="n">
        <f aca="false">MAX(0,M74-M73)</f>
        <v>0</v>
      </c>
      <c r="O74" s="139" t="str">
        <f aca="false">IF(B74&lt;='VALOR POR PL'!$P$5,'CP RESUMO'!BU76,"")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RESUMO'!BV34</f>
        <v>99.97</v>
      </c>
      <c r="N75" s="140" t="n">
        <f aca="false">MAX(0,M75-M74)</f>
        <v>0</v>
      </c>
      <c r="O75" s="139" t="str">
        <f aca="false">IF(B75&lt;='VALOR POR PL'!$P$5,'CP RESUMO'!BV76,"")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RESUMO'!BW34</f>
        <v>99.97</v>
      </c>
      <c r="N76" s="140" t="n">
        <f aca="false">MAX(0,M76-M75)</f>
        <v>0</v>
      </c>
      <c r="O76" s="139" t="str">
        <f aca="false">IF(B76&lt;='VALOR POR PL'!$P$5,'CP RESUMO'!BW76,"")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11083504.6272305</v>
      </c>
      <c r="E78" s="61" t="n">
        <f aca="false">SUM(E5:E76)</f>
        <v>8546.22456295837</v>
      </c>
      <c r="F78" s="145" t="n">
        <f aca="false">SUM(F5:F76)</f>
        <v>1</v>
      </c>
      <c r="H78" s="61" t="n">
        <f aca="false">SUM(H5:H76)</f>
        <v>10951845.09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PL'!D41</f>
        <v>PAVIMENTAÇÃO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HISTORICOS'!D35)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PL'!F41</f>
        <v>106895.67</v>
      </c>
      <c r="K5" s="56" t="n">
        <f aca="false">'VALOR POR PL'!G41</f>
        <v>87.856614</v>
      </c>
      <c r="L5" s="56" t="n">
        <f aca="false">'DADOS HISTORICOS'!$BZ$35</f>
        <v>0</v>
      </c>
      <c r="M5" s="139" t="n">
        <f aca="false">'CP RESUMO'!D35</f>
        <v>0</v>
      </c>
      <c r="N5" s="140" t="n">
        <v>0</v>
      </c>
      <c r="O5" s="139" t="n">
        <f aca="false">IF(B5&lt;='VALOR POR PL'!$P$5,'CP RESUMO'!D77,"")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HISTORICOS'!E35)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PL'!H41</f>
        <v>87.856614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RESUMO'!E35</f>
        <v>0</v>
      </c>
      <c r="N6" s="140" t="n">
        <f aca="false">MAX(0,M6-M5)</f>
        <v>0</v>
      </c>
      <c r="O6" s="139" t="n">
        <f aca="false">IF(B6&lt;='VALOR POR PL'!$P$5,'CP RESUMO'!E77,"")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HISTORICOS'!F35)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113895.219343671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RESUMO'!F35</f>
        <v>0</v>
      </c>
      <c r="N7" s="140" t="n">
        <f aca="false">MAX(0,M7-M6)</f>
        <v>0</v>
      </c>
      <c r="O7" s="139" t="n">
        <f aca="false">IF(B7&lt;='VALOR POR PL'!$P$5,'CP RESUMO'!F77,"")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RESUMO'!G35</f>
        <v>0</v>
      </c>
      <c r="N8" s="140" t="n">
        <f aca="false">MAX(0,M8-M7)</f>
        <v>0</v>
      </c>
      <c r="O8" s="139" t="n">
        <f aca="false">IF(B8&lt;='VALOR POR PL'!$P$5,'CP RESUMO'!G77,"")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HISTORICOS'!H35)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113895.219343671</v>
      </c>
      <c r="K9" s="45" t="n">
        <f aca="false">E78</f>
        <v>87.8218716819027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RESUMO'!H35</f>
        <v>0</v>
      </c>
      <c r="N9" s="140" t="n">
        <f aca="false">MAX(0,M9-M8)</f>
        <v>0</v>
      </c>
      <c r="O9" s="139" t="n">
        <f aca="false">IF(B9&lt;='VALOR POR PL'!$P$5,'CP RESUMO'!H77,"")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HISTORICOS'!I35)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87.8218716819027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RESUMO'!I35</f>
        <v>0</v>
      </c>
      <c r="N10" s="140" t="n">
        <f aca="false">MAX(0,M10-M9)</f>
        <v>0</v>
      </c>
      <c r="O10" s="139" t="n">
        <f aca="false">IF(B10&lt;='VALOR POR PL'!$P$5,'CP RESUMO'!I77,"")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112630.58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RESUMO'!J35</f>
        <v>0</v>
      </c>
      <c r="N11" s="140" t="n">
        <f aca="false">MAX(0,M11-M10)</f>
        <v>0</v>
      </c>
      <c r="O11" s="139" t="n">
        <f aca="false">IF(B11&lt;='VALOR POR PL'!$P$5,'CP RESUMO'!J77,"")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HISTORICOS'!K35)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RESUMO'!K35</f>
        <v>0</v>
      </c>
      <c r="N12" s="140" t="n">
        <f aca="false">MAX(0,M12-M11)</f>
        <v>0</v>
      </c>
      <c r="O12" s="139" t="n">
        <f aca="false">IF(B12&lt;='VALOR POR PL'!$P$5,'CP RESUMO'!K77,"")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HISTORICOS'!L35)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PL'!I41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RESUMO'!L35</f>
        <v>0</v>
      </c>
      <c r="N13" s="140" t="n">
        <f aca="false">MAX(0,M13-M12)</f>
        <v>0</v>
      </c>
      <c r="O13" s="139" t="n">
        <f aca="false">IF(B13&lt;='VALOR POR PL'!$P$5,'CP RESUMO'!L77,"")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HISTORICOS'!M35)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RESUMO'!$D$77:$BW$77,MATCH('VALOR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RESUMO'!M35</f>
        <v>0</v>
      </c>
      <c r="N14" s="140" t="n">
        <f aca="false">MAX(0,M14-M13)</f>
        <v>0</v>
      </c>
      <c r="O14" s="139" t="n">
        <f aca="false">IF(B14&lt;='VALOR POR PL'!$P$5,'CP RESUMO'!M77,"")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HISTORICOS'!N35)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RESUMO'!N35</f>
        <v>0</v>
      </c>
      <c r="N15" s="140" t="n">
        <f aca="false">MAX(0,M15-M14)</f>
        <v>0</v>
      </c>
      <c r="O15" s="139" t="n">
        <f aca="false">IF(B15&lt;='VALOR POR PL'!$P$5,'CP RESUMO'!N77,"")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HISTORICOS'!O35)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RESUMO'!O35</f>
        <v>0</v>
      </c>
      <c r="N16" s="140" t="n">
        <f aca="false">MAX(0,M16-M15)</f>
        <v>0</v>
      </c>
      <c r="O16" s="139" t="n">
        <f aca="false">IF(B16&lt;='VALOR POR PL'!$P$5,'CP RESUMO'!O77,"")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HISTORICOS'!P35)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112630.58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RESUMO'!P35</f>
        <v>0</v>
      </c>
      <c r="N17" s="140" t="n">
        <f aca="false">MAX(0,M17-M16)</f>
        <v>0</v>
      </c>
      <c r="O17" s="139" t="n">
        <f aca="false">IF(B17&lt;='VALOR POR PL'!$P$5,'CP RESUMO'!P77,"")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HISTORICOS'!Q35)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113895.219343671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RESUMO'!Q35</f>
        <v>0</v>
      </c>
      <c r="N18" s="140" t="n">
        <f aca="false">MAX(0,M18-M17)</f>
        <v>0</v>
      </c>
      <c r="O18" s="139" t="n">
        <f aca="false">IF(B18&lt;='VALOR POR PL'!$P$5,'CP RESUMO'!Q77,"")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HISTORICOS'!R35)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0.0112282059070559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RESUMO'!R35</f>
        <v>0</v>
      </c>
      <c r="N19" s="140" t="n">
        <f aca="false">MAX(0,M19-M18)</f>
        <v>0</v>
      </c>
      <c r="O19" s="139" t="n">
        <f aca="false">IF(B19&lt;='VALOR POR PL'!$P$5,'CP RESUMO'!R77,"")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HISTORICOS'!S35)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RESUMO'!S35</f>
        <v>0</v>
      </c>
      <c r="N20" s="140" t="n">
        <f aca="false">MAX(0,M20-M19)</f>
        <v>0</v>
      </c>
      <c r="O20" s="139" t="n">
        <f aca="false">IF(B20&lt;='VALOR POR PL'!$P$5,'CP RESUMO'!S77,"")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HISTORICOS'!T35)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RESUMO'!T35</f>
        <v>0</v>
      </c>
      <c r="N21" s="140" t="n">
        <f aca="false">MAX(0,M21-M20)</f>
        <v>0</v>
      </c>
      <c r="O21" s="139" t="n">
        <f aca="false">IF(B21&lt;='VALOR POR PL'!$P$5,'CP RESUMO'!T77,"")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HISTORICOS'!U35)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RESUMO'!U35</f>
        <v>0</v>
      </c>
      <c r="N22" s="140" t="n">
        <f aca="false">MAX(0,M22-M21)</f>
        <v>0</v>
      </c>
      <c r="O22" s="139" t="n">
        <f aca="false">IF(B22&lt;='VALOR POR PL'!$P$5,'CP RESUMO'!U77,"")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HISTORICOS'!V35)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RESUMO'!V35</f>
        <v>0</v>
      </c>
      <c r="N23" s="140" t="n">
        <f aca="false">MAX(0,M23-M22)</f>
        <v>0</v>
      </c>
      <c r="O23" s="139" t="n">
        <f aca="false">IF(B23&lt;='VALOR POR PL'!$P$5,'CP RESUMO'!V77,"")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HISTORICOS'!W35)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RESUMO'!W35</f>
        <v>0</v>
      </c>
      <c r="N24" s="140" t="n">
        <f aca="false">MAX(0,M24-M23)</f>
        <v>0</v>
      </c>
      <c r="O24" s="139" t="n">
        <f aca="false">IF(B24&lt;='VALOR POR PL'!$P$5,'CP RESUMO'!W77,"")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HISTORICOS'!X35)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RESUMO'!X35</f>
        <v>0</v>
      </c>
      <c r="N25" s="140" t="n">
        <f aca="false">MAX(0,M25-M24)</f>
        <v>0</v>
      </c>
      <c r="O25" s="139" t="n">
        <f aca="false">IF(B25&lt;='VALOR POR PL'!$P$5,'CP RESUMO'!X77,"")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HISTORICOS'!Y35)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RESUMO'!Y35</f>
        <v>0</v>
      </c>
      <c r="N26" s="140" t="n">
        <f aca="false">MAX(0,M26-M25)</f>
        <v>0</v>
      </c>
      <c r="O26" s="139" t="str">
        <f aca="false">IF(B26&lt;='VALOR POR PL'!$P$5,'CP RESUMO'!Y77,"")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HISTORICOS'!Z35)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RESUMO'!Z35</f>
        <v>0</v>
      </c>
      <c r="N27" s="140" t="n">
        <f aca="false">MAX(0,M27-M26)</f>
        <v>0</v>
      </c>
      <c r="O27" s="139" t="str">
        <f aca="false">IF(B27&lt;='VALOR POR PL'!$P$5,'CP RESUMO'!Z77,"")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HISTORICOS'!AA35)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RESUMO'!AA35</f>
        <v>0</v>
      </c>
      <c r="N28" s="140" t="n">
        <f aca="false">MAX(0,M28-M27)</f>
        <v>0</v>
      </c>
      <c r="O28" s="139" t="str">
        <f aca="false">IF(B28&lt;='VALOR POR PL'!$P$5,'CP RESUMO'!AA77,"")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HISTORICOS'!AB35)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RESUMO'!AB35</f>
        <v>0</v>
      </c>
      <c r="N29" s="140" t="n">
        <f aca="false">MAX(0,M29-M28)</f>
        <v>0</v>
      </c>
      <c r="O29" s="139" t="str">
        <f aca="false">IF(B29&lt;='VALOR POR PL'!$P$5,'CP RESUMO'!AB77,"")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HISTORICOS'!AC35)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RESUMO'!AC35</f>
        <v>0</v>
      </c>
      <c r="N30" s="140" t="n">
        <f aca="false">MAX(0,M30-M29)</f>
        <v>0</v>
      </c>
      <c r="O30" s="139" t="str">
        <f aca="false">IF(B30&lt;='VALOR POR PL'!$P$5,'CP RESUMO'!AC77,"")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HISTORICOS'!AD35)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RESUMO'!AD35</f>
        <v>0</v>
      </c>
      <c r="N31" s="140" t="n">
        <f aca="false">MAX(0,M31-M30)</f>
        <v>0</v>
      </c>
      <c r="O31" s="139" t="str">
        <f aca="false">IF(B31&lt;='VALOR POR PL'!$P$5,'CP RESUMO'!AD77,"")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HISTORICOS'!AE35)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RESUMO'!AE35</f>
        <v>0</v>
      </c>
      <c r="N32" s="140" t="n">
        <f aca="false">MAX(0,M32-M31)</f>
        <v>0</v>
      </c>
      <c r="O32" s="139" t="str">
        <f aca="false">IF(B32&lt;='VALOR POR PL'!$P$5,'CP RESUMO'!AE77,"")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HISTORICOS'!AF35)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RESUMO'!AF35</f>
        <v>0</v>
      </c>
      <c r="N33" s="140" t="n">
        <f aca="false">MAX(0,M33-M32)</f>
        <v>0</v>
      </c>
      <c r="O33" s="139" t="str">
        <f aca="false">IF(B33&lt;='VALOR POR PL'!$P$5,'CP RESUMO'!AF77,"")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HISTORICOS'!AG35)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RESUMO'!AG35</f>
        <v>0</v>
      </c>
      <c r="N34" s="140" t="n">
        <f aca="false">MAX(0,M34-M33)</f>
        <v>0</v>
      </c>
      <c r="O34" s="139" t="str">
        <f aca="false">IF(B34&lt;='VALOR POR PL'!$P$5,'CP RESUMO'!AG77,"")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HISTORICOS'!AH35)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RESUMO'!AH35</f>
        <v>0</v>
      </c>
      <c r="N35" s="140" t="n">
        <f aca="false">MAX(0,M35-M34)</f>
        <v>0</v>
      </c>
      <c r="O35" s="139" t="str">
        <f aca="false">IF(B35&lt;='VALOR POR PL'!$P$5,'CP RESUMO'!AH77,"")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HISTORICOS'!AI35)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RESUMO'!AI35</f>
        <v>0</v>
      </c>
      <c r="N36" s="140" t="n">
        <f aca="false">MAX(0,M36-M35)</f>
        <v>0</v>
      </c>
      <c r="O36" s="139" t="str">
        <f aca="false">IF(B36&lt;='VALOR POR PL'!$P$5,'CP RESUMO'!AI77,"")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HISTORICOS'!AJ35)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RESUMO'!AJ35</f>
        <v>0</v>
      </c>
      <c r="N37" s="140" t="n">
        <f aca="false">MAX(0,M37-M36)</f>
        <v>0</v>
      </c>
      <c r="O37" s="139" t="str">
        <f aca="false">IF(B37&lt;='VALOR POR PL'!$P$5,'CP RESUMO'!AJ77,"")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HISTORICOS'!AK35)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RESUMO'!AK35</f>
        <v>0</v>
      </c>
      <c r="N38" s="140" t="n">
        <f aca="false">MAX(0,M38-M37)</f>
        <v>0</v>
      </c>
      <c r="O38" s="139" t="str">
        <f aca="false">IF(B38&lt;='VALOR POR PL'!$P$5,'CP RESUMO'!AK77,"")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HISTORICOS'!AL35)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RESUMO'!AL35</f>
        <v>0</v>
      </c>
      <c r="N39" s="140" t="n">
        <f aca="false">MAX(0,M39-M38)</f>
        <v>0</v>
      </c>
      <c r="O39" s="139" t="str">
        <f aca="false">IF(B39&lt;='VALOR POR PL'!$P$5,'CP RESUMO'!AL77,"")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HISTORICOS'!AM35)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RESUMO'!AM35</f>
        <v>1.52</v>
      </c>
      <c r="N40" s="140" t="n">
        <f aca="false">MAX(0,M40-M39)</f>
        <v>1.52</v>
      </c>
      <c r="O40" s="139" t="str">
        <f aca="false">IF(B40&lt;='VALOR POR PL'!$P$5,'CP RESUMO'!AM77,"")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HISTORICOS'!AN35)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RESUMO'!AN35</f>
        <v>25.76</v>
      </c>
      <c r="N41" s="140" t="n">
        <f aca="false">MAX(0,M41-M40)</f>
        <v>24.24</v>
      </c>
      <c r="O41" s="139" t="str">
        <f aca="false">IF(B41&lt;='VALOR POR PL'!$P$5,'CP RESUMO'!AN77,"")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HISTORICOS'!AO35)</f>
        <v>0</v>
      </c>
      <c r="D42" s="45" t="n">
        <f aca="false">IF(B42&lt;='VALOR POR PL'!$P$5,0,IF($K$17&gt;0,$K$18*P42/$K$17,0))</f>
        <v>17255.1228283412</v>
      </c>
      <c r="E42" s="45" t="n">
        <f aca="false">L42+D42/$K$2</f>
        <v>13.3050113219722</v>
      </c>
      <c r="F42" s="117" t="n">
        <f aca="false">IF($K$9=0,0,E42/$K$9)</f>
        <v>0.151499974518466</v>
      </c>
      <c r="G42" s="117" t="n">
        <f aca="false">G41+F42</f>
        <v>0.151499974518466</v>
      </c>
      <c r="H42" s="138" t="n">
        <v>17063.53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RESUMO'!AO35</f>
        <v>57.58</v>
      </c>
      <c r="N42" s="140" t="n">
        <f aca="false">MAX(0,M42-M41)</f>
        <v>31.82</v>
      </c>
      <c r="O42" s="139" t="str">
        <f aca="false">IF(B42&lt;='VALOR POR PL'!$P$5,'CP RESUMO'!AO77,"")</f>
        <v/>
      </c>
      <c r="P42" s="66" t="n">
        <f aca="false">IF(B42&lt;='VALOR POR PL'!$P$5,0,IF(OR($K$16="CURVA PREVISION",$K$16="MDO PREVISION + MATERIAL PREMISSA"),N42,IF($K$16="PREVISÃO INFORMADA",MAX(0,H42),0)))</f>
        <v>17063.53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HISTORICOS'!AP35)</f>
        <v>0</v>
      </c>
      <c r="D43" s="45" t="n">
        <f aca="false">IF(B43&lt;='VALOR POR PL'!$P$5,0,IF($K$17&gt;0,$K$18*P43/$K$17,0))</f>
        <v>36241.4582329133</v>
      </c>
      <c r="E43" s="45" t="n">
        <f aca="false">L43+D43/$K$2</f>
        <v>27.9449191356495</v>
      </c>
      <c r="F43" s="117" t="n">
        <f aca="false">IF($K$9=0,0,E43/$K$9)</f>
        <v>0.318199995063508</v>
      </c>
      <c r="G43" s="117" t="n">
        <f aca="false">G42+F43</f>
        <v>0.469699969581973</v>
      </c>
      <c r="H43" s="138" t="n">
        <v>35839.05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RESUMO'!AP35</f>
        <v>89.39</v>
      </c>
      <c r="N43" s="140" t="n">
        <f aca="false">MAX(0,M43-M42)</f>
        <v>31.81</v>
      </c>
      <c r="O43" s="139" t="str">
        <f aca="false">IF(B43&lt;='VALOR POR PL'!$P$5,'CP RESUMO'!AP77,"")</f>
        <v/>
      </c>
      <c r="P43" s="66" t="n">
        <f aca="false">IF(B43&lt;='VALOR POR PL'!$P$5,0,IF(OR($K$16="CURVA PREVISION",$K$16="MDO PREVISION + MATERIAL PREMISSA"),N43,IF($K$16="PREVISÃO INFORMADA",MAX(0,H43),0)))</f>
        <v>35839.05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HISTORICOS'!AQ35)</f>
        <v>0</v>
      </c>
      <c r="D44" s="45" t="n">
        <f aca="false">IF(B44&lt;='VALOR POR PL'!$P$5,0,IF($K$17&gt;0,$K$18*P44/$K$17,0))</f>
        <v>36241.4582329133</v>
      </c>
      <c r="E44" s="45" t="n">
        <f aca="false">L44+D44/$K$2</f>
        <v>27.9449191356495</v>
      </c>
      <c r="F44" s="117" t="n">
        <f aca="false">IF($K$9=0,0,E44/$K$9)</f>
        <v>0.318199995063508</v>
      </c>
      <c r="G44" s="117" t="n">
        <f aca="false">G43+F44</f>
        <v>0.787899964645481</v>
      </c>
      <c r="H44" s="138" t="n">
        <v>35839.05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RESUMO'!AQ35</f>
        <v>100</v>
      </c>
      <c r="N44" s="140" t="n">
        <f aca="false">MAX(0,M44-M43)</f>
        <v>10.61</v>
      </c>
      <c r="O44" s="139" t="str">
        <f aca="false">IF(B44&lt;='VALOR POR PL'!$P$5,'CP RESUMO'!AQ77,"")</f>
        <v/>
      </c>
      <c r="P44" s="66" t="n">
        <f aca="false">IF(B44&lt;='VALOR POR PL'!$P$5,0,IF(OR($K$16="CURVA PREVISION",$K$16="MDO PREVISION + MATERIAL PREMISSA"),N44,IF($K$16="PREVISÃO INFORMADA",MAX(0,H44),0)))</f>
        <v>35839.05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HISTORICOS'!AR35)</f>
        <v>0</v>
      </c>
      <c r="D45" s="45" t="n">
        <f aca="false">IF(B45&lt;='VALOR POR PL'!$P$5,0,IF($K$17&gt;0,$K$18*P45/$K$17,0))</f>
        <v>24157.1800495034</v>
      </c>
      <c r="E45" s="45" t="n">
        <f aca="false">L45+D45/$K$2</f>
        <v>18.6270220886316</v>
      </c>
      <c r="F45" s="117" t="n">
        <f aca="false">IF($K$9=0,0,E45/$K$9)</f>
        <v>0.212100035354519</v>
      </c>
      <c r="G45" s="117" t="n">
        <f aca="false">G44+F45</f>
        <v>1</v>
      </c>
      <c r="H45" s="138" t="n">
        <v>23888.95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RESUMO'!AR35</f>
        <v>100</v>
      </c>
      <c r="N45" s="140" t="n">
        <f aca="false">MAX(0,M45-M44)</f>
        <v>0</v>
      </c>
      <c r="O45" s="139" t="str">
        <f aca="false">IF(B45&lt;='VALOR POR PL'!$P$5,'CP RESUMO'!AR77,"")</f>
        <v/>
      </c>
      <c r="P45" s="66" t="n">
        <f aca="false">IF(B45&lt;='VALOR POR PL'!$P$5,0,IF(OR($K$16="CURVA PREVISION",$K$16="MDO PREVISION + MATERIAL PREMISSA"),N45,IF($K$16="PREVISÃO INFORMADA",MAX(0,H45),0)))</f>
        <v>23888.95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HISTORICOS'!AS35)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RESUMO'!AS35</f>
        <v>100</v>
      </c>
      <c r="N46" s="140" t="n">
        <f aca="false">MAX(0,M46-M45)</f>
        <v>0</v>
      </c>
      <c r="O46" s="139" t="str">
        <f aca="false">IF(B46&lt;='VALOR POR PL'!$P$5,'CP RESUMO'!AS77,"")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HISTORICOS'!AT35)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RESUMO'!AT35</f>
        <v>100</v>
      </c>
      <c r="N47" s="140" t="n">
        <f aca="false">MAX(0,M47-M46)</f>
        <v>0</v>
      </c>
      <c r="O47" s="139" t="str">
        <f aca="false">IF(B47&lt;='VALOR POR PL'!$P$5,'CP RESUMO'!AT77,"")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HISTORICOS'!AU35)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RESUMO'!AU35</f>
        <v>100</v>
      </c>
      <c r="N48" s="140" t="n">
        <f aca="false">MAX(0,M48-M47)</f>
        <v>0</v>
      </c>
      <c r="O48" s="139" t="str">
        <f aca="false">IF(B48&lt;='VALOR POR PL'!$P$5,'CP RESUMO'!AU77,"")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HISTORICOS'!AV35)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RESUMO'!AV35</f>
        <v>100</v>
      </c>
      <c r="N49" s="140" t="n">
        <f aca="false">MAX(0,M49-M48)</f>
        <v>0</v>
      </c>
      <c r="O49" s="139" t="str">
        <f aca="false">IF(B49&lt;='VALOR POR PL'!$P$5,'CP RESUMO'!AV77,"")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HISTORICOS'!AW35)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RESUMO'!AW35</f>
        <v>100</v>
      </c>
      <c r="N50" s="140" t="n">
        <f aca="false">MAX(0,M50-M49)</f>
        <v>0</v>
      </c>
      <c r="O50" s="139" t="str">
        <f aca="false">IF(B50&lt;='VALOR POR PL'!$P$5,'CP RESUMO'!AW77,"")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RESUMO'!AX35</f>
        <v>100</v>
      </c>
      <c r="N51" s="140" t="n">
        <f aca="false">MAX(0,M51-M50)</f>
        <v>0</v>
      </c>
      <c r="O51" s="139" t="str">
        <f aca="false">IF(B51&lt;='VALOR POR PL'!$P$5,'CP RESUMO'!AX77,"")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RESUMO'!AY35</f>
        <v>100</v>
      </c>
      <c r="N52" s="140" t="n">
        <f aca="false">MAX(0,M52-M51)</f>
        <v>0</v>
      </c>
      <c r="O52" s="139" t="str">
        <f aca="false">IF(B52&lt;='VALOR POR PL'!$P$5,'CP RESUMO'!AY77,"")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RESUMO'!AZ35</f>
        <v>100</v>
      </c>
      <c r="N53" s="140" t="n">
        <f aca="false">MAX(0,M53-M52)</f>
        <v>0</v>
      </c>
      <c r="O53" s="139" t="str">
        <f aca="false">IF(B53&lt;='VALOR POR PL'!$P$5,'CP RESUMO'!AZ77,"")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RESUMO'!BA35</f>
        <v>100</v>
      </c>
      <c r="N54" s="140" t="n">
        <f aca="false">MAX(0,M54-M53)</f>
        <v>0</v>
      </c>
      <c r="O54" s="139" t="str">
        <f aca="false">IF(B54&lt;='VALOR POR PL'!$P$5,'CP RESUMO'!BA77,"")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RESUMO'!BB35</f>
        <v>100</v>
      </c>
      <c r="N55" s="140" t="n">
        <f aca="false">MAX(0,M55-M54)</f>
        <v>0</v>
      </c>
      <c r="O55" s="139" t="str">
        <f aca="false">IF(B55&lt;='VALOR POR PL'!$P$5,'CP RESUMO'!BB77,"")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RESUMO'!BC35</f>
        <v>100</v>
      </c>
      <c r="N56" s="140" t="n">
        <f aca="false">MAX(0,M56-M55)</f>
        <v>0</v>
      </c>
      <c r="O56" s="139" t="str">
        <f aca="false">IF(B56&lt;='VALOR POR PL'!$P$5,'CP RESUMO'!BC77,"")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RESUMO'!BD35</f>
        <v>100</v>
      </c>
      <c r="N57" s="140" t="n">
        <f aca="false">MAX(0,M57-M56)</f>
        <v>0</v>
      </c>
      <c r="O57" s="139" t="str">
        <f aca="false">IF(B57&lt;='VALOR POR PL'!$P$5,'CP RESUMO'!BD77,"")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RESUMO'!BE35</f>
        <v>100</v>
      </c>
      <c r="N58" s="140" t="n">
        <f aca="false">MAX(0,M58-M57)</f>
        <v>0</v>
      </c>
      <c r="O58" s="139" t="str">
        <f aca="false">IF(B58&lt;='VALOR POR PL'!$P$5,'CP RESUMO'!BE77,"")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RESUMO'!BF35</f>
        <v>100</v>
      </c>
      <c r="N59" s="140" t="n">
        <f aca="false">MAX(0,M59-M58)</f>
        <v>0</v>
      </c>
      <c r="O59" s="139" t="str">
        <f aca="false">IF(B59&lt;='VALOR POR PL'!$P$5,'CP RESUMO'!BF77,"")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RESUMO'!BG35</f>
        <v>100</v>
      </c>
      <c r="N60" s="140" t="n">
        <f aca="false">MAX(0,M60-M59)</f>
        <v>0</v>
      </c>
      <c r="O60" s="139" t="str">
        <f aca="false">IF(B60&lt;='VALOR POR PL'!$P$5,'CP RESUMO'!BG77,"")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RESUMO'!BH35</f>
        <v>100</v>
      </c>
      <c r="N61" s="140" t="n">
        <f aca="false">MAX(0,M61-M60)</f>
        <v>0</v>
      </c>
      <c r="O61" s="139" t="str">
        <f aca="false">IF(B61&lt;='VALOR POR PL'!$P$5,'CP RESUMO'!BH77,"")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RESUMO'!BI35</f>
        <v>100</v>
      </c>
      <c r="N62" s="140" t="n">
        <f aca="false">MAX(0,M62-M61)</f>
        <v>0</v>
      </c>
      <c r="O62" s="139" t="str">
        <f aca="false">IF(B62&lt;='VALOR POR PL'!$P$5,'CP RESUMO'!BI77,"")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RESUMO'!BJ35</f>
        <v>100</v>
      </c>
      <c r="N63" s="140" t="n">
        <f aca="false">MAX(0,M63-M62)</f>
        <v>0</v>
      </c>
      <c r="O63" s="139" t="str">
        <f aca="false">IF(B63&lt;='VALOR POR PL'!$P$5,'CP RESUMO'!BJ77,"")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RESUMO'!BK35</f>
        <v>100</v>
      </c>
      <c r="N64" s="140" t="n">
        <f aca="false">MAX(0,M64-M63)</f>
        <v>0</v>
      </c>
      <c r="O64" s="139" t="str">
        <f aca="false">IF(B64&lt;='VALOR POR PL'!$P$5,'CP RESUMO'!BK77,"")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RESUMO'!BL35</f>
        <v>100</v>
      </c>
      <c r="N65" s="140" t="n">
        <f aca="false">MAX(0,M65-M64)</f>
        <v>0</v>
      </c>
      <c r="O65" s="139" t="str">
        <f aca="false">IF(B65&lt;='VALOR POR PL'!$P$5,'CP RESUMO'!BL77,"")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RESUMO'!BM35</f>
        <v>100</v>
      </c>
      <c r="N66" s="140" t="n">
        <f aca="false">MAX(0,M66-M65)</f>
        <v>0</v>
      </c>
      <c r="O66" s="139" t="str">
        <f aca="false">IF(B66&lt;='VALOR POR PL'!$P$5,'CP RESUMO'!BM77,"")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RESUMO'!BN35</f>
        <v>100</v>
      </c>
      <c r="N67" s="140" t="n">
        <f aca="false">MAX(0,M67-M66)</f>
        <v>0</v>
      </c>
      <c r="O67" s="139" t="str">
        <f aca="false">IF(B67&lt;='VALOR POR PL'!$P$5,'CP RESUMO'!BN77,"")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RESUMO'!BO35</f>
        <v>100</v>
      </c>
      <c r="N68" s="140" t="n">
        <f aca="false">MAX(0,M68-M67)</f>
        <v>0</v>
      </c>
      <c r="O68" s="139" t="str">
        <f aca="false">IF(B68&lt;='VALOR POR PL'!$P$5,'CP RESUMO'!BO77,"")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RESUMO'!BP35</f>
        <v>100</v>
      </c>
      <c r="N69" s="140" t="n">
        <f aca="false">MAX(0,M69-M68)</f>
        <v>0</v>
      </c>
      <c r="O69" s="139" t="str">
        <f aca="false">IF(B69&lt;='VALOR POR PL'!$P$5,'CP RESUMO'!BP77,"")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RESUMO'!BQ35</f>
        <v>100</v>
      </c>
      <c r="N70" s="140" t="n">
        <f aca="false">MAX(0,M70-M69)</f>
        <v>0</v>
      </c>
      <c r="O70" s="139" t="str">
        <f aca="false">IF(B70&lt;='VALOR POR PL'!$P$5,'CP RESUMO'!BQ77,"")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RESUMO'!BR35</f>
        <v>100</v>
      </c>
      <c r="N71" s="140" t="n">
        <f aca="false">MAX(0,M71-M70)</f>
        <v>0</v>
      </c>
      <c r="O71" s="139" t="str">
        <f aca="false">IF(B71&lt;='VALOR POR PL'!$P$5,'CP RESUMO'!BR77,"")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RESUMO'!BS35</f>
        <v>100</v>
      </c>
      <c r="N72" s="140" t="n">
        <f aca="false">MAX(0,M72-M71)</f>
        <v>0</v>
      </c>
      <c r="O72" s="139" t="str">
        <f aca="false">IF(B72&lt;='VALOR POR PL'!$P$5,'CP RESUMO'!BS77,"")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RESUMO'!BT35</f>
        <v>100</v>
      </c>
      <c r="N73" s="140" t="n">
        <f aca="false">MAX(0,M73-M72)</f>
        <v>0</v>
      </c>
      <c r="O73" s="139" t="str">
        <f aca="false">IF(B73&lt;='VALOR POR PL'!$P$5,'CP RESUMO'!BT77,"")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RESUMO'!BU35</f>
        <v>100</v>
      </c>
      <c r="N74" s="140" t="n">
        <f aca="false">MAX(0,M74-M73)</f>
        <v>0</v>
      </c>
      <c r="O74" s="139" t="str">
        <f aca="false">IF(B74&lt;='VALOR POR PL'!$P$5,'CP RESUMO'!BU77,"")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RESUMO'!BV35</f>
        <v>100</v>
      </c>
      <c r="N75" s="140" t="n">
        <f aca="false">MAX(0,M75-M74)</f>
        <v>0</v>
      </c>
      <c r="O75" s="139" t="str">
        <f aca="false">IF(B75&lt;='VALOR POR PL'!$P$5,'CP RESUMO'!BV77,"")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RESUMO'!BW35</f>
        <v>100</v>
      </c>
      <c r="N76" s="140" t="n">
        <f aca="false">MAX(0,M76-M75)</f>
        <v>0</v>
      </c>
      <c r="O76" s="139" t="str">
        <f aca="false">IF(B76&lt;='VALOR POR PL'!$P$5,'CP RESUMO'!BW77,"")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113895.219343671</v>
      </c>
      <c r="E78" s="61" t="n">
        <f aca="false">SUM(E5:E76)</f>
        <v>87.8218716819027</v>
      </c>
      <c r="F78" s="145" t="n">
        <f aca="false">SUM(F5:F76)</f>
        <v>1</v>
      </c>
      <c r="H78" s="61" t="n">
        <f aca="false">SUM(H5:H76)</f>
        <v>112630.58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1.4210854715202E-014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PL'!D42</f>
        <v>REVESTIMENTO DIVERSOS - FACHADA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PL'!F42</f>
        <v>5055622.3</v>
      </c>
      <c r="K5" s="56" t="n">
        <f aca="false">'VALOR POR PL'!G42</f>
        <v>4155.171665</v>
      </c>
      <c r="L5" s="56" t="n">
        <f aca="false">'DADOS HISTORICOS'!$BZ$36</f>
        <v>0</v>
      </c>
      <c r="M5" s="139" t="n">
        <f aca="false">'CP RESUMO'!D36</f>
        <v>0</v>
      </c>
      <c r="N5" s="140" t="n">
        <v>0</v>
      </c>
      <c r="O5" s="139" t="n">
        <f aca="false">IF(B5&lt;='VALOR POR PL'!$P$5,'CP RESUMO'!D78,"")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PL'!H42</f>
        <v>4155.171665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RESUMO'!E36</f>
        <v>0</v>
      </c>
      <c r="N6" s="140" t="n">
        <f aca="false">MAX(0,M6-M5)</f>
        <v>0</v>
      </c>
      <c r="O6" s="139" t="n">
        <f aca="false">IF(B6&lt;='VALOR POR PL'!$P$5,'CP RESUMO'!E78,"")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5386665.46147319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RESUMO'!F36</f>
        <v>0</v>
      </c>
      <c r="N7" s="140" t="n">
        <f aca="false">MAX(0,M7-M6)</f>
        <v>0</v>
      </c>
      <c r="O7" s="139" t="n">
        <f aca="false">IF(B7&lt;='VALOR POR PL'!$P$5,'CP RESUMO'!F78,"")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RESUMO'!G36</f>
        <v>0</v>
      </c>
      <c r="N8" s="140" t="n">
        <f aca="false">MAX(0,M8-M7)</f>
        <v>0</v>
      </c>
      <c r="O8" s="139" t="n">
        <f aca="false">IF(B8&lt;='VALOR POR PL'!$P$5,'CP RESUMO'!G78,"")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5386665.46147319</v>
      </c>
      <c r="K9" s="45" t="n">
        <f aca="false">E78</f>
        <v>4153.52852979183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RESUMO'!H36</f>
        <v>0</v>
      </c>
      <c r="N9" s="140" t="n">
        <f aca="false">MAX(0,M9-M8)</f>
        <v>0</v>
      </c>
      <c r="O9" s="139" t="n">
        <f aca="false">IF(B9&lt;='VALOR POR PL'!$P$5,'CP RESUMO'!H78,"")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4153.52852979183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RESUMO'!I36</f>
        <v>0</v>
      </c>
      <c r="N10" s="140" t="n">
        <f aca="false">MAX(0,M10-M9)</f>
        <v>0</v>
      </c>
      <c r="O10" s="139" t="n">
        <f aca="false">IF(B10&lt;='VALOR POR PL'!$P$5,'CP RESUMO'!I78,"")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5326854.95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RESUMO'!J36</f>
        <v>0</v>
      </c>
      <c r="N11" s="140" t="n">
        <f aca="false">MAX(0,M11-M10)</f>
        <v>0</v>
      </c>
      <c r="O11" s="139" t="n">
        <f aca="false">IF(B11&lt;='VALOR POR PL'!$P$5,'CP RESUMO'!J78,"")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RESUMO'!K36</f>
        <v>0</v>
      </c>
      <c r="N12" s="140" t="n">
        <f aca="false">MAX(0,M12-M11)</f>
        <v>0</v>
      </c>
      <c r="O12" s="139" t="n">
        <f aca="false">IF(B12&lt;='VALOR POR PL'!$P$5,'CP RESUMO'!K78,"")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PL'!I42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RESUMO'!L36</f>
        <v>0</v>
      </c>
      <c r="N13" s="140" t="n">
        <f aca="false">MAX(0,M13-M12)</f>
        <v>0</v>
      </c>
      <c r="O13" s="139" t="n">
        <f aca="false">IF(B13&lt;='VALOR POR PL'!$P$5,'CP RESUMO'!L78,"")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HISTORICOS'!M36)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RESUMO'!$D$78:$BW$78,MATCH('VALOR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RESUMO'!M36</f>
        <v>0</v>
      </c>
      <c r="N14" s="140" t="n">
        <f aca="false">MAX(0,M14-M13)</f>
        <v>0</v>
      </c>
      <c r="O14" s="139" t="n">
        <f aca="false">IF(B14&lt;='VALOR POR PL'!$P$5,'CP RESUMO'!M78,"")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RESUMO'!N36</f>
        <v>0</v>
      </c>
      <c r="N15" s="140" t="n">
        <f aca="false">MAX(0,M15-M14)</f>
        <v>0</v>
      </c>
      <c r="O15" s="139" t="n">
        <f aca="false">IF(B15&lt;='VALOR POR PL'!$P$5,'CP RESUMO'!N78,"")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RESUMO'!O36</f>
        <v>0</v>
      </c>
      <c r="N16" s="140" t="n">
        <f aca="false">MAX(0,M16-M15)</f>
        <v>0</v>
      </c>
      <c r="O16" s="139" t="n">
        <f aca="false">IF(B16&lt;='VALOR POR PL'!$P$5,'CP RESUMO'!O78,"")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5326854.95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RESUMO'!P36</f>
        <v>0</v>
      </c>
      <c r="N17" s="140" t="n">
        <f aca="false">MAX(0,M17-M16)</f>
        <v>0</v>
      </c>
      <c r="O17" s="139" t="n">
        <f aca="false">IF(B17&lt;='VALOR POR PL'!$P$5,'CP RESUMO'!P78,"")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5386665.46147319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RESUMO'!Q36</f>
        <v>0</v>
      </c>
      <c r="N18" s="140" t="n">
        <f aca="false">MAX(0,M18-M17)</f>
        <v>0</v>
      </c>
      <c r="O18" s="139" t="n">
        <f aca="false">IF(B18&lt;='VALOR POR PL'!$P$5,'CP RESUMO'!Q78,"")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0.0112281096509286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RESUMO'!R36</f>
        <v>0</v>
      </c>
      <c r="N19" s="140" t="n">
        <f aca="false">MAX(0,M19-M18)</f>
        <v>0</v>
      </c>
      <c r="O19" s="139" t="n">
        <f aca="false">IF(B19&lt;='VALOR POR PL'!$P$5,'CP RESUMO'!R78,"")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RESUMO'!S36</f>
        <v>0</v>
      </c>
      <c r="N20" s="140" t="n">
        <f aca="false">MAX(0,M20-M19)</f>
        <v>0</v>
      </c>
      <c r="O20" s="139" t="n">
        <f aca="false">IF(B20&lt;='VALOR POR PL'!$P$5,'CP RESUMO'!S78,"")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RESUMO'!T36</f>
        <v>0</v>
      </c>
      <c r="N21" s="140" t="n">
        <f aca="false">MAX(0,M21-M20)</f>
        <v>0</v>
      </c>
      <c r="O21" s="139" t="n">
        <f aca="false">IF(B21&lt;='VALOR POR PL'!$P$5,'CP RESUMO'!T78,"")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RESUMO'!U36</f>
        <v>0</v>
      </c>
      <c r="N22" s="140" t="n">
        <f aca="false">MAX(0,M22-M21)</f>
        <v>0</v>
      </c>
      <c r="O22" s="139" t="n">
        <f aca="false">IF(B22&lt;='VALOR POR PL'!$P$5,'CP RESUMO'!U78,"")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RESUMO'!V36</f>
        <v>0</v>
      </c>
      <c r="N23" s="140" t="n">
        <f aca="false">MAX(0,M23-M22)</f>
        <v>0</v>
      </c>
      <c r="O23" s="139" t="n">
        <f aca="false">IF(B23&lt;='VALOR POR PL'!$P$5,'CP RESUMO'!V78,"")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RESUMO'!W36</f>
        <v>0</v>
      </c>
      <c r="N24" s="140" t="n">
        <f aca="false">MAX(0,M24-M23)</f>
        <v>0</v>
      </c>
      <c r="O24" s="139" t="n">
        <f aca="false">IF(B24&lt;='VALOR POR PL'!$P$5,'CP RESUMO'!W78,"")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RESUMO'!X36</f>
        <v>0</v>
      </c>
      <c r="N25" s="140" t="n">
        <f aca="false">MAX(0,M25-M24)</f>
        <v>0</v>
      </c>
      <c r="O25" s="139" t="n">
        <f aca="false">IF(B25&lt;='VALOR POR PL'!$P$5,'CP RESUMO'!X78,"")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HISTORICOS'!Y36)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RESUMO'!Y36</f>
        <v>0</v>
      </c>
      <c r="N26" s="140" t="n">
        <f aca="false">MAX(0,M26-M25)</f>
        <v>0</v>
      </c>
      <c r="O26" s="139" t="str">
        <f aca="false">IF(B26&lt;='VALOR POR PL'!$P$5,'CP RESUMO'!Y78,"")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HISTORICOS'!Z36)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RESUMO'!Z36</f>
        <v>0</v>
      </c>
      <c r="N27" s="140" t="n">
        <f aca="false">MAX(0,M27-M26)</f>
        <v>0</v>
      </c>
      <c r="O27" s="139" t="str">
        <f aca="false">IF(B27&lt;='VALOR POR PL'!$P$5,'CP RESUMO'!Z78,"")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HISTORICOS'!AA36)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RESUMO'!AA36</f>
        <v>0</v>
      </c>
      <c r="N28" s="140" t="n">
        <f aca="false">MAX(0,M28-M27)</f>
        <v>0</v>
      </c>
      <c r="O28" s="139" t="str">
        <f aca="false">IF(B28&lt;='VALOR POR PL'!$P$5,'CP RESUMO'!AA78,"")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HISTORICOS'!AB36)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RESUMO'!AB36</f>
        <v>0</v>
      </c>
      <c r="N29" s="140" t="n">
        <f aca="false">MAX(0,M29-M28)</f>
        <v>0</v>
      </c>
      <c r="O29" s="139" t="str">
        <f aca="false">IF(B29&lt;='VALOR POR PL'!$P$5,'CP RESUMO'!AB78,"")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HISTORICOS'!AC36)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RESUMO'!AC36</f>
        <v>0</v>
      </c>
      <c r="N30" s="140" t="n">
        <f aca="false">MAX(0,M30-M29)</f>
        <v>0</v>
      </c>
      <c r="O30" s="139" t="str">
        <f aca="false">IF(B30&lt;='VALOR POR PL'!$P$5,'CP RESUMO'!AC78,"")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HISTORICOS'!AD36)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RESUMO'!AD36</f>
        <v>0</v>
      </c>
      <c r="N31" s="140" t="n">
        <f aca="false">MAX(0,M31-M30)</f>
        <v>0</v>
      </c>
      <c r="O31" s="139" t="str">
        <f aca="false">IF(B31&lt;='VALOR POR PL'!$P$5,'CP RESUMO'!AD78,"")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HISTORICOS'!AE36)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RESUMO'!AE36</f>
        <v>0</v>
      </c>
      <c r="N32" s="140" t="n">
        <f aca="false">MAX(0,M32-M31)</f>
        <v>0</v>
      </c>
      <c r="O32" s="139" t="str">
        <f aca="false">IF(B32&lt;='VALOR POR PL'!$P$5,'CP RESUMO'!AE78,"")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HISTORICOS'!AF36)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RESUMO'!AF36</f>
        <v>0</v>
      </c>
      <c r="N33" s="140" t="n">
        <f aca="false">MAX(0,M33-M32)</f>
        <v>0</v>
      </c>
      <c r="O33" s="139" t="str">
        <f aca="false">IF(B33&lt;='VALOR POR PL'!$P$5,'CP RESUMO'!AF78,"")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HISTORICOS'!AG36)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RESUMO'!AG36</f>
        <v>0</v>
      </c>
      <c r="N34" s="140" t="n">
        <f aca="false">MAX(0,M34-M33)</f>
        <v>0</v>
      </c>
      <c r="O34" s="139" t="str">
        <f aca="false">IF(B34&lt;='VALOR POR PL'!$P$5,'CP RESUMO'!AG78,"")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HISTORICOS'!AH36)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RESUMO'!AH36</f>
        <v>0</v>
      </c>
      <c r="N35" s="140" t="n">
        <f aca="false">MAX(0,M35-M34)</f>
        <v>0</v>
      </c>
      <c r="O35" s="139" t="str">
        <f aca="false">IF(B35&lt;='VALOR POR PL'!$P$5,'CP RESUMO'!AH78,"")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HISTORICOS'!AI36)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RESUMO'!AI36</f>
        <v>0</v>
      </c>
      <c r="N36" s="140" t="n">
        <f aca="false">MAX(0,M36-M35)</f>
        <v>0</v>
      </c>
      <c r="O36" s="139" t="str">
        <f aca="false">IF(B36&lt;='VALOR POR PL'!$P$5,'CP RESUMO'!AI78,"")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HISTORICOS'!AJ36)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RESUMO'!AJ36</f>
        <v>2.34</v>
      </c>
      <c r="N37" s="140" t="n">
        <f aca="false">MAX(0,M37-M36)</f>
        <v>2.34</v>
      </c>
      <c r="O37" s="139" t="str">
        <f aca="false">IF(B37&lt;='VALOR POR PL'!$P$5,'CP RESUMO'!AJ78,"")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HISTORICOS'!AK36)</f>
        <v>0</v>
      </c>
      <c r="D38" s="45" t="n">
        <f aca="false">IF(B38&lt;='VALOR POR PL'!$P$5,0,IF($K$17&gt;0,$K$18*P38/$K$17,0))</f>
        <v>126047.976015294</v>
      </c>
      <c r="E38" s="45" t="n">
        <f aca="false">L38+D38/$K$2</f>
        <v>97.1925708486184</v>
      </c>
      <c r="F38" s="117" t="n">
        <f aca="false">IF($K$9=0,0,E38/$K$9)</f>
        <v>0.0234000007828259</v>
      </c>
      <c r="G38" s="117" t="n">
        <f aca="false">G37+F38</f>
        <v>0.0234000007828259</v>
      </c>
      <c r="H38" s="138" t="n">
        <v>124648.41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RESUMO'!AK36</f>
        <v>10.77</v>
      </c>
      <c r="N38" s="140" t="n">
        <f aca="false">MAX(0,M38-M37)</f>
        <v>8.43</v>
      </c>
      <c r="O38" s="139" t="str">
        <f aca="false">IF(B38&lt;='VALOR POR PL'!$P$5,'CP RESUMO'!AK78,"")</f>
        <v/>
      </c>
      <c r="P38" s="66" t="n">
        <f aca="false">IF(B38&lt;='VALOR POR PL'!$P$5,0,IF(OR($K$16="CURVA PREVISION",$K$16="MDO PREVISION + MATERIAL PREMISSA"),N38,IF($K$16="PREVISÃO INFORMADA",MAX(0,H38),0)))</f>
        <v>124648.41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HISTORICOS'!AL36)</f>
        <v>0</v>
      </c>
      <c r="D39" s="45" t="n">
        <f aca="false">IF(B39&lt;='VALOR POR PL'!$P$5,0,IF($K$17&gt;0,$K$18*P39/$K$17,0))</f>
        <v>346362.585850842</v>
      </c>
      <c r="E39" s="45" t="n">
        <f aca="false">L39+D39/$K$2</f>
        <v>267.071881904189</v>
      </c>
      <c r="F39" s="117" t="n">
        <f aca="false">IF($K$9=0,0,E39/$K$9)</f>
        <v>0.0642999993833134</v>
      </c>
      <c r="G39" s="117" t="n">
        <f aca="false">G38+F39</f>
        <v>0.0877000001661393</v>
      </c>
      <c r="H39" s="138" t="n">
        <v>342516.77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RESUMO'!AL36</f>
        <v>22.67</v>
      </c>
      <c r="N39" s="140" t="n">
        <f aca="false">MAX(0,M39-M38)</f>
        <v>11.9</v>
      </c>
      <c r="O39" s="139" t="str">
        <f aca="false">IF(B39&lt;='VALOR POR PL'!$P$5,'CP RESUMO'!AL78,"")</f>
        <v/>
      </c>
      <c r="P39" s="66" t="n">
        <f aca="false">IF(B39&lt;='VALOR POR PL'!$P$5,0,IF(OR($K$16="CURVA PREVISION",$K$16="MDO PREVISION + MATERIAL PREMISSA"),N39,IF($K$16="PREVISÃO INFORMADA",MAX(0,H39),0)))</f>
        <v>342516.77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HISTORICOS'!AM36)</f>
        <v>0</v>
      </c>
      <c r="D40" s="45" t="n">
        <f aca="false">IF(B40&lt;='VALOR POR PL'!$P$5,0,IF($K$17&gt;0,$K$18*P40/$K$17,0))</f>
        <v>425546.570394593</v>
      </c>
      <c r="E40" s="45" t="n">
        <f aca="false">L40+D40/$K$2</f>
        <v>328.128753034834</v>
      </c>
      <c r="F40" s="117" t="n">
        <f aca="false">IF($K$9=0,0,E40/$K$9)</f>
        <v>0.0789999998028856</v>
      </c>
      <c r="G40" s="117" t="n">
        <f aca="false">G39+F40</f>
        <v>0.166699999969025</v>
      </c>
      <c r="H40" s="138" t="n">
        <v>420821.54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RESUMO'!AM36</f>
        <v>32.55</v>
      </c>
      <c r="N40" s="140" t="n">
        <f aca="false">MAX(0,M40-M39)</f>
        <v>9.88</v>
      </c>
      <c r="O40" s="139" t="str">
        <f aca="false">IF(B40&lt;='VALOR POR PL'!$P$5,'CP RESUMO'!AM78,"")</f>
        <v/>
      </c>
      <c r="P40" s="66" t="n">
        <f aca="false">IF(B40&lt;='VALOR POR PL'!$P$5,0,IF(OR($K$16="CURVA PREVISION",$K$16="MDO PREVISION + MATERIAL PREMISSA"),N40,IF($K$16="PREVISÃO INFORMADA",MAX(0,H40),0)))</f>
        <v>420821.54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HISTORICOS'!AN36)</f>
        <v>0</v>
      </c>
      <c r="D41" s="45" t="n">
        <f aca="false">IF(B41&lt;='VALOR POR PL'!$P$5,0,IF($K$17&gt;0,$K$18*P41/$K$17,0))</f>
        <v>365215.912614893</v>
      </c>
      <c r="E41" s="45" t="n">
        <f aca="false">L41+D41/$K$2</f>
        <v>281.60922994558</v>
      </c>
      <c r="F41" s="117" t="n">
        <f aca="false">IF($K$9=0,0,E41/$K$9)</f>
        <v>0.0677999989468457</v>
      </c>
      <c r="G41" s="117" t="n">
        <f aca="false">G40+F41</f>
        <v>0.234499998915871</v>
      </c>
      <c r="H41" s="138" t="n">
        <v>361160.76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RESUMO'!AN36</f>
        <v>41.36</v>
      </c>
      <c r="N41" s="140" t="n">
        <f aca="false">MAX(0,M41-M40)</f>
        <v>8.81</v>
      </c>
      <c r="O41" s="139" t="str">
        <f aca="false">IF(B41&lt;='VALOR POR PL'!$P$5,'CP RESUMO'!AN78,"")</f>
        <v/>
      </c>
      <c r="P41" s="66" t="n">
        <f aca="false">IF(B41&lt;='VALOR POR PL'!$P$5,0,IF(OR($K$16="CURVA PREVISION",$K$16="MDO PREVISION + MATERIAL PREMISSA"),N41,IF($K$16="PREVISÃO INFORMADA",MAX(0,H41),0)))</f>
        <v>361160.76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HISTORICOS'!AO36)</f>
        <v>0</v>
      </c>
      <c r="D42" s="45" t="n">
        <f aca="false">IF(B42&lt;='VALOR POR PL'!$P$5,0,IF($K$17&gt;0,$K$18*P42/$K$17,0))</f>
        <v>281722.599706427</v>
      </c>
      <c r="E42" s="45" t="n">
        <f aca="false">L42+D42/$K$2</f>
        <v>217.229539078847</v>
      </c>
      <c r="F42" s="117" t="n">
        <f aca="false">IF($K$9=0,0,E42/$K$9)</f>
        <v>0.0522999992706766</v>
      </c>
      <c r="G42" s="117" t="n">
        <f aca="false">G41+F42</f>
        <v>0.286799998186547</v>
      </c>
      <c r="H42" s="138" t="n">
        <v>278594.51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RESUMO'!AO36</f>
        <v>49.37</v>
      </c>
      <c r="N42" s="140" t="n">
        <f aca="false">MAX(0,M42-M41)</f>
        <v>8.01</v>
      </c>
      <c r="O42" s="139" t="str">
        <f aca="false">IF(B42&lt;='VALOR POR PL'!$P$5,'CP RESUMO'!AO78,"")</f>
        <v/>
      </c>
      <c r="P42" s="66" t="n">
        <f aca="false">IF(B42&lt;='VALOR POR PL'!$P$5,0,IF(OR($K$16="CURVA PREVISION",$K$16="MDO PREVISION + MATERIAL PREMISSA"),N42,IF($K$16="PREVISÃO INFORMADA",MAX(0,H42),0)))</f>
        <v>278594.51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HISTORICOS'!AP36)</f>
        <v>0</v>
      </c>
      <c r="D43" s="45" t="n">
        <f aca="false">IF(B43&lt;='VALOR POR PL'!$P$5,0,IF($K$17&gt;0,$K$18*P43/$K$17,0))</f>
        <v>270410.607692909</v>
      </c>
      <c r="E43" s="45" t="n">
        <f aca="false">L43+D43/$K$2</f>
        <v>208.507133372948</v>
      </c>
      <c r="F43" s="117" t="n">
        <f aca="false">IF($K$9=0,0,E43/$K$9)</f>
        <v>0.0502000002834693</v>
      </c>
      <c r="G43" s="117" t="n">
        <f aca="false">G42+F43</f>
        <v>0.336999998470017</v>
      </c>
      <c r="H43" s="138" t="n">
        <v>267408.12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RESUMO'!AP36</f>
        <v>57.3</v>
      </c>
      <c r="N43" s="140" t="n">
        <f aca="false">MAX(0,M43-M42)</f>
        <v>7.93</v>
      </c>
      <c r="O43" s="139" t="str">
        <f aca="false">IF(B43&lt;='VALOR POR PL'!$P$5,'CP RESUMO'!AP78,"")</f>
        <v/>
      </c>
      <c r="P43" s="66" t="n">
        <f aca="false">IF(B43&lt;='VALOR POR PL'!$P$5,0,IF(OR($K$16="CURVA PREVISION",$K$16="MDO PREVISION + MATERIAL PREMISSA"),N43,IF($K$16="PREVISÃO INFORMADA",MAX(0,H43),0)))</f>
        <v>267408.12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HISTORICOS'!AQ36)</f>
        <v>0</v>
      </c>
      <c r="D44" s="45" t="n">
        <f aca="false">IF(B44&lt;='VALOR POR PL'!$P$5,0,IF($K$17&gt;0,$K$18*P44/$K$17,0))</f>
        <v>427162.573587501</v>
      </c>
      <c r="E44" s="45" t="n">
        <f aca="false">L44+D44/$K$2</f>
        <v>329.374814334536</v>
      </c>
      <c r="F44" s="117" t="n">
        <f aca="false">IF($K$9=0,0,E44/$K$9)</f>
        <v>0.0793000004627496</v>
      </c>
      <c r="G44" s="117" t="n">
        <f aca="false">G43+F44</f>
        <v>0.416299998932766</v>
      </c>
      <c r="H44" s="138" t="n">
        <v>422419.6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RESUMO'!AQ36</f>
        <v>63.38</v>
      </c>
      <c r="N44" s="140" t="n">
        <f aca="false">MAX(0,M44-M43)</f>
        <v>6.08000000000001</v>
      </c>
      <c r="O44" s="139" t="str">
        <f aca="false">IF(B44&lt;='VALOR POR PL'!$P$5,'CP RESUMO'!AQ78,"")</f>
        <v/>
      </c>
      <c r="P44" s="66" t="n">
        <f aca="false">IF(B44&lt;='VALOR POR PL'!$P$5,0,IF(OR($K$16="CURVA PREVISION",$K$16="MDO PREVISION + MATERIAL PREMISSA"),N44,IF($K$16="PREVISÃO INFORMADA",MAX(0,H44),0)))</f>
        <v>422419.6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HISTORICOS'!AR36)</f>
        <v>0</v>
      </c>
      <c r="D45" s="45" t="n">
        <f aca="false">IF(B45&lt;='VALOR POR PL'!$P$5,0,IF($K$17&gt;0,$K$18*P45/$K$17,0))</f>
        <v>363599.919534265</v>
      </c>
      <c r="E45" s="45" t="n">
        <f aca="false">L45+D45/$K$2</f>
        <v>280.363176443215</v>
      </c>
      <c r="F45" s="117" t="n">
        <f aca="false">IF($K$9=0,0,E45/$K$9)</f>
        <v>0.067500000164262</v>
      </c>
      <c r="G45" s="117" t="n">
        <f aca="false">G44+F45</f>
        <v>0.483799999097028</v>
      </c>
      <c r="H45" s="138" t="n">
        <v>359562.71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RESUMO'!AR36</f>
        <v>66</v>
      </c>
      <c r="N45" s="140" t="n">
        <f aca="false">MAX(0,M45-M44)</f>
        <v>2.62</v>
      </c>
      <c r="O45" s="139" t="str">
        <f aca="false">IF(B45&lt;='VALOR POR PL'!$P$5,'CP RESUMO'!AR78,"")</f>
        <v/>
      </c>
      <c r="P45" s="66" t="n">
        <f aca="false">IF(B45&lt;='VALOR POR PL'!$P$5,0,IF(OR($K$16="CURVA PREVISION",$K$16="MDO PREVISION + MATERIAL PREMISSA"),N45,IF($K$16="PREVISÃO INFORMADA",MAX(0,H45),0)))</f>
        <v>359562.71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HISTORICOS'!AS36)</f>
        <v>0</v>
      </c>
      <c r="D46" s="45" t="n">
        <f aca="false">IF(B46&lt;='VALOR POR PL'!$P$5,0,IF($K$17&gt;0,$K$18*P46/$K$17,0))</f>
        <v>302730.600765116</v>
      </c>
      <c r="E46" s="45" t="n">
        <f aca="false">L46+D46/$K$2</f>
        <v>233.428304785619</v>
      </c>
      <c r="F46" s="117" t="n">
        <f aca="false">IF($K$9=0,0,E46/$K$9)</f>
        <v>0.0562000003397877</v>
      </c>
      <c r="G46" s="117" t="n">
        <f aca="false">G45+F46</f>
        <v>0.539999999436816</v>
      </c>
      <c r="H46" s="138" t="n">
        <v>299369.25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RESUMO'!AS36</f>
        <v>69</v>
      </c>
      <c r="N46" s="140" t="n">
        <f aca="false">MAX(0,M46-M45)</f>
        <v>3</v>
      </c>
      <c r="O46" s="139" t="str">
        <f aca="false">IF(B46&lt;='VALOR POR PL'!$P$5,'CP RESUMO'!AS78,"")</f>
        <v/>
      </c>
      <c r="P46" s="66" t="n">
        <f aca="false">IF(B46&lt;='VALOR POR PL'!$P$5,0,IF(OR($K$16="CURVA PREVISION",$K$16="MDO PREVISION + MATERIAL PREMISSA"),N46,IF($K$16="PREVISÃO INFORMADA",MAX(0,H46),0)))</f>
        <v>299369.25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HISTORICOS'!AT36)</f>
        <v>0</v>
      </c>
      <c r="D47" s="45" t="n">
        <f aca="false">IF(B47&lt;='VALOR POR PL'!$P$5,0,IF($K$17&gt;0,$K$18*P47/$K$17,0))</f>
        <v>269333.27560173</v>
      </c>
      <c r="E47" s="45" t="n">
        <f aca="false">L47+D47/$K$2</f>
        <v>207.676428438926</v>
      </c>
      <c r="F47" s="117" t="n">
        <f aca="false">IF($K$9=0,0,E47/$K$9)</f>
        <v>0.0500000004693201</v>
      </c>
      <c r="G47" s="117" t="n">
        <f aca="false">G46+F47</f>
        <v>0.589999999906136</v>
      </c>
      <c r="H47" s="138" t="n">
        <v>266342.75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RESUMO'!AT36</f>
        <v>73.91</v>
      </c>
      <c r="N47" s="140" t="n">
        <f aca="false">MAX(0,M47-M46)</f>
        <v>4.91</v>
      </c>
      <c r="O47" s="139" t="str">
        <f aca="false">IF(B47&lt;='VALOR POR PL'!$P$5,'CP RESUMO'!AT78,"")</f>
        <v/>
      </c>
      <c r="P47" s="66" t="n">
        <f aca="false">IF(B47&lt;='VALOR POR PL'!$P$5,0,IF(OR($K$16="CURVA PREVISION",$K$16="MDO PREVISION + MATERIAL PREMISSA"),N47,IF($K$16="PREVISÃO INFORMADA",MAX(0,H47),0)))</f>
        <v>266342.75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HISTORICOS'!AU36)</f>
        <v>0</v>
      </c>
      <c r="D48" s="45" t="n">
        <f aca="false">IF(B48&lt;='VALOR POR PL'!$P$5,0,IF($K$17&gt;0,$K$18*P48/$K$17,0))</f>
        <v>318351.931255631</v>
      </c>
      <c r="E48" s="45" t="n">
        <f aca="false">L48+D48/$K$2</f>
        <v>245.473538024943</v>
      </c>
      <c r="F48" s="117" t="n">
        <f aca="false">IF($K$9=0,0,E48/$K$9)</f>
        <v>0.0591000004608723</v>
      </c>
      <c r="G48" s="117" t="n">
        <f aca="false">G47+F48</f>
        <v>0.649100000367008</v>
      </c>
      <c r="H48" s="138" t="n">
        <v>314817.13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RESUMO'!AU36</f>
        <v>81.55</v>
      </c>
      <c r="N48" s="140" t="n">
        <f aca="false">MAX(0,M48-M47)</f>
        <v>7.64</v>
      </c>
      <c r="O48" s="139" t="str">
        <f aca="false">IF(B48&lt;='VALOR POR PL'!$P$5,'CP RESUMO'!AU78,"")</f>
        <v/>
      </c>
      <c r="P48" s="66" t="n">
        <f aca="false">IF(B48&lt;='VALOR POR PL'!$P$5,0,IF(OR($K$16="CURVA PREVISION",$K$16="MDO PREVISION + MATERIAL PREMISSA"),N48,IF($K$16="PREVISÃO INFORMADA",MAX(0,H48),0)))</f>
        <v>314817.13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HISTORICOS'!AV36)</f>
        <v>0</v>
      </c>
      <c r="D49" s="45" t="n">
        <f aca="false">IF(B49&lt;='VALOR POR PL'!$P$5,0,IF($K$17&gt;0,$K$18*P49/$K$17,0))</f>
        <v>411541.243096987</v>
      </c>
      <c r="E49" s="45" t="n">
        <f aca="false">L49+D49/$K$2</f>
        <v>317.329581095211</v>
      </c>
      <c r="F49" s="117" t="n">
        <f aca="false">IF($K$9=0,0,E49/$K$9)</f>
        <v>0.076400000341665</v>
      </c>
      <c r="G49" s="117" t="n">
        <f aca="false">G48+F49</f>
        <v>0.725500000708673</v>
      </c>
      <c r="H49" s="138" t="n">
        <v>406971.72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RESUMO'!AV36</f>
        <v>93.22</v>
      </c>
      <c r="N49" s="140" t="n">
        <f aca="false">MAX(0,M49-M48)</f>
        <v>11.67</v>
      </c>
      <c r="O49" s="139" t="str">
        <f aca="false">IF(B49&lt;='VALOR POR PL'!$P$5,'CP RESUMO'!AV78,"")</f>
        <v/>
      </c>
      <c r="P49" s="66" t="n">
        <f aca="false">IF(B49&lt;='VALOR POR PL'!$P$5,0,IF(OR($K$16="CURVA PREVISION",$K$16="MDO PREVISION + MATERIAL PREMISSA"),N49,IF($K$16="PREVISÃO INFORMADA",MAX(0,H49),0)))</f>
        <v>406971.72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HISTORICOS'!AW36)</f>
        <v>0</v>
      </c>
      <c r="D50" s="45" t="n">
        <f aca="false">IF(B50&lt;='VALOR POR PL'!$P$5,0,IF($K$17&gt;0,$K$18*P50/$K$17,0))</f>
        <v>628623.856658999</v>
      </c>
      <c r="E50" s="45" t="n">
        <f aca="false">L50+D50/$K$2</f>
        <v>484.716777348716</v>
      </c>
      <c r="F50" s="117" t="n">
        <f aca="false">IF($K$9=0,0,E50/$K$9)</f>
        <v>0.116699999499705</v>
      </c>
      <c r="G50" s="117" t="n">
        <f aca="false">G49+F50</f>
        <v>0.842200000208378</v>
      </c>
      <c r="H50" s="138" t="n">
        <v>621643.97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RESUMO'!AW36</f>
        <v>93.4</v>
      </c>
      <c r="N50" s="140" t="n">
        <f aca="false">MAX(0,M50-M49)</f>
        <v>0.180000000000007</v>
      </c>
      <c r="O50" s="139" t="str">
        <f aca="false">IF(B50&lt;='VALOR POR PL'!$P$5,'CP RESUMO'!AW78,"")</f>
        <v/>
      </c>
      <c r="P50" s="66" t="n">
        <f aca="false">IF(B50&lt;='VALOR POR PL'!$P$5,0,IF(OR($K$16="CURVA PREVISION",$K$16="MDO PREVISION + MATERIAL PREMISSA"),N50,IF($K$16="PREVISÃO INFORMADA",MAX(0,H50),0)))</f>
        <v>621643.97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HISTORICOS'!AX36)</f>
        <v>0</v>
      </c>
      <c r="D51" s="45" t="n">
        <f aca="false">IF(B51&lt;='VALOR POR PL'!$P$5,0,IF($K$17&gt;0,$K$18*P51/$K$17,0))</f>
        <v>279029.27453462</v>
      </c>
      <c r="E51" s="45" t="n">
        <f aca="false">L51+D51/$K$2</f>
        <v>215.152780642461</v>
      </c>
      <c r="F51" s="117" t="n">
        <f aca="false">IF($K$9=0,0,E51/$K$9)</f>
        <v>0.0518000006739436</v>
      </c>
      <c r="G51" s="117" t="n">
        <f aca="false">G50+F51</f>
        <v>0.894000000882322</v>
      </c>
      <c r="H51" s="138" t="n">
        <v>275931.09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RESUMO'!AX36</f>
        <v>98.17</v>
      </c>
      <c r="N51" s="140" t="n">
        <f aca="false">MAX(0,M51-M50)</f>
        <v>4.77</v>
      </c>
      <c r="O51" s="139" t="str">
        <f aca="false">IF(B51&lt;='VALOR POR PL'!$P$5,'CP RESUMO'!AX78,"")</f>
        <v/>
      </c>
      <c r="P51" s="66" t="n">
        <f aca="false">IF(B51&lt;='VALOR POR PL'!$P$5,0,IF(OR($K$16="CURVA PREVISION",$K$16="MDO PREVISION + MATERIAL PREMISSA"),N51,IF($K$16="PREVISÃO INFORMADA",MAX(0,H51),0)))</f>
        <v>275931.09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HISTORICOS'!AY36)</f>
        <v>0</v>
      </c>
      <c r="D52" s="45" t="n">
        <f aca="false">IF(B52&lt;='VALOR POR PL'!$P$5,0,IF($K$17&gt;0,$K$18*P52/$K$17,0))</f>
        <v>256943.941384752</v>
      </c>
      <c r="E52" s="45" t="n">
        <f aca="false">L52+D52/$K$2</f>
        <v>198.123310001667</v>
      </c>
      <c r="F52" s="117" t="n">
        <f aca="false">IF($K$9=0,0,E52/$K$9)</f>
        <v>0.0476999997906832</v>
      </c>
      <c r="G52" s="117" t="n">
        <f aca="false">G51+F52</f>
        <v>0.941700000673005</v>
      </c>
      <c r="H52" s="138" t="n">
        <v>254090.98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RESUMO'!AY36</f>
        <v>99.49</v>
      </c>
      <c r="N52" s="140" t="n">
        <f aca="false">MAX(0,M52-M51)</f>
        <v>1.31999999999999</v>
      </c>
      <c r="O52" s="139" t="str">
        <f aca="false">IF(B52&lt;='VALOR POR PL'!$P$5,'CP RESUMO'!AY78,"")</f>
        <v/>
      </c>
      <c r="P52" s="66" t="n">
        <f aca="false">IF(B52&lt;='VALOR POR PL'!$P$5,0,IF(OR($K$16="CURVA PREVISION",$K$16="MDO PREVISION + MATERIAL PREMISSA"),N52,IF($K$16="PREVISÃO INFORMADA",MAX(0,H52),0)))</f>
        <v>254090.98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HISTORICOS'!AZ36)</f>
        <v>0</v>
      </c>
      <c r="D53" s="45" t="n">
        <f aca="false">IF(B53&lt;='VALOR POR PL'!$P$5,0,IF($K$17&gt;0,$K$18*P53/$K$17,0))</f>
        <v>178837.28893218</v>
      </c>
      <c r="E53" s="45" t="n">
        <f aca="false">L53+D53/$K$2</f>
        <v>137.897143805044</v>
      </c>
      <c r="F53" s="117" t="n">
        <f aca="false">IF($K$9=0,0,E53/$K$9)</f>
        <v>0.0331999991852603</v>
      </c>
      <c r="G53" s="117" t="n">
        <f aca="false">G52+F53</f>
        <v>0.974899999858265</v>
      </c>
      <c r="H53" s="138" t="n">
        <v>176851.58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RESUMO'!AZ36</f>
        <v>99.63</v>
      </c>
      <c r="N53" s="140" t="n">
        <f aca="false">MAX(0,M53-M52)</f>
        <v>0.140000000000001</v>
      </c>
      <c r="O53" s="139" t="str">
        <f aca="false">IF(B53&lt;='VALOR POR PL'!$P$5,'CP RESUMO'!AZ78,"")</f>
        <v/>
      </c>
      <c r="P53" s="66" t="n">
        <f aca="false">IF(B53&lt;='VALOR POR PL'!$P$5,0,IF(OR($K$16="CURVA PREVISION",$K$16="MDO PREVISION + MATERIAL PREMISSA"),N53,IF($K$16="PREVISÃO INFORMADA",MAX(0,H53),0)))</f>
        <v>176851.58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HISTORICOS'!BA36)</f>
        <v>0</v>
      </c>
      <c r="D54" s="45" t="n">
        <f aca="false">IF(B54&lt;='VALOR POR PL'!$P$5,0,IF($K$17&gt;0,$K$18*P54/$K$17,0))</f>
        <v>115274.644991225</v>
      </c>
      <c r="E54" s="45" t="n">
        <f aca="false">L54+D54/$K$2</f>
        <v>88.8855137110614</v>
      </c>
      <c r="F54" s="117" t="n">
        <f aca="false">IF($K$9=0,0,E54/$K$9)</f>
        <v>0.0214000007640531</v>
      </c>
      <c r="G54" s="117" t="n">
        <f aca="false">G53+F54</f>
        <v>0.996300000622318</v>
      </c>
      <c r="H54" s="138" t="n">
        <v>113994.7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RESUMO'!BA36</f>
        <v>99.83</v>
      </c>
      <c r="N54" s="140" t="n">
        <f aca="false">MAX(0,M54-M53)</f>
        <v>0.200000000000003</v>
      </c>
      <c r="O54" s="139" t="str">
        <f aca="false">IF(B54&lt;='VALOR POR PL'!$P$5,'CP RESUMO'!BA78,"")</f>
        <v/>
      </c>
      <c r="P54" s="66" t="n">
        <f aca="false">IF(B54&lt;='VALOR POR PL'!$P$5,0,IF(OR($K$16="CURVA PREVISION",$K$16="MDO PREVISION + MATERIAL PREMISSA"),N54,IF($K$16="PREVISÃO INFORMADA",MAX(0,H54),0)))</f>
        <v>113994.7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HISTORICOS'!BB36)</f>
        <v>0</v>
      </c>
      <c r="D55" s="45" t="n">
        <f aca="false">IF(B55&lt;='VALOR POR PL'!$P$5,0,IF($K$17&gt;0,$K$18*P55/$K$17,0))</f>
        <v>10773.3310240692</v>
      </c>
      <c r="E55" s="45" t="n">
        <f aca="false">L55+D55/$K$2</f>
        <v>8.30705713755703</v>
      </c>
      <c r="F55" s="117" t="n">
        <f aca="false">IF($K$9=0,0,E55/$K$9)</f>
        <v>0.0020000000187728</v>
      </c>
      <c r="G55" s="117" t="n">
        <f aca="false">G54+F55</f>
        <v>0.998300000641091</v>
      </c>
      <c r="H55" s="138" t="n">
        <v>10653.71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RESUMO'!BB36</f>
        <v>100</v>
      </c>
      <c r="N55" s="140" t="n">
        <f aca="false">MAX(0,M55-M54)</f>
        <v>0.170000000000002</v>
      </c>
      <c r="O55" s="139" t="str">
        <f aca="false">IF(B55&lt;='VALOR POR PL'!$P$5,'CP RESUMO'!BB78,"")</f>
        <v/>
      </c>
      <c r="P55" s="66" t="n">
        <f aca="false">IF(B55&lt;='VALOR POR PL'!$P$5,0,IF(OR($K$16="CURVA PREVISION",$K$16="MDO PREVISION + MATERIAL PREMISSA"),N55,IF($K$16="PREVISÃO INFORMADA",MAX(0,H55),0)))</f>
        <v>10653.71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HISTORICOS'!BC36)</f>
        <v>0</v>
      </c>
      <c r="D56" s="45" t="n">
        <f aca="false">IF(B56&lt;='VALOR POR PL'!$P$5,0,IF($K$17&gt;0,$K$18*P56/$K$17,0))</f>
        <v>9157.32783116043</v>
      </c>
      <c r="E56" s="45" t="n">
        <f aca="false">L56+D56/$K$2</f>
        <v>7.06099583785539</v>
      </c>
      <c r="F56" s="117" t="n">
        <f aca="false">IF($K$9=0,0,E56/$K$9)</f>
        <v>0.00169999935890877</v>
      </c>
      <c r="G56" s="117" t="n">
        <f aca="false">G55+F56</f>
        <v>1</v>
      </c>
      <c r="H56" s="138" t="n">
        <v>9055.65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RESUMO'!BC36</f>
        <v>100</v>
      </c>
      <c r="N56" s="140" t="n">
        <f aca="false">MAX(0,M56-M55)</f>
        <v>0</v>
      </c>
      <c r="O56" s="139" t="str">
        <f aca="false">IF(B56&lt;='VALOR POR PL'!$P$5,'CP RESUMO'!BC78,"")</f>
        <v/>
      </c>
      <c r="P56" s="66" t="n">
        <f aca="false">IF(B56&lt;='VALOR POR PL'!$P$5,0,IF(OR($K$16="CURVA PREVISION",$K$16="MDO PREVISION + MATERIAL PREMISSA"),N56,IF($K$16="PREVISÃO INFORMADA",MAX(0,H56),0)))</f>
        <v>9055.65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RESUMO'!BD36</f>
        <v>100</v>
      </c>
      <c r="N57" s="140" t="n">
        <f aca="false">MAX(0,M57-M56)</f>
        <v>0</v>
      </c>
      <c r="O57" s="139" t="str">
        <f aca="false">IF(B57&lt;='VALOR POR PL'!$P$5,'CP RESUMO'!BD78,"")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RESUMO'!BE36</f>
        <v>100</v>
      </c>
      <c r="N58" s="140" t="n">
        <f aca="false">MAX(0,M58-M57)</f>
        <v>0</v>
      </c>
      <c r="O58" s="139" t="str">
        <f aca="false">IF(B58&lt;='VALOR POR PL'!$P$5,'CP RESUMO'!BE78,"")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RESUMO'!BF36</f>
        <v>100</v>
      </c>
      <c r="N59" s="140" t="n">
        <f aca="false">MAX(0,M59-M58)</f>
        <v>0</v>
      </c>
      <c r="O59" s="139" t="str">
        <f aca="false">IF(B59&lt;='VALOR POR PL'!$P$5,'CP RESUMO'!BF78,"")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RESUMO'!BG36</f>
        <v>100</v>
      </c>
      <c r="N60" s="140" t="n">
        <f aca="false">MAX(0,M60-M59)</f>
        <v>0</v>
      </c>
      <c r="O60" s="139" t="str">
        <f aca="false">IF(B60&lt;='VALOR POR PL'!$P$5,'CP RESUMO'!BG78,"")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RESUMO'!BH36</f>
        <v>100</v>
      </c>
      <c r="N61" s="140" t="n">
        <f aca="false">MAX(0,M61-M60)</f>
        <v>0</v>
      </c>
      <c r="O61" s="139" t="str">
        <f aca="false">IF(B61&lt;='VALOR POR PL'!$P$5,'CP RESUMO'!BH78,"")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RESUMO'!BI36</f>
        <v>100</v>
      </c>
      <c r="N62" s="140" t="n">
        <f aca="false">MAX(0,M62-M61)</f>
        <v>0</v>
      </c>
      <c r="O62" s="139" t="str">
        <f aca="false">IF(B62&lt;='VALOR POR PL'!$P$5,'CP RESUMO'!BI78,"")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RESUMO'!BJ36</f>
        <v>100</v>
      </c>
      <c r="N63" s="140" t="n">
        <f aca="false">MAX(0,M63-M62)</f>
        <v>0</v>
      </c>
      <c r="O63" s="139" t="str">
        <f aca="false">IF(B63&lt;='VALOR POR PL'!$P$5,'CP RESUMO'!BJ78,"")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RESUMO'!BK36</f>
        <v>100</v>
      </c>
      <c r="N64" s="140" t="n">
        <f aca="false">MAX(0,M64-M63)</f>
        <v>0</v>
      </c>
      <c r="O64" s="139" t="str">
        <f aca="false">IF(B64&lt;='VALOR POR PL'!$P$5,'CP RESUMO'!BK78,"")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RESUMO'!BL36</f>
        <v>100</v>
      </c>
      <c r="N65" s="140" t="n">
        <f aca="false">MAX(0,M65-M64)</f>
        <v>0</v>
      </c>
      <c r="O65" s="139" t="str">
        <f aca="false">IF(B65&lt;='VALOR POR PL'!$P$5,'CP RESUMO'!BL78,"")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RESUMO'!BM36</f>
        <v>100</v>
      </c>
      <c r="N66" s="140" t="n">
        <f aca="false">MAX(0,M66-M65)</f>
        <v>0</v>
      </c>
      <c r="O66" s="139" t="str">
        <f aca="false">IF(B66&lt;='VALOR POR PL'!$P$5,'CP RESUMO'!BM78,"")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RESUMO'!BN36</f>
        <v>100</v>
      </c>
      <c r="N67" s="140" t="n">
        <f aca="false">MAX(0,M67-M66)</f>
        <v>0</v>
      </c>
      <c r="O67" s="139" t="str">
        <f aca="false">IF(B67&lt;='VALOR POR PL'!$P$5,'CP RESUMO'!BN78,"")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RESUMO'!BO36</f>
        <v>100</v>
      </c>
      <c r="N68" s="140" t="n">
        <f aca="false">MAX(0,M68-M67)</f>
        <v>0</v>
      </c>
      <c r="O68" s="139" t="str">
        <f aca="false">IF(B68&lt;='VALOR POR PL'!$P$5,'CP RESUMO'!BO78,"")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RESUMO'!BP36</f>
        <v>100</v>
      </c>
      <c r="N69" s="140" t="n">
        <f aca="false">MAX(0,M69-M68)</f>
        <v>0</v>
      </c>
      <c r="O69" s="139" t="str">
        <f aca="false">IF(B69&lt;='VALOR POR PL'!$P$5,'CP RESUMO'!BP78,"")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RESUMO'!BQ36</f>
        <v>100</v>
      </c>
      <c r="N70" s="140" t="n">
        <f aca="false">MAX(0,M70-M69)</f>
        <v>0</v>
      </c>
      <c r="O70" s="139" t="str">
        <f aca="false">IF(B70&lt;='VALOR POR PL'!$P$5,'CP RESUMO'!BQ78,"")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RESUMO'!BR36</f>
        <v>100</v>
      </c>
      <c r="N71" s="140" t="n">
        <f aca="false">MAX(0,M71-M70)</f>
        <v>0</v>
      </c>
      <c r="O71" s="139" t="str">
        <f aca="false">IF(B71&lt;='VALOR POR PL'!$P$5,'CP RESUMO'!BR78,"")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RESUMO'!BS36</f>
        <v>100</v>
      </c>
      <c r="N72" s="140" t="n">
        <f aca="false">MAX(0,M72-M71)</f>
        <v>0</v>
      </c>
      <c r="O72" s="139" t="str">
        <f aca="false">IF(B72&lt;='VALOR POR PL'!$P$5,'CP RESUMO'!BS78,"")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RESUMO'!BT36</f>
        <v>100</v>
      </c>
      <c r="N73" s="140" t="n">
        <f aca="false">MAX(0,M73-M72)</f>
        <v>0</v>
      </c>
      <c r="O73" s="139" t="str">
        <f aca="false">IF(B73&lt;='VALOR POR PL'!$P$5,'CP RESUMO'!BT78,"")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RESUMO'!BU36</f>
        <v>100</v>
      </c>
      <c r="N74" s="140" t="n">
        <f aca="false">MAX(0,M74-M73)</f>
        <v>0</v>
      </c>
      <c r="O74" s="139" t="str">
        <f aca="false">IF(B74&lt;='VALOR POR PL'!$P$5,'CP RESUMO'!BU78,"")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RESUMO'!BV36</f>
        <v>100</v>
      </c>
      <c r="N75" s="140" t="n">
        <f aca="false">MAX(0,M75-M74)</f>
        <v>0</v>
      </c>
      <c r="O75" s="139" t="str">
        <f aca="false">IF(B75&lt;='VALOR POR PL'!$P$5,'CP RESUMO'!BV78,"")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RESUMO'!BW36</f>
        <v>100</v>
      </c>
      <c r="N76" s="140" t="n">
        <f aca="false">MAX(0,M76-M75)</f>
        <v>0</v>
      </c>
      <c r="O76" s="139" t="str">
        <f aca="false">IF(B76&lt;='VALOR POR PL'!$P$5,'CP RESUMO'!BW78,"")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5386665.46147319</v>
      </c>
      <c r="E78" s="61" t="n">
        <f aca="false">SUM(E5:E76)</f>
        <v>4153.52852979183</v>
      </c>
      <c r="F78" s="145" t="n">
        <f aca="false">SUM(F5:F76)</f>
        <v>1</v>
      </c>
      <c r="H78" s="61" t="n">
        <f aca="false">SUM(H5:H76)</f>
        <v>5326854.95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PL'!D43</f>
        <v>FORRO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PL'!F43</f>
        <v>1690544.88</v>
      </c>
      <c r="K5" s="56" t="n">
        <f aca="false">'VALOR POR PL'!G43</f>
        <v>1389.444021</v>
      </c>
      <c r="L5" s="56" t="n">
        <f aca="false">'DADOS HISTORICOS'!$BZ$37</f>
        <v>0</v>
      </c>
      <c r="M5" s="139" t="n">
        <f aca="false">'CP RESUMO'!D37</f>
        <v>0</v>
      </c>
      <c r="N5" s="140" t="n">
        <v>0</v>
      </c>
      <c r="O5" s="139" t="n">
        <f aca="false">IF(B5&lt;='VALOR POR PL'!$P$5,'CP RESUMO'!D79,"")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PL'!H43</f>
        <v>1389.444021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RESUMO'!E37</f>
        <v>0</v>
      </c>
      <c r="N6" s="140" t="n">
        <f aca="false">MAX(0,M6-M5)</f>
        <v>0</v>
      </c>
      <c r="O6" s="139" t="n">
        <f aca="false">IF(B6&lt;='VALOR POR PL'!$P$5,'CP RESUMO'!E79,"")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1801242.09587166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RESUMO'!F37</f>
        <v>0</v>
      </c>
      <c r="N7" s="140" t="n">
        <f aca="false">MAX(0,M7-M6)</f>
        <v>0</v>
      </c>
      <c r="O7" s="139" t="n">
        <f aca="false">IF(B7&lt;='VALOR POR PL'!$P$5,'CP RESUMO'!F79,"")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RESUMO'!G37</f>
        <v>0</v>
      </c>
      <c r="N8" s="140" t="n">
        <f aca="false">MAX(0,M8-M7)</f>
        <v>0</v>
      </c>
      <c r="O8" s="139" t="n">
        <f aca="false">IF(B8&lt;='VALOR POR PL'!$P$5,'CP RESUMO'!G79,"")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1801242.09587166</v>
      </c>
      <c r="K9" s="45" t="n">
        <f aca="false">E78</f>
        <v>1388.8945745331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RESUMO'!H37</f>
        <v>0</v>
      </c>
      <c r="N9" s="140" t="n">
        <f aca="false">MAX(0,M9-M8)</f>
        <v>0</v>
      </c>
      <c r="O9" s="139" t="n">
        <f aca="false">IF(B9&lt;='VALOR POR PL'!$P$5,'CP RESUMO'!H79,"")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1388.8945745331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RESUMO'!I37</f>
        <v>0</v>
      </c>
      <c r="N10" s="140" t="n">
        <f aca="false">MAX(0,M10-M9)</f>
        <v>0</v>
      </c>
      <c r="O10" s="139" t="n">
        <f aca="false">IF(B10&lt;='VALOR POR PL'!$P$5,'CP RESUMO'!I79,"")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1781242.1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RESUMO'!J37</f>
        <v>0</v>
      </c>
      <c r="N11" s="140" t="n">
        <f aca="false">MAX(0,M11-M10)</f>
        <v>0</v>
      </c>
      <c r="O11" s="139" t="n">
        <f aca="false">IF(B11&lt;='VALOR POR PL'!$P$5,'CP RESUMO'!J79,"")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RESUMO'!K37</f>
        <v>0</v>
      </c>
      <c r="N12" s="140" t="n">
        <f aca="false">MAX(0,M12-M11)</f>
        <v>0</v>
      </c>
      <c r="O12" s="139" t="n">
        <f aca="false">IF(B12&lt;='VALOR POR PL'!$P$5,'CP RESUMO'!K79,"")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PL'!I43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RESUMO'!L37</f>
        <v>0</v>
      </c>
      <c r="N13" s="140" t="n">
        <f aca="false">MAX(0,M13-M12)</f>
        <v>0</v>
      </c>
      <c r="O13" s="139" t="n">
        <f aca="false">IF(B13&lt;='VALOR POR PL'!$P$5,'CP RESUMO'!L79,"")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RESUMO'!$D$79:$BW$79,MATCH('VALOR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RESUMO'!M37</f>
        <v>0</v>
      </c>
      <c r="N14" s="140" t="n">
        <f aca="false">MAX(0,M14-M13)</f>
        <v>0</v>
      </c>
      <c r="O14" s="139" t="n">
        <f aca="false">IF(B14&lt;='VALOR POR PL'!$P$5,'CP RESUMO'!M79,"")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RESUMO'!N37</f>
        <v>0</v>
      </c>
      <c r="N15" s="140" t="n">
        <f aca="false">MAX(0,M15-M14)</f>
        <v>0</v>
      </c>
      <c r="O15" s="139" t="n">
        <f aca="false">IF(B15&lt;='VALOR POR PL'!$P$5,'CP RESUMO'!N79,"")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RESUMO'!O37</f>
        <v>0</v>
      </c>
      <c r="N16" s="140" t="n">
        <f aca="false">MAX(0,M16-M15)</f>
        <v>0</v>
      </c>
      <c r="O16" s="139" t="n">
        <f aca="false">IF(B16&lt;='VALOR POR PL'!$P$5,'CP RESUMO'!O79,"")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1781242.1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RESUMO'!P37</f>
        <v>0</v>
      </c>
      <c r="N17" s="140" t="n">
        <f aca="false">MAX(0,M17-M16)</f>
        <v>0</v>
      </c>
      <c r="O17" s="139" t="n">
        <f aca="false">IF(B17&lt;='VALOR POR PL'!$P$5,'CP RESUMO'!P79,"")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1801242.09587166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RESUMO'!Q37</f>
        <v>0</v>
      </c>
      <c r="N18" s="140" t="n">
        <f aca="false">MAX(0,M18-M17)</f>
        <v>0</v>
      </c>
      <c r="O18" s="139" t="n">
        <f aca="false">IF(B18&lt;='VALOR POR PL'!$P$5,'CP RESUMO'!Q79,"")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0.0112281176554605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RESUMO'!R37</f>
        <v>0</v>
      </c>
      <c r="N19" s="140" t="n">
        <f aca="false">MAX(0,M19-M18)</f>
        <v>0</v>
      </c>
      <c r="O19" s="139" t="n">
        <f aca="false">IF(B19&lt;='VALOR POR PL'!$P$5,'CP RESUMO'!R79,"")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RESUMO'!S37</f>
        <v>0</v>
      </c>
      <c r="N20" s="140" t="n">
        <f aca="false">MAX(0,M20-M19)</f>
        <v>0</v>
      </c>
      <c r="O20" s="139" t="n">
        <f aca="false">IF(B20&lt;='VALOR POR PL'!$P$5,'CP RESUMO'!S79,"")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RESUMO'!T37</f>
        <v>0</v>
      </c>
      <c r="N21" s="140" t="n">
        <f aca="false">MAX(0,M21-M20)</f>
        <v>0</v>
      </c>
      <c r="O21" s="139" t="n">
        <f aca="false">IF(B21&lt;='VALOR POR PL'!$P$5,'CP RESUMO'!T79,"")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RESUMO'!U37</f>
        <v>0</v>
      </c>
      <c r="N22" s="140" t="n">
        <f aca="false">MAX(0,M22-M21)</f>
        <v>0</v>
      </c>
      <c r="O22" s="139" t="n">
        <f aca="false">IF(B22&lt;='VALOR POR PL'!$P$5,'CP RESUMO'!U79,"")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RESUMO'!V37</f>
        <v>0</v>
      </c>
      <c r="N23" s="140" t="n">
        <f aca="false">MAX(0,M23-M22)</f>
        <v>0</v>
      </c>
      <c r="O23" s="139" t="n">
        <f aca="false">IF(B23&lt;='VALOR POR PL'!$P$5,'CP RESUMO'!V79,"")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RESUMO'!W37</f>
        <v>0</v>
      </c>
      <c r="N24" s="140" t="n">
        <f aca="false">MAX(0,M24-M23)</f>
        <v>0</v>
      </c>
      <c r="O24" s="139" t="n">
        <f aca="false">IF(B24&lt;='VALOR POR PL'!$P$5,'CP RESUMO'!W79,"")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RESUMO'!X37</f>
        <v>0</v>
      </c>
      <c r="N25" s="140" t="n">
        <f aca="false">MAX(0,M25-M24)</f>
        <v>0</v>
      </c>
      <c r="O25" s="139" t="n">
        <f aca="false">IF(B25&lt;='VALOR POR PL'!$P$5,'CP RESUMO'!X79,"")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RESUMO'!Y37</f>
        <v>0</v>
      </c>
      <c r="N26" s="140" t="n">
        <f aca="false">MAX(0,M26-M25)</f>
        <v>0</v>
      </c>
      <c r="O26" s="139" t="str">
        <f aca="false">IF(B26&lt;='VALOR POR PL'!$P$5,'CP RESUMO'!Y79,"")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RESUMO'!Z37</f>
        <v>0</v>
      </c>
      <c r="N27" s="140" t="n">
        <f aca="false">MAX(0,M27-M26)</f>
        <v>0</v>
      </c>
      <c r="O27" s="139" t="str">
        <f aca="false">IF(B27&lt;='VALOR POR PL'!$P$5,'CP RESUMO'!Z79,"")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RESUMO'!AA37</f>
        <v>0</v>
      </c>
      <c r="N28" s="140" t="n">
        <f aca="false">MAX(0,M28-M27)</f>
        <v>0</v>
      </c>
      <c r="O28" s="139" t="str">
        <f aca="false">IF(B28&lt;='VALOR POR PL'!$P$5,'CP RESUMO'!AA79,"")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HISTORICOS'!AB37)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RESUMO'!AB37</f>
        <v>0</v>
      </c>
      <c r="N29" s="140" t="n">
        <f aca="false">MAX(0,M29-M28)</f>
        <v>0</v>
      </c>
      <c r="O29" s="139" t="str">
        <f aca="false">IF(B29&lt;='VALOR POR PL'!$P$5,'CP RESUMO'!AB79,"")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RESUMO'!AC37</f>
        <v>0</v>
      </c>
      <c r="N30" s="140" t="n">
        <f aca="false">MAX(0,M30-M29)</f>
        <v>0</v>
      </c>
      <c r="O30" s="139" t="str">
        <f aca="false">IF(B30&lt;='VALOR POR PL'!$P$5,'CP RESUMO'!AC79,"")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RESUMO'!AD37</f>
        <v>0</v>
      </c>
      <c r="N31" s="140" t="n">
        <f aca="false">MAX(0,M31-M30)</f>
        <v>0</v>
      </c>
      <c r="O31" s="139" t="str">
        <f aca="false">IF(B31&lt;='VALOR POR PL'!$P$5,'CP RESUMO'!AD79,"")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HISTORICOS'!AE37)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RESUMO'!AE37</f>
        <v>0</v>
      </c>
      <c r="N32" s="140" t="n">
        <f aca="false">MAX(0,M32-M31)</f>
        <v>0</v>
      </c>
      <c r="O32" s="139" t="str">
        <f aca="false">IF(B32&lt;='VALOR POR PL'!$P$5,'CP RESUMO'!AE79,"")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RESUMO'!AF37</f>
        <v>0</v>
      </c>
      <c r="N33" s="140" t="n">
        <f aca="false">MAX(0,M33-M32)</f>
        <v>0</v>
      </c>
      <c r="O33" s="139" t="str">
        <f aca="false">IF(B33&lt;='VALOR POR PL'!$P$5,'CP RESUMO'!AF79,"")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RESUMO'!AG37</f>
        <v>0</v>
      </c>
      <c r="N34" s="140" t="n">
        <f aca="false">MAX(0,M34-M33)</f>
        <v>0</v>
      </c>
      <c r="O34" s="139" t="str">
        <f aca="false">IF(B34&lt;='VALOR POR PL'!$P$5,'CP RESUMO'!AG79,"")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HISTORICOS'!AH37)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RESUMO'!AH37</f>
        <v>0</v>
      </c>
      <c r="N35" s="140" t="n">
        <f aca="false">MAX(0,M35-M34)</f>
        <v>0</v>
      </c>
      <c r="O35" s="139" t="str">
        <f aca="false">IF(B35&lt;='VALOR POR PL'!$P$5,'CP RESUMO'!AH79,"")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RESUMO'!AI37</f>
        <v>0</v>
      </c>
      <c r="N36" s="140" t="n">
        <f aca="false">MAX(0,M36-M35)</f>
        <v>0</v>
      </c>
      <c r="O36" s="139" t="str">
        <f aca="false">IF(B36&lt;='VALOR POR PL'!$P$5,'CP RESUMO'!AI79,"")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RESUMO'!AJ37</f>
        <v>0</v>
      </c>
      <c r="N37" s="140" t="n">
        <f aca="false">MAX(0,M37-M36)</f>
        <v>0</v>
      </c>
      <c r="O37" s="139" t="str">
        <f aca="false">IF(B37&lt;='VALOR POR PL'!$P$5,'CP RESUMO'!AJ79,"")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HISTORICOS'!AK37)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RESUMO'!AK37</f>
        <v>0</v>
      </c>
      <c r="N38" s="140" t="n">
        <f aca="false">MAX(0,M38-M37)</f>
        <v>0</v>
      </c>
      <c r="O38" s="139" t="str">
        <f aca="false">IF(B38&lt;='VALOR POR PL'!$P$5,'CP RESUMO'!AK79,"")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HISTORICOS'!AL37)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RESUMO'!AL37</f>
        <v>3.89</v>
      </c>
      <c r="N39" s="140" t="n">
        <f aca="false">MAX(0,M39-M38)</f>
        <v>3.89</v>
      </c>
      <c r="O39" s="139" t="str">
        <f aca="false">IF(B39&lt;='VALOR POR PL'!$P$5,'CP RESUMO'!AL79,"")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HISTORICOS'!AM37)</f>
        <v>0</v>
      </c>
      <c r="D40" s="45" t="n">
        <f aca="false">IF(B40&lt;='VALOR POR PL'!$P$5,0,IF($K$17&gt;0,$K$18*P40/$K$17,0))</f>
        <v>70068.3198653445</v>
      </c>
      <c r="E40" s="45" t="n">
        <f aca="false">L40+D40/$K$2</f>
        <v>54.0280007505226</v>
      </c>
      <c r="F40" s="117" t="n">
        <f aca="false">IF($K$9=0,0,E40/$K$9)</f>
        <v>0.0389000012968479</v>
      </c>
      <c r="G40" s="117" t="n">
        <f aca="false">G39+F40</f>
        <v>0.0389000012968479</v>
      </c>
      <c r="H40" s="138" t="n">
        <v>69290.32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RESUMO'!AM37</f>
        <v>11.59</v>
      </c>
      <c r="N40" s="140" t="n">
        <f aca="false">MAX(0,M40-M39)</f>
        <v>7.7</v>
      </c>
      <c r="O40" s="139" t="str">
        <f aca="false">IF(B40&lt;='VALOR POR PL'!$P$5,'CP RESUMO'!AM79,"")</f>
        <v/>
      </c>
      <c r="P40" s="66" t="n">
        <f aca="false">IF(B40&lt;='VALOR POR PL'!$P$5,0,IF(OR($K$16="CURVA PREVISION",$K$16="MDO PREVISION + MATERIAL PREMISSA"),N40,IF($K$16="PREVISÃO INFORMADA",MAX(0,H40),0)))</f>
        <v>69290.32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HISTORICOS'!AN37)</f>
        <v>0</v>
      </c>
      <c r="D41" s="45" t="n">
        <f aca="false">IF(B41&lt;='VALOR POR PL'!$P$5,0,IF($K$17&gt;0,$K$18*P41/$K$17,0))</f>
        <v>133652.159650786</v>
      </c>
      <c r="E41" s="45" t="n">
        <f aca="false">L41+D41/$K$2</f>
        <v>103.055974451773</v>
      </c>
      <c r="F41" s="117" t="n">
        <f aca="false">IF($K$9=0,0,E41/$K$9)</f>
        <v>0.0741999978554291</v>
      </c>
      <c r="G41" s="117" t="n">
        <f aca="false">G40+F41</f>
        <v>0.113099999152277</v>
      </c>
      <c r="H41" s="138" t="n">
        <v>132168.16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RESUMO'!AN37</f>
        <v>18.17</v>
      </c>
      <c r="N41" s="140" t="n">
        <f aca="false">MAX(0,M41-M40)</f>
        <v>6.58</v>
      </c>
      <c r="O41" s="139" t="str">
        <f aca="false">IF(B41&lt;='VALOR POR PL'!$P$5,'CP RESUMO'!AN79,"")</f>
        <v/>
      </c>
      <c r="P41" s="66" t="n">
        <f aca="false">IF(B41&lt;='VALOR POR PL'!$P$5,0,IF(OR($K$16="CURVA PREVISION",$K$16="MDO PREVISION + MATERIAL PREMISSA"),N41,IF($K$16="PREVISÃO INFORMADA",MAX(0,H41),0)))</f>
        <v>132168.16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HISTORICOS'!AO37)</f>
        <v>0</v>
      </c>
      <c r="D42" s="45" t="n">
        <f aca="false">IF(B42&lt;='VALOR POR PL'!$P$5,0,IF($K$17&gt;0,$K$18*P42/$K$17,0))</f>
        <v>115279.489686383</v>
      </c>
      <c r="E42" s="45" t="n">
        <f aca="false">L42+D42/$K$2</f>
        <v>88.8892493392901</v>
      </c>
      <c r="F42" s="117" t="n">
        <f aca="false">IF($K$9=0,0,E42/$K$9)</f>
        <v>0.0639999975298136</v>
      </c>
      <c r="G42" s="117" t="n">
        <f aca="false">G41+F42</f>
        <v>0.177099996682091</v>
      </c>
      <c r="H42" s="138" t="n">
        <v>113999.49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RESUMO'!AO37</f>
        <v>26.79</v>
      </c>
      <c r="N42" s="140" t="n">
        <f aca="false">MAX(0,M42-M41)</f>
        <v>8.62</v>
      </c>
      <c r="O42" s="139" t="str">
        <f aca="false">IF(B42&lt;='VALOR POR PL'!$P$5,'CP RESUMO'!AO79,"")</f>
        <v/>
      </c>
      <c r="P42" s="66" t="n">
        <f aca="false">IF(B42&lt;='VALOR POR PL'!$P$5,0,IF(OR($K$16="CURVA PREVISION",$K$16="MDO PREVISION + MATERIAL PREMISSA"),N42,IF($K$16="PREVISÃO INFORMADA",MAX(0,H42),0)))</f>
        <v>113999.49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HISTORICOS'!AP37)</f>
        <v>0</v>
      </c>
      <c r="D43" s="45" t="n">
        <f aca="false">IF(B43&lt;='VALOR POR PL'!$P$5,0,IF($K$17&gt;0,$K$18*P43/$K$17,0))</f>
        <v>157428.559644348</v>
      </c>
      <c r="E43" s="45" t="n">
        <f aca="false">L43+D43/$K$2</f>
        <v>121.389386172871</v>
      </c>
      <c r="F43" s="117" t="n">
        <f aca="false">IF($K$9=0,0,E43/$K$9)</f>
        <v>0.0874000002582468</v>
      </c>
      <c r="G43" s="117" t="n">
        <f aca="false">G42+F43</f>
        <v>0.264499996940337</v>
      </c>
      <c r="H43" s="138" t="n">
        <v>155680.56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RESUMO'!AP37</f>
        <v>36.81</v>
      </c>
      <c r="N43" s="140" t="n">
        <f aca="false">MAX(0,M43-M42)</f>
        <v>10.02</v>
      </c>
      <c r="O43" s="139" t="str">
        <f aca="false">IF(B43&lt;='VALOR POR PL'!$P$5,'CP RESUMO'!AP79,"")</f>
        <v/>
      </c>
      <c r="P43" s="66" t="n">
        <f aca="false">IF(B43&lt;='VALOR POR PL'!$P$5,0,IF(OR($K$16="CURVA PREVISION",$K$16="MDO PREVISION + MATERIAL PREMISSA"),N43,IF($K$16="PREVISÃO INFORMADA",MAX(0,H43),0)))</f>
        <v>155680.56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HISTORICOS'!AQ37)</f>
        <v>0</v>
      </c>
      <c r="D44" s="45" t="n">
        <f aca="false">IF(B44&lt;='VALOR POR PL'!$P$5,0,IF($K$17&gt;0,$K$18*P44/$K$17,0))</f>
        <v>149863.339625982</v>
      </c>
      <c r="E44" s="45" t="n">
        <f aca="false">L44+D44/$K$2</f>
        <v>115.556026480278</v>
      </c>
      <c r="F44" s="117" t="n">
        <f aca="false">IF($K$9=0,0,E44/$K$9)</f>
        <v>0.0831999984729757</v>
      </c>
      <c r="G44" s="117" t="n">
        <f aca="false">G43+F44</f>
        <v>0.347699995413313</v>
      </c>
      <c r="H44" s="138" t="n">
        <v>148199.34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RESUMO'!AQ37</f>
        <v>53.78</v>
      </c>
      <c r="N44" s="140" t="n">
        <f aca="false">MAX(0,M44-M43)</f>
        <v>16.97</v>
      </c>
      <c r="O44" s="139" t="str">
        <f aca="false">IF(B44&lt;='VALOR POR PL'!$P$5,'CP RESUMO'!AQ79,"")</f>
        <v/>
      </c>
      <c r="P44" s="66" t="n">
        <f aca="false">IF(B44&lt;='VALOR POR PL'!$P$5,0,IF(OR($K$16="CURVA PREVISION",$K$16="MDO PREVISION + MATERIAL PREMISSA"),N44,IF($K$16="PREVISÃO INFORMADA",MAX(0,H44),0)))</f>
        <v>148199.34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HISTORICOS'!AR37)</f>
        <v>0</v>
      </c>
      <c r="D45" s="45" t="n">
        <f aca="false">IF(B45&lt;='VALOR POR PL'!$P$5,0,IF($K$17&gt;0,$K$18*P45/$K$17,0))</f>
        <v>294142.839382769</v>
      </c>
      <c r="E45" s="45" t="n">
        <f aca="false">L45+D45/$K$2</f>
        <v>226.806487974506</v>
      </c>
      <c r="F45" s="117" t="n">
        <f aca="false">IF($K$9=0,0,E45/$K$9)</f>
        <v>0.163300002846328</v>
      </c>
      <c r="G45" s="117" t="n">
        <f aca="false">G44+F45</f>
        <v>0.510999998259642</v>
      </c>
      <c r="H45" s="138" t="n">
        <v>290876.84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RESUMO'!AR37</f>
        <v>62.3</v>
      </c>
      <c r="N45" s="140" t="n">
        <f aca="false">MAX(0,M45-M44)</f>
        <v>8.52</v>
      </c>
      <c r="O45" s="139" t="str">
        <f aca="false">IF(B45&lt;='VALOR POR PL'!$P$5,'CP RESUMO'!AR79,"")</f>
        <v/>
      </c>
      <c r="P45" s="66" t="n">
        <f aca="false">IF(B45&lt;='VALOR POR PL'!$P$5,0,IF(OR($K$16="CURVA PREVISION",$K$16="MDO PREVISION + MATERIAL PREMISSA"),N45,IF($K$16="PREVISÃO INFORMADA",MAX(0,H45),0)))</f>
        <v>290876.84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HISTORICOS'!AS37)</f>
        <v>0</v>
      </c>
      <c r="D46" s="45" t="n">
        <f aca="false">IF(B46&lt;='VALOR POR PL'!$P$5,0,IF($K$17&gt;0,$K$18*P46/$K$17,0))</f>
        <v>200478.24958846</v>
      </c>
      <c r="E46" s="45" t="n">
        <f aca="false">L46+D46/$K$2</f>
        <v>154.583969474997</v>
      </c>
      <c r="F46" s="117" t="n">
        <f aca="false">IF($K$9=0,0,E46/$K$9)</f>
        <v>0.111300002397204</v>
      </c>
      <c r="G46" s="117" t="n">
        <f aca="false">G45+F46</f>
        <v>0.622300000656845</v>
      </c>
      <c r="H46" s="138" t="n">
        <v>198252.25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RESUMO'!AS37</f>
        <v>71.51</v>
      </c>
      <c r="N46" s="140" t="n">
        <f aca="false">MAX(0,M46-M45)</f>
        <v>9.21000000000001</v>
      </c>
      <c r="O46" s="139" t="str">
        <f aca="false">IF(B46&lt;='VALOR POR PL'!$P$5,'CP RESUMO'!AS79,"")</f>
        <v/>
      </c>
      <c r="P46" s="66" t="n">
        <f aca="false">IF(B46&lt;='VALOR POR PL'!$P$5,0,IF(OR($K$16="CURVA PREVISION",$K$16="MDO PREVISION + MATERIAL PREMISSA"),N46,IF($K$16="PREVISÃO INFORMADA",MAX(0,H46),0)))</f>
        <v>198252.25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HISTORICOS'!AT37)</f>
        <v>0</v>
      </c>
      <c r="D47" s="45" t="n">
        <f aca="false">IF(B47&lt;='VALOR POR PL'!$P$5,0,IF($K$17&gt;0,$K$18*P47/$K$17,0))</f>
        <v>154726.699685909</v>
      </c>
      <c r="E47" s="45" t="n">
        <f aca="false">L47+D47/$K$2</f>
        <v>119.306046767232</v>
      </c>
      <c r="F47" s="117" t="n">
        <f aca="false">IF($K$9=0,0,E47/$K$9)</f>
        <v>0.0859000020266757</v>
      </c>
      <c r="G47" s="117" t="n">
        <f aca="false">G46+F47</f>
        <v>0.708200002683521</v>
      </c>
      <c r="H47" s="138" t="n">
        <v>153008.7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RESUMO'!AT37</f>
        <v>79.36</v>
      </c>
      <c r="N47" s="140" t="n">
        <f aca="false">MAX(0,M47-M46)</f>
        <v>7.84999999999999</v>
      </c>
      <c r="O47" s="139" t="str">
        <f aca="false">IF(B47&lt;='VALOR POR PL'!$P$5,'CP RESUMO'!AT79,"")</f>
        <v/>
      </c>
      <c r="P47" s="66" t="n">
        <f aca="false">IF(B47&lt;='VALOR POR PL'!$P$5,0,IF(OR($K$16="CURVA PREVISION",$K$16="MDO PREVISION + MATERIAL PREMISSA"),N47,IF($K$16="PREVISÃO INFORMADA",MAX(0,H47),0)))</f>
        <v>153008.7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HISTORICOS'!AU37)</f>
        <v>0</v>
      </c>
      <c r="D48" s="45" t="n">
        <f aca="false">IF(B48&lt;='VALOR POR PL'!$P$5,0,IF($K$17&gt;0,$K$18*P48/$K$17,0))</f>
        <v>146440.979633713</v>
      </c>
      <c r="E48" s="45" t="n">
        <f aca="false">L48+D48/$K$2</f>
        <v>112.917126780868</v>
      </c>
      <c r="F48" s="117" t="n">
        <f aca="false">IF($K$9=0,0,E48/$K$9)</f>
        <v>0.0812999984673616</v>
      </c>
      <c r="G48" s="117" t="n">
        <f aca="false">G47+F48</f>
        <v>0.789500001150882</v>
      </c>
      <c r="H48" s="138" t="n">
        <v>144814.98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RESUMO'!AU37</f>
        <v>86.85</v>
      </c>
      <c r="N48" s="140" t="n">
        <f aca="false">MAX(0,M48-M47)</f>
        <v>7.49</v>
      </c>
      <c r="O48" s="139" t="str">
        <f aca="false">IF(B48&lt;='VALOR POR PL'!$P$5,'CP RESUMO'!AU79,"")</f>
        <v/>
      </c>
      <c r="P48" s="66" t="n">
        <f aca="false">IF(B48&lt;='VALOR POR PL'!$P$5,0,IF(OR($K$16="CURVA PREVISION",$K$16="MDO PREVISION + MATERIAL PREMISSA"),N48,IF($K$16="PREVISÃO INFORMADA",MAX(0,H48),0)))</f>
        <v>144814.98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HISTORICOS'!AV37)</f>
        <v>0</v>
      </c>
      <c r="D49" s="45" t="n">
        <f aca="false">IF(B49&lt;='VALOR POR PL'!$P$5,0,IF($K$17&gt;0,$K$18*P49/$K$17,0))</f>
        <v>141397.50973375</v>
      </c>
      <c r="E49" s="45" t="n">
        <f aca="false">L49+D49/$K$2</f>
        <v>109.028228116477</v>
      </c>
      <c r="F49" s="117" t="n">
        <f aca="false">IF($K$9=0,0,E49/$K$9)</f>
        <v>0.0785000028912409</v>
      </c>
      <c r="G49" s="117" t="n">
        <f aca="false">G48+F49</f>
        <v>0.868000004042123</v>
      </c>
      <c r="H49" s="138" t="n">
        <v>139827.51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RESUMO'!AV37</f>
        <v>95.1</v>
      </c>
      <c r="N49" s="140" t="n">
        <f aca="false">MAX(0,M49-M48)</f>
        <v>8.25</v>
      </c>
      <c r="O49" s="139" t="str">
        <f aca="false">IF(B49&lt;='VALOR POR PL'!$P$5,'CP RESUMO'!AV79,"")</f>
        <v/>
      </c>
      <c r="P49" s="66" t="n">
        <f aca="false">IF(B49&lt;='VALOR POR PL'!$P$5,0,IF(OR($K$16="CURVA PREVISION",$K$16="MDO PREVISION + MATERIAL PREMISSA"),N49,IF($K$16="PREVISÃO INFORMADA",MAX(0,H49),0)))</f>
        <v>139827.51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HISTORICOS'!AW37)</f>
        <v>0</v>
      </c>
      <c r="D50" s="45" t="n">
        <f aca="false">IF(B50&lt;='VALOR POR PL'!$P$5,0,IF($K$17&gt;0,$K$18*P50/$K$17,0))</f>
        <v>134012.409667701</v>
      </c>
      <c r="E50" s="45" t="n">
        <f aca="false">L50+D50/$K$2</f>
        <v>103.333754598659</v>
      </c>
      <c r="F50" s="117" t="n">
        <f aca="false">IF($K$9=0,0,E50/$K$9)</f>
        <v>0.0743999987424506</v>
      </c>
      <c r="G50" s="117" t="n">
        <f aca="false">G49+F50</f>
        <v>0.942400002784574</v>
      </c>
      <c r="H50" s="138" t="n">
        <v>132524.41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RESUMO'!AW37</f>
        <v>96.81</v>
      </c>
      <c r="N50" s="140" t="n">
        <f aca="false">MAX(0,M50-M49)</f>
        <v>1.71000000000001</v>
      </c>
      <c r="O50" s="139" t="str">
        <f aca="false">IF(B50&lt;='VALOR POR PL'!$P$5,'CP RESUMO'!AW79,"")</f>
        <v/>
      </c>
      <c r="P50" s="66" t="n">
        <f aca="false">IF(B50&lt;='VALOR POR PL'!$P$5,0,IF(OR($K$16="CURVA PREVISION",$K$16="MDO PREVISION + MATERIAL PREMISSA"),N50,IF($K$16="PREVISÃO INFORMADA",MAX(0,H50),0)))</f>
        <v>132524.41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HISTORICOS'!AX37)</f>
        <v>0</v>
      </c>
      <c r="D51" s="45" t="n">
        <f aca="false">IF(B51&lt;='VALOR POR PL'!$P$5,0,IF($K$17&gt;0,$K$18*P51/$K$17,0))</f>
        <v>30080.7398965864</v>
      </c>
      <c r="E51" s="45" t="n">
        <f aca="false">L51+D51/$K$2</f>
        <v>23.1945370009202</v>
      </c>
      <c r="F51" s="117" t="n">
        <f aca="false">IF($K$9=0,0,E51/$K$9)</f>
        <v>0.0166999982764836</v>
      </c>
      <c r="G51" s="117" t="n">
        <f aca="false">G50+F51</f>
        <v>0.959100001061057</v>
      </c>
      <c r="H51" s="138" t="n">
        <v>29746.74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RESUMO'!AX37</f>
        <v>99.09</v>
      </c>
      <c r="N51" s="140" t="n">
        <f aca="false">MAX(0,M51-M50)</f>
        <v>2.28</v>
      </c>
      <c r="O51" s="139" t="str">
        <f aca="false">IF(B51&lt;='VALOR POR PL'!$P$5,'CP RESUMO'!AX79,"")</f>
        <v/>
      </c>
      <c r="P51" s="66" t="n">
        <f aca="false">IF(B51&lt;='VALOR POR PL'!$P$5,0,IF(OR($K$16="CURVA PREVISION",$K$16="MDO PREVISION + MATERIAL PREMISSA"),N51,IF($K$16="PREVISÃO INFORMADA",MAX(0,H51),0)))</f>
        <v>29746.74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HISTORICOS'!AY37)</f>
        <v>0</v>
      </c>
      <c r="D52" s="45" t="n">
        <f aca="false">IF(B52&lt;='VALOR POR PL'!$P$5,0,IF($K$17&gt;0,$K$18*P52/$K$17,0))</f>
        <v>57279.4998824171</v>
      </c>
      <c r="E52" s="45" t="n">
        <f aca="false">L52+D52/$K$2</f>
        <v>44.1668484214278</v>
      </c>
      <c r="F52" s="117" t="n">
        <f aca="false">IF($K$9=0,0,E52/$K$9)</f>
        <v>0.0318000006849153</v>
      </c>
      <c r="G52" s="117" t="n">
        <f aca="false">G51+F52</f>
        <v>0.990900001745973</v>
      </c>
      <c r="H52" s="138" t="n">
        <v>56643.5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RESUMO'!AY37</f>
        <v>100</v>
      </c>
      <c r="N52" s="140" t="n">
        <f aca="false">MAX(0,M52-M51)</f>
        <v>0.909999999999997</v>
      </c>
      <c r="O52" s="139" t="str">
        <f aca="false">IF(B52&lt;='VALOR POR PL'!$P$5,'CP RESUMO'!AY79,"")</f>
        <v/>
      </c>
      <c r="P52" s="66" t="n">
        <f aca="false">IF(B52&lt;='VALOR POR PL'!$P$5,0,IF(OR($K$16="CURVA PREVISION",$K$16="MDO PREVISION + MATERIAL PREMISSA"),N52,IF($K$16="PREVISÃO INFORMADA",MAX(0,H52),0)))</f>
        <v>56643.5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HISTORICOS'!AZ37)</f>
        <v>0</v>
      </c>
      <c r="D53" s="45" t="n">
        <f aca="false">IF(B53&lt;='VALOR POR PL'!$P$5,0,IF($K$17&gt;0,$K$18*P53/$K$17,0))</f>
        <v>16391.2999275127</v>
      </c>
      <c r="E53" s="45" t="n">
        <f aca="false">L53+D53/$K$2</f>
        <v>12.6389382032793</v>
      </c>
      <c r="F53" s="117" t="n">
        <f aca="false">IF($K$9=0,0,E53/$K$9)</f>
        <v>0.00909999825402735</v>
      </c>
      <c r="G53" s="117" t="n">
        <f aca="false">G52+F53</f>
        <v>1</v>
      </c>
      <c r="H53" s="138" t="n">
        <v>16209.3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RESUMO'!AZ37</f>
        <v>100</v>
      </c>
      <c r="N53" s="140" t="n">
        <f aca="false">MAX(0,M53-M52)</f>
        <v>0</v>
      </c>
      <c r="O53" s="139" t="str">
        <f aca="false">IF(B53&lt;='VALOR POR PL'!$P$5,'CP RESUMO'!AZ79,"")</f>
        <v/>
      </c>
      <c r="P53" s="66" t="n">
        <f aca="false">IF(B53&lt;='VALOR POR PL'!$P$5,0,IF(OR($K$16="CURVA PREVISION",$K$16="MDO PREVISION + MATERIAL PREMISSA"),N53,IF($K$16="PREVISÃO INFORMADA",MAX(0,H53),0)))</f>
        <v>16209.3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RESUMO'!BA37</f>
        <v>100</v>
      </c>
      <c r="N54" s="140" t="n">
        <f aca="false">MAX(0,M54-M53)</f>
        <v>0</v>
      </c>
      <c r="O54" s="139" t="str">
        <f aca="false">IF(B54&lt;='VALOR POR PL'!$P$5,'CP RESUMO'!BA79,"")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RESUMO'!BB37</f>
        <v>100</v>
      </c>
      <c r="N55" s="140" t="n">
        <f aca="false">MAX(0,M55-M54)</f>
        <v>0</v>
      </c>
      <c r="O55" s="139" t="str">
        <f aca="false">IF(B55&lt;='VALOR POR PL'!$P$5,'CP RESUMO'!BB79,"")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RESUMO'!BC37</f>
        <v>100</v>
      </c>
      <c r="N56" s="140" t="n">
        <f aca="false">MAX(0,M56-M55)</f>
        <v>0</v>
      </c>
      <c r="O56" s="139" t="str">
        <f aca="false">IF(B56&lt;='VALOR POR PL'!$P$5,'CP RESUMO'!BC79,"")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RESUMO'!BD37</f>
        <v>100</v>
      </c>
      <c r="N57" s="140" t="n">
        <f aca="false">MAX(0,M57-M56)</f>
        <v>0</v>
      </c>
      <c r="O57" s="139" t="str">
        <f aca="false">IF(B57&lt;='VALOR POR PL'!$P$5,'CP RESUMO'!BD79,"")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RESUMO'!BE37</f>
        <v>100</v>
      </c>
      <c r="N58" s="140" t="n">
        <f aca="false">MAX(0,M58-M57)</f>
        <v>0</v>
      </c>
      <c r="O58" s="139" t="str">
        <f aca="false">IF(B58&lt;='VALOR POR PL'!$P$5,'CP RESUMO'!BE79,"")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RESUMO'!BF37</f>
        <v>100</v>
      </c>
      <c r="N59" s="140" t="n">
        <f aca="false">MAX(0,M59-M58)</f>
        <v>0</v>
      </c>
      <c r="O59" s="139" t="str">
        <f aca="false">IF(B59&lt;='VALOR POR PL'!$P$5,'CP RESUMO'!BF79,"")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RESUMO'!BG37</f>
        <v>100</v>
      </c>
      <c r="N60" s="140" t="n">
        <f aca="false">MAX(0,M60-M59)</f>
        <v>0</v>
      </c>
      <c r="O60" s="139" t="str">
        <f aca="false">IF(B60&lt;='VALOR POR PL'!$P$5,'CP RESUMO'!BG79,"")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RESUMO'!BH37</f>
        <v>100</v>
      </c>
      <c r="N61" s="140" t="n">
        <f aca="false">MAX(0,M61-M60)</f>
        <v>0</v>
      </c>
      <c r="O61" s="139" t="str">
        <f aca="false">IF(B61&lt;='VALOR POR PL'!$P$5,'CP RESUMO'!BH79,"")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RESUMO'!BI37</f>
        <v>100</v>
      </c>
      <c r="N62" s="140" t="n">
        <f aca="false">MAX(0,M62-M61)</f>
        <v>0</v>
      </c>
      <c r="O62" s="139" t="str">
        <f aca="false">IF(B62&lt;='VALOR POR PL'!$P$5,'CP RESUMO'!BI79,"")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RESUMO'!BJ37</f>
        <v>100</v>
      </c>
      <c r="N63" s="140" t="n">
        <f aca="false">MAX(0,M63-M62)</f>
        <v>0</v>
      </c>
      <c r="O63" s="139" t="str">
        <f aca="false">IF(B63&lt;='VALOR POR PL'!$P$5,'CP RESUMO'!BJ79,"")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RESUMO'!BK37</f>
        <v>100</v>
      </c>
      <c r="N64" s="140" t="n">
        <f aca="false">MAX(0,M64-M63)</f>
        <v>0</v>
      </c>
      <c r="O64" s="139" t="str">
        <f aca="false">IF(B64&lt;='VALOR POR PL'!$P$5,'CP RESUMO'!BK79,"")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RESUMO'!BL37</f>
        <v>100</v>
      </c>
      <c r="N65" s="140" t="n">
        <f aca="false">MAX(0,M65-M64)</f>
        <v>0</v>
      </c>
      <c r="O65" s="139" t="str">
        <f aca="false">IF(B65&lt;='VALOR POR PL'!$P$5,'CP RESUMO'!BL79,"")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RESUMO'!BM37</f>
        <v>100</v>
      </c>
      <c r="N66" s="140" t="n">
        <f aca="false">MAX(0,M66-M65)</f>
        <v>0</v>
      </c>
      <c r="O66" s="139" t="str">
        <f aca="false">IF(B66&lt;='VALOR POR PL'!$P$5,'CP RESUMO'!BM79,"")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RESUMO'!BN37</f>
        <v>100</v>
      </c>
      <c r="N67" s="140" t="n">
        <f aca="false">MAX(0,M67-M66)</f>
        <v>0</v>
      </c>
      <c r="O67" s="139" t="str">
        <f aca="false">IF(B67&lt;='VALOR POR PL'!$P$5,'CP RESUMO'!BN79,"")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RESUMO'!BO37</f>
        <v>100</v>
      </c>
      <c r="N68" s="140" t="n">
        <f aca="false">MAX(0,M68-M67)</f>
        <v>0</v>
      </c>
      <c r="O68" s="139" t="str">
        <f aca="false">IF(B68&lt;='VALOR POR PL'!$P$5,'CP RESUMO'!BO79,"")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RESUMO'!BP37</f>
        <v>100</v>
      </c>
      <c r="N69" s="140" t="n">
        <f aca="false">MAX(0,M69-M68)</f>
        <v>0</v>
      </c>
      <c r="O69" s="139" t="str">
        <f aca="false">IF(B69&lt;='VALOR POR PL'!$P$5,'CP RESUMO'!BP79,"")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RESUMO'!BQ37</f>
        <v>100</v>
      </c>
      <c r="N70" s="140" t="n">
        <f aca="false">MAX(0,M70-M69)</f>
        <v>0</v>
      </c>
      <c r="O70" s="139" t="str">
        <f aca="false">IF(B70&lt;='VALOR POR PL'!$P$5,'CP RESUMO'!BQ79,"")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RESUMO'!BR37</f>
        <v>100</v>
      </c>
      <c r="N71" s="140" t="n">
        <f aca="false">MAX(0,M71-M70)</f>
        <v>0</v>
      </c>
      <c r="O71" s="139" t="str">
        <f aca="false">IF(B71&lt;='VALOR POR PL'!$P$5,'CP RESUMO'!BR79,"")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RESUMO'!BS37</f>
        <v>100</v>
      </c>
      <c r="N72" s="140" t="n">
        <f aca="false">MAX(0,M72-M71)</f>
        <v>0</v>
      </c>
      <c r="O72" s="139" t="str">
        <f aca="false">IF(B72&lt;='VALOR POR PL'!$P$5,'CP RESUMO'!BS79,"")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RESUMO'!BT37</f>
        <v>100</v>
      </c>
      <c r="N73" s="140" t="n">
        <f aca="false">MAX(0,M73-M72)</f>
        <v>0</v>
      </c>
      <c r="O73" s="139" t="str">
        <f aca="false">IF(B73&lt;='VALOR POR PL'!$P$5,'CP RESUMO'!BT79,"")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RESUMO'!BU37</f>
        <v>100</v>
      </c>
      <c r="N74" s="140" t="n">
        <f aca="false">MAX(0,M74-M73)</f>
        <v>0</v>
      </c>
      <c r="O74" s="139" t="str">
        <f aca="false">IF(B74&lt;='VALOR POR PL'!$P$5,'CP RESUMO'!BU79,"")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RESUMO'!BV37</f>
        <v>100</v>
      </c>
      <c r="N75" s="140" t="n">
        <f aca="false">MAX(0,M75-M74)</f>
        <v>0</v>
      </c>
      <c r="O75" s="139" t="str">
        <f aca="false">IF(B75&lt;='VALOR POR PL'!$P$5,'CP RESUMO'!BV79,"")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RESUMO'!BW37</f>
        <v>100</v>
      </c>
      <c r="N76" s="140" t="n">
        <f aca="false">MAX(0,M76-M75)</f>
        <v>0</v>
      </c>
      <c r="O76" s="139" t="str">
        <f aca="false">IF(B76&lt;='VALOR POR PL'!$P$5,'CP RESUMO'!BW79,"")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1801242.09587166</v>
      </c>
      <c r="E78" s="61" t="n">
        <f aca="false">SUM(E5:E76)</f>
        <v>1388.8945745331</v>
      </c>
      <c r="F78" s="145" t="n">
        <f aca="false">SUM(F5:F76)</f>
        <v>1</v>
      </c>
      <c r="H78" s="61" t="n">
        <f aca="false">SUM(H5:H76)</f>
        <v>1781242.1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U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  <col collapsed="false" customWidth="true" hidden="false" outlineLevel="0" max="17" min="17" style="0" width="2"/>
    <col collapsed="false" customWidth="true" hidden="false" outlineLevel="0" max="21" min="18" style="0" width="13"/>
  </cols>
  <sheetData>
    <row r="2" customFormat="false" ht="16.15" hidden="false" customHeight="false" outlineLevel="0" collapsed="false">
      <c r="B2" s="118" t="str">
        <f aca="false">'VALOR POR PL'!D44</f>
        <v>LOUÇAS SANITÁRIAS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  <c r="R4" s="54" t="s">
        <v>3022</v>
      </c>
      <c r="S4" s="54" t="s">
        <v>3023</v>
      </c>
      <c r="T4" s="54" t="s">
        <v>3024</v>
      </c>
      <c r="U4" s="54" t="s">
        <v>3025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HISTORICOS'!D38)</f>
        <v>0</v>
      </c>
      <c r="D5" s="45" t="n">
        <f aca="false">IF(B5&lt;='VALOR POR PL'!$P$5,0,IF($K$16="MDO PREVISION + MATERIAL PREMISSA",R5+U5,IF($K$17&gt;0,$K$18*P5/$K$17,0)))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PL'!F44</f>
        <v>2050613.5</v>
      </c>
      <c r="K5" s="56" t="n">
        <f aca="false">'VALOR POR PL'!G44</f>
        <v>1685.381265</v>
      </c>
      <c r="L5" s="56" t="n">
        <f aca="false">'DADOS HISTORICOS'!$BZ$38</f>
        <v>0</v>
      </c>
      <c r="M5" s="139" t="n">
        <f aca="false">'CP RESUMO'!D38</f>
        <v>0</v>
      </c>
      <c r="N5" s="140" t="n">
        <v>0</v>
      </c>
      <c r="O5" s="139" t="n">
        <f aca="false">IF(B5&lt;='VALOR POR PL'!$P$5,'CP RESUMO'!D80,"")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  <c r="R5" s="45" t="n">
        <f aca="false">IF(OR(B5&lt;='VALOR POR PL'!$P$5,$K$12=0),0,$K$18*$K$26*N5/$K$12)</f>
        <v>0</v>
      </c>
      <c r="S5" s="140" t="n">
        <f aca="false">(IF(AND(1+$K$33&gt;=1,1+$K$33&lt;=72),INDEX($N$5:$N$76,1+$K$33),0)+IF(AND(1+$K$34&gt;=1,1+$K$34&lt;=72),INDEX($N$5:$N$76,1+$K$34),0)+IF(AND(1+$K$35&gt;=1,1+$K$35&lt;=72),INDEX($N$5:$N$76,1+$K$35),0))/3</f>
        <v>0</v>
      </c>
      <c r="T5" s="140" t="n">
        <f aca="false">IF(B5&lt;='VALOR POR PL'!$P$5,0,S5+IF(B5=DATE(YEAR('VALOR POR PL'!$P$5),MONTH('VALOR POR PL'!$P$5)+1,1),SUMPRODUCT((B5:B76&lt;='VALOR POR PL'!$P$5)*S5:S76),0))</f>
        <v>0</v>
      </c>
      <c r="U5" s="45" t="n">
        <f aca="false">IF($K$32=0,0,$K$18*$K$27*T5/$K$32)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HISTORICOS'!E38)</f>
        <v>0</v>
      </c>
      <c r="D6" s="45" t="n">
        <f aca="false">IF(B6&lt;='VALOR POR PL'!$P$5,0,IF($K$16="MDO PREVISION + MATERIAL PREMISSA",R6+U6,IF($K$17&gt;0,$K$18*P6/$K$17,0)))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PL'!H44</f>
        <v>1685.381265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RESUMO'!E38</f>
        <v>0</v>
      </c>
      <c r="N6" s="140" t="n">
        <f aca="false">MAX(0,M6-M5)</f>
        <v>0</v>
      </c>
      <c r="O6" s="139" t="n">
        <f aca="false">IF(B6&lt;='VALOR POR PL'!$P$5,'CP RESUMO'!E80,"")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  <c r="R6" s="45" t="n">
        <f aca="false">IF(OR(B6&lt;='VALOR POR PL'!$P$5,$K$12=0),0,$K$18*$K$26*N6/$K$12)</f>
        <v>0</v>
      </c>
      <c r="S6" s="140" t="n">
        <f aca="false">(IF(AND(2+$K$33&gt;=1,2+$K$33&lt;=72),INDEX($N$5:$N$76,2+$K$33),0)+IF(AND(2+$K$34&gt;=1,2+$K$34&lt;=72),INDEX($N$5:$N$76,2+$K$34),0)+IF(AND(2+$K$35&gt;=1,2+$K$35&lt;=72),INDEX($N$5:$N$76,2+$K$35),0))/3</f>
        <v>0</v>
      </c>
      <c r="T6" s="140" t="n">
        <f aca="false">IF(B6&lt;='VALOR POR PL'!$P$5,0,S6+IF(B6=DATE(YEAR('VALOR POR PL'!$P$5),MONTH('VALOR POR PL'!$P$5)+1,1),SUMPRODUCT((B5:B76&lt;='VALOR POR PL'!$P$5)*S5:S76),0))</f>
        <v>0</v>
      </c>
      <c r="U6" s="45" t="n">
        <f aca="false">IF($K$32=0,0,$K$18*$K$27*T6/$K$32)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HISTORICOS'!F38)</f>
        <v>0</v>
      </c>
      <c r="D7" s="45" t="n">
        <f aca="false">IF(B7&lt;='VALOR POR PL'!$P$5,0,IF($K$16="MDO PREVISION + MATERIAL PREMISSA",R7+U7,IF($K$17&gt;0,$K$18*P7/$K$17,0)))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2184888.0820161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RESUMO'!F38</f>
        <v>0</v>
      </c>
      <c r="N7" s="140" t="n">
        <f aca="false">MAX(0,M7-M6)</f>
        <v>0</v>
      </c>
      <c r="O7" s="139" t="n">
        <f aca="false">IF(B7&lt;='VALOR POR PL'!$P$5,'CP RESUMO'!F80,"")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  <c r="R7" s="45" t="n">
        <f aca="false">IF(OR(B7&lt;='VALOR POR PL'!$P$5,$K$12=0),0,$K$18*$K$26*N7/$K$12)</f>
        <v>0</v>
      </c>
      <c r="S7" s="140" t="n">
        <f aca="false">(IF(AND(3+$K$33&gt;=1,3+$K$33&lt;=72),INDEX($N$5:$N$76,3+$K$33),0)+IF(AND(3+$K$34&gt;=1,3+$K$34&lt;=72),INDEX($N$5:$N$76,3+$K$34),0)+IF(AND(3+$K$35&gt;=1,3+$K$35&lt;=72),INDEX($N$5:$N$76,3+$K$35),0))/3</f>
        <v>0</v>
      </c>
      <c r="T7" s="140" t="n">
        <f aca="false">IF(B7&lt;='VALOR POR PL'!$P$5,0,S7+IF(B7=DATE(YEAR('VALOR POR PL'!$P$5),MONTH('VALOR POR PL'!$P$5)+1,1),SUMPRODUCT((B5:B76&lt;='VALOR POR PL'!$P$5)*S5:S76),0))</f>
        <v>0</v>
      </c>
      <c r="U7" s="45" t="n">
        <f aca="false">IF($K$32=0,0,$K$18*$K$27*T7/$K$32)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HISTORICOS'!G38)</f>
        <v>0</v>
      </c>
      <c r="D8" s="45" t="n">
        <f aca="false">IF(B8&lt;='VALOR POR PL'!$P$5,0,IF($K$16="MDO PREVISION + MATERIAL PREMISSA",R8+U8,IF($K$17&gt;0,$K$18*P8/$K$17,0)))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RESUMO'!G38</f>
        <v>0</v>
      </c>
      <c r="N8" s="140" t="n">
        <f aca="false">MAX(0,M8-M7)</f>
        <v>0</v>
      </c>
      <c r="O8" s="139" t="n">
        <f aca="false">IF(B8&lt;='VALOR POR PL'!$P$5,'CP RESUMO'!G80,"")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  <c r="R8" s="45" t="n">
        <f aca="false">IF(OR(B8&lt;='VALOR POR PL'!$P$5,$K$12=0),0,$K$18*$K$26*N8/$K$12)</f>
        <v>0</v>
      </c>
      <c r="S8" s="140" t="n">
        <f aca="false">(IF(AND(4+$K$33&gt;=1,4+$K$33&lt;=72),INDEX($N$5:$N$76,4+$K$33),0)+IF(AND(4+$K$34&gt;=1,4+$K$34&lt;=72),INDEX($N$5:$N$76,4+$K$34),0)+IF(AND(4+$K$35&gt;=1,4+$K$35&lt;=72),INDEX($N$5:$N$76,4+$K$35),0))/3</f>
        <v>0</v>
      </c>
      <c r="T8" s="140" t="n">
        <f aca="false">IF(B8&lt;='VALOR POR PL'!$P$5,0,S8+IF(B8=DATE(YEAR('VALOR POR PL'!$P$5),MONTH('VALOR POR PL'!$P$5)+1,1),SUMPRODUCT((B5:B76&lt;='VALOR POR PL'!$P$5)*S5:S76),0))</f>
        <v>0</v>
      </c>
      <c r="U8" s="45" t="n">
        <f aca="false">IF($K$32=0,0,$K$18*$K$27*T8/$K$32)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HISTORICOS'!H38)</f>
        <v>0</v>
      </c>
      <c r="D9" s="45" t="n">
        <f aca="false">IF(B9&lt;='VALOR POR PL'!$P$5,0,IF($K$16="MDO PREVISION + MATERIAL PREMISSA",R9+U9,IF($K$17&gt;0,$K$18*P9/$K$17,0)))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2184888.0820161</v>
      </c>
      <c r="K9" s="45" t="n">
        <f aca="false">E78</f>
        <v>1684.71479210333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RESUMO'!H38</f>
        <v>0</v>
      </c>
      <c r="N9" s="140" t="n">
        <f aca="false">MAX(0,M9-M8)</f>
        <v>0</v>
      </c>
      <c r="O9" s="139" t="n">
        <f aca="false">IF(B9&lt;='VALOR POR PL'!$P$5,'CP RESUMO'!H80,"")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  <c r="R9" s="45" t="n">
        <f aca="false">IF(OR(B9&lt;='VALOR POR PL'!$P$5,$K$12=0),0,$K$18*$K$26*N9/$K$12)</f>
        <v>0</v>
      </c>
      <c r="S9" s="140" t="n">
        <f aca="false">(IF(AND(5+$K$33&gt;=1,5+$K$33&lt;=72),INDEX($N$5:$N$76,5+$K$33),0)+IF(AND(5+$K$34&gt;=1,5+$K$34&lt;=72),INDEX($N$5:$N$76,5+$K$34),0)+IF(AND(5+$K$35&gt;=1,5+$K$35&lt;=72),INDEX($N$5:$N$76,5+$K$35),0))/3</f>
        <v>0</v>
      </c>
      <c r="T9" s="140" t="n">
        <f aca="false">IF(B9&lt;='VALOR POR PL'!$P$5,0,S9+IF(B9=DATE(YEAR('VALOR POR PL'!$P$5),MONTH('VALOR POR PL'!$P$5)+1,1),SUMPRODUCT((B5:B76&lt;='VALOR POR PL'!$P$5)*S5:S76),0))</f>
        <v>0</v>
      </c>
      <c r="U9" s="45" t="n">
        <f aca="false">IF($K$32=0,0,$K$18*$K$27*T9/$K$32)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HISTORICOS'!I38)</f>
        <v>0</v>
      </c>
      <c r="D10" s="45" t="n">
        <f aca="false">IF(B10&lt;='VALOR POR PL'!$P$5,0,IF($K$16="MDO PREVISION + MATERIAL PREMISSA",R10+U10,IF($K$17&gt;0,$K$18*P10/$K$17,0)))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1684.71479210333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RESUMO'!I38</f>
        <v>0</v>
      </c>
      <c r="N10" s="140" t="n">
        <f aca="false">MAX(0,M10-M9)</f>
        <v>0</v>
      </c>
      <c r="O10" s="139" t="n">
        <f aca="false">IF(B10&lt;='VALOR POR PL'!$P$5,'CP RESUMO'!I80,"")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  <c r="R10" s="45" t="n">
        <f aca="false">IF(OR(B10&lt;='VALOR POR PL'!$P$5,$K$12=0),0,$K$18*$K$26*N10/$K$12)</f>
        <v>0</v>
      </c>
      <c r="S10" s="140" t="n">
        <f aca="false">(IF(AND(6+$K$33&gt;=1,6+$K$33&lt;=72),INDEX($N$5:$N$76,6+$K$33),0)+IF(AND(6+$K$34&gt;=1,6+$K$34&lt;=72),INDEX($N$5:$N$76,6+$K$34),0)+IF(AND(6+$K$35&gt;=1,6+$K$35&lt;=72),INDEX($N$5:$N$76,6+$K$35),0))/3</f>
        <v>0</v>
      </c>
      <c r="T10" s="140" t="n">
        <f aca="false">IF(B10&lt;='VALOR POR PL'!$P$5,0,S10+IF(B10=DATE(YEAR('VALOR POR PL'!$P$5),MONTH('VALOR POR PL'!$P$5)+1,1),SUMPRODUCT((B5:B76&lt;='VALOR POR PL'!$P$5)*S5:S76),0))</f>
        <v>0</v>
      </c>
      <c r="U10" s="45" t="n">
        <f aca="false">IF($K$32=0,0,$K$18*$K$27*T10/$K$32)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HISTORICOS'!J38)</f>
        <v>0</v>
      </c>
      <c r="D11" s="45" t="n">
        <f aca="false">IF(B11&lt;='VALOR POR PL'!$P$5,0,IF($K$16="MDO PREVISION + MATERIAL PREMISSA",R11+U11,IF($K$17&gt;0,$K$18*P11/$K$17,0)))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2160628.3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RESUMO'!J38</f>
        <v>0</v>
      </c>
      <c r="N11" s="140" t="n">
        <f aca="false">MAX(0,M11-M10)</f>
        <v>0</v>
      </c>
      <c r="O11" s="139" t="n">
        <f aca="false">IF(B11&lt;='VALOR POR PL'!$P$5,'CP RESUMO'!J80,"")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  <c r="R11" s="45" t="n">
        <f aca="false">IF(OR(B11&lt;='VALOR POR PL'!$P$5,$K$12=0),0,$K$18*$K$26*N11/$K$12)</f>
        <v>0</v>
      </c>
      <c r="S11" s="140" t="n">
        <f aca="false">(IF(AND(7+$K$33&gt;=1,7+$K$33&lt;=72),INDEX($N$5:$N$76,7+$K$33),0)+IF(AND(7+$K$34&gt;=1,7+$K$34&lt;=72),INDEX($N$5:$N$76,7+$K$34),0)+IF(AND(7+$K$35&gt;=1,7+$K$35&lt;=72),INDEX($N$5:$N$76,7+$K$35),0))/3</f>
        <v>0</v>
      </c>
      <c r="T11" s="140" t="n">
        <f aca="false">IF(B11&lt;='VALOR POR PL'!$P$5,0,S11+IF(B11=DATE(YEAR('VALOR POR PL'!$P$5),MONTH('VALOR POR PL'!$P$5)+1,1),SUMPRODUCT((B5:B76&lt;='VALOR POR PL'!$P$5)*S5:S76),0))</f>
        <v>0</v>
      </c>
      <c r="U11" s="45" t="n">
        <f aca="false">IF($K$32=0,0,$K$18*$K$27*T11/$K$32)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HISTORICOS'!K38)</f>
        <v>0</v>
      </c>
      <c r="D12" s="45" t="n">
        <f aca="false">IF(B12&lt;='VALOR POR PL'!$P$5,0,IF($K$16="MDO PREVISION + MATERIAL PREMISSA",R12+U12,IF($K$17&gt;0,$K$18*P12/$K$17,0)))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RESUMO'!K38</f>
        <v>0</v>
      </c>
      <c r="N12" s="140" t="n">
        <f aca="false">MAX(0,M12-M11)</f>
        <v>0</v>
      </c>
      <c r="O12" s="139" t="n">
        <f aca="false">IF(B12&lt;='VALOR POR PL'!$P$5,'CP RESUMO'!K80,"")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  <c r="R12" s="45" t="n">
        <f aca="false">IF(OR(B12&lt;='VALOR POR PL'!$P$5,$K$12=0),0,$K$18*$K$26*N12/$K$12)</f>
        <v>0</v>
      </c>
      <c r="S12" s="140" t="n">
        <f aca="false">(IF(AND(8+$K$33&gt;=1,8+$K$33&lt;=72),INDEX($N$5:$N$76,8+$K$33),0)+IF(AND(8+$K$34&gt;=1,8+$K$34&lt;=72),INDEX($N$5:$N$76,8+$K$34),0)+IF(AND(8+$K$35&gt;=1,8+$K$35&lt;=72),INDEX($N$5:$N$76,8+$K$35),0))/3</f>
        <v>0</v>
      </c>
      <c r="T12" s="140" t="n">
        <f aca="false">IF(B12&lt;='VALOR POR PL'!$P$5,0,S12+IF(B12=DATE(YEAR('VALOR POR PL'!$P$5),MONTH('VALOR POR PL'!$P$5)+1,1),SUMPRODUCT((B5:B76&lt;='VALOR POR PL'!$P$5)*S5:S76),0))</f>
        <v>0</v>
      </c>
      <c r="U12" s="45" t="n">
        <f aca="false">IF($K$32=0,0,$K$18*$K$27*T12/$K$32)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HISTORICOS'!L38)</f>
        <v>0</v>
      </c>
      <c r="D13" s="45" t="n">
        <f aca="false">IF(B13&lt;='VALOR POR PL'!$P$5,0,IF($K$16="MDO PREVISION + MATERIAL PREMISSA",R13+U13,IF($K$17&gt;0,$K$18*P13/$K$17,0)))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PL'!I44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RESUMO'!L38</f>
        <v>0</v>
      </c>
      <c r="N13" s="140" t="n">
        <f aca="false">MAX(0,M13-M12)</f>
        <v>0</v>
      </c>
      <c r="O13" s="139" t="n">
        <f aca="false">IF(B13&lt;='VALOR POR PL'!$P$5,'CP RESUMO'!L80,"")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  <c r="R13" s="45" t="n">
        <f aca="false">IF(OR(B13&lt;='VALOR POR PL'!$P$5,$K$12=0),0,$K$18*$K$26*N13/$K$12)</f>
        <v>0</v>
      </c>
      <c r="S13" s="140" t="n">
        <f aca="false">(IF(AND(9+$K$33&gt;=1,9+$K$33&lt;=72),INDEX($N$5:$N$76,9+$K$33),0)+IF(AND(9+$K$34&gt;=1,9+$K$34&lt;=72),INDEX($N$5:$N$76,9+$K$34),0)+IF(AND(9+$K$35&gt;=1,9+$K$35&lt;=72),INDEX($N$5:$N$76,9+$K$35),0))/3</f>
        <v>0</v>
      </c>
      <c r="T13" s="140" t="n">
        <f aca="false">IF(B13&lt;='VALOR POR PL'!$P$5,0,S13+IF(B13=DATE(YEAR('VALOR POR PL'!$P$5),MONTH('VALOR POR PL'!$P$5)+1,1),SUMPRODUCT((B5:B76&lt;='VALOR POR PL'!$P$5)*S5:S76),0))</f>
        <v>0</v>
      </c>
      <c r="U13" s="45" t="n">
        <f aca="false">IF($K$32=0,0,$K$18*$K$27*T13/$K$32)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HISTORICOS'!M38)</f>
        <v>0</v>
      </c>
      <c r="D14" s="45" t="n">
        <f aca="false">IF(B14&lt;='VALOR POR PL'!$P$5,0,IF($K$16="MDO PREVISION + MATERIAL PREMISSA",R14+U14,IF($K$17&gt;0,$K$18*P14/$K$17,0)))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RESUMO'!$D$80:$BW$80,MATCH('VALOR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RESUMO'!M38</f>
        <v>0</v>
      </c>
      <c r="N14" s="140" t="n">
        <f aca="false">MAX(0,M14-M13)</f>
        <v>0</v>
      </c>
      <c r="O14" s="139" t="n">
        <f aca="false">IF(B14&lt;='VALOR POR PL'!$P$5,'CP RESUMO'!M80,"")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  <c r="R14" s="45" t="n">
        <f aca="false">IF(OR(B14&lt;='VALOR POR PL'!$P$5,$K$12=0),0,$K$18*$K$26*N14/$K$12)</f>
        <v>0</v>
      </c>
      <c r="S14" s="140" t="n">
        <f aca="false">(IF(AND(10+$K$33&gt;=1,10+$K$33&lt;=72),INDEX($N$5:$N$76,10+$K$33),0)+IF(AND(10+$K$34&gt;=1,10+$K$34&lt;=72),INDEX($N$5:$N$76,10+$K$34),0)+IF(AND(10+$K$35&gt;=1,10+$K$35&lt;=72),INDEX($N$5:$N$76,10+$K$35),0))/3</f>
        <v>0</v>
      </c>
      <c r="T14" s="140" t="n">
        <f aca="false">IF(B14&lt;='VALOR POR PL'!$P$5,0,S14+IF(B14=DATE(YEAR('VALOR POR PL'!$P$5),MONTH('VALOR POR PL'!$P$5)+1,1),SUMPRODUCT((B5:B76&lt;='VALOR POR PL'!$P$5)*S5:S76),0))</f>
        <v>0</v>
      </c>
      <c r="U14" s="45" t="n">
        <f aca="false">IF($K$32=0,0,$K$18*$K$27*T14/$K$32)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HISTORICOS'!N38)</f>
        <v>0</v>
      </c>
      <c r="D15" s="45" t="n">
        <f aca="false">IF(B15&lt;='VALOR POR PL'!$P$5,0,IF($K$16="MDO PREVISION + MATERIAL PREMISSA",R15+U15,IF($K$17&gt;0,$K$18*P15/$K$17,0)))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3026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RESUMO'!N38</f>
        <v>0</v>
      </c>
      <c r="N15" s="140" t="n">
        <f aca="false">MAX(0,M15-M14)</f>
        <v>0</v>
      </c>
      <c r="O15" s="139" t="n">
        <f aca="false">IF(B15&lt;='VALOR POR PL'!$P$5,'CP RESUMO'!N80,"")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  <c r="R15" s="45" t="n">
        <f aca="false">IF(OR(B15&lt;='VALOR POR PL'!$P$5,$K$12=0),0,$K$18*$K$26*N15/$K$12)</f>
        <v>0</v>
      </c>
      <c r="S15" s="140" t="n">
        <f aca="false">(IF(AND(11+$K$33&gt;=1,11+$K$33&lt;=72),INDEX($N$5:$N$76,11+$K$33),0)+IF(AND(11+$K$34&gt;=1,11+$K$34&lt;=72),INDEX($N$5:$N$76,11+$K$34),0)+IF(AND(11+$K$35&gt;=1,11+$K$35&lt;=72),INDEX($N$5:$N$76,11+$K$35),0))/3</f>
        <v>0</v>
      </c>
      <c r="T15" s="140" t="n">
        <f aca="false">IF(B15&lt;='VALOR POR PL'!$P$5,0,S15+IF(B15=DATE(YEAR('VALOR POR PL'!$P$5),MONTH('VALOR POR PL'!$P$5)+1,1),SUMPRODUCT((B5:B76&lt;='VALOR POR PL'!$P$5)*S5:S76),0))</f>
        <v>0</v>
      </c>
      <c r="U15" s="45" t="n">
        <f aca="false">IF($K$32=0,0,$K$18*$K$27*T15/$K$32)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HISTORICOS'!O38)</f>
        <v>0</v>
      </c>
      <c r="D16" s="45" t="n">
        <f aca="false">IF(B16&lt;='VALOR POR PL'!$P$5,0,IF($K$16="MDO PREVISION + MATERIAL PREMISSA",R16+U16,IF($K$17&gt;0,$K$18*P16/$K$17,0)))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>MDO PREVISION + MATERIAL PREMISSA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RESUMO'!O38</f>
        <v>0</v>
      </c>
      <c r="N16" s="140" t="n">
        <f aca="false">MAX(0,M16-M15)</f>
        <v>0</v>
      </c>
      <c r="O16" s="139" t="n">
        <f aca="false">IF(B16&lt;='VALOR POR PL'!$P$5,'CP RESUMO'!O80,"")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  <c r="R16" s="45" t="n">
        <f aca="false">IF(OR(B16&lt;='VALOR POR PL'!$P$5,$K$12=0),0,$K$18*$K$26*N16/$K$12)</f>
        <v>0</v>
      </c>
      <c r="S16" s="140" t="n">
        <f aca="false">(IF(AND(12+$K$33&gt;=1,12+$K$33&lt;=72),INDEX($N$5:$N$76,12+$K$33),0)+IF(AND(12+$K$34&gt;=1,12+$K$34&lt;=72),INDEX($N$5:$N$76,12+$K$34),0)+IF(AND(12+$K$35&gt;=1,12+$K$35&lt;=72),INDEX($N$5:$N$76,12+$K$35),0))/3</f>
        <v>0</v>
      </c>
      <c r="T16" s="140" t="n">
        <f aca="false">IF(B16&lt;='VALOR POR PL'!$P$5,0,S16+IF(B16=DATE(YEAR('VALOR POR PL'!$P$5),MONTH('VALOR POR PL'!$P$5)+1,1),SUMPRODUCT((B5:B76&lt;='VALOR POR PL'!$P$5)*S5:S76),0))</f>
        <v>0</v>
      </c>
      <c r="U16" s="45" t="n">
        <f aca="false">IF($K$32=0,0,$K$18*$K$27*T16/$K$32)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HISTORICOS'!P38)</f>
        <v>0</v>
      </c>
      <c r="D17" s="45" t="n">
        <f aca="false">IF(B17&lt;='VALOR POR PL'!$P$5,0,IF($K$16="MDO PREVISION + MATERIAL PREMISSA",R17+U17,IF($K$17&gt;0,$K$18*P17/$K$17,0)))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RESUMO'!P38</f>
        <v>0</v>
      </c>
      <c r="N17" s="140" t="n">
        <f aca="false">MAX(0,M17-M16)</f>
        <v>0</v>
      </c>
      <c r="O17" s="139" t="n">
        <f aca="false">IF(B17&lt;='VALOR POR PL'!$P$5,'CP RESUMO'!P80,"")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  <c r="R17" s="45" t="n">
        <f aca="false">IF(OR(B17&lt;='VALOR POR PL'!$P$5,$K$12=0),0,$K$18*$K$26*N17/$K$12)</f>
        <v>0</v>
      </c>
      <c r="S17" s="140" t="n">
        <f aca="false">(IF(AND(13+$K$33&gt;=1,13+$K$33&lt;=72),INDEX($N$5:$N$76,13+$K$33),0)+IF(AND(13+$K$34&gt;=1,13+$K$34&lt;=72),INDEX($N$5:$N$76,13+$K$34),0)+IF(AND(13+$K$35&gt;=1,13+$K$35&lt;=72),INDEX($N$5:$N$76,13+$K$35),0))/3</f>
        <v>0</v>
      </c>
      <c r="T17" s="140" t="n">
        <f aca="false">IF(B17&lt;='VALOR POR PL'!$P$5,0,S17+IF(B17=DATE(YEAR('VALOR POR PL'!$P$5),MONTH('VALOR POR PL'!$P$5)+1,1),SUMPRODUCT((B5:B76&lt;='VALOR POR PL'!$P$5)*S5:S76),0))</f>
        <v>0</v>
      </c>
      <c r="U17" s="45" t="n">
        <f aca="false">IF($K$32=0,0,$K$18*$K$27*T17/$K$32)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HISTORICOS'!Q38)</f>
        <v>0</v>
      </c>
      <c r="D18" s="45" t="n">
        <f aca="false">IF(B18&lt;='VALOR POR PL'!$P$5,0,IF($K$16="MDO PREVISION + MATERIAL PREMISSA",R18+U18,IF($K$17&gt;0,$K$18*P18/$K$17,0)))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2184888.0820161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RESUMO'!Q38</f>
        <v>0</v>
      </c>
      <c r="N18" s="140" t="n">
        <f aca="false">MAX(0,M18-M17)</f>
        <v>0</v>
      </c>
      <c r="O18" s="139" t="n">
        <f aca="false">IF(B18&lt;='VALOR POR PL'!$P$5,'CP RESUMO'!Q80,"")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  <c r="R18" s="45" t="n">
        <f aca="false">IF(OR(B18&lt;='VALOR POR PL'!$P$5,$K$12=0),0,$K$18*$K$26*N18/$K$12)</f>
        <v>0</v>
      </c>
      <c r="S18" s="140" t="n">
        <f aca="false">(IF(AND(14+$K$33&gt;=1,14+$K$33&lt;=72),INDEX($N$5:$N$76,14+$K$33),0)+IF(AND(14+$K$34&gt;=1,14+$K$34&lt;=72),INDEX($N$5:$N$76,14+$K$34),0)+IF(AND(14+$K$35&gt;=1,14+$K$35&lt;=72),INDEX($N$5:$N$76,14+$K$35),0))/3</f>
        <v>0</v>
      </c>
      <c r="T18" s="140" t="n">
        <f aca="false">IF(B18&lt;='VALOR POR PL'!$P$5,0,S18+IF(B18=DATE(YEAR('VALOR POR PL'!$P$5),MONTH('VALOR POR PL'!$P$5)+1,1),SUMPRODUCT((B5:B76&lt;='VALOR POR PL'!$P$5)*S5:S76),0))</f>
        <v>0</v>
      </c>
      <c r="U18" s="45" t="n">
        <f aca="false">IF($K$32=0,0,$K$18*$K$27*T18/$K$32)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HISTORICOS'!R38)</f>
        <v>0</v>
      </c>
      <c r="D19" s="45" t="n">
        <f aca="false">IF(B19&lt;='VALOR POR PL'!$P$5,0,IF($K$16="MDO PREVISION + MATERIAL PREMISSA",R19+U19,IF($K$17&gt;0,$K$18*P19/$K$17,0)))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RESUMO'!R38</f>
        <v>0</v>
      </c>
      <c r="N19" s="140" t="n">
        <f aca="false">MAX(0,M19-M18)</f>
        <v>0</v>
      </c>
      <c r="O19" s="139" t="n">
        <f aca="false">IF(B19&lt;='VALOR POR PL'!$P$5,'CP RESUMO'!R80,"")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  <c r="R19" s="45" t="n">
        <f aca="false">IF(OR(B19&lt;='VALOR POR PL'!$P$5,$K$12=0),0,$K$18*$K$26*N19/$K$12)</f>
        <v>0</v>
      </c>
      <c r="S19" s="140" t="n">
        <f aca="false">(IF(AND(15+$K$33&gt;=1,15+$K$33&lt;=72),INDEX($N$5:$N$76,15+$K$33),0)+IF(AND(15+$K$34&gt;=1,15+$K$34&lt;=72),INDEX($N$5:$N$76,15+$K$34),0)+IF(AND(15+$K$35&gt;=1,15+$K$35&lt;=72),INDEX($N$5:$N$76,15+$K$35),0))/3</f>
        <v>0</v>
      </c>
      <c r="T19" s="140" t="n">
        <f aca="false">IF(B19&lt;='VALOR POR PL'!$P$5,0,S19+IF(B19=DATE(YEAR('VALOR POR PL'!$P$5),MONTH('VALOR POR PL'!$P$5)+1,1),SUMPRODUCT((B5:B76&lt;='VALOR POR PL'!$P$5)*S5:S76),0))</f>
        <v>0</v>
      </c>
      <c r="U19" s="45" t="n">
        <f aca="false">IF($K$32=0,0,$K$18*$K$27*T19/$K$32)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HISTORICOS'!S38)</f>
        <v>0</v>
      </c>
      <c r="D20" s="45" t="n">
        <f aca="false">IF(B20&lt;='VALOR POR PL'!$P$5,0,IF($K$16="MDO PREVISION + MATERIAL PREMISSA",R20+U20,IF($K$17&gt;0,$K$18*P20/$K$17,0)))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RESUMO'!S38</f>
        <v>0</v>
      </c>
      <c r="N20" s="140" t="n">
        <f aca="false">MAX(0,M20-M19)</f>
        <v>0</v>
      </c>
      <c r="O20" s="139" t="n">
        <f aca="false">IF(B20&lt;='VALOR POR PL'!$P$5,'CP RESUMO'!S80,"")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  <c r="R20" s="45" t="n">
        <f aca="false">IF(OR(B20&lt;='VALOR POR PL'!$P$5,$K$12=0),0,$K$18*$K$26*N20/$K$12)</f>
        <v>0</v>
      </c>
      <c r="S20" s="140" t="n">
        <f aca="false">(IF(AND(16+$K$33&gt;=1,16+$K$33&lt;=72),INDEX($N$5:$N$76,16+$K$33),0)+IF(AND(16+$K$34&gt;=1,16+$K$34&lt;=72),INDEX($N$5:$N$76,16+$K$34),0)+IF(AND(16+$K$35&gt;=1,16+$K$35&lt;=72),INDEX($N$5:$N$76,16+$K$35),0))/3</f>
        <v>0</v>
      </c>
      <c r="T20" s="140" t="n">
        <f aca="false">IF(B20&lt;='VALOR POR PL'!$P$5,0,S20+IF(B20=DATE(YEAR('VALOR POR PL'!$P$5),MONTH('VALOR POR PL'!$P$5)+1,1),SUMPRODUCT((B5:B76&lt;='VALOR POR PL'!$P$5)*S5:S76),0))</f>
        <v>0</v>
      </c>
      <c r="U20" s="45" t="n">
        <f aca="false">IF($K$32=0,0,$K$18*$K$27*T20/$K$32)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HISTORICOS'!T38)</f>
        <v>0</v>
      </c>
      <c r="D21" s="45" t="n">
        <f aca="false">IF(B21&lt;='VALOR POR PL'!$P$5,0,IF($K$16="MDO PREVISION + MATERIAL PREMISSA",R21+U21,IF($K$17&gt;0,$K$18*P21/$K$17,0)))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RESUMO'!T38</f>
        <v>0</v>
      </c>
      <c r="N21" s="140" t="n">
        <f aca="false">MAX(0,M21-M20)</f>
        <v>0</v>
      </c>
      <c r="O21" s="139" t="n">
        <f aca="false">IF(B21&lt;='VALOR POR PL'!$P$5,'CP RESUMO'!T80,"")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  <c r="R21" s="45" t="n">
        <f aca="false">IF(OR(B21&lt;='VALOR POR PL'!$P$5,$K$12=0),0,$K$18*$K$26*N21/$K$12)</f>
        <v>0</v>
      </c>
      <c r="S21" s="140" t="n">
        <f aca="false">(IF(AND(17+$K$33&gt;=1,17+$K$33&lt;=72),INDEX($N$5:$N$76,17+$K$33),0)+IF(AND(17+$K$34&gt;=1,17+$K$34&lt;=72),INDEX($N$5:$N$76,17+$K$34),0)+IF(AND(17+$K$35&gt;=1,17+$K$35&lt;=72),INDEX($N$5:$N$76,17+$K$35),0))/3</f>
        <v>0</v>
      </c>
      <c r="T21" s="140" t="n">
        <f aca="false">IF(B21&lt;='VALOR POR PL'!$P$5,0,S21+IF(B21=DATE(YEAR('VALOR POR PL'!$P$5),MONTH('VALOR POR PL'!$P$5)+1,1),SUMPRODUCT((B5:B76&lt;='VALOR POR PL'!$P$5)*S5:S76),0))</f>
        <v>0</v>
      </c>
      <c r="U21" s="45" t="n">
        <f aca="false">IF($K$32=0,0,$K$18*$K$27*T21/$K$32)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HISTORICOS'!U38)</f>
        <v>0</v>
      </c>
      <c r="D22" s="45" t="n">
        <f aca="false">IF(B22&lt;='VALOR POR PL'!$P$5,0,IF($K$16="MDO PREVISION + MATERIAL PREMISSA",R22+U22,IF($K$17&gt;0,$K$18*P22/$K$17,0)))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RESUMO'!U38</f>
        <v>0</v>
      </c>
      <c r="N22" s="140" t="n">
        <f aca="false">MAX(0,M22-M21)</f>
        <v>0</v>
      </c>
      <c r="O22" s="139" t="n">
        <f aca="false">IF(B22&lt;='VALOR POR PL'!$P$5,'CP RESUMO'!U80,"")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  <c r="R22" s="45" t="n">
        <f aca="false">IF(OR(B22&lt;='VALOR POR PL'!$P$5,$K$12=0),0,$K$18*$K$26*N22/$K$12)</f>
        <v>0</v>
      </c>
      <c r="S22" s="140" t="n">
        <f aca="false">(IF(AND(18+$K$33&gt;=1,18+$K$33&lt;=72),INDEX($N$5:$N$76,18+$K$33),0)+IF(AND(18+$K$34&gt;=1,18+$K$34&lt;=72),INDEX($N$5:$N$76,18+$K$34),0)+IF(AND(18+$K$35&gt;=1,18+$K$35&lt;=72),INDEX($N$5:$N$76,18+$K$35),0))/3</f>
        <v>0</v>
      </c>
      <c r="T22" s="140" t="n">
        <f aca="false">IF(B22&lt;='VALOR POR PL'!$P$5,0,S22+IF(B22=DATE(YEAR('VALOR POR PL'!$P$5),MONTH('VALOR POR PL'!$P$5)+1,1),SUMPRODUCT((B5:B76&lt;='VALOR POR PL'!$P$5)*S5:S76),0))</f>
        <v>0</v>
      </c>
      <c r="U22" s="45" t="n">
        <f aca="false">IF($K$32=0,0,$K$18*$K$27*T22/$K$32)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HISTORICOS'!V38)</f>
        <v>0</v>
      </c>
      <c r="D23" s="45" t="n">
        <f aca="false">IF(B23&lt;='VALOR POR PL'!$P$5,0,IF($K$16="MDO PREVISION + MATERIAL PREMISSA",R23+U23,IF($K$17&gt;0,$K$18*P23/$K$17,0)))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RESUMO'!V38</f>
        <v>0</v>
      </c>
      <c r="N23" s="140" t="n">
        <f aca="false">MAX(0,M23-M22)</f>
        <v>0</v>
      </c>
      <c r="O23" s="139" t="n">
        <f aca="false">IF(B23&lt;='VALOR POR PL'!$P$5,'CP RESUMO'!V80,"")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  <c r="R23" s="45" t="n">
        <f aca="false">IF(OR(B23&lt;='VALOR POR PL'!$P$5,$K$12=0),0,$K$18*$K$26*N23/$K$12)</f>
        <v>0</v>
      </c>
      <c r="S23" s="140" t="n">
        <f aca="false">(IF(AND(19+$K$33&gt;=1,19+$K$33&lt;=72),INDEX($N$5:$N$76,19+$K$33),0)+IF(AND(19+$K$34&gt;=1,19+$K$34&lt;=72),INDEX($N$5:$N$76,19+$K$34),0)+IF(AND(19+$K$35&gt;=1,19+$K$35&lt;=72),INDEX($N$5:$N$76,19+$K$35),0))/3</f>
        <v>0</v>
      </c>
      <c r="T23" s="140" t="n">
        <f aca="false">IF(B23&lt;='VALOR POR PL'!$P$5,0,S23+IF(B23=DATE(YEAR('VALOR POR PL'!$P$5),MONTH('VALOR POR PL'!$P$5)+1,1),SUMPRODUCT((B5:B76&lt;='VALOR POR PL'!$P$5)*S5:S76),0))</f>
        <v>0</v>
      </c>
      <c r="U23" s="45" t="n">
        <f aca="false">IF($K$32=0,0,$K$18*$K$27*T23/$K$32)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HISTORICOS'!W38)</f>
        <v>0</v>
      </c>
      <c r="D24" s="45" t="n">
        <f aca="false">IF(B24&lt;='VALOR POR PL'!$P$5,0,IF($K$16="MDO PREVISION + MATERIAL PREMISSA",R24+U24,IF($K$17&gt;0,$K$18*P24/$K$17,0)))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 t="s">
        <v>3027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RESUMO'!W38</f>
        <v>0</v>
      </c>
      <c r="N24" s="140" t="n">
        <f aca="false">MAX(0,M24-M23)</f>
        <v>0</v>
      </c>
      <c r="O24" s="139" t="n">
        <f aca="false">IF(B24&lt;='VALOR POR PL'!$P$5,'CP RESUMO'!W80,"")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  <c r="R24" s="45" t="n">
        <f aca="false">IF(OR(B24&lt;='VALOR POR PL'!$P$5,$K$12=0),0,$K$18*$K$26*N24/$K$12)</f>
        <v>0</v>
      </c>
      <c r="S24" s="140" t="n">
        <f aca="false">(IF(AND(20+$K$33&gt;=1,20+$K$33&lt;=72),INDEX($N$5:$N$76,20+$K$33),0)+IF(AND(20+$K$34&gt;=1,20+$K$34&lt;=72),INDEX($N$5:$N$76,20+$K$34),0)+IF(AND(20+$K$35&gt;=1,20+$K$35&lt;=72),INDEX($N$5:$N$76,20+$K$35),0))/3</f>
        <v>0</v>
      </c>
      <c r="T24" s="140" t="n">
        <f aca="false">IF(B24&lt;='VALOR POR PL'!$P$5,0,S24+IF(B24=DATE(YEAR('VALOR POR PL'!$P$5),MONTH('VALOR POR PL'!$P$5)+1,1),SUMPRODUCT((B5:B76&lt;='VALOR POR PL'!$P$5)*S5:S76),0))</f>
        <v>0</v>
      </c>
      <c r="U24" s="45" t="n">
        <f aca="false">IF($K$32=0,0,$K$18*$K$27*T24/$K$32)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HISTORICOS'!X38)</f>
        <v>0</v>
      </c>
      <c r="D25" s="45" t="n">
        <f aca="false">IF(B25&lt;='VALOR POR PL'!$P$5,0,IF($K$16="MDO PREVISION + MATERIAL PREMISSA",R25+U25,IF($K$17&gt;0,$K$18*P25/$K$17,0)))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I25" s="62" t="s">
        <v>3028</v>
      </c>
      <c r="J25" s="62"/>
      <c r="K25" s="62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RESUMO'!X38</f>
        <v>0</v>
      </c>
      <c r="N25" s="140" t="n">
        <f aca="false">MAX(0,M25-M24)</f>
        <v>0</v>
      </c>
      <c r="O25" s="139" t="n">
        <f aca="false">IF(B25&lt;='VALOR POR PL'!$P$5,'CP RESUMO'!X80,"")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  <c r="R25" s="45" t="n">
        <f aca="false">IF(OR(B25&lt;='VALOR POR PL'!$P$5,$K$12=0),0,$K$18*$K$26*N25/$K$12)</f>
        <v>0</v>
      </c>
      <c r="S25" s="140" t="n">
        <f aca="false">(IF(AND(21+$K$33&gt;=1,21+$K$33&lt;=72),INDEX($N$5:$N$76,21+$K$33),0)+IF(AND(21+$K$34&gt;=1,21+$K$34&lt;=72),INDEX($N$5:$N$76,21+$K$34),0)+IF(AND(21+$K$35&gt;=1,21+$K$35&lt;=72),INDEX($N$5:$N$76,21+$K$35),0))/3</f>
        <v>0</v>
      </c>
      <c r="T25" s="140" t="n">
        <f aca="false">IF(B25&lt;='VALOR POR PL'!$P$5,0,S25+IF(B25=DATE(YEAR('VALOR POR PL'!$P$5),MONTH('VALOR POR PL'!$P$5)+1,1),SUMPRODUCT((B5:B76&lt;='VALOR POR PL'!$P$5)*S5:S76),0))</f>
        <v>0</v>
      </c>
      <c r="U25" s="45" t="n">
        <f aca="false">IF($K$32=0,0,$K$18*$K$27*T25/$K$32)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HISTORICOS'!Y38)</f>
        <v>0</v>
      </c>
      <c r="D26" s="45" t="n">
        <f aca="false">IF(B26&lt;='VALOR POR PL'!$P$5,0,IF($K$16="MDO PREVISION + MATERIAL PREMISSA",R26+U26,IF($K$17&gt;0,$K$18*P26/$K$17,0)))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I26" s="42" t="s">
        <v>3029</v>
      </c>
      <c r="K26" s="51" t="n">
        <v>0.4</v>
      </c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RESUMO'!Y38</f>
        <v>0</v>
      </c>
      <c r="N26" s="140" t="n">
        <f aca="false">MAX(0,M26-M25)</f>
        <v>0</v>
      </c>
      <c r="O26" s="139" t="str">
        <f aca="false">IF(B26&lt;='VALOR POR PL'!$P$5,'CP RESUMO'!Y80,"")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  <c r="R26" s="45" t="n">
        <f aca="false">IF(OR(B26&lt;='VALOR POR PL'!$P$5,$K$12=0),0,$K$18*$K$26*N26/$K$12)</f>
        <v>0</v>
      </c>
      <c r="S26" s="140" t="n">
        <f aca="false">(IF(AND(22+$K$33&gt;=1,22+$K$33&lt;=72),INDEX($N$5:$N$76,22+$K$33),0)+IF(AND(22+$K$34&gt;=1,22+$K$34&lt;=72),INDEX($N$5:$N$76,22+$K$34),0)+IF(AND(22+$K$35&gt;=1,22+$K$35&lt;=72),INDEX($N$5:$N$76,22+$K$35),0))/3</f>
        <v>0</v>
      </c>
      <c r="T26" s="140" t="n">
        <f aca="false">IF(B26&lt;='VALOR POR PL'!$P$5,0,S26+IF(B26=DATE(YEAR('VALOR POR PL'!$P$5),MONTH('VALOR POR PL'!$P$5)+1,1),SUMPRODUCT((B5:B76&lt;='VALOR POR PL'!$P$5)*S5:S76),0))</f>
        <v>0</v>
      </c>
      <c r="U26" s="45" t="n">
        <f aca="false">IF($K$32=0,0,$K$18*$K$27*T26/$K$32)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HISTORICOS'!Z38)</f>
        <v>0</v>
      </c>
      <c r="D27" s="45" t="n">
        <f aca="false">IF(B27&lt;='VALOR POR PL'!$P$5,0,IF($K$16="MDO PREVISION + MATERIAL PREMISSA",R27+U27,IF($K$17&gt;0,$K$18*P27/$K$17,0)))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I27" s="42" t="s">
        <v>3030</v>
      </c>
      <c r="K27" s="172" t="n">
        <f aca="false">1-K26</f>
        <v>0.6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RESUMO'!Z38</f>
        <v>0</v>
      </c>
      <c r="N27" s="140" t="n">
        <f aca="false">MAX(0,M27-M26)</f>
        <v>0</v>
      </c>
      <c r="O27" s="139" t="str">
        <f aca="false">IF(B27&lt;='VALOR POR PL'!$P$5,'CP RESUMO'!Z80,"")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  <c r="R27" s="45" t="n">
        <f aca="false">IF(OR(B27&lt;='VALOR POR PL'!$P$5,$K$12=0),0,$K$18*$K$26*N27/$K$12)</f>
        <v>0</v>
      </c>
      <c r="S27" s="140" t="n">
        <f aca="false">(IF(AND(23+$K$33&gt;=1,23+$K$33&lt;=72),INDEX($N$5:$N$76,23+$K$33),0)+IF(AND(23+$K$34&gt;=1,23+$K$34&lt;=72),INDEX($N$5:$N$76,23+$K$34),0)+IF(AND(23+$K$35&gt;=1,23+$K$35&lt;=72),INDEX($N$5:$N$76,23+$K$35),0))/3</f>
        <v>0</v>
      </c>
      <c r="T27" s="140" t="n">
        <f aca="false">IF(B27&lt;='VALOR POR PL'!$P$5,0,S27+IF(B27=DATE(YEAR('VALOR POR PL'!$P$5),MONTH('VALOR POR PL'!$P$5)+1,1),SUMPRODUCT((B5:B76&lt;='VALOR POR PL'!$P$5)*S5:S76),0))</f>
        <v>0</v>
      </c>
      <c r="U27" s="45" t="n">
        <f aca="false">IF($K$32=0,0,$K$18*$K$27*T27/$K$32)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HISTORICOS'!AA38)</f>
        <v>0</v>
      </c>
      <c r="D28" s="45" t="n">
        <f aca="false">IF(B28&lt;='VALOR POR PL'!$P$5,0,IF($K$16="MDO PREVISION + MATERIAL PREMISSA",R28+U28,IF($K$17&gt;0,$K$18*P28/$K$17,0)))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I28" s="42" t="s">
        <v>3031</v>
      </c>
      <c r="K28" s="173" t="n">
        <v>180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RESUMO'!AA38</f>
        <v>0</v>
      </c>
      <c r="N28" s="140" t="n">
        <f aca="false">MAX(0,M28-M27)</f>
        <v>0</v>
      </c>
      <c r="O28" s="139" t="str">
        <f aca="false">IF(B28&lt;='VALOR POR PL'!$P$5,'CP RESUMO'!AA80,"")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  <c r="R28" s="45" t="n">
        <f aca="false">IF(OR(B28&lt;='VALOR POR PL'!$P$5,$K$12=0),0,$K$18*$K$26*N28/$K$12)</f>
        <v>0</v>
      </c>
      <c r="S28" s="140" t="n">
        <f aca="false">(IF(AND(24+$K$33&gt;=1,24+$K$33&lt;=72),INDEX($N$5:$N$76,24+$K$33),0)+IF(AND(24+$K$34&gt;=1,24+$K$34&lt;=72),INDEX($N$5:$N$76,24+$K$34),0)+IF(AND(24+$K$35&gt;=1,24+$K$35&lt;=72),INDEX($N$5:$N$76,24+$K$35),0))/3</f>
        <v>0</v>
      </c>
      <c r="T28" s="140" t="n">
        <f aca="false">IF(B28&lt;='VALOR POR PL'!$P$5,0,S28+IF(B28=DATE(YEAR('VALOR POR PL'!$P$5),MONTH('VALOR POR PL'!$P$5)+1,1),SUMPRODUCT((B5:B76&lt;='VALOR POR PL'!$P$5)*S5:S76),0))</f>
        <v>0</v>
      </c>
      <c r="U28" s="45" t="n">
        <f aca="false">IF($K$32=0,0,$K$18*$K$27*T28/$K$32)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HISTORICOS'!AB38)</f>
        <v>0</v>
      </c>
      <c r="D29" s="45" t="n">
        <f aca="false">IF(B29&lt;='VALOR POR PL'!$P$5,0,IF($K$16="MDO PREVISION + MATERIAL PREMISSA",R29+U29,IF($K$17&gt;0,$K$18*P29/$K$17,0)))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I29" s="42" t="s">
        <v>3032</v>
      </c>
      <c r="K29" s="173" t="n">
        <v>28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RESUMO'!AB38</f>
        <v>0</v>
      </c>
      <c r="N29" s="140" t="n">
        <f aca="false">MAX(0,M29-M28)</f>
        <v>0</v>
      </c>
      <c r="O29" s="139" t="str">
        <f aca="false">IF(B29&lt;='VALOR POR PL'!$P$5,'CP RESUMO'!AB80,"")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  <c r="R29" s="45" t="n">
        <f aca="false">IF(OR(B29&lt;='VALOR POR PL'!$P$5,$K$12=0),0,$K$18*$K$26*N29/$K$12)</f>
        <v>0</v>
      </c>
      <c r="S29" s="140" t="n">
        <f aca="false">(IF(AND(25+$K$33&gt;=1,25+$K$33&lt;=72),INDEX($N$5:$N$76,25+$K$33),0)+IF(AND(25+$K$34&gt;=1,25+$K$34&lt;=72),INDEX($N$5:$N$76,25+$K$34),0)+IF(AND(25+$K$35&gt;=1,25+$K$35&lt;=72),INDEX($N$5:$N$76,25+$K$35),0))/3</f>
        <v>0</v>
      </c>
      <c r="T29" s="140" t="n">
        <f aca="false">IF(B29&lt;='VALOR POR PL'!$P$5,0,S29+IF(B29=DATE(YEAR('VALOR POR PL'!$P$5),MONTH('VALOR POR PL'!$P$5)+1,1),SUMPRODUCT((B5:B76&lt;='VALOR POR PL'!$P$5)*S5:S76),0))</f>
        <v>0</v>
      </c>
      <c r="U29" s="45" t="n">
        <f aca="false">IF($K$32=0,0,$K$18*$K$27*T29/$K$32)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HISTORICOS'!AC38)</f>
        <v>0</v>
      </c>
      <c r="D30" s="45" t="n">
        <f aca="false">IF(B30&lt;='VALOR POR PL'!$P$5,0,IF($K$16="MDO PREVISION + MATERIAL PREMISSA",R30+U30,IF($K$17&gt;0,$K$18*P30/$K$17,0)))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I30" s="42" t="s">
        <v>3033</v>
      </c>
      <c r="K30" s="173" t="n">
        <v>56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RESUMO'!AC38</f>
        <v>0</v>
      </c>
      <c r="N30" s="140" t="n">
        <f aca="false">MAX(0,M30-M29)</f>
        <v>0</v>
      </c>
      <c r="O30" s="139" t="str">
        <f aca="false">IF(B30&lt;='VALOR POR PL'!$P$5,'CP RESUMO'!AC80,"")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  <c r="R30" s="45" t="n">
        <f aca="false">IF(OR(B30&lt;='VALOR POR PL'!$P$5,$K$12=0),0,$K$18*$K$26*N30/$K$12)</f>
        <v>0</v>
      </c>
      <c r="S30" s="140" t="n">
        <f aca="false">(IF(AND(26+$K$33&gt;=1,26+$K$33&lt;=72),INDEX($N$5:$N$76,26+$K$33),0)+IF(AND(26+$K$34&gt;=1,26+$K$34&lt;=72),INDEX($N$5:$N$76,26+$K$34),0)+IF(AND(26+$K$35&gt;=1,26+$K$35&lt;=72),INDEX($N$5:$N$76,26+$K$35),0))/3</f>
        <v>0</v>
      </c>
      <c r="T30" s="140" t="n">
        <f aca="false">IF(B30&lt;='VALOR POR PL'!$P$5,0,S30+IF(B30=DATE(YEAR('VALOR POR PL'!$P$5),MONTH('VALOR POR PL'!$P$5)+1,1),SUMPRODUCT((B5:B76&lt;='VALOR POR PL'!$P$5)*S5:S76),0))</f>
        <v>0</v>
      </c>
      <c r="U30" s="45" t="n">
        <f aca="false">IF($K$32=0,0,$K$18*$K$27*T30/$K$32)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HISTORICOS'!AD38)</f>
        <v>0</v>
      </c>
      <c r="D31" s="45" t="n">
        <f aca="false">IF(B31&lt;='VALOR POR PL'!$P$5,0,IF($K$16="MDO PREVISION + MATERIAL PREMISSA",R31+U31,IF($K$17&gt;0,$K$18*P31/$K$17,0)))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I31" s="42" t="s">
        <v>3034</v>
      </c>
      <c r="K31" s="173" t="n">
        <v>84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RESUMO'!AD38</f>
        <v>0</v>
      </c>
      <c r="N31" s="140" t="n">
        <f aca="false">MAX(0,M31-M30)</f>
        <v>0</v>
      </c>
      <c r="O31" s="139" t="str">
        <f aca="false">IF(B31&lt;='VALOR POR PL'!$P$5,'CP RESUMO'!AD80,"")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  <c r="R31" s="45" t="n">
        <f aca="false">IF(OR(B31&lt;='VALOR POR PL'!$P$5,$K$12=0),0,$K$18*$K$26*N31/$K$12)</f>
        <v>0</v>
      </c>
      <c r="S31" s="140" t="n">
        <f aca="false">(IF(AND(27+$K$33&gt;=1,27+$K$33&lt;=72),INDEX($N$5:$N$76,27+$K$33),0)+IF(AND(27+$K$34&gt;=1,27+$K$34&lt;=72),INDEX($N$5:$N$76,27+$K$34),0)+IF(AND(27+$K$35&gt;=1,27+$K$35&lt;=72),INDEX($N$5:$N$76,27+$K$35),0))/3</f>
        <v>0</v>
      </c>
      <c r="T31" s="140" t="n">
        <f aca="false">IF(B31&lt;='VALOR POR PL'!$P$5,0,S31+IF(B31=DATE(YEAR('VALOR POR PL'!$P$5),MONTH('VALOR POR PL'!$P$5)+1,1),SUMPRODUCT((B5:B76&lt;='VALOR POR PL'!$P$5)*S5:S76),0))</f>
        <v>0</v>
      </c>
      <c r="U31" s="45" t="n">
        <f aca="false">IF($K$32=0,0,$K$18*$K$27*T31/$K$32)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HISTORICOS'!AE38)</f>
        <v>0</v>
      </c>
      <c r="D32" s="45" t="n">
        <f aca="false">IF(B32&lt;='VALOR POR PL'!$P$5,0,IF($K$16="MDO PREVISION + MATERIAL PREMISSA",R32+U32,IF($K$17&gt;0,$K$18*P32/$K$17,0)))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I32" s="42" t="s">
        <v>3035</v>
      </c>
      <c r="K32" s="140" t="n">
        <f aca="false">SUM(T5:T76)</f>
        <v>100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RESUMO'!AE38</f>
        <v>0</v>
      </c>
      <c r="N32" s="140" t="n">
        <f aca="false">MAX(0,M32-M31)</f>
        <v>0</v>
      </c>
      <c r="O32" s="139" t="str">
        <f aca="false">IF(B32&lt;='VALOR POR PL'!$P$5,'CP RESUMO'!AE80,"")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  <c r="R32" s="45" t="n">
        <f aca="false">IF(OR(B32&lt;='VALOR POR PL'!$P$5,$K$12=0),0,$K$18*$K$26*N32/$K$12)</f>
        <v>0</v>
      </c>
      <c r="S32" s="140" t="n">
        <f aca="false">(IF(AND(28+$K$33&gt;=1,28+$K$33&lt;=72),INDEX($N$5:$N$76,28+$K$33),0)+IF(AND(28+$K$34&gt;=1,28+$K$34&lt;=72),INDEX($N$5:$N$76,28+$K$34),0)+IF(AND(28+$K$35&gt;=1,28+$K$35&lt;=72),INDEX($N$5:$N$76,28+$K$35),0))/3</f>
        <v>0</v>
      </c>
      <c r="T32" s="140" t="n">
        <f aca="false">IF(B32&lt;='VALOR POR PL'!$P$5,0,S32+IF(B32=DATE(YEAR('VALOR POR PL'!$P$5),MONTH('VALOR POR PL'!$P$5)+1,1),SUMPRODUCT((B5:B76&lt;='VALOR POR PL'!$P$5)*S5:S76),0))</f>
        <v>0</v>
      </c>
      <c r="U32" s="45" t="n">
        <f aca="false">IF($K$32=0,0,$K$18*$K$27*T32/$K$32)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HISTORICOS'!AF38)</f>
        <v>0</v>
      </c>
      <c r="D33" s="45" t="n">
        <f aca="false">IF(B33&lt;='VALOR POR PL'!$P$5,0,IF($K$16="MDO PREVISION + MATERIAL PREMISSA",R33+U33,IF($K$17&gt;0,$K$18*P33/$K$17,0)))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I33" s="42" t="s">
        <v>3036</v>
      </c>
      <c r="K33" s="63" t="n">
        <f aca="false">ROUND((K28-K29)/30,0)</f>
        <v>5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RESUMO'!AF38</f>
        <v>0</v>
      </c>
      <c r="N33" s="140" t="n">
        <f aca="false">MAX(0,M33-M32)</f>
        <v>0</v>
      </c>
      <c r="O33" s="139" t="str">
        <f aca="false">IF(B33&lt;='VALOR POR PL'!$P$5,'CP RESUMO'!AF80,"")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  <c r="R33" s="45" t="n">
        <f aca="false">IF(OR(B33&lt;='VALOR POR PL'!$P$5,$K$12=0),0,$K$18*$K$26*N33/$K$12)</f>
        <v>0</v>
      </c>
      <c r="S33" s="140" t="n">
        <f aca="false">(IF(AND(29+$K$33&gt;=1,29+$K$33&lt;=72),INDEX($N$5:$N$76,29+$K$33),0)+IF(AND(29+$K$34&gt;=1,29+$K$34&lt;=72),INDEX($N$5:$N$76,29+$K$34),0)+IF(AND(29+$K$35&gt;=1,29+$K$35&lt;=72),INDEX($N$5:$N$76,29+$K$35),0))/3</f>
        <v>0</v>
      </c>
      <c r="T33" s="140" t="n">
        <f aca="false">IF(B33&lt;='VALOR POR PL'!$P$5,0,S33+IF(B33=DATE(YEAR('VALOR POR PL'!$P$5),MONTH('VALOR POR PL'!$P$5)+1,1),SUMPRODUCT((B5:B76&lt;='VALOR POR PL'!$P$5)*S5:S76),0))</f>
        <v>0</v>
      </c>
      <c r="U33" s="45" t="n">
        <f aca="false">IF($K$32=0,0,$K$18*$K$27*T33/$K$32)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HISTORICOS'!AG38)</f>
        <v>0</v>
      </c>
      <c r="D34" s="45" t="n">
        <f aca="false">IF(B34&lt;='VALOR POR PL'!$P$5,0,IF($K$16="MDO PREVISION + MATERIAL PREMISSA",R34+U34,IF($K$17&gt;0,$K$18*P34/$K$17,0)))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I34" s="42" t="s">
        <v>3037</v>
      </c>
      <c r="K34" s="63" t="n">
        <f aca="false">ROUND((K28-K30)/30,0)</f>
        <v>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RESUMO'!AG38</f>
        <v>0</v>
      </c>
      <c r="N34" s="140" t="n">
        <f aca="false">MAX(0,M34-M33)</f>
        <v>0</v>
      </c>
      <c r="O34" s="139" t="str">
        <f aca="false">IF(B34&lt;='VALOR POR PL'!$P$5,'CP RESUMO'!AG80,"")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  <c r="R34" s="45" t="n">
        <f aca="false">IF(OR(B34&lt;='VALOR POR PL'!$P$5,$K$12=0),0,$K$18*$K$26*N34/$K$12)</f>
        <v>0</v>
      </c>
      <c r="S34" s="140" t="n">
        <f aca="false">(IF(AND(30+$K$33&gt;=1,30+$K$33&lt;=72),INDEX($N$5:$N$76,30+$K$33),0)+IF(AND(30+$K$34&gt;=1,30+$K$34&lt;=72),INDEX($N$5:$N$76,30+$K$34),0)+IF(AND(30+$K$35&gt;=1,30+$K$35&lt;=72),INDEX($N$5:$N$76,30+$K$35),0))/3</f>
        <v>0</v>
      </c>
      <c r="T34" s="140" t="n">
        <f aca="false">IF(B34&lt;='VALOR POR PL'!$P$5,0,S34+IF(B34=DATE(YEAR('VALOR POR PL'!$P$5),MONTH('VALOR POR PL'!$P$5)+1,1),SUMPRODUCT((B5:B76&lt;='VALOR POR PL'!$P$5)*S5:S76),0))</f>
        <v>0</v>
      </c>
      <c r="U34" s="45" t="n">
        <f aca="false">IF($K$32=0,0,$K$18*$K$27*T34/$K$32)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HISTORICOS'!AH38)</f>
        <v>0</v>
      </c>
      <c r="D35" s="45" t="n">
        <f aca="false">IF(B35&lt;='VALOR POR PL'!$P$5,0,IF($K$16="MDO PREVISION + MATERIAL PREMISSA",R35+U35,IF($K$17&gt;0,$K$18*P35/$K$17,0)))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I35" s="42" t="s">
        <v>3038</v>
      </c>
      <c r="K35" s="63" t="n">
        <f aca="false">ROUND((K28-K31)/30,0)</f>
        <v>3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RESUMO'!AH38</f>
        <v>0</v>
      </c>
      <c r="N35" s="140" t="n">
        <f aca="false">MAX(0,M35-M34)</f>
        <v>0</v>
      </c>
      <c r="O35" s="139" t="str">
        <f aca="false">IF(B35&lt;='VALOR POR PL'!$P$5,'CP RESUMO'!AH80,"")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  <c r="R35" s="45" t="n">
        <f aca="false">IF(OR(B35&lt;='VALOR POR PL'!$P$5,$K$12=0),0,$K$18*$K$26*N35/$K$12)</f>
        <v>0</v>
      </c>
      <c r="S35" s="140" t="n">
        <f aca="false">(IF(AND(31+$K$33&gt;=1,31+$K$33&lt;=72),INDEX($N$5:$N$76,31+$K$33),0)+IF(AND(31+$K$34&gt;=1,31+$K$34&lt;=72),INDEX($N$5:$N$76,31+$K$34),0)+IF(AND(31+$K$35&gt;=1,31+$K$35&lt;=72),INDEX($N$5:$N$76,31+$K$35),0))/3</f>
        <v>0</v>
      </c>
      <c r="T35" s="140" t="n">
        <f aca="false">IF(B35&lt;='VALOR POR PL'!$P$5,0,S35+IF(B35=DATE(YEAR('VALOR POR PL'!$P$5),MONTH('VALOR POR PL'!$P$5)+1,1),SUMPRODUCT((B5:B76&lt;='VALOR POR PL'!$P$5)*S5:S76),0))</f>
        <v>0</v>
      </c>
      <c r="U35" s="45" t="n">
        <f aca="false">IF($K$32=0,0,$K$18*$K$27*T35/$K$32)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HISTORICOS'!AI38)</f>
        <v>0</v>
      </c>
      <c r="D36" s="45" t="n">
        <f aca="false">IF(B36&lt;='VALOR POR PL'!$P$5,0,IF($K$16="MDO PREVISION + MATERIAL PREMISSA",R36+U36,IF($K$17&gt;0,$K$18*P36/$K$17,0)))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I36" s="42" t="s">
        <v>3039</v>
      </c>
      <c r="K36" s="45" t="n">
        <f aca="false">SUM(R5:R76)</f>
        <v>873955.23280644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RESUMO'!AI38</f>
        <v>0</v>
      </c>
      <c r="N36" s="140" t="n">
        <f aca="false">MAX(0,M36-M35)</f>
        <v>0</v>
      </c>
      <c r="O36" s="139" t="str">
        <f aca="false">IF(B36&lt;='VALOR POR PL'!$P$5,'CP RESUMO'!AI80,"")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  <c r="R36" s="45" t="n">
        <f aca="false">IF(OR(B36&lt;='VALOR POR PL'!$P$5,$K$12=0),0,$K$18*$K$26*N36/$K$12)</f>
        <v>0</v>
      </c>
      <c r="S36" s="140" t="n">
        <f aca="false">(IF(AND(32+$K$33&gt;=1,32+$K$33&lt;=72),INDEX($N$5:$N$76,32+$K$33),0)+IF(AND(32+$K$34&gt;=1,32+$K$34&lt;=72),INDEX($N$5:$N$76,32+$K$34),0)+IF(AND(32+$K$35&gt;=1,32+$K$35&lt;=72),INDEX($N$5:$N$76,32+$K$35),0))/3</f>
        <v>0</v>
      </c>
      <c r="T36" s="140" t="n">
        <f aca="false">IF(B36&lt;='VALOR POR PL'!$P$5,0,S36+IF(B36=DATE(YEAR('VALOR POR PL'!$P$5),MONTH('VALOR POR PL'!$P$5)+1,1),SUMPRODUCT((B5:B76&lt;='VALOR POR PL'!$P$5)*S5:S76),0))</f>
        <v>0</v>
      </c>
      <c r="U36" s="45" t="n">
        <f aca="false">IF($K$32=0,0,$K$18*$K$27*T36/$K$32)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HISTORICOS'!AJ38)</f>
        <v>0</v>
      </c>
      <c r="D37" s="45" t="n">
        <f aca="false">IF(B37&lt;='VALOR POR PL'!$P$5,0,IF($K$16="MDO PREVISION + MATERIAL PREMISSA",R37+U37,IF($K$17&gt;0,$K$18*P37/$K$17,0)))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I37" s="42" t="s">
        <v>3040</v>
      </c>
      <c r="K37" s="45" t="n">
        <f aca="false">SUM(U5:U76)</f>
        <v>1310932.84920966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RESUMO'!AJ38</f>
        <v>0</v>
      </c>
      <c r="N37" s="140" t="n">
        <f aca="false">MAX(0,M37-M36)</f>
        <v>0</v>
      </c>
      <c r="O37" s="139" t="str">
        <f aca="false">IF(B37&lt;='VALOR POR PL'!$P$5,'CP RESUMO'!AJ80,"")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  <c r="R37" s="45" t="n">
        <f aca="false">IF(OR(B37&lt;='VALOR POR PL'!$P$5,$K$12=0),0,$K$18*$K$26*N37/$K$12)</f>
        <v>0</v>
      </c>
      <c r="S37" s="140" t="n">
        <f aca="false">(IF(AND(33+$K$33&gt;=1,33+$K$33&lt;=72),INDEX($N$5:$N$76,33+$K$33),0)+IF(AND(33+$K$34&gt;=1,33+$K$34&lt;=72),INDEX($N$5:$N$76,33+$K$34),0)+IF(AND(33+$K$35&gt;=1,33+$K$35&lt;=72),INDEX($N$5:$N$76,33+$K$35),0))/3</f>
        <v>0</v>
      </c>
      <c r="T37" s="140" t="n">
        <f aca="false">IF(B37&lt;='VALOR POR PL'!$P$5,0,S37+IF(B37=DATE(YEAR('VALOR POR PL'!$P$5),MONTH('VALOR POR PL'!$P$5)+1,1),SUMPRODUCT((B5:B76&lt;='VALOR POR PL'!$P$5)*S5:S76),0))</f>
        <v>0</v>
      </c>
      <c r="U37" s="45" t="n">
        <f aca="false">IF($K$32=0,0,$K$18*$K$27*T37/$K$32)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HISTORICOS'!AK38)</f>
        <v>0</v>
      </c>
      <c r="D38" s="45" t="n">
        <f aca="false">IF(B38&lt;='VALOR POR PL'!$P$5,0,IF($K$16="MDO PREVISION + MATERIAL PREMISSA",R38+U38,IF($K$17&gt;0,$K$18*P38/$K$17,0)))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RESUMO'!AK38</f>
        <v>0</v>
      </c>
      <c r="N38" s="140" t="n">
        <f aca="false">MAX(0,M38-M37)</f>
        <v>0</v>
      </c>
      <c r="O38" s="139" t="str">
        <f aca="false">IF(B38&lt;='VALOR POR PL'!$P$5,'CP RESUMO'!AK80,"")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  <c r="R38" s="45" t="n">
        <f aca="false">IF(OR(B38&lt;='VALOR POR PL'!$P$5,$K$12=0),0,$K$18*$K$26*N38/$K$12)</f>
        <v>0</v>
      </c>
      <c r="S38" s="140" t="n">
        <f aca="false">(IF(AND(34+$K$33&gt;=1,34+$K$33&lt;=72),INDEX($N$5:$N$76,34+$K$33),0)+IF(AND(34+$K$34&gt;=1,34+$K$34&lt;=72),INDEX($N$5:$N$76,34+$K$34),0)+IF(AND(34+$K$35&gt;=1,34+$K$35&lt;=72),INDEX($N$5:$N$76,34+$K$35),0))/3</f>
        <v>0</v>
      </c>
      <c r="T38" s="140" t="n">
        <f aca="false">IF(B38&lt;='VALOR POR PL'!$P$5,0,S38+IF(B38=DATE(YEAR('VALOR POR PL'!$P$5),MONTH('VALOR POR PL'!$P$5)+1,1),SUMPRODUCT((B5:B76&lt;='VALOR POR PL'!$P$5)*S5:S76),0))</f>
        <v>0</v>
      </c>
      <c r="U38" s="45" t="n">
        <f aca="false">IF($K$32=0,0,$K$18*$K$27*T38/$K$32)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HISTORICOS'!AL38)</f>
        <v>0</v>
      </c>
      <c r="D39" s="45" t="n">
        <f aca="false">IF(B39&lt;='VALOR POR PL'!$P$5,0,IF($K$16="MDO PREVISION + MATERIAL PREMISSA",R39+U39,IF($K$17&gt;0,$K$18*P39/$K$17,0)))</f>
        <v>41949.8511747091</v>
      </c>
      <c r="E39" s="45" t="n">
        <f aca="false">L39+D39/$K$2</f>
        <v>32.346524008384</v>
      </c>
      <c r="F39" s="117" t="n">
        <f aca="false">IF($K$9=0,0,E39/$K$9)</f>
        <v>0.0192</v>
      </c>
      <c r="G39" s="117" t="n">
        <f aca="false">G38+F39</f>
        <v>0.0192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RESUMO'!AL38</f>
        <v>0</v>
      </c>
      <c r="N39" s="140" t="n">
        <f aca="false">MAX(0,M39-M38)</f>
        <v>0</v>
      </c>
      <c r="O39" s="139" t="str">
        <f aca="false">IF(B39&lt;='VALOR POR PL'!$P$5,'CP RESUMO'!AL80,"")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  <c r="R39" s="45" t="n">
        <f aca="false">IF(OR(B39&lt;='VALOR POR PL'!$P$5,$K$12=0),0,$K$18*$K$26*N39/$K$12)</f>
        <v>0</v>
      </c>
      <c r="S39" s="140" t="n">
        <f aca="false">(IF(AND(35+$K$33&gt;=1,35+$K$33&lt;=72),INDEX($N$5:$N$76,35+$K$33),0)+IF(AND(35+$K$34&gt;=1,35+$K$34&lt;=72),INDEX($N$5:$N$76,35+$K$34),0)+IF(AND(35+$K$35&gt;=1,35+$K$35&lt;=72),INDEX($N$5:$N$76,35+$K$35),0))/3</f>
        <v>3.2</v>
      </c>
      <c r="T39" s="140" t="n">
        <f aca="false">IF(B39&lt;='VALOR POR PL'!$P$5,0,S39+IF(B39=DATE(YEAR('VALOR POR PL'!$P$5),MONTH('VALOR POR PL'!$P$5)+1,1),SUMPRODUCT((B5:B76&lt;='VALOR POR PL'!$P$5)*S5:S76),0))</f>
        <v>3.2</v>
      </c>
      <c r="U39" s="45" t="n">
        <f aca="false">IF($K$32=0,0,$K$18*$K$27*T39/$K$32)</f>
        <v>41949.8511747091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HISTORICOS'!AM38)</f>
        <v>0</v>
      </c>
      <c r="D40" s="45" t="n">
        <f aca="false">IF(B40&lt;='VALOR POR PL'!$P$5,0,IF($K$16="MDO PREVISION + MATERIAL PREMISSA",R40+U40,IF($K$17&gt;0,$K$18*P40/$K$17,0)))</f>
        <v>78000.5045279748</v>
      </c>
      <c r="E40" s="45" t="n">
        <f aca="false">L40+D40/$K$2</f>
        <v>60.144318078089</v>
      </c>
      <c r="F40" s="117" t="n">
        <f aca="false">IF($K$9=0,0,E40/$K$9)</f>
        <v>0.0357</v>
      </c>
      <c r="G40" s="117" t="n">
        <f aca="false">G39+F40</f>
        <v>0.0549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RESUMO'!AM38</f>
        <v>0</v>
      </c>
      <c r="N40" s="140" t="n">
        <f aca="false">MAX(0,M40-M39)</f>
        <v>0</v>
      </c>
      <c r="O40" s="139" t="str">
        <f aca="false">IF(B40&lt;='VALOR POR PL'!$P$5,'CP RESUMO'!AM80,"")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  <c r="R40" s="45" t="n">
        <f aca="false">IF(OR(B40&lt;='VALOR POR PL'!$P$5,$K$12=0),0,$K$18*$K$26*N40/$K$12)</f>
        <v>0</v>
      </c>
      <c r="S40" s="140" t="n">
        <f aca="false">(IF(AND(36+$K$33&gt;=1,36+$K$33&lt;=72),INDEX($N$5:$N$76,36+$K$33),0)+IF(AND(36+$K$34&gt;=1,36+$K$34&lt;=72),INDEX($N$5:$N$76,36+$K$34),0)+IF(AND(36+$K$35&gt;=1,36+$K$35&lt;=72),INDEX($N$5:$N$76,36+$K$35),0))/3</f>
        <v>5.95</v>
      </c>
      <c r="T40" s="140" t="n">
        <f aca="false">IF(B40&lt;='VALOR POR PL'!$P$5,0,S40+IF(B40=DATE(YEAR('VALOR POR PL'!$P$5),MONTH('VALOR POR PL'!$P$5)+1,1),SUMPRODUCT((B5:B76&lt;='VALOR POR PL'!$P$5)*S5:S76),0))</f>
        <v>5.95</v>
      </c>
      <c r="U40" s="45" t="n">
        <f aca="false">IF($K$32=0,0,$K$18*$K$27*T40/$K$32)</f>
        <v>78000.5045279748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HISTORICOS'!AN38)</f>
        <v>0</v>
      </c>
      <c r="D41" s="45" t="n">
        <f aca="false">IF(B41&lt;='VALOR POR PL'!$P$5,0,IF($K$16="MDO PREVISION + MATERIAL PREMISSA",R41+U41,IF($K$17&gt;0,$K$18*P41/$K$17,0)))</f>
        <v>124538.620674918</v>
      </c>
      <c r="E41" s="45" t="n">
        <f aca="false">L41+D41/$K$2</f>
        <v>96.0287431498901</v>
      </c>
      <c r="F41" s="117" t="n">
        <f aca="false">IF($K$9=0,0,E41/$K$9)</f>
        <v>0.057</v>
      </c>
      <c r="G41" s="117" t="n">
        <f aca="false">G40+F41</f>
        <v>0.1119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RESUMO'!AN38</f>
        <v>0</v>
      </c>
      <c r="N41" s="140" t="n">
        <f aca="false">MAX(0,M41-M40)</f>
        <v>0</v>
      </c>
      <c r="O41" s="139" t="str">
        <f aca="false">IF(B41&lt;='VALOR POR PL'!$P$5,'CP RESUMO'!AN80,"")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  <c r="R41" s="45" t="n">
        <f aca="false">IF(OR(B41&lt;='VALOR POR PL'!$P$5,$K$12=0),0,$K$18*$K$26*N41/$K$12)</f>
        <v>0</v>
      </c>
      <c r="S41" s="140" t="n">
        <f aca="false">(IF(AND(37+$K$33&gt;=1,37+$K$33&lt;=72),INDEX($N$5:$N$76,37+$K$33),0)+IF(AND(37+$K$34&gt;=1,37+$K$34&lt;=72),INDEX($N$5:$N$76,37+$K$34),0)+IF(AND(37+$K$35&gt;=1,37+$K$35&lt;=72),INDEX($N$5:$N$76,37+$K$35),0))/3</f>
        <v>9.5</v>
      </c>
      <c r="T41" s="140" t="n">
        <f aca="false">IF(B41&lt;='VALOR POR PL'!$P$5,0,S41+IF(B41=DATE(YEAR('VALOR POR PL'!$P$5),MONTH('VALOR POR PL'!$P$5)+1,1),SUMPRODUCT((B5:B76&lt;='VALOR POR PL'!$P$5)*S5:S76),0))</f>
        <v>9.5</v>
      </c>
      <c r="U41" s="45" t="n">
        <f aca="false">IF($K$32=0,0,$K$18*$K$27*T41/$K$32)</f>
        <v>124538.620674918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HISTORICOS'!AO38)</f>
        <v>0</v>
      </c>
      <c r="D42" s="45" t="n">
        <f aca="false">IF(B42&lt;='VALOR POR PL'!$P$5,0,IF($K$16="MDO PREVISION + MATERIAL PREMISSA",R42+U42,IF($K$17&gt;0,$K$18*P42/$K$17,0)))</f>
        <v>125194.087099523</v>
      </c>
      <c r="E42" s="45" t="n">
        <f aca="false">L42+D42/$K$2</f>
        <v>96.5341575875211</v>
      </c>
      <c r="F42" s="117" t="n">
        <f aca="false">IF($K$9=0,0,E42/$K$9)</f>
        <v>0.0573</v>
      </c>
      <c r="G42" s="117" t="n">
        <f aca="false">G41+F42</f>
        <v>0.1692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RESUMO'!AO38</f>
        <v>0</v>
      </c>
      <c r="N42" s="140" t="n">
        <f aca="false">MAX(0,M42-M41)</f>
        <v>0</v>
      </c>
      <c r="O42" s="139" t="str">
        <f aca="false">IF(B42&lt;='VALOR POR PL'!$P$5,'CP RESUMO'!AO80,"")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  <c r="R42" s="45" t="n">
        <f aca="false">IF(OR(B42&lt;='VALOR POR PL'!$P$5,$K$12=0),0,$K$18*$K$26*N42/$K$12)</f>
        <v>0</v>
      </c>
      <c r="S42" s="140" t="n">
        <f aca="false">(IF(AND(38+$K$33&gt;=1,38+$K$33&lt;=72),INDEX($N$5:$N$76,38+$K$33),0)+IF(AND(38+$K$34&gt;=1,38+$K$34&lt;=72),INDEX($N$5:$N$76,38+$K$34),0)+IF(AND(38+$K$35&gt;=1,38+$K$35&lt;=72),INDEX($N$5:$N$76,38+$K$35),0))/3</f>
        <v>9.55</v>
      </c>
      <c r="T42" s="140" t="n">
        <f aca="false">IF(B42&lt;='VALOR POR PL'!$P$5,0,S42+IF(B42=DATE(YEAR('VALOR POR PL'!$P$5),MONTH('VALOR POR PL'!$P$5)+1,1),SUMPRODUCT((B5:B76&lt;='VALOR POR PL'!$P$5)*S5:S76),0))</f>
        <v>9.55</v>
      </c>
      <c r="U42" s="45" t="n">
        <f aca="false">IF($K$32=0,0,$K$18*$K$27*T42/$K$32)</f>
        <v>125194.087099523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HISTORICOS'!AP38)</f>
        <v>0</v>
      </c>
      <c r="D43" s="45" t="n">
        <f aca="false">IF(B43&lt;='VALOR POR PL'!$P$5,0,IF($K$16="MDO PREVISION + MATERIAL PREMISSA",R43+U43,IF($K$17&gt;0,$K$18*P43/$K$17,0)))</f>
        <v>131923.542392132</v>
      </c>
      <c r="E43" s="45" t="n">
        <f aca="false">L43+D43/$K$2</f>
        <v>101.723079147199</v>
      </c>
      <c r="F43" s="117" t="n">
        <f aca="false">IF($K$9=0,0,E43/$K$9)</f>
        <v>0.06038</v>
      </c>
      <c r="G43" s="117" t="n">
        <f aca="false">G42+F43</f>
        <v>0.22958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RESUMO'!AP38</f>
        <v>0</v>
      </c>
      <c r="N43" s="140" t="n">
        <f aca="false">MAX(0,M43-M42)</f>
        <v>0</v>
      </c>
      <c r="O43" s="139" t="str">
        <f aca="false">IF(B43&lt;='VALOR POR PL'!$P$5,'CP RESUMO'!AP80,"")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  <c r="R43" s="45" t="n">
        <f aca="false">IF(OR(B43&lt;='VALOR POR PL'!$P$5,$K$12=0),0,$K$18*$K$26*N43/$K$12)</f>
        <v>0</v>
      </c>
      <c r="S43" s="140" t="n">
        <f aca="false">(IF(AND(39+$K$33&gt;=1,39+$K$33&lt;=72),INDEX($N$5:$N$76,39+$K$33),0)+IF(AND(39+$K$34&gt;=1,39+$K$34&lt;=72),INDEX($N$5:$N$76,39+$K$34),0)+IF(AND(39+$K$35&gt;=1,39+$K$35&lt;=72),INDEX($N$5:$N$76,39+$K$35),0))/3</f>
        <v>10.0633333333333</v>
      </c>
      <c r="T43" s="140" t="n">
        <f aca="false">IF(B43&lt;='VALOR POR PL'!$P$5,0,S43+IF(B43=DATE(YEAR('VALOR POR PL'!$P$5),MONTH('VALOR POR PL'!$P$5)+1,1),SUMPRODUCT((B5:B76&lt;='VALOR POR PL'!$P$5)*S5:S76),0))</f>
        <v>10.0633333333333</v>
      </c>
      <c r="U43" s="45" t="n">
        <f aca="false">IF($K$32=0,0,$K$18*$K$27*T43/$K$32)</f>
        <v>131923.542392132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HISTORICOS'!AQ38)</f>
        <v>0</v>
      </c>
      <c r="D44" s="45" t="n">
        <f aca="false">IF(B44&lt;='VALOR POR PL'!$P$5,0,IF($K$16="MDO PREVISION + MATERIAL PREMISSA",R44+U44,IF($K$17&gt;0,$K$18*P44/$K$17,0)))</f>
        <v>212677.005903447</v>
      </c>
      <c r="E44" s="45" t="n">
        <f aca="false">L44+D44/$K$2</f>
        <v>163.990137863339</v>
      </c>
      <c r="F44" s="117" t="n">
        <f aca="false">IF($K$9=0,0,E44/$K$9)</f>
        <v>0.09734</v>
      </c>
      <c r="G44" s="117" t="n">
        <f aca="false">G43+F44</f>
        <v>0.32692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RESUMO'!AQ38</f>
        <v>9.6</v>
      </c>
      <c r="N44" s="140" t="n">
        <f aca="false">MAX(0,M44-M43)</f>
        <v>9.6</v>
      </c>
      <c r="O44" s="139" t="str">
        <f aca="false">IF(B44&lt;='VALOR POR PL'!$P$5,'CP RESUMO'!AQ80,"")</f>
        <v/>
      </c>
      <c r="P44" s="66" t="n">
        <f aca="false">IF(B44&lt;='VALOR POR PL'!$P$5,0,IF(OR($K$16="CURVA PREVISION",$K$16="MDO PREVISION + MATERIAL PREMISSA"),N44,IF($K$16="PREVISÃO INFORMADA",MAX(0,H44),0)))</f>
        <v>9.6</v>
      </c>
      <c r="R44" s="45" t="n">
        <f aca="false">IF(OR(B44&lt;='VALOR POR PL'!$P$5,$K$12=0),0,$K$18*$K$26*N44/$K$12)</f>
        <v>83899.7023494183</v>
      </c>
      <c r="S44" s="140" t="n">
        <f aca="false">(IF(AND(40+$K$33&gt;=1,40+$K$33&lt;=72),INDEX($N$5:$N$76,40+$K$33),0)+IF(AND(40+$K$34&gt;=1,40+$K$34&lt;=72),INDEX($N$5:$N$76,40+$K$34),0)+IF(AND(40+$K$35&gt;=1,40+$K$35&lt;=72),INDEX($N$5:$N$76,40+$K$35),0))/3</f>
        <v>9.82333333333333</v>
      </c>
      <c r="T44" s="140" t="n">
        <f aca="false">IF(B44&lt;='VALOR POR PL'!$P$5,0,S44+IF(B44=DATE(YEAR('VALOR POR PL'!$P$5),MONTH('VALOR POR PL'!$P$5)+1,1),SUMPRODUCT((B5:B76&lt;='VALOR POR PL'!$P$5)*S5:S76),0))</f>
        <v>9.82333333333333</v>
      </c>
      <c r="U44" s="45" t="n">
        <f aca="false">IF($K$32=0,0,$K$18*$K$27*T44/$K$32)</f>
        <v>128777.303554029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HISTORICOS'!AR38)</f>
        <v>0</v>
      </c>
      <c r="D45" s="45" t="n">
        <f aca="false">IF(B45&lt;='VALOR POR PL'!$P$5,0,IF($K$16="MDO PREVISION + MATERIAL PREMISSA",R45+U45,IF($K$17&gt;0,$K$18*P45/$K$17,0)))</f>
        <v>194280.248252872</v>
      </c>
      <c r="E45" s="45" t="n">
        <f aca="false">L45+D45/$K$2</f>
        <v>149.804839313829</v>
      </c>
      <c r="F45" s="117" t="n">
        <f aca="false">IF($K$9=0,0,E45/$K$9)</f>
        <v>0.08892</v>
      </c>
      <c r="G45" s="117" t="n">
        <f aca="false">G44+F45</f>
        <v>0.41584</v>
      </c>
      <c r="H45" s="138" t="n">
        <v>204179.37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RESUMO'!AR38</f>
        <v>17.85</v>
      </c>
      <c r="N45" s="140" t="n">
        <f aca="false">MAX(0,M45-M44)</f>
        <v>8.25</v>
      </c>
      <c r="O45" s="139" t="str">
        <f aca="false">IF(B45&lt;='VALOR POR PL'!$P$5,'CP RESUMO'!AR80,"")</f>
        <v/>
      </c>
      <c r="P45" s="66" t="n">
        <f aca="false">IF(B45&lt;='VALOR POR PL'!$P$5,0,IF(OR($K$16="CURVA PREVISION",$K$16="MDO PREVISION + MATERIAL PREMISSA"),N45,IF($K$16="PREVISÃO INFORMADA",MAX(0,H45),0)))</f>
        <v>8.25</v>
      </c>
      <c r="R45" s="45" t="n">
        <f aca="false">IF(OR(B45&lt;='VALOR POR PL'!$P$5,$K$12=0),0,$K$18*$K$26*N45/$K$12)</f>
        <v>72101.3067065314</v>
      </c>
      <c r="S45" s="140" t="n">
        <f aca="false">(IF(AND(41+$K$33&gt;=1,41+$K$33&lt;=72),INDEX($N$5:$N$76,41+$K$33),0)+IF(AND(41+$K$34&gt;=1,41+$K$34&lt;=72),INDEX($N$5:$N$76,41+$K$34),0)+IF(AND(41+$K$35&gt;=1,41+$K$35&lt;=72),INDEX($N$5:$N$76,41+$K$35),0))/3</f>
        <v>9.32</v>
      </c>
      <c r="T45" s="140" t="n">
        <f aca="false">IF(B45&lt;='VALOR POR PL'!$P$5,0,S45+IF(B45=DATE(YEAR('VALOR POR PL'!$P$5),MONTH('VALOR POR PL'!$P$5)+1,1),SUMPRODUCT((B5:B76&lt;='VALOR POR PL'!$P$5)*S5:S76),0))</f>
        <v>9.32</v>
      </c>
      <c r="U45" s="45" t="n">
        <f aca="false">IF($K$32=0,0,$K$18*$K$27*T45/$K$32)</f>
        <v>122178.94154634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HISTORICOS'!AS38)</f>
        <v>0</v>
      </c>
      <c r="D46" s="45" t="n">
        <f aca="false">IF(B46&lt;='VALOR POR PL'!$P$5,0,IF($K$16="MDO PREVISION + MATERIAL PREMISSA",R46+U46,IF($K$17&gt;0,$K$18*P46/$K$17,0)))</f>
        <v>211671.95738572</v>
      </c>
      <c r="E46" s="45" t="n">
        <f aca="false">L46+D46/$K$2</f>
        <v>163.215169058971</v>
      </c>
      <c r="F46" s="117" t="n">
        <f aca="false">IF($K$9=0,0,E46/$K$9)</f>
        <v>0.09688</v>
      </c>
      <c r="G46" s="117" t="n">
        <f aca="false">G45+F46</f>
        <v>0.51272</v>
      </c>
      <c r="H46" s="138" t="n">
        <v>174146.64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RESUMO'!AS38</f>
        <v>28.5</v>
      </c>
      <c r="N46" s="140" t="n">
        <f aca="false">MAX(0,M46-M45)</f>
        <v>10.65</v>
      </c>
      <c r="O46" s="139" t="str">
        <f aca="false">IF(B46&lt;='VALOR POR PL'!$P$5,'CP RESUMO'!AS80,"")</f>
        <v/>
      </c>
      <c r="P46" s="66" t="n">
        <f aca="false">IF(B46&lt;='VALOR POR PL'!$P$5,0,IF(OR($K$16="CURVA PREVISION",$K$16="MDO PREVISION + MATERIAL PREMISSA"),N46,IF($K$16="PREVISÃO INFORMADA",MAX(0,H46),0)))</f>
        <v>10.65</v>
      </c>
      <c r="R46" s="45" t="n">
        <f aca="false">IF(OR(B46&lt;='VALOR POR PL'!$P$5,$K$12=0),0,$K$18*$K$26*N46/$K$12)</f>
        <v>93076.2322938859</v>
      </c>
      <c r="S46" s="140" t="n">
        <f aca="false">(IF(AND(42+$K$33&gt;=1,42+$K$33&lt;=72),INDEX($N$5:$N$76,42+$K$33),0)+IF(AND(42+$K$34&gt;=1,42+$K$34&lt;=72),INDEX($N$5:$N$76,42+$K$34),0)+IF(AND(42+$K$35&gt;=1,42+$K$35&lt;=72),INDEX($N$5:$N$76,42+$K$35),0))/3</f>
        <v>9.04666666666667</v>
      </c>
      <c r="T46" s="140" t="n">
        <f aca="false">IF(B46&lt;='VALOR POR PL'!$P$5,0,S46+IF(B46=DATE(YEAR('VALOR POR PL'!$P$5),MONTH('VALOR POR PL'!$P$5)+1,1),SUMPRODUCT((B5:B76&lt;='VALOR POR PL'!$P$5)*S5:S76),0))</f>
        <v>9.04666666666667</v>
      </c>
      <c r="U46" s="45" t="n">
        <f aca="false">IF($K$32=0,0,$K$18*$K$27*T46/$K$32)</f>
        <v>118595.725091834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HISTORICOS'!AT38)</f>
        <v>0</v>
      </c>
      <c r="D47" s="45" t="n">
        <f aca="false">IF(B47&lt;='VALOR POR PL'!$P$5,0,IF($K$16="MDO PREVISION + MATERIAL PREMISSA",R47+U47,IF($K$17&gt;0,$K$18*P47/$K$17,0)))</f>
        <v>199829.863981193</v>
      </c>
      <c r="E47" s="45" t="n">
        <f aca="false">L47+D47/$K$2</f>
        <v>154.084014885771</v>
      </c>
      <c r="F47" s="117" t="n">
        <f aca="false">IF($K$9=0,0,E47/$K$9)</f>
        <v>0.09146</v>
      </c>
      <c r="G47" s="117" t="n">
        <f aca="false">G46+F47</f>
        <v>0.60418</v>
      </c>
      <c r="H47" s="138" t="n">
        <v>227082.03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RESUMO'!AT38</f>
        <v>38.25</v>
      </c>
      <c r="N47" s="140" t="n">
        <f aca="false">MAX(0,M47-M46)</f>
        <v>9.75</v>
      </c>
      <c r="O47" s="139" t="str">
        <f aca="false">IF(B47&lt;='VALOR POR PL'!$P$5,'CP RESUMO'!AT80,"")</f>
        <v/>
      </c>
      <c r="P47" s="66" t="n">
        <f aca="false">IF(B47&lt;='VALOR POR PL'!$P$5,0,IF(OR($K$16="CURVA PREVISION",$K$16="MDO PREVISION + MATERIAL PREMISSA"),N47,IF($K$16="PREVISÃO INFORMADA",MAX(0,H47),0)))</f>
        <v>9.75</v>
      </c>
      <c r="R47" s="45" t="n">
        <f aca="false">IF(OR(B47&lt;='VALOR POR PL'!$P$5,$K$12=0),0,$K$18*$K$26*N47/$K$12)</f>
        <v>85210.6351986279</v>
      </c>
      <c r="S47" s="140" t="n">
        <f aca="false">(IF(AND(43+$K$33&gt;=1,43+$K$33&lt;=72),INDEX($N$5:$N$76,43+$K$33),0)+IF(AND(43+$K$34&gt;=1,43+$K$34&lt;=72),INDEX($N$5:$N$76,43+$K$34),0)+IF(AND(43+$K$35&gt;=1,43+$K$35&lt;=72),INDEX($N$5:$N$76,43+$K$35),0))/3</f>
        <v>8.74333333333333</v>
      </c>
      <c r="T47" s="140" t="n">
        <f aca="false">IF(B47&lt;='VALOR POR PL'!$P$5,0,S47+IF(B47=DATE(YEAR('VALOR POR PL'!$P$5),MONTH('VALOR POR PL'!$P$5)+1,1),SUMPRODUCT((B5:B76&lt;='VALOR POR PL'!$P$5)*S5:S76),0))</f>
        <v>8.74333333333333</v>
      </c>
      <c r="U47" s="45" t="n">
        <f aca="false">IF($K$32=0,0,$K$18*$K$27*T47/$K$32)</f>
        <v>114619.228782565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HISTORICOS'!AU38)</f>
        <v>0</v>
      </c>
      <c r="D48" s="45" t="n">
        <f aca="false">IF(B48&lt;='VALOR POR PL'!$P$5,0,IF($K$16="MDO PREVISION + MATERIAL PREMISSA",R48+U48,IF($K$17&gt;0,$K$18*P48/$K$17,0)))</f>
        <v>191920.569124294</v>
      </c>
      <c r="E48" s="45" t="n">
        <f aca="false">L48+D48/$K$2</f>
        <v>147.985347338357</v>
      </c>
      <c r="F48" s="117" t="n">
        <f aca="false">IF($K$9=0,0,E48/$K$9)</f>
        <v>0.08784</v>
      </c>
      <c r="G48" s="117" t="n">
        <f aca="false">G47+F48</f>
        <v>0.69202</v>
      </c>
      <c r="H48" s="138" t="n">
        <v>213686.14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RESUMO'!AU38</f>
        <v>48.04</v>
      </c>
      <c r="N48" s="140" t="n">
        <f aca="false">MAX(0,M48-M47)</f>
        <v>9.79</v>
      </c>
      <c r="O48" s="139" t="str">
        <f aca="false">IF(B48&lt;='VALOR POR PL'!$P$5,'CP RESUMO'!AU80,"")</f>
        <v/>
      </c>
      <c r="P48" s="66" t="n">
        <f aca="false">IF(B48&lt;='VALOR POR PL'!$P$5,0,IF(OR($K$16="CURVA PREVISION",$K$16="MDO PREVISION + MATERIAL PREMISSA"),N48,IF($K$16="PREVISÃO INFORMADA",MAX(0,H48),0)))</f>
        <v>9.79</v>
      </c>
      <c r="R48" s="45" t="n">
        <f aca="false">IF(OR(B48&lt;='VALOR POR PL'!$P$5,$K$12=0),0,$K$18*$K$26*N48/$K$12)</f>
        <v>85560.2172917505</v>
      </c>
      <c r="S48" s="140" t="n">
        <f aca="false">(IF(AND(44+$K$33&gt;=1,44+$K$33&lt;=72),INDEX($N$5:$N$76,44+$K$33),0)+IF(AND(44+$K$34&gt;=1,44+$K$34&lt;=72),INDEX($N$5:$N$76,44+$K$34),0)+IF(AND(44+$K$35&gt;=1,44+$K$35&lt;=72),INDEX($N$5:$N$76,44+$K$35),0))/3</f>
        <v>8.11333333333334</v>
      </c>
      <c r="T48" s="140" t="n">
        <f aca="false">IF(B48&lt;='VALOR POR PL'!$P$5,0,S48+IF(B48=DATE(YEAR('VALOR POR PL'!$P$5),MONTH('VALOR POR PL'!$P$5)+1,1),SUMPRODUCT((B5:B76&lt;='VALOR POR PL'!$P$5)*S5:S76),0))</f>
        <v>8.11333333333334</v>
      </c>
      <c r="U48" s="45" t="n">
        <f aca="false">IF($K$32=0,0,$K$18*$K$27*T48/$K$32)</f>
        <v>106360.351832544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HISTORICOS'!AV38)</f>
        <v>0</v>
      </c>
      <c r="D49" s="45" t="n">
        <f aca="false">IF(B49&lt;='VALOR POR PL'!$P$5,0,IF($K$16="MDO PREVISION + MATERIAL PREMISSA",R49+U49,IF($K$17&gt;0,$K$18*P49/$K$17,0)))</f>
        <v>189473.494472436</v>
      </c>
      <c r="E49" s="45" t="n">
        <f aca="false">L49+D49/$K$2</f>
        <v>146.098466771201</v>
      </c>
      <c r="F49" s="117" t="n">
        <f aca="false">IF($K$9=0,0,E49/$K$9)</f>
        <v>0.08672</v>
      </c>
      <c r="G49" s="117" t="n">
        <f aca="false">G48+F49</f>
        <v>0.77874</v>
      </c>
      <c r="H49" s="138" t="n">
        <v>207420.32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RESUMO'!AV38</f>
        <v>57.97</v>
      </c>
      <c r="N49" s="140" t="n">
        <f aca="false">MAX(0,M49-M48)</f>
        <v>9.93</v>
      </c>
      <c r="O49" s="139" t="str">
        <f aca="false">IF(B49&lt;='VALOR POR PL'!$P$5,'CP RESUMO'!AV80,"")</f>
        <v/>
      </c>
      <c r="P49" s="66" t="n">
        <f aca="false">IF(B49&lt;='VALOR POR PL'!$P$5,0,IF(OR($K$16="CURVA PREVISION",$K$16="MDO PREVISION + MATERIAL PREMISSA"),N49,IF($K$16="PREVISÃO INFORMADA",MAX(0,H49),0)))</f>
        <v>9.93</v>
      </c>
      <c r="R49" s="45" t="n">
        <f aca="false">IF(OR(B49&lt;='VALOR POR PL'!$P$5,$K$12=0),0,$K$18*$K$26*N49/$K$12)</f>
        <v>86783.7546176795</v>
      </c>
      <c r="S49" s="140" t="n">
        <f aca="false">(IF(AND(45+$K$33&gt;=1,45+$K$33&lt;=72),INDEX($N$5:$N$76,45+$K$33),0)+IF(AND(45+$K$34&gt;=1,45+$K$34&lt;=72),INDEX($N$5:$N$76,45+$K$34),0)+IF(AND(45+$K$35&gt;=1,45+$K$35&lt;=72),INDEX($N$5:$N$76,45+$K$35),0))/3</f>
        <v>7.83333333333333</v>
      </c>
      <c r="T49" s="140" t="n">
        <f aca="false">IF(B49&lt;='VALOR POR PL'!$P$5,0,S49+IF(B49=DATE(YEAR('VALOR POR PL'!$P$5),MONTH('VALOR POR PL'!$P$5)+1,1),SUMPRODUCT((B5:B76&lt;='VALOR POR PL'!$P$5)*S5:S76),0))</f>
        <v>7.83333333333333</v>
      </c>
      <c r="U49" s="45" t="n">
        <f aca="false">IF($K$32=0,0,$K$18*$K$27*T49/$K$32)</f>
        <v>102689.739854757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HISTORICOS'!AW38)</f>
        <v>0</v>
      </c>
      <c r="D50" s="45" t="n">
        <f aca="false">IF(B50&lt;='VALOR POR PL'!$P$5,0,IF($K$16="MDO PREVISION + MATERIAL PREMISSA",R50+U50,IF($K$17&gt;0,$K$18*P50/$K$17,0)))</f>
        <v>141056.374574959</v>
      </c>
      <c r="E50" s="45" t="n">
        <f aca="false">L50+D50/$K$2</f>
        <v>108.765186978191</v>
      </c>
      <c r="F50" s="117" t="n">
        <f aca="false">IF($K$9=0,0,E50/$K$9)</f>
        <v>0.06456</v>
      </c>
      <c r="G50" s="117" t="n">
        <f aca="false">G49+F50</f>
        <v>0.8433</v>
      </c>
      <c r="H50" s="138" t="n">
        <v>226001.72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RESUMO'!AW38</f>
        <v>66.21</v>
      </c>
      <c r="N50" s="140" t="n">
        <f aca="false">MAX(0,M50-M49)</f>
        <v>8.24</v>
      </c>
      <c r="O50" s="139" t="str">
        <f aca="false">IF(B50&lt;='VALOR POR PL'!$P$5,'CP RESUMO'!AW80,"")</f>
        <v/>
      </c>
      <c r="P50" s="66" t="n">
        <f aca="false">IF(B50&lt;='VALOR POR PL'!$P$5,0,IF(OR($K$16="CURVA PREVISION",$K$16="MDO PREVISION + MATERIAL PREMISSA"),N50,IF($K$16="PREVISÃO INFORMADA",MAX(0,H50),0)))</f>
        <v>8.24</v>
      </c>
      <c r="R50" s="45" t="n">
        <f aca="false">IF(OR(B50&lt;='VALOR POR PL'!$P$5,$K$12=0),0,$K$18*$K$26*N50/$K$12)</f>
        <v>72013.9111832507</v>
      </c>
      <c r="S50" s="140" t="n">
        <f aca="false">(IF(AND(46+$K$33&gt;=1,46+$K$33&lt;=72),INDEX($N$5:$N$76,46+$K$33),0)+IF(AND(46+$K$34&gt;=1,46+$K$34&lt;=72),INDEX($N$5:$N$76,46+$K$34),0)+IF(AND(46+$K$35&gt;=1,46+$K$35&lt;=72),INDEX($N$5:$N$76,46+$K$35),0))/3</f>
        <v>5.26666666666667</v>
      </c>
      <c r="T50" s="140" t="n">
        <f aca="false">IF(B50&lt;='VALOR POR PL'!$P$5,0,S50+IF(B50=DATE(YEAR('VALOR POR PL'!$P$5),MONTH('VALOR POR PL'!$P$5)+1,1),SUMPRODUCT((B5:B76&lt;='VALOR POR PL'!$P$5)*S5:S76),0))</f>
        <v>5.26666666666667</v>
      </c>
      <c r="U50" s="45" t="n">
        <f aca="false">IF($K$32=0,0,$K$18*$K$27*T50/$K$32)</f>
        <v>69042.4633917088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HISTORICOS'!AX38)</f>
        <v>0</v>
      </c>
      <c r="D51" s="45" t="n">
        <f aca="false">IF(B51&lt;='VALOR POR PL'!$P$5,0,IF($K$16="MDO PREVISION + MATERIAL PREMISSA",R51+U51,IF($K$17&gt;0,$K$18*P51/$K$17,0)))</f>
        <v>119688.169132842</v>
      </c>
      <c r="E51" s="45" t="n">
        <f aca="false">L51+D51/$K$2</f>
        <v>92.2886763114208</v>
      </c>
      <c r="F51" s="117" t="n">
        <f aca="false">IF($K$9=0,0,E51/$K$9)</f>
        <v>0.0547800000000001</v>
      </c>
      <c r="G51" s="117" t="n">
        <f aca="false">G50+F51</f>
        <v>0.89808</v>
      </c>
      <c r="H51" s="138" t="n">
        <v>177603.65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RESUMO'!AX38</f>
        <v>75.18</v>
      </c>
      <c r="N51" s="140" t="n">
        <f aca="false">MAX(0,M51-M50)</f>
        <v>8.97000000000001</v>
      </c>
      <c r="O51" s="139" t="str">
        <f aca="false">IF(B51&lt;='VALOR POR PL'!$P$5,'CP RESUMO'!AX80,"")</f>
        <v/>
      </c>
      <c r="P51" s="66" t="n">
        <f aca="false">IF(B51&lt;='VALOR POR PL'!$P$5,0,IF(OR($K$16="CURVA PREVISION",$K$16="MDO PREVISION + MATERIAL PREMISSA"),N51,IF($K$16="PREVISÃO INFORMADA",MAX(0,H51),0)))</f>
        <v>8.97000000000001</v>
      </c>
      <c r="R51" s="45" t="n">
        <f aca="false">IF(OR(B51&lt;='VALOR POR PL'!$P$5,$K$12=0),0,$K$18*$K$26*N51/$K$12)</f>
        <v>78393.7843827378</v>
      </c>
      <c r="S51" s="140" t="n">
        <f aca="false">(IF(AND(47+$K$33&gt;=1,47+$K$33&lt;=72),INDEX($N$5:$N$76,47+$K$33),0)+IF(AND(47+$K$34&gt;=1,47+$K$34&lt;=72),INDEX($N$5:$N$76,47+$K$34),0)+IF(AND(47+$K$35&gt;=1,47+$K$35&lt;=72),INDEX($N$5:$N$76,47+$K$35),0))/3</f>
        <v>3.15</v>
      </c>
      <c r="T51" s="140" t="n">
        <f aca="false">IF(B51&lt;='VALOR POR PL'!$P$5,0,S51+IF(B51=DATE(YEAR('VALOR POR PL'!$P$5),MONTH('VALOR POR PL'!$P$5)+1,1),SUMPRODUCT((B5:B76&lt;='VALOR POR PL'!$P$5)*S5:S76),0))</f>
        <v>3.15</v>
      </c>
      <c r="U51" s="45" t="n">
        <f aca="false">IF($K$32=0,0,$K$18*$K$27*T51/$K$32)</f>
        <v>41294.3847501043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HISTORICOS'!AY38)</f>
        <v>0</v>
      </c>
      <c r="D52" s="45" t="n">
        <f aca="false">IF(B52&lt;='VALOR POR PL'!$P$5,0,IF($K$16="MDO PREVISION + MATERIAL PREMISSA",R52+U52,IF($K$17&gt;0,$K$18*P52/$K$17,0)))</f>
        <v>84598.8665356634</v>
      </c>
      <c r="E52" s="45" t="n">
        <f aca="false">L52+D52/$K$2</f>
        <v>65.2321567502411</v>
      </c>
      <c r="F52" s="117" t="n">
        <f aca="false">IF($K$9=0,0,E52/$K$9)</f>
        <v>0.03872</v>
      </c>
      <c r="G52" s="117" t="n">
        <f aca="false">G51+F52</f>
        <v>0.9368</v>
      </c>
      <c r="H52" s="138" t="n">
        <v>186894.35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RESUMO'!AY38</f>
        <v>84.2</v>
      </c>
      <c r="N52" s="140" t="n">
        <f aca="false">MAX(0,M52-M51)</f>
        <v>9.02</v>
      </c>
      <c r="O52" s="139" t="str">
        <f aca="false">IF(B52&lt;='VALOR POR PL'!$P$5,'CP RESUMO'!AY80,"")</f>
        <v/>
      </c>
      <c r="P52" s="66" t="n">
        <f aca="false">IF(B52&lt;='VALOR POR PL'!$P$5,0,IF(OR($K$16="CURVA PREVISION",$K$16="MDO PREVISION + MATERIAL PREMISSA"),N52,IF($K$16="PREVISÃO INFORMADA",MAX(0,H52),0)))</f>
        <v>9.02</v>
      </c>
      <c r="R52" s="45" t="n">
        <f aca="false">IF(OR(B52&lt;='VALOR POR PL'!$P$5,$K$12=0),0,$K$18*$K$26*N52/$K$12)</f>
        <v>78830.7619991409</v>
      </c>
      <c r="S52" s="140" t="n">
        <f aca="false">(IF(AND(48+$K$33&gt;=1,48+$K$33&lt;=72),INDEX($N$5:$N$76,48+$K$33),0)+IF(AND(48+$K$34&gt;=1,48+$K$34&lt;=72),INDEX($N$5:$N$76,48+$K$34),0)+IF(AND(48+$K$35&gt;=1,48+$K$35&lt;=72),INDEX($N$5:$N$76,48+$K$35),0))/3</f>
        <v>0.439999999999998</v>
      </c>
      <c r="T52" s="140" t="n">
        <f aca="false">IF(B52&lt;='VALOR POR PL'!$P$5,0,S52+IF(B52=DATE(YEAR('VALOR POR PL'!$P$5),MONTH('VALOR POR PL'!$P$5)+1,1),SUMPRODUCT((B5:B76&lt;='VALOR POR PL'!$P$5)*S5:S76),0))</f>
        <v>0.439999999999998</v>
      </c>
      <c r="U52" s="45" t="n">
        <f aca="false">IF($K$32=0,0,$K$18*$K$27*T52/$K$32)</f>
        <v>5768.10453652248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HISTORICOS'!AZ38)</f>
        <v>0</v>
      </c>
      <c r="D53" s="45" t="n">
        <f aca="false">IF(B53&lt;='VALOR POR PL'!$P$5,0,IF($K$16="MDO PREVISION + MATERIAL PREMISSA",R53+U53,IF($K$17&gt;0,$K$18*P53/$K$17,0)))</f>
        <v>55496.1572832089</v>
      </c>
      <c r="E53" s="45" t="n">
        <f aca="false">L53+D53/$K$2</f>
        <v>42.7917557194247</v>
      </c>
      <c r="F53" s="117" t="n">
        <f aca="false">IF($K$9=0,0,E53/$K$9)</f>
        <v>0.0254</v>
      </c>
      <c r="G53" s="117" t="n">
        <f aca="false">G52+F53</f>
        <v>0.9622</v>
      </c>
      <c r="H53" s="138" t="n">
        <v>176091.21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RESUMO'!AZ38</f>
        <v>90.55</v>
      </c>
      <c r="N53" s="140" t="n">
        <f aca="false">MAX(0,M53-M52)</f>
        <v>6.34999999999999</v>
      </c>
      <c r="O53" s="139" t="str">
        <f aca="false">IF(B53&lt;='VALOR POR PL'!$P$5,'CP RESUMO'!AZ80,"")</f>
        <v/>
      </c>
      <c r="P53" s="66" t="n">
        <f aca="false">IF(B53&lt;='VALOR POR PL'!$P$5,0,IF(OR($K$16="CURVA PREVISION",$K$16="MDO PREVISION + MATERIAL PREMISSA"),N53,IF($K$16="PREVISÃO INFORMADA",MAX(0,H53),0)))</f>
        <v>6.34999999999999</v>
      </c>
      <c r="R53" s="45" t="n">
        <f aca="false">IF(OR(B53&lt;='VALOR POR PL'!$P$5,$K$12=0),0,$K$18*$K$26*N53/$K$12)</f>
        <v>55496.1572832089</v>
      </c>
      <c r="S53" s="140" t="n">
        <f aca="false">(IF(AND(49+$K$33&gt;=1,49+$K$33&lt;=72),INDEX($N$5:$N$76,49+$K$33),0)+IF(AND(49+$K$34&gt;=1,49+$K$34&lt;=72),INDEX($N$5:$N$76,49+$K$34),0)+IF(AND(49+$K$35&gt;=1,49+$K$35&lt;=72),INDEX($N$5:$N$76,49+$K$35),0))/3</f>
        <v>0</v>
      </c>
      <c r="T53" s="140" t="n">
        <f aca="false">IF(B53&lt;='VALOR POR PL'!$P$5,0,S53+IF(B53=DATE(YEAR('VALOR POR PL'!$P$5),MONTH('VALOR POR PL'!$P$5)+1,1),SUMPRODUCT((B5:B76&lt;='VALOR POR PL'!$P$5)*S5:S76),0))</f>
        <v>0</v>
      </c>
      <c r="U53" s="45" t="n">
        <f aca="false">IF($K$32=0,0,$K$18*$K$27*T53/$K$32)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HISTORICOS'!BA38)</f>
        <v>0</v>
      </c>
      <c r="D54" s="45" t="n">
        <f aca="false">IF(B54&lt;='VALOR POR PL'!$P$5,0,IF($K$16="MDO PREVISION + MATERIAL PREMISSA",R54+U54,IF($K$17&gt;0,$K$18*P54/$K$17,0)))</f>
        <v>71052.5604271637</v>
      </c>
      <c r="E54" s="45" t="n">
        <f aca="false">L54+D54/$K$2</f>
        <v>54.7869250392005</v>
      </c>
      <c r="F54" s="117" t="n">
        <f aca="false">IF($K$9=0,0,E54/$K$9)</f>
        <v>0.03252</v>
      </c>
      <c r="G54" s="117" t="n">
        <f aca="false">G53+F54</f>
        <v>0.99472</v>
      </c>
      <c r="H54" s="138" t="n">
        <v>151676.11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RESUMO'!BA38</f>
        <v>98.68</v>
      </c>
      <c r="N54" s="140" t="n">
        <f aca="false">MAX(0,M54-M53)</f>
        <v>8.13000000000001</v>
      </c>
      <c r="O54" s="139" t="str">
        <f aca="false">IF(B54&lt;='VALOR POR PL'!$P$5,'CP RESUMO'!BA80,"")</f>
        <v/>
      </c>
      <c r="P54" s="66" t="n">
        <f aca="false">IF(B54&lt;='VALOR POR PL'!$P$5,0,IF(OR($K$16="CURVA PREVISION",$K$16="MDO PREVISION + MATERIAL PREMISSA"),N54,IF($K$16="PREVISÃO INFORMADA",MAX(0,H54),0)))</f>
        <v>8.13000000000001</v>
      </c>
      <c r="R54" s="45" t="n">
        <f aca="false">IF(OR(B54&lt;='VALOR POR PL'!$P$5,$K$12=0),0,$K$18*$K$26*N54/$K$12)</f>
        <v>71052.5604271637</v>
      </c>
      <c r="S54" s="140" t="n">
        <f aca="false">(IF(AND(50+$K$33&gt;=1,50+$K$33&lt;=72),INDEX($N$5:$N$76,50+$K$33),0)+IF(AND(50+$K$34&gt;=1,50+$K$34&lt;=72),INDEX($N$5:$N$76,50+$K$34),0)+IF(AND(50+$K$35&gt;=1,50+$K$35&lt;=72),INDEX($N$5:$N$76,50+$K$35),0))/3</f>
        <v>0</v>
      </c>
      <c r="T54" s="140" t="n">
        <f aca="false">IF(B54&lt;='VALOR POR PL'!$P$5,0,S54+IF(B54=DATE(YEAR('VALOR POR PL'!$P$5),MONTH('VALOR POR PL'!$P$5)+1,1),SUMPRODUCT((B5:B76&lt;='VALOR POR PL'!$P$5)*S5:S76),0))</f>
        <v>0</v>
      </c>
      <c r="U54" s="45" t="n">
        <f aca="false">IF($K$32=0,0,$K$18*$K$27*T54/$K$32)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HISTORICOS'!BB38)</f>
        <v>0</v>
      </c>
      <c r="D55" s="45" t="n">
        <f aca="false">IF(B55&lt;='VALOR POR PL'!$P$5,0,IF($K$16="MDO PREVISION + MATERIAL PREMISSA",R55+U55,IF($K$17&gt;0,$K$18*P55/$K$17,0)))</f>
        <v>11536.209073045</v>
      </c>
      <c r="E55" s="45" t="n">
        <f aca="false">L55+D55/$K$2</f>
        <v>8.89529410230556</v>
      </c>
      <c r="F55" s="117" t="n">
        <f aca="false">IF($K$9=0,0,E55/$K$9)</f>
        <v>0.00527999999999997</v>
      </c>
      <c r="G55" s="117" t="n">
        <f aca="false">G54+F55</f>
        <v>1</v>
      </c>
      <c r="H55" s="138" t="n">
        <v>187326.47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RESUMO'!BB38</f>
        <v>100</v>
      </c>
      <c r="N55" s="140" t="n">
        <f aca="false">MAX(0,M55-M54)</f>
        <v>1.31999999999999</v>
      </c>
      <c r="O55" s="139" t="str">
        <f aca="false">IF(B55&lt;='VALOR POR PL'!$P$5,'CP RESUMO'!BB80,"")</f>
        <v/>
      </c>
      <c r="P55" s="66" t="n">
        <f aca="false">IF(B55&lt;='VALOR POR PL'!$P$5,0,IF(OR($K$16="CURVA PREVISION",$K$16="MDO PREVISION + MATERIAL PREMISSA"),N55,IF($K$16="PREVISÃO INFORMADA",MAX(0,H55),0)))</f>
        <v>1.31999999999999</v>
      </c>
      <c r="R55" s="45" t="n">
        <f aca="false">IF(OR(B55&lt;='VALOR POR PL'!$P$5,$K$12=0),0,$K$18*$K$26*N55/$K$12)</f>
        <v>11536.209073045</v>
      </c>
      <c r="S55" s="140" t="n">
        <f aca="false">(IF(AND(51+$K$33&gt;=1,51+$K$33&lt;=72),INDEX($N$5:$N$76,51+$K$33),0)+IF(AND(51+$K$34&gt;=1,51+$K$34&lt;=72),INDEX($N$5:$N$76,51+$K$34),0)+IF(AND(51+$K$35&gt;=1,51+$K$35&lt;=72),INDEX($N$5:$N$76,51+$K$35),0))/3</f>
        <v>0</v>
      </c>
      <c r="T55" s="140" t="n">
        <f aca="false">IF(B55&lt;='VALOR POR PL'!$P$5,0,S55+IF(B55=DATE(YEAR('VALOR POR PL'!$P$5),MONTH('VALOR POR PL'!$P$5)+1,1),SUMPRODUCT((B5:B76&lt;='VALOR POR PL'!$P$5)*S5:S76),0))</f>
        <v>0</v>
      </c>
      <c r="U55" s="45" t="n">
        <f aca="false">IF($K$32=0,0,$K$18*$K$27*T55/$K$32)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HISTORICOS'!BC38)</f>
        <v>0</v>
      </c>
      <c r="D56" s="45" t="n">
        <f aca="false">IF(B56&lt;='VALOR POR PL'!$P$5,0,IF($K$16="MDO PREVISION + MATERIAL PREMISSA",R56+U56,IF($K$17&gt;0,$K$18*P56/$K$17,0)))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 t="n">
        <v>28520.29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RESUMO'!BC38</f>
        <v>100</v>
      </c>
      <c r="N56" s="140" t="n">
        <f aca="false">MAX(0,M56-M55)</f>
        <v>0</v>
      </c>
      <c r="O56" s="139" t="str">
        <f aca="false">IF(B56&lt;='VALOR POR PL'!$P$5,'CP RESUMO'!BC80,"")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  <c r="R56" s="45" t="n">
        <f aca="false">IF(OR(B56&lt;='VALOR POR PL'!$P$5,$K$12=0),0,$K$18*$K$26*N56/$K$12)</f>
        <v>0</v>
      </c>
      <c r="S56" s="140" t="n">
        <f aca="false">(IF(AND(52+$K$33&gt;=1,52+$K$33&lt;=72),INDEX($N$5:$N$76,52+$K$33),0)+IF(AND(52+$K$34&gt;=1,52+$K$34&lt;=72),INDEX($N$5:$N$76,52+$K$34),0)+IF(AND(52+$K$35&gt;=1,52+$K$35&lt;=72),INDEX($N$5:$N$76,52+$K$35),0))/3</f>
        <v>0</v>
      </c>
      <c r="T56" s="140" t="n">
        <f aca="false">IF(B56&lt;='VALOR POR PL'!$P$5,0,S56+IF(B56=DATE(YEAR('VALOR POR PL'!$P$5),MONTH('VALOR POR PL'!$P$5)+1,1),SUMPRODUCT((B5:B76&lt;='VALOR POR PL'!$P$5)*S5:S76),0))</f>
        <v>0</v>
      </c>
      <c r="U56" s="45" t="n">
        <f aca="false">IF($K$32=0,0,$K$18*$K$27*T56/$K$32)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HISTORICOS'!BD38)</f>
        <v>0</v>
      </c>
      <c r="D57" s="45" t="n">
        <f aca="false">IF(B57&lt;='VALOR POR PL'!$P$5,0,IF($K$16="MDO PREVISION + MATERIAL PREMISSA",R57+U57,IF($K$17&gt;0,$K$18*P57/$K$17,0)))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RESUMO'!BD38</f>
        <v>100</v>
      </c>
      <c r="N57" s="140" t="n">
        <f aca="false">MAX(0,M57-M56)</f>
        <v>0</v>
      </c>
      <c r="O57" s="139" t="str">
        <f aca="false">IF(B57&lt;='VALOR POR PL'!$P$5,'CP RESUMO'!BD80,"")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  <c r="R57" s="45" t="n">
        <f aca="false">IF(OR(B57&lt;='VALOR POR PL'!$P$5,$K$12=0),0,$K$18*$K$26*N57/$K$12)</f>
        <v>0</v>
      </c>
      <c r="S57" s="140" t="n">
        <f aca="false">(IF(AND(53+$K$33&gt;=1,53+$K$33&lt;=72),INDEX($N$5:$N$76,53+$K$33),0)+IF(AND(53+$K$34&gt;=1,53+$K$34&lt;=72),INDEX($N$5:$N$76,53+$K$34),0)+IF(AND(53+$K$35&gt;=1,53+$K$35&lt;=72),INDEX($N$5:$N$76,53+$K$35),0))/3</f>
        <v>0</v>
      </c>
      <c r="T57" s="140" t="n">
        <f aca="false">IF(B57&lt;='VALOR POR PL'!$P$5,0,S57+IF(B57=DATE(YEAR('VALOR POR PL'!$P$5),MONTH('VALOR POR PL'!$P$5)+1,1),SUMPRODUCT((B5:B76&lt;='VALOR POR PL'!$P$5)*S5:S76),0))</f>
        <v>0</v>
      </c>
      <c r="U57" s="45" t="n">
        <f aca="false">IF($K$32=0,0,$K$18*$K$27*T57/$K$32)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HISTORICOS'!BE38)</f>
        <v>0</v>
      </c>
      <c r="D58" s="45" t="n">
        <f aca="false">IF(B58&lt;='VALOR POR PL'!$P$5,0,IF($K$16="MDO PREVISION + MATERIAL PREMISSA",R58+U58,IF($K$17&gt;0,$K$18*P58/$K$17,0)))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RESUMO'!BE38</f>
        <v>100</v>
      </c>
      <c r="N58" s="140" t="n">
        <f aca="false">MAX(0,M58-M57)</f>
        <v>0</v>
      </c>
      <c r="O58" s="139" t="str">
        <f aca="false">IF(B58&lt;='VALOR POR PL'!$P$5,'CP RESUMO'!BE80,"")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  <c r="R58" s="45" t="n">
        <f aca="false">IF(OR(B58&lt;='VALOR POR PL'!$P$5,$K$12=0),0,$K$18*$K$26*N58/$K$12)</f>
        <v>0</v>
      </c>
      <c r="S58" s="140" t="n">
        <f aca="false">(IF(AND(54+$K$33&gt;=1,54+$K$33&lt;=72),INDEX($N$5:$N$76,54+$K$33),0)+IF(AND(54+$K$34&gt;=1,54+$K$34&lt;=72),INDEX($N$5:$N$76,54+$K$34),0)+IF(AND(54+$K$35&gt;=1,54+$K$35&lt;=72),INDEX($N$5:$N$76,54+$K$35),0))/3</f>
        <v>0</v>
      </c>
      <c r="T58" s="140" t="n">
        <f aca="false">IF(B58&lt;='VALOR POR PL'!$P$5,0,S58+IF(B58=DATE(YEAR('VALOR POR PL'!$P$5),MONTH('VALOR POR PL'!$P$5)+1,1),SUMPRODUCT((B5:B76&lt;='VALOR POR PL'!$P$5)*S5:S76),0))</f>
        <v>0</v>
      </c>
      <c r="U58" s="45" t="n">
        <f aca="false">IF($K$32=0,0,$K$18*$K$27*T58/$K$32)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HISTORICOS'!BF38)</f>
        <v>0</v>
      </c>
      <c r="D59" s="45" t="n">
        <f aca="false">IF(B59&lt;='VALOR POR PL'!$P$5,0,IF($K$16="MDO PREVISION + MATERIAL PREMISSA",R59+U59,IF($K$17&gt;0,$K$18*P59/$K$17,0)))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RESUMO'!BF38</f>
        <v>100</v>
      </c>
      <c r="N59" s="140" t="n">
        <f aca="false">MAX(0,M59-M58)</f>
        <v>0</v>
      </c>
      <c r="O59" s="139" t="str">
        <f aca="false">IF(B59&lt;='VALOR POR PL'!$P$5,'CP RESUMO'!BF80,"")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  <c r="R59" s="45" t="n">
        <f aca="false">IF(OR(B59&lt;='VALOR POR PL'!$P$5,$K$12=0),0,$K$18*$K$26*N59/$K$12)</f>
        <v>0</v>
      </c>
      <c r="S59" s="140" t="n">
        <f aca="false">(IF(AND(55+$K$33&gt;=1,55+$K$33&lt;=72),INDEX($N$5:$N$76,55+$K$33),0)+IF(AND(55+$K$34&gt;=1,55+$K$34&lt;=72),INDEX($N$5:$N$76,55+$K$34),0)+IF(AND(55+$K$35&gt;=1,55+$K$35&lt;=72),INDEX($N$5:$N$76,55+$K$35),0))/3</f>
        <v>0</v>
      </c>
      <c r="T59" s="140" t="n">
        <f aca="false">IF(B59&lt;='VALOR POR PL'!$P$5,0,S59+IF(B59=DATE(YEAR('VALOR POR PL'!$P$5),MONTH('VALOR POR PL'!$P$5)+1,1),SUMPRODUCT((B5:B76&lt;='VALOR POR PL'!$P$5)*S5:S76),0))</f>
        <v>0</v>
      </c>
      <c r="U59" s="45" t="n">
        <f aca="false">IF($K$32=0,0,$K$18*$K$27*T59/$K$32)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HISTORICOS'!BG38)</f>
        <v>0</v>
      </c>
      <c r="D60" s="45" t="n">
        <f aca="false">IF(B60&lt;='VALOR POR PL'!$P$5,0,IF($K$16="MDO PREVISION + MATERIAL PREMISSA",R60+U60,IF($K$17&gt;0,$K$18*P60/$K$17,0)))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RESUMO'!BG38</f>
        <v>100</v>
      </c>
      <c r="N60" s="140" t="n">
        <f aca="false">MAX(0,M60-M59)</f>
        <v>0</v>
      </c>
      <c r="O60" s="139" t="str">
        <f aca="false">IF(B60&lt;='VALOR POR PL'!$P$5,'CP RESUMO'!BG80,"")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  <c r="R60" s="45" t="n">
        <f aca="false">IF(OR(B60&lt;='VALOR POR PL'!$P$5,$K$12=0),0,$K$18*$K$26*N60/$K$12)</f>
        <v>0</v>
      </c>
      <c r="S60" s="140" t="n">
        <f aca="false">(IF(AND(56+$K$33&gt;=1,56+$K$33&lt;=72),INDEX($N$5:$N$76,56+$K$33),0)+IF(AND(56+$K$34&gt;=1,56+$K$34&lt;=72),INDEX($N$5:$N$76,56+$K$34),0)+IF(AND(56+$K$35&gt;=1,56+$K$35&lt;=72),INDEX($N$5:$N$76,56+$K$35),0))/3</f>
        <v>0</v>
      </c>
      <c r="T60" s="140" t="n">
        <f aca="false">IF(B60&lt;='VALOR POR PL'!$P$5,0,S60+IF(B60=DATE(YEAR('VALOR POR PL'!$P$5),MONTH('VALOR POR PL'!$P$5)+1,1),SUMPRODUCT((B5:B76&lt;='VALOR POR PL'!$P$5)*S5:S76),0))</f>
        <v>0</v>
      </c>
      <c r="U60" s="45" t="n">
        <f aca="false">IF($K$32=0,0,$K$18*$K$27*T60/$K$32)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HISTORICOS'!BH38)</f>
        <v>0</v>
      </c>
      <c r="D61" s="45" t="n">
        <f aca="false">IF(B61&lt;='VALOR POR PL'!$P$5,0,IF($K$16="MDO PREVISION + MATERIAL PREMISSA",R61+U61,IF($K$17&gt;0,$K$18*P61/$K$17,0)))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RESUMO'!BH38</f>
        <v>100</v>
      </c>
      <c r="N61" s="140" t="n">
        <f aca="false">MAX(0,M61-M60)</f>
        <v>0</v>
      </c>
      <c r="O61" s="139" t="str">
        <f aca="false">IF(B61&lt;='VALOR POR PL'!$P$5,'CP RESUMO'!BH80,"")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  <c r="R61" s="45" t="n">
        <f aca="false">IF(OR(B61&lt;='VALOR POR PL'!$P$5,$K$12=0),0,$K$18*$K$26*N61/$K$12)</f>
        <v>0</v>
      </c>
      <c r="S61" s="140" t="n">
        <f aca="false">(IF(AND(57+$K$33&gt;=1,57+$K$33&lt;=72),INDEX($N$5:$N$76,57+$K$33),0)+IF(AND(57+$K$34&gt;=1,57+$K$34&lt;=72),INDEX($N$5:$N$76,57+$K$34),0)+IF(AND(57+$K$35&gt;=1,57+$K$35&lt;=72),INDEX($N$5:$N$76,57+$K$35),0))/3</f>
        <v>0</v>
      </c>
      <c r="T61" s="140" t="n">
        <f aca="false">IF(B61&lt;='VALOR POR PL'!$P$5,0,S61+IF(B61=DATE(YEAR('VALOR POR PL'!$P$5),MONTH('VALOR POR PL'!$P$5)+1,1),SUMPRODUCT((B5:B76&lt;='VALOR POR PL'!$P$5)*S5:S76),0))</f>
        <v>0</v>
      </c>
      <c r="U61" s="45" t="n">
        <f aca="false">IF($K$32=0,0,$K$18*$K$27*T61/$K$32)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HISTORICOS'!BI38)</f>
        <v>0</v>
      </c>
      <c r="D62" s="45" t="n">
        <f aca="false">IF(B62&lt;='VALOR POR PL'!$P$5,0,IF($K$16="MDO PREVISION + MATERIAL PREMISSA",R62+U62,IF($K$17&gt;0,$K$18*P62/$K$17,0)))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RESUMO'!BI38</f>
        <v>100</v>
      </c>
      <c r="N62" s="140" t="n">
        <f aca="false">MAX(0,M62-M61)</f>
        <v>0</v>
      </c>
      <c r="O62" s="139" t="str">
        <f aca="false">IF(B62&lt;='VALOR POR PL'!$P$5,'CP RESUMO'!BI80,"")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  <c r="R62" s="45" t="n">
        <f aca="false">IF(OR(B62&lt;='VALOR POR PL'!$P$5,$K$12=0),0,$K$18*$K$26*N62/$K$12)</f>
        <v>0</v>
      </c>
      <c r="S62" s="140" t="n">
        <f aca="false">(IF(AND(58+$K$33&gt;=1,58+$K$33&lt;=72),INDEX($N$5:$N$76,58+$K$33),0)+IF(AND(58+$K$34&gt;=1,58+$K$34&lt;=72),INDEX($N$5:$N$76,58+$K$34),0)+IF(AND(58+$K$35&gt;=1,58+$K$35&lt;=72),INDEX($N$5:$N$76,58+$K$35),0))/3</f>
        <v>0</v>
      </c>
      <c r="T62" s="140" t="n">
        <f aca="false">IF(B62&lt;='VALOR POR PL'!$P$5,0,S62+IF(B62=DATE(YEAR('VALOR POR PL'!$P$5),MONTH('VALOR POR PL'!$P$5)+1,1),SUMPRODUCT((B5:B76&lt;='VALOR POR PL'!$P$5)*S5:S76),0))</f>
        <v>0</v>
      </c>
      <c r="U62" s="45" t="n">
        <f aca="false">IF($K$32=0,0,$K$18*$K$27*T62/$K$32)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HISTORICOS'!BJ38)</f>
        <v>0</v>
      </c>
      <c r="D63" s="45" t="n">
        <f aca="false">IF(B63&lt;='VALOR POR PL'!$P$5,0,IF($K$16="MDO PREVISION + MATERIAL PREMISSA",R63+U63,IF($K$17&gt;0,$K$18*P63/$K$17,0)))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RESUMO'!BJ38</f>
        <v>100</v>
      </c>
      <c r="N63" s="140" t="n">
        <f aca="false">MAX(0,M63-M62)</f>
        <v>0</v>
      </c>
      <c r="O63" s="139" t="str">
        <f aca="false">IF(B63&lt;='VALOR POR PL'!$P$5,'CP RESUMO'!BJ80,"")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  <c r="R63" s="45" t="n">
        <f aca="false">IF(OR(B63&lt;='VALOR POR PL'!$P$5,$K$12=0),0,$K$18*$K$26*N63/$K$12)</f>
        <v>0</v>
      </c>
      <c r="S63" s="140" t="n">
        <f aca="false">(IF(AND(59+$K$33&gt;=1,59+$K$33&lt;=72),INDEX($N$5:$N$76,59+$K$33),0)+IF(AND(59+$K$34&gt;=1,59+$K$34&lt;=72),INDEX($N$5:$N$76,59+$K$34),0)+IF(AND(59+$K$35&gt;=1,59+$K$35&lt;=72),INDEX($N$5:$N$76,59+$K$35),0))/3</f>
        <v>0</v>
      </c>
      <c r="T63" s="140" t="n">
        <f aca="false">IF(B63&lt;='VALOR POR PL'!$P$5,0,S63+IF(B63=DATE(YEAR('VALOR POR PL'!$P$5),MONTH('VALOR POR PL'!$P$5)+1,1),SUMPRODUCT((B5:B76&lt;='VALOR POR PL'!$P$5)*S5:S76),0))</f>
        <v>0</v>
      </c>
      <c r="U63" s="45" t="n">
        <f aca="false">IF($K$32=0,0,$K$18*$K$27*T63/$K$32)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HISTORICOS'!BK38)</f>
        <v>0</v>
      </c>
      <c r="D64" s="45" t="n">
        <f aca="false">IF(B64&lt;='VALOR POR PL'!$P$5,0,IF($K$16="MDO PREVISION + MATERIAL PREMISSA",R64+U64,IF($K$17&gt;0,$K$18*P64/$K$17,0)))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RESUMO'!BK38</f>
        <v>100</v>
      </c>
      <c r="N64" s="140" t="n">
        <f aca="false">MAX(0,M64-M63)</f>
        <v>0</v>
      </c>
      <c r="O64" s="139" t="str">
        <f aca="false">IF(B64&lt;='VALOR POR PL'!$P$5,'CP RESUMO'!BK80,"")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  <c r="R64" s="45" t="n">
        <f aca="false">IF(OR(B64&lt;='VALOR POR PL'!$P$5,$K$12=0),0,$K$18*$K$26*N64/$K$12)</f>
        <v>0</v>
      </c>
      <c r="S64" s="140" t="n">
        <f aca="false">(IF(AND(60+$K$33&gt;=1,60+$K$33&lt;=72),INDEX($N$5:$N$76,60+$K$33),0)+IF(AND(60+$K$34&gt;=1,60+$K$34&lt;=72),INDEX($N$5:$N$76,60+$K$34),0)+IF(AND(60+$K$35&gt;=1,60+$K$35&lt;=72),INDEX($N$5:$N$76,60+$K$35),0))/3</f>
        <v>0</v>
      </c>
      <c r="T64" s="140" t="n">
        <f aca="false">IF(B64&lt;='VALOR POR PL'!$P$5,0,S64+IF(B64=DATE(YEAR('VALOR POR PL'!$P$5),MONTH('VALOR POR PL'!$P$5)+1,1),SUMPRODUCT((B5:B76&lt;='VALOR POR PL'!$P$5)*S5:S76),0))</f>
        <v>0</v>
      </c>
      <c r="U64" s="45" t="n">
        <f aca="false">IF($K$32=0,0,$K$18*$K$27*T64/$K$32)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HISTORICOS'!BL38)</f>
        <v>0</v>
      </c>
      <c r="D65" s="45" t="n">
        <f aca="false">IF(B65&lt;='VALOR POR PL'!$P$5,0,IF($K$16="MDO PREVISION + MATERIAL PREMISSA",R65+U65,IF($K$17&gt;0,$K$18*P65/$K$17,0)))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RESUMO'!BL38</f>
        <v>100</v>
      </c>
      <c r="N65" s="140" t="n">
        <f aca="false">MAX(0,M65-M64)</f>
        <v>0</v>
      </c>
      <c r="O65" s="139" t="str">
        <f aca="false">IF(B65&lt;='VALOR POR PL'!$P$5,'CP RESUMO'!BL80,"")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  <c r="R65" s="45" t="n">
        <f aca="false">IF(OR(B65&lt;='VALOR POR PL'!$P$5,$K$12=0),0,$K$18*$K$26*N65/$K$12)</f>
        <v>0</v>
      </c>
      <c r="S65" s="140" t="n">
        <f aca="false">(IF(AND(61+$K$33&gt;=1,61+$K$33&lt;=72),INDEX($N$5:$N$76,61+$K$33),0)+IF(AND(61+$K$34&gt;=1,61+$K$34&lt;=72),INDEX($N$5:$N$76,61+$K$34),0)+IF(AND(61+$K$35&gt;=1,61+$K$35&lt;=72),INDEX($N$5:$N$76,61+$K$35),0))/3</f>
        <v>0</v>
      </c>
      <c r="T65" s="140" t="n">
        <f aca="false">IF(B65&lt;='VALOR POR PL'!$P$5,0,S65+IF(B65=DATE(YEAR('VALOR POR PL'!$P$5),MONTH('VALOR POR PL'!$P$5)+1,1),SUMPRODUCT((B5:B76&lt;='VALOR POR PL'!$P$5)*S5:S76),0))</f>
        <v>0</v>
      </c>
      <c r="U65" s="45" t="n">
        <f aca="false">IF($K$32=0,0,$K$18*$K$27*T65/$K$32)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HISTORICOS'!BM38)</f>
        <v>0</v>
      </c>
      <c r="D66" s="45" t="n">
        <f aca="false">IF(B66&lt;='VALOR POR PL'!$P$5,0,IF($K$16="MDO PREVISION + MATERIAL PREMISSA",R66+U66,IF($K$17&gt;0,$K$18*P66/$K$17,0)))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RESUMO'!BM38</f>
        <v>100</v>
      </c>
      <c r="N66" s="140" t="n">
        <f aca="false">MAX(0,M66-M65)</f>
        <v>0</v>
      </c>
      <c r="O66" s="139" t="str">
        <f aca="false">IF(B66&lt;='VALOR POR PL'!$P$5,'CP RESUMO'!BM80,"")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  <c r="R66" s="45" t="n">
        <f aca="false">IF(OR(B66&lt;='VALOR POR PL'!$P$5,$K$12=0),0,$K$18*$K$26*N66/$K$12)</f>
        <v>0</v>
      </c>
      <c r="S66" s="140" t="n">
        <f aca="false">(IF(AND(62+$K$33&gt;=1,62+$K$33&lt;=72),INDEX($N$5:$N$76,62+$K$33),0)+IF(AND(62+$K$34&gt;=1,62+$K$34&lt;=72),INDEX($N$5:$N$76,62+$K$34),0)+IF(AND(62+$K$35&gt;=1,62+$K$35&lt;=72),INDEX($N$5:$N$76,62+$K$35),0))/3</f>
        <v>0</v>
      </c>
      <c r="T66" s="140" t="n">
        <f aca="false">IF(B66&lt;='VALOR POR PL'!$P$5,0,S66+IF(B66=DATE(YEAR('VALOR POR PL'!$P$5),MONTH('VALOR POR PL'!$P$5)+1,1),SUMPRODUCT((B5:B76&lt;='VALOR POR PL'!$P$5)*S5:S76),0))</f>
        <v>0</v>
      </c>
      <c r="U66" s="45" t="n">
        <f aca="false">IF($K$32=0,0,$K$18*$K$27*T66/$K$32)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HISTORICOS'!BN38)</f>
        <v>0</v>
      </c>
      <c r="D67" s="45" t="n">
        <f aca="false">IF(B67&lt;='VALOR POR PL'!$P$5,0,IF($K$16="MDO PREVISION + MATERIAL PREMISSA",R67+U67,IF($K$17&gt;0,$K$18*P67/$K$17,0)))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RESUMO'!BN38</f>
        <v>100</v>
      </c>
      <c r="N67" s="140" t="n">
        <f aca="false">MAX(0,M67-M66)</f>
        <v>0</v>
      </c>
      <c r="O67" s="139" t="str">
        <f aca="false">IF(B67&lt;='VALOR POR PL'!$P$5,'CP RESUMO'!BN80,"")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  <c r="R67" s="45" t="n">
        <f aca="false">IF(OR(B67&lt;='VALOR POR PL'!$P$5,$K$12=0),0,$K$18*$K$26*N67/$K$12)</f>
        <v>0</v>
      </c>
      <c r="S67" s="140" t="n">
        <f aca="false">(IF(AND(63+$K$33&gt;=1,63+$K$33&lt;=72),INDEX($N$5:$N$76,63+$K$33),0)+IF(AND(63+$K$34&gt;=1,63+$K$34&lt;=72),INDEX($N$5:$N$76,63+$K$34),0)+IF(AND(63+$K$35&gt;=1,63+$K$35&lt;=72),INDEX($N$5:$N$76,63+$K$35),0))/3</f>
        <v>0</v>
      </c>
      <c r="T67" s="140" t="n">
        <f aca="false">IF(B67&lt;='VALOR POR PL'!$P$5,0,S67+IF(B67=DATE(YEAR('VALOR POR PL'!$P$5),MONTH('VALOR POR PL'!$P$5)+1,1),SUMPRODUCT((B5:B76&lt;='VALOR POR PL'!$P$5)*S5:S76),0))</f>
        <v>0</v>
      </c>
      <c r="U67" s="45" t="n">
        <f aca="false">IF($K$32=0,0,$K$18*$K$27*T67/$K$32)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HISTORICOS'!BO38)</f>
        <v>0</v>
      </c>
      <c r="D68" s="45" t="n">
        <f aca="false">IF(B68&lt;='VALOR POR PL'!$P$5,0,IF($K$16="MDO PREVISION + MATERIAL PREMISSA",R68+U68,IF($K$17&gt;0,$K$18*P68/$K$17,0)))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RESUMO'!BO38</f>
        <v>100</v>
      </c>
      <c r="N68" s="140" t="n">
        <f aca="false">MAX(0,M68-M67)</f>
        <v>0</v>
      </c>
      <c r="O68" s="139" t="str">
        <f aca="false">IF(B68&lt;='VALOR POR PL'!$P$5,'CP RESUMO'!BO80,"")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  <c r="R68" s="45" t="n">
        <f aca="false">IF(OR(B68&lt;='VALOR POR PL'!$P$5,$K$12=0),0,$K$18*$K$26*N68/$K$12)</f>
        <v>0</v>
      </c>
      <c r="S68" s="140" t="n">
        <f aca="false">(IF(AND(64+$K$33&gt;=1,64+$K$33&lt;=72),INDEX($N$5:$N$76,64+$K$33),0)+IF(AND(64+$K$34&gt;=1,64+$K$34&lt;=72),INDEX($N$5:$N$76,64+$K$34),0)+IF(AND(64+$K$35&gt;=1,64+$K$35&lt;=72),INDEX($N$5:$N$76,64+$K$35),0))/3</f>
        <v>0</v>
      </c>
      <c r="T68" s="140" t="n">
        <f aca="false">IF(B68&lt;='VALOR POR PL'!$P$5,0,S68+IF(B68=DATE(YEAR('VALOR POR PL'!$P$5),MONTH('VALOR POR PL'!$P$5)+1,1),SUMPRODUCT((B5:B76&lt;='VALOR POR PL'!$P$5)*S5:S76),0))</f>
        <v>0</v>
      </c>
      <c r="U68" s="45" t="n">
        <f aca="false">IF($K$32=0,0,$K$18*$K$27*T68/$K$32)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HISTORICOS'!BP38)</f>
        <v>0</v>
      </c>
      <c r="D69" s="45" t="n">
        <f aca="false">IF(B69&lt;='VALOR POR PL'!$P$5,0,IF($K$16="MDO PREVISION + MATERIAL PREMISSA",R69+U69,IF($K$17&gt;0,$K$18*P69/$K$17,0)))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RESUMO'!BP38</f>
        <v>100</v>
      </c>
      <c r="N69" s="140" t="n">
        <f aca="false">MAX(0,M69-M68)</f>
        <v>0</v>
      </c>
      <c r="O69" s="139" t="str">
        <f aca="false">IF(B69&lt;='VALOR POR PL'!$P$5,'CP RESUMO'!BP80,"")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  <c r="R69" s="45" t="n">
        <f aca="false">IF(OR(B69&lt;='VALOR POR PL'!$P$5,$K$12=0),0,$K$18*$K$26*N69/$K$12)</f>
        <v>0</v>
      </c>
      <c r="S69" s="140" t="n">
        <f aca="false">(IF(AND(65+$K$33&gt;=1,65+$K$33&lt;=72),INDEX($N$5:$N$76,65+$K$33),0)+IF(AND(65+$K$34&gt;=1,65+$K$34&lt;=72),INDEX($N$5:$N$76,65+$K$34),0)+IF(AND(65+$K$35&gt;=1,65+$K$35&lt;=72),INDEX($N$5:$N$76,65+$K$35),0))/3</f>
        <v>0</v>
      </c>
      <c r="T69" s="140" t="n">
        <f aca="false">IF(B69&lt;='VALOR POR PL'!$P$5,0,S69+IF(B69=DATE(YEAR('VALOR POR PL'!$P$5),MONTH('VALOR POR PL'!$P$5)+1,1),SUMPRODUCT((B5:B76&lt;='VALOR POR PL'!$P$5)*S5:S76),0))</f>
        <v>0</v>
      </c>
      <c r="U69" s="45" t="n">
        <f aca="false">IF($K$32=0,0,$K$18*$K$27*T69/$K$32)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HISTORICOS'!BQ38)</f>
        <v>0</v>
      </c>
      <c r="D70" s="45" t="n">
        <f aca="false">IF(B70&lt;='VALOR POR PL'!$P$5,0,IF($K$16="MDO PREVISION + MATERIAL PREMISSA",R70+U70,IF($K$17&gt;0,$K$18*P70/$K$17,0)))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RESUMO'!BQ38</f>
        <v>100</v>
      </c>
      <c r="N70" s="140" t="n">
        <f aca="false">MAX(0,M70-M69)</f>
        <v>0</v>
      </c>
      <c r="O70" s="139" t="str">
        <f aca="false">IF(B70&lt;='VALOR POR PL'!$P$5,'CP RESUMO'!BQ80,"")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  <c r="R70" s="45" t="n">
        <f aca="false">IF(OR(B70&lt;='VALOR POR PL'!$P$5,$K$12=0),0,$K$18*$K$26*N70/$K$12)</f>
        <v>0</v>
      </c>
      <c r="S70" s="140" t="n">
        <f aca="false">(IF(AND(66+$K$33&gt;=1,66+$K$33&lt;=72),INDEX($N$5:$N$76,66+$K$33),0)+IF(AND(66+$K$34&gt;=1,66+$K$34&lt;=72),INDEX($N$5:$N$76,66+$K$34),0)+IF(AND(66+$K$35&gt;=1,66+$K$35&lt;=72),INDEX($N$5:$N$76,66+$K$35),0))/3</f>
        <v>0</v>
      </c>
      <c r="T70" s="140" t="n">
        <f aca="false">IF(B70&lt;='VALOR POR PL'!$P$5,0,S70+IF(B70=DATE(YEAR('VALOR POR PL'!$P$5),MONTH('VALOR POR PL'!$P$5)+1,1),SUMPRODUCT((B5:B76&lt;='VALOR POR PL'!$P$5)*S5:S76),0))</f>
        <v>0</v>
      </c>
      <c r="U70" s="45" t="n">
        <f aca="false">IF($K$32=0,0,$K$18*$K$27*T70/$K$32)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HISTORICOS'!BR38)</f>
        <v>0</v>
      </c>
      <c r="D71" s="45" t="n">
        <f aca="false">IF(B71&lt;='VALOR POR PL'!$P$5,0,IF($K$16="MDO PREVISION + MATERIAL PREMISSA",R71+U71,IF($K$17&gt;0,$K$18*P71/$K$17,0)))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RESUMO'!BR38</f>
        <v>100</v>
      </c>
      <c r="N71" s="140" t="n">
        <f aca="false">MAX(0,M71-M70)</f>
        <v>0</v>
      </c>
      <c r="O71" s="139" t="str">
        <f aca="false">IF(B71&lt;='VALOR POR PL'!$P$5,'CP RESUMO'!BR80,"")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  <c r="R71" s="45" t="n">
        <f aca="false">IF(OR(B71&lt;='VALOR POR PL'!$P$5,$K$12=0),0,$K$18*$K$26*N71/$K$12)</f>
        <v>0</v>
      </c>
      <c r="S71" s="140" t="n">
        <f aca="false">(IF(AND(67+$K$33&gt;=1,67+$K$33&lt;=72),INDEX($N$5:$N$76,67+$K$33),0)+IF(AND(67+$K$34&gt;=1,67+$K$34&lt;=72),INDEX($N$5:$N$76,67+$K$34),0)+IF(AND(67+$K$35&gt;=1,67+$K$35&lt;=72),INDEX($N$5:$N$76,67+$K$35),0))/3</f>
        <v>0</v>
      </c>
      <c r="T71" s="140" t="n">
        <f aca="false">IF(B71&lt;='VALOR POR PL'!$P$5,0,S71+IF(B71=DATE(YEAR('VALOR POR PL'!$P$5),MONTH('VALOR POR PL'!$P$5)+1,1),SUMPRODUCT((B5:B76&lt;='VALOR POR PL'!$P$5)*S5:S76),0))</f>
        <v>0</v>
      </c>
      <c r="U71" s="45" t="n">
        <f aca="false">IF($K$32=0,0,$K$18*$K$27*T71/$K$32)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HISTORICOS'!BS38)</f>
        <v>0</v>
      </c>
      <c r="D72" s="45" t="n">
        <f aca="false">IF(B72&lt;='VALOR POR PL'!$P$5,0,IF($K$16="MDO PREVISION + MATERIAL PREMISSA",R72+U72,IF($K$17&gt;0,$K$18*P72/$K$17,0)))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RESUMO'!BS38</f>
        <v>100</v>
      </c>
      <c r="N72" s="140" t="n">
        <f aca="false">MAX(0,M72-M71)</f>
        <v>0</v>
      </c>
      <c r="O72" s="139" t="str">
        <f aca="false">IF(B72&lt;='VALOR POR PL'!$P$5,'CP RESUMO'!BS80,"")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  <c r="R72" s="45" t="n">
        <f aca="false">IF(OR(B72&lt;='VALOR POR PL'!$P$5,$K$12=0),0,$K$18*$K$26*N72/$K$12)</f>
        <v>0</v>
      </c>
      <c r="S72" s="140" t="n">
        <f aca="false">(IF(AND(68+$K$33&gt;=1,68+$K$33&lt;=72),INDEX($N$5:$N$76,68+$K$33),0)+IF(AND(68+$K$34&gt;=1,68+$K$34&lt;=72),INDEX($N$5:$N$76,68+$K$34),0)+IF(AND(68+$K$35&gt;=1,68+$K$35&lt;=72),INDEX($N$5:$N$76,68+$K$35),0))/3</f>
        <v>0</v>
      </c>
      <c r="T72" s="140" t="n">
        <f aca="false">IF(B72&lt;='VALOR POR PL'!$P$5,0,S72+IF(B72=DATE(YEAR('VALOR POR PL'!$P$5),MONTH('VALOR POR PL'!$P$5)+1,1),SUMPRODUCT((B5:B76&lt;='VALOR POR PL'!$P$5)*S5:S76),0))</f>
        <v>0</v>
      </c>
      <c r="U72" s="45" t="n">
        <f aca="false">IF($K$32=0,0,$K$18*$K$27*T72/$K$32)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HISTORICOS'!BT38)</f>
        <v>0</v>
      </c>
      <c r="D73" s="45" t="n">
        <f aca="false">IF(B73&lt;='VALOR POR PL'!$P$5,0,IF($K$16="MDO PREVISION + MATERIAL PREMISSA",R73+U73,IF($K$17&gt;0,$K$18*P73/$K$17,0)))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RESUMO'!BT38</f>
        <v>100</v>
      </c>
      <c r="N73" s="140" t="n">
        <f aca="false">MAX(0,M73-M72)</f>
        <v>0</v>
      </c>
      <c r="O73" s="139" t="str">
        <f aca="false">IF(B73&lt;='VALOR POR PL'!$P$5,'CP RESUMO'!BT80,"")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  <c r="R73" s="45" t="n">
        <f aca="false">IF(OR(B73&lt;='VALOR POR PL'!$P$5,$K$12=0),0,$K$18*$K$26*N73/$K$12)</f>
        <v>0</v>
      </c>
      <c r="S73" s="140" t="n">
        <f aca="false">(IF(AND(69+$K$33&gt;=1,69+$K$33&lt;=72),INDEX($N$5:$N$76,69+$K$33),0)+IF(AND(69+$K$34&gt;=1,69+$K$34&lt;=72),INDEX($N$5:$N$76,69+$K$34),0)+IF(AND(69+$K$35&gt;=1,69+$K$35&lt;=72),INDEX($N$5:$N$76,69+$K$35),0))/3</f>
        <v>0</v>
      </c>
      <c r="T73" s="140" t="n">
        <f aca="false">IF(B73&lt;='VALOR POR PL'!$P$5,0,S73+IF(B73=DATE(YEAR('VALOR POR PL'!$P$5),MONTH('VALOR POR PL'!$P$5)+1,1),SUMPRODUCT((B5:B76&lt;='VALOR POR PL'!$P$5)*S5:S76),0))</f>
        <v>0</v>
      </c>
      <c r="U73" s="45" t="n">
        <f aca="false">IF($K$32=0,0,$K$18*$K$27*T73/$K$32)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HISTORICOS'!BU38)</f>
        <v>0</v>
      </c>
      <c r="D74" s="45" t="n">
        <f aca="false">IF(B74&lt;='VALOR POR PL'!$P$5,0,IF($K$16="MDO PREVISION + MATERIAL PREMISSA",R74+U74,IF($K$17&gt;0,$K$18*P74/$K$17,0)))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RESUMO'!BU38</f>
        <v>100</v>
      </c>
      <c r="N74" s="140" t="n">
        <f aca="false">MAX(0,M74-M73)</f>
        <v>0</v>
      </c>
      <c r="O74" s="139" t="str">
        <f aca="false">IF(B74&lt;='VALOR POR PL'!$P$5,'CP RESUMO'!BU80,"")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  <c r="R74" s="45" t="n">
        <f aca="false">IF(OR(B74&lt;='VALOR POR PL'!$P$5,$K$12=0),0,$K$18*$K$26*N74/$K$12)</f>
        <v>0</v>
      </c>
      <c r="S74" s="140" t="n">
        <f aca="false">(IF(AND(70+$K$33&gt;=1,70+$K$33&lt;=72),INDEX($N$5:$N$76,70+$K$33),0)+IF(AND(70+$K$34&gt;=1,70+$K$34&lt;=72),INDEX($N$5:$N$76,70+$K$34),0)+IF(AND(70+$K$35&gt;=1,70+$K$35&lt;=72),INDEX($N$5:$N$76,70+$K$35),0))/3</f>
        <v>0</v>
      </c>
      <c r="T74" s="140" t="n">
        <f aca="false">IF(B74&lt;='VALOR POR PL'!$P$5,0,S74+IF(B74=DATE(YEAR('VALOR POR PL'!$P$5),MONTH('VALOR POR PL'!$P$5)+1,1),SUMPRODUCT((B5:B76&lt;='VALOR POR PL'!$P$5)*S5:S76),0))</f>
        <v>0</v>
      </c>
      <c r="U74" s="45" t="n">
        <f aca="false">IF($K$32=0,0,$K$18*$K$27*T74/$K$32)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HISTORICOS'!BV38)</f>
        <v>0</v>
      </c>
      <c r="D75" s="45" t="n">
        <f aca="false">IF(B75&lt;='VALOR POR PL'!$P$5,0,IF($K$16="MDO PREVISION + MATERIAL PREMISSA",R75+U75,IF($K$17&gt;0,$K$18*P75/$K$17,0)))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RESUMO'!BV38</f>
        <v>100</v>
      </c>
      <c r="N75" s="140" t="n">
        <f aca="false">MAX(0,M75-M74)</f>
        <v>0</v>
      </c>
      <c r="O75" s="139" t="str">
        <f aca="false">IF(B75&lt;='VALOR POR PL'!$P$5,'CP RESUMO'!BV80,"")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  <c r="R75" s="45" t="n">
        <f aca="false">IF(OR(B75&lt;='VALOR POR PL'!$P$5,$K$12=0),0,$K$18*$K$26*N75/$K$12)</f>
        <v>0</v>
      </c>
      <c r="S75" s="140" t="n">
        <f aca="false">(IF(AND(71+$K$33&gt;=1,71+$K$33&lt;=72),INDEX($N$5:$N$76,71+$K$33),0)+IF(AND(71+$K$34&gt;=1,71+$K$34&lt;=72),INDEX($N$5:$N$76,71+$K$34),0)+IF(AND(71+$K$35&gt;=1,71+$K$35&lt;=72),INDEX($N$5:$N$76,71+$K$35),0))/3</f>
        <v>0</v>
      </c>
      <c r="T75" s="140" t="n">
        <f aca="false">IF(B75&lt;='VALOR POR PL'!$P$5,0,S75+IF(B75=DATE(YEAR('VALOR POR PL'!$P$5),MONTH('VALOR POR PL'!$P$5)+1,1),SUMPRODUCT((B5:B76&lt;='VALOR POR PL'!$P$5)*S5:S76),0))</f>
        <v>0</v>
      </c>
      <c r="U75" s="45" t="n">
        <f aca="false">IF($K$32=0,0,$K$18*$K$27*T75/$K$32)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HISTORICOS'!BW38)</f>
        <v>0</v>
      </c>
      <c r="D76" s="45" t="n">
        <f aca="false">IF(B76&lt;='VALOR POR PL'!$P$5,0,IF($K$16="MDO PREVISION + MATERIAL PREMISSA",R76+U76,IF($K$17&gt;0,$K$18*P76/$K$17,0)))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RESUMO'!BW38</f>
        <v>100</v>
      </c>
      <c r="N76" s="140" t="n">
        <f aca="false">MAX(0,M76-M75)</f>
        <v>0</v>
      </c>
      <c r="O76" s="139" t="str">
        <f aca="false">IF(B76&lt;='VALOR POR PL'!$P$5,'CP RESUMO'!BW80,"")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  <c r="R76" s="45" t="n">
        <f aca="false">IF(OR(B76&lt;='VALOR POR PL'!$P$5,$K$12=0),0,$K$18*$K$26*N76/$K$12)</f>
        <v>0</v>
      </c>
      <c r="S76" s="140" t="n">
        <f aca="false">(IF(AND(72+$K$33&gt;=1,72+$K$33&lt;=72),INDEX($N$5:$N$76,72+$K$33),0)+IF(AND(72+$K$34&gt;=1,72+$K$34&lt;=72),INDEX($N$5:$N$76,72+$K$34),0)+IF(AND(72+$K$35&gt;=1,72+$K$35&lt;=72),INDEX($N$5:$N$76,72+$K$35),0))/3</f>
        <v>0</v>
      </c>
      <c r="T76" s="140" t="n">
        <f aca="false">IF(B76&lt;='VALOR POR PL'!$P$5,0,S76+IF(B76=DATE(YEAR('VALOR POR PL'!$P$5),MONTH('VALOR POR PL'!$P$5)+1,1),SUMPRODUCT((B5:B76&lt;='VALOR POR PL'!$P$5)*S5:S76),0))</f>
        <v>0</v>
      </c>
      <c r="U76" s="45" t="n">
        <f aca="false">IF($K$32=0,0,$K$18*$K$27*T76/$K$32)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2184888.0820161</v>
      </c>
      <c r="E78" s="61" t="n">
        <f aca="false">SUM(E5:E76)</f>
        <v>1684.71479210333</v>
      </c>
      <c r="F78" s="145" t="n">
        <f aca="false">SUM(F5:F76)</f>
        <v>1</v>
      </c>
      <c r="H78" s="61" t="n">
        <f aca="false">SUM(H5:H76)</f>
        <v>2160628.3</v>
      </c>
      <c r="L78" s="61" t="n">
        <f aca="false">SUM(L5:L76)</f>
        <v>0</v>
      </c>
      <c r="R78" s="61" t="n">
        <f aca="false">SUM(R5:R76)</f>
        <v>873955.23280644</v>
      </c>
      <c r="U78" s="61" t="n">
        <f aca="false">SUM(U5:U76)</f>
        <v>1310932.84920966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3">
    <mergeCell ref="K20:K21"/>
    <mergeCell ref="I24:K24"/>
    <mergeCell ref="I25:K25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22" type="list">
      <formula1>"SIM,NÃO"</formula1>
      <formula2>0</formula2>
    </dataValidation>
    <dataValidation allowBlank="false" errorStyle="stop" operator="between" showDropDown="false" showErrorMessage="false" showInputMessage="false" sqref="K15" type="list">
      <formula1>"AUTOMÁTICO,CURVA PREVISION,PREVISÃO INFORMADA,MDO PREVISION + MATERIAL PREMISSA"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PL'!D45</f>
        <v>PINTURA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PL'!F45</f>
        <v>3676746.93</v>
      </c>
      <c r="K5" s="56" t="n">
        <f aca="false">'VALOR POR PL'!G45</f>
        <v>3021.886086</v>
      </c>
      <c r="L5" s="56" t="n">
        <f aca="false">'DADOS HISTORICOS'!$BZ$39</f>
        <v>0</v>
      </c>
      <c r="M5" s="139" t="n">
        <f aca="false">'CP RESUMO'!D39</f>
        <v>0</v>
      </c>
      <c r="N5" s="140" t="n">
        <v>0</v>
      </c>
      <c r="O5" s="139" t="n">
        <f aca="false">IF(B5&lt;='VALOR POR PL'!$P$5,'CP RESUMO'!D81,"")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PL'!H45</f>
        <v>3021.886086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RESUMO'!E39</f>
        <v>0</v>
      </c>
      <c r="N6" s="140" t="n">
        <f aca="false">MAX(0,M6-M5)</f>
        <v>0</v>
      </c>
      <c r="O6" s="139" t="n">
        <f aca="false">IF(B6&lt;='VALOR POR PL'!$P$5,'CP RESUMO'!E81,"")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3917501.06140623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RESUMO'!F39</f>
        <v>0</v>
      </c>
      <c r="N7" s="140" t="n">
        <f aca="false">MAX(0,M7-M6)</f>
        <v>0</v>
      </c>
      <c r="O7" s="139" t="n">
        <f aca="false">IF(B7&lt;='VALOR POR PL'!$P$5,'CP RESUMO'!F81,"")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RESUMO'!G39</f>
        <v>0</v>
      </c>
      <c r="N8" s="140" t="n">
        <f aca="false">MAX(0,M8-M7)</f>
        <v>0</v>
      </c>
      <c r="O8" s="139" t="n">
        <f aca="false">IF(B8&lt;='VALOR POR PL'!$P$5,'CP RESUMO'!G81,"")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3917501.06140623</v>
      </c>
      <c r="K9" s="45" t="n">
        <f aca="false">E78</f>
        <v>3020.69110109364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RESUMO'!H39</f>
        <v>0</v>
      </c>
      <c r="N9" s="140" t="n">
        <f aca="false">MAX(0,M9-M8)</f>
        <v>0</v>
      </c>
      <c r="O9" s="139" t="n">
        <f aca="false">IF(B9&lt;='VALOR POR PL'!$P$5,'CP RESUMO'!H81,"")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3020.69110109364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RESUMO'!I39</f>
        <v>0</v>
      </c>
      <c r="N10" s="140" t="n">
        <f aca="false">MAX(0,M10-M9)</f>
        <v>0</v>
      </c>
      <c r="O10" s="139" t="n">
        <f aca="false">IF(B10&lt;='VALOR POR PL'!$P$5,'CP RESUMO'!I81,"")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3759701.65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RESUMO'!J39</f>
        <v>0</v>
      </c>
      <c r="N11" s="140" t="n">
        <f aca="false">MAX(0,M11-M10)</f>
        <v>0</v>
      </c>
      <c r="O11" s="139" t="n">
        <f aca="false">IF(B11&lt;='VALOR POR PL'!$P$5,'CP RESUMO'!J81,"")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98.46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RESUMO'!K39</f>
        <v>0</v>
      </c>
      <c r="N12" s="140" t="n">
        <f aca="false">MAX(0,M12-M11)</f>
        <v>0</v>
      </c>
      <c r="O12" s="139" t="n">
        <f aca="false">IF(B12&lt;='VALOR POR PL'!$P$5,'CP RESUMO'!K81,"")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PL'!I45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RESUMO'!L39</f>
        <v>0</v>
      </c>
      <c r="N13" s="140" t="n">
        <f aca="false">MAX(0,M13-M12)</f>
        <v>0</v>
      </c>
      <c r="O13" s="139" t="n">
        <f aca="false">IF(B13&lt;='VALOR POR PL'!$P$5,'CP RESUMO'!L81,"")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RESUMO'!$D$81:$BW$81,MATCH('VALOR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RESUMO'!M39</f>
        <v>0</v>
      </c>
      <c r="N14" s="140" t="n">
        <f aca="false">MAX(0,M14-M13)</f>
        <v>0</v>
      </c>
      <c r="O14" s="139" t="n">
        <f aca="false">IF(B14&lt;='VALOR POR PL'!$P$5,'CP RESUMO'!M81,"")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HISTORICOS'!N39)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RESUMO'!N39</f>
        <v>0</v>
      </c>
      <c r="N15" s="140" t="n">
        <f aca="false">MAX(0,M15-M14)</f>
        <v>0</v>
      </c>
      <c r="O15" s="139" t="n">
        <f aca="false">IF(B15&lt;='VALOR POR PL'!$P$5,'CP RESUMO'!N81,"")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RESUMO'!O39</f>
        <v>0</v>
      </c>
      <c r="N16" s="140" t="n">
        <f aca="false">MAX(0,M16-M15)</f>
        <v>0</v>
      </c>
      <c r="O16" s="139" t="n">
        <f aca="false">IF(B16&lt;='VALOR POR PL'!$P$5,'CP RESUMO'!O81,"")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3759701.65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RESUMO'!P39</f>
        <v>0</v>
      </c>
      <c r="N17" s="140" t="n">
        <f aca="false">MAX(0,M17-M16)</f>
        <v>0</v>
      </c>
      <c r="O17" s="139" t="n">
        <f aca="false">IF(B17&lt;='VALOR POR PL'!$P$5,'CP RESUMO'!P81,"")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3917501.06140623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RESUMO'!Q39</f>
        <v>0</v>
      </c>
      <c r="N18" s="140" t="n">
        <f aca="false">MAX(0,M18-M17)</f>
        <v>0</v>
      </c>
      <c r="O18" s="139" t="n">
        <f aca="false">IF(B18&lt;='VALOR POR PL'!$P$5,'CP RESUMO'!Q81,"")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HISTORICOS'!R39)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0.0419712589179078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RESUMO'!R39</f>
        <v>0</v>
      </c>
      <c r="N19" s="140" t="n">
        <f aca="false">MAX(0,M19-M18)</f>
        <v>0</v>
      </c>
      <c r="O19" s="139" t="n">
        <f aca="false">IF(B19&lt;='VALOR POR PL'!$P$5,'CP RESUMO'!R81,"")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HISTORICOS'!S39)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RESUMO'!S39</f>
        <v>0</v>
      </c>
      <c r="N20" s="140" t="n">
        <f aca="false">MAX(0,M20-M19)</f>
        <v>0</v>
      </c>
      <c r="O20" s="139" t="n">
        <f aca="false">IF(B20&lt;='VALOR POR PL'!$P$5,'CP RESUMO'!S81,"")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HISTORICOS'!T39)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RESUMO'!T39</f>
        <v>0</v>
      </c>
      <c r="N21" s="140" t="n">
        <f aca="false">MAX(0,M21-M20)</f>
        <v>0</v>
      </c>
      <c r="O21" s="139" t="n">
        <f aca="false">IF(B21&lt;='VALOR POR PL'!$P$5,'CP RESUMO'!T81,"")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HISTORICOS'!U39)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RESUMO'!U39</f>
        <v>0</v>
      </c>
      <c r="N22" s="140" t="n">
        <f aca="false">MAX(0,M22-M21)</f>
        <v>0</v>
      </c>
      <c r="O22" s="139" t="n">
        <f aca="false">IF(B22&lt;='VALOR POR PL'!$P$5,'CP RESUMO'!U81,"")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RESUMO'!V39</f>
        <v>0</v>
      </c>
      <c r="N23" s="140" t="n">
        <f aca="false">MAX(0,M23-M22)</f>
        <v>0</v>
      </c>
      <c r="O23" s="139" t="n">
        <f aca="false">IF(B23&lt;='VALOR POR PL'!$P$5,'CP RESUMO'!V81,"")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HISTORICOS'!W39)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RESUMO'!W39</f>
        <v>0</v>
      </c>
      <c r="N24" s="140" t="n">
        <f aca="false">MAX(0,M24-M23)</f>
        <v>0</v>
      </c>
      <c r="O24" s="139" t="n">
        <f aca="false">IF(B24&lt;='VALOR POR PL'!$P$5,'CP RESUMO'!W81,"")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RESUMO'!X39</f>
        <v>0</v>
      </c>
      <c r="N25" s="140" t="n">
        <f aca="false">MAX(0,M25-M24)</f>
        <v>0</v>
      </c>
      <c r="O25" s="139" t="n">
        <f aca="false">IF(B25&lt;='VALOR POR PL'!$P$5,'CP RESUMO'!X81,"")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HISTORICOS'!Y39)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RESUMO'!Y39</f>
        <v>0</v>
      </c>
      <c r="N26" s="140" t="n">
        <f aca="false">MAX(0,M26-M25)</f>
        <v>0</v>
      </c>
      <c r="O26" s="139" t="str">
        <f aca="false">IF(B26&lt;='VALOR POR PL'!$P$5,'CP RESUMO'!Y81,"")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HISTORICOS'!Z39)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RESUMO'!Z39</f>
        <v>0.92</v>
      </c>
      <c r="N27" s="140" t="n">
        <f aca="false">MAX(0,M27-M26)</f>
        <v>0.92</v>
      </c>
      <c r="O27" s="139" t="str">
        <f aca="false">IF(B27&lt;='VALOR POR PL'!$P$5,'CP RESUMO'!Z81,"")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HISTORICOS'!AA39)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RESUMO'!AA39</f>
        <v>2.65</v>
      </c>
      <c r="N28" s="140" t="n">
        <f aca="false">MAX(0,M28-M27)</f>
        <v>1.73</v>
      </c>
      <c r="O28" s="139" t="str">
        <f aca="false">IF(B28&lt;='VALOR POR PL'!$P$5,'CP RESUMO'!AA81,"")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HISTORICOS'!AB39)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RESUMO'!AB39</f>
        <v>4.12</v>
      </c>
      <c r="N29" s="140" t="n">
        <f aca="false">MAX(0,M29-M28)</f>
        <v>1.47</v>
      </c>
      <c r="O29" s="139" t="str">
        <f aca="false">IF(B29&lt;='VALOR POR PL'!$P$5,'CP RESUMO'!AB81,"")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HISTORICOS'!AC39)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RESUMO'!AC39</f>
        <v>6.59</v>
      </c>
      <c r="N30" s="140" t="n">
        <f aca="false">MAX(0,M30-M29)</f>
        <v>2.47</v>
      </c>
      <c r="O30" s="139" t="str">
        <f aca="false">IF(B30&lt;='VALOR POR PL'!$P$5,'CP RESUMO'!AC81,"")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HISTORICOS'!AD39)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RESUMO'!AD39</f>
        <v>9.06</v>
      </c>
      <c r="N31" s="140" t="n">
        <f aca="false">MAX(0,M31-M30)</f>
        <v>2.47</v>
      </c>
      <c r="O31" s="139" t="str">
        <f aca="false">IF(B31&lt;='VALOR POR PL'!$P$5,'CP RESUMO'!AD81,"")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HISTORICOS'!AE39)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RESUMO'!AE39</f>
        <v>11.53</v>
      </c>
      <c r="N32" s="140" t="n">
        <f aca="false">MAX(0,M32-M31)</f>
        <v>2.47</v>
      </c>
      <c r="O32" s="139" t="str">
        <f aca="false">IF(B32&lt;='VALOR POR PL'!$P$5,'CP RESUMO'!AE81,"")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HISTORICOS'!AF39)</f>
        <v>0</v>
      </c>
      <c r="D33" s="45" t="n">
        <f aca="false">IF(B33&lt;='VALOR POR PL'!$P$5,0,IF($K$17&gt;0,$K$18*P33/$K$17,0))</f>
        <v>6400.89196180824</v>
      </c>
      <c r="E33" s="45" t="n">
        <f aca="false">L33+D33/$K$2</f>
        <v>4.93557425639993</v>
      </c>
      <c r="F33" s="117" t="n">
        <f aca="false">IF($K$9=0,0,E33/$K$9)</f>
        <v>0.00163392220231092</v>
      </c>
      <c r="G33" s="117" t="n">
        <f aca="false">G32+F33</f>
        <v>0.00163392220231092</v>
      </c>
      <c r="H33" s="138" t="n">
        <v>6143.06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RESUMO'!AF39</f>
        <v>14.21</v>
      </c>
      <c r="N33" s="140" t="n">
        <f aca="false">MAX(0,M33-M32)</f>
        <v>2.68</v>
      </c>
      <c r="O33" s="139" t="str">
        <f aca="false">IF(B33&lt;='VALOR POR PL'!$P$5,'CP RESUMO'!AF81,"")</f>
        <v/>
      </c>
      <c r="P33" s="66" t="n">
        <f aca="false">IF(B33&lt;='VALOR POR PL'!$P$5,0,IF(OR($K$16="CURVA PREVISION",$K$16="MDO PREVISION + MATERIAL PREMISSA"),N33,IF($K$16="PREVISÃO INFORMADA",MAX(0,H33),0)))</f>
        <v>6143.06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HISTORICOS'!AG39)</f>
        <v>0</v>
      </c>
      <c r="D34" s="45" t="n">
        <f aca="false">IF(B34&lt;='VALOR POR PL'!$P$5,0,IF($K$17&gt;0,$K$18*P34/$K$17,0))</f>
        <v>12282.7988789747</v>
      </c>
      <c r="E34" s="45" t="n">
        <f aca="false">L34+D34/$K$2</f>
        <v>9.47097159354012</v>
      </c>
      <c r="F34" s="117" t="n">
        <f aca="false">IF($K$9=0,0,E34/$K$9)</f>
        <v>0.00313536580755018</v>
      </c>
      <c r="G34" s="117" t="n">
        <f aca="false">G33+F34</f>
        <v>0.0047692880098611</v>
      </c>
      <c r="H34" s="138" t="n">
        <v>11788.04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RESUMO'!AG39</f>
        <v>14.99</v>
      </c>
      <c r="N34" s="140" t="n">
        <f aca="false">MAX(0,M34-M33)</f>
        <v>0.779999999999999</v>
      </c>
      <c r="O34" s="139" t="str">
        <f aca="false">IF(B34&lt;='VALOR POR PL'!$P$5,'CP RESUMO'!AG81,"")</f>
        <v/>
      </c>
      <c r="P34" s="66" t="n">
        <f aca="false">IF(B34&lt;='VALOR POR PL'!$P$5,0,IF(OR($K$16="CURVA PREVISION",$K$16="MDO PREVISION + MATERIAL PREMISSA"),N34,IF($K$16="PREVISÃO INFORMADA",MAX(0,H34),0)))</f>
        <v>11788.04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HISTORICOS'!AH39)</f>
        <v>0</v>
      </c>
      <c r="D35" s="45" t="n">
        <f aca="false">IF(B35&lt;='VALOR POR PL'!$P$5,0,IF($K$17&gt;0,$K$18*P35/$K$17,0))</f>
        <v>20183.0041246651</v>
      </c>
      <c r="E35" s="45" t="n">
        <f aca="false">L35+D35/$K$2</f>
        <v>15.5626303597803</v>
      </c>
      <c r="F35" s="117" t="n">
        <f aca="false">IF($K$9=0,0,E35/$K$9)</f>
        <v>0.00515200986759149</v>
      </c>
      <c r="G35" s="117" t="n">
        <f aca="false">G34+F35</f>
        <v>0.00992129787745259</v>
      </c>
      <c r="H35" s="138" t="n">
        <v>19370.02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RESUMO'!AH39</f>
        <v>14.99</v>
      </c>
      <c r="N35" s="140" t="n">
        <f aca="false">MAX(0,M35-M34)</f>
        <v>0</v>
      </c>
      <c r="O35" s="139" t="str">
        <f aca="false">IF(B35&lt;='VALOR POR PL'!$P$5,'CP RESUMO'!AH81,"")</f>
        <v/>
      </c>
      <c r="P35" s="66" t="n">
        <f aca="false">IF(B35&lt;='VALOR POR PL'!$P$5,0,IF(OR($K$16="CURVA PREVISION",$K$16="MDO PREVISION + MATERIAL PREMISSA"),N35,IF($K$16="PREVISÃO INFORMADA",MAX(0,H35),0)))</f>
        <v>19370.02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HISTORICOS'!AI39)</f>
        <v>0</v>
      </c>
      <c r="D36" s="45" t="n">
        <f aca="false">IF(B36&lt;='VALOR POR PL'!$P$5,0,IF($K$17&gt;0,$K$18*P36/$K$17,0))</f>
        <v>38001.7025248572</v>
      </c>
      <c r="E36" s="45" t="n">
        <f aca="false">L36+D36/$K$2</f>
        <v>29.30220128697</v>
      </c>
      <c r="F36" s="117" t="n">
        <f aca="false">IF($K$9=0,0,E36/$K$9)</f>
        <v>0.00970049578269063</v>
      </c>
      <c r="G36" s="117" t="n">
        <f aca="false">G35+F36</f>
        <v>0.0196217936601432</v>
      </c>
      <c r="H36" s="138" t="n">
        <v>36470.97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RESUMO'!AI39</f>
        <v>14.99</v>
      </c>
      <c r="N36" s="140" t="n">
        <f aca="false">MAX(0,M36-M35)</f>
        <v>0</v>
      </c>
      <c r="O36" s="139" t="str">
        <f aca="false">IF(B36&lt;='VALOR POR PL'!$P$5,'CP RESUMO'!AI81,"")</f>
        <v/>
      </c>
      <c r="P36" s="66" t="n">
        <f aca="false">IF(B36&lt;='VALOR POR PL'!$P$5,0,IF(OR($K$16="CURVA PREVISION",$K$16="MDO PREVISION + MATERIAL PREMISSA"),N36,IF($K$16="PREVISÃO INFORMADA",MAX(0,H36),0)))</f>
        <v>36470.97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HISTORICOS'!AJ39)</f>
        <v>0</v>
      </c>
      <c r="D37" s="45" t="n">
        <f aca="false">IF(B37&lt;='VALOR POR PL'!$P$5,0,IF($K$17&gt;0,$K$18*P37/$K$17,0))</f>
        <v>35349.0833530418</v>
      </c>
      <c r="E37" s="45" t="n">
        <f aca="false">L37+D37/$K$2</f>
        <v>27.2568302707802</v>
      </c>
      <c r="F37" s="117" t="n">
        <f aca="false">IF($K$9=0,0,E37/$K$9)</f>
        <v>0.00902337556492016</v>
      </c>
      <c r="G37" s="117" t="n">
        <f aca="false">G36+F37</f>
        <v>0.0286451692250634</v>
      </c>
      <c r="H37" s="138" t="n">
        <v>33925.2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RESUMO'!AJ39</f>
        <v>14.99</v>
      </c>
      <c r="N37" s="140" t="n">
        <f aca="false">MAX(0,M37-M36)</f>
        <v>0</v>
      </c>
      <c r="O37" s="139" t="str">
        <f aca="false">IF(B37&lt;='VALOR POR PL'!$P$5,'CP RESUMO'!AJ81,"")</f>
        <v/>
      </c>
      <c r="P37" s="66" t="n">
        <f aca="false">IF(B37&lt;='VALOR POR PL'!$P$5,0,IF(OR($K$16="CURVA PREVISION",$K$16="MDO PREVISION + MATERIAL PREMISSA"),N37,IF($K$16="PREVISÃO INFORMADA",MAX(0,H37),0)))</f>
        <v>33925.2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HISTORICOS'!AK39)</f>
        <v>0</v>
      </c>
      <c r="D38" s="45" t="n">
        <f aca="false">IF(B38&lt;='VALOR POR PL'!$P$5,0,IF($K$17&gt;0,$K$18*P38/$K$17,0))</f>
        <v>49823.1790486586</v>
      </c>
      <c r="E38" s="45" t="n">
        <f aca="false">L38+D38/$K$2</f>
        <v>38.4174582779703</v>
      </c>
      <c r="F38" s="117" t="n">
        <f aca="false">IF($K$9=0,0,E38/$K$9)</f>
        <v>0.0127181022462248</v>
      </c>
      <c r="G38" s="117" t="n">
        <f aca="false">G37+F38</f>
        <v>0.0413632714712882</v>
      </c>
      <c r="H38" s="138" t="n">
        <v>47816.27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RESUMO'!AK39</f>
        <v>14.99</v>
      </c>
      <c r="N38" s="140" t="n">
        <f aca="false">MAX(0,M38-M37)</f>
        <v>0</v>
      </c>
      <c r="O38" s="139" t="str">
        <f aca="false">IF(B38&lt;='VALOR POR PL'!$P$5,'CP RESUMO'!AK81,"")</f>
        <v/>
      </c>
      <c r="P38" s="66" t="n">
        <f aca="false">IF(B38&lt;='VALOR POR PL'!$P$5,0,IF(OR($K$16="CURVA PREVISION",$K$16="MDO PREVISION + MATERIAL PREMISSA"),N38,IF($K$16="PREVISÃO INFORMADA",MAX(0,H38),0)))</f>
        <v>47816.27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HISTORICOS'!AL39)</f>
        <v>0</v>
      </c>
      <c r="D39" s="45" t="n">
        <f aca="false">IF(B39&lt;='VALOR POR PL'!$P$5,0,IF($K$17&gt;0,$K$18*P39/$K$17,0))</f>
        <v>51495.4804009463</v>
      </c>
      <c r="E39" s="45" t="n">
        <f aca="false">L39+D39/$K$2</f>
        <v>39.7069297379701</v>
      </c>
      <c r="F39" s="117" t="n">
        <f aca="false">IF($K$9=0,0,E39/$K$9)</f>
        <v>0.013144981863122</v>
      </c>
      <c r="G39" s="117" t="n">
        <f aca="false">G38+F39</f>
        <v>0.0545082533344102</v>
      </c>
      <c r="H39" s="138" t="n">
        <v>49421.21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RESUMO'!AL39</f>
        <v>14.99</v>
      </c>
      <c r="N39" s="140" t="n">
        <f aca="false">MAX(0,M39-M38)</f>
        <v>0</v>
      </c>
      <c r="O39" s="139" t="str">
        <f aca="false">IF(B39&lt;='VALOR POR PL'!$P$5,'CP RESUMO'!AL81,"")</f>
        <v/>
      </c>
      <c r="P39" s="66" t="n">
        <f aca="false">IF(B39&lt;='VALOR POR PL'!$P$5,0,IF(OR($K$16="CURVA PREVISION",$K$16="MDO PREVISION + MATERIAL PREMISSA"),N39,IF($K$16="PREVISÃO INFORMADA",MAX(0,H39),0)))</f>
        <v>49421.21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HISTORICOS'!AM39)</f>
        <v>0</v>
      </c>
      <c r="D40" s="45" t="n">
        <f aca="false">IF(B40&lt;='VALOR POR PL'!$P$5,0,IF($K$17&gt;0,$K$18*P40/$K$17,0))</f>
        <v>57896.3827824671</v>
      </c>
      <c r="E40" s="45" t="n">
        <f aca="false">L40+D40/$K$2</f>
        <v>44.6425120287605</v>
      </c>
      <c r="F40" s="117" t="n">
        <f aca="false">IF($K$9=0,0,E40/$K$9)</f>
        <v>0.0147789067252185</v>
      </c>
      <c r="G40" s="117" t="n">
        <f aca="false">G39+F40</f>
        <v>0.0692871600596287</v>
      </c>
      <c r="H40" s="138" t="n">
        <v>55564.28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RESUMO'!AM39</f>
        <v>14.99</v>
      </c>
      <c r="N40" s="140" t="n">
        <f aca="false">MAX(0,M40-M39)</f>
        <v>0</v>
      </c>
      <c r="O40" s="139" t="str">
        <f aca="false">IF(B40&lt;='VALOR POR PL'!$P$5,'CP RESUMO'!AM81,"")</f>
        <v/>
      </c>
      <c r="P40" s="66" t="n">
        <f aca="false">IF(B40&lt;='VALOR POR PL'!$P$5,0,IF(OR($K$16="CURVA PREVISION",$K$16="MDO PREVISION + MATERIAL PREMISSA"),N40,IF($K$16="PREVISÃO INFORMADA",MAX(0,H40),0)))</f>
        <v>55564.28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HISTORICOS'!AN39)</f>
        <v>0</v>
      </c>
      <c r="D41" s="45" t="n">
        <f aca="false">IF(B41&lt;='VALOR POR PL'!$P$5,0,IF($K$17&gt;0,$K$18*P41/$K$17,0))</f>
        <v>125036.551070149</v>
      </c>
      <c r="E41" s="45" t="n">
        <f aca="false">L41+D41/$K$2</f>
        <v>96.4126853340177</v>
      </c>
      <c r="F41" s="117" t="n">
        <f aca="false">IF($K$9=0,0,E41/$K$9)</f>
        <v>0.0319174262138593</v>
      </c>
      <c r="G41" s="117" t="n">
        <f aca="false">G40+F41</f>
        <v>0.101204586273488</v>
      </c>
      <c r="H41" s="138" t="n">
        <v>120000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RESUMO'!AN39</f>
        <v>14.99</v>
      </c>
      <c r="N41" s="140" t="n">
        <f aca="false">MAX(0,M41-M40)</f>
        <v>0</v>
      </c>
      <c r="O41" s="139" t="str">
        <f aca="false">IF(B41&lt;='VALOR POR PL'!$P$5,'CP RESUMO'!AN81,"")</f>
        <v/>
      </c>
      <c r="P41" s="66" t="n">
        <f aca="false">IF(B41&lt;='VALOR POR PL'!$P$5,0,IF(OR($K$16="CURVA PREVISION",$K$16="MDO PREVISION + MATERIAL PREMISSA"),N41,IF($K$16="PREVISÃO INFORMADA",MAX(0,H41),0)))</f>
        <v>120000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HISTORICOS'!AO39)</f>
        <v>0</v>
      </c>
      <c r="D42" s="45" t="n">
        <f aca="false">IF(B42&lt;='VALOR POR PL'!$P$5,0,IF($K$17&gt;0,$K$18*P42/$K$17,0))</f>
        <v>309607.224088394</v>
      </c>
      <c r="E42" s="45" t="n">
        <f aca="false">L42+D42/$K$2</f>
        <v>238.730704083691</v>
      </c>
      <c r="F42" s="117" t="n">
        <f aca="false">IF($K$9=0,0,E42/$K$9)</f>
        <v>0.0790318162612717</v>
      </c>
      <c r="G42" s="117" t="n">
        <f aca="false">G41+F42</f>
        <v>0.18023640253476</v>
      </c>
      <c r="H42" s="138" t="n">
        <v>297136.05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RESUMO'!AO39</f>
        <v>16.23</v>
      </c>
      <c r="N42" s="140" t="n">
        <f aca="false">MAX(0,M42-M41)</f>
        <v>1.24</v>
      </c>
      <c r="O42" s="139" t="str">
        <f aca="false">IF(B42&lt;='VALOR POR PL'!$P$5,'CP RESUMO'!AO81,"")</f>
        <v/>
      </c>
      <c r="P42" s="66" t="n">
        <f aca="false">IF(B42&lt;='VALOR POR PL'!$P$5,0,IF(OR($K$16="CURVA PREVISION",$K$16="MDO PREVISION + MATERIAL PREMISSA"),N42,IF($K$16="PREVISÃO INFORMADA",MAX(0,H42),0)))</f>
        <v>297136.05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HISTORICOS'!AP39)</f>
        <v>0</v>
      </c>
      <c r="D43" s="45" t="n">
        <f aca="false">IF(B43&lt;='VALOR POR PL'!$P$5,0,IF($K$17&gt;0,$K$18*P43/$K$17,0))</f>
        <v>331404.866875879</v>
      </c>
      <c r="E43" s="45" t="n">
        <f aca="false">L43+D43/$K$2</f>
        <v>255.538343586752</v>
      </c>
      <c r="F43" s="117" t="n">
        <f aca="false">IF($K$9=0,0,E43/$K$9)</f>
        <v>0.0845959864927048</v>
      </c>
      <c r="G43" s="117" t="n">
        <f aca="false">G42+F43</f>
        <v>0.264832389027464</v>
      </c>
      <c r="H43" s="138" t="n">
        <v>318055.67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RESUMO'!AP39</f>
        <v>17.97</v>
      </c>
      <c r="N43" s="140" t="n">
        <f aca="false">MAX(0,M43-M42)</f>
        <v>1.74</v>
      </c>
      <c r="O43" s="139" t="str">
        <f aca="false">IF(B43&lt;='VALOR POR PL'!$P$5,'CP RESUMO'!AP81,"")</f>
        <v/>
      </c>
      <c r="P43" s="66" t="n">
        <f aca="false">IF(B43&lt;='VALOR POR PL'!$P$5,0,IF(OR($K$16="CURVA PREVISION",$K$16="MDO PREVISION + MATERIAL PREMISSA"),N43,IF($K$16="PREVISÃO INFORMADA",MAX(0,H43),0)))</f>
        <v>318055.67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HISTORICOS'!AQ39)</f>
        <v>0</v>
      </c>
      <c r="D44" s="45" t="n">
        <f aca="false">IF(B44&lt;='VALOR POR PL'!$P$5,0,IF($K$17&gt;0,$K$18*P44/$K$17,0))</f>
        <v>277718.08965829</v>
      </c>
      <c r="E44" s="45" t="n">
        <f aca="false">L44+D44/$K$2</f>
        <v>214.141757435131</v>
      </c>
      <c r="F44" s="117" t="n">
        <f aca="false">IF($K$9=0,0,E44/$K$9)</f>
        <v>0.0708916437558283</v>
      </c>
      <c r="G44" s="117" t="n">
        <f aca="false">G43+F44</f>
        <v>0.335724032783293</v>
      </c>
      <c r="H44" s="138" t="n">
        <v>266531.43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RESUMO'!AQ39</f>
        <v>20.41</v>
      </c>
      <c r="N44" s="140" t="n">
        <f aca="false">MAX(0,M44-M43)</f>
        <v>2.44</v>
      </c>
      <c r="O44" s="139" t="str">
        <f aca="false">IF(B44&lt;='VALOR POR PL'!$P$5,'CP RESUMO'!AQ81,"")</f>
        <v/>
      </c>
      <c r="P44" s="66" t="n">
        <f aca="false">IF(B44&lt;='VALOR POR PL'!$P$5,0,IF(OR($K$16="CURVA PREVISION",$K$16="MDO PREVISION + MATERIAL PREMISSA"),N44,IF($K$16="PREVISÃO INFORMADA",MAX(0,H44),0)))</f>
        <v>266531.43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HISTORICOS'!AR39)</f>
        <v>0</v>
      </c>
      <c r="D45" s="45" t="n">
        <f aca="false">IF(B45&lt;='VALOR POR PL'!$P$5,0,IF($K$17&gt;0,$K$18*P45/$K$17,0))</f>
        <v>333423.165204403</v>
      </c>
      <c r="E45" s="45" t="n">
        <f aca="false">L45+D45/$K$2</f>
        <v>257.094605015851</v>
      </c>
      <c r="F45" s="117" t="n">
        <f aca="false">IF($K$9=0,0,E45/$K$9)</f>
        <v>0.0851111869475069</v>
      </c>
      <c r="G45" s="117" t="n">
        <f aca="false">G44+F45</f>
        <v>0.4208352197308</v>
      </c>
      <c r="H45" s="138" t="n">
        <v>319992.67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RESUMO'!AR39</f>
        <v>24.42</v>
      </c>
      <c r="N45" s="140" t="n">
        <f aca="false">MAX(0,M45-M44)</f>
        <v>4.01</v>
      </c>
      <c r="O45" s="139" t="str">
        <f aca="false">IF(B45&lt;='VALOR POR PL'!$P$5,'CP RESUMO'!AR81,"")</f>
        <v/>
      </c>
      <c r="P45" s="66" t="n">
        <f aca="false">IF(B45&lt;='VALOR POR PL'!$P$5,0,IF(OR($K$16="CURVA PREVISION",$K$16="MDO PREVISION + MATERIAL PREMISSA"),N45,IF($K$16="PREVISÃO INFORMADA",MAX(0,H45),0)))</f>
        <v>319992.67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HISTORICOS'!AS39)</f>
        <v>0</v>
      </c>
      <c r="D46" s="45" t="n">
        <f aca="false">IF(B46&lt;='VALOR POR PL'!$P$5,0,IF($K$17&gt;0,$K$18*P46/$K$17,0))</f>
        <v>173977.461794744</v>
      </c>
      <c r="E46" s="45" t="n">
        <f aca="false">L46+D46/$K$2</f>
        <v>134.149847669881</v>
      </c>
      <c r="F46" s="117" t="n">
        <f aca="false">IF($K$9=0,0,E46/$K$9)</f>
        <v>0.0444103164409336</v>
      </c>
      <c r="G46" s="117" t="n">
        <f aca="false">G45+F46</f>
        <v>0.465245536171733</v>
      </c>
      <c r="H46" s="138" t="n">
        <v>166969.54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RESUMO'!AS39</f>
        <v>33.71</v>
      </c>
      <c r="N46" s="140" t="n">
        <f aca="false">MAX(0,M46-M45)</f>
        <v>9.29</v>
      </c>
      <c r="O46" s="139" t="str">
        <f aca="false">IF(B46&lt;='VALOR POR PL'!$P$5,'CP RESUMO'!AS81,"")</f>
        <v/>
      </c>
      <c r="P46" s="66" t="n">
        <f aca="false">IF(B46&lt;='VALOR POR PL'!$P$5,0,IF(OR($K$16="CURVA PREVISION",$K$16="MDO PREVISION + MATERIAL PREMISSA"),N46,IF($K$16="PREVISÃO INFORMADA",MAX(0,H46),0)))</f>
        <v>166969.54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HISTORICOS'!AT39)</f>
        <v>0</v>
      </c>
      <c r="D47" s="45" t="n">
        <f aca="false">IF(B47&lt;='VALOR POR PL'!$P$5,0,IF($K$17&gt;0,$K$18*P47/$K$17,0))</f>
        <v>165118.882644239</v>
      </c>
      <c r="E47" s="45" t="n">
        <f aca="false">L47+D47/$K$2</f>
        <v>127.319209773727</v>
      </c>
      <c r="F47" s="117" t="n">
        <f aca="false">IF($K$9=0,0,E47/$K$9)</f>
        <v>0.0421490332883196</v>
      </c>
      <c r="G47" s="117" t="n">
        <f aca="false">G46+F47</f>
        <v>0.507394569460053</v>
      </c>
      <c r="H47" s="138" t="n">
        <v>158467.79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RESUMO'!AT39</f>
        <v>42.73</v>
      </c>
      <c r="N47" s="140" t="n">
        <f aca="false">MAX(0,M47-M46)</f>
        <v>9.02</v>
      </c>
      <c r="O47" s="139" t="str">
        <f aca="false">IF(B47&lt;='VALOR POR PL'!$P$5,'CP RESUMO'!AT81,"")</f>
        <v/>
      </c>
      <c r="P47" s="66" t="n">
        <f aca="false">IF(B47&lt;='VALOR POR PL'!$P$5,0,IF(OR($K$16="CURVA PREVISION",$K$16="MDO PREVISION + MATERIAL PREMISSA"),N47,IF($K$16="PREVISÃO INFORMADA",MAX(0,H47),0)))</f>
        <v>158467.79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HISTORICOS'!AU39)</f>
        <v>0</v>
      </c>
      <c r="D48" s="45" t="n">
        <f aca="false">IF(B48&lt;='VALOR POR PL'!$P$5,0,IF($K$17&gt;0,$K$18*P48/$K$17,0))</f>
        <v>165118.882644239</v>
      </c>
      <c r="E48" s="45" t="n">
        <f aca="false">L48+D48/$K$2</f>
        <v>127.319209773727</v>
      </c>
      <c r="F48" s="117" t="n">
        <f aca="false">IF($K$9=0,0,E48/$K$9)</f>
        <v>0.0421490332883196</v>
      </c>
      <c r="G48" s="117" t="n">
        <f aca="false">G47+F48</f>
        <v>0.549543602748372</v>
      </c>
      <c r="H48" s="138" t="n">
        <v>158467.79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RESUMO'!AU39</f>
        <v>48.89</v>
      </c>
      <c r="N48" s="140" t="n">
        <f aca="false">MAX(0,M48-M47)</f>
        <v>6.16</v>
      </c>
      <c r="O48" s="139" t="str">
        <f aca="false">IF(B48&lt;='VALOR POR PL'!$P$5,'CP RESUMO'!AU81,"")</f>
        <v/>
      </c>
      <c r="P48" s="66" t="n">
        <f aca="false">IF(B48&lt;='VALOR POR PL'!$P$5,0,IF(OR($K$16="CURVA PREVISION",$K$16="MDO PREVISION + MATERIAL PREMISSA"),N48,IF($K$16="PREVISÃO INFORMADA",MAX(0,H48),0)))</f>
        <v>158467.79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HISTORICOS'!AV39)</f>
        <v>0</v>
      </c>
      <c r="D49" s="45" t="n">
        <f aca="false">IF(B49&lt;='VALOR POR PL'!$P$5,0,IF($K$17&gt;0,$K$18*P49/$K$17,0))</f>
        <v>165118.882644239</v>
      </c>
      <c r="E49" s="45" t="n">
        <f aca="false">L49+D49/$K$2</f>
        <v>127.319209773727</v>
      </c>
      <c r="F49" s="117" t="n">
        <f aca="false">IF($K$9=0,0,E49/$K$9)</f>
        <v>0.0421490332883196</v>
      </c>
      <c r="G49" s="117" t="n">
        <f aca="false">G48+F49</f>
        <v>0.591692636036692</v>
      </c>
      <c r="H49" s="138" t="n">
        <v>158467.79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RESUMO'!AV39</f>
        <v>55.02</v>
      </c>
      <c r="N49" s="140" t="n">
        <f aca="false">MAX(0,M49-M48)</f>
        <v>6.13</v>
      </c>
      <c r="O49" s="139" t="str">
        <f aca="false">IF(B49&lt;='VALOR POR PL'!$P$5,'CP RESUMO'!AV81,"")</f>
        <v/>
      </c>
      <c r="P49" s="66" t="n">
        <f aca="false">IF(B49&lt;='VALOR POR PL'!$P$5,0,IF(OR($K$16="CURVA PREVISION",$K$16="MDO PREVISION + MATERIAL PREMISSA"),N49,IF($K$16="PREVISÃO INFORMADA",MAX(0,H49),0)))</f>
        <v>158467.79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HISTORICOS'!AW39)</f>
        <v>0</v>
      </c>
      <c r="D50" s="45" t="n">
        <f aca="false">IF(B50&lt;='VALOR POR PL'!$P$5,0,IF($K$17&gt;0,$K$18*P50/$K$17,0))</f>
        <v>165118.882644239</v>
      </c>
      <c r="E50" s="45" t="n">
        <f aca="false">L50+D50/$K$2</f>
        <v>127.319209773727</v>
      </c>
      <c r="F50" s="117" t="n">
        <f aca="false">IF($K$9=0,0,E50/$K$9)</f>
        <v>0.0421490332883196</v>
      </c>
      <c r="G50" s="117" t="n">
        <f aca="false">G49+F50</f>
        <v>0.633841669325011</v>
      </c>
      <c r="H50" s="138" t="n">
        <v>158467.79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RESUMO'!AW39</f>
        <v>61.92</v>
      </c>
      <c r="N50" s="140" t="n">
        <f aca="false">MAX(0,M50-M49)</f>
        <v>6.9</v>
      </c>
      <c r="O50" s="139" t="str">
        <f aca="false">IF(B50&lt;='VALOR POR PL'!$P$5,'CP RESUMO'!AW81,"")</f>
        <v/>
      </c>
      <c r="P50" s="66" t="n">
        <f aca="false">IF(B50&lt;='VALOR POR PL'!$P$5,0,IF(OR($K$16="CURVA PREVISION",$K$16="MDO PREVISION + MATERIAL PREMISSA"),N50,IF($K$16="PREVISÃO INFORMADA",MAX(0,H50),0)))</f>
        <v>158467.79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HISTORICOS'!AX39)</f>
        <v>0</v>
      </c>
      <c r="D51" s="45" t="n">
        <f aca="false">IF(B51&lt;='VALOR POR PL'!$P$5,0,IF($K$17&gt;0,$K$18*P51/$K$17,0))</f>
        <v>165118.882644239</v>
      </c>
      <c r="E51" s="45" t="n">
        <f aca="false">L51+D51/$K$2</f>
        <v>127.319209773727</v>
      </c>
      <c r="F51" s="117" t="n">
        <f aca="false">IF($K$9=0,0,E51/$K$9)</f>
        <v>0.0421490332883196</v>
      </c>
      <c r="G51" s="117" t="n">
        <f aca="false">G50+F51</f>
        <v>0.675990702613331</v>
      </c>
      <c r="H51" s="138" t="n">
        <v>158467.79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RESUMO'!AX39</f>
        <v>69.41</v>
      </c>
      <c r="N51" s="140" t="n">
        <f aca="false">MAX(0,M51-M50)</f>
        <v>7.49</v>
      </c>
      <c r="O51" s="139" t="str">
        <f aca="false">IF(B51&lt;='VALOR POR PL'!$P$5,'CP RESUMO'!AX81,"")</f>
        <v/>
      </c>
      <c r="P51" s="66" t="n">
        <f aca="false">IF(B51&lt;='VALOR POR PL'!$P$5,0,IF(OR($K$16="CURVA PREVISION",$K$16="MDO PREVISION + MATERIAL PREMISSA"),N51,IF($K$16="PREVISÃO INFORMADA",MAX(0,H51),0)))</f>
        <v>158467.79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HISTORICOS'!AY39)</f>
        <v>0</v>
      </c>
      <c r="D52" s="45" t="n">
        <f aca="false">IF(B52&lt;='VALOR POR PL'!$P$5,0,IF($K$17&gt;0,$K$18*P52/$K$17,0))</f>
        <v>165118.882644239</v>
      </c>
      <c r="E52" s="45" t="n">
        <f aca="false">L52+D52/$K$2</f>
        <v>127.319209773727</v>
      </c>
      <c r="F52" s="117" t="n">
        <f aca="false">IF($K$9=0,0,E52/$K$9)</f>
        <v>0.0421490332883196</v>
      </c>
      <c r="G52" s="117" t="n">
        <f aca="false">G51+F52</f>
        <v>0.718139735901651</v>
      </c>
      <c r="H52" s="138" t="n">
        <v>158467.79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RESUMO'!AY39</f>
        <v>76.93</v>
      </c>
      <c r="N52" s="140" t="n">
        <f aca="false">MAX(0,M52-M51)</f>
        <v>7.52000000000001</v>
      </c>
      <c r="O52" s="139" t="str">
        <f aca="false">IF(B52&lt;='VALOR POR PL'!$P$5,'CP RESUMO'!AY81,"")</f>
        <v/>
      </c>
      <c r="P52" s="66" t="n">
        <f aca="false">IF(B52&lt;='VALOR POR PL'!$P$5,0,IF(OR($K$16="CURVA PREVISION",$K$16="MDO PREVISION + MATERIAL PREMISSA"),N52,IF($K$16="PREVISÃO INFORMADA",MAX(0,H52),0)))</f>
        <v>158467.79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HISTORICOS'!AZ39)</f>
        <v>0</v>
      </c>
      <c r="D53" s="45" t="n">
        <f aca="false">IF(B53&lt;='VALOR POR PL'!$P$5,0,IF($K$17&gt;0,$K$18*P53/$K$17,0))</f>
        <v>165118.882644239</v>
      </c>
      <c r="E53" s="45" t="n">
        <f aca="false">L53+D53/$K$2</f>
        <v>127.319209773727</v>
      </c>
      <c r="F53" s="117" t="n">
        <f aca="false">IF($K$9=0,0,E53/$K$9)</f>
        <v>0.0421490332883196</v>
      </c>
      <c r="G53" s="117" t="n">
        <f aca="false">G52+F53</f>
        <v>0.76028876918997</v>
      </c>
      <c r="H53" s="138" t="n">
        <v>158467.79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RESUMO'!AZ39</f>
        <v>81.96</v>
      </c>
      <c r="N53" s="140" t="n">
        <f aca="false">MAX(0,M53-M52)</f>
        <v>5.02999999999999</v>
      </c>
      <c r="O53" s="139" t="str">
        <f aca="false">IF(B53&lt;='VALOR POR PL'!$P$5,'CP RESUMO'!AZ81,"")</f>
        <v/>
      </c>
      <c r="P53" s="66" t="n">
        <f aca="false">IF(B53&lt;='VALOR POR PL'!$P$5,0,IF(OR($K$16="CURVA PREVISION",$K$16="MDO PREVISION + MATERIAL PREMISSA"),N53,IF($K$16="PREVISÃO INFORMADA",MAX(0,H53),0)))</f>
        <v>158467.79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HISTORICOS'!BA39)</f>
        <v>0</v>
      </c>
      <c r="D54" s="45" t="n">
        <f aca="false">IF(B54&lt;='VALOR POR PL'!$P$5,0,IF($K$17&gt;0,$K$18*P54/$K$17,0))</f>
        <v>165118.882644239</v>
      </c>
      <c r="E54" s="45" t="n">
        <f aca="false">L54+D54/$K$2</f>
        <v>127.319209773727</v>
      </c>
      <c r="F54" s="117" t="n">
        <f aca="false">IF($K$9=0,0,E54/$K$9)</f>
        <v>0.0421490332883196</v>
      </c>
      <c r="G54" s="117" t="n">
        <f aca="false">G53+F54</f>
        <v>0.80243780247829</v>
      </c>
      <c r="H54" s="138" t="n">
        <v>158467.79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RESUMO'!BA39</f>
        <v>89.78</v>
      </c>
      <c r="N54" s="140" t="n">
        <f aca="false">MAX(0,M54-M53)</f>
        <v>7.82000000000001</v>
      </c>
      <c r="O54" s="139" t="str">
        <f aca="false">IF(B54&lt;='VALOR POR PL'!$P$5,'CP RESUMO'!BA81,"")</f>
        <v/>
      </c>
      <c r="P54" s="66" t="n">
        <f aca="false">IF(B54&lt;='VALOR POR PL'!$P$5,0,IF(OR($K$16="CURVA PREVISION",$K$16="MDO PREVISION + MATERIAL PREMISSA"),N54,IF($K$16="PREVISÃO INFORMADA",MAX(0,H54),0)))</f>
        <v>158467.79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HISTORICOS'!BB39)</f>
        <v>0</v>
      </c>
      <c r="D55" s="45" t="n">
        <f aca="false">IF(B55&lt;='VALOR POR PL'!$P$5,0,IF($K$17&gt;0,$K$18*P55/$K$17,0))</f>
        <v>165118.882644239</v>
      </c>
      <c r="E55" s="45" t="n">
        <f aca="false">L55+D55/$K$2</f>
        <v>127.319209773727</v>
      </c>
      <c r="F55" s="117" t="n">
        <f aca="false">IF($K$9=0,0,E55/$K$9)</f>
        <v>0.0421490332883196</v>
      </c>
      <c r="G55" s="117" t="n">
        <f aca="false">G54+F55</f>
        <v>0.844586835766609</v>
      </c>
      <c r="H55" s="138" t="n">
        <v>158467.79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RESUMO'!BB39</f>
        <v>95.38</v>
      </c>
      <c r="N55" s="140" t="n">
        <f aca="false">MAX(0,M55-M54)</f>
        <v>5.59999999999999</v>
      </c>
      <c r="O55" s="139" t="str">
        <f aca="false">IF(B55&lt;='VALOR POR PL'!$P$5,'CP RESUMO'!BB81,"")</f>
        <v/>
      </c>
      <c r="P55" s="66" t="n">
        <f aca="false">IF(B55&lt;='VALOR POR PL'!$P$5,0,IF(OR($K$16="CURVA PREVISION",$K$16="MDO PREVISION + MATERIAL PREMISSA"),N55,IF($K$16="PREVISÃO INFORMADA",MAX(0,H55),0)))</f>
        <v>158467.79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HISTORICOS'!BC39)</f>
        <v>0</v>
      </c>
      <c r="D56" s="45" t="n">
        <f aca="false">IF(B56&lt;='VALOR POR PL'!$P$5,0,IF($K$17&gt;0,$K$18*P56/$K$17,0))</f>
        <v>165118.882644239</v>
      </c>
      <c r="E56" s="45" t="n">
        <f aca="false">L56+D56/$K$2</f>
        <v>127.319209773727</v>
      </c>
      <c r="F56" s="117" t="n">
        <f aca="false">IF($K$9=0,0,E56/$K$9)</f>
        <v>0.0421490332883196</v>
      </c>
      <c r="G56" s="117" t="n">
        <f aca="false">G55+F56</f>
        <v>0.886735869054929</v>
      </c>
      <c r="H56" s="138" t="n">
        <v>158467.79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RESUMO'!BC39</f>
        <v>98.44</v>
      </c>
      <c r="N56" s="140" t="n">
        <f aca="false">MAX(0,M56-M55)</f>
        <v>3.06</v>
      </c>
      <c r="O56" s="139" t="str">
        <f aca="false">IF(B56&lt;='VALOR POR PL'!$P$5,'CP RESUMO'!BC81,"")</f>
        <v/>
      </c>
      <c r="P56" s="66" t="n">
        <f aca="false">IF(B56&lt;='VALOR POR PL'!$P$5,0,IF(OR($K$16="CURVA PREVISION",$K$16="MDO PREVISION + MATERIAL PREMISSA"),N56,IF($K$16="PREVISÃO INFORMADA",MAX(0,H56),0)))</f>
        <v>158467.79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HISTORICOS'!BD39)</f>
        <v>0</v>
      </c>
      <c r="D57" s="45" t="n">
        <f aca="false">IF(B57&lt;='VALOR POR PL'!$P$5,0,IF($K$17&gt;0,$K$18*P57/$K$17,0))</f>
        <v>165118.882644239</v>
      </c>
      <c r="E57" s="45" t="n">
        <f aca="false">L57+D57/$K$2</f>
        <v>127.319209773727</v>
      </c>
      <c r="F57" s="117" t="n">
        <f aca="false">IF($K$9=0,0,E57/$K$9)</f>
        <v>0.0421490332883196</v>
      </c>
      <c r="G57" s="117" t="n">
        <f aca="false">G56+F57</f>
        <v>0.928884902343248</v>
      </c>
      <c r="H57" s="138" t="n">
        <v>158467.79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RESUMO'!BD39</f>
        <v>98.46</v>
      </c>
      <c r="N57" s="140" t="n">
        <f aca="false">MAX(0,M57-M56)</f>
        <v>0.019999999999996</v>
      </c>
      <c r="O57" s="139" t="str">
        <f aca="false">IF(B57&lt;='VALOR POR PL'!$P$5,'CP RESUMO'!BD81,"")</f>
        <v/>
      </c>
      <c r="P57" s="66" t="n">
        <f aca="false">IF(B57&lt;='VALOR POR PL'!$P$5,0,IF(OR($K$16="CURVA PREVISION",$K$16="MDO PREVISION + MATERIAL PREMISSA"),N57,IF($K$16="PREVISÃO INFORMADA",MAX(0,H57),0)))</f>
        <v>158467.79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HISTORICOS'!BE39)</f>
        <v>0</v>
      </c>
      <c r="D58" s="45" t="n">
        <f aca="false">IF(B58&lt;='VALOR POR PL'!$P$5,0,IF($K$17&gt;0,$K$18*P58/$K$17,0))</f>
        <v>278593.470552332</v>
      </c>
      <c r="E58" s="45" t="n">
        <f aca="false">L58+D58/$K$2</f>
        <v>214.816742645155</v>
      </c>
      <c r="F58" s="117" t="n">
        <f aca="false">IF($K$9=0,0,E58/$K$9)</f>
        <v>0.0711150976567516</v>
      </c>
      <c r="G58" s="117" t="n">
        <f aca="false">G57+F58</f>
        <v>1</v>
      </c>
      <c r="H58" s="138" t="n">
        <v>267371.55</v>
      </c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RESUMO'!BE39</f>
        <v>98.46</v>
      </c>
      <c r="N58" s="140" t="n">
        <f aca="false">MAX(0,M58-M57)</f>
        <v>0</v>
      </c>
      <c r="O58" s="139" t="str">
        <f aca="false">IF(B58&lt;='VALOR POR PL'!$P$5,'CP RESUMO'!BE81,"")</f>
        <v/>
      </c>
      <c r="P58" s="66" t="n">
        <f aca="false">IF(B58&lt;='VALOR POR PL'!$P$5,0,IF(OR($K$16="CURVA PREVISION",$K$16="MDO PREVISION + MATERIAL PREMISSA"),N58,IF($K$16="PREVISÃO INFORMADA",MAX(0,H58),0)))</f>
        <v>267371.55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RESUMO'!BF39</f>
        <v>98.46</v>
      </c>
      <c r="N59" s="140" t="n">
        <f aca="false">MAX(0,M59-M58)</f>
        <v>0</v>
      </c>
      <c r="O59" s="139" t="str">
        <f aca="false">IF(B59&lt;='VALOR POR PL'!$P$5,'CP RESUMO'!BF81,"")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RESUMO'!BG39</f>
        <v>98.46</v>
      </c>
      <c r="N60" s="140" t="n">
        <f aca="false">MAX(0,M60-M59)</f>
        <v>0</v>
      </c>
      <c r="O60" s="139" t="str">
        <f aca="false">IF(B60&lt;='VALOR POR PL'!$P$5,'CP RESUMO'!BG81,"")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RESUMO'!BH39</f>
        <v>98.46</v>
      </c>
      <c r="N61" s="140" t="n">
        <f aca="false">MAX(0,M61-M60)</f>
        <v>0</v>
      </c>
      <c r="O61" s="139" t="str">
        <f aca="false">IF(B61&lt;='VALOR POR PL'!$P$5,'CP RESUMO'!BH81,"")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RESUMO'!BI39</f>
        <v>98.46</v>
      </c>
      <c r="N62" s="140" t="n">
        <f aca="false">MAX(0,M62-M61)</f>
        <v>0</v>
      </c>
      <c r="O62" s="139" t="str">
        <f aca="false">IF(B62&lt;='VALOR POR PL'!$P$5,'CP RESUMO'!BI81,"")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RESUMO'!BJ39</f>
        <v>98.46</v>
      </c>
      <c r="N63" s="140" t="n">
        <f aca="false">MAX(0,M63-M62)</f>
        <v>0</v>
      </c>
      <c r="O63" s="139" t="str">
        <f aca="false">IF(B63&lt;='VALOR POR PL'!$P$5,'CP RESUMO'!BJ81,"")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RESUMO'!BK39</f>
        <v>98.46</v>
      </c>
      <c r="N64" s="140" t="n">
        <f aca="false">MAX(0,M64-M63)</f>
        <v>0</v>
      </c>
      <c r="O64" s="139" t="str">
        <f aca="false">IF(B64&lt;='VALOR POR PL'!$P$5,'CP RESUMO'!BK81,"")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RESUMO'!BL39</f>
        <v>98.46</v>
      </c>
      <c r="N65" s="140" t="n">
        <f aca="false">MAX(0,M65-M64)</f>
        <v>0</v>
      </c>
      <c r="O65" s="139" t="str">
        <f aca="false">IF(B65&lt;='VALOR POR PL'!$P$5,'CP RESUMO'!BL81,"")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RESUMO'!BM39</f>
        <v>98.46</v>
      </c>
      <c r="N66" s="140" t="n">
        <f aca="false">MAX(0,M66-M65)</f>
        <v>0</v>
      </c>
      <c r="O66" s="139" t="str">
        <f aca="false">IF(B66&lt;='VALOR POR PL'!$P$5,'CP RESUMO'!BM81,"")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RESUMO'!BN39</f>
        <v>98.46</v>
      </c>
      <c r="N67" s="140" t="n">
        <f aca="false">MAX(0,M67-M66)</f>
        <v>0</v>
      </c>
      <c r="O67" s="139" t="str">
        <f aca="false">IF(B67&lt;='VALOR POR PL'!$P$5,'CP RESUMO'!BN81,"")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RESUMO'!BO39</f>
        <v>98.46</v>
      </c>
      <c r="N68" s="140" t="n">
        <f aca="false">MAX(0,M68-M67)</f>
        <v>0</v>
      </c>
      <c r="O68" s="139" t="str">
        <f aca="false">IF(B68&lt;='VALOR POR PL'!$P$5,'CP RESUMO'!BO81,"")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RESUMO'!BP39</f>
        <v>98.46</v>
      </c>
      <c r="N69" s="140" t="n">
        <f aca="false">MAX(0,M69-M68)</f>
        <v>0</v>
      </c>
      <c r="O69" s="139" t="str">
        <f aca="false">IF(B69&lt;='VALOR POR PL'!$P$5,'CP RESUMO'!BP81,"")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RESUMO'!BQ39</f>
        <v>98.46</v>
      </c>
      <c r="N70" s="140" t="n">
        <f aca="false">MAX(0,M70-M69)</f>
        <v>0</v>
      </c>
      <c r="O70" s="139" t="str">
        <f aca="false">IF(B70&lt;='VALOR POR PL'!$P$5,'CP RESUMO'!BQ81,"")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RESUMO'!BR39</f>
        <v>98.46</v>
      </c>
      <c r="N71" s="140" t="n">
        <f aca="false">MAX(0,M71-M70)</f>
        <v>0</v>
      </c>
      <c r="O71" s="139" t="str">
        <f aca="false">IF(B71&lt;='VALOR POR PL'!$P$5,'CP RESUMO'!BR81,"")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RESUMO'!BS39</f>
        <v>98.46</v>
      </c>
      <c r="N72" s="140" t="n">
        <f aca="false">MAX(0,M72-M71)</f>
        <v>0</v>
      </c>
      <c r="O72" s="139" t="str">
        <f aca="false">IF(B72&lt;='VALOR POR PL'!$P$5,'CP RESUMO'!BS81,"")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RESUMO'!BT39</f>
        <v>98.46</v>
      </c>
      <c r="N73" s="140" t="n">
        <f aca="false">MAX(0,M73-M72)</f>
        <v>0</v>
      </c>
      <c r="O73" s="139" t="str">
        <f aca="false">IF(B73&lt;='VALOR POR PL'!$P$5,'CP RESUMO'!BT81,"")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RESUMO'!BU39</f>
        <v>98.46</v>
      </c>
      <c r="N74" s="140" t="n">
        <f aca="false">MAX(0,M74-M73)</f>
        <v>0</v>
      </c>
      <c r="O74" s="139" t="str">
        <f aca="false">IF(B74&lt;='VALOR POR PL'!$P$5,'CP RESUMO'!BU81,"")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RESUMO'!BV39</f>
        <v>98.46</v>
      </c>
      <c r="N75" s="140" t="n">
        <f aca="false">MAX(0,M75-M74)</f>
        <v>0</v>
      </c>
      <c r="O75" s="139" t="str">
        <f aca="false">IF(B75&lt;='VALOR POR PL'!$P$5,'CP RESUMO'!BV81,"")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RESUMO'!BW39</f>
        <v>98.46</v>
      </c>
      <c r="N76" s="140" t="n">
        <f aca="false">MAX(0,M76-M75)</f>
        <v>0</v>
      </c>
      <c r="O76" s="139" t="str">
        <f aca="false">IF(B76&lt;='VALOR POR PL'!$P$5,'CP RESUMO'!BW81,"")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3917501.06140623</v>
      </c>
      <c r="E78" s="61" t="n">
        <f aca="false">SUM(E5:E76)</f>
        <v>3020.69110109364</v>
      </c>
      <c r="F78" s="145" t="n">
        <f aca="false">SUM(F5:F76)</f>
        <v>1</v>
      </c>
      <c r="H78" s="61" t="n">
        <f aca="false">SUM(H5:H76)</f>
        <v>3759701.65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PL'!D46</f>
        <v>PAISAGISMO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HISTORICOS'!D40)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PL'!F46</f>
        <v>1116999.6</v>
      </c>
      <c r="K5" s="56" t="n">
        <f aca="false">'VALOR POR PL'!G46</f>
        <v>918.052182</v>
      </c>
      <c r="L5" s="56" t="n">
        <f aca="false">'DADOS HISTORICOS'!$BZ$40</f>
        <v>0</v>
      </c>
      <c r="M5" s="139" t="n">
        <f aca="false">'CP RESUMO'!D40</f>
        <v>0</v>
      </c>
      <c r="N5" s="140" t="n">
        <v>0</v>
      </c>
      <c r="O5" s="139" t="n">
        <f aca="false">IF(B5&lt;='VALOR POR PL'!$P$5,'CP RESUMO'!D82,"")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HISTORICOS'!E40)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PL'!H46</f>
        <v>918.052182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RESUMO'!E40</f>
        <v>0</v>
      </c>
      <c r="N6" s="140" t="n">
        <f aca="false">MAX(0,M6-M5)</f>
        <v>0</v>
      </c>
      <c r="O6" s="139" t="n">
        <f aca="false">IF(B6&lt;='VALOR POR PL'!$P$5,'CP RESUMO'!E82,"")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HISTORICOS'!F40)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1190140.95669366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RESUMO'!F40</f>
        <v>0</v>
      </c>
      <c r="N7" s="140" t="n">
        <f aca="false">MAX(0,M7-M6)</f>
        <v>0</v>
      </c>
      <c r="O7" s="139" t="n">
        <f aca="false">IF(B7&lt;='VALOR POR PL'!$P$5,'CP RESUMO'!F82,"")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HISTORICOS'!G40)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RESUMO'!G40</f>
        <v>0</v>
      </c>
      <c r="N8" s="140" t="n">
        <f aca="false">MAX(0,M8-M7)</f>
        <v>0</v>
      </c>
      <c r="O8" s="139" t="n">
        <f aca="false">IF(B8&lt;='VALOR POR PL'!$P$5,'CP RESUMO'!G82,"")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HISTORICOS'!H40)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1190140.95669366</v>
      </c>
      <c r="K9" s="45" t="n">
        <f aca="false">E78</f>
        <v>917.689144324351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RESUMO'!H40</f>
        <v>0</v>
      </c>
      <c r="N9" s="140" t="n">
        <f aca="false">MAX(0,M9-M8)</f>
        <v>0</v>
      </c>
      <c r="O9" s="139" t="n">
        <f aca="false">IF(B9&lt;='VALOR POR PL'!$P$5,'CP RESUMO'!H82,"")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HISTORICOS'!I40)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917.689144324351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RESUMO'!I40</f>
        <v>0</v>
      </c>
      <c r="N10" s="140" t="n">
        <f aca="false">MAX(0,M10-M9)</f>
        <v>0</v>
      </c>
      <c r="O10" s="139" t="n">
        <f aca="false">IF(B10&lt;='VALOR POR PL'!$P$5,'CP RESUMO'!I82,"")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HISTORICOS'!J40)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1176926.29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RESUMO'!J40</f>
        <v>0</v>
      </c>
      <c r="N11" s="140" t="n">
        <f aca="false">MAX(0,M11-M10)</f>
        <v>0</v>
      </c>
      <c r="O11" s="139" t="n">
        <f aca="false">IF(B11&lt;='VALOR POR PL'!$P$5,'CP RESUMO'!J82,"")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HISTORICOS'!K40)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RESUMO'!K40</f>
        <v>0</v>
      </c>
      <c r="N12" s="140" t="n">
        <f aca="false">MAX(0,M12-M11)</f>
        <v>0</v>
      </c>
      <c r="O12" s="139" t="n">
        <f aca="false">IF(B12&lt;='VALOR POR PL'!$P$5,'CP RESUMO'!K82,"")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HISTORICOS'!L40)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PL'!I46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RESUMO'!L40</f>
        <v>0</v>
      </c>
      <c r="N13" s="140" t="n">
        <f aca="false">MAX(0,M13-M12)</f>
        <v>0</v>
      </c>
      <c r="O13" s="139" t="n">
        <f aca="false">IF(B13&lt;='VALOR POR PL'!$P$5,'CP RESUMO'!L82,"")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HISTORICOS'!M40)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RESUMO'!$D$82:$BW$82,MATCH('VALOR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RESUMO'!M40</f>
        <v>0</v>
      </c>
      <c r="N14" s="140" t="n">
        <f aca="false">MAX(0,M14-M13)</f>
        <v>0</v>
      </c>
      <c r="O14" s="139" t="n">
        <f aca="false">IF(B14&lt;='VALOR POR PL'!$P$5,'CP RESUMO'!M82,"")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HISTORICOS'!N40)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RESUMO'!N40</f>
        <v>0</v>
      </c>
      <c r="N15" s="140" t="n">
        <f aca="false">MAX(0,M15-M14)</f>
        <v>0</v>
      </c>
      <c r="O15" s="139" t="n">
        <f aca="false">IF(B15&lt;='VALOR POR PL'!$P$5,'CP RESUMO'!N82,"")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HISTORICOS'!O40)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RESUMO'!O40</f>
        <v>0</v>
      </c>
      <c r="N16" s="140" t="n">
        <f aca="false">MAX(0,M16-M15)</f>
        <v>0</v>
      </c>
      <c r="O16" s="139" t="n">
        <f aca="false">IF(B16&lt;='VALOR POR PL'!$P$5,'CP RESUMO'!O82,"")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HISTORICOS'!P40)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1176926.29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RESUMO'!P40</f>
        <v>0</v>
      </c>
      <c r="N17" s="140" t="n">
        <f aca="false">MAX(0,M17-M16)</f>
        <v>0</v>
      </c>
      <c r="O17" s="139" t="n">
        <f aca="false">IF(B17&lt;='VALOR POR PL'!$P$5,'CP RESUMO'!P82,"")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HISTORICOS'!Q40)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1190140.95669366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RESUMO'!Q40</f>
        <v>0</v>
      </c>
      <c r="N18" s="140" t="n">
        <f aca="false">MAX(0,M18-M17)</f>
        <v>0</v>
      </c>
      <c r="O18" s="139" t="n">
        <f aca="false">IF(B18&lt;='VALOR POR PL'!$P$5,'CP RESUMO'!Q82,"")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HISTORICOS'!R40)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0.0112281175175919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RESUMO'!R40</f>
        <v>0</v>
      </c>
      <c r="N19" s="140" t="n">
        <f aca="false">MAX(0,M19-M18)</f>
        <v>0</v>
      </c>
      <c r="O19" s="139" t="n">
        <f aca="false">IF(B19&lt;='VALOR POR PL'!$P$5,'CP RESUMO'!R82,"")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HISTORICOS'!S40)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RESUMO'!S40</f>
        <v>0</v>
      </c>
      <c r="N20" s="140" t="n">
        <f aca="false">MAX(0,M20-M19)</f>
        <v>0</v>
      </c>
      <c r="O20" s="139" t="n">
        <f aca="false">IF(B20&lt;='VALOR POR PL'!$P$5,'CP RESUMO'!S82,"")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HISTORICOS'!T40)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RESUMO'!T40</f>
        <v>0</v>
      </c>
      <c r="N21" s="140" t="n">
        <f aca="false">MAX(0,M21-M20)</f>
        <v>0</v>
      </c>
      <c r="O21" s="139" t="n">
        <f aca="false">IF(B21&lt;='VALOR POR PL'!$P$5,'CP RESUMO'!T82,"")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HISTORICOS'!U40)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RESUMO'!U40</f>
        <v>0</v>
      </c>
      <c r="N22" s="140" t="n">
        <f aca="false">MAX(0,M22-M21)</f>
        <v>0</v>
      </c>
      <c r="O22" s="139" t="n">
        <f aca="false">IF(B22&lt;='VALOR POR PL'!$P$5,'CP RESUMO'!U82,"")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HISTORICOS'!V40)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RESUMO'!V40</f>
        <v>0</v>
      </c>
      <c r="N23" s="140" t="n">
        <f aca="false">MAX(0,M23-M22)</f>
        <v>0</v>
      </c>
      <c r="O23" s="139" t="n">
        <f aca="false">IF(B23&lt;='VALOR POR PL'!$P$5,'CP RESUMO'!V82,"")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HISTORICOS'!W40)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RESUMO'!W40</f>
        <v>0</v>
      </c>
      <c r="N24" s="140" t="n">
        <f aca="false">MAX(0,M24-M23)</f>
        <v>0</v>
      </c>
      <c r="O24" s="139" t="n">
        <f aca="false">IF(B24&lt;='VALOR POR PL'!$P$5,'CP RESUMO'!W82,"")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HISTORICOS'!X40)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RESUMO'!X40</f>
        <v>0</v>
      </c>
      <c r="N25" s="140" t="n">
        <f aca="false">MAX(0,M25-M24)</f>
        <v>0</v>
      </c>
      <c r="O25" s="139" t="n">
        <f aca="false">IF(B25&lt;='VALOR POR PL'!$P$5,'CP RESUMO'!X82,"")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HISTORICOS'!Y40)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RESUMO'!Y40</f>
        <v>0</v>
      </c>
      <c r="N26" s="140" t="n">
        <f aca="false">MAX(0,M26-M25)</f>
        <v>0</v>
      </c>
      <c r="O26" s="139" t="str">
        <f aca="false">IF(B26&lt;='VALOR POR PL'!$P$5,'CP RESUMO'!Y82,"")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HISTORICOS'!Z40)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RESUMO'!Z40</f>
        <v>0</v>
      </c>
      <c r="N27" s="140" t="n">
        <f aca="false">MAX(0,M27-M26)</f>
        <v>0</v>
      </c>
      <c r="O27" s="139" t="str">
        <f aca="false">IF(B27&lt;='VALOR POR PL'!$P$5,'CP RESUMO'!Z82,"")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HISTORICOS'!AA40)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RESUMO'!AA40</f>
        <v>0</v>
      </c>
      <c r="N28" s="140" t="n">
        <f aca="false">MAX(0,M28-M27)</f>
        <v>0</v>
      </c>
      <c r="O28" s="139" t="str">
        <f aca="false">IF(B28&lt;='VALOR POR PL'!$P$5,'CP RESUMO'!AA82,"")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HISTORICOS'!AB40)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RESUMO'!AB40</f>
        <v>0</v>
      </c>
      <c r="N29" s="140" t="n">
        <f aca="false">MAX(0,M29-M28)</f>
        <v>0</v>
      </c>
      <c r="O29" s="139" t="str">
        <f aca="false">IF(B29&lt;='VALOR POR PL'!$P$5,'CP RESUMO'!AB82,"")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HISTORICOS'!AC40)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RESUMO'!AC40</f>
        <v>0</v>
      </c>
      <c r="N30" s="140" t="n">
        <f aca="false">MAX(0,M30-M29)</f>
        <v>0</v>
      </c>
      <c r="O30" s="139" t="str">
        <f aca="false">IF(B30&lt;='VALOR POR PL'!$P$5,'CP RESUMO'!AC82,"")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HISTORICOS'!AD40)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RESUMO'!AD40</f>
        <v>0</v>
      </c>
      <c r="N31" s="140" t="n">
        <f aca="false">MAX(0,M31-M30)</f>
        <v>0</v>
      </c>
      <c r="O31" s="139" t="str">
        <f aca="false">IF(B31&lt;='VALOR POR PL'!$P$5,'CP RESUMO'!AD82,"")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HISTORICOS'!AE40)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RESUMO'!AE40</f>
        <v>0</v>
      </c>
      <c r="N32" s="140" t="n">
        <f aca="false">MAX(0,M32-M31)</f>
        <v>0</v>
      </c>
      <c r="O32" s="139" t="str">
        <f aca="false">IF(B32&lt;='VALOR POR PL'!$P$5,'CP RESUMO'!AE82,"")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HISTORICOS'!AF40)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RESUMO'!AF40</f>
        <v>0</v>
      </c>
      <c r="N33" s="140" t="n">
        <f aca="false">MAX(0,M33-M32)</f>
        <v>0</v>
      </c>
      <c r="O33" s="139" t="str">
        <f aca="false">IF(B33&lt;='VALOR POR PL'!$P$5,'CP RESUMO'!AF82,"")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HISTORICOS'!AG40)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RESUMO'!AG40</f>
        <v>0</v>
      </c>
      <c r="N34" s="140" t="n">
        <f aca="false">MAX(0,M34-M33)</f>
        <v>0</v>
      </c>
      <c r="O34" s="139" t="str">
        <f aca="false">IF(B34&lt;='VALOR POR PL'!$P$5,'CP RESUMO'!AG82,"")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HISTORICOS'!AH40)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RESUMO'!AH40</f>
        <v>0</v>
      </c>
      <c r="N35" s="140" t="n">
        <f aca="false">MAX(0,M35-M34)</f>
        <v>0</v>
      </c>
      <c r="O35" s="139" t="str">
        <f aca="false">IF(B35&lt;='VALOR POR PL'!$P$5,'CP RESUMO'!AH82,"")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HISTORICOS'!AI40)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RESUMO'!AI40</f>
        <v>0</v>
      </c>
      <c r="N36" s="140" t="n">
        <f aca="false">MAX(0,M36-M35)</f>
        <v>0</v>
      </c>
      <c r="O36" s="139" t="str">
        <f aca="false">IF(B36&lt;='VALOR POR PL'!$P$5,'CP RESUMO'!AI82,"")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HISTORICOS'!AJ40)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RESUMO'!AJ40</f>
        <v>0</v>
      </c>
      <c r="N37" s="140" t="n">
        <f aca="false">MAX(0,M37-M36)</f>
        <v>0</v>
      </c>
      <c r="O37" s="139" t="str">
        <f aca="false">IF(B37&lt;='VALOR POR PL'!$P$5,'CP RESUMO'!AJ82,"")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HISTORICOS'!AK40)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RESUMO'!AK40</f>
        <v>0</v>
      </c>
      <c r="N38" s="140" t="n">
        <f aca="false">MAX(0,M38-M37)</f>
        <v>0</v>
      </c>
      <c r="O38" s="139" t="str">
        <f aca="false">IF(B38&lt;='VALOR POR PL'!$P$5,'CP RESUMO'!AK82,"")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HISTORICOS'!AL40)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RESUMO'!AL40</f>
        <v>0</v>
      </c>
      <c r="N39" s="140" t="n">
        <f aca="false">MAX(0,M39-M38)</f>
        <v>0</v>
      </c>
      <c r="O39" s="139" t="str">
        <f aca="false">IF(B39&lt;='VALOR POR PL'!$P$5,'CP RESUMO'!AL82,"")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HISTORICOS'!AM40)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RESUMO'!AM40</f>
        <v>0</v>
      </c>
      <c r="N40" s="140" t="n">
        <f aca="false">MAX(0,M40-M39)</f>
        <v>0</v>
      </c>
      <c r="O40" s="139" t="str">
        <f aca="false">IF(B40&lt;='VALOR POR PL'!$P$5,'CP RESUMO'!AM82,"")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HISTORICOS'!AN40)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RESUMO'!AN40</f>
        <v>0</v>
      </c>
      <c r="N41" s="140" t="n">
        <f aca="false">MAX(0,M41-M40)</f>
        <v>0</v>
      </c>
      <c r="O41" s="139" t="str">
        <f aca="false">IF(B41&lt;='VALOR POR PL'!$P$5,'CP RESUMO'!AN82,"")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HISTORICOS'!AO40)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RESUMO'!AO40</f>
        <v>0</v>
      </c>
      <c r="N42" s="140" t="n">
        <f aca="false">MAX(0,M42-M41)</f>
        <v>0</v>
      </c>
      <c r="O42" s="139" t="str">
        <f aca="false">IF(B42&lt;='VALOR POR PL'!$P$5,'CP RESUMO'!AO82,"")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HISTORICOS'!AP40)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RESUMO'!AP40</f>
        <v>0</v>
      </c>
      <c r="N43" s="140" t="n">
        <f aca="false">MAX(0,M43-M42)</f>
        <v>0</v>
      </c>
      <c r="O43" s="139" t="str">
        <f aca="false">IF(B43&lt;='VALOR POR PL'!$P$5,'CP RESUMO'!AP82,"")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HISTORICOS'!AQ40)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RESUMO'!AQ40</f>
        <v>0</v>
      </c>
      <c r="N44" s="140" t="n">
        <f aca="false">MAX(0,M44-M43)</f>
        <v>0</v>
      </c>
      <c r="O44" s="139" t="str">
        <f aca="false">IF(B44&lt;='VALOR POR PL'!$P$5,'CP RESUMO'!AQ82,"")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HISTORICOS'!AR40)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RESUMO'!AR40</f>
        <v>0</v>
      </c>
      <c r="N45" s="140" t="n">
        <f aca="false">MAX(0,M45-M44)</f>
        <v>0</v>
      </c>
      <c r="O45" s="139" t="str">
        <f aca="false">IF(B45&lt;='VALOR POR PL'!$P$5,'CP RESUMO'!AR82,"")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HISTORICOS'!AS40)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RESUMO'!AS40</f>
        <v>0</v>
      </c>
      <c r="N46" s="140" t="n">
        <f aca="false">MAX(0,M46-M45)</f>
        <v>0</v>
      </c>
      <c r="O46" s="139" t="str">
        <f aca="false">IF(B46&lt;='VALOR POR PL'!$P$5,'CP RESUMO'!AS82,"")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HISTORICOS'!AT40)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RESUMO'!AT40</f>
        <v>0</v>
      </c>
      <c r="N47" s="140" t="n">
        <f aca="false">MAX(0,M47-M46)</f>
        <v>0</v>
      </c>
      <c r="O47" s="139" t="str">
        <f aca="false">IF(B47&lt;='VALOR POR PL'!$P$5,'CP RESUMO'!AT82,"")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HISTORICOS'!AU40)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RESUMO'!AU40</f>
        <v>23.66</v>
      </c>
      <c r="N48" s="140" t="n">
        <f aca="false">MAX(0,M48-M47)</f>
        <v>23.66</v>
      </c>
      <c r="O48" s="139" t="str">
        <f aca="false">IF(B48&lt;='VALOR POR PL'!$P$5,'CP RESUMO'!AU82,"")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HISTORICOS'!AV40)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RESUMO'!AV40</f>
        <v>56.37</v>
      </c>
      <c r="N49" s="140" t="n">
        <f aca="false">MAX(0,M49-M48)</f>
        <v>32.71</v>
      </c>
      <c r="O49" s="139" t="str">
        <f aca="false">IF(B49&lt;='VALOR POR PL'!$P$5,'CP RESUMO'!AV82,"")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HISTORICOS'!AW40)</f>
        <v>0</v>
      </c>
      <c r="D50" s="45" t="n">
        <f aca="false">IF(B50&lt;='VALOR POR PL'!$P$5,0,IF($K$17&gt;0,$K$18*P50/$K$17,0))</f>
        <v>382035.248018884</v>
      </c>
      <c r="E50" s="45" t="n">
        <f aca="false">L50+D50/$K$2</f>
        <v>294.578216037674</v>
      </c>
      <c r="F50" s="117" t="n">
        <f aca="false">IF($K$9=0,0,E50/$K$9)</f>
        <v>0.321000000773201</v>
      </c>
      <c r="G50" s="117" t="n">
        <f aca="false">G49+F50</f>
        <v>0.321000000773201</v>
      </c>
      <c r="H50" s="138" t="n">
        <v>377793.34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RESUMO'!AW40</f>
        <v>70.83</v>
      </c>
      <c r="N50" s="140" t="n">
        <f aca="false">MAX(0,M50-M49)</f>
        <v>14.46</v>
      </c>
      <c r="O50" s="139" t="str">
        <f aca="false">IF(B50&lt;='VALOR POR PL'!$P$5,'CP RESUMO'!AW82,"")</f>
        <v/>
      </c>
      <c r="P50" s="66" t="n">
        <f aca="false">IF(B50&lt;='VALOR POR PL'!$P$5,0,IF(OR($K$16="CURVA PREVISION",$K$16="MDO PREVISION + MATERIAL PREMISSA"),N50,IF($K$16="PREVISÃO INFORMADA",MAX(0,H50),0)))</f>
        <v>377793.34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HISTORICOS'!AX40)</f>
        <v>0</v>
      </c>
      <c r="D51" s="45" t="n">
        <f aca="false">IF(B51&lt;='VALOR POR PL'!$P$5,0,IF($K$17&gt;0,$K$18*P51/$K$17,0))</f>
        <v>350496.50931428</v>
      </c>
      <c r="E51" s="45" t="n">
        <f aca="false">L51+D51/$K$2</f>
        <v>270.259451128262</v>
      </c>
      <c r="F51" s="117" t="n">
        <f aca="false">IF($K$9=0,0,E51/$K$9)</f>
        <v>0.294499997956541</v>
      </c>
      <c r="G51" s="117" t="n">
        <f aca="false">G50+F51</f>
        <v>0.615499998729742</v>
      </c>
      <c r="H51" s="138" t="n">
        <v>346604.79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RESUMO'!AX40</f>
        <v>89.09</v>
      </c>
      <c r="N51" s="140" t="n">
        <f aca="false">MAX(0,M51-M50)</f>
        <v>18.26</v>
      </c>
      <c r="O51" s="139" t="str">
        <f aca="false">IF(B51&lt;='VALOR POR PL'!$P$5,'CP RESUMO'!AX82,"")</f>
        <v/>
      </c>
      <c r="P51" s="66" t="n">
        <f aca="false">IF(B51&lt;='VALOR POR PL'!$P$5,0,IF(OR($K$16="CURVA PREVISION",$K$16="MDO PREVISION + MATERIAL PREMISSA"),N51,IF($K$16="PREVISÃO INFORMADA",MAX(0,H51),0)))</f>
        <v>346604.79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HISTORICOS'!AY40)</f>
        <v>0</v>
      </c>
      <c r="D52" s="45" t="n">
        <f aca="false">IF(B52&lt;='VALOR POR PL'!$P$5,0,IF($K$17&gt;0,$K$18*P52/$K$17,0))</f>
        <v>270757.066661861</v>
      </c>
      <c r="E52" s="45" t="n">
        <f aca="false">L52+D52/$K$2</f>
        <v>208.77427957355</v>
      </c>
      <c r="F52" s="117" t="n">
        <f aca="false">IF($K$9=0,0,E52/$K$9)</f>
        <v>0.227499999171571</v>
      </c>
      <c r="G52" s="117" t="n">
        <f aca="false">G51+F52</f>
        <v>0.842999997901313</v>
      </c>
      <c r="H52" s="138" t="n">
        <v>267750.73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RESUMO'!AY40</f>
        <v>98.1</v>
      </c>
      <c r="N52" s="140" t="n">
        <f aca="false">MAX(0,M52-M51)</f>
        <v>9.00999999999999</v>
      </c>
      <c r="O52" s="139" t="str">
        <f aca="false">IF(B52&lt;='VALOR POR PL'!$P$5,'CP RESUMO'!AY82,"")</f>
        <v/>
      </c>
      <c r="P52" s="66" t="n">
        <f aca="false">IF(B52&lt;='VALOR POR PL'!$P$5,0,IF(OR($K$16="CURVA PREVISION",$K$16="MDO PREVISION + MATERIAL PREMISSA"),N52,IF($K$16="PREVISÃO INFORMADA",MAX(0,H52),0)))</f>
        <v>267750.73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HISTORICOS'!AZ40)</f>
        <v>0</v>
      </c>
      <c r="D53" s="45" t="n">
        <f aca="false">IF(B53&lt;='VALOR POR PL'!$P$5,0,IF($K$17&gt;0,$K$18*P53/$K$17,0))</f>
        <v>124726.777123481</v>
      </c>
      <c r="E53" s="45" t="n">
        <f aca="false">L53+D53/$K$2</f>
        <v>96.1738260741519</v>
      </c>
      <c r="F53" s="117" t="n">
        <f aca="false">IF($K$9=0,0,E53/$K$9)</f>
        <v>0.104800004085218</v>
      </c>
      <c r="G53" s="117" t="n">
        <f aca="false">G52+F53</f>
        <v>0.947800001986531</v>
      </c>
      <c r="H53" s="138" t="n">
        <v>123341.88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RESUMO'!AZ40</f>
        <v>100</v>
      </c>
      <c r="N53" s="140" t="n">
        <f aca="false">MAX(0,M53-M52)</f>
        <v>1.90000000000001</v>
      </c>
      <c r="O53" s="139" t="str">
        <f aca="false">IF(B53&lt;='VALOR POR PL'!$P$5,'CP RESUMO'!AZ82,"")</f>
        <v/>
      </c>
      <c r="P53" s="66" t="n">
        <f aca="false">IF(B53&lt;='VALOR POR PL'!$P$5,0,IF(OR($K$16="CURVA PREVISION",$K$16="MDO PREVISION + MATERIAL PREMISSA"),N53,IF($K$16="PREVISÃO INFORMADA",MAX(0,H53),0)))</f>
        <v>123341.88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HISTORICOS'!BA40)</f>
        <v>0</v>
      </c>
      <c r="D54" s="45" t="n">
        <f aca="false">IF(B54&lt;='VALOR POR PL'!$P$5,0,IF($K$17&gt;0,$K$18*P54/$K$17,0))</f>
        <v>62125.3555751579</v>
      </c>
      <c r="E54" s="45" t="n">
        <f aca="false">L54+D54/$K$2</f>
        <v>47.9033715107136</v>
      </c>
      <c r="F54" s="117" t="n">
        <f aca="false">IF($K$9=0,0,E54/$K$9)</f>
        <v>0.0521999980134695</v>
      </c>
      <c r="G54" s="117" t="n">
        <f aca="false">G53+F54</f>
        <v>1</v>
      </c>
      <c r="H54" s="138" t="n">
        <v>61435.55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RESUMO'!BA40</f>
        <v>100</v>
      </c>
      <c r="N54" s="140" t="n">
        <f aca="false">MAX(0,M54-M53)</f>
        <v>0</v>
      </c>
      <c r="O54" s="139" t="str">
        <f aca="false">IF(B54&lt;='VALOR POR PL'!$P$5,'CP RESUMO'!BA82,"")</f>
        <v/>
      </c>
      <c r="P54" s="66" t="n">
        <f aca="false">IF(B54&lt;='VALOR POR PL'!$P$5,0,IF(OR($K$16="CURVA PREVISION",$K$16="MDO PREVISION + MATERIAL PREMISSA"),N54,IF($K$16="PREVISÃO INFORMADA",MAX(0,H54),0)))</f>
        <v>61435.55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HISTORICOS'!BB40)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RESUMO'!BB40</f>
        <v>100</v>
      </c>
      <c r="N55" s="140" t="n">
        <f aca="false">MAX(0,M55-M54)</f>
        <v>0</v>
      </c>
      <c r="O55" s="139" t="str">
        <f aca="false">IF(B55&lt;='VALOR POR PL'!$P$5,'CP RESUMO'!BB82,"")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HISTORICOS'!BC40)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RESUMO'!BC40</f>
        <v>100</v>
      </c>
      <c r="N56" s="140" t="n">
        <f aca="false">MAX(0,M56-M55)</f>
        <v>0</v>
      </c>
      <c r="O56" s="139" t="str">
        <f aca="false">IF(B56&lt;='VALOR POR PL'!$P$5,'CP RESUMO'!BC82,"")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HISTORICOS'!BD40)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RESUMO'!BD40</f>
        <v>100</v>
      </c>
      <c r="N57" s="140" t="n">
        <f aca="false">MAX(0,M57-M56)</f>
        <v>0</v>
      </c>
      <c r="O57" s="139" t="str">
        <f aca="false">IF(B57&lt;='VALOR POR PL'!$P$5,'CP RESUMO'!BD82,"")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HISTORICOS'!BE40)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RESUMO'!BE40</f>
        <v>100</v>
      </c>
      <c r="N58" s="140" t="n">
        <f aca="false">MAX(0,M58-M57)</f>
        <v>0</v>
      </c>
      <c r="O58" s="139" t="str">
        <f aca="false">IF(B58&lt;='VALOR POR PL'!$P$5,'CP RESUMO'!BE82,"")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HISTORICOS'!BF40)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RESUMO'!BF40</f>
        <v>100</v>
      </c>
      <c r="N59" s="140" t="n">
        <f aca="false">MAX(0,M59-M58)</f>
        <v>0</v>
      </c>
      <c r="O59" s="139" t="str">
        <f aca="false">IF(B59&lt;='VALOR POR PL'!$P$5,'CP RESUMO'!BF82,"")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HISTORICOS'!BG40)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RESUMO'!BG40</f>
        <v>100</v>
      </c>
      <c r="N60" s="140" t="n">
        <f aca="false">MAX(0,M60-M59)</f>
        <v>0</v>
      </c>
      <c r="O60" s="139" t="str">
        <f aca="false">IF(B60&lt;='VALOR POR PL'!$P$5,'CP RESUMO'!BG82,"")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HISTORICOS'!BH40)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RESUMO'!BH40</f>
        <v>100</v>
      </c>
      <c r="N61" s="140" t="n">
        <f aca="false">MAX(0,M61-M60)</f>
        <v>0</v>
      </c>
      <c r="O61" s="139" t="str">
        <f aca="false">IF(B61&lt;='VALOR POR PL'!$P$5,'CP RESUMO'!BH82,"")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HISTORICOS'!BI40)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RESUMO'!BI40</f>
        <v>100</v>
      </c>
      <c r="N62" s="140" t="n">
        <f aca="false">MAX(0,M62-M61)</f>
        <v>0</v>
      </c>
      <c r="O62" s="139" t="str">
        <f aca="false">IF(B62&lt;='VALOR POR PL'!$P$5,'CP RESUMO'!BI82,"")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HISTORICOS'!BJ40)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RESUMO'!BJ40</f>
        <v>100</v>
      </c>
      <c r="N63" s="140" t="n">
        <f aca="false">MAX(0,M63-M62)</f>
        <v>0</v>
      </c>
      <c r="O63" s="139" t="str">
        <f aca="false">IF(B63&lt;='VALOR POR PL'!$P$5,'CP RESUMO'!BJ82,"")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HISTORICOS'!BK40)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RESUMO'!BK40</f>
        <v>100</v>
      </c>
      <c r="N64" s="140" t="n">
        <f aca="false">MAX(0,M64-M63)</f>
        <v>0</v>
      </c>
      <c r="O64" s="139" t="str">
        <f aca="false">IF(B64&lt;='VALOR POR PL'!$P$5,'CP RESUMO'!BK82,"")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HISTORICOS'!BL40)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RESUMO'!BL40</f>
        <v>100</v>
      </c>
      <c r="N65" s="140" t="n">
        <f aca="false">MAX(0,M65-M64)</f>
        <v>0</v>
      </c>
      <c r="O65" s="139" t="str">
        <f aca="false">IF(B65&lt;='VALOR POR PL'!$P$5,'CP RESUMO'!BL82,"")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HISTORICOS'!BM40)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RESUMO'!BM40</f>
        <v>100</v>
      </c>
      <c r="N66" s="140" t="n">
        <f aca="false">MAX(0,M66-M65)</f>
        <v>0</v>
      </c>
      <c r="O66" s="139" t="str">
        <f aca="false">IF(B66&lt;='VALOR POR PL'!$P$5,'CP RESUMO'!BM82,"")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HISTORICOS'!BN40)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RESUMO'!BN40</f>
        <v>100</v>
      </c>
      <c r="N67" s="140" t="n">
        <f aca="false">MAX(0,M67-M66)</f>
        <v>0</v>
      </c>
      <c r="O67" s="139" t="str">
        <f aca="false">IF(B67&lt;='VALOR POR PL'!$P$5,'CP RESUMO'!BN82,"")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HISTORICOS'!BO40)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RESUMO'!BO40</f>
        <v>100</v>
      </c>
      <c r="N68" s="140" t="n">
        <f aca="false">MAX(0,M68-M67)</f>
        <v>0</v>
      </c>
      <c r="O68" s="139" t="str">
        <f aca="false">IF(B68&lt;='VALOR POR PL'!$P$5,'CP RESUMO'!BO82,"")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HISTORICOS'!BP40)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RESUMO'!BP40</f>
        <v>100</v>
      </c>
      <c r="N69" s="140" t="n">
        <f aca="false">MAX(0,M69-M68)</f>
        <v>0</v>
      </c>
      <c r="O69" s="139" t="str">
        <f aca="false">IF(B69&lt;='VALOR POR PL'!$P$5,'CP RESUMO'!BP82,"")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HISTORICOS'!BQ40)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RESUMO'!BQ40</f>
        <v>100</v>
      </c>
      <c r="N70" s="140" t="n">
        <f aca="false">MAX(0,M70-M69)</f>
        <v>0</v>
      </c>
      <c r="O70" s="139" t="str">
        <f aca="false">IF(B70&lt;='VALOR POR PL'!$P$5,'CP RESUMO'!BQ82,"")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HISTORICOS'!BR40)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RESUMO'!BR40</f>
        <v>100</v>
      </c>
      <c r="N71" s="140" t="n">
        <f aca="false">MAX(0,M71-M70)</f>
        <v>0</v>
      </c>
      <c r="O71" s="139" t="str">
        <f aca="false">IF(B71&lt;='VALOR POR PL'!$P$5,'CP RESUMO'!BR82,"")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HISTORICOS'!BS40)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RESUMO'!BS40</f>
        <v>100</v>
      </c>
      <c r="N72" s="140" t="n">
        <f aca="false">MAX(0,M72-M71)</f>
        <v>0</v>
      </c>
      <c r="O72" s="139" t="str">
        <f aca="false">IF(B72&lt;='VALOR POR PL'!$P$5,'CP RESUMO'!BS82,"")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HISTORICOS'!BT40)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RESUMO'!BT40</f>
        <v>100</v>
      </c>
      <c r="N73" s="140" t="n">
        <f aca="false">MAX(0,M73-M72)</f>
        <v>0</v>
      </c>
      <c r="O73" s="139" t="str">
        <f aca="false">IF(B73&lt;='VALOR POR PL'!$P$5,'CP RESUMO'!BT82,"")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HISTORICOS'!BU40)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RESUMO'!BU40</f>
        <v>100</v>
      </c>
      <c r="N74" s="140" t="n">
        <f aca="false">MAX(0,M74-M73)</f>
        <v>0</v>
      </c>
      <c r="O74" s="139" t="str">
        <f aca="false">IF(B74&lt;='VALOR POR PL'!$P$5,'CP RESUMO'!BU82,"")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HISTORICOS'!BV40)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RESUMO'!BV40</f>
        <v>100</v>
      </c>
      <c r="N75" s="140" t="n">
        <f aca="false">MAX(0,M75-M74)</f>
        <v>0</v>
      </c>
      <c r="O75" s="139" t="str">
        <f aca="false">IF(B75&lt;='VALOR POR PL'!$P$5,'CP RESUMO'!BV82,"")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HISTORICOS'!BW40)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RESUMO'!BW40</f>
        <v>100</v>
      </c>
      <c r="N76" s="140" t="n">
        <f aca="false">MAX(0,M76-M75)</f>
        <v>0</v>
      </c>
      <c r="O76" s="139" t="str">
        <f aca="false">IF(B76&lt;='VALOR POR PL'!$P$5,'CP RESUMO'!BW82,"")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1190140.95669366</v>
      </c>
      <c r="E78" s="61" t="n">
        <f aca="false">SUM(E5:E76)</f>
        <v>917.689144324351</v>
      </c>
      <c r="F78" s="145" t="n">
        <f aca="false">SUM(F5:F76)</f>
        <v>1</v>
      </c>
      <c r="H78" s="61" t="n">
        <f aca="false">SUM(H5:H76)</f>
        <v>1176926.29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PL'!D47</f>
        <v>LIMPEZA FINAL DE OBRA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HISTORICOS'!D41)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PL'!F47</f>
        <v>887766.61</v>
      </c>
      <c r="K5" s="56" t="n">
        <f aca="false">'VALOR POR PL'!G47</f>
        <v>729.647598</v>
      </c>
      <c r="L5" s="56" t="n">
        <f aca="false">'DADOS HISTORICOS'!$BZ$41</f>
        <v>0</v>
      </c>
      <c r="M5" s="139" t="n">
        <f aca="false">'CP RESUMO'!D41</f>
        <v>0</v>
      </c>
      <c r="N5" s="140" t="n">
        <v>0</v>
      </c>
      <c r="O5" s="139" t="n">
        <f aca="false">IF(B5&lt;='VALOR POR PL'!$P$5,'CP RESUMO'!D83,"")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HISTORICOS'!E41)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PL'!H47</f>
        <v>729.647598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RESUMO'!E41</f>
        <v>0</v>
      </c>
      <c r="N6" s="140" t="n">
        <f aca="false">MAX(0,M6-M5)</f>
        <v>0</v>
      </c>
      <c r="O6" s="139" t="n">
        <f aca="false">IF(B6&lt;='VALOR POR PL'!$P$5,'CP RESUMO'!E83,"")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HISTORICOS'!F41)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945897.746728468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RESUMO'!F41</f>
        <v>0</v>
      </c>
      <c r="N7" s="140" t="n">
        <f aca="false">MAX(0,M7-M6)</f>
        <v>0</v>
      </c>
      <c r="O7" s="139" t="n">
        <f aca="false">IF(B7&lt;='VALOR POR PL'!$P$5,'CP RESUMO'!F83,"")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HISTORICOS'!G41)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RESUMO'!G41</f>
        <v>0</v>
      </c>
      <c r="N8" s="140" t="n">
        <f aca="false">MAX(0,M8-M7)</f>
        <v>0</v>
      </c>
      <c r="O8" s="139" t="n">
        <f aca="false">IF(B8&lt;='VALOR POR PL'!$P$5,'CP RESUMO'!G83,"")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HISTORICOS'!H41)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945897.746728468</v>
      </c>
      <c r="K9" s="45" t="n">
        <f aca="false">E78</f>
        <v>729.359063673505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RESUMO'!H41</f>
        <v>0</v>
      </c>
      <c r="N9" s="140" t="n">
        <f aca="false">MAX(0,M9-M8)</f>
        <v>0</v>
      </c>
      <c r="O9" s="139" t="n">
        <f aca="false">IF(B9&lt;='VALOR POR PL'!$P$5,'CP RESUMO'!H83,"")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HISTORICOS'!I41)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729.359063673505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RESUMO'!I41</f>
        <v>0</v>
      </c>
      <c r="N10" s="140" t="n">
        <f aca="false">MAX(0,M10-M9)</f>
        <v>0</v>
      </c>
      <c r="O10" s="139" t="n">
        <f aca="false">IF(B10&lt;='VALOR POR PL'!$P$5,'CP RESUMO'!I83,"")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HISTORICOS'!J41)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934927.34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RESUMO'!J41</f>
        <v>0</v>
      </c>
      <c r="N11" s="140" t="n">
        <f aca="false">MAX(0,M11-M10)</f>
        <v>0</v>
      </c>
      <c r="O11" s="139" t="n">
        <f aca="false">IF(B11&lt;='VALOR POR PL'!$P$5,'CP RESUMO'!J83,"")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HISTORICOS'!K41)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99.95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RESUMO'!K41</f>
        <v>0</v>
      </c>
      <c r="N12" s="140" t="n">
        <f aca="false">MAX(0,M12-M11)</f>
        <v>0</v>
      </c>
      <c r="O12" s="139" t="n">
        <f aca="false">IF(B12&lt;='VALOR POR PL'!$P$5,'CP RESUMO'!K83,"")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HISTORICOS'!L41)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PL'!I47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RESUMO'!L41</f>
        <v>0</v>
      </c>
      <c r="N13" s="140" t="n">
        <f aca="false">MAX(0,M13-M12)</f>
        <v>0</v>
      </c>
      <c r="O13" s="139" t="n">
        <f aca="false">IF(B13&lt;='VALOR POR PL'!$P$5,'CP RESUMO'!L83,"")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HISTORICOS'!M41)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RESUMO'!$D$83:$BW$83,MATCH('VALOR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RESUMO'!M41</f>
        <v>0</v>
      </c>
      <c r="N14" s="140" t="n">
        <f aca="false">MAX(0,M14-M13)</f>
        <v>0</v>
      </c>
      <c r="O14" s="139" t="n">
        <f aca="false">IF(B14&lt;='VALOR POR PL'!$P$5,'CP RESUMO'!M83,"")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HISTORICOS'!N41)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RESUMO'!N41</f>
        <v>0</v>
      </c>
      <c r="N15" s="140" t="n">
        <f aca="false">MAX(0,M15-M14)</f>
        <v>0</v>
      </c>
      <c r="O15" s="139" t="n">
        <f aca="false">IF(B15&lt;='VALOR POR PL'!$P$5,'CP RESUMO'!N83,"")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HISTORICOS'!O41)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RESUMO'!O41</f>
        <v>0</v>
      </c>
      <c r="N16" s="140" t="n">
        <f aca="false">MAX(0,M16-M15)</f>
        <v>0</v>
      </c>
      <c r="O16" s="139" t="n">
        <f aca="false">IF(B16&lt;='VALOR POR PL'!$P$5,'CP RESUMO'!O83,"")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HISTORICOS'!P41)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934927.34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RESUMO'!P41</f>
        <v>0</v>
      </c>
      <c r="N17" s="140" t="n">
        <f aca="false">MAX(0,M17-M16)</f>
        <v>0</v>
      </c>
      <c r="O17" s="139" t="n">
        <f aca="false">IF(B17&lt;='VALOR POR PL'!$P$5,'CP RESUMO'!P83,"")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HISTORICOS'!Q41)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945897.746728468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RESUMO'!Q41</f>
        <v>0</v>
      </c>
      <c r="N18" s="140" t="n">
        <f aca="false">MAX(0,M18-M17)</f>
        <v>0</v>
      </c>
      <c r="O18" s="139" t="n">
        <f aca="false">IF(B18&lt;='VALOR POR PL'!$P$5,'CP RESUMO'!Q83,"")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HISTORICOS'!R41)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0.0117339671855869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RESUMO'!R41</f>
        <v>0</v>
      </c>
      <c r="N19" s="140" t="n">
        <f aca="false">MAX(0,M19-M18)</f>
        <v>0</v>
      </c>
      <c r="O19" s="139" t="n">
        <f aca="false">IF(B19&lt;='VALOR POR PL'!$P$5,'CP RESUMO'!R83,"")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HISTORICOS'!S41)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Cenário padrão: usa a curva digitada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RESUMO'!S41</f>
        <v>0</v>
      </c>
      <c r="N20" s="140" t="n">
        <f aca="false">MAX(0,M20-M19)</f>
        <v>0</v>
      </c>
      <c r="O20" s="139" t="n">
        <f aca="false">IF(B20&lt;='VALOR POR PL'!$P$5,'CP RESUMO'!S83,"")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HISTORICOS'!T41)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RESUMO'!T41</f>
        <v>0</v>
      </c>
      <c r="N21" s="140" t="n">
        <f aca="false">MAX(0,M21-M20)</f>
        <v>0</v>
      </c>
      <c r="O21" s="139" t="n">
        <f aca="false">IF(B21&lt;='VALOR POR PL'!$P$5,'CP RESUMO'!T83,"")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HISTORICOS'!U41)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RESUMO'!U41</f>
        <v>0</v>
      </c>
      <c r="N22" s="140" t="n">
        <f aca="false">MAX(0,M22-M21)</f>
        <v>0</v>
      </c>
      <c r="O22" s="139" t="n">
        <f aca="false">IF(B22&lt;='VALOR POR PL'!$P$5,'CP RESUMO'!U83,"")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HISTORICOS'!V41)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RESUMO'!V41</f>
        <v>0</v>
      </c>
      <c r="N23" s="140" t="n">
        <f aca="false">MAX(0,M23-M22)</f>
        <v>0</v>
      </c>
      <c r="O23" s="139" t="n">
        <f aca="false">IF(B23&lt;='VALOR POR PL'!$P$5,'CP RESUMO'!V83,"")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HISTORICOS'!W41)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RESUMO'!W41</f>
        <v>0</v>
      </c>
      <c r="N24" s="140" t="n">
        <f aca="false">MAX(0,M24-M23)</f>
        <v>0</v>
      </c>
      <c r="O24" s="139" t="n">
        <f aca="false">IF(B24&lt;='VALOR POR PL'!$P$5,'CP RESUMO'!W83,"")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HISTORICOS'!X41)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RESUMO'!X41</f>
        <v>0</v>
      </c>
      <c r="N25" s="140" t="n">
        <f aca="false">MAX(0,M25-M24)</f>
        <v>0</v>
      </c>
      <c r="O25" s="139" t="n">
        <f aca="false">IF(B25&lt;='VALOR POR PL'!$P$5,'CP RESUMO'!X83,"")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HISTORICOS'!Y41)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RESUMO'!Y41</f>
        <v>0</v>
      </c>
      <c r="N26" s="140" t="n">
        <f aca="false">MAX(0,M26-M25)</f>
        <v>0</v>
      </c>
      <c r="O26" s="139" t="str">
        <f aca="false">IF(B26&lt;='VALOR POR PL'!$P$5,'CP RESUMO'!Y83,"")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HISTORICOS'!Z41)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RESUMO'!Z41</f>
        <v>0</v>
      </c>
      <c r="N27" s="140" t="n">
        <f aca="false">MAX(0,M27-M26)</f>
        <v>0</v>
      </c>
      <c r="O27" s="139" t="str">
        <f aca="false">IF(B27&lt;='VALOR POR PL'!$P$5,'CP RESUMO'!Z83,"")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HISTORICOS'!AA41)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RESUMO'!AA41</f>
        <v>0</v>
      </c>
      <c r="N28" s="140" t="n">
        <f aca="false">MAX(0,M28-M27)</f>
        <v>0</v>
      </c>
      <c r="O28" s="139" t="str">
        <f aca="false">IF(B28&lt;='VALOR POR PL'!$P$5,'CP RESUMO'!AA83,"")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HISTORICOS'!AB41)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RESUMO'!AB41</f>
        <v>0</v>
      </c>
      <c r="N29" s="140" t="n">
        <f aca="false">MAX(0,M29-M28)</f>
        <v>0</v>
      </c>
      <c r="O29" s="139" t="str">
        <f aca="false">IF(B29&lt;='VALOR POR PL'!$P$5,'CP RESUMO'!AB83,"")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HISTORICOS'!AC41)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RESUMO'!AC41</f>
        <v>0</v>
      </c>
      <c r="N30" s="140" t="n">
        <f aca="false">MAX(0,M30-M29)</f>
        <v>0</v>
      </c>
      <c r="O30" s="139" t="str">
        <f aca="false">IF(B30&lt;='VALOR POR PL'!$P$5,'CP RESUMO'!AC83,"")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HISTORICOS'!AD41)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RESUMO'!AD41</f>
        <v>0</v>
      </c>
      <c r="N31" s="140" t="n">
        <f aca="false">MAX(0,M31-M30)</f>
        <v>0</v>
      </c>
      <c r="O31" s="139" t="str">
        <f aca="false">IF(B31&lt;='VALOR POR PL'!$P$5,'CP RESUMO'!AD83,"")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HISTORICOS'!AE41)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RESUMO'!AE41</f>
        <v>0</v>
      </c>
      <c r="N32" s="140" t="n">
        <f aca="false">MAX(0,M32-M31)</f>
        <v>0</v>
      </c>
      <c r="O32" s="139" t="str">
        <f aca="false">IF(B32&lt;='VALOR POR PL'!$P$5,'CP RESUMO'!AE83,"")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HISTORICOS'!AF41)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RESUMO'!AF41</f>
        <v>0</v>
      </c>
      <c r="N33" s="140" t="n">
        <f aca="false">MAX(0,M33-M32)</f>
        <v>0</v>
      </c>
      <c r="O33" s="139" t="str">
        <f aca="false">IF(B33&lt;='VALOR POR PL'!$P$5,'CP RESUMO'!AF83,"")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HISTORICOS'!AG41)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RESUMO'!AG41</f>
        <v>0</v>
      </c>
      <c r="N34" s="140" t="n">
        <f aca="false">MAX(0,M34-M33)</f>
        <v>0</v>
      </c>
      <c r="O34" s="139" t="str">
        <f aca="false">IF(B34&lt;='VALOR POR PL'!$P$5,'CP RESUMO'!AG83,"")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HISTORICOS'!AH41)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RESUMO'!AH41</f>
        <v>0</v>
      </c>
      <c r="N35" s="140" t="n">
        <f aca="false">MAX(0,M35-M34)</f>
        <v>0</v>
      </c>
      <c r="O35" s="139" t="str">
        <f aca="false">IF(B35&lt;='VALOR POR PL'!$P$5,'CP RESUMO'!AH83,"")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HISTORICOS'!AI41)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RESUMO'!AI41</f>
        <v>0</v>
      </c>
      <c r="N36" s="140" t="n">
        <f aca="false">MAX(0,M36-M35)</f>
        <v>0</v>
      </c>
      <c r="O36" s="139" t="str">
        <f aca="false">IF(B36&lt;='VALOR POR PL'!$P$5,'CP RESUMO'!AI83,"")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HISTORICOS'!AJ41)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RESUMO'!AJ41</f>
        <v>0</v>
      </c>
      <c r="N37" s="140" t="n">
        <f aca="false">MAX(0,M37-M36)</f>
        <v>0</v>
      </c>
      <c r="O37" s="139" t="str">
        <f aca="false">IF(B37&lt;='VALOR POR PL'!$P$5,'CP RESUMO'!AJ83,"")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HISTORICOS'!AK41)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RESUMO'!AK41</f>
        <v>0</v>
      </c>
      <c r="N38" s="140" t="n">
        <f aca="false">MAX(0,M38-M37)</f>
        <v>0</v>
      </c>
      <c r="O38" s="139" t="str">
        <f aca="false">IF(B38&lt;='VALOR POR PL'!$P$5,'CP RESUMO'!AK83,"")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HISTORICOS'!AL41)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RESUMO'!AL41</f>
        <v>0</v>
      </c>
      <c r="N39" s="140" t="n">
        <f aca="false">MAX(0,M39-M38)</f>
        <v>0</v>
      </c>
      <c r="O39" s="139" t="str">
        <f aca="false">IF(B39&lt;='VALOR POR PL'!$P$5,'CP RESUMO'!AL83,"")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HISTORICOS'!AM41)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RESUMO'!AM41</f>
        <v>0</v>
      </c>
      <c r="N40" s="140" t="n">
        <f aca="false">MAX(0,M40-M39)</f>
        <v>0</v>
      </c>
      <c r="O40" s="139" t="str">
        <f aca="false">IF(B40&lt;='VALOR POR PL'!$P$5,'CP RESUMO'!AM83,"")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HISTORICOS'!AN41)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RESUMO'!AN41</f>
        <v>0</v>
      </c>
      <c r="N41" s="140" t="n">
        <f aca="false">MAX(0,M41-M40)</f>
        <v>0</v>
      </c>
      <c r="O41" s="139" t="str">
        <f aca="false">IF(B41&lt;='VALOR POR PL'!$P$5,'CP RESUMO'!AN83,"")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HISTORICOS'!AO41)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RESUMO'!AO41</f>
        <v>0</v>
      </c>
      <c r="N42" s="140" t="n">
        <f aca="false">MAX(0,M42-M41)</f>
        <v>0</v>
      </c>
      <c r="O42" s="139" t="str">
        <f aca="false">IF(B42&lt;='VALOR POR PL'!$P$5,'CP RESUMO'!AO83,"")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HISTORICOS'!AP41)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RESUMO'!AP41</f>
        <v>0</v>
      </c>
      <c r="N43" s="140" t="n">
        <f aca="false">MAX(0,M43-M42)</f>
        <v>0</v>
      </c>
      <c r="O43" s="139" t="str">
        <f aca="false">IF(B43&lt;='VALOR POR PL'!$P$5,'CP RESUMO'!AP83,"")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HISTORICOS'!AQ41)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RESUMO'!AQ41</f>
        <v>2.04</v>
      </c>
      <c r="N44" s="140" t="n">
        <f aca="false">MAX(0,M44-M43)</f>
        <v>2.04</v>
      </c>
      <c r="O44" s="139" t="str">
        <f aca="false">IF(B44&lt;='VALOR POR PL'!$P$5,'CP RESUMO'!AQ83,"")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HISTORICOS'!AR41)</f>
        <v>0</v>
      </c>
      <c r="D45" s="45" t="n">
        <f aca="false">IF(B45&lt;='VALOR POR PL'!$P$5,0,IF($K$17&gt;0,$K$18*P45/$K$17,0))</f>
        <v>19305.9682658734</v>
      </c>
      <c r="E45" s="45" t="n">
        <f aca="false">L45+D45/$K$2</f>
        <v>14.8863690461353</v>
      </c>
      <c r="F45" s="117" t="n">
        <f aca="false">IF($K$9=0,0,E45/$K$9)</f>
        <v>0.0204102064231002</v>
      </c>
      <c r="G45" s="117" t="n">
        <f aca="false">G44+F45</f>
        <v>0.0204102064231002</v>
      </c>
      <c r="H45" s="138" t="n">
        <v>19082.06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RESUMO'!AR41</f>
        <v>6</v>
      </c>
      <c r="N45" s="140" t="n">
        <f aca="false">MAX(0,M45-M44)</f>
        <v>3.96</v>
      </c>
      <c r="O45" s="139" t="str">
        <f aca="false">IF(B45&lt;='VALOR POR PL'!$P$5,'CP RESUMO'!AR83,"")</f>
        <v/>
      </c>
      <c r="P45" s="66" t="n">
        <f aca="false">IF(B45&lt;='VALOR POR PL'!$P$5,0,IF(OR($K$16="CURVA PREVISION",$K$16="MDO PREVISION + MATERIAL PREMISSA"),N45,IF($K$16="PREVISÃO INFORMADA",MAX(0,H45),0)))</f>
        <v>19082.06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HISTORICOS'!AS41)</f>
        <v>0</v>
      </c>
      <c r="D46" s="45" t="n">
        <f aca="false">IF(B46&lt;='VALOR POR PL'!$P$5,0,IF($K$17&gt;0,$K$18*P46/$K$17,0))</f>
        <v>36529.9195526946</v>
      </c>
      <c r="E46" s="45" t="n">
        <f aca="false">L46+D46/$K$2</f>
        <v>28.1673447401394</v>
      </c>
      <c r="F46" s="117" t="n">
        <f aca="false">IF($K$9=0,0,E46/$K$9)</f>
        <v>0.0386193113146098</v>
      </c>
      <c r="G46" s="117" t="n">
        <f aca="false">G45+F46</f>
        <v>0.05902951773771</v>
      </c>
      <c r="H46" s="138" t="n">
        <v>36106.25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RESUMO'!AS41</f>
        <v>13.15</v>
      </c>
      <c r="N46" s="140" t="n">
        <f aca="false">MAX(0,M46-M45)</f>
        <v>7.15</v>
      </c>
      <c r="O46" s="139" t="str">
        <f aca="false">IF(B46&lt;='VALOR POR PL'!$P$5,'CP RESUMO'!AS83,"")</f>
        <v/>
      </c>
      <c r="P46" s="66" t="n">
        <f aca="false">IF(B46&lt;='VALOR POR PL'!$P$5,0,IF(OR($K$16="CURVA PREVISION",$K$16="MDO PREVISION + MATERIAL PREMISSA"),N46,IF($K$16="PREVISÃO INFORMADA",MAX(0,H46),0)))</f>
        <v>36106.25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HISTORICOS'!AT41)</f>
        <v>0</v>
      </c>
      <c r="D47" s="45" t="n">
        <f aca="false">IF(B47&lt;='VALOR POR PL'!$P$5,0,IF($K$17&gt;0,$K$18*P47/$K$17,0))</f>
        <v>66813.7881682326</v>
      </c>
      <c r="E47" s="45" t="n">
        <f aca="false">L47+D47/$K$2</f>
        <v>51.5185094238848</v>
      </c>
      <c r="F47" s="117" t="n">
        <f aca="false">IF($K$9=0,0,E47/$K$9)</f>
        <v>0.0706353180344475</v>
      </c>
      <c r="G47" s="117" t="n">
        <f aca="false">G46+F47</f>
        <v>0.129664835772157</v>
      </c>
      <c r="H47" s="138" t="n">
        <v>66038.89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RESUMO'!AT41</f>
        <v>22.43</v>
      </c>
      <c r="N47" s="140" t="n">
        <f aca="false">MAX(0,M47-M46)</f>
        <v>9.28</v>
      </c>
      <c r="O47" s="139" t="str">
        <f aca="false">IF(B47&lt;='VALOR POR PL'!$P$5,'CP RESUMO'!AT83,"")</f>
        <v/>
      </c>
      <c r="P47" s="66" t="n">
        <f aca="false">IF(B47&lt;='VALOR POR PL'!$P$5,0,IF(OR($K$16="CURVA PREVISION",$K$16="MDO PREVISION + MATERIAL PREMISSA"),N47,IF($K$16="PREVISÃO INFORMADA",MAX(0,H47),0)))</f>
        <v>66038.89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HISTORICOS'!AU41)</f>
        <v>0</v>
      </c>
      <c r="D48" s="45" t="n">
        <f aca="false">IF(B48&lt;='VALOR POR PL'!$P$5,0,IF($K$17&gt;0,$K$18*P48/$K$17,0))</f>
        <v>81955.7224760016</v>
      </c>
      <c r="E48" s="45" t="n">
        <f aca="false">L48+D48/$K$2</f>
        <v>63.1940917657576</v>
      </c>
      <c r="F48" s="117" t="n">
        <f aca="false">IF($K$9=0,0,E48/$K$9)</f>
        <v>0.0866433213943663</v>
      </c>
      <c r="G48" s="117" t="n">
        <f aca="false">G47+F48</f>
        <v>0.216308157166524</v>
      </c>
      <c r="H48" s="138" t="n">
        <v>81005.21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RESUMO'!AU41</f>
        <v>31.21</v>
      </c>
      <c r="N48" s="140" t="n">
        <f aca="false">MAX(0,M48-M47)</f>
        <v>8.78</v>
      </c>
      <c r="O48" s="139" t="str">
        <f aca="false">IF(B48&lt;='VALOR POR PL'!$P$5,'CP RESUMO'!AU83,"")</f>
        <v/>
      </c>
      <c r="P48" s="66" t="n">
        <f aca="false">IF(B48&lt;='VALOR POR PL'!$P$5,0,IF(OR($K$16="CURVA PREVISION",$K$16="MDO PREVISION + MATERIAL PREMISSA"),N48,IF($K$16="PREVISÃO INFORMADA",MAX(0,H48),0)))</f>
        <v>81005.21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HISTORICOS'!AV41)</f>
        <v>0</v>
      </c>
      <c r="D49" s="45" t="n">
        <f aca="false">IF(B49&lt;='VALOR POR PL'!$P$5,0,IF($K$17&gt;0,$K$18*P49/$K$17,0))</f>
        <v>87444.6726508339</v>
      </c>
      <c r="E49" s="45" t="n">
        <f aca="false">L49+D49/$K$2</f>
        <v>67.4264895845627</v>
      </c>
      <c r="F49" s="117" t="n">
        <f aca="false">IF($K$9=0,0,E49/$K$9)</f>
        <v>0.0924462215427351</v>
      </c>
      <c r="G49" s="117" t="n">
        <f aca="false">G48+F49</f>
        <v>0.308754378709259</v>
      </c>
      <c r="H49" s="138" t="n">
        <v>86430.5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RESUMO'!AV41</f>
        <v>40.37</v>
      </c>
      <c r="N49" s="140" t="n">
        <f aca="false">MAX(0,M49-M48)</f>
        <v>9.16</v>
      </c>
      <c r="O49" s="139" t="str">
        <f aca="false">IF(B49&lt;='VALOR POR PL'!$P$5,'CP RESUMO'!AV83,"")</f>
        <v/>
      </c>
      <c r="P49" s="66" t="n">
        <f aca="false">IF(B49&lt;='VALOR POR PL'!$P$5,0,IF(OR($K$16="CURVA PREVISION",$K$16="MDO PREVISION + MATERIAL PREMISSA"),N49,IF($K$16="PREVISÃO INFORMADA",MAX(0,H49),0)))</f>
        <v>86430.5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HISTORICOS'!AW41)</f>
        <v>0</v>
      </c>
      <c r="D50" s="45" t="n">
        <f aca="false">IF(B50&lt;='VALOR POR PL'!$P$5,0,IF($K$17&gt;0,$K$18*P50/$K$17,0))</f>
        <v>84321.6522409254</v>
      </c>
      <c r="E50" s="45" t="n">
        <f aca="false">L50+D50/$K$2</f>
        <v>65.0184034569847</v>
      </c>
      <c r="F50" s="117" t="n">
        <f aca="false">IF($K$9=0,0,E50/$K$9)</f>
        <v>0.0891445745933582</v>
      </c>
      <c r="G50" s="117" t="n">
        <f aca="false">G49+F50</f>
        <v>0.397898953302617</v>
      </c>
      <c r="H50" s="138" t="n">
        <v>83343.7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RESUMO'!AW41</f>
        <v>48.99</v>
      </c>
      <c r="N50" s="140" t="n">
        <f aca="false">MAX(0,M50-M49)</f>
        <v>8.62000000000001</v>
      </c>
      <c r="O50" s="139" t="str">
        <f aca="false">IF(B50&lt;='VALOR POR PL'!$P$5,'CP RESUMO'!AW83,"")</f>
        <v/>
      </c>
      <c r="P50" s="66" t="n">
        <f aca="false">IF(B50&lt;='VALOR POR PL'!$P$5,0,IF(OR($K$16="CURVA PREVISION",$K$16="MDO PREVISION + MATERIAL PREMISSA"),N50,IF($K$16="PREVISÃO INFORMADA",MAX(0,H50),0)))</f>
        <v>83343.7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HISTORICOS'!AX41)</f>
        <v>0</v>
      </c>
      <c r="D51" s="45" t="n">
        <f aca="false">IF(B51&lt;='VALOR POR PL'!$P$5,0,IF($K$17&gt;0,$K$18*P51/$K$17,0))</f>
        <v>84416.289836216</v>
      </c>
      <c r="E51" s="45" t="n">
        <f aca="false">L51+D51/$K$2</f>
        <v>65.0913762366833</v>
      </c>
      <c r="F51" s="117" t="n">
        <f aca="false">IF($K$9=0,0,E51/$K$9)</f>
        <v>0.0892446251491587</v>
      </c>
      <c r="G51" s="117" t="n">
        <f aca="false">G50+F51</f>
        <v>0.487143578451776</v>
      </c>
      <c r="H51" s="138" t="n">
        <v>83437.24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RESUMO'!AX41</f>
        <v>57.64</v>
      </c>
      <c r="N51" s="140" t="n">
        <f aca="false">MAX(0,M51-M50)</f>
        <v>8.65</v>
      </c>
      <c r="O51" s="139" t="str">
        <f aca="false">IF(B51&lt;='VALOR POR PL'!$P$5,'CP RESUMO'!AX83,"")</f>
        <v/>
      </c>
      <c r="P51" s="66" t="n">
        <f aca="false">IF(B51&lt;='VALOR POR PL'!$P$5,0,IF(OR($K$16="CURVA PREVISION",$K$16="MDO PREVISION + MATERIAL PREMISSA"),N51,IF($K$16="PREVISÃO INFORMADA",MAX(0,H51),0)))</f>
        <v>83437.24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HISTORICOS'!AY41)</f>
        <v>0</v>
      </c>
      <c r="D52" s="45" t="n">
        <f aca="false">IF(B52&lt;='VALOR POR PL'!$P$5,0,IF($K$17&gt;0,$K$18*P52/$K$17,0))</f>
        <v>78738.0644708026</v>
      </c>
      <c r="E52" s="45" t="n">
        <f aca="false">L52+D52/$K$2</f>
        <v>60.713032858481</v>
      </c>
      <c r="F52" s="117" t="n">
        <f aca="false">IF($K$9=0,0,E52/$K$9)</f>
        <v>0.0832416238891891</v>
      </c>
      <c r="G52" s="117" t="n">
        <f aca="false">G51+F52</f>
        <v>0.570385202340965</v>
      </c>
      <c r="H52" s="138" t="n">
        <v>77824.87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RESUMO'!AY41</f>
        <v>64.68</v>
      </c>
      <c r="N52" s="140" t="n">
        <f aca="false">MAX(0,M52-M51)</f>
        <v>7.04000000000001</v>
      </c>
      <c r="O52" s="139" t="str">
        <f aca="false">IF(B52&lt;='VALOR POR PL'!$P$5,'CP RESUMO'!AY83,"")</f>
        <v/>
      </c>
      <c r="P52" s="66" t="n">
        <f aca="false">IF(B52&lt;='VALOR POR PL'!$P$5,0,IF(OR($K$16="CURVA PREVISION",$K$16="MDO PREVISION + MATERIAL PREMISSA"),N52,IF($K$16="PREVISÃO INFORMADA",MAX(0,H52),0)))</f>
        <v>77824.87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HISTORICOS'!AZ41)</f>
        <v>0</v>
      </c>
      <c r="D53" s="45" t="n">
        <f aca="false">IF(B53&lt;='VALOR POR PL'!$P$5,0,IF($K$17&gt;0,$K$18*P53/$K$17,0))</f>
        <v>70031.4461734316</v>
      </c>
      <c r="E53" s="45" t="n">
        <f aca="false">L53+D53/$K$2</f>
        <v>53.9995683311614</v>
      </c>
      <c r="F53" s="117" t="n">
        <f aca="false">IF($K$9=0,0,E53/$K$9)</f>
        <v>0.0740370155396247</v>
      </c>
      <c r="G53" s="117" t="n">
        <f aca="false">G52+F53</f>
        <v>0.64442221788059</v>
      </c>
      <c r="H53" s="138" t="n">
        <v>69219.23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RESUMO'!AZ41</f>
        <v>71.38</v>
      </c>
      <c r="N53" s="140" t="n">
        <f aca="false">MAX(0,M53-M52)</f>
        <v>6.69999999999999</v>
      </c>
      <c r="O53" s="139" t="str">
        <f aca="false">IF(B53&lt;='VALOR POR PL'!$P$5,'CP RESUMO'!AZ83,"")</f>
        <v/>
      </c>
      <c r="P53" s="66" t="n">
        <f aca="false">IF(B53&lt;='VALOR POR PL'!$P$5,0,IF(OR($K$16="CURVA PREVISION",$K$16="MDO PREVISION + MATERIAL PREMISSA"),N53,IF($K$16="PREVISÃO INFORMADA",MAX(0,H53),0)))</f>
        <v>69219.23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HISTORICOS'!BA41)</f>
        <v>0</v>
      </c>
      <c r="D54" s="45" t="n">
        <f aca="false">IF(B54&lt;='VALOR POR PL'!$P$5,0,IF($K$17&gt;0,$K$18*P54/$K$17,0))</f>
        <v>56498.3408682621</v>
      </c>
      <c r="E54" s="45" t="n">
        <f aca="false">L54+D54/$K$2</f>
        <v>43.564515442927</v>
      </c>
      <c r="F54" s="117" t="n">
        <f aca="false">IF($K$9=0,0,E54/$K$9)</f>
        <v>0.0597298609322945</v>
      </c>
      <c r="G54" s="117" t="n">
        <f aca="false">G53+F54</f>
        <v>0.704152078812884</v>
      </c>
      <c r="H54" s="138" t="n">
        <v>55843.08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RESUMO'!BA41</f>
        <v>81.65</v>
      </c>
      <c r="N54" s="140" t="n">
        <f aca="false">MAX(0,M54-M53)</f>
        <v>10.27</v>
      </c>
      <c r="O54" s="139" t="str">
        <f aca="false">IF(B54&lt;='VALOR POR PL'!$P$5,'CP RESUMO'!BA83,"")</f>
        <v/>
      </c>
      <c r="P54" s="66" t="n">
        <f aca="false">IF(B54&lt;='VALOR POR PL'!$P$5,0,IF(OR($K$16="CURVA PREVISION",$K$16="MDO PREVISION + MATERIAL PREMISSA"),N54,IF($K$16="PREVISÃO INFORMADA",MAX(0,H54),0)))</f>
        <v>55843.08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HISTORICOS'!BB41)</f>
        <v>0</v>
      </c>
      <c r="D55" s="45" t="n">
        <f aca="false">IF(B55&lt;='VALOR POR PL'!$P$5,0,IF($K$17&gt;0,$K$18*P55/$K$17,0))</f>
        <v>96908.3815931895</v>
      </c>
      <c r="E55" s="45" t="n">
        <f aca="false">L55+D55/$K$2</f>
        <v>74.7237285482331</v>
      </c>
      <c r="F55" s="117" t="n">
        <f aca="false">IF($K$9=0,0,E55/$K$9)</f>
        <v>0.102451223642684</v>
      </c>
      <c r="G55" s="117" t="n">
        <f aca="false">G54+F55</f>
        <v>0.806603302455568</v>
      </c>
      <c r="H55" s="138" t="n">
        <v>95784.45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RESUMO'!BB41</f>
        <v>91.26</v>
      </c>
      <c r="N55" s="140" t="n">
        <f aca="false">MAX(0,M55-M54)</f>
        <v>9.61</v>
      </c>
      <c r="O55" s="139" t="str">
        <f aca="false">IF(B55&lt;='VALOR POR PL'!$P$5,'CP RESUMO'!BB83,"")</f>
        <v/>
      </c>
      <c r="P55" s="66" t="n">
        <f aca="false">IF(B55&lt;='VALOR POR PL'!$P$5,0,IF(OR($K$16="CURVA PREVISION",$K$16="MDO PREVISION + MATERIAL PREMISSA"),N55,IF($K$16="PREVISÃO INFORMADA",MAX(0,H55),0)))</f>
        <v>95784.45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HISTORICOS'!BC41)</f>
        <v>0</v>
      </c>
      <c r="D56" s="45" t="n">
        <f aca="false">IF(B56&lt;='VALOR POR PL'!$P$5,0,IF($K$17&gt;0,$K$18*P56/$K$17,0))</f>
        <v>87728.5854367055</v>
      </c>
      <c r="E56" s="45" t="n">
        <f aca="false">L56+D56/$K$2</f>
        <v>67.6454079236585</v>
      </c>
      <c r="F56" s="117" t="n">
        <f aca="false">IF($K$9=0,0,E56/$K$9)</f>
        <v>0.0927463732101363</v>
      </c>
      <c r="G56" s="117" t="n">
        <f aca="false">G55+F56</f>
        <v>0.899349675665705</v>
      </c>
      <c r="H56" s="138" t="n">
        <v>86711.12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RESUMO'!BC41</f>
        <v>99.19</v>
      </c>
      <c r="N56" s="140" t="n">
        <f aca="false">MAX(0,M56-M55)</f>
        <v>7.92999999999999</v>
      </c>
      <c r="O56" s="139" t="str">
        <f aca="false">IF(B56&lt;='VALOR POR PL'!$P$5,'CP RESUMO'!BC83,"")</f>
        <v/>
      </c>
      <c r="P56" s="66" t="n">
        <f aca="false">IF(B56&lt;='VALOR POR PL'!$P$5,0,IF(OR($K$16="CURVA PREVISION",$K$16="MDO PREVISION + MATERIAL PREMISSA"),N56,IF($K$16="PREVISÃO INFORMADA",MAX(0,H56),0)))</f>
        <v>86711.12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HISTORICOS'!BD41)</f>
        <v>0</v>
      </c>
      <c r="D57" s="45" t="n">
        <f aca="false">IF(B57&lt;='VALOR POR PL'!$P$5,0,IF($K$17&gt;0,$K$18*P57/$K$17,0))</f>
        <v>82902.0883115673</v>
      </c>
      <c r="E57" s="45" t="n">
        <f aca="false">L57+D57/$K$2</f>
        <v>63.9238117615057</v>
      </c>
      <c r="F57" s="117" t="n">
        <f aca="false">IF($K$9=0,0,E57/$K$9)</f>
        <v>0.0876438162563521</v>
      </c>
      <c r="G57" s="117" t="n">
        <f aca="false">G56+F57</f>
        <v>0.986993491922057</v>
      </c>
      <c r="H57" s="138" t="n">
        <v>81940.6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RESUMO'!BD41</f>
        <v>99.95</v>
      </c>
      <c r="N57" s="140" t="n">
        <f aca="false">MAX(0,M57-M56)</f>
        <v>0.760000000000005</v>
      </c>
      <c r="O57" s="139" t="str">
        <f aca="false">IF(B57&lt;='VALOR POR PL'!$P$5,'CP RESUMO'!BD83,"")</f>
        <v/>
      </c>
      <c r="P57" s="66" t="n">
        <f aca="false">IF(B57&lt;='VALOR POR PL'!$P$5,0,IF(OR($K$16="CURVA PREVISION",$K$16="MDO PREVISION + MATERIAL PREMISSA"),N57,IF($K$16="PREVISÃO INFORMADA",MAX(0,H57),0)))</f>
        <v>81940.6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HISTORICOS'!BE41)</f>
        <v>0</v>
      </c>
      <c r="D58" s="45" t="n">
        <f aca="false">IF(B58&lt;='VALOR POR PL'!$P$5,0,IF($K$17&gt;0,$K$18*P58/$K$17,0))</f>
        <v>12302.8266837321</v>
      </c>
      <c r="E58" s="45" t="n">
        <f aca="false">L58+D58/$K$2</f>
        <v>9.48641455339057</v>
      </c>
      <c r="F58" s="117" t="n">
        <f aca="false">IF($K$9=0,0,E58/$K$9)</f>
        <v>0.0130065080779433</v>
      </c>
      <c r="G58" s="117" t="n">
        <f aca="false">G57+F58</f>
        <v>1</v>
      </c>
      <c r="H58" s="138" t="n">
        <v>12160.14</v>
      </c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RESUMO'!BE41</f>
        <v>99.95</v>
      </c>
      <c r="N58" s="140" t="n">
        <f aca="false">MAX(0,M58-M57)</f>
        <v>0</v>
      </c>
      <c r="O58" s="139" t="str">
        <f aca="false">IF(B58&lt;='VALOR POR PL'!$P$5,'CP RESUMO'!BE83,"")</f>
        <v/>
      </c>
      <c r="P58" s="66" t="n">
        <f aca="false">IF(B58&lt;='VALOR POR PL'!$P$5,0,IF(OR($K$16="CURVA PREVISION",$K$16="MDO PREVISION + MATERIAL PREMISSA"),N58,IF($K$16="PREVISÃO INFORMADA",MAX(0,H58),0)))</f>
        <v>12160.14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HISTORICOS'!BF41)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RESUMO'!BF41</f>
        <v>99.95</v>
      </c>
      <c r="N59" s="140" t="n">
        <f aca="false">MAX(0,M59-M58)</f>
        <v>0</v>
      </c>
      <c r="O59" s="139" t="str">
        <f aca="false">IF(B59&lt;='VALOR POR PL'!$P$5,'CP RESUMO'!BF83,"")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HISTORICOS'!BG41)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RESUMO'!BG41</f>
        <v>99.95</v>
      </c>
      <c r="N60" s="140" t="n">
        <f aca="false">MAX(0,M60-M59)</f>
        <v>0</v>
      </c>
      <c r="O60" s="139" t="str">
        <f aca="false">IF(B60&lt;='VALOR POR PL'!$P$5,'CP RESUMO'!BG83,"")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HISTORICOS'!BH41)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RESUMO'!BH41</f>
        <v>99.95</v>
      </c>
      <c r="N61" s="140" t="n">
        <f aca="false">MAX(0,M61-M60)</f>
        <v>0</v>
      </c>
      <c r="O61" s="139" t="str">
        <f aca="false">IF(B61&lt;='VALOR POR PL'!$P$5,'CP RESUMO'!BH83,"")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HISTORICOS'!BI41)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RESUMO'!BI41</f>
        <v>99.95</v>
      </c>
      <c r="N62" s="140" t="n">
        <f aca="false">MAX(0,M62-M61)</f>
        <v>0</v>
      </c>
      <c r="O62" s="139" t="str">
        <f aca="false">IF(B62&lt;='VALOR POR PL'!$P$5,'CP RESUMO'!BI83,"")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HISTORICOS'!BJ41)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RESUMO'!BJ41</f>
        <v>99.95</v>
      </c>
      <c r="N63" s="140" t="n">
        <f aca="false">MAX(0,M63-M62)</f>
        <v>0</v>
      </c>
      <c r="O63" s="139" t="str">
        <f aca="false">IF(B63&lt;='VALOR POR PL'!$P$5,'CP RESUMO'!BJ83,"")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HISTORICOS'!BK41)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RESUMO'!BK41</f>
        <v>99.95</v>
      </c>
      <c r="N64" s="140" t="n">
        <f aca="false">MAX(0,M64-M63)</f>
        <v>0</v>
      </c>
      <c r="O64" s="139" t="str">
        <f aca="false">IF(B64&lt;='VALOR POR PL'!$P$5,'CP RESUMO'!BK83,"")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HISTORICOS'!BL41)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RESUMO'!BL41</f>
        <v>99.95</v>
      </c>
      <c r="N65" s="140" t="n">
        <f aca="false">MAX(0,M65-M64)</f>
        <v>0</v>
      </c>
      <c r="O65" s="139" t="str">
        <f aca="false">IF(B65&lt;='VALOR POR PL'!$P$5,'CP RESUMO'!BL83,"")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HISTORICOS'!BM41)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RESUMO'!BM41</f>
        <v>99.95</v>
      </c>
      <c r="N66" s="140" t="n">
        <f aca="false">MAX(0,M66-M65)</f>
        <v>0</v>
      </c>
      <c r="O66" s="139" t="str">
        <f aca="false">IF(B66&lt;='VALOR POR PL'!$P$5,'CP RESUMO'!BM83,"")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HISTORICOS'!BN41)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RESUMO'!BN41</f>
        <v>99.95</v>
      </c>
      <c r="N67" s="140" t="n">
        <f aca="false">MAX(0,M67-M66)</f>
        <v>0</v>
      </c>
      <c r="O67" s="139" t="str">
        <f aca="false">IF(B67&lt;='VALOR POR PL'!$P$5,'CP RESUMO'!BN83,"")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HISTORICOS'!BO41)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RESUMO'!BO41</f>
        <v>99.95</v>
      </c>
      <c r="N68" s="140" t="n">
        <f aca="false">MAX(0,M68-M67)</f>
        <v>0</v>
      </c>
      <c r="O68" s="139" t="str">
        <f aca="false">IF(B68&lt;='VALOR POR PL'!$P$5,'CP RESUMO'!BO83,"")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HISTORICOS'!BP41)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RESUMO'!BP41</f>
        <v>99.95</v>
      </c>
      <c r="N69" s="140" t="n">
        <f aca="false">MAX(0,M69-M68)</f>
        <v>0</v>
      </c>
      <c r="O69" s="139" t="str">
        <f aca="false">IF(B69&lt;='VALOR POR PL'!$P$5,'CP RESUMO'!BP83,"")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HISTORICOS'!BQ41)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RESUMO'!BQ41</f>
        <v>99.95</v>
      </c>
      <c r="N70" s="140" t="n">
        <f aca="false">MAX(0,M70-M69)</f>
        <v>0</v>
      </c>
      <c r="O70" s="139" t="str">
        <f aca="false">IF(B70&lt;='VALOR POR PL'!$P$5,'CP RESUMO'!BQ83,"")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HISTORICOS'!BR41)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RESUMO'!BR41</f>
        <v>99.95</v>
      </c>
      <c r="N71" s="140" t="n">
        <f aca="false">MAX(0,M71-M70)</f>
        <v>0</v>
      </c>
      <c r="O71" s="139" t="str">
        <f aca="false">IF(B71&lt;='VALOR POR PL'!$P$5,'CP RESUMO'!BR83,"")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HISTORICOS'!BS41)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RESUMO'!BS41</f>
        <v>99.95</v>
      </c>
      <c r="N72" s="140" t="n">
        <f aca="false">MAX(0,M72-M71)</f>
        <v>0</v>
      </c>
      <c r="O72" s="139" t="str">
        <f aca="false">IF(B72&lt;='VALOR POR PL'!$P$5,'CP RESUMO'!BS83,"")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HISTORICOS'!BT41)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RESUMO'!BT41</f>
        <v>99.95</v>
      </c>
      <c r="N73" s="140" t="n">
        <f aca="false">MAX(0,M73-M72)</f>
        <v>0</v>
      </c>
      <c r="O73" s="139" t="str">
        <f aca="false">IF(B73&lt;='VALOR POR PL'!$P$5,'CP RESUMO'!BT83,"")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HISTORICOS'!BU41)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RESUMO'!BU41</f>
        <v>99.95</v>
      </c>
      <c r="N74" s="140" t="n">
        <f aca="false">MAX(0,M74-M73)</f>
        <v>0</v>
      </c>
      <c r="O74" s="139" t="str">
        <f aca="false">IF(B74&lt;='VALOR POR PL'!$P$5,'CP RESUMO'!BU83,"")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HISTORICOS'!BV41)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RESUMO'!BV41</f>
        <v>99.95</v>
      </c>
      <c r="N75" s="140" t="n">
        <f aca="false">MAX(0,M75-M74)</f>
        <v>0</v>
      </c>
      <c r="O75" s="139" t="str">
        <f aca="false">IF(B75&lt;='VALOR POR PL'!$P$5,'CP RESUMO'!BV83,"")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HISTORICOS'!BW41)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RESUMO'!BW41</f>
        <v>99.95</v>
      </c>
      <c r="N76" s="140" t="n">
        <f aca="false">MAX(0,M76-M75)</f>
        <v>0</v>
      </c>
      <c r="O76" s="139" t="str">
        <f aca="false">IF(B76&lt;='VALOR POR PL'!$P$5,'CP RESUMO'!BW83,"")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945897.746728468</v>
      </c>
      <c r="E78" s="61" t="n">
        <f aca="false">SUM(E5:E76)</f>
        <v>729.359063673505</v>
      </c>
      <c r="F78" s="145" t="n">
        <f aca="false">SUM(F5:F76)</f>
        <v>1</v>
      </c>
      <c r="H78" s="61" t="n">
        <f aca="false">SUM(H5:H76)</f>
        <v>934927.34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2026-10-07T20:57:54Z</dcterms:created>
  <dc:creator>openpyxl</dc:creator>
  <dc:description/>
  <dc:language>en-US</dc:language>
  <cp:lastModifiedBy/>
  <dcterms:modified xsi:type="dcterms:W3CDTF">2026-10-07T20:58:10Z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